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2="http://schemas.microsoft.com/office/spreadsheetml/2015/revision2" mc:Ignorable="x15 xr2">
  <fileVersion appName="xl" lastEdited="7" lowestEdited="4" rupBuild="18730"/>
  <workbookPr updateLinks="never" defaultThemeVersion="124226"/>
  <mc:AlternateContent xmlns:mc="http://schemas.openxmlformats.org/markup-compatibility/2006">
    <mc:Choice Requires="x15">
      <x15ac:absPath xmlns:x15ac="http://schemas.microsoft.com/office/spreadsheetml/2010/11/ac" url="C:\Users\Jon\Desktop\Google Drive\00000 EXCEL Sheets\! Valve sizing 4 Col\4Col Sizing for Web\0 Next version for WEB 3.5\"/>
    </mc:Choice>
  </mc:AlternateContent>
  <bookViews>
    <workbookView xWindow="2120" yWindow="-200" windowWidth="17690" windowHeight="8120" xr2:uid="{00000000-000D-0000-FFFF-FFFF00000000}"/>
  </bookViews>
  <sheets>
    <sheet name="Valve Sizing" sheetId="1" r:id="rId1"/>
    <sheet name="Installed Flow" sheetId="2" r:id="rId2"/>
    <sheet name="Installed Gain" sheetId="3" r:id="rId3"/>
    <sheet name="Typical xT" sheetId="4" r:id="rId4"/>
    <sheet name="Density" sheetId="5" r:id="rId5"/>
  </sheets>
  <externalReferences>
    <externalReference r:id="rId6"/>
    <externalReference r:id="rId7"/>
    <externalReference r:id="rId8"/>
    <externalReference r:id="rId9"/>
    <externalReference r:id="rId10"/>
    <externalReference r:id="rId11"/>
  </externalReferences>
  <definedNames>
    <definedName name="A">'Valve Sizing'!$S$366</definedName>
    <definedName name="ALPHA">'Valve Sizing'!$S$342</definedName>
    <definedName name="C_">'Valve Sizing'!$D$17</definedName>
    <definedName name="C_100">'Installed Flow'!$Q$23</definedName>
    <definedName name="C_100_Pct">'Installed Flow'!$D$2</definedName>
    <definedName name="C_Ch" localSheetId="1">'Installed Flow'!$R$42</definedName>
    <definedName name="C_Ch">'Valve Sizing'!$S$11</definedName>
    <definedName name="C_Ch_W_Reducers">'Valve Sizing'!$S$31</definedName>
    <definedName name="C_h">'Installed Flow'!$R$23</definedName>
    <definedName name="C_i" localSheetId="1">'Installed Flow'!$R$44</definedName>
    <definedName name="C_i">'Valve Sizing'!$S$26</definedName>
    <definedName name="C_N_Ch">'Installed Flow'!$R$41</definedName>
    <definedName name="C_NonCh">'Valve Sizing'!$S$10</definedName>
    <definedName name="C_NonCh_W_Reducers">'Valve Sizing'!$S$30</definedName>
    <definedName name="C_o">'Valve Sizing'!$S$349</definedName>
    <definedName name="C_v">'Valve Sizing'!$S$397</definedName>
    <definedName name="Calc_Flow_From_Final__Calc_C">'Valve Sizing'!$S$394</definedName>
    <definedName name="CH_x">'Valve Sizing'!$S$12</definedName>
    <definedName name="CH_x_W_Reducers" localSheetId="1">'Installed Flow'!$R$43</definedName>
    <definedName name="CH_x_W_Reducers">'Valve Sizing'!$S$32</definedName>
    <definedName name="Cv_over_d_Sq">'Typical xT'!$O$9</definedName>
    <definedName name="d">'Valve Sizing'!$D$14</definedName>
    <definedName name="D_1">'Valve Sizing'!$D$12</definedName>
    <definedName name="D_2">'Valve Sizing'!$D$13</definedName>
    <definedName name="d_in">'Valve Sizing'!$S$414</definedName>
    <definedName name="D_j">'Valve Sizing'!$S$353</definedName>
    <definedName name="Data_Input">'Installed Flow'!$D$35</definedName>
    <definedName name="DATA1">'Valve Sizing'!$B$44</definedName>
    <definedName name="DATA2">'Valve Sizing'!$C$44</definedName>
    <definedName name="DATA3">'Valve Sizing'!$D$44</definedName>
    <definedName name="DATA4">'Valve Sizing'!$E$44</definedName>
    <definedName name="DELTA_P">'Valve Sizing'!$D$7</definedName>
    <definedName name="DELTA_P_maxW">'Installed Flow'!$R$11</definedName>
    <definedName name="DELTA_P_minW">'Installed Flow'!$R$10</definedName>
    <definedName name="DELTA_P_Wi">'Installed Flow'!$R$38</definedName>
    <definedName name="DeltaLg">'Valve Sizing'!$S$408</definedName>
    <definedName name="DeltaLg_0">'Valve Sizing'!$S$402</definedName>
    <definedName name="DeltaLg_1">'Valve Sizing'!$S$403</definedName>
    <definedName name="DeltaLg_2">'Valve Sizing'!$S$404</definedName>
    <definedName name="DeltaLg_3">'Valve Sizing'!$S$405</definedName>
    <definedName name="DeltaLg_4">'Valve Sizing'!$S$406</definedName>
    <definedName name="DeltaLg_5">'Valve Sizing'!$S$407</definedName>
    <definedName name="DeltaLp">'Valve Sizing'!$D$16</definedName>
    <definedName name="DeltaLp2">'Valve Sizing'!$S$410</definedName>
    <definedName name="dp_dn">'Installed Flow'!$R$16</definedName>
    <definedName name="dp_up">'Installed Flow'!$R$14</definedName>
    <definedName name="dpdn_minQ">'Installed Flow'!$R$19</definedName>
    <definedName name="dpdn_minW">'Installed Flow'!$R$19</definedName>
    <definedName name="dpup_minQ">'Installed Flow'!$R$18</definedName>
    <definedName name="dpup_minW">'Installed Flow'!$R$18</definedName>
    <definedName name="ETA_m">'Valve Sizing'!$S$348</definedName>
    <definedName name="ETA_m1">'Valve Sizing'!$S$344</definedName>
    <definedName name="ETA_m23">'Valve Sizing'!$S$345</definedName>
    <definedName name="ETA_m4">'Valve Sizing'!$S$346</definedName>
    <definedName name="ETA_m5">'Valve Sizing'!$S$347</definedName>
    <definedName name="F_d">'Valve Sizing'!#REF!</definedName>
    <definedName name="F_GAMMA">'Valve Sizing'!$S$5</definedName>
    <definedName name="F_L">'Valve Sizing'!#REF!</definedName>
    <definedName name="f_o">'Valve Sizing'!$S$355</definedName>
    <definedName name="F_P">'Valve Sizing'!$S$27</definedName>
    <definedName name="F_P_100">'Installed Flow'!$Q$27</definedName>
    <definedName name="F_P_h">'Installed Flow'!$R$27</definedName>
    <definedName name="f_p_selected">'Valve Sizing'!$S$358</definedName>
    <definedName name="f_p1">'Valve Sizing'!$S$356</definedName>
    <definedName name="f_p2">'Valve Sizing'!$S$357</definedName>
    <definedName name="f_r">'Valve Sizing'!$S$354</definedName>
    <definedName name="Final_Calculated_C">'Valve Sizing'!$S$387</definedName>
    <definedName name="Final_CH_x_W_Reducers">'Valve Sizing'!$S$393</definedName>
    <definedName name="Final_F_P">'Valve Sizing'!$S$388</definedName>
    <definedName name="Final_Flow_Ch_W_Reducers">'Valve Sizing'!$S$392</definedName>
    <definedName name="Final_Flow_NonCh_W_Reducers">'Valve Sizing'!$S$391</definedName>
    <definedName name="Final_x_TP">'Valve Sizing'!$S$389</definedName>
    <definedName name="Final_Y_W_Reducers">'Valve Sizing'!$S$390</definedName>
    <definedName name="FLAG_1">'Valve Sizing'!$B$61</definedName>
    <definedName name="FLAG_2">'Valve Sizing'!$B$63</definedName>
    <definedName name="FLAG_A">'Valve Sizing'!$B$57</definedName>
    <definedName name="G_">Density!$E$6</definedName>
    <definedName name="G_g">'Valve Sizing'!#REF!</definedName>
    <definedName name="GAMMA">'Valve Sizing'!$D$10</definedName>
    <definedName name="INPUT1D">Density!$E$44</definedName>
    <definedName name="INPUT2D">Density!$F$44</definedName>
    <definedName name="INPUT3D">Density!$G$44</definedName>
    <definedName name="INPUT4D">Density!$H$44</definedName>
    <definedName name="L_A">'Valve Sizing'!$S$411</definedName>
    <definedName name="L_G">'Valve Sizing'!$S$365</definedName>
    <definedName name="L_pi">'Valve Sizing'!$S$367</definedName>
    <definedName name="lbm_h_to_scfh">'Valve Sizing'!$S$417</definedName>
    <definedName name="M">'Valve Sizing'!$D$9</definedName>
    <definedName name="M_..1">[1]UI!$D$9</definedName>
    <definedName name="M_..S">[1]UI!$S$9</definedName>
    <definedName name="M_j">'Valve Sizing'!$S$352</definedName>
    <definedName name="MN">'Valve Sizing'!$S$418</definedName>
    <definedName name="MW">'Valve Sizing'!$S$336</definedName>
    <definedName name="N_2">'Valve Sizing'!$B$53</definedName>
    <definedName name="N_5">'Valve Sizing'!$B$54</definedName>
    <definedName name="N_6">'Valve Sizing'!$B$55</definedName>
    <definedName name="N_9">'Valve Sizing'!$B$54</definedName>
    <definedName name="P_1">'Valve Sizing'!$D$5</definedName>
    <definedName name="P_1..1">[1]UI!$D$5</definedName>
    <definedName name="P_1..2">[1]UI!$E$5</definedName>
    <definedName name="P_1..3">[1]UI!$F$5</definedName>
    <definedName name="P_1..4">[1]UI!$G$5</definedName>
    <definedName name="P_1..L">Density!$L$7</definedName>
    <definedName name="P_1..S">[1]UI!$S$5</definedName>
    <definedName name="P_1_maxQ">'Installed Flow'!$R$9</definedName>
    <definedName name="P_1_maxW">'Installed Flow'!$R$9</definedName>
    <definedName name="P_1_minQ">'Installed Flow'!$R$8</definedName>
    <definedName name="P_1_minW">'Installed Flow'!$R$8</definedName>
    <definedName name="P_1_psia">'Valve Sizing'!$S$398</definedName>
    <definedName name="P_2_maxQ">'Installed Flow'!$R$13</definedName>
    <definedName name="P_2_maxW">'Installed Flow'!$R$13</definedName>
    <definedName name="P_2_minQ">'Installed Flow'!$R$12</definedName>
    <definedName name="P_2_minW">'Installed Flow'!$R$12</definedName>
    <definedName name="P_2_psia">'Valve Sizing'!$S$409</definedName>
    <definedName name="P1_over_P2break">'Valve Sizing'!$S$343</definedName>
    <definedName name="P1_over_P2crit">'Valve Sizing'!$S$341</definedName>
    <definedName name="P1_Wi">'Installed Flow'!$R$35</definedName>
    <definedName name="P2_Wi">'Installed Flow'!$R$36</definedName>
    <definedName name="_xlnm.Print_Area" localSheetId="1">'Installed Flow'!$A$8:$K$32</definedName>
    <definedName name="_xlnm.Print_Area" localSheetId="2">'Installed Gain'!$A$4:$K$32</definedName>
    <definedName name="_xlnm.Print_Area" localSheetId="0">'Valve Sizing'!$A$2:$G$23</definedName>
    <definedName name="Q">'[2]Valve Sizing'!$D$2</definedName>
    <definedName name="Q_max">'Installed Flow'!#REF!</definedName>
    <definedName name="Q_min">'Installed Flow'!#REF!</definedName>
    <definedName name="Q_to_Qscfh">'Valve Sizing'!#REF!</definedName>
    <definedName name="Qf">'Installed Flow'!$I$16</definedName>
    <definedName name="r_">'Valve Sizing'!$S$350</definedName>
    <definedName name="R_dn">'Installed Flow'!$R$17</definedName>
    <definedName name="R_up">'Installed Flow'!$R$15</definedName>
    <definedName name="RHO">'Valve Sizing'!$D$8</definedName>
    <definedName name="RHO_lb_ft3">'Valve Sizing'!$S$416</definedName>
    <definedName name="RHO_n">'Valve Sizing'!$S$400</definedName>
    <definedName name="RHO_Wi">'Installed Flow'!$R$37</definedName>
    <definedName name="Select_C_Non_or_C_Ch">'Valve Sizing'!$S$13</definedName>
    <definedName name="Selected_scfh">'Valve Sizing'!$S$419</definedName>
    <definedName name="SIGMA_ZETA">'Valve Sizing'!$S$22</definedName>
    <definedName name="SIGMA_ZETA_1">'Valve Sizing'!$S$23</definedName>
    <definedName name="T_1">'Valve Sizing'!$D$6</definedName>
    <definedName name="T_1..1">[1]UI!$D$6</definedName>
    <definedName name="T_1..3">[1]UI!$F$6</definedName>
    <definedName name="T_1..4">[1]UI!$G$6</definedName>
    <definedName name="T_1..L">Density!$L$8</definedName>
    <definedName name="T_1..S">[1]UI!$S$6</definedName>
    <definedName name="T_1_degR">'Valve Sizing'!$S$399</definedName>
    <definedName name="T_abs">'Valve Sizing'!$S$6</definedName>
    <definedName name="T_L">'Valve Sizing'!$S$364</definedName>
    <definedName name="T_Lfo">'Valve Sizing'!$S$351</definedName>
    <definedName name="T_lfp1">'Valve Sizing'!$S$359</definedName>
    <definedName name="T_lfp2">'Valve Sizing'!$S$360</definedName>
    <definedName name="T_lfp3">'Valve Sizing'!$S$361</definedName>
    <definedName name="T_lfp4">'Valve Sizing'!$S$362</definedName>
    <definedName name="T_lfpselected">'Valve Sizing'!$S$363</definedName>
    <definedName name="t_p_in">'Valve Sizing'!$S$330</definedName>
    <definedName name="TAG">'Valve Sizing'!$E$2</definedName>
    <definedName name="temp">'[3]Valve Sizing'!$D$4</definedName>
    <definedName name="TURB1">'[4]Valve Sizing'!$B$52</definedName>
    <definedName name="TURB4">'[4]Valve Sizing'!$E$52</definedName>
    <definedName name="VSC">'Valve Sizing'!$D$15</definedName>
    <definedName name="W">'Valve Sizing'!$D$4</definedName>
    <definedName name="W_i">'Installed Flow'!$R$33</definedName>
    <definedName name="W_max">'Installed Flow'!$R$7</definedName>
    <definedName name="W_min">'Installed Flow'!$R$6</definedName>
    <definedName name="W_to_lbm_h">'Valve Sizing'!$S$415</definedName>
    <definedName name="x">'Valve Sizing'!$S$4</definedName>
    <definedName name="x_T">'Valve Sizing'!$D$11</definedName>
    <definedName name="x_T_100">'Installed Flow'!$D$3</definedName>
    <definedName name="x_TP">'Valve Sizing'!$S$28</definedName>
    <definedName name="x_TP_100">'Installed Flow'!$Q$29</definedName>
    <definedName name="x_TP_h">'Installed Flow'!$R$29</definedName>
    <definedName name="x_Wi">'Installed Flow'!$R$39</definedName>
    <definedName name="xx">'Valve Sizing'!$S$4</definedName>
    <definedName name="Y">'Valve Sizing'!$S$9</definedName>
    <definedName name="Y_C_100">'Installed Flow'!$Q$41</definedName>
    <definedName name="Y_C_h">'Installed Flow'!$R$40</definedName>
    <definedName name="Y_W_Reducers">'Valve Sizing'!$S$29</definedName>
    <definedName name="Z">'Valve Sizing'!#REF!</definedName>
    <definedName name="Z_">Density!$E$11</definedName>
    <definedName name="Z_1">Density!$E$11</definedName>
    <definedName name="ZETA_1">'Valve Sizing'!$S$18</definedName>
    <definedName name="ZETA_2">'Valve Sizing'!$S$20</definedName>
    <definedName name="ZETA_B1">'Valve Sizing'!$S$19</definedName>
    <definedName name="ZETA_B2">'Valve Sizing'!$S$21</definedName>
  </definedNames>
  <calcPr calcId="171027"/>
  <fileRecoveryPr autoRecover="0"/>
</workbook>
</file>

<file path=xl/calcChain.xml><?xml version="1.0" encoding="utf-8"?>
<calcChain xmlns="http://schemas.openxmlformats.org/spreadsheetml/2006/main">
  <c r="F12" i="4" l="1"/>
  <c r="E12" i="4"/>
  <c r="D12" i="4"/>
  <c r="C12" i="4"/>
  <c r="F10" i="4"/>
  <c r="E10" i="4"/>
  <c r="D10" i="4"/>
  <c r="C10" i="4"/>
  <c r="O7" i="5" l="1"/>
  <c r="N7" i="5"/>
  <c r="M7" i="5"/>
  <c r="L7" i="5"/>
  <c r="E7" i="5"/>
  <c r="F7" i="4" l="1"/>
  <c r="E7" i="4"/>
  <c r="D7" i="4"/>
  <c r="C7" i="4"/>
  <c r="B63" i="1" l="1"/>
  <c r="B7" i="1" l="1"/>
  <c r="B5" i="1" l="1"/>
  <c r="B61" i="1" l="1"/>
  <c r="B57" i="1"/>
  <c r="S6" i="1" s="1"/>
  <c r="L8" i="5" s="1"/>
  <c r="E18" i="5" l="1"/>
  <c r="E12" i="5"/>
  <c r="V6" i="1"/>
  <c r="O8" i="5" s="1"/>
  <c r="U6" i="1"/>
  <c r="N8" i="5" s="1"/>
  <c r="T6" i="1"/>
  <c r="M8" i="5" s="1"/>
  <c r="B55" i="1"/>
  <c r="B54" i="1"/>
  <c r="B53" i="1"/>
  <c r="B17" i="1"/>
  <c r="H12" i="5" l="1"/>
  <c r="H13" i="5" s="1"/>
  <c r="F12" i="5"/>
  <c r="F13" i="5" s="1"/>
  <c r="G12" i="5"/>
  <c r="G13" i="5" s="1"/>
  <c r="B8" i="1"/>
  <c r="B18" i="1" l="1"/>
  <c r="B14" i="1"/>
  <c r="B13" i="1"/>
  <c r="B12" i="1"/>
  <c r="B6" i="1"/>
  <c r="B4" i="1"/>
  <c r="I24" i="1" l="1"/>
  <c r="J29" i="2" l="1"/>
  <c r="H12" i="3"/>
  <c r="R7" i="2" l="1"/>
  <c r="AS23" i="2" l="1"/>
  <c r="AP23" i="2"/>
  <c r="AM23" i="2"/>
  <c r="AJ23" i="2"/>
  <c r="AG23" i="2"/>
  <c r="AD23" i="2"/>
  <c r="AA23" i="2"/>
  <c r="X23" i="2"/>
  <c r="U23" i="2"/>
  <c r="R23" i="2"/>
  <c r="J29" i="3"/>
  <c r="H13" i="3"/>
  <c r="H11" i="3"/>
  <c r="H11" i="2"/>
  <c r="H10" i="2"/>
  <c r="H9" i="2"/>
  <c r="R11" i="2" l="1"/>
  <c r="R9" i="2"/>
  <c r="R6" i="2"/>
  <c r="M17" i="2" s="1"/>
  <c r="R10" i="2"/>
  <c r="R8" i="2"/>
  <c r="M18" i="2" l="1"/>
  <c r="J21" i="2"/>
  <c r="J21" i="3"/>
  <c r="J25" i="2"/>
  <c r="R33" i="2"/>
  <c r="J25" i="3"/>
  <c r="R12" i="2"/>
  <c r="R14" i="2"/>
  <c r="R15" i="2" s="1"/>
  <c r="R13" i="2"/>
  <c r="M19" i="2" l="1"/>
  <c r="C45" i="3" s="1"/>
  <c r="R47" i="2"/>
  <c r="T45" i="2"/>
  <c r="R16" i="2"/>
  <c r="R17" i="2" s="1"/>
  <c r="R19" i="2" s="1"/>
  <c r="R18" i="2"/>
  <c r="R35" i="2" s="1"/>
  <c r="R37" i="2" s="1"/>
  <c r="Q45" i="3" l="1"/>
  <c r="L45" i="3"/>
  <c r="H45" i="3"/>
  <c r="U45" i="3"/>
  <c r="O45" i="3"/>
  <c r="F45" i="3"/>
  <c r="R45" i="3"/>
  <c r="E45" i="3"/>
  <c r="N45" i="3"/>
  <c r="P45" i="3"/>
  <c r="S45" i="3"/>
  <c r="D45" i="3"/>
  <c r="I45" i="3"/>
  <c r="M45" i="3"/>
  <c r="K45" i="3"/>
  <c r="G45" i="3"/>
  <c r="T45" i="3"/>
  <c r="J45" i="3"/>
  <c r="W40" i="3"/>
  <c r="X40" i="3" s="1"/>
  <c r="R36" i="2"/>
  <c r="R38" i="2" s="1"/>
  <c r="R39" i="2" s="1"/>
  <c r="T59" i="2"/>
  <c r="R50" i="2"/>
  <c r="R61" i="2"/>
  <c r="R49" i="2"/>
  <c r="E44" i="1"/>
  <c r="D44" i="1"/>
  <c r="C44" i="1"/>
  <c r="B44" i="1"/>
  <c r="D21" i="1" l="1"/>
  <c r="R51" i="2"/>
  <c r="R63" i="2"/>
  <c r="R75" i="2"/>
  <c r="R64" i="2"/>
  <c r="T73" i="2"/>
  <c r="R52" i="2"/>
  <c r="V416" i="1"/>
  <c r="U416" i="1"/>
  <c r="T416" i="1"/>
  <c r="S416" i="1"/>
  <c r="V415" i="1"/>
  <c r="U415" i="1"/>
  <c r="T415" i="1"/>
  <c r="V409" i="1"/>
  <c r="V410" i="1" s="1"/>
  <c r="U409" i="1"/>
  <c r="U410" i="1" s="1"/>
  <c r="T409" i="1"/>
  <c r="T410" i="1" s="1"/>
  <c r="V398" i="1"/>
  <c r="U398" i="1"/>
  <c r="T398" i="1"/>
  <c r="S415" i="1"/>
  <c r="S414" i="1"/>
  <c r="S409" i="1"/>
  <c r="S410" i="1" s="1"/>
  <c r="S400" i="1"/>
  <c r="S398" i="1"/>
  <c r="V399" i="1"/>
  <c r="U399" i="1"/>
  <c r="T399" i="1"/>
  <c r="S399" i="1" l="1"/>
  <c r="S417" i="1" s="1"/>
  <c r="S418" i="1" s="1"/>
  <c r="D19" i="1" s="1"/>
  <c r="E13" i="5"/>
  <c r="R65" i="2"/>
  <c r="R66" i="2"/>
  <c r="R53" i="2"/>
  <c r="R89" i="2"/>
  <c r="R77" i="2"/>
  <c r="R79" i="2" s="1"/>
  <c r="T87" i="2"/>
  <c r="R78" i="2"/>
  <c r="U417" i="1"/>
  <c r="U418" i="1" s="1"/>
  <c r="F19" i="1" s="1"/>
  <c r="T417" i="1"/>
  <c r="T418" i="1" s="1"/>
  <c r="E19" i="1" s="1"/>
  <c r="V417" i="1"/>
  <c r="V418" i="1" s="1"/>
  <c r="G19" i="1" s="1"/>
  <c r="S20" i="1"/>
  <c r="S4" i="1"/>
  <c r="S407" i="1" s="1"/>
  <c r="T4" i="1"/>
  <c r="T407" i="1" s="1"/>
  <c r="U4" i="1"/>
  <c r="U407" i="1" s="1"/>
  <c r="V4" i="1"/>
  <c r="V407" i="1" s="1"/>
  <c r="S5" i="1"/>
  <c r="T5" i="1"/>
  <c r="U5" i="1"/>
  <c r="V5" i="1"/>
  <c r="S18" i="1"/>
  <c r="S19" i="1"/>
  <c r="S21" i="1"/>
  <c r="S9" i="1" l="1"/>
  <c r="S10" i="1" s="1"/>
  <c r="R80" i="2"/>
  <c r="R81" i="2" s="1"/>
  <c r="R91" i="2"/>
  <c r="R92" i="2"/>
  <c r="R103" i="2"/>
  <c r="T101" i="2"/>
  <c r="R67" i="2"/>
  <c r="V404" i="1"/>
  <c r="V408" i="1" s="1"/>
  <c r="V405" i="1"/>
  <c r="V406" i="1"/>
  <c r="U406" i="1"/>
  <c r="U404" i="1"/>
  <c r="U408" i="1" s="1"/>
  <c r="U405" i="1"/>
  <c r="T404" i="1"/>
  <c r="T408" i="1" s="1"/>
  <c r="T406" i="1"/>
  <c r="T405" i="1"/>
  <c r="S405" i="1"/>
  <c r="S404" i="1"/>
  <c r="S408" i="1" s="1"/>
  <c r="S406" i="1"/>
  <c r="V11" i="1"/>
  <c r="T11" i="1"/>
  <c r="U11" i="1"/>
  <c r="S11" i="1"/>
  <c r="S22" i="1"/>
  <c r="T12" i="1"/>
  <c r="U12" i="1"/>
  <c r="T9" i="1"/>
  <c r="T10" i="1" s="1"/>
  <c r="S23" i="1"/>
  <c r="V12" i="1"/>
  <c r="U9" i="1"/>
  <c r="U10" i="1" s="1"/>
  <c r="S12" i="1"/>
  <c r="V9" i="1"/>
  <c r="V10" i="1" s="1"/>
  <c r="R27" i="2" l="1"/>
  <c r="AP27" i="2"/>
  <c r="AP29" i="2" s="1"/>
  <c r="AG27" i="2"/>
  <c r="AG29" i="2" s="1"/>
  <c r="AD27" i="2"/>
  <c r="AD29" i="2" s="1"/>
  <c r="AM27" i="2"/>
  <c r="AM29" i="2" s="1"/>
  <c r="U27" i="2"/>
  <c r="U29" i="2" s="1"/>
  <c r="AA27" i="2"/>
  <c r="AA29" i="2" s="1"/>
  <c r="AJ27" i="2"/>
  <c r="AJ29" i="2" s="1"/>
  <c r="AS27" i="2"/>
  <c r="AS29" i="2" s="1"/>
  <c r="X27" i="2"/>
  <c r="X29" i="2" s="1"/>
  <c r="S13" i="1"/>
  <c r="S26" i="1" s="1"/>
  <c r="R106" i="2"/>
  <c r="R105" i="2"/>
  <c r="R117" i="2"/>
  <c r="T115" i="2"/>
  <c r="R93" i="2"/>
  <c r="R94" i="2"/>
  <c r="V13" i="1"/>
  <c r="V26" i="1" s="1"/>
  <c r="V27" i="1" s="1"/>
  <c r="T13" i="1"/>
  <c r="T26" i="1" s="1"/>
  <c r="T27" i="1" s="1"/>
  <c r="U13" i="1"/>
  <c r="U26" i="1" s="1"/>
  <c r="U27" i="1" s="1"/>
  <c r="U5601" i="2" l="1"/>
  <c r="U5545" i="2"/>
  <c r="U5489" i="2"/>
  <c r="U5433" i="2"/>
  <c r="U5377" i="2"/>
  <c r="U5321" i="2"/>
  <c r="U5265" i="2"/>
  <c r="U5209" i="2"/>
  <c r="U5153" i="2"/>
  <c r="U5097" i="2"/>
  <c r="U5041" i="2"/>
  <c r="U4985" i="2"/>
  <c r="U4929" i="2"/>
  <c r="U4873" i="2"/>
  <c r="U4817" i="2"/>
  <c r="U4761" i="2"/>
  <c r="U4705" i="2"/>
  <c r="U4649" i="2"/>
  <c r="U4593" i="2"/>
  <c r="U4537" i="2"/>
  <c r="U4481" i="2"/>
  <c r="U4425" i="2"/>
  <c r="U4369" i="2"/>
  <c r="U4313" i="2"/>
  <c r="U4257" i="2"/>
  <c r="U4201" i="2"/>
  <c r="U4145" i="2"/>
  <c r="U4089" i="2"/>
  <c r="U4033" i="2"/>
  <c r="U3977" i="2"/>
  <c r="U3921" i="2"/>
  <c r="U3865" i="2"/>
  <c r="U3809" i="2"/>
  <c r="U3753" i="2"/>
  <c r="U3697" i="2"/>
  <c r="U3641" i="2"/>
  <c r="U3585" i="2"/>
  <c r="U3529" i="2"/>
  <c r="U3473" i="2"/>
  <c r="U3417" i="2"/>
  <c r="U3361" i="2"/>
  <c r="U3305" i="2"/>
  <c r="U3249" i="2"/>
  <c r="U3193" i="2"/>
  <c r="U3137" i="2"/>
  <c r="U3081" i="2"/>
  <c r="U3025" i="2"/>
  <c r="U2969" i="2"/>
  <c r="U2913" i="2"/>
  <c r="U2857" i="2"/>
  <c r="U2801" i="2"/>
  <c r="U2745" i="2"/>
  <c r="U2689" i="2"/>
  <c r="U2633" i="2"/>
  <c r="U2577" i="2"/>
  <c r="U2521" i="2"/>
  <c r="U2465" i="2"/>
  <c r="U2409" i="2"/>
  <c r="U2353" i="2"/>
  <c r="U2297" i="2"/>
  <c r="U2241" i="2"/>
  <c r="U2185" i="2"/>
  <c r="U2129" i="2"/>
  <c r="U2073" i="2"/>
  <c r="U2017" i="2"/>
  <c r="U1961" i="2"/>
  <c r="U1905" i="2"/>
  <c r="U1849" i="2"/>
  <c r="U5615" i="2"/>
  <c r="U5559" i="2"/>
  <c r="U5503" i="2"/>
  <c r="U5447" i="2"/>
  <c r="U5391" i="2"/>
  <c r="U5335" i="2"/>
  <c r="U5279" i="2"/>
  <c r="U5223" i="2"/>
  <c r="U5167" i="2"/>
  <c r="U5111" i="2"/>
  <c r="U5055" i="2"/>
  <c r="U4999" i="2"/>
  <c r="U4943" i="2"/>
  <c r="U4887" i="2"/>
  <c r="U4831" i="2"/>
  <c r="U4775" i="2"/>
  <c r="U4719" i="2"/>
  <c r="U4663" i="2"/>
  <c r="U4607" i="2"/>
  <c r="U4551" i="2"/>
  <c r="U4495" i="2"/>
  <c r="U4439" i="2"/>
  <c r="U4383" i="2"/>
  <c r="U4327" i="2"/>
  <c r="U4271" i="2"/>
  <c r="U4215" i="2"/>
  <c r="U4159" i="2"/>
  <c r="U4103" i="2"/>
  <c r="U4047" i="2"/>
  <c r="U3991" i="2"/>
  <c r="U3935" i="2"/>
  <c r="U3879" i="2"/>
  <c r="U3823" i="2"/>
  <c r="U3767" i="2"/>
  <c r="U3711" i="2"/>
  <c r="U3655" i="2"/>
  <c r="U3599" i="2"/>
  <c r="U3543" i="2"/>
  <c r="U3487" i="2"/>
  <c r="U3431" i="2"/>
  <c r="U3375" i="2"/>
  <c r="U3319" i="2"/>
  <c r="U3263" i="2"/>
  <c r="U3207" i="2"/>
  <c r="U3151" i="2"/>
  <c r="U3095" i="2"/>
  <c r="U3039" i="2"/>
  <c r="U2983" i="2"/>
  <c r="U2927" i="2"/>
  <c r="U2871" i="2"/>
  <c r="U2815" i="2"/>
  <c r="U2759" i="2"/>
  <c r="U2703" i="2"/>
  <c r="U2647" i="2"/>
  <c r="U2591" i="2"/>
  <c r="U2535" i="2"/>
  <c r="U2479" i="2"/>
  <c r="U2423" i="2"/>
  <c r="U2367" i="2"/>
  <c r="U2311" i="2"/>
  <c r="U2255" i="2"/>
  <c r="U2199" i="2"/>
  <c r="U2143" i="2"/>
  <c r="U2087" i="2"/>
  <c r="U2031" i="2"/>
  <c r="U1975" i="2"/>
  <c r="U1919" i="2"/>
  <c r="U1863" i="2"/>
  <c r="U5629" i="2"/>
  <c r="U5573" i="2"/>
  <c r="U5517" i="2"/>
  <c r="U5461" i="2"/>
  <c r="U5405" i="2"/>
  <c r="U5349" i="2"/>
  <c r="U5293" i="2"/>
  <c r="U5237" i="2"/>
  <c r="U5181" i="2"/>
  <c r="U5125" i="2"/>
  <c r="U5069" i="2"/>
  <c r="U5013" i="2"/>
  <c r="U4957" i="2"/>
  <c r="U4901" i="2"/>
  <c r="U4845" i="2"/>
  <c r="U4789" i="2"/>
  <c r="U4733" i="2"/>
  <c r="U4677" i="2"/>
  <c r="U4621" i="2"/>
  <c r="U4565" i="2"/>
  <c r="U4509" i="2"/>
  <c r="U4453" i="2"/>
  <c r="U4397" i="2"/>
  <c r="U4341" i="2"/>
  <c r="U4285" i="2"/>
  <c r="U4229" i="2"/>
  <c r="U4173" i="2"/>
  <c r="U4117" i="2"/>
  <c r="U4061" i="2"/>
  <c r="U4005" i="2"/>
  <c r="U3949" i="2"/>
  <c r="U3893" i="2"/>
  <c r="U3837" i="2"/>
  <c r="U3781" i="2"/>
  <c r="U3725" i="2"/>
  <c r="U3669" i="2"/>
  <c r="U3613" i="2"/>
  <c r="U3557" i="2"/>
  <c r="U3501" i="2"/>
  <c r="U3445" i="2"/>
  <c r="U3389" i="2"/>
  <c r="U3333" i="2"/>
  <c r="U3277" i="2"/>
  <c r="U3221" i="2"/>
  <c r="U3165" i="2"/>
  <c r="U3109" i="2"/>
  <c r="U3053" i="2"/>
  <c r="U2997" i="2"/>
  <c r="U2941" i="2"/>
  <c r="U2885" i="2"/>
  <c r="U2829" i="2"/>
  <c r="U2773" i="2"/>
  <c r="U2717" i="2"/>
  <c r="U2661" i="2"/>
  <c r="U2605" i="2"/>
  <c r="U2549" i="2"/>
  <c r="U2493" i="2"/>
  <c r="U2437" i="2"/>
  <c r="U2381" i="2"/>
  <c r="U2325" i="2"/>
  <c r="U2269" i="2"/>
  <c r="U2213" i="2"/>
  <c r="U2157" i="2"/>
  <c r="U2101" i="2"/>
  <c r="U2045" i="2"/>
  <c r="U1989" i="2"/>
  <c r="U1933" i="2"/>
  <c r="U1877" i="2"/>
  <c r="U5587" i="2"/>
  <c r="U5531" i="2"/>
  <c r="U5475" i="2"/>
  <c r="U5419" i="2"/>
  <c r="U5363" i="2"/>
  <c r="U5307" i="2"/>
  <c r="U5251" i="2"/>
  <c r="U5195" i="2"/>
  <c r="U5139" i="2"/>
  <c r="U5083" i="2"/>
  <c r="U5027" i="2"/>
  <c r="U4971" i="2"/>
  <c r="U4915" i="2"/>
  <c r="U4859" i="2"/>
  <c r="U4803" i="2"/>
  <c r="U4747" i="2"/>
  <c r="U4691" i="2"/>
  <c r="U4635" i="2"/>
  <c r="U4579" i="2"/>
  <c r="U4523" i="2"/>
  <c r="U4467" i="2"/>
  <c r="U4411" i="2"/>
  <c r="U4355" i="2"/>
  <c r="U4299" i="2"/>
  <c r="U4243" i="2"/>
  <c r="U4187" i="2"/>
  <c r="U4131" i="2"/>
  <c r="U4075" i="2"/>
  <c r="U4019" i="2"/>
  <c r="U3963" i="2"/>
  <c r="U3907" i="2"/>
  <c r="U3851" i="2"/>
  <c r="U3795" i="2"/>
  <c r="U3739" i="2"/>
  <c r="U3683" i="2"/>
  <c r="U3627" i="2"/>
  <c r="U3571" i="2"/>
  <c r="U3515" i="2"/>
  <c r="U3459" i="2"/>
  <c r="U3403" i="2"/>
  <c r="U3347" i="2"/>
  <c r="U3291" i="2"/>
  <c r="U3235" i="2"/>
  <c r="U3179" i="2"/>
  <c r="U3123" i="2"/>
  <c r="U3067" i="2"/>
  <c r="U3011" i="2"/>
  <c r="U2955" i="2"/>
  <c r="U2899" i="2"/>
  <c r="U2843" i="2"/>
  <c r="U2787" i="2"/>
  <c r="U2731" i="2"/>
  <c r="U2675" i="2"/>
  <c r="U2619" i="2"/>
  <c r="U2563" i="2"/>
  <c r="U2507" i="2"/>
  <c r="U2451" i="2"/>
  <c r="U2395" i="2"/>
  <c r="U2339" i="2"/>
  <c r="U2283" i="2"/>
  <c r="U2227" i="2"/>
  <c r="U2171" i="2"/>
  <c r="U2115" i="2"/>
  <c r="U2059" i="2"/>
  <c r="U2003" i="2"/>
  <c r="U1947" i="2"/>
  <c r="U1891" i="2"/>
  <c r="U1835" i="2"/>
  <c r="U1779" i="2"/>
  <c r="U1723" i="2"/>
  <c r="U1667" i="2"/>
  <c r="U1611" i="2"/>
  <c r="U1793" i="2"/>
  <c r="U1737" i="2"/>
  <c r="U1681" i="2"/>
  <c r="U1625" i="2"/>
  <c r="U1807" i="2"/>
  <c r="U1751" i="2"/>
  <c r="U1695" i="2"/>
  <c r="U1639" i="2"/>
  <c r="U1821" i="2"/>
  <c r="U1765" i="2"/>
  <c r="U1709" i="2"/>
  <c r="U1653" i="2"/>
  <c r="U1597" i="2"/>
  <c r="U1373" i="2"/>
  <c r="U1149" i="2"/>
  <c r="U925" i="2"/>
  <c r="U701" i="2"/>
  <c r="U477" i="2"/>
  <c r="U253" i="2"/>
  <c r="U743" i="2"/>
  <c r="U239" i="2"/>
  <c r="U1443" i="2"/>
  <c r="U1219" i="2"/>
  <c r="U995" i="2"/>
  <c r="U771" i="2"/>
  <c r="U547" i="2"/>
  <c r="U323" i="2"/>
  <c r="U99" i="2"/>
  <c r="U1457" i="2"/>
  <c r="U1233" i="2"/>
  <c r="U1009" i="2"/>
  <c r="U785" i="2"/>
  <c r="U561" i="2"/>
  <c r="U337" i="2"/>
  <c r="U113" i="2"/>
  <c r="U1471" i="2"/>
  <c r="U1247" i="2"/>
  <c r="U1023" i="2"/>
  <c r="U799" i="2"/>
  <c r="U351" i="2"/>
  <c r="U365" i="2"/>
  <c r="U1121" i="2"/>
  <c r="U1429" i="2"/>
  <c r="U1205" i="2"/>
  <c r="U981" i="2"/>
  <c r="U757" i="2"/>
  <c r="U533" i="2"/>
  <c r="U309" i="2"/>
  <c r="U85" i="2"/>
  <c r="U407" i="2"/>
  <c r="U1499" i="2"/>
  <c r="U1275" i="2"/>
  <c r="U1051" i="2"/>
  <c r="U827" i="2"/>
  <c r="U603" i="2"/>
  <c r="U379" i="2"/>
  <c r="U155" i="2"/>
  <c r="U1513" i="2"/>
  <c r="U1289" i="2"/>
  <c r="U1065" i="2"/>
  <c r="U841" i="2"/>
  <c r="U617" i="2"/>
  <c r="U393" i="2"/>
  <c r="U169" i="2"/>
  <c r="U1527" i="2"/>
  <c r="U1303" i="2"/>
  <c r="U1079" i="2"/>
  <c r="U855" i="2"/>
  <c r="U463" i="2"/>
  <c r="U71" i="2"/>
  <c r="U1261" i="2"/>
  <c r="U813" i="2"/>
  <c r="U141" i="2"/>
  <c r="U1555" i="2"/>
  <c r="U1107" i="2"/>
  <c r="U659" i="2"/>
  <c r="U211" i="2"/>
  <c r="U1345" i="2"/>
  <c r="U673" i="2"/>
  <c r="U225" i="2"/>
  <c r="U1359" i="2"/>
  <c r="U911" i="2"/>
  <c r="U183" i="2"/>
  <c r="U1541" i="2"/>
  <c r="U1317" i="2"/>
  <c r="U1093" i="2"/>
  <c r="U869" i="2"/>
  <c r="U645" i="2"/>
  <c r="U421" i="2"/>
  <c r="U197" i="2"/>
  <c r="U631" i="2"/>
  <c r="U127" i="2"/>
  <c r="U1387" i="2"/>
  <c r="U1163" i="2"/>
  <c r="U939" i="2"/>
  <c r="U715" i="2"/>
  <c r="U491" i="2"/>
  <c r="U267" i="2"/>
  <c r="U43" i="2"/>
  <c r="U1401" i="2"/>
  <c r="U1177" i="2"/>
  <c r="U953" i="2"/>
  <c r="U729" i="2"/>
  <c r="U505" i="2"/>
  <c r="U281" i="2"/>
  <c r="U57" i="2"/>
  <c r="U1415" i="2"/>
  <c r="U1191" i="2"/>
  <c r="U967" i="2"/>
  <c r="U687" i="2"/>
  <c r="U295" i="2"/>
  <c r="U1485" i="2"/>
  <c r="U1037" i="2"/>
  <c r="U589" i="2"/>
  <c r="U519" i="2"/>
  <c r="U1331" i="2"/>
  <c r="U883" i="2"/>
  <c r="U435" i="2"/>
  <c r="U1569" i="2"/>
  <c r="U897" i="2"/>
  <c r="U449" i="2"/>
  <c r="U1583" i="2"/>
  <c r="U1135" i="2"/>
  <c r="U575" i="2"/>
  <c r="AS5433" i="2"/>
  <c r="AS5209" i="2"/>
  <c r="AS4985" i="2"/>
  <c r="AS4761" i="2"/>
  <c r="AS4537" i="2"/>
  <c r="AS4313" i="2"/>
  <c r="AS4089" i="2"/>
  <c r="AS3865" i="2"/>
  <c r="AS3641" i="2"/>
  <c r="AS3417" i="2"/>
  <c r="AS3193" i="2"/>
  <c r="AS2969" i="2"/>
  <c r="AS2745" i="2"/>
  <c r="AS2521" i="2"/>
  <c r="AS2297" i="2"/>
  <c r="AS2073" i="2"/>
  <c r="AS1849" i="2"/>
  <c r="AS1625" i="2"/>
  <c r="AS1401" i="2"/>
  <c r="AS1177" i="2"/>
  <c r="AS953" i="2"/>
  <c r="AS729" i="2"/>
  <c r="AS505" i="2"/>
  <c r="AS281" i="2"/>
  <c r="AS57" i="2"/>
  <c r="AS5181" i="2"/>
  <c r="AS4733" i="2"/>
  <c r="AS4285" i="2"/>
  <c r="AS3837" i="2"/>
  <c r="AS3389" i="2"/>
  <c r="AS2941" i="2"/>
  <c r="AS2493" i="2"/>
  <c r="AS2045" i="2"/>
  <c r="AS1597" i="2"/>
  <c r="AS1149" i="2"/>
  <c r="AS701" i="2"/>
  <c r="AS253" i="2"/>
  <c r="AS5307" i="2"/>
  <c r="AS4859" i="2"/>
  <c r="AS4467" i="2"/>
  <c r="AS4019" i="2"/>
  <c r="AS3571" i="2"/>
  <c r="AS3123" i="2"/>
  <c r="AS2675" i="2"/>
  <c r="AS2227" i="2"/>
  <c r="AS1779" i="2"/>
  <c r="AS1331" i="2"/>
  <c r="AS883" i="2"/>
  <c r="AS435" i="2"/>
  <c r="AS5615" i="2"/>
  <c r="AS5391" i="2"/>
  <c r="AS5167" i="2"/>
  <c r="AS4943" i="2"/>
  <c r="AS4719" i="2"/>
  <c r="AS4495" i="2"/>
  <c r="AS4271" i="2"/>
  <c r="AS4047" i="2"/>
  <c r="AS3823" i="2"/>
  <c r="AS3599" i="2"/>
  <c r="AS3375" i="2"/>
  <c r="AS3151" i="2"/>
  <c r="AS2927" i="2"/>
  <c r="AS2703" i="2"/>
  <c r="AS2479" i="2"/>
  <c r="AS2255" i="2"/>
  <c r="AS2031" i="2"/>
  <c r="AS1807" i="2"/>
  <c r="AS1583" i="2"/>
  <c r="AS1359" i="2"/>
  <c r="AS1135" i="2"/>
  <c r="AS911" i="2"/>
  <c r="AS687" i="2"/>
  <c r="AS463" i="2"/>
  <c r="AS239" i="2"/>
  <c r="AS5629" i="2"/>
  <c r="AS5237" i="2"/>
  <c r="AS4789" i="2"/>
  <c r="AS4341" i="2"/>
  <c r="AS3893" i="2"/>
  <c r="AS3445" i="2"/>
  <c r="AS2997" i="2"/>
  <c r="AS2549" i="2"/>
  <c r="AS2101" i="2"/>
  <c r="AS1653" i="2"/>
  <c r="AS1205" i="2"/>
  <c r="AS757" i="2"/>
  <c r="AS309" i="2"/>
  <c r="AS5475" i="2"/>
  <c r="AS5027" i="2"/>
  <c r="AS4523" i="2"/>
  <c r="AS4075" i="2"/>
  <c r="AS3627" i="2"/>
  <c r="AS3179" i="2"/>
  <c r="AS2731" i="2"/>
  <c r="AS2283" i="2"/>
  <c r="AS1835" i="2"/>
  <c r="AS1387" i="2"/>
  <c r="AS939" i="2"/>
  <c r="AS491" i="2"/>
  <c r="AS43" i="2"/>
  <c r="AS5545" i="2"/>
  <c r="AS5279" i="2"/>
  <c r="AS127" i="2"/>
  <c r="AS3851" i="2"/>
  <c r="AS5489" i="2"/>
  <c r="AS5265" i="2"/>
  <c r="AS5041" i="2"/>
  <c r="AS4817" i="2"/>
  <c r="AS4593" i="2"/>
  <c r="AS4369" i="2"/>
  <c r="AS4145" i="2"/>
  <c r="AS3921" i="2"/>
  <c r="AS3697" i="2"/>
  <c r="AS3473" i="2"/>
  <c r="AS3249" i="2"/>
  <c r="AS3025" i="2"/>
  <c r="AS2801" i="2"/>
  <c r="AS2577" i="2"/>
  <c r="AS2353" i="2"/>
  <c r="AS2129" i="2"/>
  <c r="AS1905" i="2"/>
  <c r="AS1681" i="2"/>
  <c r="AS1457" i="2"/>
  <c r="AS1233" i="2"/>
  <c r="AS1009" i="2"/>
  <c r="AS785" i="2"/>
  <c r="AS561" i="2"/>
  <c r="AS337" i="2"/>
  <c r="AS113" i="2"/>
  <c r="AS5293" i="2"/>
  <c r="AS4845" i="2"/>
  <c r="AS4397" i="2"/>
  <c r="AS3949" i="2"/>
  <c r="AS3501" i="2"/>
  <c r="AS3053" i="2"/>
  <c r="AS2605" i="2"/>
  <c r="AS2157" i="2"/>
  <c r="AS1709" i="2"/>
  <c r="AS1261" i="2"/>
  <c r="AS813" i="2"/>
  <c r="AS365" i="2"/>
  <c r="AS5419" i="2"/>
  <c r="AS4971" i="2"/>
  <c r="AS4579" i="2"/>
  <c r="AS4131" i="2"/>
  <c r="AS3683" i="2"/>
  <c r="AS3235" i="2"/>
  <c r="AS2787" i="2"/>
  <c r="AS2339" i="2"/>
  <c r="AS1891" i="2"/>
  <c r="AS1443" i="2"/>
  <c r="AS995" i="2"/>
  <c r="AS547" i="2"/>
  <c r="AS99" i="2"/>
  <c r="AS5447" i="2"/>
  <c r="AS5223" i="2"/>
  <c r="AS4999" i="2"/>
  <c r="AS4775" i="2"/>
  <c r="AS4551" i="2"/>
  <c r="AS4327" i="2"/>
  <c r="AS4103" i="2"/>
  <c r="AS3879" i="2"/>
  <c r="AS3655" i="2"/>
  <c r="AS3431" i="2"/>
  <c r="AS3207" i="2"/>
  <c r="AS2983" i="2"/>
  <c r="AS2759" i="2"/>
  <c r="AS2535" i="2"/>
  <c r="AS2311" i="2"/>
  <c r="AS2087" i="2"/>
  <c r="AS1863" i="2"/>
  <c r="AS1639" i="2"/>
  <c r="AS1415" i="2"/>
  <c r="AS1191" i="2"/>
  <c r="AS967" i="2"/>
  <c r="AS743" i="2"/>
  <c r="AS519" i="2"/>
  <c r="AS295" i="2"/>
  <c r="AS71" i="2"/>
  <c r="AS5349" i="2"/>
  <c r="AS4901" i="2"/>
  <c r="AS4453" i="2"/>
  <c r="AS4005" i="2"/>
  <c r="AS3557" i="2"/>
  <c r="AS3109" i="2"/>
  <c r="AS2661" i="2"/>
  <c r="AS2213" i="2"/>
  <c r="AS1765" i="2"/>
  <c r="AS1317" i="2"/>
  <c r="AS869" i="2"/>
  <c r="AS421" i="2"/>
  <c r="AS5587" i="2"/>
  <c r="AS5139" i="2"/>
  <c r="AS4635" i="2"/>
  <c r="AS4187" i="2"/>
  <c r="AS3739" i="2"/>
  <c r="AS3291" i="2"/>
  <c r="AS2843" i="2"/>
  <c r="AS2395" i="2"/>
  <c r="AS1947" i="2"/>
  <c r="AS1499" i="2"/>
  <c r="AS1051" i="2"/>
  <c r="AS603" i="2"/>
  <c r="AS155" i="2"/>
  <c r="AS5321" i="2"/>
  <c r="AS5097" i="2"/>
  <c r="AS4873" i="2"/>
  <c r="AS4649" i="2"/>
  <c r="AS4425" i="2"/>
  <c r="AS4201" i="2"/>
  <c r="AS3977" i="2"/>
  <c r="AS3529" i="2"/>
  <c r="AS3305" i="2"/>
  <c r="AS2857" i="2"/>
  <c r="AS2409" i="2"/>
  <c r="AS1961" i="2"/>
  <c r="AS1513" i="2"/>
  <c r="AS1065" i="2"/>
  <c r="AS617" i="2"/>
  <c r="AS169" i="2"/>
  <c r="AS4957" i="2"/>
  <c r="AS4061" i="2"/>
  <c r="AS3165" i="2"/>
  <c r="AS2269" i="2"/>
  <c r="AS1373" i="2"/>
  <c r="AS477" i="2"/>
  <c r="AS5083" i="2"/>
  <c r="AS4243" i="2"/>
  <c r="AS3347" i="2"/>
  <c r="AS2451" i="2"/>
  <c r="AS1555" i="2"/>
  <c r="AS659" i="2"/>
  <c r="AS5503" i="2"/>
  <c r="AS4831" i="2"/>
  <c r="AS4383" i="2"/>
  <c r="AS3935" i="2"/>
  <c r="AS3487" i="2"/>
  <c r="AS3039" i="2"/>
  <c r="AS2591" i="2"/>
  <c r="AS2143" i="2"/>
  <c r="AS1695" i="2"/>
  <c r="AS1247" i="2"/>
  <c r="AS799" i="2"/>
  <c r="AS351" i="2"/>
  <c r="AS5013" i="2"/>
  <c r="AS4117" i="2"/>
  <c r="AS3221" i="2"/>
  <c r="AS2325" i="2"/>
  <c r="AS1429" i="2"/>
  <c r="AS533" i="2"/>
  <c r="AS5251" i="2"/>
  <c r="AS4299" i="2"/>
  <c r="AS2955" i="2"/>
  <c r="AS2059" i="2"/>
  <c r="AS1163" i="2"/>
  <c r="AS267" i="2"/>
  <c r="AS5601" i="2"/>
  <c r="AS5377" i="2"/>
  <c r="AS5153" i="2"/>
  <c r="AS4929" i="2"/>
  <c r="AS4705" i="2"/>
  <c r="AS4481" i="2"/>
  <c r="AS4257" i="2"/>
  <c r="AS4033" i="2"/>
  <c r="AS3809" i="2"/>
  <c r="AS3585" i="2"/>
  <c r="AS3361" i="2"/>
  <c r="AS3137" i="2"/>
  <c r="AS2913" i="2"/>
  <c r="AS2689" i="2"/>
  <c r="AS2465" i="2"/>
  <c r="AS2241" i="2"/>
  <c r="AS2017" i="2"/>
  <c r="AS1793" i="2"/>
  <c r="AS1569" i="2"/>
  <c r="AS1345" i="2"/>
  <c r="AS1121" i="2"/>
  <c r="AS897" i="2"/>
  <c r="AS673" i="2"/>
  <c r="AS449" i="2"/>
  <c r="AS225" i="2"/>
  <c r="AS5573" i="2"/>
  <c r="AS5069" i="2"/>
  <c r="AS4621" i="2"/>
  <c r="AS4173" i="2"/>
  <c r="AS3725" i="2"/>
  <c r="AS3277" i="2"/>
  <c r="AS2829" i="2"/>
  <c r="AS2381" i="2"/>
  <c r="AS1933" i="2"/>
  <c r="AS1485" i="2"/>
  <c r="AS1037" i="2"/>
  <c r="AS589" i="2"/>
  <c r="AS141" i="2"/>
  <c r="AS5195" i="2"/>
  <c r="AS4747" i="2"/>
  <c r="AS4355" i="2"/>
  <c r="AS3907" i="2"/>
  <c r="AS3459" i="2"/>
  <c r="AS3011" i="2"/>
  <c r="AS2563" i="2"/>
  <c r="AS2115" i="2"/>
  <c r="AS1667" i="2"/>
  <c r="AS1219" i="2"/>
  <c r="AS771" i="2"/>
  <c r="AS323" i="2"/>
  <c r="AS5559" i="2"/>
  <c r="AS5335" i="2"/>
  <c r="AS5111" i="2"/>
  <c r="AS4887" i="2"/>
  <c r="AS4663" i="2"/>
  <c r="AS4439" i="2"/>
  <c r="AS4215" i="2"/>
  <c r="AS3991" i="2"/>
  <c r="AS3767" i="2"/>
  <c r="AS3543" i="2"/>
  <c r="AS3319" i="2"/>
  <c r="AS3095" i="2"/>
  <c r="AS2871" i="2"/>
  <c r="AS2647" i="2"/>
  <c r="AS2423" i="2"/>
  <c r="AS2199" i="2"/>
  <c r="AS1975" i="2"/>
  <c r="AS1751" i="2"/>
  <c r="AS1527" i="2"/>
  <c r="AS1303" i="2"/>
  <c r="AS1079" i="2"/>
  <c r="AS855" i="2"/>
  <c r="AS631" i="2"/>
  <c r="AS407" i="2"/>
  <c r="AS183" i="2"/>
  <c r="AS5517" i="2"/>
  <c r="AS5125" i="2"/>
  <c r="AS4677" i="2"/>
  <c r="AS4229" i="2"/>
  <c r="AS3781" i="2"/>
  <c r="AS3333" i="2"/>
  <c r="AS2885" i="2"/>
  <c r="AS2437" i="2"/>
  <c r="AS1989" i="2"/>
  <c r="AS1541" i="2"/>
  <c r="AS1093" i="2"/>
  <c r="AS645" i="2"/>
  <c r="AS197" i="2"/>
  <c r="AS5363" i="2"/>
  <c r="AS4915" i="2"/>
  <c r="AS4411" i="2"/>
  <c r="AS3963" i="2"/>
  <c r="AS3515" i="2"/>
  <c r="AS3067" i="2"/>
  <c r="AS2619" i="2"/>
  <c r="AS2171" i="2"/>
  <c r="AS1723" i="2"/>
  <c r="AS1275" i="2"/>
  <c r="AS827" i="2"/>
  <c r="AS379" i="2"/>
  <c r="AS3753" i="2"/>
  <c r="AS3081" i="2"/>
  <c r="AS2633" i="2"/>
  <c r="AS2185" i="2"/>
  <c r="AS1737" i="2"/>
  <c r="AS1289" i="2"/>
  <c r="AS841" i="2"/>
  <c r="AS393" i="2"/>
  <c r="AS5405" i="2"/>
  <c r="AS4509" i="2"/>
  <c r="AS3613" i="2"/>
  <c r="AS2717" i="2"/>
  <c r="AS1821" i="2"/>
  <c r="AS925" i="2"/>
  <c r="AS5531" i="2"/>
  <c r="AS4691" i="2"/>
  <c r="AS3795" i="2"/>
  <c r="AS2899" i="2"/>
  <c r="AS2003" i="2"/>
  <c r="AS1107" i="2"/>
  <c r="AS211" i="2"/>
  <c r="AS5055" i="2"/>
  <c r="AS4607" i="2"/>
  <c r="AS4159" i="2"/>
  <c r="AS3711" i="2"/>
  <c r="AS3263" i="2"/>
  <c r="AS2815" i="2"/>
  <c r="AS2367" i="2"/>
  <c r="AS1919" i="2"/>
  <c r="AS1471" i="2"/>
  <c r="AS1023" i="2"/>
  <c r="AS575" i="2"/>
  <c r="AS5461" i="2"/>
  <c r="AS4565" i="2"/>
  <c r="AS3669" i="2"/>
  <c r="AS2773" i="2"/>
  <c r="AS1877" i="2"/>
  <c r="AS981" i="2"/>
  <c r="AS85" i="2"/>
  <c r="AS4803" i="2"/>
  <c r="AS3403" i="2"/>
  <c r="AS2507" i="2"/>
  <c r="AS1611" i="2"/>
  <c r="AS715" i="2"/>
  <c r="AM5601" i="2"/>
  <c r="AM5545" i="2"/>
  <c r="AM5489" i="2"/>
  <c r="AM5433" i="2"/>
  <c r="AM5377" i="2"/>
  <c r="AM5321" i="2"/>
  <c r="AM5265" i="2"/>
  <c r="AM5209" i="2"/>
  <c r="AM5153" i="2"/>
  <c r="AM5097" i="2"/>
  <c r="AM5041" i="2"/>
  <c r="AM4985" i="2"/>
  <c r="AM4929" i="2"/>
  <c r="AM4873" i="2"/>
  <c r="AM4817" i="2"/>
  <c r="AM4761" i="2"/>
  <c r="AM4705" i="2"/>
  <c r="AM4649" i="2"/>
  <c r="AM4593" i="2"/>
  <c r="AM4537" i="2"/>
  <c r="AM4481" i="2"/>
  <c r="AM4425" i="2"/>
  <c r="AM4369" i="2"/>
  <c r="AM4313" i="2"/>
  <c r="AM4257" i="2"/>
  <c r="AM4201" i="2"/>
  <c r="AM4145" i="2"/>
  <c r="AM4089" i="2"/>
  <c r="AM4033" i="2"/>
  <c r="AM3977" i="2"/>
  <c r="AM3921" i="2"/>
  <c r="AM3865" i="2"/>
  <c r="AM3809" i="2"/>
  <c r="AM3753" i="2"/>
  <c r="AM3697" i="2"/>
  <c r="AM3641" i="2"/>
  <c r="AM3585" i="2"/>
  <c r="AM3529" i="2"/>
  <c r="AM3473" i="2"/>
  <c r="AM3417" i="2"/>
  <c r="AM3361" i="2"/>
  <c r="AM3305" i="2"/>
  <c r="AM3249" i="2"/>
  <c r="AM3193" i="2"/>
  <c r="AM3137" i="2"/>
  <c r="AM3081" i="2"/>
  <c r="AM3025" i="2"/>
  <c r="AM2969" i="2"/>
  <c r="AM2913" i="2"/>
  <c r="AM2857" i="2"/>
  <c r="AM2801" i="2"/>
  <c r="AM2745" i="2"/>
  <c r="AM2689" i="2"/>
  <c r="AM2633" i="2"/>
  <c r="AM2577" i="2"/>
  <c r="AM2521" i="2"/>
  <c r="AM2465" i="2"/>
  <c r="AM2409" i="2"/>
  <c r="AM2353" i="2"/>
  <c r="AM2297" i="2"/>
  <c r="AM2241" i="2"/>
  <c r="AM2185" i="2"/>
  <c r="AM2129" i="2"/>
  <c r="AM2073" i="2"/>
  <c r="AM2017" i="2"/>
  <c r="AM1961" i="2"/>
  <c r="AM1905" i="2"/>
  <c r="AM1849" i="2"/>
  <c r="AM1793" i="2"/>
  <c r="AM1737" i="2"/>
  <c r="AM1681" i="2"/>
  <c r="AM1625" i="2"/>
  <c r="AM1569" i="2"/>
  <c r="AM1513" i="2"/>
  <c r="AM1457" i="2"/>
  <c r="AM1401" i="2"/>
  <c r="AM1345" i="2"/>
  <c r="AM1289" i="2"/>
  <c r="AM1233" i="2"/>
  <c r="AM1177" i="2"/>
  <c r="AM1121" i="2"/>
  <c r="AM1065" i="2"/>
  <c r="AM1009" i="2"/>
  <c r="AM953" i="2"/>
  <c r="AM897" i="2"/>
  <c r="AM841" i="2"/>
  <c r="AM785" i="2"/>
  <c r="AM729" i="2"/>
  <c r="AM673" i="2"/>
  <c r="AM617" i="2"/>
  <c r="AM561" i="2"/>
  <c r="AM505" i="2"/>
  <c r="AM449" i="2"/>
  <c r="AM393" i="2"/>
  <c r="AM337" i="2"/>
  <c r="AM281" i="2"/>
  <c r="AM225" i="2"/>
  <c r="AM169" i="2"/>
  <c r="AM113" i="2"/>
  <c r="AM57" i="2"/>
  <c r="AM5615" i="2"/>
  <c r="AM5559" i="2"/>
  <c r="AM5503" i="2"/>
  <c r="AM5447" i="2"/>
  <c r="AM5391" i="2"/>
  <c r="AM5335" i="2"/>
  <c r="AM5279" i="2"/>
  <c r="AM5223" i="2"/>
  <c r="AM5167" i="2"/>
  <c r="AM5111" i="2"/>
  <c r="AM5055" i="2"/>
  <c r="AM4999" i="2"/>
  <c r="AM4943" i="2"/>
  <c r="AM4887" i="2"/>
  <c r="AM4831" i="2"/>
  <c r="AM4775" i="2"/>
  <c r="AM4719" i="2"/>
  <c r="AM4663" i="2"/>
  <c r="AM4607" i="2"/>
  <c r="AM4551" i="2"/>
  <c r="AM4495" i="2"/>
  <c r="AM4439" i="2"/>
  <c r="AM4383" i="2"/>
  <c r="AM4327" i="2"/>
  <c r="AM4271" i="2"/>
  <c r="AM4215" i="2"/>
  <c r="AM4159" i="2"/>
  <c r="AM4103" i="2"/>
  <c r="AM4047" i="2"/>
  <c r="AM3991" i="2"/>
  <c r="AM3935" i="2"/>
  <c r="AM3879" i="2"/>
  <c r="AM3823" i="2"/>
  <c r="AM3767" i="2"/>
  <c r="AM3711" i="2"/>
  <c r="AM3655" i="2"/>
  <c r="AM3599" i="2"/>
  <c r="AM3543" i="2"/>
  <c r="AM3487" i="2"/>
  <c r="AM3431" i="2"/>
  <c r="AM3375" i="2"/>
  <c r="AM3319" i="2"/>
  <c r="AM3263" i="2"/>
  <c r="AM3207" i="2"/>
  <c r="AM3151" i="2"/>
  <c r="AM3095" i="2"/>
  <c r="AM3039" i="2"/>
  <c r="AM2983" i="2"/>
  <c r="AM2927" i="2"/>
  <c r="AM2871" i="2"/>
  <c r="AM2815" i="2"/>
  <c r="AM2759" i="2"/>
  <c r="AM2703" i="2"/>
  <c r="AM2647" i="2"/>
  <c r="AM2591" i="2"/>
  <c r="AM2535" i="2"/>
  <c r="AM2479" i="2"/>
  <c r="AM2423" i="2"/>
  <c r="AM2367" i="2"/>
  <c r="AM2311" i="2"/>
  <c r="AM2255" i="2"/>
  <c r="AM2199" i="2"/>
  <c r="AM2143" i="2"/>
  <c r="AM2087" i="2"/>
  <c r="AM2031" i="2"/>
  <c r="AM1975" i="2"/>
  <c r="AM1919" i="2"/>
  <c r="AM1863" i="2"/>
  <c r="AM1807" i="2"/>
  <c r="AM1751" i="2"/>
  <c r="AM1695" i="2"/>
  <c r="AM1639" i="2"/>
  <c r="AM1583" i="2"/>
  <c r="AM1527" i="2"/>
  <c r="AM1471" i="2"/>
  <c r="AM1415" i="2"/>
  <c r="AM1359" i="2"/>
  <c r="AM1303" i="2"/>
  <c r="AM1247" i="2"/>
  <c r="AM1191" i="2"/>
  <c r="AM1135" i="2"/>
  <c r="AM1079" i="2"/>
  <c r="AM1023" i="2"/>
  <c r="AM967" i="2"/>
  <c r="AM911" i="2"/>
  <c r="AM855" i="2"/>
  <c r="AM799" i="2"/>
  <c r="AM743" i="2"/>
  <c r="AM687" i="2"/>
  <c r="AM631" i="2"/>
  <c r="AM575" i="2"/>
  <c r="AM519" i="2"/>
  <c r="AM463" i="2"/>
  <c r="AM407" i="2"/>
  <c r="AM351" i="2"/>
  <c r="AM295" i="2"/>
  <c r="AM239" i="2"/>
  <c r="AM183" i="2"/>
  <c r="AM127" i="2"/>
  <c r="AM71" i="2"/>
  <c r="AM5629" i="2"/>
  <c r="AM5573" i="2"/>
  <c r="AM5517" i="2"/>
  <c r="AM5461" i="2"/>
  <c r="AM5405" i="2"/>
  <c r="AM5349" i="2"/>
  <c r="AM5293" i="2"/>
  <c r="AM5237" i="2"/>
  <c r="AM5181" i="2"/>
  <c r="AM5125" i="2"/>
  <c r="AM5069" i="2"/>
  <c r="AM5013" i="2"/>
  <c r="AM4957" i="2"/>
  <c r="AM4901" i="2"/>
  <c r="AM4845" i="2"/>
  <c r="AM4789" i="2"/>
  <c r="AM4733" i="2"/>
  <c r="AM4677" i="2"/>
  <c r="AM4621" i="2"/>
  <c r="AM4565" i="2"/>
  <c r="AM4509" i="2"/>
  <c r="AM4453" i="2"/>
  <c r="AM4397" i="2"/>
  <c r="AM4341" i="2"/>
  <c r="AM4285" i="2"/>
  <c r="AM4229" i="2"/>
  <c r="AM4173" i="2"/>
  <c r="AM4117" i="2"/>
  <c r="AM4061" i="2"/>
  <c r="AM4005" i="2"/>
  <c r="AM3949" i="2"/>
  <c r="AM3893" i="2"/>
  <c r="AM3837" i="2"/>
  <c r="AM3781" i="2"/>
  <c r="AM3725" i="2"/>
  <c r="AM3669" i="2"/>
  <c r="AM3613" i="2"/>
  <c r="AM3557" i="2"/>
  <c r="AM3501" i="2"/>
  <c r="AM3445" i="2"/>
  <c r="AM3389" i="2"/>
  <c r="AM3333" i="2"/>
  <c r="AM3277" i="2"/>
  <c r="AM3221" i="2"/>
  <c r="AM3165" i="2"/>
  <c r="AM3109" i="2"/>
  <c r="AM3053" i="2"/>
  <c r="AM2997" i="2"/>
  <c r="AM2941" i="2"/>
  <c r="AM2885" i="2"/>
  <c r="AM2829" i="2"/>
  <c r="AM2773" i="2"/>
  <c r="AM2717" i="2"/>
  <c r="AM2661" i="2"/>
  <c r="AM2605" i="2"/>
  <c r="AM2549" i="2"/>
  <c r="AM2493" i="2"/>
  <c r="AM2437" i="2"/>
  <c r="AM2381" i="2"/>
  <c r="AM2325" i="2"/>
  <c r="AM2269" i="2"/>
  <c r="AM2213" i="2"/>
  <c r="AM2157" i="2"/>
  <c r="AM2101" i="2"/>
  <c r="AM2045" i="2"/>
  <c r="AM1989" i="2"/>
  <c r="AM1933" i="2"/>
  <c r="AM1877" i="2"/>
  <c r="AM1821" i="2"/>
  <c r="AM1765" i="2"/>
  <c r="AM1709" i="2"/>
  <c r="AM1653" i="2"/>
  <c r="AM1597" i="2"/>
  <c r="AM1541" i="2"/>
  <c r="AM1485" i="2"/>
  <c r="AM1429" i="2"/>
  <c r="AM1373" i="2"/>
  <c r="AM1317" i="2"/>
  <c r="AM1261" i="2"/>
  <c r="AM1205" i="2"/>
  <c r="AM1149" i="2"/>
  <c r="AM1093" i="2"/>
  <c r="AM1037" i="2"/>
  <c r="AM981" i="2"/>
  <c r="AM925" i="2"/>
  <c r="AM869" i="2"/>
  <c r="AM813" i="2"/>
  <c r="AM757" i="2"/>
  <c r="AM701" i="2"/>
  <c r="AM645" i="2"/>
  <c r="AM589" i="2"/>
  <c r="AM533" i="2"/>
  <c r="AM477" i="2"/>
  <c r="AM421" i="2"/>
  <c r="AM365" i="2"/>
  <c r="AM309" i="2"/>
  <c r="AM253" i="2"/>
  <c r="AM197" i="2"/>
  <c r="AM141" i="2"/>
  <c r="AM85" i="2"/>
  <c r="AM5587" i="2"/>
  <c r="AM5531" i="2"/>
  <c r="AM5475" i="2"/>
  <c r="AM5419" i="2"/>
  <c r="AM5363" i="2"/>
  <c r="AM5307" i="2"/>
  <c r="AM5251" i="2"/>
  <c r="AM5195" i="2"/>
  <c r="AM5139" i="2"/>
  <c r="AM5083" i="2"/>
  <c r="AM5027" i="2"/>
  <c r="AM4971" i="2"/>
  <c r="AM4915" i="2"/>
  <c r="AM4859" i="2"/>
  <c r="AM4803" i="2"/>
  <c r="AM4747" i="2"/>
  <c r="AM4691" i="2"/>
  <c r="AM4635" i="2"/>
  <c r="AM4579" i="2"/>
  <c r="AM4523" i="2"/>
  <c r="AM4467" i="2"/>
  <c r="AM4411" i="2"/>
  <c r="AM4355" i="2"/>
  <c r="AM4299" i="2"/>
  <c r="AM4243" i="2"/>
  <c r="AM4187" i="2"/>
  <c r="AM4131" i="2"/>
  <c r="AM4075" i="2"/>
  <c r="AM4019" i="2"/>
  <c r="AM3963" i="2"/>
  <c r="AM3907" i="2"/>
  <c r="AM3851" i="2"/>
  <c r="AM3795" i="2"/>
  <c r="AM3739" i="2"/>
  <c r="AM3683" i="2"/>
  <c r="AM3627" i="2"/>
  <c r="AM3571" i="2"/>
  <c r="AM3515" i="2"/>
  <c r="AM3459" i="2"/>
  <c r="AM3403" i="2"/>
  <c r="AM3347" i="2"/>
  <c r="AM3291" i="2"/>
  <c r="AM3235" i="2"/>
  <c r="AM3179" i="2"/>
  <c r="AM3123" i="2"/>
  <c r="AM3067" i="2"/>
  <c r="AM3011" i="2"/>
  <c r="AM2955" i="2"/>
  <c r="AM2899" i="2"/>
  <c r="AM2843" i="2"/>
  <c r="AM2787" i="2"/>
  <c r="AM2731" i="2"/>
  <c r="AM2675" i="2"/>
  <c r="AM2619" i="2"/>
  <c r="AM2563" i="2"/>
  <c r="AM2507" i="2"/>
  <c r="AM2451" i="2"/>
  <c r="AM2395" i="2"/>
  <c r="AM2339" i="2"/>
  <c r="AM2283" i="2"/>
  <c r="AM2227" i="2"/>
  <c r="AM2171" i="2"/>
  <c r="AM2115" i="2"/>
  <c r="AM2059" i="2"/>
  <c r="AM2003" i="2"/>
  <c r="AM1947" i="2"/>
  <c r="AM1891" i="2"/>
  <c r="AM1835" i="2"/>
  <c r="AM1779" i="2"/>
  <c r="AM1723" i="2"/>
  <c r="AM1667" i="2"/>
  <c r="AM1611" i="2"/>
  <c r="AM1555" i="2"/>
  <c r="AM1499" i="2"/>
  <c r="AM1443" i="2"/>
  <c r="AM1387" i="2"/>
  <c r="AM1331" i="2"/>
  <c r="AM1275" i="2"/>
  <c r="AM1219" i="2"/>
  <c r="AM1163" i="2"/>
  <c r="AM1107" i="2"/>
  <c r="AM1051" i="2"/>
  <c r="AM995" i="2"/>
  <c r="AM939" i="2"/>
  <c r="AM883" i="2"/>
  <c r="AM827" i="2"/>
  <c r="AM771" i="2"/>
  <c r="AM715" i="2"/>
  <c r="AM659" i="2"/>
  <c r="AM603" i="2"/>
  <c r="AM547" i="2"/>
  <c r="AM491" i="2"/>
  <c r="AM435" i="2"/>
  <c r="AM379" i="2"/>
  <c r="AM323" i="2"/>
  <c r="AM267" i="2"/>
  <c r="AM211" i="2"/>
  <c r="AM155" i="2"/>
  <c r="AM99" i="2"/>
  <c r="AM43" i="2"/>
  <c r="R29" i="2"/>
  <c r="AP5601" i="2"/>
  <c r="AP5545" i="2"/>
  <c r="AP5489" i="2"/>
  <c r="AP5433" i="2"/>
  <c r="AP5377" i="2"/>
  <c r="AP5321" i="2"/>
  <c r="AP5265" i="2"/>
  <c r="AP5209" i="2"/>
  <c r="AP5153" i="2"/>
  <c r="AP5097" i="2"/>
  <c r="AP5041" i="2"/>
  <c r="AP4985" i="2"/>
  <c r="AP4929" i="2"/>
  <c r="AP4873" i="2"/>
  <c r="AP4817" i="2"/>
  <c r="AP4761" i="2"/>
  <c r="AP4705" i="2"/>
  <c r="AP4649" i="2"/>
  <c r="AP4593" i="2"/>
  <c r="AP4537" i="2"/>
  <c r="AP4481" i="2"/>
  <c r="AP4425" i="2"/>
  <c r="AP4369" i="2"/>
  <c r="AP4313" i="2"/>
  <c r="AP4257" i="2"/>
  <c r="AP4201" i="2"/>
  <c r="AP4145" i="2"/>
  <c r="AP4089" i="2"/>
  <c r="AP4033" i="2"/>
  <c r="AP3977" i="2"/>
  <c r="AP3921" i="2"/>
  <c r="AP3865" i="2"/>
  <c r="AP3809" i="2"/>
  <c r="AP3753" i="2"/>
  <c r="AP3697" i="2"/>
  <c r="AP3641" i="2"/>
  <c r="AP3585" i="2"/>
  <c r="AP3529" i="2"/>
  <c r="AP3473" i="2"/>
  <c r="AP3417" i="2"/>
  <c r="AP3361" i="2"/>
  <c r="AP3305" i="2"/>
  <c r="AP3249" i="2"/>
  <c r="AP3193" i="2"/>
  <c r="AP3137" i="2"/>
  <c r="AP3081" i="2"/>
  <c r="AP3025" i="2"/>
  <c r="AP2969" i="2"/>
  <c r="AP2913" i="2"/>
  <c r="AP2857" i="2"/>
  <c r="AP2801" i="2"/>
  <c r="AP2745" i="2"/>
  <c r="AP2689" i="2"/>
  <c r="AP2633" i="2"/>
  <c r="AP2577" i="2"/>
  <c r="AP2521" i="2"/>
  <c r="AP2465" i="2"/>
  <c r="AP2409" i="2"/>
  <c r="AP2353" i="2"/>
  <c r="AP2297" i="2"/>
  <c r="AP2241" i="2"/>
  <c r="AP2185" i="2"/>
  <c r="AP2129" i="2"/>
  <c r="AP2073" i="2"/>
  <c r="AP2017" i="2"/>
  <c r="AP1961" i="2"/>
  <c r="AP1905" i="2"/>
  <c r="AP1849" i="2"/>
  <c r="AP1793" i="2"/>
  <c r="AP1737" i="2"/>
  <c r="AP1681" i="2"/>
  <c r="AP1625" i="2"/>
  <c r="AP1569" i="2"/>
  <c r="AP1513" i="2"/>
  <c r="AP1457" i="2"/>
  <c r="AP1401" i="2"/>
  <c r="AP1345" i="2"/>
  <c r="AP1289" i="2"/>
  <c r="AP1233" i="2"/>
  <c r="AP1177" i="2"/>
  <c r="AP1121" i="2"/>
  <c r="AP1065" i="2"/>
  <c r="AP1009" i="2"/>
  <c r="AP953" i="2"/>
  <c r="AP897" i="2"/>
  <c r="AP841" i="2"/>
  <c r="AP785" i="2"/>
  <c r="AP729" i="2"/>
  <c r="AP673" i="2"/>
  <c r="AP617" i="2"/>
  <c r="AP561" i="2"/>
  <c r="AP505" i="2"/>
  <c r="AP449" i="2"/>
  <c r="AP393" i="2"/>
  <c r="AP337" i="2"/>
  <c r="AP281" i="2"/>
  <c r="AP225" i="2"/>
  <c r="AP169" i="2"/>
  <c r="AP113" i="2"/>
  <c r="AP57" i="2"/>
  <c r="AP5615" i="2"/>
  <c r="AP5559" i="2"/>
  <c r="AP5503" i="2"/>
  <c r="AP5447" i="2"/>
  <c r="AP5391" i="2"/>
  <c r="AP5335" i="2"/>
  <c r="AP5279" i="2"/>
  <c r="AP5223" i="2"/>
  <c r="AP5167" i="2"/>
  <c r="AP5111" i="2"/>
  <c r="AP5055" i="2"/>
  <c r="AP4999" i="2"/>
  <c r="AP4943" i="2"/>
  <c r="AP4887" i="2"/>
  <c r="AP4831" i="2"/>
  <c r="AP4775" i="2"/>
  <c r="AP4719" i="2"/>
  <c r="AP4663" i="2"/>
  <c r="AP4607" i="2"/>
  <c r="AP4551" i="2"/>
  <c r="AP4495" i="2"/>
  <c r="AP4439" i="2"/>
  <c r="AP4383" i="2"/>
  <c r="AP4327" i="2"/>
  <c r="AP4271" i="2"/>
  <c r="AP4215" i="2"/>
  <c r="AP4159" i="2"/>
  <c r="AP4103" i="2"/>
  <c r="AP4047" i="2"/>
  <c r="AP3991" i="2"/>
  <c r="AP3935" i="2"/>
  <c r="AP3879" i="2"/>
  <c r="AP3823" i="2"/>
  <c r="AP3767" i="2"/>
  <c r="AP3711" i="2"/>
  <c r="AP3655" i="2"/>
  <c r="AP3599" i="2"/>
  <c r="AP3543" i="2"/>
  <c r="AP3487" i="2"/>
  <c r="AP3431" i="2"/>
  <c r="AP3375" i="2"/>
  <c r="AP3319" i="2"/>
  <c r="AP3263" i="2"/>
  <c r="AP3207" i="2"/>
  <c r="AP3151" i="2"/>
  <c r="AP3095" i="2"/>
  <c r="AP3039" i="2"/>
  <c r="AP2983" i="2"/>
  <c r="AP2927" i="2"/>
  <c r="AP2871" i="2"/>
  <c r="AP2815" i="2"/>
  <c r="AP2759" i="2"/>
  <c r="AP2703" i="2"/>
  <c r="AP2647" i="2"/>
  <c r="AP2591" i="2"/>
  <c r="AP2535" i="2"/>
  <c r="AP2479" i="2"/>
  <c r="AP2423" i="2"/>
  <c r="AP2367" i="2"/>
  <c r="AP2311" i="2"/>
  <c r="AP2255" i="2"/>
  <c r="AP2199" i="2"/>
  <c r="AP2143" i="2"/>
  <c r="AP2087" i="2"/>
  <c r="AP2031" i="2"/>
  <c r="AP1975" i="2"/>
  <c r="AP1919" i="2"/>
  <c r="AP1863" i="2"/>
  <c r="AP1807" i="2"/>
  <c r="AP1751" i="2"/>
  <c r="AP1695" i="2"/>
  <c r="AP1639" i="2"/>
  <c r="AP1583" i="2"/>
  <c r="AP1527" i="2"/>
  <c r="AP1471" i="2"/>
  <c r="AP1415" i="2"/>
  <c r="AP1359" i="2"/>
  <c r="AP1303" i="2"/>
  <c r="AP1247" i="2"/>
  <c r="AP1191" i="2"/>
  <c r="AP1135" i="2"/>
  <c r="AP1079" i="2"/>
  <c r="AP1023" i="2"/>
  <c r="AP967" i="2"/>
  <c r="AP911" i="2"/>
  <c r="AP855" i="2"/>
  <c r="AP799" i="2"/>
  <c r="AP743" i="2"/>
  <c r="AP687" i="2"/>
  <c r="AP631" i="2"/>
  <c r="AP575" i="2"/>
  <c r="AP519" i="2"/>
  <c r="AP463" i="2"/>
  <c r="AP407" i="2"/>
  <c r="AP351" i="2"/>
  <c r="AP295" i="2"/>
  <c r="AP239" i="2"/>
  <c r="AP183" i="2"/>
  <c r="AP127" i="2"/>
  <c r="AP71" i="2"/>
  <c r="AP5629" i="2"/>
  <c r="AP5573" i="2"/>
  <c r="AP5517" i="2"/>
  <c r="AP5461" i="2"/>
  <c r="AP5405" i="2"/>
  <c r="AP5349" i="2"/>
  <c r="AP5293" i="2"/>
  <c r="AP5237" i="2"/>
  <c r="AP5181" i="2"/>
  <c r="AP5125" i="2"/>
  <c r="AP5069" i="2"/>
  <c r="AP5013" i="2"/>
  <c r="AP4957" i="2"/>
  <c r="AP4901" i="2"/>
  <c r="AP4845" i="2"/>
  <c r="AP4789" i="2"/>
  <c r="AP4733" i="2"/>
  <c r="AP4677" i="2"/>
  <c r="AP4621" i="2"/>
  <c r="AP4565" i="2"/>
  <c r="AP4509" i="2"/>
  <c r="AP4453" i="2"/>
  <c r="AP4397" i="2"/>
  <c r="AP4341" i="2"/>
  <c r="AP4285" i="2"/>
  <c r="AP4229" i="2"/>
  <c r="AP4173" i="2"/>
  <c r="AP4117" i="2"/>
  <c r="AP4061" i="2"/>
  <c r="AP4005" i="2"/>
  <c r="AP3949" i="2"/>
  <c r="AP3893" i="2"/>
  <c r="AP3837" i="2"/>
  <c r="AP3781" i="2"/>
  <c r="AP3725" i="2"/>
  <c r="AP3669" i="2"/>
  <c r="AP3613" i="2"/>
  <c r="AP3557" i="2"/>
  <c r="AP3501" i="2"/>
  <c r="AP3445" i="2"/>
  <c r="AP3389" i="2"/>
  <c r="AP3333" i="2"/>
  <c r="AP3277" i="2"/>
  <c r="AP3221" i="2"/>
  <c r="AP3165" i="2"/>
  <c r="AP3109" i="2"/>
  <c r="AP3053" i="2"/>
  <c r="AP2997" i="2"/>
  <c r="AP2941" i="2"/>
  <c r="AP2885" i="2"/>
  <c r="AP2829" i="2"/>
  <c r="AP2773" i="2"/>
  <c r="AP2717" i="2"/>
  <c r="AP2661" i="2"/>
  <c r="AP2605" i="2"/>
  <c r="AP2549" i="2"/>
  <c r="AP2493" i="2"/>
  <c r="AP2437" i="2"/>
  <c r="AP2381" i="2"/>
  <c r="AP2325" i="2"/>
  <c r="AP2269" i="2"/>
  <c r="AP2213" i="2"/>
  <c r="AP2157" i="2"/>
  <c r="AP2101" i="2"/>
  <c r="AP2045" i="2"/>
  <c r="AP1989" i="2"/>
  <c r="AP1933" i="2"/>
  <c r="AP1877" i="2"/>
  <c r="AP1821" i="2"/>
  <c r="AP1765" i="2"/>
  <c r="AP1709" i="2"/>
  <c r="AP1653" i="2"/>
  <c r="AP1597" i="2"/>
  <c r="AP1541" i="2"/>
  <c r="AP1485" i="2"/>
  <c r="AP1429" i="2"/>
  <c r="AP1373" i="2"/>
  <c r="AP1317" i="2"/>
  <c r="AP1261" i="2"/>
  <c r="AP1205" i="2"/>
  <c r="AP1149" i="2"/>
  <c r="AP1093" i="2"/>
  <c r="AP1037" i="2"/>
  <c r="AP981" i="2"/>
  <c r="AP925" i="2"/>
  <c r="AP869" i="2"/>
  <c r="AP813" i="2"/>
  <c r="AP757" i="2"/>
  <c r="AP701" i="2"/>
  <c r="AP645" i="2"/>
  <c r="AP589" i="2"/>
  <c r="AP533" i="2"/>
  <c r="AP477" i="2"/>
  <c r="AP421" i="2"/>
  <c r="AP365" i="2"/>
  <c r="AP309" i="2"/>
  <c r="AP253" i="2"/>
  <c r="AP197" i="2"/>
  <c r="AP141" i="2"/>
  <c r="AP85" i="2"/>
  <c r="AP5587" i="2"/>
  <c r="AP5531" i="2"/>
  <c r="AP5475" i="2"/>
  <c r="AP5419" i="2"/>
  <c r="AP5363" i="2"/>
  <c r="AP5307" i="2"/>
  <c r="AP5251" i="2"/>
  <c r="AP5195" i="2"/>
  <c r="AP5139" i="2"/>
  <c r="AP5083" i="2"/>
  <c r="AP5027" i="2"/>
  <c r="AP4971" i="2"/>
  <c r="AP4915" i="2"/>
  <c r="AP4859" i="2"/>
  <c r="AP4803" i="2"/>
  <c r="AP4747" i="2"/>
  <c r="AP4691" i="2"/>
  <c r="AP4635" i="2"/>
  <c r="AP4579" i="2"/>
  <c r="AP4523" i="2"/>
  <c r="AP4467" i="2"/>
  <c r="AP4411" i="2"/>
  <c r="AP4355" i="2"/>
  <c r="AP4299" i="2"/>
  <c r="AP4243" i="2"/>
  <c r="AP4187" i="2"/>
  <c r="AP4131" i="2"/>
  <c r="AP4075" i="2"/>
  <c r="AP4019" i="2"/>
  <c r="AP3963" i="2"/>
  <c r="AP3907" i="2"/>
  <c r="AP3851" i="2"/>
  <c r="AP3795" i="2"/>
  <c r="AP3739" i="2"/>
  <c r="AP3683" i="2"/>
  <c r="AP3627" i="2"/>
  <c r="AP3571" i="2"/>
  <c r="AP3515" i="2"/>
  <c r="AP3459" i="2"/>
  <c r="AP3403" i="2"/>
  <c r="AP3347" i="2"/>
  <c r="AP3291" i="2"/>
  <c r="AP3235" i="2"/>
  <c r="AP3179" i="2"/>
  <c r="AP3123" i="2"/>
  <c r="AP3067" i="2"/>
  <c r="AP3011" i="2"/>
  <c r="AP2955" i="2"/>
  <c r="AP2899" i="2"/>
  <c r="AP2843" i="2"/>
  <c r="AP2787" i="2"/>
  <c r="AP2731" i="2"/>
  <c r="AP2675" i="2"/>
  <c r="AP2619" i="2"/>
  <c r="AP2563" i="2"/>
  <c r="AP2507" i="2"/>
  <c r="AP2451" i="2"/>
  <c r="AP2395" i="2"/>
  <c r="AP2339" i="2"/>
  <c r="AP2283" i="2"/>
  <c r="AP2227" i="2"/>
  <c r="AP2171" i="2"/>
  <c r="AP2115" i="2"/>
  <c r="AP2059" i="2"/>
  <c r="AP2003" i="2"/>
  <c r="AP1947" i="2"/>
  <c r="AP1891" i="2"/>
  <c r="AP1835" i="2"/>
  <c r="AP1779" i="2"/>
  <c r="AP1723" i="2"/>
  <c r="AP1667" i="2"/>
  <c r="AP1611" i="2"/>
  <c r="AP1555" i="2"/>
  <c r="AP1499" i="2"/>
  <c r="AP1443" i="2"/>
  <c r="AP1387" i="2"/>
  <c r="AP1331" i="2"/>
  <c r="AP1275" i="2"/>
  <c r="AP1219" i="2"/>
  <c r="AP1163" i="2"/>
  <c r="AP1107" i="2"/>
  <c r="AP1051" i="2"/>
  <c r="AP995" i="2"/>
  <c r="AP939" i="2"/>
  <c r="AP883" i="2"/>
  <c r="AP827" i="2"/>
  <c r="AP771" i="2"/>
  <c r="AP715" i="2"/>
  <c r="AP659" i="2"/>
  <c r="AP603" i="2"/>
  <c r="AP547" i="2"/>
  <c r="AP491" i="2"/>
  <c r="AP435" i="2"/>
  <c r="AP379" i="2"/>
  <c r="AP323" i="2"/>
  <c r="AP267" i="2"/>
  <c r="AP211" i="2"/>
  <c r="AP155" i="2"/>
  <c r="AP99" i="2"/>
  <c r="AP43" i="2"/>
  <c r="AA5601" i="2"/>
  <c r="AA5545" i="2"/>
  <c r="AA5489" i="2"/>
  <c r="AA5433" i="2"/>
  <c r="AA5377" i="2"/>
  <c r="AA5321" i="2"/>
  <c r="AA5265" i="2"/>
  <c r="AA5209" i="2"/>
  <c r="AA5153" i="2"/>
  <c r="AA5097" i="2"/>
  <c r="AA5041" i="2"/>
  <c r="AA4985" i="2"/>
  <c r="AA4929" i="2"/>
  <c r="AA4873" i="2"/>
  <c r="AA4817" i="2"/>
  <c r="AA4761" i="2"/>
  <c r="AA4705" i="2"/>
  <c r="AA4649" i="2"/>
  <c r="AA4593" i="2"/>
  <c r="AA4537" i="2"/>
  <c r="AA4481" i="2"/>
  <c r="AA4425" i="2"/>
  <c r="AA4369" i="2"/>
  <c r="AA4313" i="2"/>
  <c r="AA4257" i="2"/>
  <c r="AA4201" i="2"/>
  <c r="AA4145" i="2"/>
  <c r="AA4089" i="2"/>
  <c r="AA4033" i="2"/>
  <c r="AA3977" i="2"/>
  <c r="AA3921" i="2"/>
  <c r="AA3865" i="2"/>
  <c r="AA3809" i="2"/>
  <c r="AA3753" i="2"/>
  <c r="AA3697" i="2"/>
  <c r="AA3641" i="2"/>
  <c r="AA3585" i="2"/>
  <c r="AA3529" i="2"/>
  <c r="AA3473" i="2"/>
  <c r="AA3417" i="2"/>
  <c r="AA3361" i="2"/>
  <c r="AA3305" i="2"/>
  <c r="AA3249" i="2"/>
  <c r="AA3193" i="2"/>
  <c r="AA3137" i="2"/>
  <c r="AA3081" i="2"/>
  <c r="AA3025" i="2"/>
  <c r="AA2969" i="2"/>
  <c r="AA2913" i="2"/>
  <c r="AA2857" i="2"/>
  <c r="AA2801" i="2"/>
  <c r="AA2745" i="2"/>
  <c r="AA2689" i="2"/>
  <c r="AA2633" i="2"/>
  <c r="AA2577" i="2"/>
  <c r="AA2521" i="2"/>
  <c r="AA2465" i="2"/>
  <c r="AA2409" i="2"/>
  <c r="AA2353" i="2"/>
  <c r="AA2297" i="2"/>
  <c r="AA2241" i="2"/>
  <c r="AA2185" i="2"/>
  <c r="AA2129" i="2"/>
  <c r="AA2073" i="2"/>
  <c r="AA2017" i="2"/>
  <c r="AA1961" i="2"/>
  <c r="AA1905" i="2"/>
  <c r="AA1849" i="2"/>
  <c r="AA1793" i="2"/>
  <c r="AA1737" i="2"/>
  <c r="AA1681" i="2"/>
  <c r="AA1625" i="2"/>
  <c r="AA1569" i="2"/>
  <c r="AA1513" i="2"/>
  <c r="AA1457" i="2"/>
  <c r="AA1401" i="2"/>
  <c r="AA1345" i="2"/>
  <c r="AA1289" i="2"/>
  <c r="AA1233" i="2"/>
  <c r="AA1177" i="2"/>
  <c r="AA1121" i="2"/>
  <c r="AA1065" i="2"/>
  <c r="AA1009" i="2"/>
  <c r="AA953" i="2"/>
  <c r="AA897" i="2"/>
  <c r="AA841" i="2"/>
  <c r="AA785" i="2"/>
  <c r="AA729" i="2"/>
  <c r="AA673" i="2"/>
  <c r="AA617" i="2"/>
  <c r="AA561" i="2"/>
  <c r="AA505" i="2"/>
  <c r="AA449" i="2"/>
  <c r="AA393" i="2"/>
  <c r="AA337" i="2"/>
  <c r="AA281" i="2"/>
  <c r="AA225" i="2"/>
  <c r="AA169" i="2"/>
  <c r="AA113" i="2"/>
  <c r="AA57" i="2"/>
  <c r="AA5615" i="2"/>
  <c r="AA5559" i="2"/>
  <c r="AA5503" i="2"/>
  <c r="AA5447" i="2"/>
  <c r="AA5391" i="2"/>
  <c r="AA5335" i="2"/>
  <c r="AA5279" i="2"/>
  <c r="AA5223" i="2"/>
  <c r="AA5167" i="2"/>
  <c r="AA5111" i="2"/>
  <c r="AA5055" i="2"/>
  <c r="AA4999" i="2"/>
  <c r="AA4943" i="2"/>
  <c r="AA4887" i="2"/>
  <c r="AA4831" i="2"/>
  <c r="AA4775" i="2"/>
  <c r="AA4719" i="2"/>
  <c r="AA4663" i="2"/>
  <c r="AA4607" i="2"/>
  <c r="AA4551" i="2"/>
  <c r="AA4495" i="2"/>
  <c r="AA4439" i="2"/>
  <c r="AA4383" i="2"/>
  <c r="AA4327" i="2"/>
  <c r="AA4271" i="2"/>
  <c r="AA4215" i="2"/>
  <c r="AA4159" i="2"/>
  <c r="AA4103" i="2"/>
  <c r="AA4047" i="2"/>
  <c r="AA3991" i="2"/>
  <c r="AA3935" i="2"/>
  <c r="AA3879" i="2"/>
  <c r="AA3823" i="2"/>
  <c r="AA3767" i="2"/>
  <c r="AA3711" i="2"/>
  <c r="AA3655" i="2"/>
  <c r="AA3599" i="2"/>
  <c r="AA3543" i="2"/>
  <c r="AA3487" i="2"/>
  <c r="AA3431" i="2"/>
  <c r="AA3375" i="2"/>
  <c r="AA3319" i="2"/>
  <c r="AA3263" i="2"/>
  <c r="AA3207" i="2"/>
  <c r="AA3151" i="2"/>
  <c r="AA3095" i="2"/>
  <c r="AA3039" i="2"/>
  <c r="AA2983" i="2"/>
  <c r="AA2927" i="2"/>
  <c r="AA2871" i="2"/>
  <c r="AA2815" i="2"/>
  <c r="AA2759" i="2"/>
  <c r="AA2703" i="2"/>
  <c r="AA2647" i="2"/>
  <c r="AA2591" i="2"/>
  <c r="AA2535" i="2"/>
  <c r="AA2479" i="2"/>
  <c r="AA2423" i="2"/>
  <c r="AA2367" i="2"/>
  <c r="AA2311" i="2"/>
  <c r="AA2255" i="2"/>
  <c r="AA2199" i="2"/>
  <c r="AA2143" i="2"/>
  <c r="AA2087" i="2"/>
  <c r="AA2031" i="2"/>
  <c r="AA1975" i="2"/>
  <c r="AA1919" i="2"/>
  <c r="AA1863" i="2"/>
  <c r="AA1807" i="2"/>
  <c r="AA1751" i="2"/>
  <c r="AA1695" i="2"/>
  <c r="AA1639" i="2"/>
  <c r="AA1583" i="2"/>
  <c r="AA1527" i="2"/>
  <c r="AA1471" i="2"/>
  <c r="AA1415" i="2"/>
  <c r="AA1359" i="2"/>
  <c r="AA1303" i="2"/>
  <c r="AA1247" i="2"/>
  <c r="AA1191" i="2"/>
  <c r="AA1135" i="2"/>
  <c r="AA1079" i="2"/>
  <c r="AA1023" i="2"/>
  <c r="AA967" i="2"/>
  <c r="AA911" i="2"/>
  <c r="AA855" i="2"/>
  <c r="AA799" i="2"/>
  <c r="AA743" i="2"/>
  <c r="AA687" i="2"/>
  <c r="AA631" i="2"/>
  <c r="AA575" i="2"/>
  <c r="AA519" i="2"/>
  <c r="AA463" i="2"/>
  <c r="AA407" i="2"/>
  <c r="AA351" i="2"/>
  <c r="AA295" i="2"/>
  <c r="AA239" i="2"/>
  <c r="AA183" i="2"/>
  <c r="AA127" i="2"/>
  <c r="AA71" i="2"/>
  <c r="AA5629" i="2"/>
  <c r="AA5573" i="2"/>
  <c r="AA5517" i="2"/>
  <c r="AA5461" i="2"/>
  <c r="AA5405" i="2"/>
  <c r="AA5349" i="2"/>
  <c r="AA5293" i="2"/>
  <c r="AA5237" i="2"/>
  <c r="AA5181" i="2"/>
  <c r="AA5125" i="2"/>
  <c r="AA5069" i="2"/>
  <c r="AA5013" i="2"/>
  <c r="AA4957" i="2"/>
  <c r="AA4901" i="2"/>
  <c r="AA4845" i="2"/>
  <c r="AA4789" i="2"/>
  <c r="AA4733" i="2"/>
  <c r="AA4677" i="2"/>
  <c r="AA4621" i="2"/>
  <c r="AA4565" i="2"/>
  <c r="AA4509" i="2"/>
  <c r="AA4453" i="2"/>
  <c r="AA4397" i="2"/>
  <c r="AA4341" i="2"/>
  <c r="AA4285" i="2"/>
  <c r="AA4229" i="2"/>
  <c r="AA4173" i="2"/>
  <c r="AA4117" i="2"/>
  <c r="AA4061" i="2"/>
  <c r="AA4005" i="2"/>
  <c r="AA3949" i="2"/>
  <c r="AA3893" i="2"/>
  <c r="AA3837" i="2"/>
  <c r="AA3781" i="2"/>
  <c r="AA3725" i="2"/>
  <c r="AA3669" i="2"/>
  <c r="AA3613" i="2"/>
  <c r="AA3557" i="2"/>
  <c r="AA3501" i="2"/>
  <c r="AA3445" i="2"/>
  <c r="AA3389" i="2"/>
  <c r="AA3333" i="2"/>
  <c r="AA3277" i="2"/>
  <c r="AA3221" i="2"/>
  <c r="AA3165" i="2"/>
  <c r="AA3109" i="2"/>
  <c r="AA3053" i="2"/>
  <c r="AA2997" i="2"/>
  <c r="AA2941" i="2"/>
  <c r="AA2885" i="2"/>
  <c r="AA2829" i="2"/>
  <c r="AA2773" i="2"/>
  <c r="AA2717" i="2"/>
  <c r="AA2661" i="2"/>
  <c r="AA2605" i="2"/>
  <c r="AA2549" i="2"/>
  <c r="AA2493" i="2"/>
  <c r="AA2437" i="2"/>
  <c r="AA2381" i="2"/>
  <c r="AA2325" i="2"/>
  <c r="AA2269" i="2"/>
  <c r="AA2213" i="2"/>
  <c r="AA2157" i="2"/>
  <c r="AA2101" i="2"/>
  <c r="AA2045" i="2"/>
  <c r="AA1989" i="2"/>
  <c r="AA1933" i="2"/>
  <c r="AA1877" i="2"/>
  <c r="AA1821" i="2"/>
  <c r="AA1765" i="2"/>
  <c r="AA1709" i="2"/>
  <c r="AA1653" i="2"/>
  <c r="AA1597" i="2"/>
  <c r="AA1541" i="2"/>
  <c r="AA1485" i="2"/>
  <c r="AA1429" i="2"/>
  <c r="AA1373" i="2"/>
  <c r="AA1317" i="2"/>
  <c r="AA1261" i="2"/>
  <c r="AA1205" i="2"/>
  <c r="AA1149" i="2"/>
  <c r="AA1093" i="2"/>
  <c r="AA1037" i="2"/>
  <c r="AA981" i="2"/>
  <c r="AA925" i="2"/>
  <c r="AA869" i="2"/>
  <c r="AA813" i="2"/>
  <c r="AA757" i="2"/>
  <c r="AA701" i="2"/>
  <c r="AA645" i="2"/>
  <c r="AA589" i="2"/>
  <c r="AA533" i="2"/>
  <c r="AA477" i="2"/>
  <c r="AA421" i="2"/>
  <c r="AA365" i="2"/>
  <c r="AA309" i="2"/>
  <c r="AA253" i="2"/>
  <c r="AA197" i="2"/>
  <c r="AA141" i="2"/>
  <c r="AA85" i="2"/>
  <c r="AA5587" i="2"/>
  <c r="AA5531" i="2"/>
  <c r="AA5475" i="2"/>
  <c r="AA5419" i="2"/>
  <c r="AA5363" i="2"/>
  <c r="AA5307" i="2"/>
  <c r="AA5251" i="2"/>
  <c r="AA5195" i="2"/>
  <c r="AA5139" i="2"/>
  <c r="AA5083" i="2"/>
  <c r="AA5027" i="2"/>
  <c r="AA4971" i="2"/>
  <c r="AA4915" i="2"/>
  <c r="AA4859" i="2"/>
  <c r="AA4803" i="2"/>
  <c r="AA4747" i="2"/>
  <c r="AA4691" i="2"/>
  <c r="AA4635" i="2"/>
  <c r="AA4579" i="2"/>
  <c r="AA4523" i="2"/>
  <c r="AA4467" i="2"/>
  <c r="AA4411" i="2"/>
  <c r="AA4355" i="2"/>
  <c r="AA4299" i="2"/>
  <c r="AA4243" i="2"/>
  <c r="AA4187" i="2"/>
  <c r="AA4131" i="2"/>
  <c r="AA4075" i="2"/>
  <c r="AA4019" i="2"/>
  <c r="AA3963" i="2"/>
  <c r="AA3907" i="2"/>
  <c r="AA3851" i="2"/>
  <c r="AA3795" i="2"/>
  <c r="AA3739" i="2"/>
  <c r="AA3683" i="2"/>
  <c r="AA3627" i="2"/>
  <c r="AA3571" i="2"/>
  <c r="AA3515" i="2"/>
  <c r="AA3459" i="2"/>
  <c r="AA3403" i="2"/>
  <c r="AA3347" i="2"/>
  <c r="AA3291" i="2"/>
  <c r="AA3235" i="2"/>
  <c r="AA3179" i="2"/>
  <c r="AA3123" i="2"/>
  <c r="AA3067" i="2"/>
  <c r="AA3011" i="2"/>
  <c r="AA2955" i="2"/>
  <c r="AA2899" i="2"/>
  <c r="AA2843" i="2"/>
  <c r="AA2787" i="2"/>
  <c r="AA2731" i="2"/>
  <c r="AA2675" i="2"/>
  <c r="AA2619" i="2"/>
  <c r="AA2563" i="2"/>
  <c r="AA2507" i="2"/>
  <c r="AA2451" i="2"/>
  <c r="AA2395" i="2"/>
  <c r="AA2339" i="2"/>
  <c r="AA2283" i="2"/>
  <c r="AA2227" i="2"/>
  <c r="AA2171" i="2"/>
  <c r="AA2115" i="2"/>
  <c r="AA2059" i="2"/>
  <c r="AA2003" i="2"/>
  <c r="AA1947" i="2"/>
  <c r="AA1891" i="2"/>
  <c r="AA1835" i="2"/>
  <c r="AA1779" i="2"/>
  <c r="AA1723" i="2"/>
  <c r="AA1667" i="2"/>
  <c r="AA1611" i="2"/>
  <c r="AA1555" i="2"/>
  <c r="AA1499" i="2"/>
  <c r="AA1443" i="2"/>
  <c r="AA1387" i="2"/>
  <c r="AA1331" i="2"/>
  <c r="AA1275" i="2"/>
  <c r="AA1219" i="2"/>
  <c r="AA1163" i="2"/>
  <c r="AA1107" i="2"/>
  <c r="AA1051" i="2"/>
  <c r="AA995" i="2"/>
  <c r="AA939" i="2"/>
  <c r="AA883" i="2"/>
  <c r="AA827" i="2"/>
  <c r="AA771" i="2"/>
  <c r="AA715" i="2"/>
  <c r="AA659" i="2"/>
  <c r="AA603" i="2"/>
  <c r="AA547" i="2"/>
  <c r="AA491" i="2"/>
  <c r="AA435" i="2"/>
  <c r="AA379" i="2"/>
  <c r="AA323" i="2"/>
  <c r="AA267" i="2"/>
  <c r="AA211" i="2"/>
  <c r="AA155" i="2"/>
  <c r="AA99" i="2"/>
  <c r="AA43" i="2"/>
  <c r="AG5601" i="2"/>
  <c r="AG5545" i="2"/>
  <c r="AG5489" i="2"/>
  <c r="AG5433" i="2"/>
  <c r="AG5377" i="2"/>
  <c r="AG5321" i="2"/>
  <c r="AG5265" i="2"/>
  <c r="AG5209" i="2"/>
  <c r="AG5153" i="2"/>
  <c r="AG5097" i="2"/>
  <c r="AG5041" i="2"/>
  <c r="AG4985" i="2"/>
  <c r="AG4929" i="2"/>
  <c r="AG4873" i="2"/>
  <c r="AG4817" i="2"/>
  <c r="AG4761" i="2"/>
  <c r="AG4705" i="2"/>
  <c r="AG4649" i="2"/>
  <c r="AG4593" i="2"/>
  <c r="AG4537" i="2"/>
  <c r="AG4481" i="2"/>
  <c r="AG4425" i="2"/>
  <c r="AG4369" i="2"/>
  <c r="AG4313" i="2"/>
  <c r="AG4257" i="2"/>
  <c r="AG4201" i="2"/>
  <c r="AG4145" i="2"/>
  <c r="AG4089" i="2"/>
  <c r="AG4033" i="2"/>
  <c r="AG3977" i="2"/>
  <c r="AG3921" i="2"/>
  <c r="AG3865" i="2"/>
  <c r="AG3809" i="2"/>
  <c r="AG3753" i="2"/>
  <c r="AG3697" i="2"/>
  <c r="AG3641" i="2"/>
  <c r="AG3585" i="2"/>
  <c r="AG3529" i="2"/>
  <c r="AG3473" i="2"/>
  <c r="AG3417" i="2"/>
  <c r="AG3361" i="2"/>
  <c r="AG3305" i="2"/>
  <c r="AG3249" i="2"/>
  <c r="AG3193" i="2"/>
  <c r="AG3137" i="2"/>
  <c r="AG3081" i="2"/>
  <c r="AG3025" i="2"/>
  <c r="AG2969" i="2"/>
  <c r="AG2913" i="2"/>
  <c r="AG2857" i="2"/>
  <c r="AG2801" i="2"/>
  <c r="AG2745" i="2"/>
  <c r="AG2689" i="2"/>
  <c r="AG2633" i="2"/>
  <c r="AG2577" i="2"/>
  <c r="AG2521" i="2"/>
  <c r="AG2465" i="2"/>
  <c r="AG2409" i="2"/>
  <c r="AG2353" i="2"/>
  <c r="AG2297" i="2"/>
  <c r="AG2241" i="2"/>
  <c r="AG2185" i="2"/>
  <c r="AG2129" i="2"/>
  <c r="AG2073" i="2"/>
  <c r="AG2017" i="2"/>
  <c r="AG1961" i="2"/>
  <c r="AG1905" i="2"/>
  <c r="AG1849" i="2"/>
  <c r="AG1793" i="2"/>
  <c r="AG1737" i="2"/>
  <c r="AG1681" i="2"/>
  <c r="AG1625" i="2"/>
  <c r="AG1569" i="2"/>
  <c r="AG1513" i="2"/>
  <c r="AG1457" i="2"/>
  <c r="AG1401" i="2"/>
  <c r="AG1345" i="2"/>
  <c r="AG1289" i="2"/>
  <c r="AG1233" i="2"/>
  <c r="AG1177" i="2"/>
  <c r="AG1121" i="2"/>
  <c r="AG1065" i="2"/>
  <c r="AG1009" i="2"/>
  <c r="AG953" i="2"/>
  <c r="AG897" i="2"/>
  <c r="AG841" i="2"/>
  <c r="AG785" i="2"/>
  <c r="AG729" i="2"/>
  <c r="AG673" i="2"/>
  <c r="AG617" i="2"/>
  <c r="AG561" i="2"/>
  <c r="AG505" i="2"/>
  <c r="AG449" i="2"/>
  <c r="AG393" i="2"/>
  <c r="AG337" i="2"/>
  <c r="AG281" i="2"/>
  <c r="AG225" i="2"/>
  <c r="AG169" i="2"/>
  <c r="AG113" i="2"/>
  <c r="AG57" i="2"/>
  <c r="AG5615" i="2"/>
  <c r="AG5559" i="2"/>
  <c r="AG5503" i="2"/>
  <c r="AG5447" i="2"/>
  <c r="AG5391" i="2"/>
  <c r="AG5335" i="2"/>
  <c r="AG5279" i="2"/>
  <c r="AG5223" i="2"/>
  <c r="AG5167" i="2"/>
  <c r="AG5111" i="2"/>
  <c r="AG5055" i="2"/>
  <c r="AG4999" i="2"/>
  <c r="AG4943" i="2"/>
  <c r="AG4887" i="2"/>
  <c r="AG4831" i="2"/>
  <c r="AG4775" i="2"/>
  <c r="AG4719" i="2"/>
  <c r="AG4663" i="2"/>
  <c r="AG4607" i="2"/>
  <c r="AG4551" i="2"/>
  <c r="AG4495" i="2"/>
  <c r="AG4439" i="2"/>
  <c r="AG4383" i="2"/>
  <c r="AG4327" i="2"/>
  <c r="AG4271" i="2"/>
  <c r="AG4215" i="2"/>
  <c r="AG4159" i="2"/>
  <c r="AG4103" i="2"/>
  <c r="AG4047" i="2"/>
  <c r="AG3991" i="2"/>
  <c r="AG3935" i="2"/>
  <c r="AG3879" i="2"/>
  <c r="AG3823" i="2"/>
  <c r="AG3767" i="2"/>
  <c r="AG3711" i="2"/>
  <c r="AG3655" i="2"/>
  <c r="AG3599" i="2"/>
  <c r="AG3543" i="2"/>
  <c r="AG3487" i="2"/>
  <c r="AG3431" i="2"/>
  <c r="AG3375" i="2"/>
  <c r="AG3319" i="2"/>
  <c r="AG3263" i="2"/>
  <c r="AG3207" i="2"/>
  <c r="AG3151" i="2"/>
  <c r="AG3095" i="2"/>
  <c r="AG3039" i="2"/>
  <c r="AG2983" i="2"/>
  <c r="AG2927" i="2"/>
  <c r="AG2871" i="2"/>
  <c r="AG2815" i="2"/>
  <c r="AG2759" i="2"/>
  <c r="AG2703" i="2"/>
  <c r="AG2647" i="2"/>
  <c r="AG2591" i="2"/>
  <c r="AG2535" i="2"/>
  <c r="AG2479" i="2"/>
  <c r="AG2423" i="2"/>
  <c r="AG2367" i="2"/>
  <c r="AG2311" i="2"/>
  <c r="AG2255" i="2"/>
  <c r="AG2199" i="2"/>
  <c r="AG2143" i="2"/>
  <c r="AG2087" i="2"/>
  <c r="AG2031" i="2"/>
  <c r="AG1975" i="2"/>
  <c r="AG1919" i="2"/>
  <c r="AG1863" i="2"/>
  <c r="AG1807" i="2"/>
  <c r="AG1751" i="2"/>
  <c r="AG1695" i="2"/>
  <c r="AG1639" i="2"/>
  <c r="AG1583" i="2"/>
  <c r="AG1527" i="2"/>
  <c r="AG1471" i="2"/>
  <c r="AG1415" i="2"/>
  <c r="AG1359" i="2"/>
  <c r="AG1303" i="2"/>
  <c r="AG1247" i="2"/>
  <c r="AG1191" i="2"/>
  <c r="AG1135" i="2"/>
  <c r="AG1079" i="2"/>
  <c r="AG1023" i="2"/>
  <c r="AG967" i="2"/>
  <c r="AG911" i="2"/>
  <c r="AG855" i="2"/>
  <c r="AG799" i="2"/>
  <c r="AG743" i="2"/>
  <c r="AG687" i="2"/>
  <c r="AG631" i="2"/>
  <c r="AG575" i="2"/>
  <c r="AG519" i="2"/>
  <c r="AG463" i="2"/>
  <c r="AG407" i="2"/>
  <c r="AG351" i="2"/>
  <c r="AG295" i="2"/>
  <c r="AG239" i="2"/>
  <c r="AG183" i="2"/>
  <c r="AG127" i="2"/>
  <c r="AG71" i="2"/>
  <c r="AG5629" i="2"/>
  <c r="AG5573" i="2"/>
  <c r="AG5517" i="2"/>
  <c r="AG5461" i="2"/>
  <c r="AG5405" i="2"/>
  <c r="AG5349" i="2"/>
  <c r="AG5293" i="2"/>
  <c r="AG5237" i="2"/>
  <c r="AG5181" i="2"/>
  <c r="AG5125" i="2"/>
  <c r="AG5069" i="2"/>
  <c r="AG5013" i="2"/>
  <c r="AG4957" i="2"/>
  <c r="AG4901" i="2"/>
  <c r="AG4845" i="2"/>
  <c r="AG4789" i="2"/>
  <c r="AG4733" i="2"/>
  <c r="AG4677" i="2"/>
  <c r="AG4621" i="2"/>
  <c r="AG4565" i="2"/>
  <c r="AG4509" i="2"/>
  <c r="AG4453" i="2"/>
  <c r="AG4397" i="2"/>
  <c r="AG4341" i="2"/>
  <c r="AG4285" i="2"/>
  <c r="AG4229" i="2"/>
  <c r="AG4173" i="2"/>
  <c r="AG4117" i="2"/>
  <c r="AG4061" i="2"/>
  <c r="AG4005" i="2"/>
  <c r="AG3949" i="2"/>
  <c r="AG3893" i="2"/>
  <c r="AG3837" i="2"/>
  <c r="AG3781" i="2"/>
  <c r="AG3725" i="2"/>
  <c r="AG3669" i="2"/>
  <c r="AG3613" i="2"/>
  <c r="AG3557" i="2"/>
  <c r="AG3501" i="2"/>
  <c r="AG3445" i="2"/>
  <c r="AG3389" i="2"/>
  <c r="AG3333" i="2"/>
  <c r="AG3277" i="2"/>
  <c r="AG3221" i="2"/>
  <c r="AG3165" i="2"/>
  <c r="AG3109" i="2"/>
  <c r="AG3053" i="2"/>
  <c r="AG2997" i="2"/>
  <c r="AG2941" i="2"/>
  <c r="AG2885" i="2"/>
  <c r="AG2829" i="2"/>
  <c r="AG2773" i="2"/>
  <c r="AG2717" i="2"/>
  <c r="AG2661" i="2"/>
  <c r="AG2605" i="2"/>
  <c r="AG2549" i="2"/>
  <c r="AG2493" i="2"/>
  <c r="AG2437" i="2"/>
  <c r="AG2381" i="2"/>
  <c r="AG2325" i="2"/>
  <c r="AG2269" i="2"/>
  <c r="AG2213" i="2"/>
  <c r="AG2157" i="2"/>
  <c r="AG2101" i="2"/>
  <c r="AG2045" i="2"/>
  <c r="AG1989" i="2"/>
  <c r="AG1933" i="2"/>
  <c r="AG1877" i="2"/>
  <c r="AG1821" i="2"/>
  <c r="AG1765" i="2"/>
  <c r="AG1709" i="2"/>
  <c r="AG1653" i="2"/>
  <c r="AG1597" i="2"/>
  <c r="AG1541" i="2"/>
  <c r="AG1485" i="2"/>
  <c r="AG1429" i="2"/>
  <c r="AG1373" i="2"/>
  <c r="AG1317" i="2"/>
  <c r="AG1261" i="2"/>
  <c r="AG1205" i="2"/>
  <c r="AG1149" i="2"/>
  <c r="AG1093" i="2"/>
  <c r="AG1037" i="2"/>
  <c r="AG981" i="2"/>
  <c r="AG925" i="2"/>
  <c r="AG869" i="2"/>
  <c r="AG813" i="2"/>
  <c r="AG757" i="2"/>
  <c r="AG701" i="2"/>
  <c r="AG645" i="2"/>
  <c r="AG589" i="2"/>
  <c r="AG533" i="2"/>
  <c r="AG477" i="2"/>
  <c r="AG421" i="2"/>
  <c r="AG365" i="2"/>
  <c r="AG309" i="2"/>
  <c r="AG253" i="2"/>
  <c r="AG197" i="2"/>
  <c r="AG141" i="2"/>
  <c r="AG85" i="2"/>
  <c r="AG5587" i="2"/>
  <c r="AG5531" i="2"/>
  <c r="AG5475" i="2"/>
  <c r="AG5419" i="2"/>
  <c r="AG5363" i="2"/>
  <c r="AG5307" i="2"/>
  <c r="AG5251" i="2"/>
  <c r="AG5195" i="2"/>
  <c r="AG5139" i="2"/>
  <c r="AG5083" i="2"/>
  <c r="AG5027" i="2"/>
  <c r="AG4971" i="2"/>
  <c r="AG4915" i="2"/>
  <c r="AG4859" i="2"/>
  <c r="AG4803" i="2"/>
  <c r="AG4747" i="2"/>
  <c r="AG4691" i="2"/>
  <c r="AG4635" i="2"/>
  <c r="AG4579" i="2"/>
  <c r="AG4523" i="2"/>
  <c r="AG4467" i="2"/>
  <c r="AG4411" i="2"/>
  <c r="AG4355" i="2"/>
  <c r="AG4299" i="2"/>
  <c r="AG4243" i="2"/>
  <c r="AG4187" i="2"/>
  <c r="AG4131" i="2"/>
  <c r="AG4075" i="2"/>
  <c r="AG4019" i="2"/>
  <c r="AG3963" i="2"/>
  <c r="AG3907" i="2"/>
  <c r="AG3851" i="2"/>
  <c r="AG3795" i="2"/>
  <c r="AG3739" i="2"/>
  <c r="AG3683" i="2"/>
  <c r="AG3627" i="2"/>
  <c r="AG3571" i="2"/>
  <c r="AG3515" i="2"/>
  <c r="AG3459" i="2"/>
  <c r="AG3403" i="2"/>
  <c r="AG3347" i="2"/>
  <c r="AG3291" i="2"/>
  <c r="AG3235" i="2"/>
  <c r="AG3179" i="2"/>
  <c r="AG3123" i="2"/>
  <c r="AG3067" i="2"/>
  <c r="AG3011" i="2"/>
  <c r="AG2955" i="2"/>
  <c r="AG2899" i="2"/>
  <c r="AG2843" i="2"/>
  <c r="AG2787" i="2"/>
  <c r="AG2731" i="2"/>
  <c r="AG2675" i="2"/>
  <c r="AG2619" i="2"/>
  <c r="AG2563" i="2"/>
  <c r="AG2507" i="2"/>
  <c r="AG2451" i="2"/>
  <c r="AG2395" i="2"/>
  <c r="AG2339" i="2"/>
  <c r="AG2283" i="2"/>
  <c r="AG2227" i="2"/>
  <c r="AG2171" i="2"/>
  <c r="AG2115" i="2"/>
  <c r="AG2059" i="2"/>
  <c r="AG2003" i="2"/>
  <c r="AG1947" i="2"/>
  <c r="AG1891" i="2"/>
  <c r="AG1835" i="2"/>
  <c r="AG1779" i="2"/>
  <c r="AG1723" i="2"/>
  <c r="AG1667" i="2"/>
  <c r="AG1611" i="2"/>
  <c r="AG1555" i="2"/>
  <c r="AG1499" i="2"/>
  <c r="AG1443" i="2"/>
  <c r="AG1387" i="2"/>
  <c r="AG1331" i="2"/>
  <c r="AG1275" i="2"/>
  <c r="AG1219" i="2"/>
  <c r="AG1163" i="2"/>
  <c r="AG1107" i="2"/>
  <c r="AG1051" i="2"/>
  <c r="AG995" i="2"/>
  <c r="AG939" i="2"/>
  <c r="AG883" i="2"/>
  <c r="AG827" i="2"/>
  <c r="AG771" i="2"/>
  <c r="AG715" i="2"/>
  <c r="AG659" i="2"/>
  <c r="AG603" i="2"/>
  <c r="AG547" i="2"/>
  <c r="AG491" i="2"/>
  <c r="AG435" i="2"/>
  <c r="AG379" i="2"/>
  <c r="AG323" i="2"/>
  <c r="AG267" i="2"/>
  <c r="AG211" i="2"/>
  <c r="AG155" i="2"/>
  <c r="AG99" i="2"/>
  <c r="AG43" i="2"/>
  <c r="X5601" i="2"/>
  <c r="X5545" i="2"/>
  <c r="X5489" i="2"/>
  <c r="X5433" i="2"/>
  <c r="X5377" i="2"/>
  <c r="X5321" i="2"/>
  <c r="X5265" i="2"/>
  <c r="X5209" i="2"/>
  <c r="X5153" i="2"/>
  <c r="X5097" i="2"/>
  <c r="X5041" i="2"/>
  <c r="X4985" i="2"/>
  <c r="X4929" i="2"/>
  <c r="X4873" i="2"/>
  <c r="X4817" i="2"/>
  <c r="X4761" i="2"/>
  <c r="X4705" i="2"/>
  <c r="X4649" i="2"/>
  <c r="X4593" i="2"/>
  <c r="X4537" i="2"/>
  <c r="X4481" i="2"/>
  <c r="X4425" i="2"/>
  <c r="X4369" i="2"/>
  <c r="X4313" i="2"/>
  <c r="X4257" i="2"/>
  <c r="X4201" i="2"/>
  <c r="X4145" i="2"/>
  <c r="X4089" i="2"/>
  <c r="X4033" i="2"/>
  <c r="X3977" i="2"/>
  <c r="X3921" i="2"/>
  <c r="X3865" i="2"/>
  <c r="X3809" i="2"/>
  <c r="X3753" i="2"/>
  <c r="X3697" i="2"/>
  <c r="X3641" i="2"/>
  <c r="X3585" i="2"/>
  <c r="X3529" i="2"/>
  <c r="X3473" i="2"/>
  <c r="X3417" i="2"/>
  <c r="X3361" i="2"/>
  <c r="X3305" i="2"/>
  <c r="X3249" i="2"/>
  <c r="X3193" i="2"/>
  <c r="X3137" i="2"/>
  <c r="X3081" i="2"/>
  <c r="X3025" i="2"/>
  <c r="X2969" i="2"/>
  <c r="X2913" i="2"/>
  <c r="X2857" i="2"/>
  <c r="X2801" i="2"/>
  <c r="X2745" i="2"/>
  <c r="X2689" i="2"/>
  <c r="X2633" i="2"/>
  <c r="X2577" i="2"/>
  <c r="X2521" i="2"/>
  <c r="X2465" i="2"/>
  <c r="X2409" i="2"/>
  <c r="X2353" i="2"/>
  <c r="X2297" i="2"/>
  <c r="X2241" i="2"/>
  <c r="X2185" i="2"/>
  <c r="X2129" i="2"/>
  <c r="X2073" i="2"/>
  <c r="X2017" i="2"/>
  <c r="X1961" i="2"/>
  <c r="X1905" i="2"/>
  <c r="X1849" i="2"/>
  <c r="X1793" i="2"/>
  <c r="X1737" i="2"/>
  <c r="X1681" i="2"/>
  <c r="X1625" i="2"/>
  <c r="X1569" i="2"/>
  <c r="X1513" i="2"/>
  <c r="X1457" i="2"/>
  <c r="X1401" i="2"/>
  <c r="X1345" i="2"/>
  <c r="X1289" i="2"/>
  <c r="X1233" i="2"/>
  <c r="X1177" i="2"/>
  <c r="X1121" i="2"/>
  <c r="X1065" i="2"/>
  <c r="X1009" i="2"/>
  <c r="X953" i="2"/>
  <c r="X897" i="2"/>
  <c r="X841" i="2"/>
  <c r="X785" i="2"/>
  <c r="X729" i="2"/>
  <c r="X673" i="2"/>
  <c r="X617" i="2"/>
  <c r="X561" i="2"/>
  <c r="X505" i="2"/>
  <c r="X449" i="2"/>
  <c r="X393" i="2"/>
  <c r="X337" i="2"/>
  <c r="X281" i="2"/>
  <c r="X225" i="2"/>
  <c r="X169" i="2"/>
  <c r="X113" i="2"/>
  <c r="X57" i="2"/>
  <c r="X5615" i="2"/>
  <c r="X5559" i="2"/>
  <c r="X5503" i="2"/>
  <c r="X5447" i="2"/>
  <c r="X5391" i="2"/>
  <c r="X5335" i="2"/>
  <c r="X5279" i="2"/>
  <c r="X5223" i="2"/>
  <c r="X5167" i="2"/>
  <c r="X5111" i="2"/>
  <c r="X5055" i="2"/>
  <c r="X4999" i="2"/>
  <c r="X4943" i="2"/>
  <c r="X4887" i="2"/>
  <c r="X4831" i="2"/>
  <c r="X4775" i="2"/>
  <c r="X4719" i="2"/>
  <c r="X4663" i="2"/>
  <c r="X4607" i="2"/>
  <c r="X4551" i="2"/>
  <c r="X4495" i="2"/>
  <c r="X4439" i="2"/>
  <c r="X4383" i="2"/>
  <c r="X4327" i="2"/>
  <c r="X4271" i="2"/>
  <c r="X4215" i="2"/>
  <c r="X4159" i="2"/>
  <c r="X4103" i="2"/>
  <c r="X4047" i="2"/>
  <c r="X3991" i="2"/>
  <c r="X3935" i="2"/>
  <c r="X3879" i="2"/>
  <c r="X3823" i="2"/>
  <c r="X3767" i="2"/>
  <c r="X3711" i="2"/>
  <c r="X3655" i="2"/>
  <c r="X3599" i="2"/>
  <c r="X3543" i="2"/>
  <c r="X3487" i="2"/>
  <c r="X3431" i="2"/>
  <c r="X3375" i="2"/>
  <c r="X3319" i="2"/>
  <c r="X3263" i="2"/>
  <c r="X3207" i="2"/>
  <c r="X3151" i="2"/>
  <c r="X3095" i="2"/>
  <c r="X3039" i="2"/>
  <c r="X2983" i="2"/>
  <c r="X2927" i="2"/>
  <c r="X2871" i="2"/>
  <c r="X2815" i="2"/>
  <c r="X2759" i="2"/>
  <c r="X2703" i="2"/>
  <c r="X2647" i="2"/>
  <c r="X2591" i="2"/>
  <c r="X2535" i="2"/>
  <c r="X2479" i="2"/>
  <c r="X2423" i="2"/>
  <c r="X2367" i="2"/>
  <c r="X2311" i="2"/>
  <c r="X2255" i="2"/>
  <c r="X2199" i="2"/>
  <c r="X2143" i="2"/>
  <c r="X2087" i="2"/>
  <c r="X2031" i="2"/>
  <c r="X1975" i="2"/>
  <c r="X1919" i="2"/>
  <c r="X1863" i="2"/>
  <c r="X1807" i="2"/>
  <c r="X1751" i="2"/>
  <c r="X1695" i="2"/>
  <c r="X1639" i="2"/>
  <c r="X1583" i="2"/>
  <c r="X1527" i="2"/>
  <c r="X1471" i="2"/>
  <c r="X1415" i="2"/>
  <c r="X1359" i="2"/>
  <c r="X1303" i="2"/>
  <c r="X1247" i="2"/>
  <c r="X1191" i="2"/>
  <c r="X1135" i="2"/>
  <c r="X1079" i="2"/>
  <c r="X1023" i="2"/>
  <c r="X967" i="2"/>
  <c r="X911" i="2"/>
  <c r="X855" i="2"/>
  <c r="X799" i="2"/>
  <c r="X743" i="2"/>
  <c r="X687" i="2"/>
  <c r="X631" i="2"/>
  <c r="X575" i="2"/>
  <c r="X519" i="2"/>
  <c r="X463" i="2"/>
  <c r="X407" i="2"/>
  <c r="X351" i="2"/>
  <c r="X295" i="2"/>
  <c r="X239" i="2"/>
  <c r="X183" i="2"/>
  <c r="X127" i="2"/>
  <c r="X71" i="2"/>
  <c r="X5629" i="2"/>
  <c r="X5573" i="2"/>
  <c r="X5517" i="2"/>
  <c r="X5461" i="2"/>
  <c r="X5405" i="2"/>
  <c r="X5349" i="2"/>
  <c r="X5293" i="2"/>
  <c r="X5237" i="2"/>
  <c r="X5181" i="2"/>
  <c r="X5125" i="2"/>
  <c r="X5069" i="2"/>
  <c r="X5013" i="2"/>
  <c r="X4957" i="2"/>
  <c r="X4901" i="2"/>
  <c r="X4845" i="2"/>
  <c r="X4789" i="2"/>
  <c r="X4733" i="2"/>
  <c r="X4677" i="2"/>
  <c r="X4621" i="2"/>
  <c r="X4565" i="2"/>
  <c r="X4509" i="2"/>
  <c r="X4453" i="2"/>
  <c r="X4397" i="2"/>
  <c r="X4341" i="2"/>
  <c r="X4285" i="2"/>
  <c r="X4229" i="2"/>
  <c r="X4173" i="2"/>
  <c r="X4117" i="2"/>
  <c r="X4061" i="2"/>
  <c r="X4005" i="2"/>
  <c r="X3949" i="2"/>
  <c r="X3893" i="2"/>
  <c r="X3837" i="2"/>
  <c r="X3781" i="2"/>
  <c r="X3725" i="2"/>
  <c r="X3669" i="2"/>
  <c r="X3613" i="2"/>
  <c r="X3557" i="2"/>
  <c r="X3501" i="2"/>
  <c r="X3445" i="2"/>
  <c r="X3389" i="2"/>
  <c r="X3333" i="2"/>
  <c r="X3277" i="2"/>
  <c r="X3221" i="2"/>
  <c r="X3165" i="2"/>
  <c r="X3109" i="2"/>
  <c r="X3053" i="2"/>
  <c r="X2997" i="2"/>
  <c r="X2941" i="2"/>
  <c r="X2885" i="2"/>
  <c r="X2829" i="2"/>
  <c r="X2773" i="2"/>
  <c r="X2717" i="2"/>
  <c r="X2661" i="2"/>
  <c r="X2605" i="2"/>
  <c r="X2549" i="2"/>
  <c r="X2493" i="2"/>
  <c r="X2437" i="2"/>
  <c r="X2381" i="2"/>
  <c r="X2325" i="2"/>
  <c r="X2269" i="2"/>
  <c r="X2213" i="2"/>
  <c r="X2157" i="2"/>
  <c r="X2101" i="2"/>
  <c r="X2045" i="2"/>
  <c r="X1989" i="2"/>
  <c r="X1933" i="2"/>
  <c r="X1877" i="2"/>
  <c r="X1821" i="2"/>
  <c r="X1765" i="2"/>
  <c r="X1709" i="2"/>
  <c r="X1653" i="2"/>
  <c r="X1597" i="2"/>
  <c r="X1541" i="2"/>
  <c r="X1485" i="2"/>
  <c r="X1429" i="2"/>
  <c r="X1373" i="2"/>
  <c r="X1317" i="2"/>
  <c r="X1261" i="2"/>
  <c r="X1205" i="2"/>
  <c r="X1149" i="2"/>
  <c r="X1093" i="2"/>
  <c r="X1037" i="2"/>
  <c r="X981" i="2"/>
  <c r="X925" i="2"/>
  <c r="X869" i="2"/>
  <c r="X813" i="2"/>
  <c r="X757" i="2"/>
  <c r="X701" i="2"/>
  <c r="X645" i="2"/>
  <c r="X589" i="2"/>
  <c r="X533" i="2"/>
  <c r="X477" i="2"/>
  <c r="X421" i="2"/>
  <c r="X365" i="2"/>
  <c r="X309" i="2"/>
  <c r="X253" i="2"/>
  <c r="X197" i="2"/>
  <c r="X141" i="2"/>
  <c r="X85" i="2"/>
  <c r="X5587" i="2"/>
  <c r="X5531" i="2"/>
  <c r="X5475" i="2"/>
  <c r="X5419" i="2"/>
  <c r="X5363" i="2"/>
  <c r="X5307" i="2"/>
  <c r="X5251" i="2"/>
  <c r="X5195" i="2"/>
  <c r="X5139" i="2"/>
  <c r="X5083" i="2"/>
  <c r="X5027" i="2"/>
  <c r="X4971" i="2"/>
  <c r="X4915" i="2"/>
  <c r="X4859" i="2"/>
  <c r="X4803" i="2"/>
  <c r="X4747" i="2"/>
  <c r="X4691" i="2"/>
  <c r="X4635" i="2"/>
  <c r="X4579" i="2"/>
  <c r="X4523" i="2"/>
  <c r="X4467" i="2"/>
  <c r="X4411" i="2"/>
  <c r="X4355" i="2"/>
  <c r="X4299" i="2"/>
  <c r="X4243" i="2"/>
  <c r="X4187" i="2"/>
  <c r="X4131" i="2"/>
  <c r="X4075" i="2"/>
  <c r="X4019" i="2"/>
  <c r="X3963" i="2"/>
  <c r="X3907" i="2"/>
  <c r="X3851" i="2"/>
  <c r="X3795" i="2"/>
  <c r="X3739" i="2"/>
  <c r="X3683" i="2"/>
  <c r="X3627" i="2"/>
  <c r="X3571" i="2"/>
  <c r="X3515" i="2"/>
  <c r="X3459" i="2"/>
  <c r="X3403" i="2"/>
  <c r="X3347" i="2"/>
  <c r="X3291" i="2"/>
  <c r="X3235" i="2"/>
  <c r="X3179" i="2"/>
  <c r="X3123" i="2"/>
  <c r="X3067" i="2"/>
  <c r="X3011" i="2"/>
  <c r="X2955" i="2"/>
  <c r="X2899" i="2"/>
  <c r="X2843" i="2"/>
  <c r="X2787" i="2"/>
  <c r="X2731" i="2"/>
  <c r="X2675" i="2"/>
  <c r="X2619" i="2"/>
  <c r="X2563" i="2"/>
  <c r="X2507" i="2"/>
  <c r="X2451" i="2"/>
  <c r="X2395" i="2"/>
  <c r="X2339" i="2"/>
  <c r="X2283" i="2"/>
  <c r="X2227" i="2"/>
  <c r="X2171" i="2"/>
  <c r="X2115" i="2"/>
  <c r="X2059" i="2"/>
  <c r="X2003" i="2"/>
  <c r="X1947" i="2"/>
  <c r="X1891" i="2"/>
  <c r="X1835" i="2"/>
  <c r="X1779" i="2"/>
  <c r="X1723" i="2"/>
  <c r="X1667" i="2"/>
  <c r="X1611" i="2"/>
  <c r="X1555" i="2"/>
  <c r="X1499" i="2"/>
  <c r="X1443" i="2"/>
  <c r="X1387" i="2"/>
  <c r="X1331" i="2"/>
  <c r="X1275" i="2"/>
  <c r="X1219" i="2"/>
  <c r="X1163" i="2"/>
  <c r="X1107" i="2"/>
  <c r="X1051" i="2"/>
  <c r="X995" i="2"/>
  <c r="X939" i="2"/>
  <c r="X883" i="2"/>
  <c r="X827" i="2"/>
  <c r="X771" i="2"/>
  <c r="X715" i="2"/>
  <c r="X659" i="2"/>
  <c r="X603" i="2"/>
  <c r="X547" i="2"/>
  <c r="X491" i="2"/>
  <c r="X435" i="2"/>
  <c r="X379" i="2"/>
  <c r="X323" i="2"/>
  <c r="X267" i="2"/>
  <c r="X211" i="2"/>
  <c r="X155" i="2"/>
  <c r="X99" i="2"/>
  <c r="X43" i="2"/>
  <c r="AJ5601" i="2"/>
  <c r="AJ5545" i="2"/>
  <c r="AJ5489" i="2"/>
  <c r="AJ5433" i="2"/>
  <c r="AJ5377" i="2"/>
  <c r="AJ5321" i="2"/>
  <c r="AJ5265" i="2"/>
  <c r="AJ5209" i="2"/>
  <c r="AJ5153" i="2"/>
  <c r="AJ5097" i="2"/>
  <c r="AJ5041" i="2"/>
  <c r="AJ4985" i="2"/>
  <c r="AJ4929" i="2"/>
  <c r="AJ4873" i="2"/>
  <c r="AJ4817" i="2"/>
  <c r="AJ4761" i="2"/>
  <c r="AJ4705" i="2"/>
  <c r="AJ4649" i="2"/>
  <c r="AJ4593" i="2"/>
  <c r="AJ4537" i="2"/>
  <c r="AJ4481" i="2"/>
  <c r="AJ4425" i="2"/>
  <c r="AJ4369" i="2"/>
  <c r="AJ4313" i="2"/>
  <c r="AJ4257" i="2"/>
  <c r="AJ4201" i="2"/>
  <c r="AJ4145" i="2"/>
  <c r="AJ4089" i="2"/>
  <c r="AJ4033" i="2"/>
  <c r="AJ3977" i="2"/>
  <c r="AJ3921" i="2"/>
  <c r="AJ3865" i="2"/>
  <c r="AJ3809" i="2"/>
  <c r="AJ3753" i="2"/>
  <c r="AJ3697" i="2"/>
  <c r="AJ3641" i="2"/>
  <c r="AJ3585" i="2"/>
  <c r="AJ3529" i="2"/>
  <c r="AJ3473" i="2"/>
  <c r="AJ3417" i="2"/>
  <c r="AJ3361" i="2"/>
  <c r="AJ3305" i="2"/>
  <c r="AJ3249" i="2"/>
  <c r="AJ3193" i="2"/>
  <c r="AJ3137" i="2"/>
  <c r="AJ3081" i="2"/>
  <c r="AJ3025" i="2"/>
  <c r="AJ2969" i="2"/>
  <c r="AJ2913" i="2"/>
  <c r="AJ2857" i="2"/>
  <c r="AJ2801" i="2"/>
  <c r="AJ2745" i="2"/>
  <c r="AJ2689" i="2"/>
  <c r="AJ2633" i="2"/>
  <c r="AJ2577" i="2"/>
  <c r="AJ2521" i="2"/>
  <c r="AJ5615" i="2"/>
  <c r="AJ5559" i="2"/>
  <c r="AJ5503" i="2"/>
  <c r="AJ5447" i="2"/>
  <c r="AJ5391" i="2"/>
  <c r="AJ5335" i="2"/>
  <c r="AJ5279" i="2"/>
  <c r="AJ5223" i="2"/>
  <c r="AJ5167" i="2"/>
  <c r="AJ5111" i="2"/>
  <c r="AJ5055" i="2"/>
  <c r="AJ4999" i="2"/>
  <c r="AJ4943" i="2"/>
  <c r="AJ4887" i="2"/>
  <c r="AJ4831" i="2"/>
  <c r="AJ4775" i="2"/>
  <c r="AJ4719" i="2"/>
  <c r="AJ4663" i="2"/>
  <c r="AJ4607" i="2"/>
  <c r="AJ4551" i="2"/>
  <c r="AJ4495" i="2"/>
  <c r="AJ4439" i="2"/>
  <c r="AJ4383" i="2"/>
  <c r="AJ4327" i="2"/>
  <c r="AJ4271" i="2"/>
  <c r="AJ4215" i="2"/>
  <c r="AJ4159" i="2"/>
  <c r="AJ4103" i="2"/>
  <c r="AJ4047" i="2"/>
  <c r="AJ3991" i="2"/>
  <c r="AJ3935" i="2"/>
  <c r="AJ3879" i="2"/>
  <c r="AJ3823" i="2"/>
  <c r="AJ3767" i="2"/>
  <c r="AJ3711" i="2"/>
  <c r="AJ3655" i="2"/>
  <c r="AJ3599" i="2"/>
  <c r="AJ3543" i="2"/>
  <c r="AJ3487" i="2"/>
  <c r="AJ3431" i="2"/>
  <c r="AJ3375" i="2"/>
  <c r="AJ3319" i="2"/>
  <c r="AJ3263" i="2"/>
  <c r="AJ3207" i="2"/>
  <c r="AJ3151" i="2"/>
  <c r="AJ3095" i="2"/>
  <c r="AJ3039" i="2"/>
  <c r="AJ2983" i="2"/>
  <c r="AJ2927" i="2"/>
  <c r="AJ2871" i="2"/>
  <c r="AJ2815" i="2"/>
  <c r="AJ2759" i="2"/>
  <c r="AJ2703" i="2"/>
  <c r="AJ2647" i="2"/>
  <c r="AJ2591" i="2"/>
  <c r="AJ2535" i="2"/>
  <c r="AJ5629" i="2"/>
  <c r="AJ5573" i="2"/>
  <c r="AJ5517" i="2"/>
  <c r="AJ5461" i="2"/>
  <c r="AJ5405" i="2"/>
  <c r="AJ5349" i="2"/>
  <c r="AJ5293" i="2"/>
  <c r="AJ5237" i="2"/>
  <c r="AJ5181" i="2"/>
  <c r="AJ5125" i="2"/>
  <c r="AJ5069" i="2"/>
  <c r="AJ5013" i="2"/>
  <c r="AJ4957" i="2"/>
  <c r="AJ4901" i="2"/>
  <c r="AJ4845" i="2"/>
  <c r="AJ4789" i="2"/>
  <c r="AJ4733" i="2"/>
  <c r="AJ4677" i="2"/>
  <c r="AJ4621" i="2"/>
  <c r="AJ4565" i="2"/>
  <c r="AJ4509" i="2"/>
  <c r="AJ4453" i="2"/>
  <c r="AJ4397" i="2"/>
  <c r="AJ4341" i="2"/>
  <c r="AJ4285" i="2"/>
  <c r="AJ4229" i="2"/>
  <c r="AJ4173" i="2"/>
  <c r="AJ4117" i="2"/>
  <c r="AJ4061" i="2"/>
  <c r="AJ4005" i="2"/>
  <c r="AJ3949" i="2"/>
  <c r="AJ3893" i="2"/>
  <c r="AJ3837" i="2"/>
  <c r="AJ3781" i="2"/>
  <c r="AJ3725" i="2"/>
  <c r="AJ3669" i="2"/>
  <c r="AJ3613" i="2"/>
  <c r="AJ3557" i="2"/>
  <c r="AJ3501" i="2"/>
  <c r="AJ3445" i="2"/>
  <c r="AJ3389" i="2"/>
  <c r="AJ3333" i="2"/>
  <c r="AJ3277" i="2"/>
  <c r="AJ3221" i="2"/>
  <c r="AJ3165" i="2"/>
  <c r="AJ3109" i="2"/>
  <c r="AJ3053" i="2"/>
  <c r="AJ2997" i="2"/>
  <c r="AJ2941" i="2"/>
  <c r="AJ2885" i="2"/>
  <c r="AJ2829" i="2"/>
  <c r="AJ2773" i="2"/>
  <c r="AJ2717" i="2"/>
  <c r="AJ2661" i="2"/>
  <c r="AJ2605" i="2"/>
  <c r="AJ2549" i="2"/>
  <c r="AJ5587" i="2"/>
  <c r="AJ5531" i="2"/>
  <c r="AJ5475" i="2"/>
  <c r="AJ5419" i="2"/>
  <c r="AJ5363" i="2"/>
  <c r="AJ5307" i="2"/>
  <c r="AJ5251" i="2"/>
  <c r="AJ5195" i="2"/>
  <c r="AJ5139" i="2"/>
  <c r="AJ5083" i="2"/>
  <c r="AJ5027" i="2"/>
  <c r="AJ4971" i="2"/>
  <c r="AJ4915" i="2"/>
  <c r="AJ4859" i="2"/>
  <c r="AJ4803" i="2"/>
  <c r="AJ4747" i="2"/>
  <c r="AJ4691" i="2"/>
  <c r="AJ4635" i="2"/>
  <c r="AJ4579" i="2"/>
  <c r="AJ4523" i="2"/>
  <c r="AJ4467" i="2"/>
  <c r="AJ4411" i="2"/>
  <c r="AJ4355" i="2"/>
  <c r="AJ4299" i="2"/>
  <c r="AJ4243" i="2"/>
  <c r="AJ4187" i="2"/>
  <c r="AJ4131" i="2"/>
  <c r="AJ4075" i="2"/>
  <c r="AJ4019" i="2"/>
  <c r="AJ3963" i="2"/>
  <c r="AJ3907" i="2"/>
  <c r="AJ3851" i="2"/>
  <c r="AJ3795" i="2"/>
  <c r="AJ3739" i="2"/>
  <c r="AJ3683" i="2"/>
  <c r="AJ3627" i="2"/>
  <c r="AJ3571" i="2"/>
  <c r="AJ3515" i="2"/>
  <c r="AJ3459" i="2"/>
  <c r="AJ3403" i="2"/>
  <c r="AJ3347" i="2"/>
  <c r="AJ3291" i="2"/>
  <c r="AJ3235" i="2"/>
  <c r="AJ3179" i="2"/>
  <c r="AJ3123" i="2"/>
  <c r="AJ3067" i="2"/>
  <c r="AJ3011" i="2"/>
  <c r="AJ2955" i="2"/>
  <c r="AJ2899" i="2"/>
  <c r="AJ2843" i="2"/>
  <c r="AJ2787" i="2"/>
  <c r="AJ2731" i="2"/>
  <c r="AJ2675" i="2"/>
  <c r="AJ2619" i="2"/>
  <c r="AJ2563" i="2"/>
  <c r="AJ2507" i="2"/>
  <c r="AJ2465" i="2"/>
  <c r="AJ2409" i="2"/>
  <c r="AJ2353" i="2"/>
  <c r="AJ2297" i="2"/>
  <c r="AJ2241" i="2"/>
  <c r="AJ2185" i="2"/>
  <c r="AJ2129" i="2"/>
  <c r="AJ2073" i="2"/>
  <c r="AJ2017" i="2"/>
  <c r="AJ1961" i="2"/>
  <c r="AJ1905" i="2"/>
  <c r="AJ1849" i="2"/>
  <c r="AJ1793" i="2"/>
  <c r="AJ1737" i="2"/>
  <c r="AJ1681" i="2"/>
  <c r="AJ1625" i="2"/>
  <c r="AJ1569" i="2"/>
  <c r="AJ1513" i="2"/>
  <c r="AJ1457" i="2"/>
  <c r="AJ1401" i="2"/>
  <c r="AJ1345" i="2"/>
  <c r="AJ1289" i="2"/>
  <c r="AJ1233" i="2"/>
  <c r="AJ1177" i="2"/>
  <c r="AJ1121" i="2"/>
  <c r="AJ1065" i="2"/>
  <c r="AJ1009" i="2"/>
  <c r="AJ953" i="2"/>
  <c r="AJ897" i="2"/>
  <c r="AJ841" i="2"/>
  <c r="AJ785" i="2"/>
  <c r="AJ729" i="2"/>
  <c r="AJ673" i="2"/>
  <c r="AJ617" i="2"/>
  <c r="AJ561" i="2"/>
  <c r="AJ505" i="2"/>
  <c r="AJ449" i="2"/>
  <c r="AJ393" i="2"/>
  <c r="AJ337" i="2"/>
  <c r="AJ281" i="2"/>
  <c r="AJ225" i="2"/>
  <c r="AJ169" i="2"/>
  <c r="AJ113" i="2"/>
  <c r="AJ57" i="2"/>
  <c r="AJ2479" i="2"/>
  <c r="AJ2423" i="2"/>
  <c r="AJ2367" i="2"/>
  <c r="AJ2311" i="2"/>
  <c r="AJ2255" i="2"/>
  <c r="AJ2199" i="2"/>
  <c r="AJ2143" i="2"/>
  <c r="AJ2087" i="2"/>
  <c r="AJ2031" i="2"/>
  <c r="AJ1975" i="2"/>
  <c r="AJ1919" i="2"/>
  <c r="AJ1863" i="2"/>
  <c r="AJ1807" i="2"/>
  <c r="AJ1751" i="2"/>
  <c r="AJ1695" i="2"/>
  <c r="AJ1639" i="2"/>
  <c r="AJ1583" i="2"/>
  <c r="AJ1527" i="2"/>
  <c r="AJ1471" i="2"/>
  <c r="AJ1415" i="2"/>
  <c r="AJ1359" i="2"/>
  <c r="AJ1303" i="2"/>
  <c r="AJ1247" i="2"/>
  <c r="AJ1191" i="2"/>
  <c r="AJ1135" i="2"/>
  <c r="AJ1079" i="2"/>
  <c r="AJ1023" i="2"/>
  <c r="AJ967" i="2"/>
  <c r="AJ911" i="2"/>
  <c r="AJ855" i="2"/>
  <c r="AJ799" i="2"/>
  <c r="AJ743" i="2"/>
  <c r="AJ687" i="2"/>
  <c r="AJ631" i="2"/>
  <c r="AJ575" i="2"/>
  <c r="AJ519" i="2"/>
  <c r="AJ463" i="2"/>
  <c r="AJ407" i="2"/>
  <c r="AJ351" i="2"/>
  <c r="AJ295" i="2"/>
  <c r="AJ239" i="2"/>
  <c r="AJ183" i="2"/>
  <c r="AJ127" i="2"/>
  <c r="AJ71" i="2"/>
  <c r="AJ2493" i="2"/>
  <c r="AJ2437" i="2"/>
  <c r="AJ2381" i="2"/>
  <c r="AJ2325" i="2"/>
  <c r="AJ2269" i="2"/>
  <c r="AJ2213" i="2"/>
  <c r="AJ2157" i="2"/>
  <c r="AJ2101" i="2"/>
  <c r="AJ2045" i="2"/>
  <c r="AJ1989" i="2"/>
  <c r="AJ1933" i="2"/>
  <c r="AJ1877" i="2"/>
  <c r="AJ1821" i="2"/>
  <c r="AJ1765" i="2"/>
  <c r="AJ1709" i="2"/>
  <c r="AJ1653" i="2"/>
  <c r="AJ1597" i="2"/>
  <c r="AJ1541" i="2"/>
  <c r="AJ1485" i="2"/>
  <c r="AJ1429" i="2"/>
  <c r="AJ1373" i="2"/>
  <c r="AJ1317" i="2"/>
  <c r="AJ1261" i="2"/>
  <c r="AJ1205" i="2"/>
  <c r="AJ1149" i="2"/>
  <c r="AJ1093" i="2"/>
  <c r="AJ1037" i="2"/>
  <c r="AJ981" i="2"/>
  <c r="AJ925" i="2"/>
  <c r="AJ869" i="2"/>
  <c r="AJ813" i="2"/>
  <c r="AJ757" i="2"/>
  <c r="AJ701" i="2"/>
  <c r="AJ645" i="2"/>
  <c r="AJ589" i="2"/>
  <c r="AJ533" i="2"/>
  <c r="AJ477" i="2"/>
  <c r="AJ421" i="2"/>
  <c r="AJ365" i="2"/>
  <c r="AJ309" i="2"/>
  <c r="AJ253" i="2"/>
  <c r="AJ197" i="2"/>
  <c r="AJ141" i="2"/>
  <c r="AJ85" i="2"/>
  <c r="AJ2451" i="2"/>
  <c r="AJ2395" i="2"/>
  <c r="AJ2339" i="2"/>
  <c r="AJ2283" i="2"/>
  <c r="AJ2227" i="2"/>
  <c r="AJ2171" i="2"/>
  <c r="AJ2115" i="2"/>
  <c r="AJ2059" i="2"/>
  <c r="AJ2003" i="2"/>
  <c r="AJ1947" i="2"/>
  <c r="AJ1891" i="2"/>
  <c r="AJ1835" i="2"/>
  <c r="AJ1779" i="2"/>
  <c r="AJ1723" i="2"/>
  <c r="AJ1667" i="2"/>
  <c r="AJ1611" i="2"/>
  <c r="AJ1555" i="2"/>
  <c r="AJ1499" i="2"/>
  <c r="AJ1443" i="2"/>
  <c r="AJ1387" i="2"/>
  <c r="AJ1331" i="2"/>
  <c r="AJ1275" i="2"/>
  <c r="AJ1219" i="2"/>
  <c r="AJ1163" i="2"/>
  <c r="AJ1107" i="2"/>
  <c r="AJ1051" i="2"/>
  <c r="AJ995" i="2"/>
  <c r="AJ939" i="2"/>
  <c r="AJ883" i="2"/>
  <c r="AJ827" i="2"/>
  <c r="AJ771" i="2"/>
  <c r="AJ715" i="2"/>
  <c r="AJ659" i="2"/>
  <c r="AJ603" i="2"/>
  <c r="AJ547" i="2"/>
  <c r="AJ491" i="2"/>
  <c r="AJ435" i="2"/>
  <c r="AJ379" i="2"/>
  <c r="AJ323" i="2"/>
  <c r="AJ267" i="2"/>
  <c r="AJ211" i="2"/>
  <c r="AJ155" i="2"/>
  <c r="AJ99" i="2"/>
  <c r="AJ43" i="2"/>
  <c r="AD5601" i="2"/>
  <c r="AD5545" i="2"/>
  <c r="AD5489" i="2"/>
  <c r="AD5433" i="2"/>
  <c r="AD5377" i="2"/>
  <c r="AD5321" i="2"/>
  <c r="AD5265" i="2"/>
  <c r="AD5209" i="2"/>
  <c r="AD5153" i="2"/>
  <c r="AD5097" i="2"/>
  <c r="AD5041" i="2"/>
  <c r="AD4985" i="2"/>
  <c r="AD4929" i="2"/>
  <c r="AD4873" i="2"/>
  <c r="AD4817" i="2"/>
  <c r="AD4761" i="2"/>
  <c r="AD4705" i="2"/>
  <c r="AD4649" i="2"/>
  <c r="AD4593" i="2"/>
  <c r="AD4537" i="2"/>
  <c r="AD4481" i="2"/>
  <c r="AD4425" i="2"/>
  <c r="AD4369" i="2"/>
  <c r="AD4313" i="2"/>
  <c r="AD4257" i="2"/>
  <c r="AD4201" i="2"/>
  <c r="AD4145" i="2"/>
  <c r="AD4089" i="2"/>
  <c r="AD4033" i="2"/>
  <c r="AD3977" i="2"/>
  <c r="AD3921" i="2"/>
  <c r="AD3865" i="2"/>
  <c r="AD3809" i="2"/>
  <c r="AD3753" i="2"/>
  <c r="AD3697" i="2"/>
  <c r="AD3641" i="2"/>
  <c r="AD3585" i="2"/>
  <c r="AD3529" i="2"/>
  <c r="AD3473" i="2"/>
  <c r="AD3417" i="2"/>
  <c r="AD3361" i="2"/>
  <c r="AD3305" i="2"/>
  <c r="AD3249" i="2"/>
  <c r="AD3193" i="2"/>
  <c r="AD3137" i="2"/>
  <c r="AD3081" i="2"/>
  <c r="AD3025" i="2"/>
  <c r="AD2969" i="2"/>
  <c r="AD2913" i="2"/>
  <c r="AD2857" i="2"/>
  <c r="AD2801" i="2"/>
  <c r="AD2745" i="2"/>
  <c r="AD2689" i="2"/>
  <c r="AD2633" i="2"/>
  <c r="AD2577" i="2"/>
  <c r="AD2521" i="2"/>
  <c r="AD2465" i="2"/>
  <c r="AD2409" i="2"/>
  <c r="AD2353" i="2"/>
  <c r="AD2297" i="2"/>
  <c r="AD2241" i="2"/>
  <c r="AD2185" i="2"/>
  <c r="AD2129" i="2"/>
  <c r="AD2073" i="2"/>
  <c r="AD2017" i="2"/>
  <c r="AD1961" i="2"/>
  <c r="AD1905" i="2"/>
  <c r="AD1849" i="2"/>
  <c r="AD1793" i="2"/>
  <c r="AD1737" i="2"/>
  <c r="AD1681" i="2"/>
  <c r="AD1625" i="2"/>
  <c r="AD1569" i="2"/>
  <c r="AD1513" i="2"/>
  <c r="AD1457" i="2"/>
  <c r="AD1401" i="2"/>
  <c r="AD1345" i="2"/>
  <c r="AD1289" i="2"/>
  <c r="AD1233" i="2"/>
  <c r="AD1177" i="2"/>
  <c r="AD1121" i="2"/>
  <c r="AD1065" i="2"/>
  <c r="AD1009" i="2"/>
  <c r="AD953" i="2"/>
  <c r="AD897" i="2"/>
  <c r="AD841" i="2"/>
  <c r="AD785" i="2"/>
  <c r="AD729" i="2"/>
  <c r="AD673" i="2"/>
  <c r="AD617" i="2"/>
  <c r="AD561" i="2"/>
  <c r="AD505" i="2"/>
  <c r="AD449" i="2"/>
  <c r="AD393" i="2"/>
  <c r="AD337" i="2"/>
  <c r="AD281" i="2"/>
  <c r="AD225" i="2"/>
  <c r="AD169" i="2"/>
  <c r="AD113" i="2"/>
  <c r="AD57" i="2"/>
  <c r="AD5615" i="2"/>
  <c r="AD5559" i="2"/>
  <c r="AD5503" i="2"/>
  <c r="AD5447" i="2"/>
  <c r="AD5391" i="2"/>
  <c r="AD5335" i="2"/>
  <c r="AD5279" i="2"/>
  <c r="AD5223" i="2"/>
  <c r="AD5167" i="2"/>
  <c r="AD5111" i="2"/>
  <c r="AD5055" i="2"/>
  <c r="AD4999" i="2"/>
  <c r="AD4943" i="2"/>
  <c r="AD4887" i="2"/>
  <c r="AD4831" i="2"/>
  <c r="AD4775" i="2"/>
  <c r="AD4719" i="2"/>
  <c r="AD4663" i="2"/>
  <c r="AD4607" i="2"/>
  <c r="AD4551" i="2"/>
  <c r="AD4495" i="2"/>
  <c r="AD4439" i="2"/>
  <c r="AD4383" i="2"/>
  <c r="AD4327" i="2"/>
  <c r="AD4271" i="2"/>
  <c r="AD4215" i="2"/>
  <c r="AD4159" i="2"/>
  <c r="AD4103" i="2"/>
  <c r="AD4047" i="2"/>
  <c r="AD3991" i="2"/>
  <c r="AD3935" i="2"/>
  <c r="AD3879" i="2"/>
  <c r="AD3823" i="2"/>
  <c r="AD3767" i="2"/>
  <c r="AD3711" i="2"/>
  <c r="AD3655" i="2"/>
  <c r="AD3599" i="2"/>
  <c r="AD3543" i="2"/>
  <c r="AD3487" i="2"/>
  <c r="AD3431" i="2"/>
  <c r="AD3375" i="2"/>
  <c r="AD3319" i="2"/>
  <c r="AD3263" i="2"/>
  <c r="AD3207" i="2"/>
  <c r="AD3151" i="2"/>
  <c r="AD3095" i="2"/>
  <c r="AD3039" i="2"/>
  <c r="AD2983" i="2"/>
  <c r="AD2927" i="2"/>
  <c r="AD2871" i="2"/>
  <c r="AD2815" i="2"/>
  <c r="AD2759" i="2"/>
  <c r="AD2703" i="2"/>
  <c r="AD2647" i="2"/>
  <c r="AD2591" i="2"/>
  <c r="AD2535" i="2"/>
  <c r="AD2479" i="2"/>
  <c r="AD2423" i="2"/>
  <c r="AD2367" i="2"/>
  <c r="AD2311" i="2"/>
  <c r="AD2255" i="2"/>
  <c r="AD2199" i="2"/>
  <c r="AD2143" i="2"/>
  <c r="AD2087" i="2"/>
  <c r="AD2031" i="2"/>
  <c r="AD1975" i="2"/>
  <c r="AD1919" i="2"/>
  <c r="AD1863" i="2"/>
  <c r="AD1807" i="2"/>
  <c r="AD1751" i="2"/>
  <c r="AD1695" i="2"/>
  <c r="AD1639" i="2"/>
  <c r="AD1583" i="2"/>
  <c r="AD1527" i="2"/>
  <c r="AD1471" i="2"/>
  <c r="AD1415" i="2"/>
  <c r="AD1359" i="2"/>
  <c r="AD1303" i="2"/>
  <c r="AD1247" i="2"/>
  <c r="AD1191" i="2"/>
  <c r="AD1135" i="2"/>
  <c r="AD1079" i="2"/>
  <c r="AD1023" i="2"/>
  <c r="AD967" i="2"/>
  <c r="AD911" i="2"/>
  <c r="AD855" i="2"/>
  <c r="AD799" i="2"/>
  <c r="AD743" i="2"/>
  <c r="AD687" i="2"/>
  <c r="AD631" i="2"/>
  <c r="AD575" i="2"/>
  <c r="AD519" i="2"/>
  <c r="AD463" i="2"/>
  <c r="AD407" i="2"/>
  <c r="AD351" i="2"/>
  <c r="AD295" i="2"/>
  <c r="AD239" i="2"/>
  <c r="AD183" i="2"/>
  <c r="AD127" i="2"/>
  <c r="AD71" i="2"/>
  <c r="AD5629" i="2"/>
  <c r="AD5573" i="2"/>
  <c r="AD5517" i="2"/>
  <c r="AD5461" i="2"/>
  <c r="AD5405" i="2"/>
  <c r="AD5349" i="2"/>
  <c r="AD5293" i="2"/>
  <c r="AD5237" i="2"/>
  <c r="AD5181" i="2"/>
  <c r="AD5125" i="2"/>
  <c r="AD5069" i="2"/>
  <c r="AD5013" i="2"/>
  <c r="AD4957" i="2"/>
  <c r="AD4901" i="2"/>
  <c r="AD4845" i="2"/>
  <c r="AD4789" i="2"/>
  <c r="AD4733" i="2"/>
  <c r="AD4677" i="2"/>
  <c r="AD4621" i="2"/>
  <c r="AD4565" i="2"/>
  <c r="AD4509" i="2"/>
  <c r="AD4453" i="2"/>
  <c r="AD4397" i="2"/>
  <c r="AD4341" i="2"/>
  <c r="AD4285" i="2"/>
  <c r="AD4229" i="2"/>
  <c r="AD4173" i="2"/>
  <c r="AD4117" i="2"/>
  <c r="AD4061" i="2"/>
  <c r="AD4005" i="2"/>
  <c r="AD3949" i="2"/>
  <c r="AD3893" i="2"/>
  <c r="AD3837" i="2"/>
  <c r="AD3781" i="2"/>
  <c r="AD3725" i="2"/>
  <c r="AD3669" i="2"/>
  <c r="AD3613" i="2"/>
  <c r="AD3557" i="2"/>
  <c r="AD3501" i="2"/>
  <c r="AD3445" i="2"/>
  <c r="AD3389" i="2"/>
  <c r="AD3333" i="2"/>
  <c r="AD3277" i="2"/>
  <c r="AD3221" i="2"/>
  <c r="AD3165" i="2"/>
  <c r="AD3109" i="2"/>
  <c r="AD3053" i="2"/>
  <c r="AD2997" i="2"/>
  <c r="AD2941" i="2"/>
  <c r="AD2885" i="2"/>
  <c r="AD2829" i="2"/>
  <c r="AD2773" i="2"/>
  <c r="AD2717" i="2"/>
  <c r="AD2661" i="2"/>
  <c r="AD2605" i="2"/>
  <c r="AD2549" i="2"/>
  <c r="AD2493" i="2"/>
  <c r="AD2437" i="2"/>
  <c r="AD2381" i="2"/>
  <c r="AD2325" i="2"/>
  <c r="AD2269" i="2"/>
  <c r="AD2213" i="2"/>
  <c r="AD2157" i="2"/>
  <c r="AD2101" i="2"/>
  <c r="AD2045" i="2"/>
  <c r="AD1989" i="2"/>
  <c r="AD1933" i="2"/>
  <c r="AD1877" i="2"/>
  <c r="AD1821" i="2"/>
  <c r="AD1765" i="2"/>
  <c r="AD1709" i="2"/>
  <c r="AD1653" i="2"/>
  <c r="AD1597" i="2"/>
  <c r="AD1541" i="2"/>
  <c r="AD1485" i="2"/>
  <c r="AD1429" i="2"/>
  <c r="AD1373" i="2"/>
  <c r="AD1317" i="2"/>
  <c r="AD1261" i="2"/>
  <c r="AD1205" i="2"/>
  <c r="AD1149" i="2"/>
  <c r="AD1093" i="2"/>
  <c r="AD1037" i="2"/>
  <c r="AD981" i="2"/>
  <c r="AD925" i="2"/>
  <c r="AD869" i="2"/>
  <c r="AD813" i="2"/>
  <c r="AD757" i="2"/>
  <c r="AD701" i="2"/>
  <c r="AD645" i="2"/>
  <c r="AD589" i="2"/>
  <c r="AD533" i="2"/>
  <c r="AD477" i="2"/>
  <c r="AD421" i="2"/>
  <c r="AD365" i="2"/>
  <c r="AD309" i="2"/>
  <c r="AD253" i="2"/>
  <c r="AD197" i="2"/>
  <c r="AD141" i="2"/>
  <c r="AD85" i="2"/>
  <c r="AD5587" i="2"/>
  <c r="AD5531" i="2"/>
  <c r="AD5475" i="2"/>
  <c r="AD5419" i="2"/>
  <c r="AD5363" i="2"/>
  <c r="AD5307" i="2"/>
  <c r="AD5251" i="2"/>
  <c r="AD5195" i="2"/>
  <c r="AD5139" i="2"/>
  <c r="AD5083" i="2"/>
  <c r="AD5027" i="2"/>
  <c r="AD4971" i="2"/>
  <c r="AD4915" i="2"/>
  <c r="AD4859" i="2"/>
  <c r="AD4803" i="2"/>
  <c r="AD4747" i="2"/>
  <c r="AD4691" i="2"/>
  <c r="AD4635" i="2"/>
  <c r="AD4579" i="2"/>
  <c r="AD4523" i="2"/>
  <c r="AD4467" i="2"/>
  <c r="AD4411" i="2"/>
  <c r="AD4355" i="2"/>
  <c r="AD4299" i="2"/>
  <c r="AD4243" i="2"/>
  <c r="AD4187" i="2"/>
  <c r="AD4131" i="2"/>
  <c r="AD4075" i="2"/>
  <c r="AD4019" i="2"/>
  <c r="AD3963" i="2"/>
  <c r="AD3907" i="2"/>
  <c r="AD3851" i="2"/>
  <c r="AD3795" i="2"/>
  <c r="AD3739" i="2"/>
  <c r="AD3683" i="2"/>
  <c r="AD3627" i="2"/>
  <c r="AD3571" i="2"/>
  <c r="AD3515" i="2"/>
  <c r="AD3459" i="2"/>
  <c r="AD3403" i="2"/>
  <c r="AD3347" i="2"/>
  <c r="AD3291" i="2"/>
  <c r="AD3235" i="2"/>
  <c r="AD3179" i="2"/>
  <c r="AD3123" i="2"/>
  <c r="AD3067" i="2"/>
  <c r="AD3011" i="2"/>
  <c r="AD2955" i="2"/>
  <c r="AD2899" i="2"/>
  <c r="AD2843" i="2"/>
  <c r="AD2787" i="2"/>
  <c r="AD2731" i="2"/>
  <c r="AD2675" i="2"/>
  <c r="AD2619" i="2"/>
  <c r="AD2563" i="2"/>
  <c r="AD2507" i="2"/>
  <c r="AD2451" i="2"/>
  <c r="AD2395" i="2"/>
  <c r="AD2339" i="2"/>
  <c r="AD2283" i="2"/>
  <c r="AD2227" i="2"/>
  <c r="AD2171" i="2"/>
  <c r="AD2115" i="2"/>
  <c r="AD2059" i="2"/>
  <c r="AD2003" i="2"/>
  <c r="AD1947" i="2"/>
  <c r="AD1891" i="2"/>
  <c r="AD1835" i="2"/>
  <c r="AD1779" i="2"/>
  <c r="AD1723" i="2"/>
  <c r="AD1667" i="2"/>
  <c r="AD1611" i="2"/>
  <c r="AD1555" i="2"/>
  <c r="AD1499" i="2"/>
  <c r="AD1443" i="2"/>
  <c r="AD1387" i="2"/>
  <c r="AD1331" i="2"/>
  <c r="AD1275" i="2"/>
  <c r="AD1219" i="2"/>
  <c r="AD1163" i="2"/>
  <c r="AD1107" i="2"/>
  <c r="AD1051" i="2"/>
  <c r="AD995" i="2"/>
  <c r="AD939" i="2"/>
  <c r="AD883" i="2"/>
  <c r="AD827" i="2"/>
  <c r="AD771" i="2"/>
  <c r="AD715" i="2"/>
  <c r="AD659" i="2"/>
  <c r="AD603" i="2"/>
  <c r="AD547" i="2"/>
  <c r="AD491" i="2"/>
  <c r="AD435" i="2"/>
  <c r="AD379" i="2"/>
  <c r="AD323" i="2"/>
  <c r="AD267" i="2"/>
  <c r="AD211" i="2"/>
  <c r="AD155" i="2"/>
  <c r="AD99" i="2"/>
  <c r="AD43" i="2"/>
  <c r="R107" i="2"/>
  <c r="R108" i="2"/>
  <c r="R95" i="2"/>
  <c r="R119" i="2"/>
  <c r="R131" i="2"/>
  <c r="T129" i="2"/>
  <c r="R120" i="2"/>
  <c r="S27" i="1"/>
  <c r="S28" i="1" s="1"/>
  <c r="U28" i="1"/>
  <c r="U31" i="1" s="1"/>
  <c r="V28" i="1"/>
  <c r="V31" i="1" s="1"/>
  <c r="T28" i="1"/>
  <c r="T29" i="1" s="1"/>
  <c r="T30" i="1" s="1"/>
  <c r="R43" i="2" l="1"/>
  <c r="R42" i="2" s="1"/>
  <c r="R5433" i="2"/>
  <c r="R5209" i="2"/>
  <c r="R4985" i="2"/>
  <c r="R4761" i="2"/>
  <c r="R4537" i="2"/>
  <c r="R4313" i="2"/>
  <c r="R4089" i="2"/>
  <c r="R3865" i="2"/>
  <c r="R3641" i="2"/>
  <c r="R3417" i="2"/>
  <c r="R3193" i="2"/>
  <c r="R2969" i="2"/>
  <c r="R2745" i="2"/>
  <c r="R2521" i="2"/>
  <c r="R2297" i="2"/>
  <c r="R2073" i="2"/>
  <c r="R1849" i="2"/>
  <c r="R1625" i="2"/>
  <c r="R1401" i="2"/>
  <c r="R1177" i="2"/>
  <c r="R953" i="2"/>
  <c r="R5069" i="2"/>
  <c r="R4621" i="2"/>
  <c r="R4173" i="2"/>
  <c r="R3725" i="2"/>
  <c r="R3277" i="2"/>
  <c r="R2829" i="2"/>
  <c r="R2381" i="2"/>
  <c r="R1933" i="2"/>
  <c r="R1485" i="2"/>
  <c r="R1037" i="2"/>
  <c r="R5139" i="2"/>
  <c r="R4691" i="2"/>
  <c r="R4243" i="2"/>
  <c r="R3795" i="2"/>
  <c r="R3347" i="2"/>
  <c r="R2899" i="2"/>
  <c r="R2451" i="2"/>
  <c r="R2003" i="2"/>
  <c r="R1555" i="2"/>
  <c r="R1107" i="2"/>
  <c r="R5559" i="2"/>
  <c r="R5335" i="2"/>
  <c r="R5111" i="2"/>
  <c r="R4887" i="2"/>
  <c r="R4663" i="2"/>
  <c r="R4439" i="2"/>
  <c r="R4215" i="2"/>
  <c r="R3991" i="2"/>
  <c r="R3767" i="2"/>
  <c r="R3543" i="2"/>
  <c r="R3319" i="2"/>
  <c r="R3095" i="2"/>
  <c r="R2871" i="2"/>
  <c r="R2647" i="2"/>
  <c r="R2423" i="2"/>
  <c r="R2199" i="2"/>
  <c r="R1975" i="2"/>
  <c r="R1751" i="2"/>
  <c r="R1527" i="2"/>
  <c r="R1303" i="2"/>
  <c r="R1079" i="2"/>
  <c r="R855" i="2"/>
  <c r="R5405" i="2"/>
  <c r="R5125" i="2"/>
  <c r="R4677" i="2"/>
  <c r="R4229" i="2"/>
  <c r="R3781" i="2"/>
  <c r="R3333" i="2"/>
  <c r="R2885" i="2"/>
  <c r="R2437" i="2"/>
  <c r="R1989" i="2"/>
  <c r="R1541" i="2"/>
  <c r="R5531" i="2"/>
  <c r="R5195" i="2"/>
  <c r="R4299" i="2"/>
  <c r="R2955" i="2"/>
  <c r="R1611" i="2"/>
  <c r="R253" i="2"/>
  <c r="R337" i="2"/>
  <c r="R295" i="2"/>
  <c r="R827" i="2"/>
  <c r="R393" i="2"/>
  <c r="R5545" i="2"/>
  <c r="R3529" i="2"/>
  <c r="R1513" i="2"/>
  <c r="R3053" i="2"/>
  <c r="R4915" i="2"/>
  <c r="R1779" i="2"/>
  <c r="R4551" i="2"/>
  <c r="R2983" i="2"/>
  <c r="R1415" i="2"/>
  <c r="R3557" i="2"/>
  <c r="R5363" i="2"/>
  <c r="R2283" i="2"/>
  <c r="R561" i="2"/>
  <c r="R659" i="2"/>
  <c r="R5489" i="2"/>
  <c r="R5265" i="2"/>
  <c r="R5041" i="2"/>
  <c r="R4817" i="2"/>
  <c r="R4593" i="2"/>
  <c r="R4369" i="2"/>
  <c r="R4145" i="2"/>
  <c r="R3921" i="2"/>
  <c r="R3697" i="2"/>
  <c r="R3473" i="2"/>
  <c r="R3249" i="2"/>
  <c r="R3025" i="2"/>
  <c r="R2801" i="2"/>
  <c r="R2577" i="2"/>
  <c r="R2353" i="2"/>
  <c r="R2129" i="2"/>
  <c r="R1905" i="2"/>
  <c r="R1681" i="2"/>
  <c r="R1457" i="2"/>
  <c r="R1233" i="2"/>
  <c r="R1009" i="2"/>
  <c r="R5237" i="2"/>
  <c r="R4733" i="2"/>
  <c r="R4285" i="2"/>
  <c r="R3837" i="2"/>
  <c r="R3389" i="2"/>
  <c r="R2941" i="2"/>
  <c r="R2493" i="2"/>
  <c r="R2045" i="2"/>
  <c r="R1597" i="2"/>
  <c r="R1149" i="2"/>
  <c r="R5251" i="2"/>
  <c r="R4803" i="2"/>
  <c r="R4355" i="2"/>
  <c r="R3907" i="2"/>
  <c r="R3459" i="2"/>
  <c r="R3011" i="2"/>
  <c r="R2563" i="2"/>
  <c r="R2115" i="2"/>
  <c r="R1667" i="2"/>
  <c r="R1219" i="2"/>
  <c r="R5615" i="2"/>
  <c r="R5391" i="2"/>
  <c r="R5167" i="2"/>
  <c r="R4943" i="2"/>
  <c r="R4719" i="2"/>
  <c r="R4495" i="2"/>
  <c r="R4271" i="2"/>
  <c r="R4047" i="2"/>
  <c r="R3823" i="2"/>
  <c r="R3599" i="2"/>
  <c r="R3375" i="2"/>
  <c r="R3151" i="2"/>
  <c r="R2927" i="2"/>
  <c r="R2703" i="2"/>
  <c r="R2479" i="2"/>
  <c r="R2255" i="2"/>
  <c r="R2031" i="2"/>
  <c r="R1807" i="2"/>
  <c r="R1583" i="2"/>
  <c r="R1359" i="2"/>
  <c r="R1135" i="2"/>
  <c r="R911" i="2"/>
  <c r="R5461" i="2"/>
  <c r="R5181" i="2"/>
  <c r="R4789" i="2"/>
  <c r="R4341" i="2"/>
  <c r="R3893" i="2"/>
  <c r="R3445" i="2"/>
  <c r="R2997" i="2"/>
  <c r="R2549" i="2"/>
  <c r="R2101" i="2"/>
  <c r="R1653" i="2"/>
  <c r="R1205" i="2"/>
  <c r="R5587" i="2"/>
  <c r="R5307" i="2"/>
  <c r="R4859" i="2"/>
  <c r="R4411" i="2"/>
  <c r="R3963" i="2"/>
  <c r="R3515" i="2"/>
  <c r="R3067" i="2"/>
  <c r="R2619" i="2"/>
  <c r="R2171" i="2"/>
  <c r="R1723" i="2"/>
  <c r="R1275" i="2"/>
  <c r="R813" i="2"/>
  <c r="R365" i="2"/>
  <c r="R603" i="2"/>
  <c r="R155" i="2"/>
  <c r="R449" i="2"/>
  <c r="R799" i="2"/>
  <c r="R575" i="2"/>
  <c r="R351" i="2"/>
  <c r="R127" i="2"/>
  <c r="R477" i="2"/>
  <c r="R141" i="2"/>
  <c r="R547" i="2"/>
  <c r="R99" i="2"/>
  <c r="R98" i="2" s="1"/>
  <c r="R505" i="2"/>
  <c r="R57" i="2"/>
  <c r="R56" i="2" s="1"/>
  <c r="R5097" i="2"/>
  <c r="R4873" i="2"/>
  <c r="R4425" i="2"/>
  <c r="R3977" i="2"/>
  <c r="R3305" i="2"/>
  <c r="R2857" i="2"/>
  <c r="R2409" i="2"/>
  <c r="R1961" i="2"/>
  <c r="R1289" i="2"/>
  <c r="R5629" i="2"/>
  <c r="R4397" i="2"/>
  <c r="R3501" i="2"/>
  <c r="R2157" i="2"/>
  <c r="R1261" i="2"/>
  <c r="R4467" i="2"/>
  <c r="R3571" i="2"/>
  <c r="R2675" i="2"/>
  <c r="R1331" i="2"/>
  <c r="R5447" i="2"/>
  <c r="R4999" i="2"/>
  <c r="R4327" i="2"/>
  <c r="R3879" i="2"/>
  <c r="R3431" i="2"/>
  <c r="R2759" i="2"/>
  <c r="R2311" i="2"/>
  <c r="R1863" i="2"/>
  <c r="R1191" i="2"/>
  <c r="R5517" i="2"/>
  <c r="R4901" i="2"/>
  <c r="R4005" i="2"/>
  <c r="R2661" i="2"/>
  <c r="R1765" i="2"/>
  <c r="R869" i="2"/>
  <c r="R4523" i="2"/>
  <c r="R3627" i="2"/>
  <c r="R2731" i="2"/>
  <c r="R1387" i="2"/>
  <c r="R939" i="2"/>
  <c r="R771" i="2"/>
  <c r="R113" i="2"/>
  <c r="R112" i="2" s="1"/>
  <c r="R407" i="2"/>
  <c r="R589" i="2"/>
  <c r="R211" i="2"/>
  <c r="R169" i="2"/>
  <c r="R5601" i="2"/>
  <c r="R5377" i="2"/>
  <c r="R5153" i="2"/>
  <c r="R4929" i="2"/>
  <c r="R4705" i="2"/>
  <c r="R4481" i="2"/>
  <c r="R4257" i="2"/>
  <c r="R4033" i="2"/>
  <c r="R3809" i="2"/>
  <c r="R3585" i="2"/>
  <c r="R3361" i="2"/>
  <c r="R3137" i="2"/>
  <c r="R2913" i="2"/>
  <c r="R2689" i="2"/>
  <c r="R2465" i="2"/>
  <c r="R2241" i="2"/>
  <c r="R2017" i="2"/>
  <c r="R1793" i="2"/>
  <c r="R1569" i="2"/>
  <c r="R1345" i="2"/>
  <c r="R1121" i="2"/>
  <c r="R897" i="2"/>
  <c r="R4957" i="2"/>
  <c r="R4509" i="2"/>
  <c r="R4061" i="2"/>
  <c r="R3613" i="2"/>
  <c r="R3165" i="2"/>
  <c r="R2717" i="2"/>
  <c r="R2269" i="2"/>
  <c r="R1821" i="2"/>
  <c r="R1373" i="2"/>
  <c r="R925" i="2"/>
  <c r="R5027" i="2"/>
  <c r="R4579" i="2"/>
  <c r="R4131" i="2"/>
  <c r="R3683" i="2"/>
  <c r="R3235" i="2"/>
  <c r="R2787" i="2"/>
  <c r="R2339" i="2"/>
  <c r="R1891" i="2"/>
  <c r="R1443" i="2"/>
  <c r="R995" i="2"/>
  <c r="R5503" i="2"/>
  <c r="R5279" i="2"/>
  <c r="R5055" i="2"/>
  <c r="R4831" i="2"/>
  <c r="R4607" i="2"/>
  <c r="R4383" i="2"/>
  <c r="R4159" i="2"/>
  <c r="R3935" i="2"/>
  <c r="R3711" i="2"/>
  <c r="R3487" i="2"/>
  <c r="R3263" i="2"/>
  <c r="R3039" i="2"/>
  <c r="R2815" i="2"/>
  <c r="R2591" i="2"/>
  <c r="R2367" i="2"/>
  <c r="R2143" i="2"/>
  <c r="R1919" i="2"/>
  <c r="R1695" i="2"/>
  <c r="R1471" i="2"/>
  <c r="R1247" i="2"/>
  <c r="R1023" i="2"/>
  <c r="R5573" i="2"/>
  <c r="R5349" i="2"/>
  <c r="R5013" i="2"/>
  <c r="R4565" i="2"/>
  <c r="R4117" i="2"/>
  <c r="R3669" i="2"/>
  <c r="R3221" i="2"/>
  <c r="R2773" i="2"/>
  <c r="R2325" i="2"/>
  <c r="R1877" i="2"/>
  <c r="R1429" i="2"/>
  <c r="R981" i="2"/>
  <c r="R5475" i="2"/>
  <c r="R5083" i="2"/>
  <c r="R4635" i="2"/>
  <c r="R4187" i="2"/>
  <c r="R3739" i="2"/>
  <c r="R3291" i="2"/>
  <c r="R2843" i="2"/>
  <c r="R2395" i="2"/>
  <c r="R1947" i="2"/>
  <c r="R1499" i="2"/>
  <c r="R1051" i="2"/>
  <c r="R645" i="2"/>
  <c r="R85" i="2"/>
  <c r="R84" i="2" s="1"/>
  <c r="R379" i="2"/>
  <c r="R673" i="2"/>
  <c r="R225" i="2"/>
  <c r="R687" i="2"/>
  <c r="R463" i="2"/>
  <c r="R239" i="2"/>
  <c r="R701" i="2"/>
  <c r="R309" i="2"/>
  <c r="R715" i="2"/>
  <c r="R323" i="2"/>
  <c r="R729" i="2"/>
  <c r="R281" i="2"/>
  <c r="R1093" i="2"/>
  <c r="R4747" i="2"/>
  <c r="R3851" i="2"/>
  <c r="R3403" i="2"/>
  <c r="R2507" i="2"/>
  <c r="R2059" i="2"/>
  <c r="R1163" i="2"/>
  <c r="R757" i="2"/>
  <c r="R491" i="2"/>
  <c r="R785" i="2"/>
  <c r="R743" i="2"/>
  <c r="R519" i="2"/>
  <c r="R71" i="2"/>
  <c r="R70" i="2" s="1"/>
  <c r="R421" i="2"/>
  <c r="R435" i="2"/>
  <c r="R841" i="2"/>
  <c r="R5321" i="2"/>
  <c r="R4649" i="2"/>
  <c r="R4201" i="2"/>
  <c r="R3753" i="2"/>
  <c r="R3081" i="2"/>
  <c r="R2633" i="2"/>
  <c r="R2185" i="2"/>
  <c r="R1737" i="2"/>
  <c r="R1065" i="2"/>
  <c r="R4845" i="2"/>
  <c r="R3949" i="2"/>
  <c r="R2605" i="2"/>
  <c r="R1709" i="2"/>
  <c r="R5419" i="2"/>
  <c r="R4019" i="2"/>
  <c r="R3123" i="2"/>
  <c r="R2227" i="2"/>
  <c r="R883" i="2"/>
  <c r="R5223" i="2"/>
  <c r="R4775" i="2"/>
  <c r="R4103" i="2"/>
  <c r="R3655" i="2"/>
  <c r="R3207" i="2"/>
  <c r="R2535" i="2"/>
  <c r="R2087" i="2"/>
  <c r="R1639" i="2"/>
  <c r="R967" i="2"/>
  <c r="R5293" i="2"/>
  <c r="R4453" i="2"/>
  <c r="R3109" i="2"/>
  <c r="R2213" i="2"/>
  <c r="R1317" i="2"/>
  <c r="R4971" i="2"/>
  <c r="R4075" i="2"/>
  <c r="R3179" i="2"/>
  <c r="R1835" i="2"/>
  <c r="R533" i="2"/>
  <c r="R267" i="2"/>
  <c r="R631" i="2"/>
  <c r="R183" i="2"/>
  <c r="R197" i="2"/>
  <c r="R617" i="2"/>
  <c r="R40" i="2"/>
  <c r="R41" i="2" s="1"/>
  <c r="R44" i="2" s="1"/>
  <c r="S45" i="2" s="1"/>
  <c r="R54" i="2"/>
  <c r="R55" i="2" s="1"/>
  <c r="R82" i="2"/>
  <c r="R83" i="2" s="1"/>
  <c r="R68" i="2"/>
  <c r="R69" i="2" s="1"/>
  <c r="R145" i="2"/>
  <c r="R134" i="2"/>
  <c r="R133" i="2"/>
  <c r="T143" i="2"/>
  <c r="R109" i="2"/>
  <c r="R96" i="2"/>
  <c r="R97" i="2" s="1"/>
  <c r="R122" i="2"/>
  <c r="R121" i="2"/>
  <c r="U32" i="1"/>
  <c r="S31" i="1"/>
  <c r="T31" i="1"/>
  <c r="U29" i="1"/>
  <c r="U30" i="1" s="1"/>
  <c r="S32" i="1"/>
  <c r="S29" i="1"/>
  <c r="T32" i="1"/>
  <c r="V29" i="1"/>
  <c r="V30" i="1" s="1"/>
  <c r="V32" i="1"/>
  <c r="T33" i="1" l="1"/>
  <c r="T35" i="1" s="1"/>
  <c r="T36" i="1" s="1"/>
  <c r="T37" i="1" s="1"/>
  <c r="T40" i="1" s="1"/>
  <c r="R58" i="2"/>
  <c r="S59" i="2" s="1"/>
  <c r="R126" i="2"/>
  <c r="R100" i="2"/>
  <c r="S101" i="2" s="1"/>
  <c r="R72" i="2"/>
  <c r="S73" i="2" s="1"/>
  <c r="R86" i="2"/>
  <c r="S87" i="2" s="1"/>
  <c r="R123" i="2"/>
  <c r="R110" i="2"/>
  <c r="R111" i="2" s="1"/>
  <c r="R114" i="2" s="1"/>
  <c r="S115" i="2" s="1"/>
  <c r="R135" i="2"/>
  <c r="R140" i="2" s="1"/>
  <c r="R136" i="2"/>
  <c r="R148" i="2"/>
  <c r="R159" i="2"/>
  <c r="R147" i="2"/>
  <c r="T157" i="2"/>
  <c r="U33" i="1"/>
  <c r="U35" i="1" s="1"/>
  <c r="U36" i="1" s="1"/>
  <c r="U37" i="1" s="1"/>
  <c r="S30" i="1"/>
  <c r="S33" i="1" s="1"/>
  <c r="S35" i="1" s="1"/>
  <c r="S36" i="1" s="1"/>
  <c r="V33" i="1"/>
  <c r="V35" i="1" s="1"/>
  <c r="V36" i="1" s="1"/>
  <c r="R149" i="2" l="1"/>
  <c r="R154" i="2" s="1"/>
  <c r="R150" i="2"/>
  <c r="R124" i="2"/>
  <c r="R125" i="2" s="1"/>
  <c r="R128" i="2" s="1"/>
  <c r="S129" i="2" s="1"/>
  <c r="R137" i="2"/>
  <c r="R138" i="2" s="1"/>
  <c r="R139" i="2" s="1"/>
  <c r="R142" i="2" s="1"/>
  <c r="S143" i="2" s="1"/>
  <c r="R161" i="2"/>
  <c r="R173" i="2"/>
  <c r="R162" i="2"/>
  <c r="T171" i="2"/>
  <c r="S37" i="1"/>
  <c r="S40" i="1" s="1"/>
  <c r="V37" i="1"/>
  <c r="T38" i="1"/>
  <c r="T39" i="1" s="1"/>
  <c r="T41" i="1"/>
  <c r="U40" i="1"/>
  <c r="U38" i="1"/>
  <c r="U39" i="1" s="1"/>
  <c r="U41" i="1"/>
  <c r="R176" i="2" l="1"/>
  <c r="R187" i="2"/>
  <c r="R175" i="2"/>
  <c r="T185" i="2"/>
  <c r="R151" i="2"/>
  <c r="R152" i="2" s="1"/>
  <c r="R153" i="2" s="1"/>
  <c r="R156" i="2" s="1"/>
  <c r="S157" i="2" s="1"/>
  <c r="R164" i="2"/>
  <c r="R163" i="2"/>
  <c r="R168" i="2" s="1"/>
  <c r="U42" i="1"/>
  <c r="U44" i="1" s="1"/>
  <c r="U45" i="1" s="1"/>
  <c r="U46" i="1" s="1"/>
  <c r="S41" i="1"/>
  <c r="S38" i="1"/>
  <c r="S39" i="1" s="1"/>
  <c r="V40" i="1"/>
  <c r="V41" i="1"/>
  <c r="V38" i="1"/>
  <c r="V39" i="1" s="1"/>
  <c r="T42" i="1"/>
  <c r="T44" i="1" s="1"/>
  <c r="T45" i="1" s="1"/>
  <c r="R201" i="2" l="1"/>
  <c r="R189" i="2"/>
  <c r="T199" i="2"/>
  <c r="R190" i="2"/>
  <c r="R177" i="2"/>
  <c r="R182" i="2" s="1"/>
  <c r="R178" i="2"/>
  <c r="R165" i="2"/>
  <c r="U50" i="1"/>
  <c r="U47" i="1"/>
  <c r="U48" i="1" s="1"/>
  <c r="T46" i="1"/>
  <c r="T49" i="1" s="1"/>
  <c r="U49" i="1"/>
  <c r="S42" i="1"/>
  <c r="S44" i="1" s="1"/>
  <c r="S45" i="1" s="1"/>
  <c r="V42" i="1"/>
  <c r="V44" i="1" s="1"/>
  <c r="V45" i="1" s="1"/>
  <c r="R215" i="2" l="1"/>
  <c r="T213" i="2"/>
  <c r="R204" i="2"/>
  <c r="R203" i="2"/>
  <c r="R192" i="2"/>
  <c r="R191" i="2"/>
  <c r="R196" i="2" s="1"/>
  <c r="R179" i="2"/>
  <c r="R180" i="2" s="1"/>
  <c r="R181" i="2" s="1"/>
  <c r="R184" i="2" s="1"/>
  <c r="S185" i="2" s="1"/>
  <c r="R166" i="2"/>
  <c r="R167" i="2" s="1"/>
  <c r="R170" i="2" s="1"/>
  <c r="S171" i="2" s="1"/>
  <c r="U51" i="1"/>
  <c r="U53" i="1" s="1"/>
  <c r="U54" i="1" s="1"/>
  <c r="U55" i="1" s="1"/>
  <c r="U58" i="1" s="1"/>
  <c r="S46" i="1"/>
  <c r="V46" i="1"/>
  <c r="V49" i="1" s="1"/>
  <c r="T50" i="1"/>
  <c r="T47" i="1"/>
  <c r="T48" i="1" s="1"/>
  <c r="R193" i="2" l="1"/>
  <c r="R194" i="2" s="1"/>
  <c r="R195" i="2" s="1"/>
  <c r="R198" i="2" s="1"/>
  <c r="S199" i="2" s="1"/>
  <c r="R217" i="2"/>
  <c r="R229" i="2"/>
  <c r="R218" i="2"/>
  <c r="T227" i="2"/>
  <c r="R205" i="2"/>
  <c r="R210" i="2" s="1"/>
  <c r="R206" i="2"/>
  <c r="T51" i="1"/>
  <c r="T53" i="1" s="1"/>
  <c r="T54" i="1" s="1"/>
  <c r="T55" i="1" s="1"/>
  <c r="S50" i="1"/>
  <c r="S47" i="1"/>
  <c r="S48" i="1" s="1"/>
  <c r="U56" i="1"/>
  <c r="U57" i="1" s="1"/>
  <c r="U59" i="1"/>
  <c r="V47" i="1"/>
  <c r="V48" i="1" s="1"/>
  <c r="V50" i="1"/>
  <c r="S49" i="1"/>
  <c r="R219" i="2" l="1"/>
  <c r="R224" i="2" s="1"/>
  <c r="R220" i="2"/>
  <c r="R207" i="2"/>
  <c r="R232" i="2"/>
  <c r="R231" i="2"/>
  <c r="R243" i="2"/>
  <c r="T241" i="2"/>
  <c r="V51" i="1"/>
  <c r="V53" i="1" s="1"/>
  <c r="V54" i="1" s="1"/>
  <c r="V55" i="1" s="1"/>
  <c r="T56" i="1"/>
  <c r="T57" i="1" s="1"/>
  <c r="T59" i="1"/>
  <c r="U60" i="1"/>
  <c r="U62" i="1" s="1"/>
  <c r="U63" i="1" s="1"/>
  <c r="T58" i="1"/>
  <c r="S51" i="1"/>
  <c r="S53" i="1" s="1"/>
  <c r="S54" i="1" s="1"/>
  <c r="R245" i="2" l="1"/>
  <c r="R247" i="2" s="1"/>
  <c r="R252" i="2" s="1"/>
  <c r="R257" i="2"/>
  <c r="T255" i="2"/>
  <c r="R246" i="2"/>
  <c r="R208" i="2"/>
  <c r="R209" i="2" s="1"/>
  <c r="R212" i="2" s="1"/>
  <c r="S213" i="2" s="1"/>
  <c r="R233" i="2"/>
  <c r="R238" i="2" s="1"/>
  <c r="R234" i="2"/>
  <c r="R221" i="2"/>
  <c r="R222" i="2" s="1"/>
  <c r="R223" i="2" s="1"/>
  <c r="R226" i="2" s="1"/>
  <c r="S227" i="2" s="1"/>
  <c r="T60" i="1"/>
  <c r="T62" i="1" s="1"/>
  <c r="T63" i="1" s="1"/>
  <c r="T64" i="1" s="1"/>
  <c r="V56" i="1"/>
  <c r="V57" i="1" s="1"/>
  <c r="V59" i="1"/>
  <c r="U64" i="1"/>
  <c r="U67" i="1" s="1"/>
  <c r="S55" i="1"/>
  <c r="S58" i="1" s="1"/>
  <c r="V58" i="1"/>
  <c r="T269" i="2" l="1"/>
  <c r="R271" i="2"/>
  <c r="R259" i="2"/>
  <c r="R260" i="2"/>
  <c r="R235" i="2"/>
  <c r="R248" i="2"/>
  <c r="V60" i="1"/>
  <c r="V62" i="1" s="1"/>
  <c r="V63" i="1" s="1"/>
  <c r="T68" i="1"/>
  <c r="T65" i="1"/>
  <c r="T66" i="1" s="1"/>
  <c r="U68" i="1"/>
  <c r="U65" i="1"/>
  <c r="U66" i="1" s="1"/>
  <c r="S56" i="1"/>
  <c r="S57" i="1" s="1"/>
  <c r="S59" i="1"/>
  <c r="T67" i="1"/>
  <c r="R236" i="2" l="1"/>
  <c r="R237" i="2" s="1"/>
  <c r="R240" i="2" s="1"/>
  <c r="S241" i="2" s="1"/>
  <c r="R273" i="2"/>
  <c r="R274" i="2"/>
  <c r="R285" i="2"/>
  <c r="T283" i="2"/>
  <c r="R262" i="2"/>
  <c r="R261" i="2"/>
  <c r="R266" i="2" s="1"/>
  <c r="R249" i="2"/>
  <c r="T69" i="1"/>
  <c r="T71" i="1" s="1"/>
  <c r="T72" i="1" s="1"/>
  <c r="T73" i="1" s="1"/>
  <c r="V64" i="1"/>
  <c r="V68" i="1" s="1"/>
  <c r="U69" i="1"/>
  <c r="U71" i="1" s="1"/>
  <c r="U72" i="1" s="1"/>
  <c r="S60" i="1"/>
  <c r="S62" i="1" s="1"/>
  <c r="S63" i="1" s="1"/>
  <c r="R287" i="2" l="1"/>
  <c r="R289" i="2" s="1"/>
  <c r="R299" i="2"/>
  <c r="R288" i="2"/>
  <c r="T297" i="2"/>
  <c r="R250" i="2"/>
  <c r="R251" i="2" s="1"/>
  <c r="R254" i="2" s="1"/>
  <c r="S255" i="2" s="1"/>
  <c r="R275" i="2"/>
  <c r="R280" i="2" s="1"/>
  <c r="R276" i="2"/>
  <c r="R263" i="2"/>
  <c r="V65" i="1"/>
  <c r="V66" i="1" s="1"/>
  <c r="V67" i="1"/>
  <c r="T74" i="1"/>
  <c r="T75" i="1" s="1"/>
  <c r="T77" i="1"/>
  <c r="T76" i="1"/>
  <c r="U73" i="1"/>
  <c r="U76" i="1" s="1"/>
  <c r="S64" i="1"/>
  <c r="S67" i="1" s="1"/>
  <c r="V69" i="1" l="1"/>
  <c r="V71" i="1" s="1"/>
  <c r="V72" i="1" s="1"/>
  <c r="V73" i="1" s="1"/>
  <c r="R277" i="2"/>
  <c r="R278" i="2" s="1"/>
  <c r="R279" i="2" s="1"/>
  <c r="R282" i="2" s="1"/>
  <c r="S283" i="2" s="1"/>
  <c r="T311" i="2"/>
  <c r="R301" i="2"/>
  <c r="R313" i="2"/>
  <c r="R302" i="2"/>
  <c r="R294" i="2"/>
  <c r="R264" i="2"/>
  <c r="R265" i="2" s="1"/>
  <c r="R268" i="2" s="1"/>
  <c r="S269" i="2" s="1"/>
  <c r="R290" i="2"/>
  <c r="U74" i="1"/>
  <c r="U75" i="1" s="1"/>
  <c r="U77" i="1"/>
  <c r="S65" i="1"/>
  <c r="S66" i="1" s="1"/>
  <c r="S68" i="1"/>
  <c r="V76" i="1"/>
  <c r="V74" i="1"/>
  <c r="V75" i="1" s="1"/>
  <c r="V77" i="1"/>
  <c r="T78" i="1"/>
  <c r="T80" i="1" s="1"/>
  <c r="T81" i="1" s="1"/>
  <c r="R316" i="2" l="1"/>
  <c r="R315" i="2"/>
  <c r="R327" i="2"/>
  <c r="T325" i="2"/>
  <c r="R291" i="2"/>
  <c r="R303" i="2"/>
  <c r="R308" i="2" s="1"/>
  <c r="R304" i="2"/>
  <c r="V78" i="1"/>
  <c r="V80" i="1" s="1"/>
  <c r="V81" i="1" s="1"/>
  <c r="T82" i="1"/>
  <c r="U78" i="1"/>
  <c r="U80" i="1" s="1"/>
  <c r="U81" i="1" s="1"/>
  <c r="S69" i="1"/>
  <c r="S71" i="1" s="1"/>
  <c r="S72" i="1" s="1"/>
  <c r="R292" i="2" l="1"/>
  <c r="R293" i="2" s="1"/>
  <c r="R296" i="2" s="1"/>
  <c r="S297" i="2" s="1"/>
  <c r="R317" i="2"/>
  <c r="R322" i="2" s="1"/>
  <c r="R318" i="2"/>
  <c r="R305" i="2"/>
  <c r="R329" i="2"/>
  <c r="R341" i="2"/>
  <c r="T339" i="2"/>
  <c r="R330" i="2"/>
  <c r="S73" i="1"/>
  <c r="S76" i="1" s="1"/>
  <c r="V82" i="1"/>
  <c r="T83" i="1"/>
  <c r="T84" i="1" s="1"/>
  <c r="T86" i="1"/>
  <c r="U82" i="1"/>
  <c r="U85" i="1" s="1"/>
  <c r="T85" i="1"/>
  <c r="R306" i="2" l="1"/>
  <c r="R307" i="2" s="1"/>
  <c r="R310" i="2" s="1"/>
  <c r="S311" i="2" s="1"/>
  <c r="R332" i="2"/>
  <c r="R331" i="2"/>
  <c r="R336" i="2" s="1"/>
  <c r="R355" i="2"/>
  <c r="R344" i="2"/>
  <c r="R343" i="2"/>
  <c r="T353" i="2"/>
  <c r="R319" i="2"/>
  <c r="T87" i="1"/>
  <c r="T89" i="1" s="1"/>
  <c r="T90" i="1" s="1"/>
  <c r="T91" i="1" s="1"/>
  <c r="T94" i="1" s="1"/>
  <c r="V83" i="1"/>
  <c r="V84" i="1" s="1"/>
  <c r="V86" i="1"/>
  <c r="S74" i="1"/>
  <c r="S75" i="1" s="1"/>
  <c r="S77" i="1"/>
  <c r="U83" i="1"/>
  <c r="U84" i="1" s="1"/>
  <c r="U86" i="1"/>
  <c r="V85" i="1"/>
  <c r="R358" i="2" l="1"/>
  <c r="R357" i="2"/>
  <c r="R369" i="2"/>
  <c r="T367" i="2"/>
  <c r="R320" i="2"/>
  <c r="R321" i="2" s="1"/>
  <c r="R324" i="2" s="1"/>
  <c r="S325" i="2" s="1"/>
  <c r="R345" i="2"/>
  <c r="R350" i="2" s="1"/>
  <c r="R346" i="2"/>
  <c r="R333" i="2"/>
  <c r="R334" i="2" s="1"/>
  <c r="R335" i="2" s="1"/>
  <c r="R338" i="2" s="1"/>
  <c r="S339" i="2" s="1"/>
  <c r="S78" i="1"/>
  <c r="S80" i="1" s="1"/>
  <c r="S81" i="1" s="1"/>
  <c r="S82" i="1" s="1"/>
  <c r="T92" i="1"/>
  <c r="T93" i="1" s="1"/>
  <c r="T95" i="1"/>
  <c r="U87" i="1"/>
  <c r="U89" i="1" s="1"/>
  <c r="U90" i="1" s="1"/>
  <c r="V87" i="1"/>
  <c r="V89" i="1" s="1"/>
  <c r="V90" i="1" s="1"/>
  <c r="R347" i="2" l="1"/>
  <c r="R359" i="2"/>
  <c r="R364" i="2" s="1"/>
  <c r="R360" i="2"/>
  <c r="R371" i="2"/>
  <c r="R383" i="2"/>
  <c r="T381" i="2"/>
  <c r="R372" i="2"/>
  <c r="V91" i="1"/>
  <c r="U91" i="1"/>
  <c r="S83" i="1"/>
  <c r="S84" i="1" s="1"/>
  <c r="S86" i="1"/>
  <c r="T96" i="1"/>
  <c r="T98" i="1" s="1"/>
  <c r="T99" i="1" s="1"/>
  <c r="S85" i="1"/>
  <c r="R373" i="2" l="1"/>
  <c r="R378" i="2" s="1"/>
  <c r="R374" i="2"/>
  <c r="R348" i="2"/>
  <c r="R349" i="2" s="1"/>
  <c r="R352" i="2" s="1"/>
  <c r="S353" i="2" s="1"/>
  <c r="T395" i="2"/>
  <c r="R397" i="2"/>
  <c r="R386" i="2"/>
  <c r="R385" i="2"/>
  <c r="R361" i="2"/>
  <c r="S87" i="1"/>
  <c r="S89" i="1" s="1"/>
  <c r="S90" i="1" s="1"/>
  <c r="S91" i="1" s="1"/>
  <c r="V92" i="1"/>
  <c r="V93" i="1" s="1"/>
  <c r="V95" i="1"/>
  <c r="T100" i="1"/>
  <c r="V94" i="1"/>
  <c r="U92" i="1"/>
  <c r="U93" i="1" s="1"/>
  <c r="U95" i="1"/>
  <c r="U94" i="1"/>
  <c r="R362" i="2" l="1"/>
  <c r="R363" i="2" s="1"/>
  <c r="R366" i="2" s="1"/>
  <c r="S367" i="2" s="1"/>
  <c r="R400" i="2"/>
  <c r="R411" i="2"/>
  <c r="R399" i="2"/>
  <c r="T409" i="2"/>
  <c r="R375" i="2"/>
  <c r="R388" i="2"/>
  <c r="R387" i="2"/>
  <c r="R392" i="2" s="1"/>
  <c r="V96" i="1"/>
  <c r="V98" i="1" s="1"/>
  <c r="V99" i="1" s="1"/>
  <c r="V100" i="1" s="1"/>
  <c r="S92" i="1"/>
  <c r="S93" i="1" s="1"/>
  <c r="S95" i="1"/>
  <c r="T101" i="1"/>
  <c r="T102" i="1" s="1"/>
  <c r="T104" i="1"/>
  <c r="U96" i="1"/>
  <c r="U98" i="1" s="1"/>
  <c r="U99" i="1" s="1"/>
  <c r="S94" i="1"/>
  <c r="T103" i="1"/>
  <c r="R401" i="2" l="1"/>
  <c r="R406" i="2" s="1"/>
  <c r="R402" i="2"/>
  <c r="R389" i="2"/>
  <c r="R376" i="2"/>
  <c r="R377" i="2" s="1"/>
  <c r="R380" i="2" s="1"/>
  <c r="S381" i="2" s="1"/>
  <c r="R414" i="2"/>
  <c r="R425" i="2"/>
  <c r="R413" i="2"/>
  <c r="T423" i="2"/>
  <c r="U100" i="1"/>
  <c r="U103" i="1" s="1"/>
  <c r="V101" i="1"/>
  <c r="V102" i="1" s="1"/>
  <c r="V104" i="1"/>
  <c r="S96" i="1"/>
  <c r="S98" i="1" s="1"/>
  <c r="S99" i="1" s="1"/>
  <c r="V103" i="1"/>
  <c r="T105" i="1"/>
  <c r="T107" i="1" s="1"/>
  <c r="T108" i="1" s="1"/>
  <c r="T437" i="2" l="1"/>
  <c r="R427" i="2"/>
  <c r="R428" i="2"/>
  <c r="R439" i="2"/>
  <c r="R415" i="2"/>
  <c r="R420" i="2" s="1"/>
  <c r="R416" i="2"/>
  <c r="R403" i="2"/>
  <c r="R390" i="2"/>
  <c r="R391" i="2" s="1"/>
  <c r="R394" i="2" s="1"/>
  <c r="S395" i="2" s="1"/>
  <c r="T109" i="1"/>
  <c r="T112" i="1" s="1"/>
  <c r="S100" i="1"/>
  <c r="S103" i="1" s="1"/>
  <c r="U101" i="1"/>
  <c r="U102" i="1" s="1"/>
  <c r="U104" i="1"/>
  <c r="V105" i="1"/>
  <c r="V107" i="1" s="1"/>
  <c r="V108" i="1" s="1"/>
  <c r="R430" i="2" l="1"/>
  <c r="R429" i="2"/>
  <c r="R434" i="2" s="1"/>
  <c r="R417" i="2"/>
  <c r="R418" i="2" s="1"/>
  <c r="R419" i="2" s="1"/>
  <c r="R422" i="2" s="1"/>
  <c r="S423" i="2" s="1"/>
  <c r="R404" i="2"/>
  <c r="R405" i="2" s="1"/>
  <c r="R408" i="2" s="1"/>
  <c r="S409" i="2" s="1"/>
  <c r="R442" i="2"/>
  <c r="R453" i="2"/>
  <c r="R441" i="2"/>
  <c r="T451" i="2"/>
  <c r="U105" i="1"/>
  <c r="U107" i="1" s="1"/>
  <c r="U108" i="1" s="1"/>
  <c r="U109" i="1" s="1"/>
  <c r="T110" i="1"/>
  <c r="T111" i="1" s="1"/>
  <c r="T113" i="1"/>
  <c r="V109" i="1"/>
  <c r="V112" i="1" s="1"/>
  <c r="S101" i="1"/>
  <c r="S102" i="1" s="1"/>
  <c r="S104" i="1"/>
  <c r="R443" i="2" l="1"/>
  <c r="R448" i="2" s="1"/>
  <c r="R444" i="2"/>
  <c r="R431" i="2"/>
  <c r="R455" i="2"/>
  <c r="R457" i="2" s="1"/>
  <c r="R467" i="2"/>
  <c r="R456" i="2"/>
  <c r="T465" i="2"/>
  <c r="U113" i="1"/>
  <c r="U110" i="1"/>
  <c r="U111" i="1" s="1"/>
  <c r="V110" i="1"/>
  <c r="V111" i="1" s="1"/>
  <c r="V113" i="1"/>
  <c r="U112" i="1"/>
  <c r="S105" i="1"/>
  <c r="S107" i="1" s="1"/>
  <c r="S108" i="1" s="1"/>
  <c r="T114" i="1"/>
  <c r="T116" i="1" s="1"/>
  <c r="T117" i="1" s="1"/>
  <c r="R445" i="2" l="1"/>
  <c r="R432" i="2"/>
  <c r="R433" i="2" s="1"/>
  <c r="R436" i="2" s="1"/>
  <c r="S437" i="2" s="1"/>
  <c r="R462" i="2"/>
  <c r="T479" i="2"/>
  <c r="R481" i="2"/>
  <c r="R469" i="2"/>
  <c r="R470" i="2"/>
  <c r="R458" i="2"/>
  <c r="S109" i="1"/>
  <c r="U114" i="1"/>
  <c r="U116" i="1" s="1"/>
  <c r="U117" i="1" s="1"/>
  <c r="T118" i="1"/>
  <c r="T121" i="1" s="1"/>
  <c r="V114" i="1"/>
  <c r="V116" i="1" s="1"/>
  <c r="V117" i="1" s="1"/>
  <c r="R446" i="2" l="1"/>
  <c r="R447" i="2" s="1"/>
  <c r="R450" i="2" s="1"/>
  <c r="S451" i="2" s="1"/>
  <c r="R459" i="2"/>
  <c r="R483" i="2"/>
  <c r="R495" i="2"/>
  <c r="R484" i="2"/>
  <c r="T493" i="2"/>
  <c r="R472" i="2"/>
  <c r="R471" i="2"/>
  <c r="R476" i="2" s="1"/>
  <c r="U118" i="1"/>
  <c r="U121" i="1" s="1"/>
  <c r="S110" i="1"/>
  <c r="S111" i="1" s="1"/>
  <c r="S113" i="1"/>
  <c r="V118" i="1"/>
  <c r="V121" i="1" s="1"/>
  <c r="T119" i="1"/>
  <c r="T120" i="1" s="1"/>
  <c r="T122" i="1"/>
  <c r="S112" i="1"/>
  <c r="R485" i="2" l="1"/>
  <c r="R490" i="2" s="1"/>
  <c r="R486" i="2"/>
  <c r="R473" i="2"/>
  <c r="R474" i="2" s="1"/>
  <c r="R475" i="2" s="1"/>
  <c r="R478" i="2" s="1"/>
  <c r="S479" i="2" s="1"/>
  <c r="R498" i="2"/>
  <c r="R509" i="2"/>
  <c r="R497" i="2"/>
  <c r="T507" i="2"/>
  <c r="R460" i="2"/>
  <c r="R461" i="2" s="1"/>
  <c r="R464" i="2" s="1"/>
  <c r="S465" i="2" s="1"/>
  <c r="U119" i="1"/>
  <c r="U120" i="1" s="1"/>
  <c r="U122" i="1"/>
  <c r="V119" i="1"/>
  <c r="V120" i="1" s="1"/>
  <c r="V122" i="1"/>
  <c r="T123" i="1"/>
  <c r="T125" i="1" s="1"/>
  <c r="T126" i="1" s="1"/>
  <c r="S114" i="1"/>
  <c r="S116" i="1" s="1"/>
  <c r="S117" i="1" s="1"/>
  <c r="R512" i="2" l="1"/>
  <c r="T521" i="2"/>
  <c r="R523" i="2"/>
  <c r="R511" i="2"/>
  <c r="R487" i="2"/>
  <c r="R488" i="2" s="1"/>
  <c r="R489" i="2" s="1"/>
  <c r="R492" i="2" s="1"/>
  <c r="S493" i="2" s="1"/>
  <c r="R499" i="2"/>
  <c r="R504" i="2" s="1"/>
  <c r="R500" i="2"/>
  <c r="U123" i="1"/>
  <c r="U125" i="1" s="1"/>
  <c r="U126" i="1" s="1"/>
  <c r="U127" i="1" s="1"/>
  <c r="T127" i="1"/>
  <c r="S118" i="1"/>
  <c r="V123" i="1"/>
  <c r="V125" i="1" s="1"/>
  <c r="V126" i="1" s="1"/>
  <c r="R526" i="2" l="1"/>
  <c r="T535" i="2"/>
  <c r="R525" i="2"/>
  <c r="R537" i="2"/>
  <c r="R501" i="2"/>
  <c r="R514" i="2"/>
  <c r="R513" i="2"/>
  <c r="R518" i="2" s="1"/>
  <c r="V127" i="1"/>
  <c r="V130" i="1" s="1"/>
  <c r="S122" i="1"/>
  <c r="S119" i="1"/>
  <c r="S120" i="1" s="1"/>
  <c r="U128" i="1"/>
  <c r="U129" i="1" s="1"/>
  <c r="U131" i="1"/>
  <c r="T128" i="1"/>
  <c r="T129" i="1" s="1"/>
  <c r="T131" i="1"/>
  <c r="S121" i="1"/>
  <c r="U130" i="1"/>
  <c r="T130" i="1"/>
  <c r="R515" i="2" l="1"/>
  <c r="R516" i="2" s="1"/>
  <c r="R517" i="2" s="1"/>
  <c r="R520" i="2" s="1"/>
  <c r="S521" i="2" s="1"/>
  <c r="R528" i="2"/>
  <c r="R527" i="2"/>
  <c r="R532" i="2" s="1"/>
  <c r="R502" i="2"/>
  <c r="R503" i="2" s="1"/>
  <c r="R506" i="2" s="1"/>
  <c r="S507" i="2" s="1"/>
  <c r="R551" i="2"/>
  <c r="R540" i="2"/>
  <c r="R539" i="2"/>
  <c r="T549" i="2"/>
  <c r="U132" i="1"/>
  <c r="U134" i="1" s="1"/>
  <c r="U135" i="1" s="1"/>
  <c r="U136" i="1" s="1"/>
  <c r="S123" i="1"/>
  <c r="S125" i="1" s="1"/>
  <c r="S126" i="1" s="1"/>
  <c r="S127" i="1" s="1"/>
  <c r="S130" i="1" s="1"/>
  <c r="V128" i="1"/>
  <c r="V129" i="1" s="1"/>
  <c r="V131" i="1"/>
  <c r="T132" i="1"/>
  <c r="T134" i="1" s="1"/>
  <c r="T135" i="1" s="1"/>
  <c r="R541" i="2" l="1"/>
  <c r="R546" i="2" s="1"/>
  <c r="R542" i="2"/>
  <c r="T563" i="2"/>
  <c r="R553" i="2"/>
  <c r="R554" i="2"/>
  <c r="R565" i="2"/>
  <c r="R529" i="2"/>
  <c r="V132" i="1"/>
  <c r="V134" i="1" s="1"/>
  <c r="V135" i="1" s="1"/>
  <c r="V136" i="1" s="1"/>
  <c r="T136" i="1"/>
  <c r="S128" i="1"/>
  <c r="S129" i="1" s="1"/>
  <c r="S131" i="1"/>
  <c r="U137" i="1"/>
  <c r="U138" i="1" s="1"/>
  <c r="U140" i="1"/>
  <c r="U139" i="1"/>
  <c r="R567" i="2" l="1"/>
  <c r="R579" i="2"/>
  <c r="R568" i="2"/>
  <c r="T577" i="2"/>
  <c r="R543" i="2"/>
  <c r="R530" i="2"/>
  <c r="R531" i="2" s="1"/>
  <c r="R534" i="2" s="1"/>
  <c r="S535" i="2" s="1"/>
  <c r="R556" i="2"/>
  <c r="R555" i="2"/>
  <c r="R560" i="2" s="1"/>
  <c r="S132" i="1"/>
  <c r="S134" i="1" s="1"/>
  <c r="S135" i="1" s="1"/>
  <c r="S136" i="1" s="1"/>
  <c r="V139" i="1"/>
  <c r="T137" i="1"/>
  <c r="T138" i="1" s="1"/>
  <c r="T140" i="1"/>
  <c r="V137" i="1"/>
  <c r="V138" i="1" s="1"/>
  <c r="V140" i="1"/>
  <c r="U141" i="1"/>
  <c r="U143" i="1" s="1"/>
  <c r="U144" i="1" s="1"/>
  <c r="T139" i="1"/>
  <c r="R557" i="2" l="1"/>
  <c r="R544" i="2"/>
  <c r="R545" i="2" s="1"/>
  <c r="R548" i="2" s="1"/>
  <c r="S549" i="2" s="1"/>
  <c r="R569" i="2"/>
  <c r="R574" i="2" s="1"/>
  <c r="R570" i="2"/>
  <c r="R593" i="2"/>
  <c r="T591" i="2"/>
  <c r="R582" i="2"/>
  <c r="R581" i="2"/>
  <c r="S137" i="1"/>
  <c r="S138" i="1" s="1"/>
  <c r="S140" i="1"/>
  <c r="S139" i="1"/>
  <c r="U145" i="1"/>
  <c r="U148" i="1" s="1"/>
  <c r="T141" i="1"/>
  <c r="T143" i="1" s="1"/>
  <c r="T144" i="1" s="1"/>
  <c r="V141" i="1"/>
  <c r="V143" i="1" s="1"/>
  <c r="V144" i="1" s="1"/>
  <c r="R558" i="2" l="1"/>
  <c r="R559" i="2" s="1"/>
  <c r="R562" i="2" s="1"/>
  <c r="S563" i="2" s="1"/>
  <c r="R571" i="2"/>
  <c r="T605" i="2"/>
  <c r="R596" i="2"/>
  <c r="R607" i="2"/>
  <c r="R595" i="2"/>
  <c r="R584" i="2"/>
  <c r="R583" i="2"/>
  <c r="R588" i="2" s="1"/>
  <c r="S141" i="1"/>
  <c r="S143" i="1" s="1"/>
  <c r="S144" i="1" s="1"/>
  <c r="S145" i="1" s="1"/>
  <c r="T145" i="1"/>
  <c r="T148" i="1" s="1"/>
  <c r="V145" i="1"/>
  <c r="V148" i="1" s="1"/>
  <c r="U146" i="1"/>
  <c r="U147" i="1" s="1"/>
  <c r="U149" i="1"/>
  <c r="R585" i="2" l="1"/>
  <c r="R586" i="2" s="1"/>
  <c r="R587" i="2" s="1"/>
  <c r="R590" i="2" s="1"/>
  <c r="S591" i="2" s="1"/>
  <c r="R621" i="2"/>
  <c r="R609" i="2"/>
  <c r="R610" i="2"/>
  <c r="T619" i="2"/>
  <c r="R572" i="2"/>
  <c r="R573" i="2" s="1"/>
  <c r="R576" i="2" s="1"/>
  <c r="S577" i="2" s="1"/>
  <c r="R598" i="2"/>
  <c r="R597" i="2"/>
  <c r="R602" i="2" s="1"/>
  <c r="S146" i="1"/>
  <c r="S147" i="1" s="1"/>
  <c r="S149" i="1"/>
  <c r="T149" i="1"/>
  <c r="T146" i="1"/>
  <c r="T147" i="1" s="1"/>
  <c r="V146" i="1"/>
  <c r="V147" i="1" s="1"/>
  <c r="V149" i="1"/>
  <c r="U150" i="1"/>
  <c r="U152" i="1" s="1"/>
  <c r="U153" i="1" s="1"/>
  <c r="S148" i="1"/>
  <c r="R599" i="2" l="1"/>
  <c r="R623" i="2"/>
  <c r="R635" i="2"/>
  <c r="T633" i="2"/>
  <c r="R624" i="2"/>
  <c r="R611" i="2"/>
  <c r="R616" i="2" s="1"/>
  <c r="R612" i="2"/>
  <c r="T150" i="1"/>
  <c r="T152" i="1" s="1"/>
  <c r="T153" i="1" s="1"/>
  <c r="T154" i="1" s="1"/>
  <c r="V150" i="1"/>
  <c r="V152" i="1" s="1"/>
  <c r="V153" i="1" s="1"/>
  <c r="V154" i="1" s="1"/>
  <c r="S150" i="1"/>
  <c r="S152" i="1" s="1"/>
  <c r="S153" i="1" s="1"/>
  <c r="S154" i="1" s="1"/>
  <c r="U154" i="1"/>
  <c r="R600" i="2" l="1"/>
  <c r="R601" i="2" s="1"/>
  <c r="R604" i="2" s="1"/>
  <c r="S605" i="2" s="1"/>
  <c r="T647" i="2"/>
  <c r="R649" i="2"/>
  <c r="R637" i="2"/>
  <c r="R638" i="2"/>
  <c r="R613" i="2"/>
  <c r="R626" i="2"/>
  <c r="R625" i="2"/>
  <c r="R630" i="2" s="1"/>
  <c r="S155" i="1"/>
  <c r="S156" i="1" s="1"/>
  <c r="S158" i="1"/>
  <c r="U155" i="1"/>
  <c r="U156" i="1" s="1"/>
  <c r="U158" i="1"/>
  <c r="V158" i="1"/>
  <c r="V155" i="1"/>
  <c r="V156" i="1" s="1"/>
  <c r="T158" i="1"/>
  <c r="T155" i="1"/>
  <c r="T156" i="1" s="1"/>
  <c r="V157" i="1"/>
  <c r="S157" i="1"/>
  <c r="U157" i="1"/>
  <c r="T157" i="1"/>
  <c r="R640" i="2" l="1"/>
  <c r="R639" i="2"/>
  <c r="R644" i="2" s="1"/>
  <c r="R627" i="2"/>
  <c r="R614" i="2"/>
  <c r="R615" i="2" s="1"/>
  <c r="R618" i="2" s="1"/>
  <c r="S619" i="2" s="1"/>
  <c r="R663" i="2"/>
  <c r="R651" i="2"/>
  <c r="R652" i="2"/>
  <c r="T661" i="2"/>
  <c r="T159" i="1"/>
  <c r="T161" i="1" s="1"/>
  <c r="T162" i="1" s="1"/>
  <c r="T163" i="1" s="1"/>
  <c r="T166" i="1" s="1"/>
  <c r="S159" i="1"/>
  <c r="S161" i="1" s="1"/>
  <c r="S162" i="1" s="1"/>
  <c r="S163" i="1" s="1"/>
  <c r="S166" i="1" s="1"/>
  <c r="V159" i="1"/>
  <c r="V161" i="1" s="1"/>
  <c r="V162" i="1" s="1"/>
  <c r="U159" i="1"/>
  <c r="U161" i="1" s="1"/>
  <c r="U162" i="1" s="1"/>
  <c r="R653" i="2" l="1"/>
  <c r="R658" i="2" s="1"/>
  <c r="R654" i="2"/>
  <c r="R641" i="2"/>
  <c r="R628" i="2"/>
  <c r="R629" i="2" s="1"/>
  <c r="R632" i="2" s="1"/>
  <c r="S633" i="2" s="1"/>
  <c r="R666" i="2"/>
  <c r="R665" i="2"/>
  <c r="R677" i="2"/>
  <c r="T675" i="2"/>
  <c r="V163" i="1"/>
  <c r="U163" i="1"/>
  <c r="S167" i="1"/>
  <c r="S164" i="1"/>
  <c r="S165" i="1" s="1"/>
  <c r="T164" i="1"/>
  <c r="T165" i="1" s="1"/>
  <c r="T167" i="1"/>
  <c r="T689" i="2" l="1"/>
  <c r="R691" i="2"/>
  <c r="R679" i="2"/>
  <c r="R680" i="2"/>
  <c r="R655" i="2"/>
  <c r="R642" i="2"/>
  <c r="R643" i="2" s="1"/>
  <c r="R646" i="2" s="1"/>
  <c r="S647" i="2" s="1"/>
  <c r="R667" i="2"/>
  <c r="R672" i="2" s="1"/>
  <c r="R668" i="2"/>
  <c r="V164" i="1"/>
  <c r="V165" i="1" s="1"/>
  <c r="V167" i="1"/>
  <c r="S168" i="1"/>
  <c r="S170" i="1" s="1"/>
  <c r="S171" i="1" s="1"/>
  <c r="V166" i="1"/>
  <c r="U167" i="1"/>
  <c r="U164" i="1"/>
  <c r="U165" i="1" s="1"/>
  <c r="T168" i="1"/>
  <c r="T170" i="1" s="1"/>
  <c r="T171" i="1" s="1"/>
  <c r="U166" i="1"/>
  <c r="R669" i="2" l="1"/>
  <c r="R670" i="2" s="1"/>
  <c r="R671" i="2" s="1"/>
  <c r="R674" i="2" s="1"/>
  <c r="S675" i="2" s="1"/>
  <c r="R682" i="2"/>
  <c r="R681" i="2"/>
  <c r="R686" i="2" s="1"/>
  <c r="R656" i="2"/>
  <c r="R657" i="2" s="1"/>
  <c r="R660" i="2" s="1"/>
  <c r="S661" i="2" s="1"/>
  <c r="R705" i="2"/>
  <c r="R693" i="2"/>
  <c r="R694" i="2"/>
  <c r="T703" i="2"/>
  <c r="V168" i="1"/>
  <c r="V170" i="1" s="1"/>
  <c r="V171" i="1" s="1"/>
  <c r="V172" i="1" s="1"/>
  <c r="T172" i="1"/>
  <c r="S172" i="1"/>
  <c r="U168" i="1"/>
  <c r="U170" i="1" s="1"/>
  <c r="U171" i="1" s="1"/>
  <c r="R708" i="2" l="1"/>
  <c r="R719" i="2"/>
  <c r="R707" i="2"/>
  <c r="T717" i="2"/>
  <c r="R683" i="2"/>
  <c r="R684" i="2" s="1"/>
  <c r="R685" i="2" s="1"/>
  <c r="R688" i="2" s="1"/>
  <c r="S689" i="2" s="1"/>
  <c r="R695" i="2"/>
  <c r="R700" i="2" s="1"/>
  <c r="R696" i="2"/>
  <c r="S173" i="1"/>
  <c r="S174" i="1" s="1"/>
  <c r="S176" i="1"/>
  <c r="V176" i="1"/>
  <c r="V173" i="1"/>
  <c r="V174" i="1" s="1"/>
  <c r="U172" i="1"/>
  <c r="U175" i="1" s="1"/>
  <c r="T176" i="1"/>
  <c r="T173" i="1"/>
  <c r="T174" i="1" s="1"/>
  <c r="S175" i="1"/>
  <c r="V175" i="1"/>
  <c r="T175" i="1"/>
  <c r="R697" i="2" l="1"/>
  <c r="T731" i="2"/>
  <c r="R721" i="2"/>
  <c r="R733" i="2"/>
  <c r="R722" i="2"/>
  <c r="R709" i="2"/>
  <c r="R714" i="2" s="1"/>
  <c r="R710" i="2"/>
  <c r="S177" i="1"/>
  <c r="S179" i="1" s="1"/>
  <c r="S180" i="1" s="1"/>
  <c r="S181" i="1" s="1"/>
  <c r="U176" i="1"/>
  <c r="U173" i="1"/>
  <c r="U174" i="1" s="1"/>
  <c r="T177" i="1"/>
  <c r="T179" i="1" s="1"/>
  <c r="T180" i="1" s="1"/>
  <c r="V177" i="1"/>
  <c r="V179" i="1" s="1"/>
  <c r="V180" i="1" s="1"/>
  <c r="R711" i="2" l="1"/>
  <c r="R712" i="2" s="1"/>
  <c r="R713" i="2" s="1"/>
  <c r="R716" i="2" s="1"/>
  <c r="S717" i="2" s="1"/>
  <c r="R736" i="2"/>
  <c r="R735" i="2"/>
  <c r="R747" i="2"/>
  <c r="T745" i="2"/>
  <c r="R698" i="2"/>
  <c r="R699" i="2" s="1"/>
  <c r="R702" i="2" s="1"/>
  <c r="S703" i="2" s="1"/>
  <c r="R723" i="2"/>
  <c r="R728" i="2" s="1"/>
  <c r="R724" i="2"/>
  <c r="V181" i="1"/>
  <c r="V184" i="1" s="1"/>
  <c r="T181" i="1"/>
  <c r="U177" i="1"/>
  <c r="U179" i="1" s="1"/>
  <c r="U180" i="1" s="1"/>
  <c r="S182" i="1"/>
  <c r="S183" i="1" s="1"/>
  <c r="S185" i="1"/>
  <c r="S184" i="1"/>
  <c r="R737" i="2" l="1"/>
  <c r="R742" i="2" s="1"/>
  <c r="R738" i="2"/>
  <c r="R749" i="2"/>
  <c r="R751" i="2" s="1"/>
  <c r="R761" i="2"/>
  <c r="T759" i="2"/>
  <c r="R750" i="2"/>
  <c r="R725" i="2"/>
  <c r="U181" i="1"/>
  <c r="U184" i="1" s="1"/>
  <c r="V185" i="1"/>
  <c r="V182" i="1"/>
  <c r="V183" i="1" s="1"/>
  <c r="T185" i="1"/>
  <c r="T182" i="1"/>
  <c r="T183" i="1" s="1"/>
  <c r="S186" i="1"/>
  <c r="S188" i="1" s="1"/>
  <c r="S189" i="1" s="1"/>
  <c r="T184" i="1"/>
  <c r="R752" i="2" l="1"/>
  <c r="R753" i="2" s="1"/>
  <c r="R754" i="2" s="1"/>
  <c r="R755" i="2" s="1"/>
  <c r="R756" i="2"/>
  <c r="R739" i="2"/>
  <c r="R740" i="2" s="1"/>
  <c r="R741" i="2" s="1"/>
  <c r="R744" i="2" s="1"/>
  <c r="S745" i="2" s="1"/>
  <c r="R726" i="2"/>
  <c r="R727" i="2" s="1"/>
  <c r="R730" i="2" s="1"/>
  <c r="S731" i="2" s="1"/>
  <c r="T773" i="2"/>
  <c r="R764" i="2"/>
  <c r="R775" i="2"/>
  <c r="R763" i="2"/>
  <c r="V186" i="1"/>
  <c r="V188" i="1" s="1"/>
  <c r="V189" i="1" s="1"/>
  <c r="V190" i="1" s="1"/>
  <c r="U182" i="1"/>
  <c r="U183" i="1" s="1"/>
  <c r="U185" i="1"/>
  <c r="T186" i="1"/>
  <c r="T188" i="1" s="1"/>
  <c r="T189" i="1" s="1"/>
  <c r="T190" i="1" s="1"/>
  <c r="S190" i="1"/>
  <c r="S193" i="1" s="1"/>
  <c r="R758" i="2" l="1"/>
  <c r="S759" i="2" s="1"/>
  <c r="R778" i="2"/>
  <c r="R789" i="2"/>
  <c r="R777" i="2"/>
  <c r="T787" i="2"/>
  <c r="R766" i="2"/>
  <c r="R765" i="2"/>
  <c r="R770" i="2" s="1"/>
  <c r="V191" i="1"/>
  <c r="V192" i="1" s="1"/>
  <c r="V194" i="1"/>
  <c r="T193" i="1"/>
  <c r="T191" i="1"/>
  <c r="T192" i="1" s="1"/>
  <c r="T194" i="1"/>
  <c r="S191" i="1"/>
  <c r="S192" i="1" s="1"/>
  <c r="S194" i="1"/>
  <c r="V193" i="1"/>
  <c r="U186" i="1"/>
  <c r="U188" i="1" s="1"/>
  <c r="U189" i="1" s="1"/>
  <c r="R767" i="2" l="1"/>
  <c r="R768" i="2" s="1"/>
  <c r="R769" i="2" s="1"/>
  <c r="R772" i="2" s="1"/>
  <c r="S773" i="2" s="1"/>
  <c r="R791" i="2"/>
  <c r="R803" i="2"/>
  <c r="R792" i="2"/>
  <c r="T801" i="2"/>
  <c r="R779" i="2"/>
  <c r="R784" i="2" s="1"/>
  <c r="R780" i="2"/>
  <c r="T195" i="1"/>
  <c r="T197" i="1" s="1"/>
  <c r="T198" i="1" s="1"/>
  <c r="T199" i="1" s="1"/>
  <c r="T202" i="1" s="1"/>
  <c r="U190" i="1"/>
  <c r="V195" i="1"/>
  <c r="V197" i="1" s="1"/>
  <c r="V198" i="1" s="1"/>
  <c r="V199" i="1" s="1"/>
  <c r="S195" i="1"/>
  <c r="S197" i="1" s="1"/>
  <c r="S198" i="1" s="1"/>
  <c r="R781" i="2" l="1"/>
  <c r="R793" i="2"/>
  <c r="R798" i="2" s="1"/>
  <c r="R794" i="2"/>
  <c r="T815" i="2"/>
  <c r="R817" i="2"/>
  <c r="R805" i="2"/>
  <c r="R806" i="2"/>
  <c r="S199" i="1"/>
  <c r="S202" i="1" s="1"/>
  <c r="U191" i="1"/>
  <c r="U192" i="1" s="1"/>
  <c r="U194" i="1"/>
  <c r="V202" i="1"/>
  <c r="V203" i="1"/>
  <c r="V200" i="1"/>
  <c r="V201" i="1" s="1"/>
  <c r="T203" i="1"/>
  <c r="T200" i="1"/>
  <c r="T201" i="1" s="1"/>
  <c r="U193" i="1"/>
  <c r="R782" i="2" l="1"/>
  <c r="R783" i="2" s="1"/>
  <c r="R786" i="2" s="1"/>
  <c r="S787" i="2" s="1"/>
  <c r="R808" i="2"/>
  <c r="R807" i="2"/>
  <c r="R812" i="2" s="1"/>
  <c r="R831" i="2"/>
  <c r="R819" i="2"/>
  <c r="R820" i="2"/>
  <c r="T829" i="2"/>
  <c r="R795" i="2"/>
  <c r="V204" i="1"/>
  <c r="V206" i="1" s="1"/>
  <c r="V207" i="1" s="1"/>
  <c r="V208" i="1" s="1"/>
  <c r="V209" i="1" s="1"/>
  <c r="V210" i="1" s="1"/>
  <c r="S200" i="1"/>
  <c r="S201" i="1" s="1"/>
  <c r="S203" i="1"/>
  <c r="T204" i="1"/>
  <c r="T206" i="1" s="1"/>
  <c r="T207" i="1" s="1"/>
  <c r="U195" i="1"/>
  <c r="U197" i="1" s="1"/>
  <c r="U198" i="1" s="1"/>
  <c r="R796" i="2" l="1"/>
  <c r="R797" i="2" s="1"/>
  <c r="R800" i="2" s="1"/>
  <c r="S801" i="2" s="1"/>
  <c r="R821" i="2"/>
  <c r="R826" i="2" s="1"/>
  <c r="R822" i="2"/>
  <c r="R809" i="2"/>
  <c r="R833" i="2"/>
  <c r="R835" i="2" s="1"/>
  <c r="R845" i="2"/>
  <c r="R834" i="2"/>
  <c r="T843" i="2"/>
  <c r="V212" i="1"/>
  <c r="V211" i="1"/>
  <c r="U199" i="1"/>
  <c r="U202" i="1" s="1"/>
  <c r="T208" i="1"/>
  <c r="S204" i="1"/>
  <c r="S206" i="1" s="1"/>
  <c r="S207" i="1" s="1"/>
  <c r="R836" i="2" l="1"/>
  <c r="R837" i="2" s="1"/>
  <c r="R840" i="2"/>
  <c r="R810" i="2"/>
  <c r="R811" i="2" s="1"/>
  <c r="R814" i="2" s="1"/>
  <c r="S815" i="2" s="1"/>
  <c r="R847" i="2"/>
  <c r="R859" i="2"/>
  <c r="T857" i="2"/>
  <c r="R848" i="2"/>
  <c r="R823" i="2"/>
  <c r="R824" i="2" s="1"/>
  <c r="R825" i="2" s="1"/>
  <c r="R828" i="2" s="1"/>
  <c r="S829" i="2" s="1"/>
  <c r="V213" i="1"/>
  <c r="V215" i="1" s="1"/>
  <c r="V216" i="1" s="1"/>
  <c r="V217" i="1" s="1"/>
  <c r="V220" i="1" s="1"/>
  <c r="S208" i="1"/>
  <c r="S211" i="1" s="1"/>
  <c r="U200" i="1"/>
  <c r="U201" i="1" s="1"/>
  <c r="U203" i="1"/>
  <c r="T209" i="1"/>
  <c r="T210" i="1" s="1"/>
  <c r="T212" i="1"/>
  <c r="T211" i="1"/>
  <c r="R873" i="2" l="1"/>
  <c r="T871" i="2"/>
  <c r="R862" i="2"/>
  <c r="R861" i="2"/>
  <c r="R838" i="2"/>
  <c r="R839" i="2" s="1"/>
  <c r="R842" i="2" s="1"/>
  <c r="S843" i="2" s="1"/>
  <c r="R849" i="2"/>
  <c r="R854" i="2" s="1"/>
  <c r="R850" i="2"/>
  <c r="R851" i="2" s="1"/>
  <c r="R852" i="2" s="1"/>
  <c r="T213" i="1"/>
  <c r="T215" i="1" s="1"/>
  <c r="T216" i="1" s="1"/>
  <c r="T217" i="1" s="1"/>
  <c r="T220" i="1" s="1"/>
  <c r="U204" i="1"/>
  <c r="U206" i="1" s="1"/>
  <c r="U207" i="1" s="1"/>
  <c r="V218" i="1"/>
  <c r="V219" i="1" s="1"/>
  <c r="V221" i="1"/>
  <c r="S212" i="1"/>
  <c r="S209" i="1"/>
  <c r="S210" i="1" s="1"/>
  <c r="R887" i="2" l="1"/>
  <c r="T885" i="2"/>
  <c r="R876" i="2"/>
  <c r="R875" i="2"/>
  <c r="R863" i="2"/>
  <c r="R868" i="2" s="1"/>
  <c r="R864" i="2"/>
  <c r="R865" i="2" s="1"/>
  <c r="R866" i="2" s="1"/>
  <c r="R853" i="2"/>
  <c r="R856" i="2" s="1"/>
  <c r="S857" i="2" s="1"/>
  <c r="S213" i="1"/>
  <c r="S215" i="1" s="1"/>
  <c r="S216" i="1" s="1"/>
  <c r="S217" i="1" s="1"/>
  <c r="U208" i="1"/>
  <c r="V222" i="1"/>
  <c r="V224" i="1" s="1"/>
  <c r="V225" i="1" s="1"/>
  <c r="T218" i="1"/>
  <c r="T219" i="1" s="1"/>
  <c r="T221" i="1"/>
  <c r="R867" i="2" l="1"/>
  <c r="R870" i="2" s="1"/>
  <c r="S871" i="2" s="1"/>
  <c r="R889" i="2"/>
  <c r="R890" i="2"/>
  <c r="R901" i="2"/>
  <c r="T899" i="2"/>
  <c r="R877" i="2"/>
  <c r="R882" i="2" s="1"/>
  <c r="R878" i="2"/>
  <c r="R879" i="2" s="1"/>
  <c r="R880" i="2" s="1"/>
  <c r="V226" i="1"/>
  <c r="T222" i="1"/>
  <c r="T224" i="1" s="1"/>
  <c r="T225" i="1" s="1"/>
  <c r="S218" i="1"/>
  <c r="S219" i="1" s="1"/>
  <c r="S221" i="1"/>
  <c r="U209" i="1"/>
  <c r="U210" i="1" s="1"/>
  <c r="U212" i="1"/>
  <c r="S220" i="1"/>
  <c r="U211" i="1"/>
  <c r="R881" i="2" l="1"/>
  <c r="R884" i="2" s="1"/>
  <c r="S885" i="2" s="1"/>
  <c r="R891" i="2"/>
  <c r="R896" i="2" s="1"/>
  <c r="R892" i="2"/>
  <c r="R893" i="2" s="1"/>
  <c r="R894" i="2" s="1"/>
  <c r="R904" i="2"/>
  <c r="R903" i="2"/>
  <c r="R915" i="2"/>
  <c r="T913" i="2"/>
  <c r="V230" i="1"/>
  <c r="V227" i="1"/>
  <c r="V228" i="1" s="1"/>
  <c r="T226" i="1"/>
  <c r="T229" i="1" s="1"/>
  <c r="U213" i="1"/>
  <c r="U215" i="1" s="1"/>
  <c r="U216" i="1" s="1"/>
  <c r="S222" i="1"/>
  <c r="S224" i="1" s="1"/>
  <c r="S225" i="1" s="1"/>
  <c r="V229" i="1"/>
  <c r="R929" i="2" l="1"/>
  <c r="T927" i="2"/>
  <c r="R918" i="2"/>
  <c r="R917" i="2"/>
  <c r="R905" i="2"/>
  <c r="R910" i="2" s="1"/>
  <c r="R906" i="2"/>
  <c r="R907" i="2" s="1"/>
  <c r="R895" i="2"/>
  <c r="R898" i="2" s="1"/>
  <c r="S899" i="2" s="1"/>
  <c r="S226" i="1"/>
  <c r="S229" i="1" s="1"/>
  <c r="U217" i="1"/>
  <c r="V231" i="1"/>
  <c r="V233" i="1" s="1"/>
  <c r="V234" i="1" s="1"/>
  <c r="T227" i="1"/>
  <c r="T228" i="1" s="1"/>
  <c r="T230" i="1"/>
  <c r="R908" i="2" l="1"/>
  <c r="R909" i="2" s="1"/>
  <c r="R912" i="2" s="1"/>
  <c r="S913" i="2" s="1"/>
  <c r="R943" i="2"/>
  <c r="R931" i="2"/>
  <c r="T941" i="2"/>
  <c r="R932" i="2"/>
  <c r="R920" i="2"/>
  <c r="R921" i="2" s="1"/>
  <c r="R922" i="2" s="1"/>
  <c r="R919" i="2"/>
  <c r="R924" i="2" s="1"/>
  <c r="V235" i="1"/>
  <c r="V238" i="1" s="1"/>
  <c r="S227" i="1"/>
  <c r="S228" i="1" s="1"/>
  <c r="S230" i="1"/>
  <c r="U218" i="1"/>
  <c r="U219" i="1" s="1"/>
  <c r="U221" i="1"/>
  <c r="T231" i="1"/>
  <c r="T233" i="1" s="1"/>
  <c r="T234" i="1" s="1"/>
  <c r="U220" i="1"/>
  <c r="R957" i="2" l="1"/>
  <c r="T955" i="2"/>
  <c r="R945" i="2"/>
  <c r="R946" i="2"/>
  <c r="R934" i="2"/>
  <c r="R935" i="2" s="1"/>
  <c r="R936" i="2" s="1"/>
  <c r="R933" i="2"/>
  <c r="R938" i="2" s="1"/>
  <c r="R923" i="2"/>
  <c r="R926" i="2" s="1"/>
  <c r="S927" i="2" s="1"/>
  <c r="U222" i="1"/>
  <c r="U224" i="1" s="1"/>
  <c r="U225" i="1" s="1"/>
  <c r="T235" i="1"/>
  <c r="V236" i="1"/>
  <c r="V237" i="1" s="1"/>
  <c r="V239" i="1"/>
  <c r="S231" i="1"/>
  <c r="S233" i="1" s="1"/>
  <c r="S234" i="1" s="1"/>
  <c r="R937" i="2" l="1"/>
  <c r="R940" i="2" s="1"/>
  <c r="S941" i="2" s="1"/>
  <c r="T969" i="2"/>
  <c r="R960" i="2"/>
  <c r="R959" i="2"/>
  <c r="R971" i="2"/>
  <c r="R948" i="2"/>
  <c r="R949" i="2" s="1"/>
  <c r="R950" i="2" s="1"/>
  <c r="R947" i="2"/>
  <c r="R952" i="2" s="1"/>
  <c r="V240" i="1"/>
  <c r="V242" i="1" s="1"/>
  <c r="V243" i="1" s="1"/>
  <c r="V244" i="1" s="1"/>
  <c r="V247" i="1" s="1"/>
  <c r="U226" i="1"/>
  <c r="U230" i="1" s="1"/>
  <c r="S235" i="1"/>
  <c r="S238" i="1" s="1"/>
  <c r="T236" i="1"/>
  <c r="T237" i="1" s="1"/>
  <c r="T239" i="1"/>
  <c r="T238" i="1"/>
  <c r="R951" i="2" l="1"/>
  <c r="R954" i="2" s="1"/>
  <c r="S955" i="2" s="1"/>
  <c r="R962" i="2"/>
  <c r="R963" i="2" s="1"/>
  <c r="R964" i="2" s="1"/>
  <c r="R961" i="2"/>
  <c r="R966" i="2" s="1"/>
  <c r="R973" i="2"/>
  <c r="R985" i="2"/>
  <c r="T983" i="2"/>
  <c r="R974" i="2"/>
  <c r="U229" i="1"/>
  <c r="U227" i="1"/>
  <c r="U228" i="1" s="1"/>
  <c r="S239" i="1"/>
  <c r="S236" i="1"/>
  <c r="S237" i="1" s="1"/>
  <c r="V248" i="1"/>
  <c r="V245" i="1"/>
  <c r="V246" i="1" s="1"/>
  <c r="T240" i="1"/>
  <c r="T242" i="1" s="1"/>
  <c r="T243" i="1" s="1"/>
  <c r="U231" i="1" l="1"/>
  <c r="U233" i="1" s="1"/>
  <c r="U234" i="1" s="1"/>
  <c r="U235" i="1" s="1"/>
  <c r="U238" i="1" s="1"/>
  <c r="R965" i="2"/>
  <c r="R968" i="2" s="1"/>
  <c r="S969" i="2" s="1"/>
  <c r="R975" i="2"/>
  <c r="R980" i="2" s="1"/>
  <c r="R976" i="2"/>
  <c r="R977" i="2" s="1"/>
  <c r="R978" i="2" s="1"/>
  <c r="R987" i="2"/>
  <c r="T997" i="2"/>
  <c r="R999" i="2"/>
  <c r="R988" i="2"/>
  <c r="S240" i="1"/>
  <c r="S242" i="1" s="1"/>
  <c r="S243" i="1" s="1"/>
  <c r="S244" i="1" s="1"/>
  <c r="T244" i="1"/>
  <c r="T247" i="1" s="1"/>
  <c r="U236" i="1"/>
  <c r="U237" i="1" s="1"/>
  <c r="U239" i="1"/>
  <c r="V249" i="1"/>
  <c r="V251" i="1" s="1"/>
  <c r="V252" i="1" s="1"/>
  <c r="T1011" i="2" l="1"/>
  <c r="R1002" i="2"/>
  <c r="R1001" i="2"/>
  <c r="R1013" i="2"/>
  <c r="R989" i="2"/>
  <c r="R994" i="2" s="1"/>
  <c r="R990" i="2"/>
  <c r="R991" i="2" s="1"/>
  <c r="R979" i="2"/>
  <c r="R982" i="2" s="1"/>
  <c r="S983" i="2" s="1"/>
  <c r="S245" i="1"/>
  <c r="S246" i="1" s="1"/>
  <c r="S248" i="1"/>
  <c r="V253" i="1"/>
  <c r="V256" i="1" s="1"/>
  <c r="T245" i="1"/>
  <c r="T246" i="1" s="1"/>
  <c r="T248" i="1"/>
  <c r="S247" i="1"/>
  <c r="U240" i="1"/>
  <c r="U242" i="1" s="1"/>
  <c r="U243" i="1" s="1"/>
  <c r="R992" i="2" l="1"/>
  <c r="R993" i="2" s="1"/>
  <c r="R996" i="2" s="1"/>
  <c r="S997" i="2" s="1"/>
  <c r="R1004" i="2"/>
  <c r="R1005" i="2" s="1"/>
  <c r="R1006" i="2" s="1"/>
  <c r="R1003" i="2"/>
  <c r="R1008" i="2" s="1"/>
  <c r="R1027" i="2"/>
  <c r="R1015" i="2"/>
  <c r="T1025" i="2"/>
  <c r="R1016" i="2"/>
  <c r="V257" i="1"/>
  <c r="V254" i="1"/>
  <c r="V255" i="1" s="1"/>
  <c r="T249" i="1"/>
  <c r="T251" i="1" s="1"/>
  <c r="T252" i="1" s="1"/>
  <c r="S249" i="1"/>
  <c r="S251" i="1" s="1"/>
  <c r="S252" i="1" s="1"/>
  <c r="U244" i="1"/>
  <c r="R1030" i="2" l="1"/>
  <c r="R1041" i="2"/>
  <c r="T1039" i="2"/>
  <c r="R1029" i="2"/>
  <c r="R1018" i="2"/>
  <c r="R1019" i="2" s="1"/>
  <c r="R1020" i="2" s="1"/>
  <c r="R1017" i="2"/>
  <c r="R1022" i="2" s="1"/>
  <c r="R1007" i="2"/>
  <c r="R1010" i="2" s="1"/>
  <c r="S1011" i="2" s="1"/>
  <c r="V258" i="1"/>
  <c r="V260" i="1" s="1"/>
  <c r="V261" i="1" s="1"/>
  <c r="V262" i="1" s="1"/>
  <c r="U245" i="1"/>
  <c r="U246" i="1" s="1"/>
  <c r="U248" i="1"/>
  <c r="T253" i="1"/>
  <c r="T256" i="1" s="1"/>
  <c r="U247" i="1"/>
  <c r="S253" i="1"/>
  <c r="S256" i="1" s="1"/>
  <c r="R1021" i="2" l="1"/>
  <c r="R1024" i="2" s="1"/>
  <c r="S1025" i="2" s="1"/>
  <c r="R1044" i="2"/>
  <c r="R1043" i="2"/>
  <c r="R1055" i="2"/>
  <c r="T1053" i="2"/>
  <c r="R1032" i="2"/>
  <c r="R1033" i="2" s="1"/>
  <c r="R1031" i="2"/>
  <c r="R1036" i="2" s="1"/>
  <c r="V266" i="1"/>
  <c r="V263" i="1"/>
  <c r="V264" i="1" s="1"/>
  <c r="U249" i="1"/>
  <c r="U251" i="1" s="1"/>
  <c r="U252" i="1" s="1"/>
  <c r="V265" i="1"/>
  <c r="S254" i="1"/>
  <c r="S255" i="1" s="1"/>
  <c r="S257" i="1"/>
  <c r="T254" i="1"/>
  <c r="T255" i="1" s="1"/>
  <c r="T257" i="1"/>
  <c r="R1034" i="2" l="1"/>
  <c r="R1035" i="2" s="1"/>
  <c r="R1038" i="2" s="1"/>
  <c r="S1039" i="2" s="1"/>
  <c r="R1046" i="2"/>
  <c r="R1047" i="2" s="1"/>
  <c r="R1045" i="2"/>
  <c r="R1050" i="2" s="1"/>
  <c r="R1069" i="2"/>
  <c r="T1067" i="2"/>
  <c r="R1058" i="2"/>
  <c r="R1057" i="2"/>
  <c r="V267" i="1"/>
  <c r="V269" i="1" s="1"/>
  <c r="V270" i="1" s="1"/>
  <c r="T258" i="1"/>
  <c r="T260" i="1" s="1"/>
  <c r="T261" i="1" s="1"/>
  <c r="T262" i="1" s="1"/>
  <c r="U253" i="1"/>
  <c r="S258" i="1"/>
  <c r="S260" i="1" s="1"/>
  <c r="S261" i="1" s="1"/>
  <c r="R1048" i="2" l="1"/>
  <c r="R1049" i="2" s="1"/>
  <c r="R1052" i="2" s="1"/>
  <c r="S1053" i="2" s="1"/>
  <c r="R1071" i="2"/>
  <c r="R1083" i="2"/>
  <c r="T1081" i="2"/>
  <c r="R1072" i="2"/>
  <c r="R1059" i="2"/>
  <c r="R1064" i="2" s="1"/>
  <c r="R1060" i="2"/>
  <c r="R1061" i="2" s="1"/>
  <c r="V271" i="1"/>
  <c r="V272" i="1" s="1"/>
  <c r="V273" i="1" s="1"/>
  <c r="T266" i="1"/>
  <c r="T263" i="1"/>
  <c r="T264" i="1" s="1"/>
  <c r="S262" i="1"/>
  <c r="S265" i="1" s="1"/>
  <c r="T265" i="1"/>
  <c r="U254" i="1"/>
  <c r="U255" i="1" s="1"/>
  <c r="U257" i="1"/>
  <c r="U256" i="1"/>
  <c r="R1062" i="2" l="1"/>
  <c r="R1063" i="2" s="1"/>
  <c r="R1066" i="2" s="1"/>
  <c r="S1067" i="2" s="1"/>
  <c r="R1074" i="2"/>
  <c r="R1075" i="2" s="1"/>
  <c r="R1073" i="2"/>
  <c r="R1078" i="2" s="1"/>
  <c r="R1085" i="2"/>
  <c r="R1097" i="2"/>
  <c r="R1086" i="2"/>
  <c r="T1095" i="2"/>
  <c r="V275" i="1"/>
  <c r="V274" i="1"/>
  <c r="T267" i="1"/>
  <c r="T269" i="1" s="1"/>
  <c r="T270" i="1" s="1"/>
  <c r="S263" i="1"/>
  <c r="S264" i="1" s="1"/>
  <c r="S266" i="1"/>
  <c r="U258" i="1"/>
  <c r="U260" i="1" s="1"/>
  <c r="U261" i="1" s="1"/>
  <c r="R1099" i="2" l="1"/>
  <c r="R1111" i="2"/>
  <c r="T1109" i="2"/>
  <c r="R1100" i="2"/>
  <c r="R1076" i="2"/>
  <c r="R1077" i="2" s="1"/>
  <c r="R1080" i="2" s="1"/>
  <c r="S1081" i="2" s="1"/>
  <c r="R1087" i="2"/>
  <c r="R1092" i="2" s="1"/>
  <c r="R1088" i="2"/>
  <c r="R1089" i="2" s="1"/>
  <c r="R1090" i="2" s="1"/>
  <c r="V276" i="1"/>
  <c r="V278" i="1" s="1"/>
  <c r="V279" i="1" s="1"/>
  <c r="V280" i="1" s="1"/>
  <c r="V283" i="1" s="1"/>
  <c r="T271" i="1"/>
  <c r="T272" i="1" s="1"/>
  <c r="T273" i="1" s="1"/>
  <c r="U262" i="1"/>
  <c r="U265" i="1" s="1"/>
  <c r="S267" i="1"/>
  <c r="S269" i="1" s="1"/>
  <c r="S270" i="1" s="1"/>
  <c r="R1091" i="2" l="1"/>
  <c r="R1094" i="2" s="1"/>
  <c r="S1095" i="2" s="1"/>
  <c r="R1113" i="2"/>
  <c r="T1123" i="2"/>
  <c r="R1114" i="2"/>
  <c r="R1125" i="2"/>
  <c r="R1102" i="2"/>
  <c r="R1103" i="2" s="1"/>
  <c r="R1101" i="2"/>
  <c r="R1106" i="2" s="1"/>
  <c r="T274" i="1"/>
  <c r="T275" i="1"/>
  <c r="U263" i="1"/>
  <c r="U264" i="1" s="1"/>
  <c r="U266" i="1"/>
  <c r="S271" i="1"/>
  <c r="S274" i="1" s="1"/>
  <c r="V284" i="1"/>
  <c r="V281" i="1"/>
  <c r="V282" i="1" s="1"/>
  <c r="R1116" i="2" l="1"/>
  <c r="R1117" i="2" s="1"/>
  <c r="R1115" i="2"/>
  <c r="R1120" i="2" s="1"/>
  <c r="R1104" i="2"/>
  <c r="R1105" i="2" s="1"/>
  <c r="R1108" i="2" s="1"/>
  <c r="S1109" i="2" s="1"/>
  <c r="R1127" i="2"/>
  <c r="R1139" i="2"/>
  <c r="T1137" i="2"/>
  <c r="R1128" i="2"/>
  <c r="T276" i="1"/>
  <c r="T278" i="1" s="1"/>
  <c r="T279" i="1" s="1"/>
  <c r="T280" i="1" s="1"/>
  <c r="T283" i="1" s="1"/>
  <c r="V285" i="1"/>
  <c r="V287" i="1" s="1"/>
  <c r="V288" i="1" s="1"/>
  <c r="V289" i="1" s="1"/>
  <c r="S275" i="1"/>
  <c r="S272" i="1"/>
  <c r="S273" i="1" s="1"/>
  <c r="U267" i="1"/>
  <c r="U269" i="1" s="1"/>
  <c r="U270" i="1" s="1"/>
  <c r="R1129" i="2" l="1"/>
  <c r="R1134" i="2" s="1"/>
  <c r="R1130" i="2"/>
  <c r="R1131" i="2" s="1"/>
  <c r="R1118" i="2"/>
  <c r="R1119" i="2" s="1"/>
  <c r="R1122" i="2" s="1"/>
  <c r="S1123" i="2" s="1"/>
  <c r="R1142" i="2"/>
  <c r="T1151" i="2"/>
  <c r="R1141" i="2"/>
  <c r="R1153" i="2"/>
  <c r="S276" i="1"/>
  <c r="S278" i="1" s="1"/>
  <c r="S279" i="1" s="1"/>
  <c r="S280" i="1" s="1"/>
  <c r="V290" i="1"/>
  <c r="V291" i="1" s="1"/>
  <c r="V293" i="1"/>
  <c r="U271" i="1"/>
  <c r="U274" i="1" s="1"/>
  <c r="T281" i="1"/>
  <c r="T282" i="1" s="1"/>
  <c r="T284" i="1"/>
  <c r="V292" i="1"/>
  <c r="R1132" i="2" l="1"/>
  <c r="R1133" i="2" s="1"/>
  <c r="R1136" i="2" s="1"/>
  <c r="S1137" i="2" s="1"/>
  <c r="R1143" i="2"/>
  <c r="R1148" i="2" s="1"/>
  <c r="R1144" i="2"/>
  <c r="R1145" i="2" s="1"/>
  <c r="R1146" i="2" s="1"/>
  <c r="R1155" i="2"/>
  <c r="R1167" i="2"/>
  <c r="T1165" i="2"/>
  <c r="R1156" i="2"/>
  <c r="V294" i="1"/>
  <c r="V296" i="1" s="1"/>
  <c r="V297" i="1" s="1"/>
  <c r="V298" i="1" s="1"/>
  <c r="T285" i="1"/>
  <c r="T287" i="1" s="1"/>
  <c r="T288" i="1" s="1"/>
  <c r="T289" i="1" s="1"/>
  <c r="S284" i="1"/>
  <c r="S281" i="1"/>
  <c r="S282" i="1" s="1"/>
  <c r="U275" i="1"/>
  <c r="U272" i="1"/>
  <c r="U273" i="1" s="1"/>
  <c r="S283" i="1"/>
  <c r="R1147" i="2" l="1"/>
  <c r="R1150" i="2" s="1"/>
  <c r="S1151" i="2" s="1"/>
  <c r="R1158" i="2"/>
  <c r="R1159" i="2" s="1"/>
  <c r="R1157" i="2"/>
  <c r="R1162" i="2" s="1"/>
  <c r="R1181" i="2"/>
  <c r="R1169" i="2"/>
  <c r="T1179" i="2"/>
  <c r="R1170" i="2"/>
  <c r="S285" i="1"/>
  <c r="S287" i="1" s="1"/>
  <c r="S288" i="1" s="1"/>
  <c r="T292" i="1"/>
  <c r="V301" i="1"/>
  <c r="T290" i="1"/>
  <c r="T291" i="1" s="1"/>
  <c r="T293" i="1"/>
  <c r="U276" i="1"/>
  <c r="U278" i="1" s="1"/>
  <c r="U279" i="1" s="1"/>
  <c r="V302" i="1"/>
  <c r="V299" i="1"/>
  <c r="V300" i="1" s="1"/>
  <c r="R1160" i="2" l="1"/>
  <c r="R1161" i="2" s="1"/>
  <c r="R1164" i="2" s="1"/>
  <c r="S1165" i="2" s="1"/>
  <c r="R1195" i="2"/>
  <c r="R1183" i="2"/>
  <c r="T1193" i="2"/>
  <c r="R1184" i="2"/>
  <c r="R1171" i="2"/>
  <c r="R1176" i="2" s="1"/>
  <c r="R1172" i="2"/>
  <c r="R1173" i="2" s="1"/>
  <c r="V303" i="1"/>
  <c r="V305" i="1" s="1"/>
  <c r="V306" i="1" s="1"/>
  <c r="V307" i="1" s="1"/>
  <c r="S289" i="1"/>
  <c r="S290" i="1" s="1"/>
  <c r="S291" i="1" s="1"/>
  <c r="T294" i="1"/>
  <c r="T296" i="1" s="1"/>
  <c r="T297" i="1" s="1"/>
  <c r="T298" i="1" s="1"/>
  <c r="T301" i="1" s="1"/>
  <c r="U280" i="1"/>
  <c r="R1209" i="2" l="1"/>
  <c r="T1207" i="2"/>
  <c r="R1198" i="2"/>
  <c r="R1197" i="2"/>
  <c r="R1174" i="2"/>
  <c r="R1175" i="2" s="1"/>
  <c r="R1178" i="2" s="1"/>
  <c r="S1179" i="2" s="1"/>
  <c r="R1186" i="2"/>
  <c r="R1187" i="2" s="1"/>
  <c r="R1188" i="2" s="1"/>
  <c r="R1185" i="2"/>
  <c r="R1190" i="2" s="1"/>
  <c r="S293" i="1"/>
  <c r="S294" i="1" s="1"/>
  <c r="S296" i="1" s="1"/>
  <c r="S297" i="1" s="1"/>
  <c r="S292" i="1"/>
  <c r="V308" i="1"/>
  <c r="V309" i="1" s="1"/>
  <c r="V311" i="1"/>
  <c r="T299" i="1"/>
  <c r="T300" i="1" s="1"/>
  <c r="T302" i="1"/>
  <c r="V310" i="1"/>
  <c r="U281" i="1"/>
  <c r="U282" i="1" s="1"/>
  <c r="U284" i="1"/>
  <c r="U283" i="1"/>
  <c r="R1189" i="2" l="1"/>
  <c r="R1192" i="2" s="1"/>
  <c r="S1193" i="2" s="1"/>
  <c r="T1221" i="2"/>
  <c r="R1223" i="2"/>
  <c r="R1211" i="2"/>
  <c r="R1212" i="2"/>
  <c r="R1199" i="2"/>
  <c r="R1204" i="2" s="1"/>
  <c r="R1200" i="2"/>
  <c r="R1201" i="2" s="1"/>
  <c r="U285" i="1"/>
  <c r="U287" i="1" s="1"/>
  <c r="U288" i="1" s="1"/>
  <c r="U289" i="1" s="1"/>
  <c r="T303" i="1"/>
  <c r="T305" i="1" s="1"/>
  <c r="T306" i="1" s="1"/>
  <c r="T307" i="1" s="1"/>
  <c r="S298" i="1"/>
  <c r="V312" i="1"/>
  <c r="V314" i="1" s="1"/>
  <c r="V315" i="1" s="1"/>
  <c r="R1202" i="2" l="1"/>
  <c r="R1203" i="2" s="1"/>
  <c r="R1206" i="2" s="1"/>
  <c r="S1207" i="2" s="1"/>
  <c r="T1235" i="2"/>
  <c r="R1237" i="2"/>
  <c r="R1226" i="2"/>
  <c r="R1225" i="2"/>
  <c r="R1214" i="2"/>
  <c r="R1215" i="2" s="1"/>
  <c r="R1213" i="2"/>
  <c r="R1218" i="2" s="1"/>
  <c r="U292" i="1"/>
  <c r="T311" i="1"/>
  <c r="T308" i="1"/>
  <c r="T309" i="1" s="1"/>
  <c r="V316" i="1"/>
  <c r="V319" i="1" s="1"/>
  <c r="T310" i="1"/>
  <c r="S302" i="1"/>
  <c r="S299" i="1"/>
  <c r="S300" i="1" s="1"/>
  <c r="U290" i="1"/>
  <c r="U291" i="1" s="1"/>
  <c r="U293" i="1"/>
  <c r="S301" i="1"/>
  <c r="R1228" i="2" l="1"/>
  <c r="R1229" i="2" s="1"/>
  <c r="R1230" i="2" s="1"/>
  <c r="R1227" i="2"/>
  <c r="R1232" i="2" s="1"/>
  <c r="R1216" i="2"/>
  <c r="R1217" i="2" s="1"/>
  <c r="R1220" i="2" s="1"/>
  <c r="S1221" i="2" s="1"/>
  <c r="R1240" i="2"/>
  <c r="R1251" i="2"/>
  <c r="R1239" i="2"/>
  <c r="T1249" i="2"/>
  <c r="T312" i="1"/>
  <c r="T314" i="1" s="1"/>
  <c r="T315" i="1" s="1"/>
  <c r="T316" i="1" s="1"/>
  <c r="S303" i="1"/>
  <c r="S305" i="1" s="1"/>
  <c r="S306" i="1" s="1"/>
  <c r="S307" i="1" s="1"/>
  <c r="S310" i="1" s="1"/>
  <c r="U294" i="1"/>
  <c r="U296" i="1" s="1"/>
  <c r="U297" i="1" s="1"/>
  <c r="U298" i="1" s="1"/>
  <c r="V320" i="1"/>
  <c r="V317" i="1"/>
  <c r="V318" i="1" s="1"/>
  <c r="R1231" i="2" l="1"/>
  <c r="R1234" i="2" s="1"/>
  <c r="S1235" i="2" s="1"/>
  <c r="R1254" i="2"/>
  <c r="R1253" i="2"/>
  <c r="R1265" i="2"/>
  <c r="T1263" i="2"/>
  <c r="R1241" i="2"/>
  <c r="R1246" i="2" s="1"/>
  <c r="R1242" i="2"/>
  <c r="R1243" i="2" s="1"/>
  <c r="U302" i="1"/>
  <c r="U299" i="1"/>
  <c r="U300" i="1" s="1"/>
  <c r="S308" i="1"/>
  <c r="S309" i="1" s="1"/>
  <c r="S311" i="1"/>
  <c r="U301" i="1"/>
  <c r="V321" i="1"/>
  <c r="V323" i="1" s="1"/>
  <c r="T320" i="1"/>
  <c r="T317" i="1"/>
  <c r="T318" i="1" s="1"/>
  <c r="T319" i="1"/>
  <c r="R1255" i="2" l="1"/>
  <c r="R1260" i="2" s="1"/>
  <c r="R1256" i="2"/>
  <c r="R1257" i="2" s="1"/>
  <c r="R1258" i="2" s="1"/>
  <c r="R1279" i="2"/>
  <c r="R1267" i="2"/>
  <c r="R1268" i="2"/>
  <c r="T1277" i="2"/>
  <c r="R1244" i="2"/>
  <c r="R1245" i="2" s="1"/>
  <c r="R1248" i="2" s="1"/>
  <c r="S1249" i="2" s="1"/>
  <c r="S312" i="1"/>
  <c r="S314" i="1" s="1"/>
  <c r="S315" i="1" s="1"/>
  <c r="S316" i="1" s="1"/>
  <c r="U303" i="1"/>
  <c r="U305" i="1" s="1"/>
  <c r="U306" i="1" s="1"/>
  <c r="V324" i="1"/>
  <c r="T321" i="1"/>
  <c r="T323" i="1" s="1"/>
  <c r="R1282" i="2" l="1"/>
  <c r="R1293" i="2"/>
  <c r="R1281" i="2"/>
  <c r="T1291" i="2"/>
  <c r="R1259" i="2"/>
  <c r="R1262" i="2" s="1"/>
  <c r="S1263" i="2" s="1"/>
  <c r="R1269" i="2"/>
  <c r="R1274" i="2" s="1"/>
  <c r="R1270" i="2"/>
  <c r="R1271" i="2" s="1"/>
  <c r="R1272" i="2" s="1"/>
  <c r="S319" i="1"/>
  <c r="T324" i="1"/>
  <c r="U307" i="1"/>
  <c r="V325" i="1"/>
  <c r="V328" i="1" s="1"/>
  <c r="S320" i="1"/>
  <c r="S317" i="1"/>
  <c r="S318" i="1" s="1"/>
  <c r="R1295" i="2" l="1"/>
  <c r="T1305" i="2"/>
  <c r="R1296" i="2"/>
  <c r="R1307" i="2"/>
  <c r="R1284" i="2"/>
  <c r="R1285" i="2" s="1"/>
  <c r="R1286" i="2" s="1"/>
  <c r="R1283" i="2"/>
  <c r="R1288" i="2" s="1"/>
  <c r="R1273" i="2"/>
  <c r="R1276" i="2" s="1"/>
  <c r="S1277" i="2" s="1"/>
  <c r="U311" i="1"/>
  <c r="U308" i="1"/>
  <c r="U309" i="1" s="1"/>
  <c r="V326" i="1"/>
  <c r="V327" i="1" s="1"/>
  <c r="V329" i="1"/>
  <c r="T325" i="1"/>
  <c r="T328" i="1" s="1"/>
  <c r="S321" i="1"/>
  <c r="S323" i="1" s="1"/>
  <c r="U310" i="1"/>
  <c r="R1287" i="2" l="1"/>
  <c r="R1290" i="2" s="1"/>
  <c r="S1291" i="2" s="1"/>
  <c r="R1298" i="2"/>
  <c r="R1299" i="2" s="1"/>
  <c r="R1300" i="2" s="1"/>
  <c r="R1297" i="2"/>
  <c r="R1302" i="2" s="1"/>
  <c r="R1309" i="2"/>
  <c r="T1319" i="2"/>
  <c r="R1321" i="2"/>
  <c r="R1310" i="2"/>
  <c r="U312" i="1"/>
  <c r="U314" i="1" s="1"/>
  <c r="U315" i="1" s="1"/>
  <c r="T326" i="1"/>
  <c r="T327" i="1" s="1"/>
  <c r="T329" i="1"/>
  <c r="S324" i="1"/>
  <c r="V330" i="1"/>
  <c r="V332" i="1" s="1"/>
  <c r="V333" i="1" s="1"/>
  <c r="R1301" i="2" l="1"/>
  <c r="R1304" i="2" s="1"/>
  <c r="S1305" i="2" s="1"/>
  <c r="R1335" i="2"/>
  <c r="T1333" i="2"/>
  <c r="R1324" i="2"/>
  <c r="R1323" i="2"/>
  <c r="R1311" i="2"/>
  <c r="R1316" i="2" s="1"/>
  <c r="R1312" i="2"/>
  <c r="R1313" i="2" s="1"/>
  <c r="R1314" i="2" s="1"/>
  <c r="T330" i="1"/>
  <c r="T332" i="1" s="1"/>
  <c r="T333" i="1" s="1"/>
  <c r="T334" i="1" s="1"/>
  <c r="T337" i="1" s="1"/>
  <c r="V334" i="1"/>
  <c r="V337" i="1" s="1"/>
  <c r="U316" i="1"/>
  <c r="U319" i="1" s="1"/>
  <c r="S325" i="1"/>
  <c r="S328" i="1" s="1"/>
  <c r="R1338" i="2" l="1"/>
  <c r="R1337" i="2"/>
  <c r="R1349" i="2"/>
  <c r="T1347" i="2"/>
  <c r="R1315" i="2"/>
  <c r="R1318" i="2" s="1"/>
  <c r="S1319" i="2" s="1"/>
  <c r="R1325" i="2"/>
  <c r="R1330" i="2" s="1"/>
  <c r="R1326" i="2"/>
  <c r="R1327" i="2" s="1"/>
  <c r="T335" i="1"/>
  <c r="T336" i="1" s="1"/>
  <c r="T338" i="1"/>
  <c r="U317" i="1"/>
  <c r="U318" i="1" s="1"/>
  <c r="U320" i="1"/>
  <c r="S326" i="1"/>
  <c r="S327" i="1" s="1"/>
  <c r="S329" i="1"/>
  <c r="V335" i="1"/>
  <c r="V336" i="1" s="1"/>
  <c r="V338" i="1"/>
  <c r="R1340" i="2" l="1"/>
  <c r="R1341" i="2" s="1"/>
  <c r="R1342" i="2" s="1"/>
  <c r="R1339" i="2"/>
  <c r="R1344" i="2" s="1"/>
  <c r="R1328" i="2"/>
  <c r="R1329" i="2" s="1"/>
  <c r="R1332" i="2" s="1"/>
  <c r="S1333" i="2" s="1"/>
  <c r="R1352" i="2"/>
  <c r="T1361" i="2"/>
  <c r="R1351" i="2"/>
  <c r="R1363" i="2"/>
  <c r="S330" i="1"/>
  <c r="S332" i="1" s="1"/>
  <c r="S333" i="1" s="1"/>
  <c r="T339" i="1"/>
  <c r="T341" i="1" s="1"/>
  <c r="T342" i="1" s="1"/>
  <c r="V339" i="1"/>
  <c r="V341" i="1" s="1"/>
  <c r="V342" i="1" s="1"/>
  <c r="U321" i="1"/>
  <c r="U323" i="1" s="1"/>
  <c r="R1343" i="2" l="1"/>
  <c r="R1346" i="2" s="1"/>
  <c r="S1347" i="2" s="1"/>
  <c r="R1354" i="2"/>
  <c r="R1355" i="2" s="1"/>
  <c r="R1356" i="2" s="1"/>
  <c r="R1353" i="2"/>
  <c r="R1358" i="2" s="1"/>
  <c r="R1365" i="2"/>
  <c r="R1377" i="2"/>
  <c r="R1366" i="2"/>
  <c r="T1375" i="2"/>
  <c r="S334" i="1"/>
  <c r="T343" i="1"/>
  <c r="T346" i="1" s="1"/>
  <c r="U324" i="1"/>
  <c r="V343" i="1"/>
  <c r="V346" i="1" s="1"/>
  <c r="R1357" i="2" l="1"/>
  <c r="R1360" i="2" s="1"/>
  <c r="S1361" i="2" s="1"/>
  <c r="R1367" i="2"/>
  <c r="R1372" i="2" s="1"/>
  <c r="R1368" i="2"/>
  <c r="R1369" i="2" s="1"/>
  <c r="R1370" i="2" s="1"/>
  <c r="R1391" i="2"/>
  <c r="T1389" i="2"/>
  <c r="R1380" i="2"/>
  <c r="R1379" i="2"/>
  <c r="S338" i="1"/>
  <c r="S335" i="1"/>
  <c r="S336" i="1" s="1"/>
  <c r="V347" i="1"/>
  <c r="V344" i="1"/>
  <c r="V345" i="1" s="1"/>
  <c r="S337" i="1"/>
  <c r="U325" i="1"/>
  <c r="T344" i="1"/>
  <c r="T345" i="1" s="1"/>
  <c r="T347" i="1"/>
  <c r="T1403" i="2" l="1"/>
  <c r="R1405" i="2"/>
  <c r="R1393" i="2"/>
  <c r="R1394" i="2"/>
  <c r="R1371" i="2"/>
  <c r="R1374" i="2" s="1"/>
  <c r="S1375" i="2" s="1"/>
  <c r="R1382" i="2"/>
  <c r="R1383" i="2" s="1"/>
  <c r="R1384" i="2" s="1"/>
  <c r="R1381" i="2"/>
  <c r="R1386" i="2" s="1"/>
  <c r="T348" i="1"/>
  <c r="T350" i="1" s="1"/>
  <c r="T351" i="1" s="1"/>
  <c r="T352" i="1" s="1"/>
  <c r="T355" i="1" s="1"/>
  <c r="S339" i="1"/>
  <c r="S341" i="1" s="1"/>
  <c r="S342" i="1" s="1"/>
  <c r="S343" i="1" s="1"/>
  <c r="V348" i="1"/>
  <c r="V350" i="1" s="1"/>
  <c r="V351" i="1" s="1"/>
  <c r="V352" i="1" s="1"/>
  <c r="V355" i="1" s="1"/>
  <c r="U329" i="1"/>
  <c r="U326" i="1"/>
  <c r="U327" i="1" s="1"/>
  <c r="U328" i="1"/>
  <c r="R1385" i="2" l="1"/>
  <c r="R1388" i="2" s="1"/>
  <c r="S1389" i="2" s="1"/>
  <c r="R1395" i="2"/>
  <c r="R1400" i="2" s="1"/>
  <c r="R1396" i="2"/>
  <c r="R1397" i="2" s="1"/>
  <c r="R1398" i="2" s="1"/>
  <c r="R1407" i="2"/>
  <c r="T1417" i="2"/>
  <c r="R1408" i="2"/>
  <c r="R1419" i="2"/>
  <c r="U330" i="1"/>
  <c r="U332" i="1" s="1"/>
  <c r="U333" i="1" s="1"/>
  <c r="U334" i="1" s="1"/>
  <c r="S347" i="1"/>
  <c r="S344" i="1"/>
  <c r="S345" i="1" s="1"/>
  <c r="T353" i="1"/>
  <c r="T354" i="1" s="1"/>
  <c r="T356" i="1"/>
  <c r="V353" i="1"/>
  <c r="V354" i="1" s="1"/>
  <c r="V356" i="1"/>
  <c r="S346" i="1"/>
  <c r="T1431" i="2" l="1"/>
  <c r="R1421" i="2"/>
  <c r="R1433" i="2"/>
  <c r="R1422" i="2"/>
  <c r="R1409" i="2"/>
  <c r="R1414" i="2" s="1"/>
  <c r="R1410" i="2"/>
  <c r="R1411" i="2" s="1"/>
  <c r="R1412" i="2" s="1"/>
  <c r="R1399" i="2"/>
  <c r="R1402" i="2" s="1"/>
  <c r="S1403" i="2" s="1"/>
  <c r="U337" i="1"/>
  <c r="V357" i="1"/>
  <c r="V359" i="1" s="1"/>
  <c r="V360" i="1" s="1"/>
  <c r="S348" i="1"/>
  <c r="S350" i="1" s="1"/>
  <c r="S351" i="1" s="1"/>
  <c r="U335" i="1"/>
  <c r="U336" i="1" s="1"/>
  <c r="U338" i="1"/>
  <c r="T357" i="1"/>
  <c r="T359" i="1" s="1"/>
  <c r="T360" i="1" s="1"/>
  <c r="R1423" i="2" l="1"/>
  <c r="R1428" i="2" s="1"/>
  <c r="R1424" i="2"/>
  <c r="R1425" i="2" s="1"/>
  <c r="R1426" i="2" s="1"/>
  <c r="T1445" i="2"/>
  <c r="R1436" i="2"/>
  <c r="R1435" i="2"/>
  <c r="R1447" i="2"/>
  <c r="R1413" i="2"/>
  <c r="R1416" i="2" s="1"/>
  <c r="S1417" i="2" s="1"/>
  <c r="U339" i="1"/>
  <c r="U341" i="1" s="1"/>
  <c r="U342" i="1" s="1"/>
  <c r="U343" i="1" s="1"/>
  <c r="U346" i="1" s="1"/>
  <c r="V361" i="1"/>
  <c r="S352" i="1"/>
  <c r="S355" i="1" s="1"/>
  <c r="T361" i="1"/>
  <c r="T364" i="1" s="1"/>
  <c r="R1438" i="2" l="1"/>
  <c r="R1439" i="2" s="1"/>
  <c r="R1440" i="2" s="1"/>
  <c r="R1437" i="2"/>
  <c r="R1442" i="2" s="1"/>
  <c r="R1449" i="2"/>
  <c r="R1450" i="2"/>
  <c r="R1461" i="2"/>
  <c r="T1459" i="2"/>
  <c r="R1427" i="2"/>
  <c r="R1430" i="2" s="1"/>
  <c r="S1431" i="2" s="1"/>
  <c r="V362" i="1"/>
  <c r="V363" i="1" s="1"/>
  <c r="V365" i="1"/>
  <c r="U347" i="1"/>
  <c r="U344" i="1"/>
  <c r="U345" i="1" s="1"/>
  <c r="V364" i="1"/>
  <c r="T362" i="1"/>
  <c r="T363" i="1" s="1"/>
  <c r="T365" i="1"/>
  <c r="S356" i="1"/>
  <c r="S353" i="1"/>
  <c r="S354" i="1" s="1"/>
  <c r="R1441" i="2" l="1"/>
  <c r="R1444" i="2" s="1"/>
  <c r="S1445" i="2" s="1"/>
  <c r="R1451" i="2"/>
  <c r="R1456" i="2" s="1"/>
  <c r="R1452" i="2"/>
  <c r="R1453" i="2" s="1"/>
  <c r="R1475" i="2"/>
  <c r="T1473" i="2"/>
  <c r="R1464" i="2"/>
  <c r="R1463" i="2"/>
  <c r="V366" i="1"/>
  <c r="V368" i="1" s="1"/>
  <c r="S357" i="1"/>
  <c r="S359" i="1" s="1"/>
  <c r="S360" i="1" s="1"/>
  <c r="S361" i="1" s="1"/>
  <c r="S364" i="1" s="1"/>
  <c r="T366" i="1"/>
  <c r="T368" i="1" s="1"/>
  <c r="U348" i="1"/>
  <c r="U350" i="1" s="1"/>
  <c r="U351" i="1" s="1"/>
  <c r="U352" i="1" s="1"/>
  <c r="R1466" i="2" l="1"/>
  <c r="R1467" i="2" s="1"/>
  <c r="R1465" i="2"/>
  <c r="R1470" i="2" s="1"/>
  <c r="R1454" i="2"/>
  <c r="R1455" i="2" s="1"/>
  <c r="R1458" i="2" s="1"/>
  <c r="S1459" i="2" s="1"/>
  <c r="R1478" i="2"/>
  <c r="T1487" i="2"/>
  <c r="R1477" i="2"/>
  <c r="R1489" i="2"/>
  <c r="V369" i="1"/>
  <c r="U355" i="1"/>
  <c r="U356" i="1"/>
  <c r="U353" i="1"/>
  <c r="U354" i="1" s="1"/>
  <c r="T369" i="1"/>
  <c r="S365" i="1"/>
  <c r="S362" i="1"/>
  <c r="S363" i="1" s="1"/>
  <c r="R1468" i="2" l="1"/>
  <c r="R1469" i="2" s="1"/>
  <c r="R1472" i="2" s="1"/>
  <c r="S1473" i="2" s="1"/>
  <c r="R1479" i="2"/>
  <c r="R1484" i="2" s="1"/>
  <c r="R1480" i="2"/>
  <c r="R1481" i="2" s="1"/>
  <c r="R1492" i="2"/>
  <c r="T1501" i="2"/>
  <c r="R1491" i="2"/>
  <c r="R1503" i="2"/>
  <c r="S366" i="1"/>
  <c r="S368" i="1" s="1"/>
  <c r="S369" i="1" s="1"/>
  <c r="S370" i="1" s="1"/>
  <c r="U357" i="1"/>
  <c r="U359" i="1" s="1"/>
  <c r="U360" i="1" s="1"/>
  <c r="U361" i="1" s="1"/>
  <c r="V370" i="1"/>
  <c r="V374" i="1" s="1"/>
  <c r="T370" i="1"/>
  <c r="T373" i="1" s="1"/>
  <c r="R1494" i="2" l="1"/>
  <c r="R1495" i="2" s="1"/>
  <c r="R1493" i="2"/>
  <c r="R1498" i="2" s="1"/>
  <c r="R1506" i="2"/>
  <c r="R1505" i="2"/>
  <c r="R1517" i="2"/>
  <c r="T1515" i="2"/>
  <c r="R1482" i="2"/>
  <c r="R1483" i="2" s="1"/>
  <c r="R1486" i="2" s="1"/>
  <c r="S1487" i="2" s="1"/>
  <c r="V373" i="1"/>
  <c r="V371" i="1"/>
  <c r="V372" i="1" s="1"/>
  <c r="U362" i="1"/>
  <c r="U363" i="1" s="1"/>
  <c r="U365" i="1"/>
  <c r="S371" i="1"/>
  <c r="S372" i="1" s="1"/>
  <c r="S374" i="1"/>
  <c r="U364" i="1"/>
  <c r="S373" i="1"/>
  <c r="T371" i="1"/>
  <c r="T372" i="1" s="1"/>
  <c r="T374" i="1"/>
  <c r="R1519" i="2" l="1"/>
  <c r="R1520" i="2"/>
  <c r="R1531" i="2"/>
  <c r="T1529" i="2"/>
  <c r="R1496" i="2"/>
  <c r="R1497" i="2" s="1"/>
  <c r="R1500" i="2" s="1"/>
  <c r="S1501" i="2" s="1"/>
  <c r="R1508" i="2"/>
  <c r="R1509" i="2" s="1"/>
  <c r="R1507" i="2"/>
  <c r="R1512" i="2" s="1"/>
  <c r="V375" i="1"/>
  <c r="V377" i="1" s="1"/>
  <c r="V378" i="1" s="1"/>
  <c r="V379" i="1" s="1"/>
  <c r="V380" i="1" s="1"/>
  <c r="V381" i="1" s="1"/>
  <c r="S375" i="1"/>
  <c r="S377" i="1" s="1"/>
  <c r="S378" i="1" s="1"/>
  <c r="U366" i="1"/>
  <c r="U368" i="1" s="1"/>
  <c r="T375" i="1"/>
  <c r="T377" i="1" s="1"/>
  <c r="T378" i="1" s="1"/>
  <c r="R1510" i="2" l="1"/>
  <c r="R1511" i="2" s="1"/>
  <c r="R1514" i="2" s="1"/>
  <c r="S1515" i="2" s="1"/>
  <c r="T1543" i="2"/>
  <c r="R1534" i="2"/>
  <c r="R1533" i="2"/>
  <c r="R1545" i="2"/>
  <c r="R1522" i="2"/>
  <c r="R1523" i="2" s="1"/>
  <c r="R1524" i="2" s="1"/>
  <c r="R1521" i="2"/>
  <c r="R1526" i="2" s="1"/>
  <c r="V383" i="1"/>
  <c r="V382" i="1"/>
  <c r="S379" i="1"/>
  <c r="S380" i="1" s="1"/>
  <c r="S381" i="1" s="1"/>
  <c r="T379" i="1"/>
  <c r="T382" i="1" s="1"/>
  <c r="U369" i="1"/>
  <c r="V384" i="1" l="1"/>
  <c r="G17" i="1" s="1"/>
  <c r="R1535" i="2"/>
  <c r="R1540" i="2" s="1"/>
  <c r="R1536" i="2"/>
  <c r="R1537" i="2" s="1"/>
  <c r="R1538" i="2" s="1"/>
  <c r="R1547" i="2"/>
  <c r="R1548" i="2"/>
  <c r="R1559" i="2"/>
  <c r="T1557" i="2"/>
  <c r="R1525" i="2"/>
  <c r="R1528" i="2" s="1"/>
  <c r="S1529" i="2" s="1"/>
  <c r="S383" i="1"/>
  <c r="S382" i="1"/>
  <c r="T380" i="1"/>
  <c r="T381" i="1" s="1"/>
  <c r="T383" i="1"/>
  <c r="U370" i="1"/>
  <c r="U373" i="1" s="1"/>
  <c r="S384" i="1" l="1"/>
  <c r="D17" i="1" s="1"/>
  <c r="S387" i="1" s="1"/>
  <c r="S388" i="1" s="1"/>
  <c r="S389" i="1" s="1"/>
  <c r="V397" i="1"/>
  <c r="V387" i="1"/>
  <c r="R1561" i="2"/>
  <c r="R1562" i="2"/>
  <c r="T1571" i="2"/>
  <c r="R1573" i="2"/>
  <c r="R1549" i="2"/>
  <c r="R1554" i="2" s="1"/>
  <c r="R1550" i="2"/>
  <c r="R1551" i="2" s="1"/>
  <c r="R1552" i="2" s="1"/>
  <c r="R1539" i="2"/>
  <c r="R1542" i="2" s="1"/>
  <c r="S1543" i="2" s="1"/>
  <c r="U374" i="1"/>
  <c r="U371" i="1"/>
  <c r="U372" i="1" s="1"/>
  <c r="T384" i="1"/>
  <c r="E17" i="1" s="1"/>
  <c r="S397" i="1" l="1"/>
  <c r="O9" i="4" s="1"/>
  <c r="V411" i="1"/>
  <c r="G20" i="1" s="1"/>
  <c r="R9" i="4"/>
  <c r="T387" i="1"/>
  <c r="T388" i="1" s="1"/>
  <c r="T389" i="1" s="1"/>
  <c r="T397" i="1"/>
  <c r="V388" i="1"/>
  <c r="V389" i="1" s="1"/>
  <c r="S393" i="1"/>
  <c r="S390" i="1"/>
  <c r="S391" i="1" s="1"/>
  <c r="R1553" i="2"/>
  <c r="R1556" i="2" s="1"/>
  <c r="S1557" i="2" s="1"/>
  <c r="R1563" i="2"/>
  <c r="R1568" i="2" s="1"/>
  <c r="R1564" i="2"/>
  <c r="R1565" i="2" s="1"/>
  <c r="R1566" i="2" s="1"/>
  <c r="R1575" i="2"/>
  <c r="T1585" i="2"/>
  <c r="R1576" i="2"/>
  <c r="R1587" i="2"/>
  <c r="U375" i="1"/>
  <c r="U377" i="1" s="1"/>
  <c r="U378" i="1" s="1"/>
  <c r="U379" i="1" s="1"/>
  <c r="S411" i="1" l="1"/>
  <c r="D20" i="1" s="1"/>
  <c r="F14" i="4"/>
  <c r="F20" i="4"/>
  <c r="F18" i="4"/>
  <c r="F16" i="4"/>
  <c r="C16" i="4"/>
  <c r="C18" i="4"/>
  <c r="C20" i="4"/>
  <c r="C14" i="4"/>
  <c r="T411" i="1"/>
  <c r="E20" i="1" s="1"/>
  <c r="P9" i="4"/>
  <c r="S392" i="1"/>
  <c r="S394" i="1" s="1"/>
  <c r="D18" i="1" s="1"/>
  <c r="V393" i="1"/>
  <c r="V390" i="1"/>
  <c r="V391" i="1" s="1"/>
  <c r="T390" i="1"/>
  <c r="T391" i="1" s="1"/>
  <c r="T393" i="1"/>
  <c r="R1567" i="2"/>
  <c r="R1570" i="2" s="1"/>
  <c r="S1571" i="2" s="1"/>
  <c r="R1590" i="2"/>
  <c r="R1589" i="2"/>
  <c r="R1601" i="2"/>
  <c r="T1599" i="2"/>
  <c r="R1577" i="2"/>
  <c r="R1582" i="2" s="1"/>
  <c r="R1578" i="2"/>
  <c r="R1579" i="2" s="1"/>
  <c r="U380" i="1"/>
  <c r="U381" i="1" s="1"/>
  <c r="U383" i="1"/>
  <c r="U382" i="1"/>
  <c r="D18" i="4" l="1"/>
  <c r="D20" i="4"/>
  <c r="D16" i="4"/>
  <c r="D14" i="4"/>
  <c r="T392" i="1"/>
  <c r="T394" i="1" s="1"/>
  <c r="E18" i="1" s="1"/>
  <c r="V392" i="1"/>
  <c r="V394" i="1" s="1"/>
  <c r="G18" i="1" s="1"/>
  <c r="R1580" i="2"/>
  <c r="R1581" i="2" s="1"/>
  <c r="R1584" i="2" s="1"/>
  <c r="S1585" i="2" s="1"/>
  <c r="R1591" i="2"/>
  <c r="R1596" i="2" s="1"/>
  <c r="R1592" i="2"/>
  <c r="R1593" i="2" s="1"/>
  <c r="R1594" i="2" s="1"/>
  <c r="T1613" i="2"/>
  <c r="R1615" i="2"/>
  <c r="R1604" i="2"/>
  <c r="R1603" i="2"/>
  <c r="U384" i="1"/>
  <c r="F17" i="1" s="1"/>
  <c r="U397" i="1" l="1"/>
  <c r="U387" i="1"/>
  <c r="U388" i="1" s="1"/>
  <c r="U389" i="1" s="1"/>
  <c r="R1595" i="2"/>
  <c r="R1598" i="2" s="1"/>
  <c r="S1599" i="2" s="1"/>
  <c r="R1618" i="2"/>
  <c r="R1617" i="2"/>
  <c r="T1627" i="2"/>
  <c r="R1629" i="2"/>
  <c r="R1605" i="2"/>
  <c r="R1610" i="2" s="1"/>
  <c r="R1606" i="2"/>
  <c r="R1607" i="2" s="1"/>
  <c r="R1608" i="2" s="1"/>
  <c r="U411" i="1" l="1"/>
  <c r="F20" i="1" s="1"/>
  <c r="Q9" i="4"/>
  <c r="U393" i="1"/>
  <c r="U392" i="1" s="1"/>
  <c r="U390" i="1"/>
  <c r="U391" i="1" s="1"/>
  <c r="R1609" i="2"/>
  <c r="R1612" i="2" s="1"/>
  <c r="S1613" i="2" s="1"/>
  <c r="R1620" i="2"/>
  <c r="R1621" i="2" s="1"/>
  <c r="R1619" i="2"/>
  <c r="R1624" i="2" s="1"/>
  <c r="R1643" i="2"/>
  <c r="R1631" i="2"/>
  <c r="T1641" i="2"/>
  <c r="R1632" i="2"/>
  <c r="E20" i="4" l="1"/>
  <c r="E14" i="4"/>
  <c r="E16" i="4"/>
  <c r="E18" i="4"/>
  <c r="U394" i="1"/>
  <c r="F18" i="1" s="1"/>
  <c r="R1622" i="2"/>
  <c r="R1623" i="2" s="1"/>
  <c r="R1626" i="2" s="1"/>
  <c r="S1627" i="2" s="1"/>
  <c r="R1645" i="2"/>
  <c r="R1646" i="2"/>
  <c r="R1657" i="2"/>
  <c r="T1655" i="2"/>
  <c r="R1633" i="2"/>
  <c r="R1638" i="2" s="1"/>
  <c r="R1634" i="2"/>
  <c r="R1635" i="2" s="1"/>
  <c r="R1636" i="2" s="1"/>
  <c r="R1637" i="2" l="1"/>
  <c r="R1640" i="2" s="1"/>
  <c r="S1641" i="2" s="1"/>
  <c r="R1648" i="2"/>
  <c r="R1649" i="2" s="1"/>
  <c r="R1650" i="2" s="1"/>
  <c r="R1647" i="2"/>
  <c r="R1652" i="2" s="1"/>
  <c r="T1669" i="2"/>
  <c r="R1660" i="2"/>
  <c r="R1659" i="2"/>
  <c r="R1671" i="2"/>
  <c r="R1651" i="2" l="1"/>
  <c r="R1654" i="2" s="1"/>
  <c r="S1655" i="2" s="1"/>
  <c r="R1685" i="2"/>
  <c r="R1673" i="2"/>
  <c r="T1683" i="2"/>
  <c r="R1674" i="2"/>
  <c r="R1662" i="2"/>
  <c r="R1663" i="2" s="1"/>
  <c r="R1664" i="2" s="1"/>
  <c r="R1661" i="2"/>
  <c r="R1666" i="2" s="1"/>
  <c r="R1665" i="2" l="1"/>
  <c r="R1668" i="2" s="1"/>
  <c r="S1669" i="2" s="1"/>
  <c r="R1687" i="2"/>
  <c r="R1688" i="2"/>
  <c r="R1699" i="2"/>
  <c r="T1697" i="2"/>
  <c r="R1675" i="2"/>
  <c r="R1680" i="2" s="1"/>
  <c r="R1676" i="2"/>
  <c r="R1677" i="2" s="1"/>
  <c r="R1678" i="2" s="1"/>
  <c r="R1690" i="2" l="1"/>
  <c r="R1691" i="2" s="1"/>
  <c r="R1689" i="2"/>
  <c r="R1694" i="2" s="1"/>
  <c r="R1713" i="2"/>
  <c r="T1711" i="2"/>
  <c r="R1702" i="2"/>
  <c r="R1701" i="2"/>
  <c r="R1679" i="2"/>
  <c r="R1682" i="2" s="1"/>
  <c r="S1683" i="2" s="1"/>
  <c r="R1692" i="2" l="1"/>
  <c r="R1693" i="2" s="1"/>
  <c r="R1696" i="2" s="1"/>
  <c r="S1697" i="2" s="1"/>
  <c r="R1727" i="2"/>
  <c r="T1725" i="2"/>
  <c r="R1716" i="2"/>
  <c r="R1715" i="2"/>
  <c r="R1704" i="2"/>
  <c r="R1705" i="2" s="1"/>
  <c r="R1703" i="2"/>
  <c r="R1708" i="2" s="1"/>
  <c r="R1717" i="2" l="1"/>
  <c r="R1722" i="2" s="1"/>
  <c r="R1718" i="2"/>
  <c r="R1719" i="2" s="1"/>
  <c r="R1720" i="2" s="1"/>
  <c r="R1706" i="2"/>
  <c r="R1707" i="2" s="1"/>
  <c r="R1710" i="2" s="1"/>
  <c r="S1711" i="2" s="1"/>
  <c r="R1729" i="2"/>
  <c r="R1730" i="2"/>
  <c r="R1741" i="2"/>
  <c r="T1739" i="2"/>
  <c r="R1731" i="2" l="1"/>
  <c r="R1736" i="2" s="1"/>
  <c r="R1732" i="2"/>
  <c r="R1733" i="2" s="1"/>
  <c r="R1755" i="2"/>
  <c r="R1744" i="2"/>
  <c r="T1753" i="2"/>
  <c r="R1743" i="2"/>
  <c r="R1721" i="2"/>
  <c r="R1724" i="2" s="1"/>
  <c r="S1725" i="2" s="1"/>
  <c r="R1757" i="2" l="1"/>
  <c r="R1769" i="2"/>
  <c r="T1767" i="2"/>
  <c r="R1758" i="2"/>
  <c r="R1746" i="2"/>
  <c r="R1747" i="2" s="1"/>
  <c r="R1745" i="2"/>
  <c r="R1750" i="2" s="1"/>
  <c r="R1734" i="2"/>
  <c r="R1735" i="2" s="1"/>
  <c r="R1738" i="2" s="1"/>
  <c r="S1739" i="2" s="1"/>
  <c r="R1748" i="2" l="1"/>
  <c r="R1749" i="2" s="1"/>
  <c r="R1752" i="2" s="1"/>
  <c r="S1753" i="2" s="1"/>
  <c r="R1759" i="2"/>
  <c r="R1764" i="2" s="1"/>
  <c r="R1760" i="2"/>
  <c r="R1761" i="2" s="1"/>
  <c r="T1781" i="2"/>
  <c r="R1783" i="2"/>
  <c r="R1772" i="2"/>
  <c r="R1771" i="2"/>
  <c r="T1795" i="2" l="1"/>
  <c r="R1785" i="2"/>
  <c r="R1797" i="2"/>
  <c r="R1786" i="2"/>
  <c r="R1773" i="2"/>
  <c r="R1778" i="2" s="1"/>
  <c r="R1774" i="2"/>
  <c r="R1775" i="2" s="1"/>
  <c r="R1762" i="2"/>
  <c r="R1763" i="2" s="1"/>
  <c r="R1766" i="2" s="1"/>
  <c r="S1767" i="2" s="1"/>
  <c r="R1776" i="2" l="1"/>
  <c r="R1777" i="2" s="1"/>
  <c r="R1780" i="2" s="1"/>
  <c r="S1781" i="2" s="1"/>
  <c r="R1788" i="2"/>
  <c r="R1789" i="2" s="1"/>
  <c r="R1790" i="2" s="1"/>
  <c r="R1787" i="2"/>
  <c r="R1792" i="2" s="1"/>
  <c r="R1800" i="2"/>
  <c r="R1799" i="2"/>
  <c r="R1811" i="2"/>
  <c r="T1809" i="2"/>
  <c r="R1802" i="2" l="1"/>
  <c r="R1803" i="2" s="1"/>
  <c r="R1804" i="2" s="1"/>
  <c r="R1801" i="2"/>
  <c r="R1806" i="2" s="1"/>
  <c r="R1825" i="2"/>
  <c r="T1823" i="2"/>
  <c r="R1814" i="2"/>
  <c r="R1813" i="2"/>
  <c r="R1791" i="2"/>
  <c r="R1794" i="2" s="1"/>
  <c r="S1795" i="2" s="1"/>
  <c r="R1805" i="2" l="1"/>
  <c r="R1808" i="2" s="1"/>
  <c r="S1809" i="2" s="1"/>
  <c r="R1815" i="2"/>
  <c r="R1820" i="2" s="1"/>
  <c r="R1816" i="2"/>
  <c r="R1817" i="2" s="1"/>
  <c r="R1818" i="2" s="1"/>
  <c r="R1827" i="2"/>
  <c r="R1828" i="2"/>
  <c r="T1837" i="2"/>
  <c r="R1839" i="2"/>
  <c r="R1819" i="2" l="1"/>
  <c r="R1822" i="2" s="1"/>
  <c r="S1823" i="2" s="1"/>
  <c r="T1851" i="2"/>
  <c r="R1841" i="2"/>
  <c r="R1842" i="2"/>
  <c r="R1853" i="2"/>
  <c r="R1830" i="2"/>
  <c r="R1831" i="2" s="1"/>
  <c r="R1832" i="2" s="1"/>
  <c r="R1829" i="2"/>
  <c r="R1834" i="2" s="1"/>
  <c r="R1833" i="2" l="1"/>
  <c r="R1836" i="2" s="1"/>
  <c r="S1837" i="2" s="1"/>
  <c r="R1844" i="2"/>
  <c r="R1845" i="2" s="1"/>
  <c r="R1846" i="2" s="1"/>
  <c r="R1843" i="2"/>
  <c r="R1848" i="2" s="1"/>
  <c r="T1865" i="2"/>
  <c r="R1856" i="2"/>
  <c r="R1867" i="2"/>
  <c r="R1855" i="2"/>
  <c r="R1847" i="2" l="1"/>
  <c r="R1850" i="2" s="1"/>
  <c r="S1851" i="2" s="1"/>
  <c r="R1870" i="2"/>
  <c r="R1869" i="2"/>
  <c r="R1881" i="2"/>
  <c r="T1879" i="2"/>
  <c r="R1857" i="2"/>
  <c r="R1862" i="2" s="1"/>
  <c r="R1858" i="2"/>
  <c r="R1859" i="2" s="1"/>
  <c r="R1860" i="2" s="1"/>
  <c r="R1861" i="2" l="1"/>
  <c r="R1864" i="2" s="1"/>
  <c r="S1865" i="2" s="1"/>
  <c r="R1872" i="2"/>
  <c r="R1873" i="2" s="1"/>
  <c r="R1871" i="2"/>
  <c r="R1876" i="2" s="1"/>
  <c r="R1883" i="2"/>
  <c r="R1895" i="2"/>
  <c r="R1884" i="2"/>
  <c r="T1893" i="2"/>
  <c r="R1886" i="2" l="1"/>
  <c r="R1887" i="2" s="1"/>
  <c r="R1888" i="2" s="1"/>
  <c r="R1885" i="2"/>
  <c r="R1890" i="2" s="1"/>
  <c r="R1874" i="2"/>
  <c r="R1875" i="2" s="1"/>
  <c r="R1878" i="2" s="1"/>
  <c r="S1879" i="2" s="1"/>
  <c r="R1909" i="2"/>
  <c r="T1907" i="2"/>
  <c r="R1897" i="2"/>
  <c r="R1898" i="2"/>
  <c r="R1889" i="2" l="1"/>
  <c r="R1892" i="2" s="1"/>
  <c r="S1893" i="2" s="1"/>
  <c r="R1899" i="2"/>
  <c r="R1904" i="2" s="1"/>
  <c r="R1900" i="2"/>
  <c r="R1901" i="2" s="1"/>
  <c r="R1902" i="2" s="1"/>
  <c r="R1912" i="2"/>
  <c r="R1923" i="2"/>
  <c r="R1911" i="2"/>
  <c r="T1921" i="2"/>
  <c r="R1903" i="2" l="1"/>
  <c r="R1906" i="2" s="1"/>
  <c r="S1907" i="2" s="1"/>
  <c r="R1914" i="2"/>
  <c r="R1915" i="2" s="1"/>
  <c r="R1913" i="2"/>
  <c r="R1918" i="2" s="1"/>
  <c r="R1937" i="2"/>
  <c r="T1935" i="2"/>
  <c r="R1926" i="2"/>
  <c r="R1925" i="2"/>
  <c r="R1940" i="2" l="1"/>
  <c r="T1949" i="2"/>
  <c r="R1939" i="2"/>
  <c r="R1951" i="2"/>
  <c r="R1916" i="2"/>
  <c r="R1917" i="2" s="1"/>
  <c r="R1920" i="2" s="1"/>
  <c r="S1921" i="2" s="1"/>
  <c r="R1928" i="2"/>
  <c r="R1929" i="2" s="1"/>
  <c r="R1927" i="2"/>
  <c r="R1932" i="2" s="1"/>
  <c r="R1930" i="2" l="1"/>
  <c r="R1931" i="2" s="1"/>
  <c r="R1934" i="2" s="1"/>
  <c r="S1935" i="2" s="1"/>
  <c r="R1941" i="2"/>
  <c r="R1946" i="2" s="1"/>
  <c r="R1942" i="2"/>
  <c r="R1943" i="2" s="1"/>
  <c r="R1944" i="2" s="1"/>
  <c r="R1965" i="2"/>
  <c r="T1963" i="2"/>
  <c r="R1954" i="2"/>
  <c r="R1953" i="2"/>
  <c r="R1968" i="2" l="1"/>
  <c r="R1979" i="2"/>
  <c r="R1967" i="2"/>
  <c r="T1977" i="2"/>
  <c r="R1956" i="2"/>
  <c r="R1957" i="2" s="1"/>
  <c r="R1958" i="2" s="1"/>
  <c r="R1955" i="2"/>
  <c r="R1960" i="2" s="1"/>
  <c r="R1945" i="2"/>
  <c r="R1948" i="2" s="1"/>
  <c r="S1949" i="2" s="1"/>
  <c r="R1959" i="2" l="1"/>
  <c r="R1962" i="2" s="1"/>
  <c r="S1963" i="2" s="1"/>
  <c r="R1970" i="2"/>
  <c r="R1971" i="2" s="1"/>
  <c r="R1969" i="2"/>
  <c r="R1974" i="2" s="1"/>
  <c r="T1991" i="2"/>
  <c r="R1982" i="2"/>
  <c r="R1993" i="2"/>
  <c r="R1981" i="2"/>
  <c r="R2007" i="2" l="1"/>
  <c r="R1996" i="2"/>
  <c r="T2005" i="2"/>
  <c r="R1995" i="2"/>
  <c r="R1972" i="2"/>
  <c r="R1973" i="2" s="1"/>
  <c r="R1976" i="2" s="1"/>
  <c r="S1977" i="2" s="1"/>
  <c r="R1984" i="2"/>
  <c r="R1985" i="2" s="1"/>
  <c r="R1986" i="2" s="1"/>
  <c r="R1983" i="2"/>
  <c r="R1988" i="2" s="1"/>
  <c r="R1998" i="2" l="1"/>
  <c r="R1999" i="2" s="1"/>
  <c r="R2000" i="2" s="1"/>
  <c r="R1997" i="2"/>
  <c r="R2002" i="2" s="1"/>
  <c r="T2019" i="2"/>
  <c r="R2009" i="2"/>
  <c r="R2021" i="2"/>
  <c r="R2010" i="2"/>
  <c r="R1987" i="2"/>
  <c r="R1990" i="2" s="1"/>
  <c r="S1991" i="2" s="1"/>
  <c r="R2001" i="2" l="1"/>
  <c r="R2004" i="2" s="1"/>
  <c r="S2005" i="2" s="1"/>
  <c r="R2024" i="2"/>
  <c r="R2023" i="2"/>
  <c r="T2033" i="2"/>
  <c r="R2035" i="2"/>
  <c r="R2012" i="2"/>
  <c r="R2013" i="2" s="1"/>
  <c r="R2014" i="2" s="1"/>
  <c r="R2015" i="2" s="1"/>
  <c r="R2011" i="2"/>
  <c r="R2016" i="2" s="1"/>
  <c r="R2018" i="2" l="1"/>
  <c r="S2019" i="2" s="1"/>
  <c r="R2025" i="2"/>
  <c r="R2030" i="2" s="1"/>
  <c r="R2026" i="2"/>
  <c r="R2027" i="2" s="1"/>
  <c r="R2028" i="2" s="1"/>
  <c r="R2049" i="2"/>
  <c r="T2047" i="2"/>
  <c r="R2038" i="2"/>
  <c r="R2037" i="2"/>
  <c r="R2029" i="2" l="1"/>
  <c r="R2032" i="2" s="1"/>
  <c r="S2033" i="2" s="1"/>
  <c r="R2040" i="2"/>
  <c r="R2041" i="2" s="1"/>
  <c r="R2042" i="2" s="1"/>
  <c r="R2039" i="2"/>
  <c r="R2044" i="2" s="1"/>
  <c r="R2051" i="2"/>
  <c r="T2061" i="2"/>
  <c r="R2063" i="2"/>
  <c r="R2052" i="2"/>
  <c r="R2043" i="2" l="1"/>
  <c r="R2046" i="2" s="1"/>
  <c r="S2047" i="2" s="1"/>
  <c r="R2053" i="2"/>
  <c r="R2058" i="2" s="1"/>
  <c r="R2054" i="2"/>
  <c r="R2055" i="2" s="1"/>
  <c r="R2066" i="2"/>
  <c r="R2065" i="2"/>
  <c r="R2077" i="2"/>
  <c r="T2075" i="2"/>
  <c r="R2056" i="2" l="1"/>
  <c r="R2057" i="2" s="1"/>
  <c r="R2060" i="2" s="1"/>
  <c r="S2061" i="2" s="1"/>
  <c r="R2079" i="2"/>
  <c r="T2089" i="2"/>
  <c r="R2080" i="2"/>
  <c r="R2091" i="2"/>
  <c r="R2068" i="2"/>
  <c r="R2069" i="2" s="1"/>
  <c r="R2070" i="2" s="1"/>
  <c r="R2067" i="2"/>
  <c r="R2072" i="2" s="1"/>
  <c r="R2071" i="2" l="1"/>
  <c r="R2074" i="2" s="1"/>
  <c r="S2075" i="2" s="1"/>
  <c r="R2082" i="2"/>
  <c r="R2083" i="2" s="1"/>
  <c r="R2081" i="2"/>
  <c r="R2086" i="2" s="1"/>
  <c r="R2093" i="2"/>
  <c r="T2103" i="2"/>
  <c r="R2105" i="2"/>
  <c r="R2094" i="2"/>
  <c r="R2096" i="2" l="1"/>
  <c r="R2097" i="2" s="1"/>
  <c r="R2095" i="2"/>
  <c r="R2100" i="2" s="1"/>
  <c r="R2119" i="2"/>
  <c r="R2108" i="2"/>
  <c r="T2117" i="2"/>
  <c r="R2107" i="2"/>
  <c r="R2084" i="2"/>
  <c r="R2085" i="2" s="1"/>
  <c r="R2088" i="2" s="1"/>
  <c r="S2089" i="2" s="1"/>
  <c r="R2098" i="2" l="1"/>
  <c r="R2099" i="2" s="1"/>
  <c r="R2102" i="2" s="1"/>
  <c r="S2103" i="2" s="1"/>
  <c r="R2109" i="2"/>
  <c r="R2114" i="2" s="1"/>
  <c r="R2110" i="2"/>
  <c r="R2111" i="2" s="1"/>
  <c r="R2121" i="2"/>
  <c r="T2131" i="2"/>
  <c r="R2133" i="2"/>
  <c r="R2122" i="2"/>
  <c r="R2124" i="2" l="1"/>
  <c r="R2125" i="2" s="1"/>
  <c r="R2126" i="2" s="1"/>
  <c r="R2123" i="2"/>
  <c r="R2128" i="2" s="1"/>
  <c r="T2145" i="2"/>
  <c r="R2135" i="2"/>
  <c r="R2136" i="2"/>
  <c r="R2147" i="2"/>
  <c r="R2112" i="2"/>
  <c r="R2113" i="2" s="1"/>
  <c r="R2116" i="2" s="1"/>
  <c r="S2117" i="2" s="1"/>
  <c r="R2127" i="2" l="1"/>
  <c r="R2130" i="2" s="1"/>
  <c r="S2131" i="2" s="1"/>
  <c r="R2150" i="2"/>
  <c r="T2159" i="2"/>
  <c r="R2149" i="2"/>
  <c r="R2161" i="2"/>
  <c r="R2138" i="2"/>
  <c r="R2139" i="2" s="1"/>
  <c r="R2140" i="2" s="1"/>
  <c r="R2141" i="2" s="1"/>
  <c r="R2137" i="2"/>
  <c r="R2142" i="2" s="1"/>
  <c r="R2144" i="2" l="1"/>
  <c r="S2145" i="2" s="1"/>
  <c r="R2152" i="2"/>
  <c r="R2153" i="2" s="1"/>
  <c r="R2151" i="2"/>
  <c r="R2156" i="2" s="1"/>
  <c r="R2163" i="2"/>
  <c r="T2173" i="2"/>
  <c r="R2175" i="2"/>
  <c r="R2164" i="2"/>
  <c r="R2189" i="2" l="1"/>
  <c r="R2178" i="2"/>
  <c r="T2187" i="2"/>
  <c r="R2177" i="2"/>
  <c r="R2154" i="2"/>
  <c r="R2155" i="2" s="1"/>
  <c r="R2158" i="2" s="1"/>
  <c r="S2159" i="2" s="1"/>
  <c r="R2166" i="2"/>
  <c r="R2167" i="2" s="1"/>
  <c r="R2165" i="2"/>
  <c r="R2170" i="2" s="1"/>
  <c r="R2168" i="2" l="1"/>
  <c r="R2169" i="2" s="1"/>
  <c r="R2172" i="2" s="1"/>
  <c r="S2173" i="2" s="1"/>
  <c r="R2192" i="2"/>
  <c r="T2201" i="2"/>
  <c r="R2203" i="2"/>
  <c r="R2191" i="2"/>
  <c r="R2180" i="2"/>
  <c r="R2181" i="2" s="1"/>
  <c r="R2179" i="2"/>
  <c r="R2184" i="2" s="1"/>
  <c r="R2194" i="2" l="1"/>
  <c r="R2195" i="2" s="1"/>
  <c r="R2196" i="2" s="1"/>
  <c r="R2193" i="2"/>
  <c r="R2198" i="2" s="1"/>
  <c r="R2182" i="2"/>
  <c r="R2183" i="2" s="1"/>
  <c r="R2186" i="2" s="1"/>
  <c r="S2187" i="2" s="1"/>
  <c r="R2205" i="2"/>
  <c r="T2215" i="2"/>
  <c r="R2206" i="2"/>
  <c r="R2217" i="2"/>
  <c r="R2197" i="2" l="1"/>
  <c r="R2200" i="2" s="1"/>
  <c r="S2201" i="2" s="1"/>
  <c r="R2208" i="2"/>
  <c r="R2209" i="2" s="1"/>
  <c r="R2210" i="2" s="1"/>
  <c r="R2207" i="2"/>
  <c r="R2212" i="2" s="1"/>
  <c r="R2219" i="2"/>
  <c r="R2231" i="2"/>
  <c r="R2220" i="2"/>
  <c r="T2229" i="2"/>
  <c r="R2211" i="2" l="1"/>
  <c r="R2214" i="2" s="1"/>
  <c r="S2215" i="2" s="1"/>
  <c r="R2245" i="2"/>
  <c r="T2243" i="2"/>
  <c r="R2234" i="2"/>
  <c r="R2233" i="2"/>
  <c r="R2221" i="2"/>
  <c r="R2226" i="2" s="1"/>
  <c r="R2222" i="2"/>
  <c r="R2223" i="2" s="1"/>
  <c r="R2224" i="2" s="1"/>
  <c r="R2247" i="2" l="1"/>
  <c r="R2248" i="2"/>
  <c r="T2257" i="2"/>
  <c r="R2259" i="2"/>
  <c r="R2225" i="2"/>
  <c r="R2228" i="2" s="1"/>
  <c r="S2229" i="2" s="1"/>
  <c r="R2236" i="2"/>
  <c r="R2237" i="2" s="1"/>
  <c r="R2238" i="2" s="1"/>
  <c r="R2235" i="2"/>
  <c r="R2240" i="2" s="1"/>
  <c r="R2250" i="2" l="1"/>
  <c r="R2251" i="2" s="1"/>
  <c r="R2252" i="2" s="1"/>
  <c r="R2249" i="2"/>
  <c r="R2254" i="2" s="1"/>
  <c r="R2239" i="2"/>
  <c r="R2242" i="2" s="1"/>
  <c r="S2243" i="2" s="1"/>
  <c r="T2271" i="2"/>
  <c r="R2262" i="2"/>
  <c r="R2261" i="2"/>
  <c r="R2273" i="2"/>
  <c r="R2253" i="2" l="1"/>
  <c r="R2256" i="2" s="1"/>
  <c r="S2257" i="2" s="1"/>
  <c r="R2263" i="2"/>
  <c r="R2268" i="2" s="1"/>
  <c r="R2264" i="2"/>
  <c r="R2265" i="2" s="1"/>
  <c r="T2285" i="2"/>
  <c r="R2287" i="2"/>
  <c r="R2276" i="2"/>
  <c r="R2275" i="2"/>
  <c r="R2277" i="2" l="1"/>
  <c r="R2282" i="2" s="1"/>
  <c r="R2278" i="2"/>
  <c r="R2279" i="2" s="1"/>
  <c r="R2266" i="2"/>
  <c r="R2267" i="2" s="1"/>
  <c r="R2270" i="2" s="1"/>
  <c r="S2271" i="2" s="1"/>
  <c r="R2289" i="2"/>
  <c r="R2301" i="2"/>
  <c r="T2299" i="2"/>
  <c r="R2290" i="2"/>
  <c r="R2292" i="2" l="1"/>
  <c r="R2293" i="2" s="1"/>
  <c r="R2294" i="2" s="1"/>
  <c r="R2291" i="2"/>
  <c r="R2296" i="2" s="1"/>
  <c r="T2313" i="2"/>
  <c r="R2303" i="2"/>
  <c r="R2304" i="2"/>
  <c r="R2315" i="2"/>
  <c r="R2280" i="2"/>
  <c r="R2281" i="2" s="1"/>
  <c r="R2284" i="2" s="1"/>
  <c r="S2285" i="2" s="1"/>
  <c r="R2295" i="2" l="1"/>
  <c r="R2298" i="2" s="1"/>
  <c r="S2299" i="2" s="1"/>
  <c r="R2329" i="2"/>
  <c r="R2317" i="2"/>
  <c r="T2327" i="2"/>
  <c r="R2318" i="2"/>
  <c r="R2306" i="2"/>
  <c r="R2307" i="2" s="1"/>
  <c r="R2305" i="2"/>
  <c r="R2310" i="2" s="1"/>
  <c r="R2308" i="2" l="1"/>
  <c r="R2309" i="2" s="1"/>
  <c r="R2312" i="2" s="1"/>
  <c r="S2313" i="2" s="1"/>
  <c r="R2320" i="2"/>
  <c r="R2321" i="2" s="1"/>
  <c r="R2322" i="2" s="1"/>
  <c r="R2319" i="2"/>
  <c r="R2324" i="2" s="1"/>
  <c r="R2343" i="2"/>
  <c r="R2332" i="2"/>
  <c r="R2331" i="2"/>
  <c r="T2341" i="2"/>
  <c r="R2357" i="2" l="1"/>
  <c r="T2355" i="2"/>
  <c r="R2346" i="2"/>
  <c r="R2345" i="2"/>
  <c r="R2334" i="2"/>
  <c r="R2335" i="2" s="1"/>
  <c r="R2336" i="2" s="1"/>
  <c r="R2333" i="2"/>
  <c r="R2338" i="2" s="1"/>
  <c r="R2323" i="2"/>
  <c r="R2326" i="2" s="1"/>
  <c r="S2327" i="2" s="1"/>
  <c r="R2337" i="2" l="1"/>
  <c r="R2340" i="2" s="1"/>
  <c r="S2341" i="2" s="1"/>
  <c r="R2359" i="2"/>
  <c r="R2360" i="2"/>
  <c r="T2369" i="2"/>
  <c r="R2371" i="2"/>
  <c r="R2347" i="2"/>
  <c r="R2352" i="2" s="1"/>
  <c r="R2348" i="2"/>
  <c r="R2349" i="2" s="1"/>
  <c r="R2350" i="2" s="1"/>
  <c r="R2351" i="2" l="1"/>
  <c r="R2354" i="2" s="1"/>
  <c r="S2355" i="2" s="1"/>
  <c r="R2361" i="2"/>
  <c r="R2366" i="2" s="1"/>
  <c r="R2362" i="2"/>
  <c r="R2363" i="2" s="1"/>
  <c r="R2364" i="2" s="1"/>
  <c r="R2373" i="2"/>
  <c r="T2383" i="2"/>
  <c r="R2374" i="2"/>
  <c r="R2385" i="2"/>
  <c r="R2388" i="2" l="1"/>
  <c r="R2387" i="2"/>
  <c r="R2399" i="2"/>
  <c r="T2397" i="2"/>
  <c r="R2365" i="2"/>
  <c r="R2368" i="2" s="1"/>
  <c r="S2369" i="2" s="1"/>
  <c r="R2375" i="2"/>
  <c r="R2380" i="2" s="1"/>
  <c r="R2376" i="2"/>
  <c r="R2377" i="2" s="1"/>
  <c r="R2389" i="2" l="1"/>
  <c r="R2394" i="2" s="1"/>
  <c r="R2390" i="2"/>
  <c r="R2391" i="2" s="1"/>
  <c r="R2378" i="2"/>
  <c r="R2379" i="2" s="1"/>
  <c r="R2382" i="2" s="1"/>
  <c r="S2383" i="2" s="1"/>
  <c r="T2411" i="2"/>
  <c r="R2413" i="2"/>
  <c r="R2402" i="2"/>
  <c r="R2401" i="2"/>
  <c r="T2425" i="2" l="1"/>
  <c r="R2416" i="2"/>
  <c r="R2427" i="2"/>
  <c r="R2415" i="2"/>
  <c r="R2392" i="2"/>
  <c r="R2393" i="2" s="1"/>
  <c r="R2396" i="2" s="1"/>
  <c r="S2397" i="2" s="1"/>
  <c r="R2404" i="2"/>
  <c r="R2405" i="2" s="1"/>
  <c r="R2406" i="2" s="1"/>
  <c r="R2403" i="2"/>
  <c r="R2408" i="2" s="1"/>
  <c r="R2407" i="2" l="1"/>
  <c r="R2410" i="2" s="1"/>
  <c r="S2411" i="2" s="1"/>
  <c r="R2417" i="2"/>
  <c r="R2422" i="2" s="1"/>
  <c r="R2418" i="2"/>
  <c r="R2419" i="2" s="1"/>
  <c r="R2420" i="2" s="1"/>
  <c r="R2441" i="2"/>
  <c r="T2439" i="2"/>
  <c r="R2430" i="2"/>
  <c r="R2429" i="2"/>
  <c r="R2431" i="2" l="1"/>
  <c r="R2436" i="2" s="1"/>
  <c r="R2432" i="2"/>
  <c r="R2433" i="2" s="1"/>
  <c r="R2434" i="2" s="1"/>
  <c r="R2421" i="2"/>
  <c r="R2424" i="2" s="1"/>
  <c r="S2425" i="2" s="1"/>
  <c r="R2444" i="2"/>
  <c r="R2443" i="2"/>
  <c r="T2453" i="2"/>
  <c r="R2455" i="2"/>
  <c r="R2457" i="2" l="1"/>
  <c r="R2469" i="2"/>
  <c r="T2467" i="2"/>
  <c r="R2458" i="2"/>
  <c r="R2435" i="2"/>
  <c r="R2438" i="2" s="1"/>
  <c r="S2439" i="2" s="1"/>
  <c r="R2445" i="2"/>
  <c r="R2450" i="2" s="1"/>
  <c r="R2446" i="2"/>
  <c r="R2447" i="2" s="1"/>
  <c r="R2460" i="2" l="1"/>
  <c r="R2461" i="2" s="1"/>
  <c r="R2462" i="2" s="1"/>
  <c r="R2459" i="2"/>
  <c r="R2464" i="2" s="1"/>
  <c r="R2483" i="2"/>
  <c r="R2472" i="2"/>
  <c r="T2481" i="2"/>
  <c r="R2471" i="2"/>
  <c r="R2448" i="2"/>
  <c r="R2449" i="2" s="1"/>
  <c r="R2452" i="2" s="1"/>
  <c r="S2453" i="2" s="1"/>
  <c r="R2463" i="2" l="1"/>
  <c r="R2466" i="2" s="1"/>
  <c r="S2467" i="2" s="1"/>
  <c r="R2473" i="2"/>
  <c r="R2478" i="2" s="1"/>
  <c r="R2474" i="2"/>
  <c r="R2475" i="2" s="1"/>
  <c r="R2476" i="2" s="1"/>
  <c r="R2485" i="2"/>
  <c r="T2495" i="2"/>
  <c r="R2486" i="2"/>
  <c r="R2497" i="2"/>
  <c r="R2488" i="2" l="1"/>
  <c r="R2489" i="2" s="1"/>
  <c r="R2490" i="2" s="1"/>
  <c r="R2487" i="2"/>
  <c r="R2492" i="2" s="1"/>
  <c r="R2477" i="2"/>
  <c r="R2480" i="2" s="1"/>
  <c r="S2481" i="2" s="1"/>
  <c r="R2499" i="2"/>
  <c r="T2509" i="2"/>
  <c r="R2511" i="2"/>
  <c r="R2500" i="2"/>
  <c r="R2491" i="2" l="1"/>
  <c r="R2494" i="2" s="1"/>
  <c r="S2495" i="2" s="1"/>
  <c r="R2525" i="2"/>
  <c r="T2523" i="2"/>
  <c r="R2514" i="2"/>
  <c r="R2513" i="2"/>
  <c r="R2502" i="2"/>
  <c r="R2503" i="2" s="1"/>
  <c r="R2501" i="2"/>
  <c r="R2506" i="2" s="1"/>
  <c r="R2504" i="2" l="1"/>
  <c r="R2505" i="2" s="1"/>
  <c r="R2508" i="2" s="1"/>
  <c r="S2509" i="2" s="1"/>
  <c r="R2527" i="2"/>
  <c r="T2537" i="2"/>
  <c r="R2528" i="2"/>
  <c r="R2539" i="2"/>
  <c r="R2516" i="2"/>
  <c r="R2517" i="2" s="1"/>
  <c r="R2515" i="2"/>
  <c r="R2520" i="2" s="1"/>
  <c r="R2530" i="2" l="1"/>
  <c r="R2531" i="2" s="1"/>
  <c r="R2532" i="2" s="1"/>
  <c r="R2529" i="2"/>
  <c r="R2534" i="2" s="1"/>
  <c r="R2553" i="2"/>
  <c r="R2542" i="2"/>
  <c r="R2541" i="2"/>
  <c r="T2551" i="2"/>
  <c r="R2518" i="2"/>
  <c r="R2519" i="2" s="1"/>
  <c r="R2522" i="2" s="1"/>
  <c r="S2523" i="2" s="1"/>
  <c r="R2533" i="2" l="1"/>
  <c r="R2536" i="2" s="1"/>
  <c r="S2537" i="2" s="1"/>
  <c r="R2556" i="2"/>
  <c r="R2555" i="2"/>
  <c r="T2565" i="2"/>
  <c r="R2567" i="2"/>
  <c r="R2544" i="2"/>
  <c r="R2545" i="2" s="1"/>
  <c r="R2546" i="2" s="1"/>
  <c r="R2543" i="2"/>
  <c r="R2548" i="2" s="1"/>
  <c r="R2547" i="2" l="1"/>
  <c r="R2550" i="2" s="1"/>
  <c r="S2551" i="2" s="1"/>
  <c r="R2558" i="2"/>
  <c r="R2559" i="2" s="1"/>
  <c r="R2557" i="2"/>
  <c r="R2562" i="2" s="1"/>
  <c r="R2581" i="2"/>
  <c r="T2579" i="2"/>
  <c r="R2570" i="2"/>
  <c r="R2569" i="2"/>
  <c r="T2593" i="2" l="1"/>
  <c r="R2595" i="2"/>
  <c r="R2583" i="2"/>
  <c r="R2584" i="2"/>
  <c r="R2560" i="2"/>
  <c r="R2561" i="2" s="1"/>
  <c r="R2564" i="2" s="1"/>
  <c r="S2565" i="2" s="1"/>
  <c r="R2572" i="2"/>
  <c r="R2573" i="2" s="1"/>
  <c r="R2574" i="2" s="1"/>
  <c r="R2571" i="2"/>
  <c r="R2576" i="2" s="1"/>
  <c r="R2597" i="2" l="1"/>
  <c r="T2607" i="2"/>
  <c r="R2598" i="2"/>
  <c r="R2609" i="2"/>
  <c r="R2585" i="2"/>
  <c r="R2590" i="2" s="1"/>
  <c r="R2586" i="2"/>
  <c r="R2587" i="2" s="1"/>
  <c r="R2575" i="2"/>
  <c r="R2578" i="2" s="1"/>
  <c r="S2579" i="2" s="1"/>
  <c r="R2599" i="2" l="1"/>
  <c r="R2604" i="2" s="1"/>
  <c r="R2600" i="2"/>
  <c r="R2601" i="2" s="1"/>
  <c r="R2588" i="2"/>
  <c r="R2589" i="2" s="1"/>
  <c r="R2592" i="2" s="1"/>
  <c r="S2593" i="2" s="1"/>
  <c r="R2623" i="2"/>
  <c r="R2612" i="2"/>
  <c r="R2611" i="2"/>
  <c r="T2621" i="2"/>
  <c r="R2625" i="2" l="1"/>
  <c r="T2635" i="2"/>
  <c r="R2626" i="2"/>
  <c r="R2637" i="2"/>
  <c r="R2614" i="2"/>
  <c r="R2615" i="2" s="1"/>
  <c r="R2613" i="2"/>
  <c r="R2618" i="2" s="1"/>
  <c r="R2602" i="2"/>
  <c r="R2603" i="2" s="1"/>
  <c r="R2606" i="2" s="1"/>
  <c r="S2607" i="2" s="1"/>
  <c r="R2616" i="2" l="1"/>
  <c r="R2617" i="2" s="1"/>
  <c r="R2620" i="2" s="1"/>
  <c r="S2621" i="2" s="1"/>
  <c r="R2628" i="2"/>
  <c r="R2629" i="2" s="1"/>
  <c r="R2627" i="2"/>
  <c r="R2632" i="2" s="1"/>
  <c r="R2651" i="2"/>
  <c r="T2649" i="2"/>
  <c r="R2639" i="2"/>
  <c r="R2640" i="2"/>
  <c r="R2654" i="2" l="1"/>
  <c r="R2665" i="2"/>
  <c r="R2653" i="2"/>
  <c r="T2663" i="2"/>
  <c r="R2641" i="2"/>
  <c r="R2646" i="2" s="1"/>
  <c r="R2642" i="2"/>
  <c r="R2643" i="2" s="1"/>
  <c r="R2630" i="2"/>
  <c r="R2631" i="2" s="1"/>
  <c r="R2634" i="2" s="1"/>
  <c r="S2635" i="2" s="1"/>
  <c r="R2644" i="2" l="1"/>
  <c r="R2645" i="2" s="1"/>
  <c r="R2648" i="2" s="1"/>
  <c r="S2649" i="2" s="1"/>
  <c r="R2656" i="2"/>
  <c r="R2657" i="2" s="1"/>
  <c r="R2655" i="2"/>
  <c r="R2660" i="2" s="1"/>
  <c r="R2679" i="2"/>
  <c r="R2668" i="2"/>
  <c r="R2667" i="2"/>
  <c r="T2677" i="2"/>
  <c r="R2681" i="2" l="1"/>
  <c r="R2693" i="2"/>
  <c r="T2691" i="2"/>
  <c r="R2682" i="2"/>
  <c r="R2670" i="2"/>
  <c r="R2671" i="2" s="1"/>
  <c r="R2669" i="2"/>
  <c r="R2674" i="2" s="1"/>
  <c r="R2658" i="2"/>
  <c r="R2659" i="2" s="1"/>
  <c r="R2662" i="2" s="1"/>
  <c r="S2663" i="2" s="1"/>
  <c r="R2684" i="2" l="1"/>
  <c r="R2685" i="2" s="1"/>
  <c r="R2683" i="2"/>
  <c r="R2688" i="2" s="1"/>
  <c r="R2696" i="2"/>
  <c r="T2705" i="2"/>
  <c r="R2695" i="2"/>
  <c r="R2707" i="2"/>
  <c r="R2672" i="2"/>
  <c r="R2673" i="2" s="1"/>
  <c r="R2676" i="2" s="1"/>
  <c r="S2677" i="2" s="1"/>
  <c r="R2697" i="2" l="1"/>
  <c r="R2702" i="2" s="1"/>
  <c r="R2698" i="2"/>
  <c r="R2699" i="2" s="1"/>
  <c r="R2686" i="2"/>
  <c r="R2687" i="2" s="1"/>
  <c r="R2690" i="2" s="1"/>
  <c r="S2691" i="2" s="1"/>
  <c r="T2719" i="2"/>
  <c r="R2710" i="2"/>
  <c r="R2721" i="2"/>
  <c r="R2709" i="2"/>
  <c r="R2700" i="2" l="1"/>
  <c r="R2701" i="2" s="1"/>
  <c r="R2704" i="2" s="1"/>
  <c r="S2705" i="2" s="1"/>
  <c r="R2735" i="2"/>
  <c r="T2733" i="2"/>
  <c r="R2724" i="2"/>
  <c r="R2723" i="2"/>
  <c r="R2711" i="2"/>
  <c r="R2716" i="2" s="1"/>
  <c r="R2712" i="2"/>
  <c r="R2713" i="2" s="1"/>
  <c r="R2726" i="2" l="1"/>
  <c r="R2727" i="2" s="1"/>
  <c r="R2725" i="2"/>
  <c r="R2730" i="2" s="1"/>
  <c r="R2737" i="2"/>
  <c r="R2749" i="2"/>
  <c r="T2747" i="2"/>
  <c r="R2738" i="2"/>
  <c r="R2714" i="2"/>
  <c r="R2715" i="2" s="1"/>
  <c r="R2718" i="2" s="1"/>
  <c r="S2719" i="2" s="1"/>
  <c r="R2728" i="2" l="1"/>
  <c r="R2729" i="2" s="1"/>
  <c r="R2732" i="2" s="1"/>
  <c r="S2733" i="2" s="1"/>
  <c r="R2740" i="2"/>
  <c r="R2741" i="2" s="1"/>
  <c r="R2739" i="2"/>
  <c r="R2744" i="2" s="1"/>
  <c r="R2752" i="2"/>
  <c r="T2761" i="2"/>
  <c r="R2751" i="2"/>
  <c r="R2763" i="2"/>
  <c r="R2753" i="2" l="1"/>
  <c r="R2758" i="2" s="1"/>
  <c r="R2754" i="2"/>
  <c r="R2755" i="2" s="1"/>
  <c r="R2756" i="2" s="1"/>
  <c r="R2742" i="2"/>
  <c r="R2743" i="2" s="1"/>
  <c r="R2746" i="2" s="1"/>
  <c r="S2747" i="2" s="1"/>
  <c r="R2777" i="2"/>
  <c r="R2765" i="2"/>
  <c r="T2775" i="2"/>
  <c r="R2766" i="2"/>
  <c r="R2780" i="2" l="1"/>
  <c r="T2789" i="2"/>
  <c r="R2779" i="2"/>
  <c r="R2791" i="2"/>
  <c r="R2768" i="2"/>
  <c r="R2769" i="2" s="1"/>
  <c r="R2767" i="2"/>
  <c r="R2772" i="2" s="1"/>
  <c r="R2757" i="2"/>
  <c r="R2760" i="2" s="1"/>
  <c r="S2761" i="2" s="1"/>
  <c r="R2782" i="2" l="1"/>
  <c r="R2783" i="2" s="1"/>
  <c r="R2781" i="2"/>
  <c r="R2786" i="2" s="1"/>
  <c r="R2770" i="2"/>
  <c r="R2771" i="2" s="1"/>
  <c r="R2774" i="2" s="1"/>
  <c r="S2775" i="2" s="1"/>
  <c r="R2794" i="2"/>
  <c r="R2793" i="2"/>
  <c r="R2805" i="2"/>
  <c r="T2803" i="2"/>
  <c r="R2784" i="2" l="1"/>
  <c r="R2785" i="2" s="1"/>
  <c r="R2788" i="2" s="1"/>
  <c r="S2789" i="2" s="1"/>
  <c r="R2807" i="2"/>
  <c r="R2808" i="2"/>
  <c r="R2819" i="2"/>
  <c r="T2817" i="2"/>
  <c r="R2795" i="2"/>
  <c r="R2800" i="2" s="1"/>
  <c r="R2796" i="2"/>
  <c r="R2797" i="2" s="1"/>
  <c r="R2809" i="2" l="1"/>
  <c r="R2814" i="2" s="1"/>
  <c r="R2810" i="2"/>
  <c r="R2811" i="2" s="1"/>
  <c r="R2798" i="2"/>
  <c r="R2799" i="2" s="1"/>
  <c r="R2802" i="2" s="1"/>
  <c r="S2803" i="2" s="1"/>
  <c r="R2833" i="2"/>
  <c r="T2831" i="2"/>
  <c r="R2821" i="2"/>
  <c r="R2822" i="2"/>
  <c r="R2824" i="2" l="1"/>
  <c r="R2825" i="2" s="1"/>
  <c r="R2826" i="2" s="1"/>
  <c r="R2823" i="2"/>
  <c r="R2828" i="2" s="1"/>
  <c r="R2835" i="2"/>
  <c r="R2847" i="2"/>
  <c r="T2845" i="2"/>
  <c r="R2836" i="2"/>
  <c r="R2812" i="2"/>
  <c r="R2813" i="2" s="1"/>
  <c r="R2816" i="2" s="1"/>
  <c r="S2817" i="2" s="1"/>
  <c r="R2827" i="2" l="1"/>
  <c r="R2830" i="2" s="1"/>
  <c r="S2831" i="2" s="1"/>
  <c r="R2838" i="2"/>
  <c r="R2839" i="2" s="1"/>
  <c r="R2837" i="2"/>
  <c r="R2842" i="2" s="1"/>
  <c r="T2859" i="2"/>
  <c r="R2849" i="2"/>
  <c r="R2861" i="2"/>
  <c r="R2850" i="2"/>
  <c r="R2864" i="2" l="1"/>
  <c r="R2875" i="2"/>
  <c r="T2873" i="2"/>
  <c r="R2863" i="2"/>
  <c r="R2840" i="2"/>
  <c r="R2841" i="2" s="1"/>
  <c r="R2844" i="2" s="1"/>
  <c r="S2845" i="2" s="1"/>
  <c r="R2852" i="2"/>
  <c r="R2853" i="2" s="1"/>
  <c r="R2854" i="2" s="1"/>
  <c r="R2851" i="2"/>
  <c r="R2856" i="2" s="1"/>
  <c r="R2855" i="2" l="1"/>
  <c r="R2858" i="2" s="1"/>
  <c r="S2859" i="2" s="1"/>
  <c r="T2887" i="2"/>
  <c r="R2889" i="2"/>
  <c r="R2878" i="2"/>
  <c r="R2877" i="2"/>
  <c r="R2865" i="2"/>
  <c r="R2870" i="2" s="1"/>
  <c r="R2866" i="2"/>
  <c r="R2867" i="2" s="1"/>
  <c r="T2901" i="2" l="1"/>
  <c r="R2891" i="2"/>
  <c r="R2892" i="2"/>
  <c r="R2903" i="2"/>
  <c r="R2868" i="2"/>
  <c r="R2869" i="2" s="1"/>
  <c r="R2872" i="2" s="1"/>
  <c r="S2873" i="2" s="1"/>
  <c r="R2879" i="2"/>
  <c r="R2884" i="2" s="1"/>
  <c r="R2880" i="2"/>
  <c r="R2881" i="2" s="1"/>
  <c r="R2882" i="2" s="1"/>
  <c r="R2893" i="2" l="1"/>
  <c r="R2898" i="2" s="1"/>
  <c r="R2894" i="2"/>
  <c r="R2895" i="2" s="1"/>
  <c r="R2917" i="2"/>
  <c r="R2905" i="2"/>
  <c r="T2915" i="2"/>
  <c r="R2906" i="2"/>
  <c r="R2883" i="2"/>
  <c r="R2886" i="2" s="1"/>
  <c r="S2887" i="2" s="1"/>
  <c r="R2920" i="2" l="1"/>
  <c r="R2931" i="2"/>
  <c r="T2929" i="2"/>
  <c r="R2919" i="2"/>
  <c r="R2896" i="2"/>
  <c r="R2897" i="2" s="1"/>
  <c r="R2900" i="2" s="1"/>
  <c r="S2901" i="2" s="1"/>
  <c r="R2908" i="2"/>
  <c r="R2909" i="2" s="1"/>
  <c r="R2907" i="2"/>
  <c r="R2912" i="2" s="1"/>
  <c r="R2934" i="2" l="1"/>
  <c r="T2943" i="2"/>
  <c r="R2933" i="2"/>
  <c r="R2945" i="2"/>
  <c r="R2910" i="2"/>
  <c r="R2911" i="2" s="1"/>
  <c r="R2914" i="2" s="1"/>
  <c r="S2915" i="2" s="1"/>
  <c r="R2921" i="2"/>
  <c r="R2926" i="2" s="1"/>
  <c r="R2922" i="2"/>
  <c r="R2923" i="2" s="1"/>
  <c r="R2935" i="2" l="1"/>
  <c r="R2940" i="2" s="1"/>
  <c r="R2936" i="2"/>
  <c r="R2937" i="2" s="1"/>
  <c r="R2938" i="2" s="1"/>
  <c r="R2924" i="2"/>
  <c r="R2925" i="2" s="1"/>
  <c r="R2928" i="2" s="1"/>
  <c r="S2929" i="2" s="1"/>
  <c r="R2959" i="2"/>
  <c r="T2957" i="2"/>
  <c r="R2947" i="2"/>
  <c r="R2948" i="2"/>
  <c r="R2939" i="2" l="1"/>
  <c r="R2942" i="2" s="1"/>
  <c r="S2943" i="2" s="1"/>
  <c r="R2950" i="2"/>
  <c r="R2951" i="2" s="1"/>
  <c r="R2949" i="2"/>
  <c r="R2954" i="2" s="1"/>
  <c r="R2961" i="2"/>
  <c r="T2971" i="2"/>
  <c r="R2962" i="2"/>
  <c r="R2973" i="2"/>
  <c r="R2964" i="2" l="1"/>
  <c r="R2965" i="2" s="1"/>
  <c r="R2963" i="2"/>
  <c r="R2968" i="2" s="1"/>
  <c r="R2952" i="2"/>
  <c r="R2953" i="2" s="1"/>
  <c r="R2956" i="2" s="1"/>
  <c r="S2957" i="2" s="1"/>
  <c r="R2975" i="2"/>
  <c r="T2985" i="2"/>
  <c r="R2987" i="2"/>
  <c r="R2976" i="2"/>
  <c r="R2978" i="2" l="1"/>
  <c r="R2979" i="2" s="1"/>
  <c r="R2977" i="2"/>
  <c r="R2982" i="2" s="1"/>
  <c r="R2989" i="2"/>
  <c r="T2999" i="2"/>
  <c r="R2990" i="2"/>
  <c r="R3001" i="2"/>
  <c r="R2966" i="2"/>
  <c r="R2967" i="2" s="1"/>
  <c r="R2970" i="2" s="1"/>
  <c r="S2971" i="2" s="1"/>
  <c r="R2992" i="2" l="1"/>
  <c r="R2993" i="2" s="1"/>
  <c r="R2994" i="2" s="1"/>
  <c r="R2991" i="2"/>
  <c r="R2996" i="2" s="1"/>
  <c r="R2980" i="2"/>
  <c r="R2981" i="2" s="1"/>
  <c r="R2984" i="2" s="1"/>
  <c r="S2985" i="2" s="1"/>
  <c r="R3015" i="2"/>
  <c r="R3003" i="2"/>
  <c r="R3004" i="2"/>
  <c r="T3013" i="2"/>
  <c r="R2995" i="2" l="1"/>
  <c r="R2998" i="2" s="1"/>
  <c r="S2999" i="2" s="1"/>
  <c r="R3006" i="2"/>
  <c r="R3007" i="2" s="1"/>
  <c r="R3008" i="2" s="1"/>
  <c r="R3005" i="2"/>
  <c r="R3010" i="2" s="1"/>
  <c r="T3027" i="2"/>
  <c r="R3017" i="2"/>
  <c r="R3029" i="2"/>
  <c r="R3018" i="2"/>
  <c r="R3009" i="2" l="1"/>
  <c r="R3012" i="2" s="1"/>
  <c r="S3013" i="2" s="1"/>
  <c r="R3031" i="2"/>
  <c r="R3043" i="2"/>
  <c r="T3041" i="2"/>
  <c r="R3032" i="2"/>
  <c r="R3019" i="2"/>
  <c r="R3024" i="2" s="1"/>
  <c r="R3020" i="2"/>
  <c r="R3021" i="2" s="1"/>
  <c r="R3022" i="2" s="1"/>
  <c r="R3046" i="2" l="1"/>
  <c r="T3055" i="2"/>
  <c r="R3045" i="2"/>
  <c r="R3057" i="2"/>
  <c r="R3023" i="2"/>
  <c r="R3026" i="2" s="1"/>
  <c r="S3027" i="2" s="1"/>
  <c r="R3033" i="2"/>
  <c r="R3038" i="2" s="1"/>
  <c r="R3034" i="2"/>
  <c r="R3035" i="2" s="1"/>
  <c r="R3036" i="2" s="1"/>
  <c r="R3047" i="2" l="1"/>
  <c r="R3052" i="2" s="1"/>
  <c r="R3048" i="2"/>
  <c r="R3049" i="2" s="1"/>
  <c r="R3050" i="2" s="1"/>
  <c r="R3060" i="2"/>
  <c r="R3071" i="2"/>
  <c r="T3069" i="2"/>
  <c r="R3059" i="2"/>
  <c r="R3037" i="2"/>
  <c r="R3040" i="2" s="1"/>
  <c r="S3041" i="2" s="1"/>
  <c r="R3061" i="2" l="1"/>
  <c r="R3066" i="2" s="1"/>
  <c r="R3062" i="2"/>
  <c r="R3063" i="2" s="1"/>
  <c r="R3051" i="2"/>
  <c r="R3054" i="2" s="1"/>
  <c r="S3055" i="2" s="1"/>
  <c r="R3073" i="2"/>
  <c r="R3085" i="2"/>
  <c r="T3083" i="2"/>
  <c r="R3074" i="2"/>
  <c r="R3087" i="2" l="1"/>
  <c r="R3099" i="2"/>
  <c r="T3097" i="2"/>
  <c r="R3088" i="2"/>
  <c r="R3064" i="2"/>
  <c r="R3065" i="2" s="1"/>
  <c r="R3068" i="2" s="1"/>
  <c r="S3069" i="2" s="1"/>
  <c r="R3075" i="2"/>
  <c r="R3080" i="2" s="1"/>
  <c r="R3076" i="2"/>
  <c r="R3077" i="2" s="1"/>
  <c r="R3078" i="2" l="1"/>
  <c r="R3079" i="2" s="1"/>
  <c r="R3082" i="2" s="1"/>
  <c r="S3083" i="2" s="1"/>
  <c r="R3090" i="2"/>
  <c r="R3091" i="2" s="1"/>
  <c r="R3089" i="2"/>
  <c r="R3094" i="2" s="1"/>
  <c r="R3101" i="2"/>
  <c r="R3113" i="2"/>
  <c r="T3111" i="2"/>
  <c r="R3102" i="2"/>
  <c r="R3103" i="2" l="1"/>
  <c r="R3108" i="2" s="1"/>
  <c r="R3104" i="2"/>
  <c r="R3105" i="2" s="1"/>
  <c r="R3106" i="2" s="1"/>
  <c r="R3116" i="2"/>
  <c r="T3125" i="2"/>
  <c r="R3127" i="2"/>
  <c r="R3115" i="2"/>
  <c r="R3092" i="2"/>
  <c r="R3093" i="2" s="1"/>
  <c r="R3096" i="2" s="1"/>
  <c r="S3097" i="2" s="1"/>
  <c r="R3107" i="2" l="1"/>
  <c r="R3110" i="2" s="1"/>
  <c r="S3111" i="2" s="1"/>
  <c r="T3139" i="2"/>
  <c r="R3130" i="2"/>
  <c r="R3129" i="2"/>
  <c r="R3141" i="2"/>
  <c r="R3117" i="2"/>
  <c r="R3122" i="2" s="1"/>
  <c r="R3118" i="2"/>
  <c r="R3119" i="2" s="1"/>
  <c r="R3120" i="2" s="1"/>
  <c r="R3131" i="2" l="1"/>
  <c r="R3136" i="2" s="1"/>
  <c r="R3132" i="2"/>
  <c r="R3133" i="2" s="1"/>
  <c r="R3155" i="2"/>
  <c r="T3153" i="2"/>
  <c r="R3144" i="2"/>
  <c r="R3143" i="2"/>
  <c r="R3121" i="2"/>
  <c r="R3124" i="2" s="1"/>
  <c r="S3125" i="2" s="1"/>
  <c r="R3146" i="2" l="1"/>
  <c r="R3147" i="2" s="1"/>
  <c r="R3145" i="2"/>
  <c r="R3150" i="2" s="1"/>
  <c r="R3134" i="2"/>
  <c r="R3135" i="2" s="1"/>
  <c r="R3138" i="2" s="1"/>
  <c r="S3139" i="2" s="1"/>
  <c r="R3169" i="2"/>
  <c r="R3158" i="2"/>
  <c r="R3157" i="2"/>
  <c r="T3167" i="2"/>
  <c r="R3172" i="2" l="1"/>
  <c r="R3183" i="2"/>
  <c r="T3181" i="2"/>
  <c r="R3171" i="2"/>
  <c r="R3148" i="2"/>
  <c r="R3149" i="2" s="1"/>
  <c r="R3152" i="2" s="1"/>
  <c r="S3153" i="2" s="1"/>
  <c r="R3160" i="2"/>
  <c r="R3161" i="2" s="1"/>
  <c r="R3162" i="2" s="1"/>
  <c r="R3159" i="2"/>
  <c r="R3164" i="2" s="1"/>
  <c r="R3197" i="2" l="1"/>
  <c r="T3195" i="2"/>
  <c r="R3186" i="2"/>
  <c r="R3185" i="2"/>
  <c r="R3163" i="2"/>
  <c r="R3166" i="2" s="1"/>
  <c r="S3167" i="2" s="1"/>
  <c r="R3174" i="2"/>
  <c r="R3175" i="2" s="1"/>
  <c r="R3173" i="2"/>
  <c r="R3178" i="2" s="1"/>
  <c r="R3211" i="2" l="1"/>
  <c r="R3199" i="2"/>
  <c r="T3209" i="2"/>
  <c r="R3200" i="2"/>
  <c r="R3176" i="2"/>
  <c r="R3177" i="2" s="1"/>
  <c r="R3180" i="2" s="1"/>
  <c r="S3181" i="2" s="1"/>
  <c r="R3188" i="2"/>
  <c r="R3189" i="2" s="1"/>
  <c r="R3187" i="2"/>
  <c r="R3192" i="2" s="1"/>
  <c r="R3202" i="2" l="1"/>
  <c r="R3203" i="2" s="1"/>
  <c r="R3201" i="2"/>
  <c r="R3206" i="2" s="1"/>
  <c r="R3190" i="2"/>
  <c r="R3191" i="2" s="1"/>
  <c r="R3194" i="2" s="1"/>
  <c r="S3195" i="2" s="1"/>
  <c r="R3225" i="2"/>
  <c r="R3213" i="2"/>
  <c r="T3223" i="2"/>
  <c r="R3214" i="2"/>
  <c r="R3204" i="2" l="1"/>
  <c r="R3205" i="2" s="1"/>
  <c r="R3208" i="2" s="1"/>
  <c r="S3209" i="2" s="1"/>
  <c r="R3215" i="2"/>
  <c r="R3220" i="2" s="1"/>
  <c r="R3216" i="2"/>
  <c r="R3217" i="2" s="1"/>
  <c r="R3218" i="2" s="1"/>
  <c r="R3239" i="2"/>
  <c r="R3228" i="2"/>
  <c r="R3227" i="2"/>
  <c r="T3237" i="2"/>
  <c r="R3219" i="2" l="1"/>
  <c r="R3222" i="2" s="1"/>
  <c r="S3223" i="2" s="1"/>
  <c r="R3230" i="2"/>
  <c r="R3231" i="2" s="1"/>
  <c r="R3232" i="2" s="1"/>
  <c r="R3229" i="2"/>
  <c r="R3234" i="2" s="1"/>
  <c r="R3253" i="2"/>
  <c r="T3251" i="2"/>
  <c r="R3242" i="2"/>
  <c r="R3241" i="2"/>
  <c r="R3233" i="2" l="1"/>
  <c r="R3236" i="2" s="1"/>
  <c r="S3237" i="2" s="1"/>
  <c r="R3256" i="2"/>
  <c r="R3255" i="2"/>
  <c r="R3267" i="2"/>
  <c r="T3265" i="2"/>
  <c r="R3244" i="2"/>
  <c r="R3245" i="2" s="1"/>
  <c r="R3243" i="2"/>
  <c r="R3248" i="2" s="1"/>
  <c r="R3246" i="2" l="1"/>
  <c r="R3247" i="2" s="1"/>
  <c r="R3250" i="2" s="1"/>
  <c r="S3251" i="2" s="1"/>
  <c r="T3279" i="2"/>
  <c r="R3270" i="2"/>
  <c r="R3269" i="2"/>
  <c r="R3281" i="2"/>
  <c r="R3257" i="2"/>
  <c r="R3262" i="2" s="1"/>
  <c r="R3258" i="2"/>
  <c r="R3259" i="2" s="1"/>
  <c r="R3260" i="2" s="1"/>
  <c r="R3261" i="2" l="1"/>
  <c r="R3264" i="2" s="1"/>
  <c r="S3265" i="2" s="1"/>
  <c r="R3272" i="2"/>
  <c r="R3273" i="2" s="1"/>
  <c r="R3271" i="2"/>
  <c r="R3276" i="2" s="1"/>
  <c r="R3295" i="2"/>
  <c r="T3293" i="2"/>
  <c r="R3283" i="2"/>
  <c r="R3284" i="2"/>
  <c r="R3274" i="2" l="1"/>
  <c r="R3275" i="2" s="1"/>
  <c r="R3278" i="2" s="1"/>
  <c r="S3279" i="2" s="1"/>
  <c r="R3286" i="2"/>
  <c r="R3287" i="2" s="1"/>
  <c r="R3285" i="2"/>
  <c r="R3290" i="2" s="1"/>
  <c r="T3307" i="2"/>
  <c r="R3298" i="2"/>
  <c r="R3297" i="2"/>
  <c r="R3309" i="2"/>
  <c r="R3299" i="2" l="1"/>
  <c r="R3304" i="2" s="1"/>
  <c r="R3300" i="2"/>
  <c r="R3301" i="2" s="1"/>
  <c r="R3302" i="2" s="1"/>
  <c r="R3288" i="2"/>
  <c r="R3289" i="2" s="1"/>
  <c r="R3292" i="2" s="1"/>
  <c r="S3293" i="2" s="1"/>
  <c r="R3312" i="2"/>
  <c r="R3311" i="2"/>
  <c r="R3323" i="2"/>
  <c r="T3321" i="2"/>
  <c r="R3303" i="2" l="1"/>
  <c r="R3306" i="2" s="1"/>
  <c r="S3307" i="2" s="1"/>
  <c r="R3313" i="2"/>
  <c r="R3318" i="2" s="1"/>
  <c r="R3314" i="2"/>
  <c r="R3315" i="2" s="1"/>
  <c r="R3316" i="2" s="1"/>
  <c r="R3337" i="2"/>
  <c r="R3325" i="2"/>
  <c r="T3335" i="2"/>
  <c r="R3326" i="2"/>
  <c r="R3317" i="2" l="1"/>
  <c r="R3320" i="2" s="1"/>
  <c r="S3321" i="2" s="1"/>
  <c r="R3340" i="2"/>
  <c r="R3351" i="2"/>
  <c r="T3349" i="2"/>
  <c r="R3339" i="2"/>
  <c r="R3327" i="2"/>
  <c r="R3332" i="2" s="1"/>
  <c r="R3328" i="2"/>
  <c r="R3329" i="2" s="1"/>
  <c r="R3330" i="2" s="1"/>
  <c r="R3331" i="2" l="1"/>
  <c r="R3334" i="2" s="1"/>
  <c r="S3335" i="2" s="1"/>
  <c r="R3365" i="2"/>
  <c r="T3363" i="2"/>
  <c r="R3354" i="2"/>
  <c r="R3353" i="2"/>
  <c r="R3342" i="2"/>
  <c r="R3343" i="2" s="1"/>
  <c r="R3341" i="2"/>
  <c r="R3346" i="2" s="1"/>
  <c r="R3344" i="2" l="1"/>
  <c r="R3345" i="2" s="1"/>
  <c r="R3348" i="2" s="1"/>
  <c r="S3349" i="2" s="1"/>
  <c r="R3368" i="2"/>
  <c r="T3377" i="2"/>
  <c r="R3367" i="2"/>
  <c r="R3379" i="2"/>
  <c r="R3356" i="2"/>
  <c r="R3357" i="2" s="1"/>
  <c r="R3355" i="2"/>
  <c r="R3360" i="2" s="1"/>
  <c r="T3391" i="2" l="1"/>
  <c r="R3382" i="2"/>
  <c r="R3393" i="2"/>
  <c r="R3381" i="2"/>
  <c r="R3358" i="2"/>
  <c r="R3359" i="2" s="1"/>
  <c r="R3362" i="2" s="1"/>
  <c r="S3363" i="2" s="1"/>
  <c r="R3369" i="2"/>
  <c r="R3374" i="2" s="1"/>
  <c r="R3370" i="2"/>
  <c r="R3371" i="2" s="1"/>
  <c r="R3395" i="2" l="1"/>
  <c r="T3405" i="2"/>
  <c r="R3396" i="2"/>
  <c r="R3407" i="2"/>
  <c r="R3372" i="2"/>
  <c r="R3373" i="2" s="1"/>
  <c r="R3376" i="2" s="1"/>
  <c r="S3377" i="2" s="1"/>
  <c r="R3383" i="2"/>
  <c r="R3388" i="2" s="1"/>
  <c r="R3384" i="2"/>
  <c r="R3385" i="2" s="1"/>
  <c r="R3397" i="2" l="1"/>
  <c r="R3402" i="2" s="1"/>
  <c r="R3398" i="2"/>
  <c r="R3399" i="2" s="1"/>
  <c r="R3400" i="2" s="1"/>
  <c r="R3386" i="2"/>
  <c r="R3387" i="2" s="1"/>
  <c r="R3390" i="2" s="1"/>
  <c r="S3391" i="2" s="1"/>
  <c r="T3419" i="2"/>
  <c r="R3410" i="2"/>
  <c r="R3409" i="2"/>
  <c r="R3421" i="2"/>
  <c r="R3401" i="2" l="1"/>
  <c r="R3404" i="2" s="1"/>
  <c r="S3405" i="2" s="1"/>
  <c r="R3411" i="2"/>
  <c r="R3416" i="2" s="1"/>
  <c r="R3412" i="2"/>
  <c r="R3413" i="2" s="1"/>
  <c r="R3435" i="2"/>
  <c r="R3423" i="2"/>
  <c r="R3424" i="2"/>
  <c r="T3433" i="2"/>
  <c r="R3414" i="2" l="1"/>
  <c r="R3415" i="2" s="1"/>
  <c r="R3418" i="2" s="1"/>
  <c r="S3419" i="2" s="1"/>
  <c r="T3447" i="2"/>
  <c r="R3437" i="2"/>
  <c r="R3449" i="2"/>
  <c r="R3438" i="2"/>
  <c r="R3425" i="2"/>
  <c r="R3430" i="2" s="1"/>
  <c r="R3426" i="2"/>
  <c r="R3427" i="2" s="1"/>
  <c r="R3428" i="2" s="1"/>
  <c r="R3429" i="2" l="1"/>
  <c r="R3432" i="2" s="1"/>
  <c r="S3433" i="2" s="1"/>
  <c r="R3439" i="2"/>
  <c r="R3444" i="2" s="1"/>
  <c r="R3440" i="2"/>
  <c r="R3441" i="2" s="1"/>
  <c r="R3463" i="2"/>
  <c r="R3451" i="2"/>
  <c r="T3461" i="2"/>
  <c r="R3452" i="2"/>
  <c r="R3442" i="2" l="1"/>
  <c r="R3443" i="2" s="1"/>
  <c r="R3446" i="2" s="1"/>
  <c r="S3447" i="2" s="1"/>
  <c r="R3465" i="2"/>
  <c r="R3477" i="2"/>
  <c r="T3475" i="2"/>
  <c r="R3466" i="2"/>
  <c r="R3454" i="2"/>
  <c r="R3455" i="2" s="1"/>
  <c r="R3453" i="2"/>
  <c r="R3458" i="2" s="1"/>
  <c r="R3456" i="2" l="1"/>
  <c r="R3457" i="2" s="1"/>
  <c r="R3460" i="2" s="1"/>
  <c r="S3461" i="2" s="1"/>
  <c r="R3467" i="2"/>
  <c r="R3472" i="2" s="1"/>
  <c r="R3468" i="2"/>
  <c r="R3469" i="2" s="1"/>
  <c r="R3470" i="2" s="1"/>
  <c r="T3489" i="2"/>
  <c r="R3479" i="2"/>
  <c r="R3491" i="2"/>
  <c r="R3480" i="2"/>
  <c r="R3471" i="2" l="1"/>
  <c r="R3474" i="2" s="1"/>
  <c r="S3475" i="2" s="1"/>
  <c r="R3482" i="2"/>
  <c r="R3483" i="2" s="1"/>
  <c r="R3484" i="2" s="1"/>
  <c r="R3481" i="2"/>
  <c r="R3486" i="2" s="1"/>
  <c r="R3493" i="2"/>
  <c r="T3503" i="2"/>
  <c r="R3505" i="2"/>
  <c r="R3494" i="2"/>
  <c r="R3485" i="2" l="1"/>
  <c r="R3488" i="2" s="1"/>
  <c r="S3489" i="2" s="1"/>
  <c r="R3496" i="2"/>
  <c r="R3497" i="2" s="1"/>
  <c r="R3498" i="2" s="1"/>
  <c r="R3495" i="2"/>
  <c r="R3500" i="2" s="1"/>
  <c r="R3519" i="2"/>
  <c r="R3507" i="2"/>
  <c r="T3517" i="2"/>
  <c r="R3508" i="2"/>
  <c r="R3499" i="2" l="1"/>
  <c r="R3502" i="2" s="1"/>
  <c r="S3503" i="2" s="1"/>
  <c r="R3533" i="2"/>
  <c r="R3522" i="2"/>
  <c r="T3531" i="2"/>
  <c r="R3521" i="2"/>
  <c r="R3510" i="2"/>
  <c r="R3511" i="2" s="1"/>
  <c r="R3509" i="2"/>
  <c r="R3514" i="2" s="1"/>
  <c r="R3524" i="2" l="1"/>
  <c r="R3525" i="2" s="1"/>
  <c r="R3526" i="2" s="1"/>
  <c r="R3523" i="2"/>
  <c r="R3528" i="2" s="1"/>
  <c r="R3535" i="2"/>
  <c r="R3547" i="2"/>
  <c r="T3545" i="2"/>
  <c r="R3536" i="2"/>
  <c r="R3512" i="2"/>
  <c r="R3513" i="2" s="1"/>
  <c r="R3516" i="2" s="1"/>
  <c r="S3517" i="2" s="1"/>
  <c r="R3527" i="2" l="1"/>
  <c r="R3530" i="2" s="1"/>
  <c r="S3531" i="2" s="1"/>
  <c r="R3537" i="2"/>
  <c r="R3542" i="2" s="1"/>
  <c r="R3538" i="2"/>
  <c r="R3539" i="2" s="1"/>
  <c r="R3549" i="2"/>
  <c r="T3559" i="2"/>
  <c r="R3561" i="2"/>
  <c r="R3550" i="2"/>
  <c r="R3575" i="2" l="1"/>
  <c r="R3563" i="2"/>
  <c r="T3573" i="2"/>
  <c r="R3564" i="2"/>
  <c r="R3552" i="2"/>
  <c r="R3553" i="2" s="1"/>
  <c r="R3554" i="2" s="1"/>
  <c r="R3551" i="2"/>
  <c r="R3556" i="2" s="1"/>
  <c r="R3540" i="2"/>
  <c r="R3541" i="2" s="1"/>
  <c r="R3544" i="2" s="1"/>
  <c r="S3545" i="2" s="1"/>
  <c r="R3555" i="2" l="1"/>
  <c r="R3558" i="2" s="1"/>
  <c r="S3559" i="2" s="1"/>
  <c r="R3578" i="2"/>
  <c r="R3589" i="2"/>
  <c r="T3587" i="2"/>
  <c r="R3577" i="2"/>
  <c r="R3565" i="2"/>
  <c r="R3570" i="2" s="1"/>
  <c r="R3566" i="2"/>
  <c r="R3567" i="2" s="1"/>
  <c r="R3568" i="2" l="1"/>
  <c r="R3569" i="2" s="1"/>
  <c r="R3572" i="2" s="1"/>
  <c r="S3573" i="2" s="1"/>
  <c r="R3603" i="2"/>
  <c r="T3601" i="2"/>
  <c r="R3592" i="2"/>
  <c r="R3591" i="2"/>
  <c r="R3580" i="2"/>
  <c r="R3581" i="2" s="1"/>
  <c r="R3579" i="2"/>
  <c r="R3584" i="2" s="1"/>
  <c r="R3593" i="2" l="1"/>
  <c r="R3598" i="2" s="1"/>
  <c r="R3594" i="2"/>
  <c r="R3595" i="2" s="1"/>
  <c r="R3582" i="2"/>
  <c r="R3583" i="2" s="1"/>
  <c r="R3586" i="2" s="1"/>
  <c r="S3587" i="2" s="1"/>
  <c r="R3605" i="2"/>
  <c r="R3617" i="2"/>
  <c r="R3606" i="2"/>
  <c r="T3615" i="2"/>
  <c r="R3607" i="2" l="1"/>
  <c r="R3612" i="2" s="1"/>
  <c r="R3608" i="2"/>
  <c r="R3609" i="2" s="1"/>
  <c r="R3620" i="2"/>
  <c r="T3629" i="2"/>
  <c r="R3631" i="2"/>
  <c r="R3619" i="2"/>
  <c r="R3596" i="2"/>
  <c r="R3597" i="2" s="1"/>
  <c r="R3600" i="2" s="1"/>
  <c r="S3601" i="2" s="1"/>
  <c r="R3634" i="2" l="1"/>
  <c r="R3633" i="2"/>
  <c r="R3645" i="2"/>
  <c r="T3643" i="2"/>
  <c r="R3621" i="2"/>
  <c r="R3626" i="2" s="1"/>
  <c r="R3622" i="2"/>
  <c r="R3623" i="2" s="1"/>
  <c r="R3624" i="2" s="1"/>
  <c r="R3610" i="2"/>
  <c r="R3611" i="2" s="1"/>
  <c r="R3614" i="2" s="1"/>
  <c r="S3615" i="2" s="1"/>
  <c r="R3659" i="2" l="1"/>
  <c r="R3648" i="2"/>
  <c r="R3647" i="2"/>
  <c r="T3657" i="2"/>
  <c r="R3636" i="2"/>
  <c r="R3637" i="2" s="1"/>
  <c r="R3638" i="2" s="1"/>
  <c r="R3635" i="2"/>
  <c r="R3640" i="2" s="1"/>
  <c r="R3625" i="2"/>
  <c r="R3628" i="2" s="1"/>
  <c r="S3629" i="2" s="1"/>
  <c r="R3639" i="2" l="1"/>
  <c r="R3642" i="2" s="1"/>
  <c r="S3643" i="2" s="1"/>
  <c r="R3662" i="2"/>
  <c r="T3671" i="2"/>
  <c r="R3661" i="2"/>
  <c r="R3673" i="2"/>
  <c r="R3649" i="2"/>
  <c r="R3654" i="2" s="1"/>
  <c r="R3650" i="2"/>
  <c r="R3651" i="2" s="1"/>
  <c r="R3652" i="2" l="1"/>
  <c r="R3653" i="2" s="1"/>
  <c r="R3656" i="2" s="1"/>
  <c r="S3657" i="2" s="1"/>
  <c r="R3664" i="2"/>
  <c r="R3665" i="2" s="1"/>
  <c r="R3663" i="2"/>
  <c r="R3668" i="2" s="1"/>
  <c r="R3687" i="2"/>
  <c r="R3676" i="2"/>
  <c r="R3675" i="2"/>
  <c r="T3685" i="2"/>
  <c r="R3701" i="2" l="1"/>
  <c r="R3690" i="2"/>
  <c r="T3699" i="2"/>
  <c r="R3689" i="2"/>
  <c r="R3677" i="2"/>
  <c r="R3682" i="2" s="1"/>
  <c r="R3678" i="2"/>
  <c r="R3679" i="2" s="1"/>
  <c r="R3666" i="2"/>
  <c r="R3667" i="2" s="1"/>
  <c r="R3670" i="2" s="1"/>
  <c r="S3671" i="2" s="1"/>
  <c r="R3715" i="2" l="1"/>
  <c r="R3703" i="2"/>
  <c r="T3713" i="2"/>
  <c r="R3704" i="2"/>
  <c r="R3680" i="2"/>
  <c r="R3681" i="2" s="1"/>
  <c r="R3684" i="2" s="1"/>
  <c r="S3685" i="2" s="1"/>
  <c r="R3692" i="2"/>
  <c r="R3693" i="2" s="1"/>
  <c r="R3694" i="2" s="1"/>
  <c r="R3691" i="2"/>
  <c r="R3696" i="2" s="1"/>
  <c r="R3705" i="2" l="1"/>
  <c r="R3710" i="2" s="1"/>
  <c r="R3706" i="2"/>
  <c r="R3707" i="2" s="1"/>
  <c r="R3708" i="2" s="1"/>
  <c r="R3718" i="2"/>
  <c r="R3717" i="2"/>
  <c r="R3729" i="2"/>
  <c r="T3727" i="2"/>
  <c r="R3695" i="2"/>
  <c r="R3698" i="2" s="1"/>
  <c r="S3699" i="2" s="1"/>
  <c r="R3743" i="2" l="1"/>
  <c r="R3731" i="2"/>
  <c r="T3741" i="2"/>
  <c r="R3732" i="2"/>
  <c r="R3709" i="2"/>
  <c r="R3712" i="2" s="1"/>
  <c r="S3713" i="2" s="1"/>
  <c r="R3720" i="2"/>
  <c r="R3721" i="2" s="1"/>
  <c r="R3719" i="2"/>
  <c r="R3724" i="2" s="1"/>
  <c r="R3745" i="2" l="1"/>
  <c r="T3755" i="2"/>
  <c r="R3746" i="2"/>
  <c r="R3757" i="2"/>
  <c r="R3722" i="2"/>
  <c r="R3723" i="2" s="1"/>
  <c r="R3726" i="2" s="1"/>
  <c r="S3727" i="2" s="1"/>
  <c r="R3734" i="2"/>
  <c r="R3735" i="2" s="1"/>
  <c r="R3736" i="2" s="1"/>
  <c r="R3733" i="2"/>
  <c r="R3738" i="2" s="1"/>
  <c r="R3737" i="2" l="1"/>
  <c r="R3740" i="2" s="1"/>
  <c r="S3741" i="2" s="1"/>
  <c r="R3747" i="2"/>
  <c r="R3752" i="2" s="1"/>
  <c r="R3748" i="2"/>
  <c r="R3749" i="2" s="1"/>
  <c r="R3760" i="2"/>
  <c r="T3769" i="2"/>
  <c r="R3759" i="2"/>
  <c r="R3771" i="2"/>
  <c r="R3761" i="2" l="1"/>
  <c r="R3766" i="2" s="1"/>
  <c r="R3762" i="2"/>
  <c r="R3763" i="2" s="1"/>
  <c r="R3764" i="2" s="1"/>
  <c r="R3750" i="2"/>
  <c r="R3751" i="2" s="1"/>
  <c r="R3754" i="2" s="1"/>
  <c r="S3755" i="2" s="1"/>
  <c r="R3774" i="2"/>
  <c r="R3773" i="2"/>
  <c r="R3785" i="2"/>
  <c r="T3783" i="2"/>
  <c r="R3775" i="2" l="1"/>
  <c r="R3780" i="2" s="1"/>
  <c r="R3776" i="2"/>
  <c r="R3777" i="2" s="1"/>
  <c r="R3765" i="2"/>
  <c r="R3768" i="2" s="1"/>
  <c r="S3769" i="2" s="1"/>
  <c r="R3799" i="2"/>
  <c r="R3788" i="2"/>
  <c r="R3787" i="2"/>
  <c r="T3797" i="2"/>
  <c r="R3789" i="2" l="1"/>
  <c r="R3794" i="2" s="1"/>
  <c r="R3790" i="2"/>
  <c r="R3791" i="2" s="1"/>
  <c r="R3778" i="2"/>
  <c r="R3779" i="2" s="1"/>
  <c r="R3782" i="2" s="1"/>
  <c r="S3783" i="2" s="1"/>
  <c r="T3811" i="2"/>
  <c r="R3801" i="2"/>
  <c r="R3813" i="2"/>
  <c r="R3802" i="2"/>
  <c r="R3804" i="2" l="1"/>
  <c r="R3805" i="2" s="1"/>
  <c r="R3806" i="2" s="1"/>
  <c r="R3803" i="2"/>
  <c r="R3808" i="2" s="1"/>
  <c r="R3792" i="2"/>
  <c r="R3793" i="2" s="1"/>
  <c r="R3796" i="2" s="1"/>
  <c r="S3797" i="2" s="1"/>
  <c r="R3816" i="2"/>
  <c r="R3815" i="2"/>
  <c r="R3827" i="2"/>
  <c r="T3825" i="2"/>
  <c r="R3807" i="2" l="1"/>
  <c r="R3810" i="2" s="1"/>
  <c r="S3811" i="2" s="1"/>
  <c r="R3817" i="2"/>
  <c r="R3822" i="2" s="1"/>
  <c r="R3818" i="2"/>
  <c r="R3819" i="2" s="1"/>
  <c r="R3829" i="2"/>
  <c r="R3841" i="2"/>
  <c r="T3839" i="2"/>
  <c r="R3830" i="2"/>
  <c r="R3820" i="2" l="1"/>
  <c r="R3821" i="2" s="1"/>
  <c r="R3824" i="2" s="1"/>
  <c r="S3825" i="2" s="1"/>
  <c r="R3831" i="2"/>
  <c r="R3836" i="2" s="1"/>
  <c r="R3832" i="2"/>
  <c r="R3833" i="2" s="1"/>
  <c r="R3834" i="2" s="1"/>
  <c r="R3844" i="2"/>
  <c r="T3853" i="2"/>
  <c r="R3855" i="2"/>
  <c r="R3843" i="2"/>
  <c r="R3835" i="2" l="1"/>
  <c r="R3838" i="2" s="1"/>
  <c r="S3839" i="2" s="1"/>
  <c r="R3869" i="2"/>
  <c r="R3857" i="2"/>
  <c r="T3867" i="2"/>
  <c r="R3858" i="2"/>
  <c r="R3846" i="2"/>
  <c r="R3847" i="2" s="1"/>
  <c r="R3845" i="2"/>
  <c r="R3850" i="2" s="1"/>
  <c r="R3860" i="2" l="1"/>
  <c r="R3861" i="2" s="1"/>
  <c r="R3862" i="2" s="1"/>
  <c r="R3859" i="2"/>
  <c r="R3864" i="2" s="1"/>
  <c r="R3848" i="2"/>
  <c r="R3849" i="2" s="1"/>
  <c r="R3852" i="2" s="1"/>
  <c r="S3853" i="2" s="1"/>
  <c r="R3872" i="2"/>
  <c r="T3881" i="2"/>
  <c r="R3871" i="2"/>
  <c r="R3883" i="2"/>
  <c r="R3863" i="2" l="1"/>
  <c r="R3866" i="2" s="1"/>
  <c r="S3867" i="2" s="1"/>
  <c r="R3873" i="2"/>
  <c r="R3878" i="2" s="1"/>
  <c r="R3874" i="2"/>
  <c r="R3875" i="2" s="1"/>
  <c r="R3876" i="2" s="1"/>
  <c r="T3895" i="2"/>
  <c r="R3886" i="2"/>
  <c r="R3885" i="2"/>
  <c r="R3897" i="2"/>
  <c r="R3877" i="2" l="1"/>
  <c r="R3880" i="2" s="1"/>
  <c r="S3881" i="2" s="1"/>
  <c r="R3888" i="2"/>
  <c r="R3889" i="2" s="1"/>
  <c r="R3887" i="2"/>
  <c r="R3892" i="2" s="1"/>
  <c r="R3900" i="2"/>
  <c r="R3899" i="2"/>
  <c r="R3911" i="2"/>
  <c r="T3909" i="2"/>
  <c r="R3925" i="2" l="1"/>
  <c r="R3913" i="2"/>
  <c r="T3923" i="2"/>
  <c r="R3914" i="2"/>
  <c r="R3890" i="2"/>
  <c r="R3891" i="2" s="1"/>
  <c r="R3894" i="2" s="1"/>
  <c r="S3895" i="2" s="1"/>
  <c r="R3902" i="2"/>
  <c r="R3903" i="2" s="1"/>
  <c r="R3901" i="2"/>
  <c r="R3906" i="2" s="1"/>
  <c r="R3927" i="2" l="1"/>
  <c r="R3928" i="2"/>
  <c r="R3939" i="2"/>
  <c r="T3937" i="2"/>
  <c r="R3915" i="2"/>
  <c r="R3920" i="2" s="1"/>
  <c r="R3916" i="2"/>
  <c r="R3917" i="2" s="1"/>
  <c r="R3904" i="2"/>
  <c r="R3905" i="2" s="1"/>
  <c r="R3908" i="2" s="1"/>
  <c r="S3909" i="2" s="1"/>
  <c r="R3918" i="2" l="1"/>
  <c r="R3919" i="2" s="1"/>
  <c r="R3922" i="2" s="1"/>
  <c r="S3923" i="2" s="1"/>
  <c r="T3951" i="2"/>
  <c r="R3942" i="2"/>
  <c r="R3941" i="2"/>
  <c r="R3953" i="2"/>
  <c r="R3930" i="2"/>
  <c r="R3931" i="2" s="1"/>
  <c r="R3929" i="2"/>
  <c r="R3934" i="2" s="1"/>
  <c r="R3943" i="2" l="1"/>
  <c r="R3948" i="2" s="1"/>
  <c r="R3944" i="2"/>
  <c r="R3945" i="2" s="1"/>
  <c r="R3946" i="2" s="1"/>
  <c r="R3955" i="2"/>
  <c r="R3956" i="2"/>
  <c r="T3965" i="2"/>
  <c r="R3967" i="2"/>
  <c r="R3932" i="2"/>
  <c r="R3933" i="2" s="1"/>
  <c r="R3936" i="2" s="1"/>
  <c r="S3937" i="2" s="1"/>
  <c r="R3947" i="2" l="1"/>
  <c r="R3950" i="2" s="1"/>
  <c r="S3951" i="2" s="1"/>
  <c r="R3981" i="2"/>
  <c r="R3969" i="2"/>
  <c r="T3979" i="2"/>
  <c r="R3970" i="2"/>
  <c r="R3958" i="2"/>
  <c r="R3959" i="2" s="1"/>
  <c r="R3957" i="2"/>
  <c r="R3962" i="2" s="1"/>
  <c r="R3971" i="2" l="1"/>
  <c r="R3976" i="2" s="1"/>
  <c r="R3972" i="2"/>
  <c r="R3973" i="2" s="1"/>
  <c r="R3960" i="2"/>
  <c r="R3961" i="2" s="1"/>
  <c r="R3964" i="2" s="1"/>
  <c r="S3965" i="2" s="1"/>
  <c r="T3993" i="2"/>
  <c r="R3995" i="2"/>
  <c r="R3984" i="2"/>
  <c r="R3983" i="2"/>
  <c r="R3998" i="2" l="1"/>
  <c r="R3997" i="2"/>
  <c r="R4009" i="2"/>
  <c r="T4007" i="2"/>
  <c r="R3974" i="2"/>
  <c r="R3975" i="2" s="1"/>
  <c r="R3978" i="2" s="1"/>
  <c r="S3979" i="2" s="1"/>
  <c r="R3986" i="2"/>
  <c r="R3987" i="2" s="1"/>
  <c r="R3985" i="2"/>
  <c r="R3990" i="2" s="1"/>
  <c r="R4000" i="2" l="1"/>
  <c r="R4001" i="2" s="1"/>
  <c r="R4002" i="2" s="1"/>
  <c r="R3999" i="2"/>
  <c r="R4004" i="2" s="1"/>
  <c r="R3988" i="2"/>
  <c r="R3989" i="2" s="1"/>
  <c r="R3992" i="2" s="1"/>
  <c r="S3993" i="2" s="1"/>
  <c r="R4023" i="2"/>
  <c r="R4012" i="2"/>
  <c r="R4011" i="2"/>
  <c r="T4021" i="2"/>
  <c r="R4003" i="2" l="1"/>
  <c r="R4006" i="2" s="1"/>
  <c r="S4007" i="2" s="1"/>
  <c r="R4037" i="2"/>
  <c r="R4026" i="2"/>
  <c r="R4025" i="2"/>
  <c r="T4035" i="2"/>
  <c r="R4013" i="2"/>
  <c r="R4018" i="2" s="1"/>
  <c r="R4014" i="2"/>
  <c r="R4015" i="2" s="1"/>
  <c r="R4016" i="2" l="1"/>
  <c r="R4017" i="2" s="1"/>
  <c r="R4020" i="2" s="1"/>
  <c r="S4021" i="2" s="1"/>
  <c r="R4051" i="2"/>
  <c r="T4049" i="2"/>
  <c r="R4040" i="2"/>
  <c r="R4039" i="2"/>
  <c r="R4028" i="2"/>
  <c r="R4029" i="2" s="1"/>
  <c r="R4027" i="2"/>
  <c r="R4032" i="2" s="1"/>
  <c r="R4042" i="2" l="1"/>
  <c r="R4043" i="2" s="1"/>
  <c r="R4044" i="2" s="1"/>
  <c r="R4041" i="2"/>
  <c r="R4046" i="2" s="1"/>
  <c r="R4030" i="2"/>
  <c r="R4031" i="2" s="1"/>
  <c r="R4034" i="2" s="1"/>
  <c r="S4035" i="2" s="1"/>
  <c r="R4065" i="2"/>
  <c r="T4063" i="2"/>
  <c r="R4054" i="2"/>
  <c r="R4053" i="2"/>
  <c r="R4045" i="2" l="1"/>
  <c r="R4048" i="2" s="1"/>
  <c r="S4049" i="2" s="1"/>
  <c r="R4067" i="2"/>
  <c r="R4068" i="2"/>
  <c r="T4077" i="2"/>
  <c r="R4079" i="2"/>
  <c r="R4055" i="2"/>
  <c r="R4060" i="2" s="1"/>
  <c r="R4056" i="2"/>
  <c r="R4057" i="2" s="1"/>
  <c r="R4058" i="2" s="1"/>
  <c r="R4059" i="2" l="1"/>
  <c r="R4062" i="2" s="1"/>
  <c r="S4063" i="2" s="1"/>
  <c r="R4070" i="2"/>
  <c r="R4071" i="2" s="1"/>
  <c r="R4069" i="2"/>
  <c r="R4074" i="2" s="1"/>
  <c r="R4081" i="2"/>
  <c r="R4093" i="2"/>
  <c r="T4091" i="2"/>
  <c r="R4082" i="2"/>
  <c r="T4105" i="2" l="1"/>
  <c r="R4096" i="2"/>
  <c r="R4095" i="2"/>
  <c r="R4107" i="2"/>
  <c r="R4072" i="2"/>
  <c r="R4073" i="2" s="1"/>
  <c r="R4076" i="2" s="1"/>
  <c r="S4077" i="2" s="1"/>
  <c r="R4084" i="2"/>
  <c r="R4085" i="2" s="1"/>
  <c r="R4083" i="2"/>
  <c r="R4088" i="2" s="1"/>
  <c r="R4098" i="2" l="1"/>
  <c r="R4099" i="2" s="1"/>
  <c r="R4097" i="2"/>
  <c r="R4102" i="2" s="1"/>
  <c r="R4086" i="2"/>
  <c r="R4087" i="2" s="1"/>
  <c r="R4090" i="2" s="1"/>
  <c r="S4091" i="2" s="1"/>
  <c r="T4119" i="2"/>
  <c r="R4110" i="2"/>
  <c r="R4109" i="2"/>
  <c r="R4121" i="2"/>
  <c r="R4100" i="2" l="1"/>
  <c r="R4101" i="2" s="1"/>
  <c r="R4104" i="2" s="1"/>
  <c r="S4105" i="2" s="1"/>
  <c r="R4111" i="2"/>
  <c r="R4116" i="2" s="1"/>
  <c r="R4112" i="2"/>
  <c r="R4113" i="2" s="1"/>
  <c r="R4135" i="2"/>
  <c r="T4133" i="2"/>
  <c r="R4124" i="2"/>
  <c r="R4123" i="2"/>
  <c r="T4147" i="2" l="1"/>
  <c r="R4137" i="2"/>
  <c r="R4138" i="2"/>
  <c r="R4149" i="2"/>
  <c r="R4126" i="2"/>
  <c r="R4127" i="2" s="1"/>
  <c r="R4125" i="2"/>
  <c r="R4130" i="2" s="1"/>
  <c r="R4114" i="2"/>
  <c r="R4115" i="2" s="1"/>
  <c r="R4118" i="2" s="1"/>
  <c r="S4119" i="2" s="1"/>
  <c r="R4140" i="2" l="1"/>
  <c r="R4141" i="2" s="1"/>
  <c r="R4139" i="2"/>
  <c r="R4144" i="2" s="1"/>
  <c r="R4128" i="2"/>
  <c r="R4129" i="2" s="1"/>
  <c r="R4132" i="2" s="1"/>
  <c r="S4133" i="2" s="1"/>
  <c r="R4151" i="2"/>
  <c r="R4163" i="2"/>
  <c r="T4161" i="2"/>
  <c r="R4152" i="2"/>
  <c r="R4153" i="2" l="1"/>
  <c r="R4158" i="2" s="1"/>
  <c r="R4154" i="2"/>
  <c r="R4155" i="2" s="1"/>
  <c r="R4142" i="2"/>
  <c r="R4143" i="2" s="1"/>
  <c r="R4146" i="2" s="1"/>
  <c r="S4147" i="2" s="1"/>
  <c r="R4177" i="2"/>
  <c r="T4175" i="2"/>
  <c r="R4166" i="2"/>
  <c r="R4165" i="2"/>
  <c r="R4179" i="2" l="1"/>
  <c r="R4191" i="2"/>
  <c r="T4189" i="2"/>
  <c r="R4180" i="2"/>
  <c r="R4156" i="2"/>
  <c r="R4157" i="2" s="1"/>
  <c r="R4160" i="2" s="1"/>
  <c r="S4161" i="2" s="1"/>
  <c r="R4168" i="2"/>
  <c r="R4169" i="2" s="1"/>
  <c r="R4167" i="2"/>
  <c r="R4172" i="2" s="1"/>
  <c r="R4194" i="2" l="1"/>
  <c r="R4205" i="2"/>
  <c r="T4203" i="2"/>
  <c r="R4193" i="2"/>
  <c r="R4170" i="2"/>
  <c r="R4171" i="2" s="1"/>
  <c r="R4174" i="2" s="1"/>
  <c r="S4175" i="2" s="1"/>
  <c r="R4182" i="2"/>
  <c r="R4183" i="2" s="1"/>
  <c r="R4184" i="2" s="1"/>
  <c r="R4181" i="2"/>
  <c r="R4186" i="2" s="1"/>
  <c r="R4185" i="2" l="1"/>
  <c r="R4188" i="2" s="1"/>
  <c r="S4189" i="2" s="1"/>
  <c r="R4219" i="2"/>
  <c r="T4217" i="2"/>
  <c r="R4208" i="2"/>
  <c r="R4207" i="2"/>
  <c r="R4196" i="2"/>
  <c r="R4197" i="2" s="1"/>
  <c r="R4195" i="2"/>
  <c r="R4200" i="2" s="1"/>
  <c r="R4198" i="2" l="1"/>
  <c r="R4199" i="2" s="1"/>
  <c r="R4202" i="2" s="1"/>
  <c r="S4203" i="2" s="1"/>
  <c r="T4231" i="2"/>
  <c r="R4222" i="2"/>
  <c r="R4221" i="2"/>
  <c r="R4233" i="2"/>
  <c r="R4210" i="2"/>
  <c r="R4211" i="2" s="1"/>
  <c r="R4209" i="2"/>
  <c r="R4214" i="2" s="1"/>
  <c r="R4223" i="2" l="1"/>
  <c r="R4228" i="2" s="1"/>
  <c r="R4224" i="2"/>
  <c r="R4225" i="2" s="1"/>
  <c r="R4235" i="2"/>
  <c r="R4236" i="2"/>
  <c r="R4247" i="2"/>
  <c r="T4245" i="2"/>
  <c r="R4212" i="2"/>
  <c r="R4213" i="2" s="1"/>
  <c r="R4216" i="2" s="1"/>
  <c r="S4217" i="2" s="1"/>
  <c r="R4249" i="2" l="1"/>
  <c r="T4259" i="2"/>
  <c r="R4250" i="2"/>
  <c r="R4261" i="2"/>
  <c r="R4226" i="2"/>
  <c r="R4227" i="2" s="1"/>
  <c r="R4230" i="2" s="1"/>
  <c r="S4231" i="2" s="1"/>
  <c r="R4238" i="2"/>
  <c r="R4239" i="2" s="1"/>
  <c r="R4240" i="2" s="1"/>
  <c r="R4237" i="2"/>
  <c r="R4242" i="2" s="1"/>
  <c r="R4251" i="2" l="1"/>
  <c r="R4256" i="2" s="1"/>
  <c r="R4252" i="2"/>
  <c r="R4253" i="2" s="1"/>
  <c r="R4263" i="2"/>
  <c r="R4275" i="2"/>
  <c r="T4273" i="2"/>
  <c r="R4264" i="2"/>
  <c r="R4241" i="2"/>
  <c r="R4244" i="2" s="1"/>
  <c r="S4245" i="2" s="1"/>
  <c r="T4287" i="2" l="1"/>
  <c r="R4277" i="2"/>
  <c r="R4289" i="2"/>
  <c r="R4278" i="2"/>
  <c r="R4254" i="2"/>
  <c r="R4255" i="2" s="1"/>
  <c r="R4258" i="2" s="1"/>
  <c r="S4259" i="2" s="1"/>
  <c r="R4266" i="2"/>
  <c r="R4267" i="2" s="1"/>
  <c r="R4265" i="2"/>
  <c r="R4270" i="2" s="1"/>
  <c r="R4279" i="2" l="1"/>
  <c r="R4284" i="2" s="1"/>
  <c r="R4280" i="2"/>
  <c r="R4281" i="2" s="1"/>
  <c r="R4291" i="2"/>
  <c r="T4301" i="2"/>
  <c r="R4303" i="2"/>
  <c r="R4292" i="2"/>
  <c r="R4268" i="2"/>
  <c r="R4269" i="2" s="1"/>
  <c r="R4272" i="2" s="1"/>
  <c r="S4273" i="2" s="1"/>
  <c r="R4282" i="2" l="1"/>
  <c r="R4283" i="2" s="1"/>
  <c r="R4286" i="2" s="1"/>
  <c r="S4287" i="2" s="1"/>
  <c r="R4294" i="2"/>
  <c r="R4295" i="2" s="1"/>
  <c r="R4296" i="2" s="1"/>
  <c r="R4293" i="2"/>
  <c r="R4298" i="2" s="1"/>
  <c r="R4317" i="2"/>
  <c r="R4305" i="2"/>
  <c r="T4315" i="2"/>
  <c r="R4306" i="2"/>
  <c r="R4297" i="2" l="1"/>
  <c r="R4300" i="2" s="1"/>
  <c r="S4301" i="2" s="1"/>
  <c r="R4319" i="2"/>
  <c r="R4320" i="2"/>
  <c r="R4331" i="2"/>
  <c r="T4329" i="2"/>
  <c r="R4308" i="2"/>
  <c r="R4309" i="2" s="1"/>
  <c r="R4307" i="2"/>
  <c r="R4312" i="2" s="1"/>
  <c r="R4345" i="2" l="1"/>
  <c r="T4343" i="2"/>
  <c r="R4334" i="2"/>
  <c r="R4333" i="2"/>
  <c r="R4310" i="2"/>
  <c r="R4311" i="2" s="1"/>
  <c r="R4314" i="2" s="1"/>
  <c r="S4315" i="2" s="1"/>
  <c r="R4322" i="2"/>
  <c r="R4323" i="2" s="1"/>
  <c r="R4321" i="2"/>
  <c r="R4326" i="2" s="1"/>
  <c r="R4359" i="2" l="1"/>
  <c r="R4348" i="2"/>
  <c r="T4357" i="2"/>
  <c r="R4347" i="2"/>
  <c r="R4324" i="2"/>
  <c r="R4325" i="2" s="1"/>
  <c r="R4328" i="2" s="1"/>
  <c r="S4329" i="2" s="1"/>
  <c r="R4335" i="2"/>
  <c r="R4340" i="2" s="1"/>
  <c r="R4336" i="2"/>
  <c r="R4337" i="2" s="1"/>
  <c r="R4338" i="2" s="1"/>
  <c r="R4339" i="2" l="1"/>
  <c r="R4342" i="2" s="1"/>
  <c r="S4343" i="2" s="1"/>
  <c r="R4373" i="2"/>
  <c r="R4361" i="2"/>
  <c r="T4371" i="2"/>
  <c r="R4362" i="2"/>
  <c r="R4350" i="2"/>
  <c r="R4351" i="2" s="1"/>
  <c r="R4352" i="2" s="1"/>
  <c r="R4349" i="2"/>
  <c r="R4354" i="2" s="1"/>
  <c r="R4353" i="2" l="1"/>
  <c r="R4356" i="2" s="1"/>
  <c r="S4357" i="2" s="1"/>
  <c r="R4375" i="2"/>
  <c r="R4376" i="2"/>
  <c r="R4387" i="2"/>
  <c r="T4385" i="2"/>
  <c r="R4363" i="2"/>
  <c r="R4368" i="2" s="1"/>
  <c r="R4364" i="2"/>
  <c r="R4365" i="2" s="1"/>
  <c r="R4378" i="2" l="1"/>
  <c r="R4379" i="2" s="1"/>
  <c r="R4377" i="2"/>
  <c r="R4382" i="2" s="1"/>
  <c r="R4366" i="2"/>
  <c r="R4367" i="2" s="1"/>
  <c r="R4370" i="2" s="1"/>
  <c r="S4371" i="2" s="1"/>
  <c r="R4389" i="2"/>
  <c r="R4401" i="2"/>
  <c r="R4390" i="2"/>
  <c r="T4399" i="2"/>
  <c r="R4392" i="2" l="1"/>
  <c r="R4393" i="2" s="1"/>
  <c r="R4391" i="2"/>
  <c r="R4396" i="2" s="1"/>
  <c r="R4380" i="2"/>
  <c r="R4381" i="2" s="1"/>
  <c r="R4384" i="2" s="1"/>
  <c r="S4385" i="2" s="1"/>
  <c r="R4404" i="2"/>
  <c r="R4415" i="2"/>
  <c r="T4413" i="2"/>
  <c r="R4403" i="2"/>
  <c r="R4394" i="2" l="1"/>
  <c r="R4395" i="2" s="1"/>
  <c r="R4398" i="2" s="1"/>
  <c r="S4399" i="2" s="1"/>
  <c r="R4429" i="2"/>
  <c r="R4418" i="2"/>
  <c r="R4417" i="2"/>
  <c r="T4427" i="2"/>
  <c r="R4406" i="2"/>
  <c r="R4407" i="2" s="1"/>
  <c r="R4408" i="2" s="1"/>
  <c r="R4405" i="2"/>
  <c r="R4410" i="2" s="1"/>
  <c r="R4409" i="2" l="1"/>
  <c r="R4412" i="2" s="1"/>
  <c r="S4413" i="2" s="1"/>
  <c r="R4431" i="2"/>
  <c r="T4441" i="2"/>
  <c r="R4443" i="2"/>
  <c r="R4432" i="2"/>
  <c r="R4420" i="2"/>
  <c r="R4421" i="2" s="1"/>
  <c r="R4419" i="2"/>
  <c r="R4424" i="2" s="1"/>
  <c r="R4422" i="2" l="1"/>
  <c r="R4423" i="2" s="1"/>
  <c r="R4426" i="2" s="1"/>
  <c r="S4427" i="2" s="1"/>
  <c r="R4457" i="2"/>
  <c r="R4445" i="2"/>
  <c r="R4446" i="2"/>
  <c r="T4455" i="2"/>
  <c r="R4433" i="2"/>
  <c r="R4438" i="2" s="1"/>
  <c r="R4434" i="2"/>
  <c r="R4435" i="2" s="1"/>
  <c r="R4436" i="2" s="1"/>
  <c r="R4437" i="2" l="1"/>
  <c r="R4440" i="2" s="1"/>
  <c r="S4441" i="2" s="1"/>
  <c r="T4469" i="2"/>
  <c r="R4460" i="2"/>
  <c r="R4459" i="2"/>
  <c r="R4471" i="2"/>
  <c r="R4447" i="2"/>
  <c r="R4452" i="2" s="1"/>
  <c r="R4448" i="2"/>
  <c r="R4449" i="2" s="1"/>
  <c r="R4450" i="2" l="1"/>
  <c r="R4451" i="2" s="1"/>
  <c r="R4454" i="2" s="1"/>
  <c r="S4455" i="2" s="1"/>
  <c r="R4474" i="2"/>
  <c r="R4473" i="2"/>
  <c r="T4483" i="2"/>
  <c r="R4485" i="2"/>
  <c r="R4461" i="2"/>
  <c r="R4466" i="2" s="1"/>
  <c r="R4462" i="2"/>
  <c r="R4463" i="2" s="1"/>
  <c r="R4464" i="2" s="1"/>
  <c r="R4465" i="2" l="1"/>
  <c r="R4468" i="2" s="1"/>
  <c r="S4469" i="2" s="1"/>
  <c r="R4499" i="2"/>
  <c r="R4487" i="2"/>
  <c r="T4497" i="2"/>
  <c r="R4488" i="2"/>
  <c r="R4476" i="2"/>
  <c r="R4477" i="2" s="1"/>
  <c r="R4475" i="2"/>
  <c r="R4480" i="2" s="1"/>
  <c r="R4478" i="2" l="1"/>
  <c r="R4479" i="2" s="1"/>
  <c r="R4482" i="2" s="1"/>
  <c r="S4483" i="2" s="1"/>
  <c r="R4513" i="2"/>
  <c r="R4502" i="2"/>
  <c r="R4501" i="2"/>
  <c r="T4511" i="2"/>
  <c r="R4489" i="2"/>
  <c r="R4494" i="2" s="1"/>
  <c r="R4490" i="2"/>
  <c r="R4491" i="2" s="1"/>
  <c r="R4504" i="2" l="1"/>
  <c r="R4505" i="2" s="1"/>
  <c r="R4506" i="2" s="1"/>
  <c r="R4503" i="2"/>
  <c r="R4508" i="2" s="1"/>
  <c r="R4527" i="2"/>
  <c r="R4515" i="2"/>
  <c r="R4516" i="2"/>
  <c r="T4525" i="2"/>
  <c r="R4492" i="2"/>
  <c r="R4493" i="2" s="1"/>
  <c r="R4496" i="2" s="1"/>
  <c r="S4497" i="2" s="1"/>
  <c r="R4507" i="2" l="1"/>
  <c r="R4510" i="2" s="1"/>
  <c r="S4511" i="2" s="1"/>
  <c r="R4541" i="2"/>
  <c r="R4529" i="2"/>
  <c r="T4539" i="2"/>
  <c r="R4530" i="2"/>
  <c r="R4517" i="2"/>
  <c r="R4522" i="2" s="1"/>
  <c r="R4518" i="2"/>
  <c r="R4519" i="2" s="1"/>
  <c r="R4520" i="2" s="1"/>
  <c r="R4532" i="2" l="1"/>
  <c r="R4533" i="2" s="1"/>
  <c r="R4531" i="2"/>
  <c r="R4536" i="2" s="1"/>
  <c r="R4521" i="2"/>
  <c r="R4524" i="2" s="1"/>
  <c r="S4525" i="2" s="1"/>
  <c r="R4543" i="2"/>
  <c r="T4553" i="2"/>
  <c r="R4544" i="2"/>
  <c r="R4555" i="2"/>
  <c r="R4534" i="2" l="1"/>
  <c r="R4535" i="2" s="1"/>
  <c r="R4538" i="2" s="1"/>
  <c r="S4539" i="2" s="1"/>
  <c r="R4569" i="2"/>
  <c r="R4558" i="2"/>
  <c r="R4557" i="2"/>
  <c r="T4567" i="2"/>
  <c r="R4546" i="2"/>
  <c r="R4547" i="2" s="1"/>
  <c r="R4545" i="2"/>
  <c r="R4550" i="2" s="1"/>
  <c r="R4571" i="2" l="1"/>
  <c r="T4581" i="2"/>
  <c r="R4572" i="2"/>
  <c r="R4583" i="2"/>
  <c r="R4560" i="2"/>
  <c r="R4561" i="2" s="1"/>
  <c r="R4562" i="2" s="1"/>
  <c r="R4559" i="2"/>
  <c r="R4564" i="2" s="1"/>
  <c r="R4548" i="2"/>
  <c r="R4549" i="2" s="1"/>
  <c r="R4552" i="2" s="1"/>
  <c r="S4553" i="2" s="1"/>
  <c r="R4563" i="2" l="1"/>
  <c r="R4566" i="2" s="1"/>
  <c r="S4567" i="2" s="1"/>
  <c r="R4574" i="2"/>
  <c r="R4575" i="2" s="1"/>
  <c r="R4576" i="2" s="1"/>
  <c r="R4573" i="2"/>
  <c r="R4578" i="2" s="1"/>
  <c r="R4586" i="2"/>
  <c r="T4595" i="2"/>
  <c r="R4597" i="2"/>
  <c r="R4585" i="2"/>
  <c r="R4577" i="2" l="1"/>
  <c r="R4580" i="2" s="1"/>
  <c r="S4581" i="2" s="1"/>
  <c r="R4611" i="2"/>
  <c r="T4609" i="2"/>
  <c r="R4600" i="2"/>
  <c r="R4599" i="2"/>
  <c r="R4588" i="2"/>
  <c r="R4589" i="2" s="1"/>
  <c r="R4587" i="2"/>
  <c r="R4592" i="2" s="1"/>
  <c r="R4590" i="2" l="1"/>
  <c r="R4591" i="2" s="1"/>
  <c r="R4594" i="2" s="1"/>
  <c r="S4595" i="2" s="1"/>
  <c r="R4614" i="2"/>
  <c r="R4625" i="2"/>
  <c r="R4613" i="2"/>
  <c r="T4623" i="2"/>
  <c r="R4602" i="2"/>
  <c r="R4603" i="2" s="1"/>
  <c r="R4601" i="2"/>
  <c r="R4606" i="2" s="1"/>
  <c r="R4604" i="2" l="1"/>
  <c r="R4605" i="2" s="1"/>
  <c r="R4608" i="2" s="1"/>
  <c r="S4609" i="2" s="1"/>
  <c r="R4615" i="2"/>
  <c r="R4620" i="2" s="1"/>
  <c r="R4616" i="2"/>
  <c r="R4617" i="2" s="1"/>
  <c r="R4618" i="2" s="1"/>
  <c r="R4639" i="2"/>
  <c r="R4628" i="2"/>
  <c r="T4637" i="2"/>
  <c r="R4627" i="2"/>
  <c r="R4619" i="2" l="1"/>
  <c r="R4622" i="2" s="1"/>
  <c r="S4623" i="2" s="1"/>
  <c r="T4651" i="2"/>
  <c r="R4653" i="2"/>
  <c r="R4641" i="2"/>
  <c r="R4642" i="2"/>
  <c r="R4629" i="2"/>
  <c r="R4634" i="2" s="1"/>
  <c r="R4630" i="2"/>
  <c r="R4631" i="2" s="1"/>
  <c r="R4632" i="2" s="1"/>
  <c r="R4644" i="2" l="1"/>
  <c r="R4645" i="2" s="1"/>
  <c r="R4643" i="2"/>
  <c r="R4648" i="2" s="1"/>
  <c r="R4633" i="2"/>
  <c r="R4636" i="2" s="1"/>
  <c r="S4637" i="2" s="1"/>
  <c r="R4667" i="2"/>
  <c r="R4655" i="2"/>
  <c r="T4665" i="2"/>
  <c r="R4656" i="2"/>
  <c r="R4658" i="2" l="1"/>
  <c r="R4659" i="2" s="1"/>
  <c r="R4657" i="2"/>
  <c r="R4662" i="2" s="1"/>
  <c r="R4646" i="2"/>
  <c r="R4647" i="2" s="1"/>
  <c r="R4650" i="2" s="1"/>
  <c r="S4651" i="2" s="1"/>
  <c r="R4681" i="2"/>
  <c r="T4679" i="2"/>
  <c r="R4670" i="2"/>
  <c r="R4669" i="2"/>
  <c r="R4684" i="2" l="1"/>
  <c r="R4695" i="2"/>
  <c r="R4683" i="2"/>
  <c r="T4693" i="2"/>
  <c r="R4660" i="2"/>
  <c r="R4661" i="2" s="1"/>
  <c r="R4664" i="2" s="1"/>
  <c r="S4665" i="2" s="1"/>
  <c r="R4672" i="2"/>
  <c r="R4673" i="2" s="1"/>
  <c r="R4674" i="2" s="1"/>
  <c r="R4671" i="2"/>
  <c r="R4676" i="2" s="1"/>
  <c r="R4675" i="2" l="1"/>
  <c r="R4678" i="2" s="1"/>
  <c r="S4679" i="2" s="1"/>
  <c r="R4685" i="2"/>
  <c r="R4690" i="2" s="1"/>
  <c r="R4686" i="2"/>
  <c r="R4687" i="2" s="1"/>
  <c r="R4688" i="2" s="1"/>
  <c r="T4707" i="2"/>
  <c r="R4697" i="2"/>
  <c r="R4698" i="2"/>
  <c r="R4709" i="2"/>
  <c r="R4689" i="2" l="1"/>
  <c r="R4692" i="2" s="1"/>
  <c r="S4693" i="2" s="1"/>
  <c r="R4711" i="2"/>
  <c r="T4721" i="2"/>
  <c r="R4712" i="2"/>
  <c r="R4723" i="2"/>
  <c r="R4699" i="2"/>
  <c r="R4704" i="2" s="1"/>
  <c r="R4700" i="2"/>
  <c r="R4701" i="2" s="1"/>
  <c r="R4714" i="2" l="1"/>
  <c r="R4715" i="2" s="1"/>
  <c r="R4713" i="2"/>
  <c r="R4718" i="2" s="1"/>
  <c r="R4702" i="2"/>
  <c r="R4703" i="2" s="1"/>
  <c r="R4706" i="2" s="1"/>
  <c r="S4707" i="2" s="1"/>
  <c r="R4725" i="2"/>
  <c r="T4735" i="2"/>
  <c r="R4737" i="2"/>
  <c r="R4726" i="2"/>
  <c r="R4728" i="2" l="1"/>
  <c r="R4729" i="2" s="1"/>
  <c r="R4727" i="2"/>
  <c r="R4732" i="2" s="1"/>
  <c r="R4716" i="2"/>
  <c r="R4717" i="2" s="1"/>
  <c r="R4720" i="2" s="1"/>
  <c r="S4721" i="2" s="1"/>
  <c r="T4749" i="2"/>
  <c r="R4751" i="2"/>
  <c r="R4740" i="2"/>
  <c r="R4739" i="2"/>
  <c r="R4730" i="2" l="1"/>
  <c r="R4731" i="2" s="1"/>
  <c r="R4734" i="2" s="1"/>
  <c r="S4735" i="2" s="1"/>
  <c r="R4754" i="2"/>
  <c r="R4765" i="2"/>
  <c r="R4753" i="2"/>
  <c r="T4763" i="2"/>
  <c r="R4742" i="2"/>
  <c r="R4743" i="2" s="1"/>
  <c r="R4744" i="2" s="1"/>
  <c r="R4741" i="2"/>
  <c r="R4746" i="2" s="1"/>
  <c r="R4745" i="2" l="1"/>
  <c r="R4748" i="2" s="1"/>
  <c r="S4749" i="2" s="1"/>
  <c r="R4755" i="2"/>
  <c r="R4760" i="2" s="1"/>
  <c r="R4756" i="2"/>
  <c r="R4757" i="2" s="1"/>
  <c r="R4779" i="2"/>
  <c r="R4768" i="2"/>
  <c r="T4777" i="2"/>
  <c r="R4767" i="2"/>
  <c r="R4770" i="2" l="1"/>
  <c r="R4771" i="2" s="1"/>
  <c r="R4769" i="2"/>
  <c r="R4774" i="2" s="1"/>
  <c r="R4758" i="2"/>
  <c r="R4759" i="2" s="1"/>
  <c r="R4762" i="2" s="1"/>
  <c r="S4763" i="2" s="1"/>
  <c r="T4791" i="2"/>
  <c r="R4781" i="2"/>
  <c r="R4793" i="2"/>
  <c r="R4782" i="2"/>
  <c r="R4783" i="2" l="1"/>
  <c r="R4788" i="2" s="1"/>
  <c r="R4784" i="2"/>
  <c r="R4785" i="2" s="1"/>
  <c r="R4772" i="2"/>
  <c r="R4773" i="2" s="1"/>
  <c r="R4776" i="2" s="1"/>
  <c r="S4777" i="2" s="1"/>
  <c r="R4796" i="2"/>
  <c r="R4807" i="2"/>
  <c r="R4795" i="2"/>
  <c r="T4805" i="2"/>
  <c r="R4810" i="2" l="1"/>
  <c r="T4819" i="2"/>
  <c r="R4821" i="2"/>
  <c r="R4809" i="2"/>
  <c r="R4786" i="2"/>
  <c r="R4787" i="2" s="1"/>
  <c r="R4790" i="2" s="1"/>
  <c r="S4791" i="2" s="1"/>
  <c r="R4797" i="2"/>
  <c r="R4802" i="2" s="1"/>
  <c r="R4798" i="2"/>
  <c r="R4799" i="2" s="1"/>
  <c r="R4800" i="2" s="1"/>
  <c r="R4801" i="2" l="1"/>
  <c r="R4804" i="2" s="1"/>
  <c r="S4805" i="2" s="1"/>
  <c r="R4835" i="2"/>
  <c r="T4833" i="2"/>
  <c r="R4824" i="2"/>
  <c r="R4823" i="2"/>
  <c r="R4811" i="2"/>
  <c r="R4816" i="2" s="1"/>
  <c r="R4812" i="2"/>
  <c r="R4813" i="2" s="1"/>
  <c r="R4814" i="2" s="1"/>
  <c r="R4815" i="2" l="1"/>
  <c r="R4818" i="2" s="1"/>
  <c r="S4819" i="2" s="1"/>
  <c r="T4847" i="2"/>
  <c r="R4849" i="2"/>
  <c r="R4838" i="2"/>
  <c r="R4837" i="2"/>
  <c r="R4826" i="2"/>
  <c r="R4827" i="2" s="1"/>
  <c r="R4828" i="2" s="1"/>
  <c r="R4829" i="2" s="1"/>
  <c r="R4825" i="2"/>
  <c r="R4830" i="2" s="1"/>
  <c r="R4832" i="2" l="1"/>
  <c r="S4833" i="2" s="1"/>
  <c r="R4852" i="2"/>
  <c r="R4851" i="2"/>
  <c r="R4863" i="2"/>
  <c r="T4861" i="2"/>
  <c r="R4840" i="2"/>
  <c r="R4841" i="2" s="1"/>
  <c r="R4842" i="2" s="1"/>
  <c r="R4843" i="2" s="1"/>
  <c r="R4846" i="2" s="1"/>
  <c r="S4847" i="2" s="1"/>
  <c r="R4839" i="2"/>
  <c r="R4844" i="2" s="1"/>
  <c r="R4853" i="2" l="1"/>
  <c r="R4858" i="2" s="1"/>
  <c r="R4854" i="2"/>
  <c r="R4855" i="2" s="1"/>
  <c r="R4856" i="2" s="1"/>
  <c r="R4865" i="2"/>
  <c r="T4875" i="2"/>
  <c r="R4877" i="2"/>
  <c r="R4866" i="2"/>
  <c r="R4868" i="2" l="1"/>
  <c r="R4869" i="2" s="1"/>
  <c r="R4867" i="2"/>
  <c r="R4872" i="2" s="1"/>
  <c r="T4889" i="2"/>
  <c r="R4879" i="2"/>
  <c r="R4891" i="2"/>
  <c r="R4880" i="2"/>
  <c r="R4857" i="2"/>
  <c r="R4860" i="2" s="1"/>
  <c r="S4861" i="2" s="1"/>
  <c r="T4903" i="2" l="1"/>
  <c r="R4894" i="2"/>
  <c r="R4893" i="2"/>
  <c r="R4905" i="2"/>
  <c r="R4870" i="2"/>
  <c r="R4871" i="2" s="1"/>
  <c r="R4874" i="2" s="1"/>
  <c r="S4875" i="2" s="1"/>
  <c r="R4882" i="2"/>
  <c r="R4883" i="2" s="1"/>
  <c r="R4884" i="2" s="1"/>
  <c r="R4881" i="2"/>
  <c r="R4886" i="2" s="1"/>
  <c r="R4896" i="2" l="1"/>
  <c r="R4897" i="2" s="1"/>
  <c r="R4898" i="2" s="1"/>
  <c r="R4895" i="2"/>
  <c r="R4900" i="2" s="1"/>
  <c r="R4885" i="2"/>
  <c r="R4888" i="2" s="1"/>
  <c r="S4889" i="2" s="1"/>
  <c r="R4919" i="2"/>
  <c r="T4917" i="2"/>
  <c r="R4908" i="2"/>
  <c r="R4907" i="2"/>
  <c r="R4899" i="2" l="1"/>
  <c r="R4902" i="2" s="1"/>
  <c r="S4903" i="2" s="1"/>
  <c r="R4910" i="2"/>
  <c r="R4909" i="2"/>
  <c r="R4914" i="2" s="1"/>
  <c r="R4933" i="2"/>
  <c r="R4922" i="2"/>
  <c r="T4931" i="2"/>
  <c r="R4921" i="2"/>
  <c r="R4911" i="2" l="1"/>
  <c r="R4924" i="2"/>
  <c r="R4923" i="2"/>
  <c r="R4928" i="2" s="1"/>
  <c r="R4935" i="2"/>
  <c r="R4947" i="2"/>
  <c r="R4936" i="2"/>
  <c r="T4945" i="2"/>
  <c r="R4938" i="2" l="1"/>
  <c r="R4937" i="2"/>
  <c r="R4942" i="2" s="1"/>
  <c r="R4912" i="2"/>
  <c r="R4913" i="2" s="1"/>
  <c r="R4916" i="2" s="1"/>
  <c r="S4917" i="2" s="1"/>
  <c r="T4959" i="2"/>
  <c r="R4950" i="2"/>
  <c r="R4949" i="2"/>
  <c r="R4961" i="2"/>
  <c r="R4925" i="2"/>
  <c r="R4926" i="2" s="1"/>
  <c r="R4927" i="2" s="1"/>
  <c r="R4930" i="2" s="1"/>
  <c r="S4931" i="2" s="1"/>
  <c r="R4939" i="2" l="1"/>
  <c r="R4940" i="2" s="1"/>
  <c r="R4941" i="2" s="1"/>
  <c r="R4944" i="2" s="1"/>
  <c r="S4945" i="2" s="1"/>
  <c r="R4952" i="2"/>
  <c r="R4951" i="2"/>
  <c r="R4956" i="2" s="1"/>
  <c r="R4975" i="2"/>
  <c r="R4964" i="2"/>
  <c r="T4973" i="2"/>
  <c r="R4963" i="2"/>
  <c r="R4978" i="2" l="1"/>
  <c r="R4989" i="2"/>
  <c r="T4987" i="2"/>
  <c r="R4977" i="2"/>
  <c r="R4953" i="2"/>
  <c r="R4954" i="2" s="1"/>
  <c r="R4955" i="2" s="1"/>
  <c r="R4958" i="2" s="1"/>
  <c r="S4959" i="2" s="1"/>
  <c r="R4965" i="2"/>
  <c r="R4970" i="2" s="1"/>
  <c r="R4966" i="2"/>
  <c r="R4967" i="2" l="1"/>
  <c r="T5001" i="2"/>
  <c r="R4992" i="2"/>
  <c r="R5003" i="2"/>
  <c r="R4991" i="2"/>
  <c r="R4979" i="2"/>
  <c r="R4984" i="2" s="1"/>
  <c r="R4980" i="2"/>
  <c r="R4993" i="2" l="1"/>
  <c r="R4998" i="2" s="1"/>
  <c r="R4994" i="2"/>
  <c r="R4968" i="2"/>
  <c r="R4969" i="2" s="1"/>
  <c r="R4972" i="2" s="1"/>
  <c r="S4973" i="2" s="1"/>
  <c r="R5005" i="2"/>
  <c r="R5017" i="2"/>
  <c r="T5015" i="2"/>
  <c r="R5006" i="2"/>
  <c r="R4981" i="2"/>
  <c r="R4982" i="2" l="1"/>
  <c r="R4983" i="2" s="1"/>
  <c r="R4986" i="2" s="1"/>
  <c r="S4987" i="2" s="1"/>
  <c r="R5008" i="2"/>
  <c r="R5007" i="2"/>
  <c r="R5012" i="2" s="1"/>
  <c r="R5031" i="2"/>
  <c r="R5019" i="2"/>
  <c r="T5029" i="2"/>
  <c r="R5020" i="2"/>
  <c r="R4995" i="2"/>
  <c r="R5022" i="2" l="1"/>
  <c r="R5021" i="2"/>
  <c r="R5026" i="2" s="1"/>
  <c r="R4996" i="2"/>
  <c r="R4997" i="2" s="1"/>
  <c r="R5000" i="2" s="1"/>
  <c r="S5001" i="2" s="1"/>
  <c r="R5009" i="2"/>
  <c r="R5034" i="2"/>
  <c r="R5045" i="2"/>
  <c r="T5043" i="2"/>
  <c r="R5033" i="2"/>
  <c r="R5036" i="2" l="1"/>
  <c r="R5035" i="2"/>
  <c r="R5040" i="2" s="1"/>
  <c r="R5023" i="2"/>
  <c r="R5024" i="2" s="1"/>
  <c r="R5025" i="2" s="1"/>
  <c r="R5028" i="2" s="1"/>
  <c r="S5029" i="2" s="1"/>
  <c r="R5010" i="2"/>
  <c r="R5011" i="2" s="1"/>
  <c r="R5014" i="2" s="1"/>
  <c r="S5015" i="2" s="1"/>
  <c r="R5059" i="2"/>
  <c r="R5047" i="2"/>
  <c r="T5057" i="2"/>
  <c r="R5048" i="2"/>
  <c r="T5071" i="2" l="1"/>
  <c r="R5062" i="2"/>
  <c r="R5061" i="2"/>
  <c r="R5073" i="2"/>
  <c r="R5037" i="2"/>
  <c r="R5038" i="2" s="1"/>
  <c r="R5039" i="2" s="1"/>
  <c r="R5042" i="2" s="1"/>
  <c r="S5043" i="2" s="1"/>
  <c r="R5049" i="2"/>
  <c r="R5054" i="2" s="1"/>
  <c r="R5050" i="2"/>
  <c r="R5064" i="2" l="1"/>
  <c r="R5063" i="2"/>
  <c r="R5068" i="2" s="1"/>
  <c r="R5051" i="2"/>
  <c r="R5052" i="2" s="1"/>
  <c r="R5053" i="2" s="1"/>
  <c r="R5056" i="2" s="1"/>
  <c r="S5057" i="2" s="1"/>
  <c r="R5075" i="2"/>
  <c r="R5087" i="2"/>
  <c r="R5076" i="2"/>
  <c r="T5085" i="2"/>
  <c r="R5078" i="2" l="1"/>
  <c r="R5077" i="2"/>
  <c r="R5082" i="2" s="1"/>
  <c r="R5065" i="2"/>
  <c r="R5101" i="2"/>
  <c r="R5089" i="2"/>
  <c r="T5099" i="2"/>
  <c r="R5090" i="2"/>
  <c r="R5092" i="2" l="1"/>
  <c r="R5091" i="2"/>
  <c r="R5096" i="2" s="1"/>
  <c r="R5066" i="2"/>
  <c r="R5067" i="2" s="1"/>
  <c r="R5070" i="2" s="1"/>
  <c r="S5071" i="2" s="1"/>
  <c r="R5115" i="2"/>
  <c r="R5103" i="2"/>
  <c r="T5113" i="2"/>
  <c r="R5104" i="2"/>
  <c r="R5079" i="2"/>
  <c r="R5080" i="2" s="1"/>
  <c r="R5081" i="2" s="1"/>
  <c r="R5084" i="2" s="1"/>
  <c r="S5085" i="2" s="1"/>
  <c r="R5093" i="2" l="1"/>
  <c r="R5094" i="2" s="1"/>
  <c r="R5095" i="2" s="1"/>
  <c r="R5098" i="2" s="1"/>
  <c r="S5099" i="2" s="1"/>
  <c r="R5106" i="2"/>
  <c r="R5105" i="2"/>
  <c r="R5110" i="2" s="1"/>
  <c r="R5118" i="2"/>
  <c r="R5129" i="2"/>
  <c r="R5117" i="2"/>
  <c r="T5127" i="2"/>
  <c r="R5131" i="2" l="1"/>
  <c r="R5143" i="2"/>
  <c r="R5132" i="2"/>
  <c r="T5141" i="2"/>
  <c r="R5120" i="2"/>
  <c r="R5119" i="2"/>
  <c r="R5124" i="2" s="1"/>
  <c r="R5107" i="2"/>
  <c r="R5133" i="2" l="1"/>
  <c r="R5138" i="2" s="1"/>
  <c r="R5134" i="2"/>
  <c r="R5121" i="2"/>
  <c r="T5155" i="2"/>
  <c r="R5146" i="2"/>
  <c r="R5145" i="2"/>
  <c r="R5157" i="2"/>
  <c r="R5108" i="2"/>
  <c r="R5109" i="2" s="1"/>
  <c r="R5112" i="2" s="1"/>
  <c r="S5113" i="2" s="1"/>
  <c r="R5135" i="2" l="1"/>
  <c r="R5136" i="2" s="1"/>
  <c r="R5137" i="2" s="1"/>
  <c r="R5140" i="2" s="1"/>
  <c r="S5141" i="2" s="1"/>
  <c r="R5147" i="2"/>
  <c r="R5152" i="2" s="1"/>
  <c r="R5148" i="2"/>
  <c r="R5160" i="2"/>
  <c r="R5171" i="2"/>
  <c r="R5159" i="2"/>
  <c r="T5169" i="2"/>
  <c r="R5122" i="2"/>
  <c r="R5123" i="2" s="1"/>
  <c r="R5126" i="2" s="1"/>
  <c r="S5127" i="2" s="1"/>
  <c r="R5185" i="2" l="1"/>
  <c r="R5174" i="2"/>
  <c r="T5183" i="2"/>
  <c r="R5173" i="2"/>
  <c r="R5162" i="2"/>
  <c r="R5161" i="2"/>
  <c r="R5166" i="2" s="1"/>
  <c r="R5149" i="2"/>
  <c r="R5150" i="2" s="1"/>
  <c r="R5151" i="2" s="1"/>
  <c r="R5154" i="2" s="1"/>
  <c r="S5155" i="2" s="1"/>
  <c r="R5163" i="2" l="1"/>
  <c r="T5197" i="2"/>
  <c r="R5188" i="2"/>
  <c r="R5187" i="2"/>
  <c r="R5199" i="2"/>
  <c r="R5175" i="2"/>
  <c r="R5180" i="2" s="1"/>
  <c r="R5176" i="2"/>
  <c r="R5177" i="2" l="1"/>
  <c r="R5189" i="2"/>
  <c r="R5194" i="2" s="1"/>
  <c r="R5190" i="2"/>
  <c r="R5164" i="2"/>
  <c r="R5165" i="2" s="1"/>
  <c r="R5168" i="2" s="1"/>
  <c r="S5169" i="2" s="1"/>
  <c r="T5211" i="2"/>
  <c r="R5202" i="2"/>
  <c r="R5201" i="2"/>
  <c r="R5213" i="2"/>
  <c r="R5204" i="2" l="1"/>
  <c r="R5203" i="2"/>
  <c r="R5208" i="2" s="1"/>
  <c r="T5225" i="2"/>
  <c r="R5216" i="2"/>
  <c r="R5227" i="2"/>
  <c r="R5215" i="2"/>
  <c r="R5178" i="2"/>
  <c r="R5179" i="2" s="1"/>
  <c r="R5182" i="2" s="1"/>
  <c r="S5183" i="2" s="1"/>
  <c r="R5191" i="2"/>
  <c r="R5192" i="2" s="1"/>
  <c r="R5193" i="2" s="1"/>
  <c r="R5196" i="2" s="1"/>
  <c r="S5197" i="2" s="1"/>
  <c r="R5230" i="2" l="1"/>
  <c r="R5229" i="2"/>
  <c r="R5241" i="2"/>
  <c r="T5239" i="2"/>
  <c r="R5205" i="2"/>
  <c r="R5206" i="2" s="1"/>
  <c r="R5207" i="2" s="1"/>
  <c r="R5210" i="2" s="1"/>
  <c r="S5211" i="2" s="1"/>
  <c r="R5218" i="2"/>
  <c r="R5217" i="2"/>
  <c r="R5222" i="2" s="1"/>
  <c r="R5231" i="2" l="1"/>
  <c r="R5236" i="2" s="1"/>
  <c r="R5232" i="2"/>
  <c r="R5219" i="2"/>
  <c r="R5220" i="2" s="1"/>
  <c r="R5221" i="2" s="1"/>
  <c r="R5224" i="2" s="1"/>
  <c r="S5225" i="2" s="1"/>
  <c r="R5243" i="2"/>
  <c r="R5255" i="2"/>
  <c r="T5253" i="2"/>
  <c r="R5244" i="2"/>
  <c r="R5245" i="2" l="1"/>
  <c r="R5250" i="2" s="1"/>
  <c r="R5246" i="2"/>
  <c r="R5258" i="2"/>
  <c r="R5269" i="2"/>
  <c r="T5267" i="2"/>
  <c r="R5257" i="2"/>
  <c r="R5233" i="2"/>
  <c r="R5260" i="2" l="1"/>
  <c r="R5259" i="2"/>
  <c r="R5264" i="2" s="1"/>
  <c r="R5247" i="2"/>
  <c r="R5248" i="2" s="1"/>
  <c r="R5249" i="2" s="1"/>
  <c r="R5252" i="2" s="1"/>
  <c r="S5253" i="2" s="1"/>
  <c r="R5234" i="2"/>
  <c r="R5235" i="2" s="1"/>
  <c r="R5238" i="2" s="1"/>
  <c r="S5239" i="2" s="1"/>
  <c r="T5281" i="2"/>
  <c r="R5272" i="2"/>
  <c r="R5283" i="2"/>
  <c r="R5271" i="2"/>
  <c r="R5261" i="2" l="1"/>
  <c r="R5273" i="2"/>
  <c r="R5278" i="2" s="1"/>
  <c r="R5274" i="2"/>
  <c r="R5286" i="2"/>
  <c r="R5297" i="2"/>
  <c r="T5295" i="2"/>
  <c r="R5285" i="2"/>
  <c r="R5300" i="2" l="1"/>
  <c r="T5309" i="2"/>
  <c r="R5299" i="2"/>
  <c r="R5311" i="2"/>
  <c r="R5262" i="2"/>
  <c r="R5263" i="2" s="1"/>
  <c r="R5266" i="2" s="1"/>
  <c r="S5267" i="2" s="1"/>
  <c r="R5288" i="2"/>
  <c r="R5287" i="2"/>
  <c r="R5292" i="2" s="1"/>
  <c r="R5275" i="2"/>
  <c r="R5289" i="2" l="1"/>
  <c r="R5301" i="2"/>
  <c r="R5306" i="2" s="1"/>
  <c r="R5302" i="2"/>
  <c r="R5276" i="2"/>
  <c r="R5277" i="2" s="1"/>
  <c r="R5280" i="2" s="1"/>
  <c r="S5281" i="2" s="1"/>
  <c r="R5314" i="2"/>
  <c r="T5323" i="2"/>
  <c r="R5325" i="2"/>
  <c r="R5313" i="2"/>
  <c r="R5339" i="2" l="1"/>
  <c r="T5337" i="2"/>
  <c r="R5328" i="2"/>
  <c r="R5327" i="2"/>
  <c r="R5290" i="2"/>
  <c r="R5291" i="2" s="1"/>
  <c r="R5294" i="2" s="1"/>
  <c r="S5295" i="2" s="1"/>
  <c r="R5316" i="2"/>
  <c r="R5315" i="2"/>
  <c r="R5320" i="2" s="1"/>
  <c r="R5303" i="2"/>
  <c r="R5304" i="2" s="1"/>
  <c r="R5305" i="2" s="1"/>
  <c r="R5308" i="2" s="1"/>
  <c r="S5309" i="2" s="1"/>
  <c r="R5317" i="2" l="1"/>
  <c r="R5318" i="2" s="1"/>
  <c r="R5319" i="2" s="1"/>
  <c r="R5322" i="2" s="1"/>
  <c r="S5323" i="2" s="1"/>
  <c r="R5329" i="2"/>
  <c r="R5334" i="2" s="1"/>
  <c r="R5330" i="2"/>
  <c r="R5353" i="2"/>
  <c r="R5342" i="2"/>
  <c r="R5341" i="2"/>
  <c r="T5351" i="2"/>
  <c r="R5344" i="2" l="1"/>
  <c r="R5343" i="2"/>
  <c r="R5348" i="2" s="1"/>
  <c r="R5356" i="2"/>
  <c r="R5355" i="2"/>
  <c r="T5365" i="2"/>
  <c r="R5367" i="2"/>
  <c r="R5331" i="2"/>
  <c r="R5332" i="2" s="1"/>
  <c r="R5333" i="2" s="1"/>
  <c r="R5336" i="2" s="1"/>
  <c r="S5337" i="2" s="1"/>
  <c r="R5345" i="2" l="1"/>
  <c r="R5346" i="2" s="1"/>
  <c r="R5347" i="2" s="1"/>
  <c r="R5350" i="2" s="1"/>
  <c r="S5351" i="2" s="1"/>
  <c r="T5379" i="2"/>
  <c r="R5370" i="2"/>
  <c r="R5381" i="2"/>
  <c r="R5369" i="2"/>
  <c r="R5357" i="2"/>
  <c r="R5362" i="2" s="1"/>
  <c r="R5358" i="2"/>
  <c r="R5384" i="2" l="1"/>
  <c r="T5393" i="2"/>
  <c r="R5395" i="2"/>
  <c r="R5383" i="2"/>
  <c r="R5371" i="2"/>
  <c r="R5376" i="2" s="1"/>
  <c r="R5372" i="2"/>
  <c r="R5359" i="2"/>
  <c r="R5360" i="2" l="1"/>
  <c r="R5361" i="2" s="1"/>
  <c r="R5364" i="2" s="1"/>
  <c r="S5365" i="2" s="1"/>
  <c r="R5373" i="2"/>
  <c r="T5407" i="2"/>
  <c r="R5398" i="2"/>
  <c r="R5397" i="2"/>
  <c r="R5409" i="2"/>
  <c r="R5385" i="2"/>
  <c r="R5390" i="2" s="1"/>
  <c r="R5386" i="2"/>
  <c r="R5387" i="2" l="1"/>
  <c r="R5400" i="2"/>
  <c r="R5399" i="2"/>
  <c r="R5404" i="2" s="1"/>
  <c r="R5374" i="2"/>
  <c r="R5375" i="2" s="1"/>
  <c r="R5378" i="2" s="1"/>
  <c r="S5379" i="2" s="1"/>
  <c r="R5412" i="2"/>
  <c r="R5411" i="2"/>
  <c r="T5421" i="2"/>
  <c r="R5423" i="2"/>
  <c r="R5437" i="2" l="1"/>
  <c r="T5435" i="2"/>
  <c r="R5426" i="2"/>
  <c r="R5425" i="2"/>
  <c r="R5401" i="2"/>
  <c r="R5388" i="2"/>
  <c r="R5389" i="2" s="1"/>
  <c r="R5392" i="2" s="1"/>
  <c r="S5393" i="2" s="1"/>
  <c r="R5413" i="2"/>
  <c r="R5418" i="2" s="1"/>
  <c r="R5414" i="2"/>
  <c r="T5449" i="2" l="1"/>
  <c r="R5440" i="2"/>
  <c r="R5451" i="2"/>
  <c r="R5439" i="2"/>
  <c r="R5415" i="2"/>
  <c r="R5402" i="2"/>
  <c r="R5403" i="2" s="1"/>
  <c r="R5406" i="2" s="1"/>
  <c r="S5407" i="2" s="1"/>
  <c r="R5428" i="2"/>
  <c r="R5427" i="2"/>
  <c r="R5432" i="2" s="1"/>
  <c r="R5429" i="2" l="1"/>
  <c r="R5416" i="2"/>
  <c r="R5417" i="2" s="1"/>
  <c r="R5420" i="2" s="1"/>
  <c r="S5421" i="2" s="1"/>
  <c r="R5453" i="2"/>
  <c r="R5465" i="2"/>
  <c r="T5463" i="2"/>
  <c r="R5454" i="2"/>
  <c r="R5441" i="2"/>
  <c r="R5446" i="2" s="1"/>
  <c r="R5442" i="2"/>
  <c r="R5455" i="2" l="1"/>
  <c r="R5460" i="2" s="1"/>
  <c r="R5456" i="2"/>
  <c r="R5430" i="2"/>
  <c r="R5431" i="2" s="1"/>
  <c r="R5434" i="2" s="1"/>
  <c r="S5435" i="2" s="1"/>
  <c r="R5443" i="2"/>
  <c r="R5468" i="2"/>
  <c r="T5477" i="2"/>
  <c r="R5467" i="2"/>
  <c r="R5479" i="2"/>
  <c r="R5481" i="2" l="1"/>
  <c r="R5482" i="2"/>
  <c r="T5491" i="2"/>
  <c r="R5493" i="2"/>
  <c r="R5457" i="2"/>
  <c r="R5470" i="2"/>
  <c r="R5469" i="2"/>
  <c r="R5474" i="2" s="1"/>
  <c r="R5444" i="2"/>
  <c r="R5445" i="2" s="1"/>
  <c r="R5448" i="2" s="1"/>
  <c r="S5449" i="2" s="1"/>
  <c r="R5484" i="2" l="1"/>
  <c r="R5483" i="2"/>
  <c r="R5488" i="2" s="1"/>
  <c r="R5458" i="2"/>
  <c r="R5459" i="2" s="1"/>
  <c r="R5462" i="2" s="1"/>
  <c r="S5463" i="2" s="1"/>
  <c r="R5471" i="2"/>
  <c r="T5505" i="2"/>
  <c r="R5507" i="2"/>
  <c r="R5496" i="2"/>
  <c r="R5495" i="2"/>
  <c r="R5472" i="2" l="1"/>
  <c r="R5473" i="2" s="1"/>
  <c r="R5476" i="2" s="1"/>
  <c r="S5477" i="2" s="1"/>
  <c r="R5485" i="2"/>
  <c r="R5498" i="2"/>
  <c r="R5497" i="2"/>
  <c r="R5502" i="2" s="1"/>
  <c r="T5519" i="2"/>
  <c r="R5521" i="2"/>
  <c r="R5510" i="2"/>
  <c r="R5509" i="2"/>
  <c r="R5499" i="2" l="1"/>
  <c r="R5512" i="2"/>
  <c r="R5511" i="2"/>
  <c r="R5516" i="2" s="1"/>
  <c r="R5535" i="2"/>
  <c r="R5523" i="2"/>
  <c r="T5533" i="2"/>
  <c r="R5524" i="2"/>
  <c r="R5486" i="2"/>
  <c r="R5487" i="2" s="1"/>
  <c r="R5490" i="2" s="1"/>
  <c r="S5491" i="2" s="1"/>
  <c r="R5513" i="2" l="1"/>
  <c r="T5547" i="2"/>
  <c r="R5549" i="2"/>
  <c r="R5537" i="2"/>
  <c r="R5538" i="2"/>
  <c r="R5525" i="2"/>
  <c r="R5530" i="2" s="1"/>
  <c r="R5526" i="2"/>
  <c r="R5500" i="2"/>
  <c r="R5501" i="2" s="1"/>
  <c r="R5504" i="2" s="1"/>
  <c r="S5505" i="2" s="1"/>
  <c r="R5540" i="2" l="1"/>
  <c r="R5539" i="2"/>
  <c r="R5544" i="2" s="1"/>
  <c r="R5514" i="2"/>
  <c r="R5515" i="2" s="1"/>
  <c r="R5518" i="2" s="1"/>
  <c r="S5519" i="2" s="1"/>
  <c r="R5527" i="2"/>
  <c r="R5563" i="2"/>
  <c r="R5552" i="2"/>
  <c r="R5551" i="2"/>
  <c r="T5561" i="2"/>
  <c r="T5575" i="2" l="1"/>
  <c r="R5566" i="2"/>
  <c r="R5565" i="2"/>
  <c r="R5577" i="2"/>
  <c r="R5554" i="2"/>
  <c r="R5553" i="2"/>
  <c r="R5558" i="2" s="1"/>
  <c r="R5541" i="2"/>
  <c r="R5528" i="2"/>
  <c r="R5529" i="2" s="1"/>
  <c r="R5532" i="2" s="1"/>
  <c r="S5533" i="2" s="1"/>
  <c r="R5555" i="2" l="1"/>
  <c r="R5568" i="2"/>
  <c r="R5567" i="2"/>
  <c r="R5572" i="2" s="1"/>
  <c r="R5542" i="2"/>
  <c r="R5543" i="2" s="1"/>
  <c r="R5546" i="2" s="1"/>
  <c r="S5547" i="2" s="1"/>
  <c r="R5591" i="2"/>
  <c r="R5579" i="2"/>
  <c r="T5589" i="2"/>
  <c r="R5580" i="2"/>
  <c r="R5594" i="2" l="1"/>
  <c r="R5605" i="2"/>
  <c r="T5603" i="2"/>
  <c r="R5593" i="2"/>
  <c r="R5569" i="2"/>
  <c r="R5556" i="2"/>
  <c r="R5557" i="2" s="1"/>
  <c r="R5560" i="2" s="1"/>
  <c r="S5561" i="2" s="1"/>
  <c r="R5581" i="2"/>
  <c r="R5586" i="2" s="1"/>
  <c r="R5582" i="2"/>
  <c r="R5583" i="2" l="1"/>
  <c r="R5570" i="2"/>
  <c r="R5571" i="2" s="1"/>
  <c r="R5574" i="2" s="1"/>
  <c r="S5575" i="2" s="1"/>
  <c r="T5617" i="2"/>
  <c r="R5608" i="2"/>
  <c r="R5619" i="2"/>
  <c r="R5607" i="2"/>
  <c r="R5596" i="2"/>
  <c r="R5595" i="2"/>
  <c r="R5600" i="2" s="1"/>
  <c r="R5597" i="2" l="1"/>
  <c r="R5584" i="2"/>
  <c r="R5585" i="2" s="1"/>
  <c r="R5588" i="2" s="1"/>
  <c r="S5589" i="2" s="1"/>
  <c r="R5622" i="2"/>
  <c r="T5631" i="2"/>
  <c r="R5621" i="2"/>
  <c r="R5609" i="2"/>
  <c r="R5614" i="2" s="1"/>
  <c r="R5610" i="2"/>
  <c r="R5611" i="2" l="1"/>
  <c r="R5598" i="2"/>
  <c r="R5599" i="2" s="1"/>
  <c r="R5602" i="2" s="1"/>
  <c r="S5603" i="2" s="1"/>
  <c r="R5623" i="2"/>
  <c r="R5628" i="2" s="1"/>
  <c r="R5624" i="2"/>
  <c r="R5612" i="2" l="1"/>
  <c r="R5613" i="2" s="1"/>
  <c r="R5616" i="2" s="1"/>
  <c r="S5617" i="2" s="1"/>
  <c r="R5625" i="2"/>
  <c r="R5626" i="2" l="1"/>
  <c r="R5627" i="2" s="1"/>
  <c r="R5630" i="2" s="1"/>
  <c r="S5631" i="2" s="1"/>
  <c r="T18" i="2"/>
  <c r="T19" i="2" l="1"/>
  <c r="T20" i="2"/>
  <c r="D40" i="3" l="1"/>
  <c r="U33" i="2"/>
  <c r="C40" i="3" l="1"/>
  <c r="C44" i="3"/>
  <c r="C41" i="3" s="1"/>
  <c r="W45" i="2"/>
  <c r="U47" i="2"/>
  <c r="U61" i="2" s="1"/>
  <c r="U35" i="2"/>
  <c r="U36" i="2"/>
  <c r="U64" i="2" l="1"/>
  <c r="U63" i="2"/>
  <c r="U75" i="2"/>
  <c r="W73" i="2"/>
  <c r="U50" i="2"/>
  <c r="W59" i="2"/>
  <c r="U49" i="2"/>
  <c r="U51" i="2" s="1"/>
  <c r="U37" i="2"/>
  <c r="U42" i="2" s="1"/>
  <c r="U38" i="2"/>
  <c r="U39" i="2" s="1"/>
  <c r="U65" i="2" l="1"/>
  <c r="U70" i="2" s="1"/>
  <c r="U66" i="2"/>
  <c r="U67" i="2" s="1"/>
  <c r="U77" i="2"/>
  <c r="U79" i="2" s="1"/>
  <c r="U84" i="2" s="1"/>
  <c r="U89" i="2"/>
  <c r="W87" i="2"/>
  <c r="U78" i="2"/>
  <c r="U40" i="2"/>
  <c r="U41" i="2" s="1"/>
  <c r="U44" i="2" s="1"/>
  <c r="V45" i="2" s="1"/>
  <c r="U52" i="2"/>
  <c r="U53" i="2" s="1"/>
  <c r="U56" i="2"/>
  <c r="U80" i="2" l="1"/>
  <c r="U81" i="2" s="1"/>
  <c r="U82" i="2" s="1"/>
  <c r="U83" i="2" s="1"/>
  <c r="U86" i="2" s="1"/>
  <c r="V87" i="2" s="1"/>
  <c r="U68" i="2"/>
  <c r="U69" i="2" s="1"/>
  <c r="U72" i="2" s="1"/>
  <c r="V73" i="2" s="1"/>
  <c r="U91" i="2"/>
  <c r="U93" i="2" s="1"/>
  <c r="U103" i="2"/>
  <c r="W101" i="2"/>
  <c r="U92" i="2"/>
  <c r="U54" i="2"/>
  <c r="U55" i="2" s="1"/>
  <c r="U58" i="2" s="1"/>
  <c r="V59" i="2" s="1"/>
  <c r="U94" i="2" l="1"/>
  <c r="U95" i="2" s="1"/>
  <c r="U96" i="2" s="1"/>
  <c r="U97" i="2" s="1"/>
  <c r="U105" i="2"/>
  <c r="U107" i="2" s="1"/>
  <c r="U112" i="2" s="1"/>
  <c r="U117" i="2"/>
  <c r="W115" i="2"/>
  <c r="U106" i="2"/>
  <c r="U98" i="2"/>
  <c r="U100" i="2" l="1"/>
  <c r="V101" i="2" s="1"/>
  <c r="U108" i="2"/>
  <c r="U109" i="2" s="1"/>
  <c r="U110" i="2" s="1"/>
  <c r="U111" i="2" s="1"/>
  <c r="U114" i="2" s="1"/>
  <c r="V115" i="2" s="1"/>
  <c r="U119" i="2"/>
  <c r="U121" i="2" s="1"/>
  <c r="U131" i="2"/>
  <c r="W129" i="2"/>
  <c r="U120" i="2"/>
  <c r="U122" i="2" l="1"/>
  <c r="U123" i="2" s="1"/>
  <c r="U124" i="2" s="1"/>
  <c r="U125" i="2" s="1"/>
  <c r="U126" i="2"/>
  <c r="U133" i="2"/>
  <c r="U135" i="2" s="1"/>
  <c r="U140" i="2" s="1"/>
  <c r="U145" i="2"/>
  <c r="W143" i="2"/>
  <c r="U134" i="2"/>
  <c r="U128" i="2" l="1"/>
  <c r="V129" i="2" s="1"/>
  <c r="U159" i="2"/>
  <c r="U147" i="2"/>
  <c r="W157" i="2"/>
  <c r="U148" i="2"/>
  <c r="U136" i="2"/>
  <c r="U137" i="2" s="1"/>
  <c r="U161" i="2" l="1"/>
  <c r="U163" i="2" s="1"/>
  <c r="U173" i="2"/>
  <c r="W171" i="2"/>
  <c r="U162" i="2"/>
  <c r="U138" i="2"/>
  <c r="U139" i="2" s="1"/>
  <c r="U142" i="2" s="1"/>
  <c r="V143" i="2" s="1"/>
  <c r="U149" i="2"/>
  <c r="U154" i="2" s="1"/>
  <c r="U150" i="2"/>
  <c r="U151" i="2" s="1"/>
  <c r="U152" i="2" l="1"/>
  <c r="U153" i="2" s="1"/>
  <c r="U156" i="2" s="1"/>
  <c r="V157" i="2" s="1"/>
  <c r="U175" i="2"/>
  <c r="U177" i="2" s="1"/>
  <c r="U182" i="2" s="1"/>
  <c r="W185" i="2"/>
  <c r="U187" i="2"/>
  <c r="U176" i="2"/>
  <c r="U164" i="2"/>
  <c r="U165" i="2" s="1"/>
  <c r="U168" i="2"/>
  <c r="U189" i="2" l="1"/>
  <c r="U201" i="2"/>
  <c r="W199" i="2"/>
  <c r="U190" i="2"/>
  <c r="U178" i="2"/>
  <c r="U179" i="2" s="1"/>
  <c r="U166" i="2"/>
  <c r="U167" i="2" s="1"/>
  <c r="U170" i="2" s="1"/>
  <c r="V171" i="2" s="1"/>
  <c r="U180" i="2" l="1"/>
  <c r="U181" i="2" s="1"/>
  <c r="U184" i="2" s="1"/>
  <c r="V185" i="2" s="1"/>
  <c r="U192" i="2"/>
  <c r="U193" i="2" s="1"/>
  <c r="U191" i="2"/>
  <c r="U196" i="2" s="1"/>
  <c r="W213" i="2"/>
  <c r="U215" i="2"/>
  <c r="U203" i="2"/>
  <c r="U204" i="2"/>
  <c r="W227" i="2" l="1"/>
  <c r="U217" i="2"/>
  <c r="U229" i="2"/>
  <c r="U218" i="2"/>
  <c r="U205" i="2"/>
  <c r="U210" i="2" s="1"/>
  <c r="U206" i="2"/>
  <c r="U207" i="2" s="1"/>
  <c r="U194" i="2"/>
  <c r="U195" i="2" s="1"/>
  <c r="U198" i="2" s="1"/>
  <c r="V199" i="2" s="1"/>
  <c r="U220" i="2" l="1"/>
  <c r="U221" i="2" s="1"/>
  <c r="U219" i="2"/>
  <c r="U224" i="2" s="1"/>
  <c r="U208" i="2"/>
  <c r="U209" i="2" s="1"/>
  <c r="U212" i="2" s="1"/>
  <c r="V213" i="2" s="1"/>
  <c r="U231" i="2"/>
  <c r="U243" i="2"/>
  <c r="W241" i="2"/>
  <c r="U232" i="2"/>
  <c r="U234" i="2" l="1"/>
  <c r="U235" i="2" s="1"/>
  <c r="U236" i="2" s="1"/>
  <c r="U233" i="2"/>
  <c r="U238" i="2" s="1"/>
  <c r="U222" i="2"/>
  <c r="U223" i="2" s="1"/>
  <c r="U226" i="2" s="1"/>
  <c r="V227" i="2" s="1"/>
  <c r="W255" i="2"/>
  <c r="U245" i="2"/>
  <c r="U257" i="2"/>
  <c r="U246" i="2"/>
  <c r="U237" i="2" l="1"/>
  <c r="U240" i="2" s="1"/>
  <c r="V241" i="2" s="1"/>
  <c r="U259" i="2"/>
  <c r="U271" i="2"/>
  <c r="W269" i="2"/>
  <c r="U260" i="2"/>
  <c r="U248" i="2"/>
  <c r="U249" i="2" s="1"/>
  <c r="U250" i="2" s="1"/>
  <c r="U247" i="2"/>
  <c r="U252" i="2" s="1"/>
  <c r="U251" i="2" l="1"/>
  <c r="U254" i="2" s="1"/>
  <c r="V255" i="2" s="1"/>
  <c r="U261" i="2"/>
  <c r="U266" i="2" s="1"/>
  <c r="U262" i="2"/>
  <c r="U263" i="2" s="1"/>
  <c r="U273" i="2"/>
  <c r="U285" i="2"/>
  <c r="W283" i="2"/>
  <c r="U274" i="2"/>
  <c r="U264" i="2" l="1"/>
  <c r="U265" i="2" s="1"/>
  <c r="U268" i="2" s="1"/>
  <c r="V269" i="2" s="1"/>
  <c r="U276" i="2"/>
  <c r="U277" i="2" s="1"/>
  <c r="U278" i="2" s="1"/>
  <c r="U275" i="2"/>
  <c r="U280" i="2" s="1"/>
  <c r="U299" i="2"/>
  <c r="W297" i="2"/>
  <c r="U287" i="2"/>
  <c r="U288" i="2"/>
  <c r="U279" i="2" l="1"/>
  <c r="U282" i="2" s="1"/>
  <c r="V283" i="2" s="1"/>
  <c r="U301" i="2"/>
  <c r="U313" i="2"/>
  <c r="W311" i="2"/>
  <c r="U302" i="2"/>
  <c r="U289" i="2"/>
  <c r="U294" i="2" s="1"/>
  <c r="U290" i="2"/>
  <c r="U291" i="2" s="1"/>
  <c r="U304" i="2" l="1"/>
  <c r="U305" i="2" s="1"/>
  <c r="U306" i="2" s="1"/>
  <c r="U303" i="2"/>
  <c r="U308" i="2" s="1"/>
  <c r="U292" i="2"/>
  <c r="U293" i="2" s="1"/>
  <c r="U296" i="2" s="1"/>
  <c r="V297" i="2" s="1"/>
  <c r="W325" i="2"/>
  <c r="U315" i="2"/>
  <c r="U327" i="2"/>
  <c r="U316" i="2"/>
  <c r="U307" i="2" l="1"/>
  <c r="U310" i="2" s="1"/>
  <c r="V311" i="2" s="1"/>
  <c r="U318" i="2"/>
  <c r="U319" i="2" s="1"/>
  <c r="U317" i="2"/>
  <c r="U322" i="2" s="1"/>
  <c r="W339" i="2"/>
  <c r="U329" i="2"/>
  <c r="U341" i="2"/>
  <c r="U330" i="2"/>
  <c r="U355" i="2" l="1"/>
  <c r="U343" i="2"/>
  <c r="W353" i="2"/>
  <c r="U344" i="2"/>
  <c r="U320" i="2"/>
  <c r="U321" i="2" s="1"/>
  <c r="U324" i="2" s="1"/>
  <c r="V325" i="2" s="1"/>
  <c r="U332" i="2"/>
  <c r="U333" i="2" s="1"/>
  <c r="U331" i="2"/>
  <c r="U336" i="2" s="1"/>
  <c r="W367" i="2" l="1"/>
  <c r="U369" i="2"/>
  <c r="U357" i="2"/>
  <c r="U358" i="2"/>
  <c r="U345" i="2"/>
  <c r="U350" i="2" s="1"/>
  <c r="U346" i="2"/>
  <c r="U347" i="2" s="1"/>
  <c r="U348" i="2" s="1"/>
  <c r="U334" i="2"/>
  <c r="U335" i="2" s="1"/>
  <c r="U338" i="2" s="1"/>
  <c r="V339" i="2" s="1"/>
  <c r="U372" i="2" l="1"/>
  <c r="U371" i="2"/>
  <c r="U383" i="2"/>
  <c r="W381" i="2"/>
  <c r="U359" i="2"/>
  <c r="U364" i="2" s="1"/>
  <c r="U360" i="2"/>
  <c r="U361" i="2" s="1"/>
  <c r="U349" i="2"/>
  <c r="U352" i="2" s="1"/>
  <c r="V353" i="2" s="1"/>
  <c r="U373" i="2" l="1"/>
  <c r="U378" i="2" s="1"/>
  <c r="U374" i="2"/>
  <c r="U375" i="2" s="1"/>
  <c r="U362" i="2"/>
  <c r="U363" i="2" s="1"/>
  <c r="U366" i="2" s="1"/>
  <c r="V367" i="2" s="1"/>
  <c r="U397" i="2"/>
  <c r="W395" i="2"/>
  <c r="U385" i="2"/>
  <c r="U386" i="2"/>
  <c r="U399" i="2" l="1"/>
  <c r="W409" i="2"/>
  <c r="U411" i="2"/>
  <c r="U400" i="2"/>
  <c r="U376" i="2"/>
  <c r="U377" i="2" s="1"/>
  <c r="U380" i="2" s="1"/>
  <c r="V381" i="2" s="1"/>
  <c r="U387" i="2"/>
  <c r="U392" i="2" s="1"/>
  <c r="U388" i="2"/>
  <c r="U389" i="2" s="1"/>
  <c r="U390" i="2" s="1"/>
  <c r="U391" i="2" l="1"/>
  <c r="U394" i="2" s="1"/>
  <c r="V395" i="2" s="1"/>
  <c r="U402" i="2"/>
  <c r="U403" i="2" s="1"/>
  <c r="U401" i="2"/>
  <c r="U406" i="2" s="1"/>
  <c r="U425" i="2"/>
  <c r="W423" i="2"/>
  <c r="U413" i="2"/>
  <c r="U414" i="2"/>
  <c r="U416" i="2" l="1"/>
  <c r="U417" i="2" s="1"/>
  <c r="U418" i="2" s="1"/>
  <c r="U415" i="2"/>
  <c r="U420" i="2" s="1"/>
  <c r="U404" i="2"/>
  <c r="U405" i="2" s="1"/>
  <c r="U408" i="2" s="1"/>
  <c r="V409" i="2" s="1"/>
  <c r="U427" i="2"/>
  <c r="U439" i="2"/>
  <c r="W437" i="2"/>
  <c r="U428" i="2"/>
  <c r="U419" i="2" l="1"/>
  <c r="U422" i="2" s="1"/>
  <c r="V423" i="2" s="1"/>
  <c r="U429" i="2"/>
  <c r="U434" i="2" s="1"/>
  <c r="U430" i="2"/>
  <c r="U431" i="2" s="1"/>
  <c r="U441" i="2"/>
  <c r="W451" i="2"/>
  <c r="U453" i="2"/>
  <c r="U442" i="2"/>
  <c r="U467" i="2" l="1"/>
  <c r="W465" i="2"/>
  <c r="U455" i="2"/>
  <c r="U456" i="2"/>
  <c r="U432" i="2"/>
  <c r="U433" i="2" s="1"/>
  <c r="U436" i="2" s="1"/>
  <c r="V437" i="2" s="1"/>
  <c r="U443" i="2"/>
  <c r="U448" i="2" s="1"/>
  <c r="U444" i="2"/>
  <c r="U445" i="2" s="1"/>
  <c r="U481" i="2" l="1"/>
  <c r="W479" i="2"/>
  <c r="U469" i="2"/>
  <c r="U470" i="2"/>
  <c r="U458" i="2"/>
  <c r="U459" i="2" s="1"/>
  <c r="U457" i="2"/>
  <c r="U462" i="2" s="1"/>
  <c r="U446" i="2"/>
  <c r="U447" i="2" s="1"/>
  <c r="U450" i="2" s="1"/>
  <c r="V451" i="2" s="1"/>
  <c r="U495" i="2" l="1"/>
  <c r="W493" i="2"/>
  <c r="U483" i="2"/>
  <c r="U484" i="2"/>
  <c r="U460" i="2"/>
  <c r="U461" i="2" s="1"/>
  <c r="U464" i="2" s="1"/>
  <c r="V465" i="2" s="1"/>
  <c r="U472" i="2"/>
  <c r="U473" i="2" s="1"/>
  <c r="U474" i="2" s="1"/>
  <c r="U471" i="2"/>
  <c r="U476" i="2" s="1"/>
  <c r="U475" i="2" l="1"/>
  <c r="U478" i="2" s="1"/>
  <c r="V479" i="2" s="1"/>
  <c r="U509" i="2"/>
  <c r="U497" i="2"/>
  <c r="W507" i="2"/>
  <c r="U498" i="2"/>
  <c r="U486" i="2"/>
  <c r="U487" i="2" s="1"/>
  <c r="U488" i="2" s="1"/>
  <c r="U485" i="2"/>
  <c r="U490" i="2" s="1"/>
  <c r="U489" i="2" l="1"/>
  <c r="U492" i="2" s="1"/>
  <c r="V493" i="2" s="1"/>
  <c r="U523" i="2"/>
  <c r="U511" i="2"/>
  <c r="W521" i="2"/>
  <c r="U512" i="2"/>
  <c r="U500" i="2"/>
  <c r="U501" i="2" s="1"/>
  <c r="U502" i="2" s="1"/>
  <c r="U499" i="2"/>
  <c r="U504" i="2" s="1"/>
  <c r="U503" i="2" l="1"/>
  <c r="U506" i="2" s="1"/>
  <c r="V507" i="2" s="1"/>
  <c r="U526" i="2"/>
  <c r="U537" i="2"/>
  <c r="U525" i="2"/>
  <c r="W535" i="2"/>
  <c r="U513" i="2"/>
  <c r="U518" i="2" s="1"/>
  <c r="U514" i="2"/>
  <c r="U515" i="2" s="1"/>
  <c r="U527" i="2" l="1"/>
  <c r="U532" i="2" s="1"/>
  <c r="U528" i="2"/>
  <c r="U529" i="2" s="1"/>
  <c r="U530" i="2" s="1"/>
  <c r="U551" i="2"/>
  <c r="W549" i="2"/>
  <c r="U539" i="2"/>
  <c r="U540" i="2"/>
  <c r="U516" i="2"/>
  <c r="U517" i="2" s="1"/>
  <c r="U520" i="2" s="1"/>
  <c r="V521" i="2" s="1"/>
  <c r="U565" i="2" l="1"/>
  <c r="W563" i="2"/>
  <c r="U553" i="2"/>
  <c r="U554" i="2"/>
  <c r="U531" i="2"/>
  <c r="U534" i="2" s="1"/>
  <c r="V535" i="2" s="1"/>
  <c r="U541" i="2"/>
  <c r="U546" i="2" s="1"/>
  <c r="U542" i="2"/>
  <c r="U543" i="2" s="1"/>
  <c r="U544" i="2" s="1"/>
  <c r="U545" i="2" l="1"/>
  <c r="U548" i="2" s="1"/>
  <c r="V549" i="2" s="1"/>
  <c r="W577" i="2"/>
  <c r="U567" i="2"/>
  <c r="U579" i="2"/>
  <c r="U568" i="2"/>
  <c r="U555" i="2"/>
  <c r="U560" i="2" s="1"/>
  <c r="U556" i="2"/>
  <c r="U557" i="2" s="1"/>
  <c r="U558" i="2" s="1"/>
  <c r="U593" i="2" l="1"/>
  <c r="W591" i="2"/>
  <c r="U581" i="2"/>
  <c r="U582" i="2"/>
  <c r="U559" i="2"/>
  <c r="U562" i="2" s="1"/>
  <c r="V563" i="2" s="1"/>
  <c r="U569" i="2"/>
  <c r="U574" i="2" s="1"/>
  <c r="U570" i="2"/>
  <c r="U571" i="2" s="1"/>
  <c r="U572" i="2" s="1"/>
  <c r="U595" i="2" l="1"/>
  <c r="W605" i="2"/>
  <c r="U607" i="2"/>
  <c r="U596" i="2"/>
  <c r="U584" i="2"/>
  <c r="U585" i="2" s="1"/>
  <c r="U583" i="2"/>
  <c r="U588" i="2" s="1"/>
  <c r="U573" i="2"/>
  <c r="U576" i="2" s="1"/>
  <c r="V577" i="2" s="1"/>
  <c r="U586" i="2" l="1"/>
  <c r="U587" i="2" s="1"/>
  <c r="U590" i="2" s="1"/>
  <c r="V591" i="2" s="1"/>
  <c r="U598" i="2"/>
  <c r="U599" i="2" s="1"/>
  <c r="U597" i="2"/>
  <c r="U602" i="2" s="1"/>
  <c r="U609" i="2"/>
  <c r="U621" i="2"/>
  <c r="W619" i="2"/>
  <c r="U610" i="2"/>
  <c r="U611" i="2" l="1"/>
  <c r="U616" i="2" s="1"/>
  <c r="U612" i="2"/>
  <c r="U613" i="2" s="1"/>
  <c r="W633" i="2"/>
  <c r="U623" i="2"/>
  <c r="U635" i="2"/>
  <c r="U624" i="2"/>
  <c r="U600" i="2"/>
  <c r="U601" i="2" s="1"/>
  <c r="U604" i="2" s="1"/>
  <c r="V605" i="2" s="1"/>
  <c r="U649" i="2" l="1"/>
  <c r="W647" i="2"/>
  <c r="U637" i="2"/>
  <c r="U638" i="2"/>
  <c r="U614" i="2"/>
  <c r="U615" i="2" s="1"/>
  <c r="U618" i="2" s="1"/>
  <c r="V619" i="2" s="1"/>
  <c r="U626" i="2"/>
  <c r="U627" i="2" s="1"/>
  <c r="U625" i="2"/>
  <c r="U630" i="2" s="1"/>
  <c r="U663" i="2" l="1"/>
  <c r="W661" i="2"/>
  <c r="U651" i="2"/>
  <c r="U652" i="2"/>
  <c r="U628" i="2"/>
  <c r="U629" i="2" s="1"/>
  <c r="U632" i="2" s="1"/>
  <c r="V633" i="2" s="1"/>
  <c r="U640" i="2"/>
  <c r="U641" i="2" s="1"/>
  <c r="U642" i="2" s="1"/>
  <c r="U639" i="2"/>
  <c r="U644" i="2" s="1"/>
  <c r="U643" i="2" l="1"/>
  <c r="U646" i="2" s="1"/>
  <c r="V647" i="2" s="1"/>
  <c r="W675" i="2"/>
  <c r="U665" i="2"/>
  <c r="U677" i="2"/>
  <c r="U666" i="2"/>
  <c r="U653" i="2"/>
  <c r="U658" i="2" s="1"/>
  <c r="U654" i="2"/>
  <c r="U655" i="2" s="1"/>
  <c r="U656" i="2" s="1"/>
  <c r="U667" i="2" l="1"/>
  <c r="U672" i="2" s="1"/>
  <c r="U668" i="2"/>
  <c r="U669" i="2" s="1"/>
  <c r="U670" i="2" s="1"/>
  <c r="U680" i="2"/>
  <c r="U691" i="2"/>
  <c r="U679" i="2"/>
  <c r="W689" i="2"/>
  <c r="U657" i="2"/>
  <c r="U660" i="2" s="1"/>
  <c r="V661" i="2" s="1"/>
  <c r="U681" i="2" l="1"/>
  <c r="U686" i="2" s="1"/>
  <c r="U682" i="2"/>
  <c r="U683" i="2" s="1"/>
  <c r="U684" i="2" s="1"/>
  <c r="U671" i="2"/>
  <c r="U674" i="2" s="1"/>
  <c r="V675" i="2" s="1"/>
  <c r="U705" i="2"/>
  <c r="U693" i="2"/>
  <c r="W703" i="2"/>
  <c r="U694" i="2"/>
  <c r="U685" i="2" l="1"/>
  <c r="U688" i="2" s="1"/>
  <c r="V689" i="2" s="1"/>
  <c r="U695" i="2"/>
  <c r="U700" i="2" s="1"/>
  <c r="U696" i="2"/>
  <c r="U697" i="2" s="1"/>
  <c r="U698" i="2" s="1"/>
  <c r="U707" i="2"/>
  <c r="W717" i="2"/>
  <c r="U719" i="2"/>
  <c r="U708" i="2"/>
  <c r="U699" i="2" l="1"/>
  <c r="U702" i="2" s="1"/>
  <c r="V703" i="2" s="1"/>
  <c r="U733" i="2"/>
  <c r="W731" i="2"/>
  <c r="U721" i="2"/>
  <c r="U722" i="2"/>
  <c r="U710" i="2"/>
  <c r="U711" i="2" s="1"/>
  <c r="U709" i="2"/>
  <c r="U714" i="2" s="1"/>
  <c r="U712" i="2" l="1"/>
  <c r="U713" i="2" s="1"/>
  <c r="U716" i="2" s="1"/>
  <c r="V717" i="2" s="1"/>
  <c r="U735" i="2"/>
  <c r="W745" i="2"/>
  <c r="U747" i="2"/>
  <c r="U736" i="2"/>
  <c r="U724" i="2"/>
  <c r="U725" i="2" s="1"/>
  <c r="U726" i="2" s="1"/>
  <c r="U723" i="2"/>
  <c r="U728" i="2" s="1"/>
  <c r="U727" i="2" l="1"/>
  <c r="U730" i="2" s="1"/>
  <c r="V731" i="2" s="1"/>
  <c r="W759" i="2"/>
  <c r="U749" i="2"/>
  <c r="U761" i="2"/>
  <c r="U750" i="2"/>
  <c r="U738" i="2"/>
  <c r="U739" i="2" s="1"/>
  <c r="U740" i="2" s="1"/>
  <c r="U737" i="2"/>
  <c r="U742" i="2" s="1"/>
  <c r="U741" i="2" l="1"/>
  <c r="U744" i="2" s="1"/>
  <c r="V745" i="2" s="1"/>
  <c r="U752" i="2"/>
  <c r="U753" i="2" s="1"/>
  <c r="U754" i="2" s="1"/>
  <c r="U751" i="2"/>
  <c r="U756" i="2" s="1"/>
  <c r="W773" i="2"/>
  <c r="U763" i="2"/>
  <c r="U775" i="2"/>
  <c r="U764" i="2"/>
  <c r="U755" i="2" l="1"/>
  <c r="U758" i="2" s="1"/>
  <c r="V759" i="2" s="1"/>
  <c r="U777" i="2"/>
  <c r="U789" i="2"/>
  <c r="W787" i="2"/>
  <c r="U778" i="2"/>
  <c r="U765" i="2"/>
  <c r="U770" i="2" s="1"/>
  <c r="U766" i="2"/>
  <c r="U767" i="2" s="1"/>
  <c r="U768" i="2" s="1"/>
  <c r="W801" i="2" l="1"/>
  <c r="U791" i="2"/>
  <c r="U803" i="2"/>
  <c r="U792" i="2"/>
  <c r="U769" i="2"/>
  <c r="U772" i="2" s="1"/>
  <c r="V773" i="2" s="1"/>
  <c r="U780" i="2"/>
  <c r="U781" i="2" s="1"/>
  <c r="U782" i="2" s="1"/>
  <c r="U783" i="2" s="1"/>
  <c r="U786" i="2" s="1"/>
  <c r="V787" i="2" s="1"/>
  <c r="U779" i="2"/>
  <c r="U784" i="2" s="1"/>
  <c r="U794" i="2" l="1"/>
  <c r="U795" i="2" s="1"/>
  <c r="U793" i="2"/>
  <c r="U798" i="2" s="1"/>
  <c r="U817" i="2"/>
  <c r="U805" i="2"/>
  <c r="W815" i="2"/>
  <c r="U806" i="2"/>
  <c r="U796" i="2" l="1"/>
  <c r="U797" i="2" s="1"/>
  <c r="U800" i="2" s="1"/>
  <c r="V801" i="2" s="1"/>
  <c r="W829" i="2"/>
  <c r="U819" i="2"/>
  <c r="U831" i="2"/>
  <c r="U820" i="2"/>
  <c r="U807" i="2"/>
  <c r="U812" i="2" s="1"/>
  <c r="U808" i="2"/>
  <c r="U809" i="2" s="1"/>
  <c r="U810" i="2" s="1"/>
  <c r="U811" i="2" l="1"/>
  <c r="U814" i="2" s="1"/>
  <c r="V815" i="2" s="1"/>
  <c r="U834" i="2"/>
  <c r="U833" i="2"/>
  <c r="U845" i="2"/>
  <c r="W843" i="2"/>
  <c r="U821" i="2"/>
  <c r="U826" i="2" s="1"/>
  <c r="U822" i="2"/>
  <c r="U823" i="2" s="1"/>
  <c r="U835" i="2" l="1"/>
  <c r="U840" i="2" s="1"/>
  <c r="U836" i="2"/>
  <c r="U837" i="2" s="1"/>
  <c r="U824" i="2"/>
  <c r="U825" i="2" s="1"/>
  <c r="U828" i="2" s="1"/>
  <c r="V829" i="2" s="1"/>
  <c r="U859" i="2"/>
  <c r="U847" i="2"/>
  <c r="W857" i="2"/>
  <c r="U848" i="2"/>
  <c r="U861" i="2" l="1"/>
  <c r="U873" i="2"/>
  <c r="W871" i="2"/>
  <c r="U862" i="2"/>
  <c r="U849" i="2"/>
  <c r="U854" i="2" s="1"/>
  <c r="U850" i="2"/>
  <c r="U851" i="2" s="1"/>
  <c r="U838" i="2"/>
  <c r="U839" i="2" s="1"/>
  <c r="U842" i="2" s="1"/>
  <c r="V843" i="2" s="1"/>
  <c r="U864" i="2" l="1"/>
  <c r="U865" i="2" s="1"/>
  <c r="U863" i="2"/>
  <c r="U868" i="2" s="1"/>
  <c r="U852" i="2"/>
  <c r="U853" i="2" s="1"/>
  <c r="U856" i="2" s="1"/>
  <c r="V857" i="2" s="1"/>
  <c r="U875" i="2"/>
  <c r="U887" i="2"/>
  <c r="W885" i="2"/>
  <c r="U876" i="2"/>
  <c r="U878" i="2" l="1"/>
  <c r="U879" i="2" s="1"/>
  <c r="U880" i="2" s="1"/>
  <c r="U877" i="2"/>
  <c r="U882" i="2" s="1"/>
  <c r="U866" i="2"/>
  <c r="U867" i="2" s="1"/>
  <c r="U870" i="2" s="1"/>
  <c r="V871" i="2" s="1"/>
  <c r="U889" i="2"/>
  <c r="U901" i="2"/>
  <c r="W899" i="2"/>
  <c r="U890" i="2"/>
  <c r="U881" i="2" l="1"/>
  <c r="U884" i="2" s="1"/>
  <c r="V885" i="2" s="1"/>
  <c r="U892" i="2"/>
  <c r="U893" i="2" s="1"/>
  <c r="U894" i="2" s="1"/>
  <c r="U891" i="2"/>
  <c r="U896" i="2" s="1"/>
  <c r="U915" i="2"/>
  <c r="W913" i="2"/>
  <c r="U903" i="2"/>
  <c r="U904" i="2"/>
  <c r="U895" i="2" l="1"/>
  <c r="U898" i="2" s="1"/>
  <c r="V899" i="2" s="1"/>
  <c r="U905" i="2"/>
  <c r="U910" i="2" s="1"/>
  <c r="U906" i="2"/>
  <c r="U907" i="2" s="1"/>
  <c r="U917" i="2"/>
  <c r="U929" i="2"/>
  <c r="W927" i="2"/>
  <c r="U918" i="2"/>
  <c r="U908" i="2" l="1"/>
  <c r="U909" i="2" s="1"/>
  <c r="U912" i="2" s="1"/>
  <c r="V913" i="2" s="1"/>
  <c r="U919" i="2"/>
  <c r="U924" i="2" s="1"/>
  <c r="U920" i="2"/>
  <c r="U921" i="2" s="1"/>
  <c r="U922" i="2" s="1"/>
  <c r="W941" i="2"/>
  <c r="U943" i="2"/>
  <c r="U931" i="2"/>
  <c r="U932" i="2"/>
  <c r="U945" i="2" l="1"/>
  <c r="U957" i="2"/>
  <c r="W955" i="2"/>
  <c r="U946" i="2"/>
  <c r="U934" i="2"/>
  <c r="U935" i="2" s="1"/>
  <c r="U936" i="2" s="1"/>
  <c r="U933" i="2"/>
  <c r="U938" i="2" s="1"/>
  <c r="U923" i="2"/>
  <c r="U926" i="2" s="1"/>
  <c r="V927" i="2" s="1"/>
  <c r="U937" i="2" l="1"/>
  <c r="U940" i="2" s="1"/>
  <c r="V941" i="2" s="1"/>
  <c r="U948" i="2"/>
  <c r="U949" i="2" s="1"/>
  <c r="U947" i="2"/>
  <c r="U952" i="2" s="1"/>
  <c r="U971" i="2"/>
  <c r="U959" i="2"/>
  <c r="W969" i="2"/>
  <c r="U960" i="2"/>
  <c r="W983" i="2" l="1"/>
  <c r="U985" i="2"/>
  <c r="U973" i="2"/>
  <c r="U974" i="2"/>
  <c r="U950" i="2"/>
  <c r="U951" i="2" s="1"/>
  <c r="U954" i="2" s="1"/>
  <c r="V955" i="2" s="1"/>
  <c r="U962" i="2"/>
  <c r="U963" i="2" s="1"/>
  <c r="U964" i="2" s="1"/>
  <c r="U961" i="2"/>
  <c r="U966" i="2" s="1"/>
  <c r="U988" i="2" l="1"/>
  <c r="U999" i="2"/>
  <c r="U987" i="2"/>
  <c r="W997" i="2"/>
  <c r="U975" i="2"/>
  <c r="U980" i="2" s="1"/>
  <c r="U976" i="2"/>
  <c r="U977" i="2" s="1"/>
  <c r="U978" i="2" s="1"/>
  <c r="U965" i="2"/>
  <c r="U968" i="2" s="1"/>
  <c r="V969" i="2" s="1"/>
  <c r="U1013" i="2" l="1"/>
  <c r="U1001" i="2"/>
  <c r="W1011" i="2"/>
  <c r="U1002" i="2"/>
  <c r="U989" i="2"/>
  <c r="U994" i="2" s="1"/>
  <c r="U990" i="2"/>
  <c r="U991" i="2" s="1"/>
  <c r="U992" i="2" s="1"/>
  <c r="U979" i="2"/>
  <c r="U982" i="2" s="1"/>
  <c r="V983" i="2" s="1"/>
  <c r="U993" i="2" l="1"/>
  <c r="U996" i="2" s="1"/>
  <c r="V997" i="2" s="1"/>
  <c r="U1015" i="2"/>
  <c r="W1025" i="2"/>
  <c r="U1027" i="2"/>
  <c r="U1016" i="2"/>
  <c r="U1003" i="2"/>
  <c r="U1008" i="2" s="1"/>
  <c r="U1004" i="2"/>
  <c r="U1005" i="2" s="1"/>
  <c r="U1006" i="2" s="1"/>
  <c r="U1017" i="2" l="1"/>
  <c r="U1022" i="2" s="1"/>
  <c r="U1018" i="2"/>
  <c r="U1019" i="2" s="1"/>
  <c r="W1039" i="2"/>
  <c r="U1041" i="2"/>
  <c r="U1029" i="2"/>
  <c r="U1030" i="2"/>
  <c r="U1007" i="2"/>
  <c r="U1010" i="2" s="1"/>
  <c r="V1011" i="2" s="1"/>
  <c r="U1032" i="2" l="1"/>
  <c r="U1033" i="2" s="1"/>
  <c r="U1031" i="2"/>
  <c r="U1036" i="2" s="1"/>
  <c r="U1020" i="2"/>
  <c r="U1021" i="2" s="1"/>
  <c r="U1024" i="2" s="1"/>
  <c r="V1025" i="2" s="1"/>
  <c r="U1043" i="2"/>
  <c r="W1053" i="2"/>
  <c r="U1055" i="2"/>
  <c r="U1044" i="2"/>
  <c r="U1034" i="2" l="1"/>
  <c r="U1035" i="2" s="1"/>
  <c r="U1038" i="2" s="1"/>
  <c r="V1039" i="2" s="1"/>
  <c r="U1046" i="2"/>
  <c r="U1047" i="2" s="1"/>
  <c r="U1045" i="2"/>
  <c r="U1050" i="2" s="1"/>
  <c r="U1069" i="2"/>
  <c r="W1067" i="2"/>
  <c r="U1057" i="2"/>
  <c r="U1058" i="2"/>
  <c r="U1060" i="2" l="1"/>
  <c r="U1061" i="2" s="1"/>
  <c r="U1062" i="2" s="1"/>
  <c r="U1059" i="2"/>
  <c r="U1064" i="2" s="1"/>
  <c r="U1048" i="2"/>
  <c r="U1049" i="2" s="1"/>
  <c r="U1052" i="2" s="1"/>
  <c r="V1053" i="2" s="1"/>
  <c r="U1083" i="2"/>
  <c r="W1081" i="2"/>
  <c r="U1071" i="2"/>
  <c r="U1072" i="2"/>
  <c r="U1063" i="2" l="1"/>
  <c r="U1066" i="2" s="1"/>
  <c r="V1067" i="2" s="1"/>
  <c r="U1085" i="2"/>
  <c r="U1097" i="2"/>
  <c r="W1095" i="2"/>
  <c r="U1086" i="2"/>
  <c r="U1073" i="2"/>
  <c r="U1078" i="2" s="1"/>
  <c r="U1074" i="2"/>
  <c r="U1075" i="2" s="1"/>
  <c r="U1076" i="2" s="1"/>
  <c r="U1077" i="2" l="1"/>
  <c r="U1080" i="2" s="1"/>
  <c r="V1081" i="2" s="1"/>
  <c r="U1087" i="2"/>
  <c r="U1092" i="2" s="1"/>
  <c r="U1088" i="2"/>
  <c r="U1089" i="2" s="1"/>
  <c r="U1111" i="2"/>
  <c r="W1109" i="2"/>
  <c r="U1099" i="2"/>
  <c r="U1100" i="2"/>
  <c r="U1102" i="2" l="1"/>
  <c r="U1103" i="2" s="1"/>
  <c r="U1101" i="2"/>
  <c r="U1106" i="2" s="1"/>
  <c r="U1090" i="2"/>
  <c r="U1091" i="2" s="1"/>
  <c r="U1094" i="2" s="1"/>
  <c r="V1095" i="2" s="1"/>
  <c r="U1125" i="2"/>
  <c r="U1113" i="2"/>
  <c r="W1123" i="2"/>
  <c r="U1114" i="2"/>
  <c r="W1137" i="2" l="1"/>
  <c r="U1139" i="2"/>
  <c r="U1127" i="2"/>
  <c r="U1128" i="2"/>
  <c r="U1104" i="2"/>
  <c r="U1105" i="2" s="1"/>
  <c r="U1108" i="2" s="1"/>
  <c r="V1109" i="2" s="1"/>
  <c r="U1116" i="2"/>
  <c r="U1117" i="2" s="1"/>
  <c r="U1115" i="2"/>
  <c r="U1120" i="2" s="1"/>
  <c r="U1142" i="2" l="1"/>
  <c r="U1153" i="2"/>
  <c r="U1141" i="2"/>
  <c r="W1151" i="2"/>
  <c r="U1129" i="2"/>
  <c r="U1134" i="2" s="1"/>
  <c r="U1130" i="2"/>
  <c r="U1131" i="2" s="1"/>
  <c r="U1118" i="2"/>
  <c r="U1119" i="2" s="1"/>
  <c r="U1122" i="2" s="1"/>
  <c r="V1123" i="2" s="1"/>
  <c r="U1167" i="2" l="1"/>
  <c r="U1155" i="2"/>
  <c r="W1165" i="2"/>
  <c r="U1156" i="2"/>
  <c r="U1143" i="2"/>
  <c r="U1148" i="2" s="1"/>
  <c r="U1144" i="2"/>
  <c r="U1145" i="2" s="1"/>
  <c r="U1132" i="2"/>
  <c r="U1133" i="2" s="1"/>
  <c r="U1136" i="2" s="1"/>
  <c r="V1137" i="2" s="1"/>
  <c r="U1157" i="2" l="1"/>
  <c r="U1162" i="2" s="1"/>
  <c r="U1158" i="2"/>
  <c r="U1159" i="2" s="1"/>
  <c r="U1169" i="2"/>
  <c r="U1181" i="2"/>
  <c r="W1179" i="2"/>
  <c r="U1170" i="2"/>
  <c r="U1146" i="2"/>
  <c r="U1147" i="2" s="1"/>
  <c r="U1150" i="2" s="1"/>
  <c r="V1151" i="2" s="1"/>
  <c r="U1160" i="2" l="1"/>
  <c r="U1161" i="2" s="1"/>
  <c r="U1164" i="2" s="1"/>
  <c r="V1165" i="2" s="1"/>
  <c r="U1171" i="2"/>
  <c r="U1176" i="2" s="1"/>
  <c r="U1172" i="2"/>
  <c r="U1173" i="2" s="1"/>
  <c r="U1183" i="2"/>
  <c r="W1193" i="2"/>
  <c r="U1195" i="2"/>
  <c r="U1184" i="2"/>
  <c r="U1186" i="2" l="1"/>
  <c r="U1187" i="2" s="1"/>
  <c r="U1188" i="2" s="1"/>
  <c r="U1185" i="2"/>
  <c r="U1190" i="2" s="1"/>
  <c r="U1197" i="2"/>
  <c r="U1209" i="2"/>
  <c r="W1207" i="2"/>
  <c r="U1198" i="2"/>
  <c r="U1174" i="2"/>
  <c r="U1175" i="2" s="1"/>
  <c r="U1178" i="2" s="1"/>
  <c r="V1179" i="2" s="1"/>
  <c r="U1189" i="2" l="1"/>
  <c r="U1192" i="2" s="1"/>
  <c r="V1193" i="2" s="1"/>
  <c r="U1199" i="2"/>
  <c r="U1204" i="2" s="1"/>
  <c r="U1200" i="2"/>
  <c r="U1201" i="2" s="1"/>
  <c r="W1221" i="2"/>
  <c r="U1211" i="2"/>
  <c r="U1223" i="2"/>
  <c r="U1212" i="2"/>
  <c r="W1235" i="2" l="1"/>
  <c r="U1225" i="2"/>
  <c r="U1237" i="2"/>
  <c r="U1226" i="2"/>
  <c r="U1202" i="2"/>
  <c r="U1203" i="2" s="1"/>
  <c r="U1206" i="2" s="1"/>
  <c r="V1207" i="2" s="1"/>
  <c r="U1214" i="2"/>
  <c r="U1215" i="2" s="1"/>
  <c r="U1213" i="2"/>
  <c r="U1218" i="2" s="1"/>
  <c r="U1228" i="2" l="1"/>
  <c r="U1229" i="2" s="1"/>
  <c r="U1227" i="2"/>
  <c r="U1232" i="2" s="1"/>
  <c r="U1216" i="2"/>
  <c r="U1217" i="2" s="1"/>
  <c r="U1220" i="2" s="1"/>
  <c r="V1221" i="2" s="1"/>
  <c r="U1251" i="2"/>
  <c r="U1239" i="2"/>
  <c r="W1249" i="2"/>
  <c r="U1240" i="2"/>
  <c r="U1230" i="2" l="1"/>
  <c r="U1231" i="2" s="1"/>
  <c r="U1234" i="2" s="1"/>
  <c r="V1235" i="2" s="1"/>
  <c r="U1265" i="2"/>
  <c r="W1263" i="2"/>
  <c r="U1253" i="2"/>
  <c r="U1254" i="2"/>
  <c r="U1242" i="2"/>
  <c r="U1243" i="2" s="1"/>
  <c r="U1241" i="2"/>
  <c r="U1246" i="2" s="1"/>
  <c r="U1255" i="2" l="1"/>
  <c r="U1260" i="2" s="1"/>
  <c r="U1256" i="2"/>
  <c r="U1257" i="2" s="1"/>
  <c r="U1258" i="2" s="1"/>
  <c r="U1279" i="2"/>
  <c r="U1267" i="2"/>
  <c r="W1277" i="2"/>
  <c r="U1268" i="2"/>
  <c r="U1244" i="2"/>
  <c r="U1245" i="2" s="1"/>
  <c r="U1248" i="2" s="1"/>
  <c r="V1249" i="2" s="1"/>
  <c r="U1270" i="2" l="1"/>
  <c r="U1271" i="2" s="1"/>
  <c r="U1269" i="2"/>
  <c r="U1274" i="2" s="1"/>
  <c r="W1291" i="2"/>
  <c r="U1293" i="2"/>
  <c r="U1281" i="2"/>
  <c r="U1282" i="2"/>
  <c r="U1259" i="2"/>
  <c r="U1262" i="2" s="1"/>
  <c r="V1263" i="2" s="1"/>
  <c r="U1296" i="2" l="1"/>
  <c r="U1295" i="2"/>
  <c r="U1307" i="2"/>
  <c r="W1305" i="2"/>
  <c r="U1283" i="2"/>
  <c r="U1288" i="2" s="1"/>
  <c r="U1284" i="2"/>
  <c r="U1285" i="2" s="1"/>
  <c r="U1286" i="2" s="1"/>
  <c r="U1272" i="2"/>
  <c r="U1273" i="2" s="1"/>
  <c r="U1276" i="2" s="1"/>
  <c r="V1277" i="2" s="1"/>
  <c r="U1297" i="2" l="1"/>
  <c r="U1302" i="2" s="1"/>
  <c r="U1298" i="2"/>
  <c r="U1299" i="2" s="1"/>
  <c r="U1321" i="2"/>
  <c r="U1309" i="2"/>
  <c r="W1319" i="2"/>
  <c r="U1310" i="2"/>
  <c r="U1287" i="2"/>
  <c r="U1290" i="2" s="1"/>
  <c r="V1291" i="2" s="1"/>
  <c r="W1333" i="2" l="1"/>
  <c r="U1323" i="2"/>
  <c r="U1335" i="2"/>
  <c r="U1324" i="2"/>
  <c r="U1311" i="2"/>
  <c r="U1316" i="2" s="1"/>
  <c r="U1312" i="2"/>
  <c r="U1313" i="2" s="1"/>
  <c r="U1314" i="2" s="1"/>
  <c r="U1300" i="2"/>
  <c r="U1301" i="2" s="1"/>
  <c r="U1304" i="2" s="1"/>
  <c r="V1305" i="2" s="1"/>
  <c r="U1326" i="2" l="1"/>
  <c r="U1327" i="2" s="1"/>
  <c r="U1325" i="2"/>
  <c r="U1330" i="2" s="1"/>
  <c r="U1337" i="2"/>
  <c r="W1347" i="2"/>
  <c r="U1349" i="2"/>
  <c r="U1338" i="2"/>
  <c r="U1315" i="2"/>
  <c r="U1318" i="2" s="1"/>
  <c r="V1319" i="2" s="1"/>
  <c r="W1361" i="2" l="1"/>
  <c r="U1351" i="2"/>
  <c r="U1363" i="2"/>
  <c r="U1352" i="2"/>
  <c r="U1328" i="2"/>
  <c r="U1329" i="2" s="1"/>
  <c r="U1332" i="2" s="1"/>
  <c r="V1333" i="2" s="1"/>
  <c r="U1340" i="2"/>
  <c r="U1341" i="2" s="1"/>
  <c r="U1339" i="2"/>
  <c r="U1344" i="2" s="1"/>
  <c r="U1354" i="2" l="1"/>
  <c r="U1355" i="2" s="1"/>
  <c r="U1353" i="2"/>
  <c r="U1358" i="2" s="1"/>
  <c r="U1342" i="2"/>
  <c r="U1343" i="2" s="1"/>
  <c r="U1346" i="2" s="1"/>
  <c r="V1347" i="2" s="1"/>
  <c r="W1375" i="2"/>
  <c r="U1377" i="2"/>
  <c r="U1365" i="2"/>
  <c r="U1366" i="2"/>
  <c r="U1367" i="2" l="1"/>
  <c r="U1372" i="2" s="1"/>
  <c r="U1368" i="2"/>
  <c r="U1369" i="2" s="1"/>
  <c r="U1370" i="2" s="1"/>
  <c r="U1356" i="2"/>
  <c r="U1357" i="2" s="1"/>
  <c r="U1360" i="2" s="1"/>
  <c r="V1361" i="2" s="1"/>
  <c r="U1379" i="2"/>
  <c r="U1391" i="2"/>
  <c r="W1389" i="2"/>
  <c r="U1380" i="2"/>
  <c r="U1371" i="2" l="1"/>
  <c r="U1374" i="2" s="1"/>
  <c r="V1375" i="2" s="1"/>
  <c r="U1382" i="2"/>
  <c r="U1383" i="2" s="1"/>
  <c r="U1381" i="2"/>
  <c r="U1386" i="2" s="1"/>
  <c r="U1393" i="2"/>
  <c r="U1405" i="2"/>
  <c r="W1403" i="2"/>
  <c r="U1394" i="2"/>
  <c r="U1384" i="2" l="1"/>
  <c r="U1385" i="2" s="1"/>
  <c r="U1388" i="2" s="1"/>
  <c r="V1389" i="2" s="1"/>
  <c r="U1396" i="2"/>
  <c r="U1397" i="2" s="1"/>
  <c r="U1395" i="2"/>
  <c r="U1400" i="2" s="1"/>
  <c r="U1407" i="2"/>
  <c r="U1419" i="2"/>
  <c r="W1417" i="2"/>
  <c r="U1408" i="2"/>
  <c r="U1410" i="2" l="1"/>
  <c r="U1411" i="2" s="1"/>
  <c r="U1412" i="2" s="1"/>
  <c r="U1409" i="2"/>
  <c r="U1414" i="2" s="1"/>
  <c r="U1433" i="2"/>
  <c r="U1421" i="2"/>
  <c r="W1431" i="2"/>
  <c r="U1422" i="2"/>
  <c r="U1398" i="2"/>
  <c r="U1399" i="2" s="1"/>
  <c r="U1402" i="2" s="1"/>
  <c r="V1403" i="2" s="1"/>
  <c r="U1413" i="2" l="1"/>
  <c r="U1416" i="2" s="1"/>
  <c r="V1417" i="2" s="1"/>
  <c r="W1445" i="2"/>
  <c r="U1435" i="2"/>
  <c r="U1447" i="2"/>
  <c r="U1436" i="2"/>
  <c r="U1424" i="2"/>
  <c r="U1425" i="2" s="1"/>
  <c r="U1426" i="2" s="1"/>
  <c r="U1427" i="2" s="1"/>
  <c r="U1423" i="2"/>
  <c r="U1428" i="2" s="1"/>
  <c r="U1430" i="2" l="1"/>
  <c r="V1431" i="2" s="1"/>
  <c r="U1437" i="2"/>
  <c r="U1442" i="2" s="1"/>
  <c r="U1438" i="2"/>
  <c r="U1439" i="2" s="1"/>
  <c r="U1450" i="2"/>
  <c r="U1449" i="2"/>
  <c r="U1461" i="2"/>
  <c r="W1459" i="2"/>
  <c r="U1475" i="2" l="1"/>
  <c r="U1463" i="2"/>
  <c r="W1473" i="2"/>
  <c r="U1464" i="2"/>
  <c r="U1440" i="2"/>
  <c r="U1441" i="2" s="1"/>
  <c r="U1444" i="2" s="1"/>
  <c r="V1445" i="2" s="1"/>
  <c r="U1451" i="2"/>
  <c r="U1456" i="2" s="1"/>
  <c r="U1452" i="2"/>
  <c r="U1453" i="2" s="1"/>
  <c r="U1454" i="2" l="1"/>
  <c r="U1455" i="2" s="1"/>
  <c r="U1458" i="2" s="1"/>
  <c r="V1459" i="2" s="1"/>
  <c r="U1489" i="2"/>
  <c r="W1487" i="2"/>
  <c r="U1477" i="2"/>
  <c r="U1478" i="2"/>
  <c r="U1466" i="2"/>
  <c r="U1467" i="2" s="1"/>
  <c r="U1465" i="2"/>
  <c r="U1470" i="2" s="1"/>
  <c r="U1479" i="2" l="1"/>
  <c r="U1484" i="2" s="1"/>
  <c r="U1480" i="2"/>
  <c r="U1481" i="2" s="1"/>
  <c r="U1482" i="2" s="1"/>
  <c r="U1468" i="2"/>
  <c r="U1469" i="2" s="1"/>
  <c r="U1472" i="2" s="1"/>
  <c r="V1473" i="2" s="1"/>
  <c r="W1501" i="2"/>
  <c r="U1491" i="2"/>
  <c r="U1503" i="2"/>
  <c r="U1492" i="2"/>
  <c r="U1483" i="2" l="1"/>
  <c r="U1486" i="2" s="1"/>
  <c r="V1487" i="2" s="1"/>
  <c r="U1494" i="2"/>
  <c r="U1495" i="2" s="1"/>
  <c r="U1493" i="2"/>
  <c r="U1498" i="2" s="1"/>
  <c r="U1517" i="2"/>
  <c r="W1515" i="2"/>
  <c r="U1505" i="2"/>
  <c r="U1506" i="2"/>
  <c r="U1508" i="2" l="1"/>
  <c r="U1509" i="2" s="1"/>
  <c r="U1507" i="2"/>
  <c r="U1512" i="2" s="1"/>
  <c r="U1496" i="2"/>
  <c r="U1497" i="2" s="1"/>
  <c r="U1500" i="2" s="1"/>
  <c r="V1501" i="2" s="1"/>
  <c r="U1531" i="2"/>
  <c r="W1529" i="2"/>
  <c r="U1519" i="2"/>
  <c r="U1520" i="2"/>
  <c r="U1533" i="2" l="1"/>
  <c r="U1545" i="2"/>
  <c r="W1543" i="2"/>
  <c r="U1534" i="2"/>
  <c r="U1510" i="2"/>
  <c r="U1511" i="2" s="1"/>
  <c r="U1514" i="2" s="1"/>
  <c r="V1515" i="2" s="1"/>
  <c r="U1521" i="2"/>
  <c r="U1526" i="2" s="1"/>
  <c r="U1522" i="2"/>
  <c r="U1523" i="2" s="1"/>
  <c r="U1524" i="2" s="1"/>
  <c r="U1525" i="2" l="1"/>
  <c r="U1528" i="2" s="1"/>
  <c r="V1529" i="2" s="1"/>
  <c r="U1547" i="2"/>
  <c r="U1559" i="2"/>
  <c r="W1557" i="2"/>
  <c r="U1548" i="2"/>
  <c r="U1536" i="2"/>
  <c r="U1537" i="2" s="1"/>
  <c r="U1535" i="2"/>
  <c r="U1540" i="2" s="1"/>
  <c r="U1538" i="2" l="1"/>
  <c r="U1539" i="2" s="1"/>
  <c r="U1542" i="2" s="1"/>
  <c r="V1543" i="2" s="1"/>
  <c r="U1550" i="2"/>
  <c r="U1551" i="2" s="1"/>
  <c r="U1552" i="2" s="1"/>
  <c r="U1549" i="2"/>
  <c r="U1554" i="2" s="1"/>
  <c r="W1571" i="2"/>
  <c r="U1561" i="2"/>
  <c r="U1573" i="2"/>
  <c r="U1587" i="2" s="1"/>
  <c r="U1562" i="2"/>
  <c r="U1553" i="2" l="1"/>
  <c r="U1556" i="2" s="1"/>
  <c r="V1557" i="2" s="1"/>
  <c r="W1599" i="2"/>
  <c r="U1601" i="2"/>
  <c r="U1589" i="2"/>
  <c r="U1590" i="2"/>
  <c r="U1563" i="2"/>
  <c r="U1568" i="2" s="1"/>
  <c r="U1564" i="2"/>
  <c r="U1565" i="2" s="1"/>
  <c r="U1566" i="2" s="1"/>
  <c r="W1585" i="2"/>
  <c r="U1575" i="2"/>
  <c r="U1576" i="2"/>
  <c r="U1567" i="2" l="1"/>
  <c r="U1570" i="2" s="1"/>
  <c r="V1571" i="2" s="1"/>
  <c r="U1615" i="2"/>
  <c r="W1613" i="2"/>
  <c r="U1603" i="2"/>
  <c r="U1604" i="2"/>
  <c r="U1591" i="2"/>
  <c r="U1596" i="2" s="1"/>
  <c r="U1592" i="2"/>
  <c r="U1593" i="2" s="1"/>
  <c r="U1578" i="2"/>
  <c r="U1579" i="2" s="1"/>
  <c r="U1577" i="2"/>
  <c r="U1582" i="2" s="1"/>
  <c r="U1617" i="2" l="1"/>
  <c r="W1627" i="2"/>
  <c r="U1629" i="2"/>
  <c r="U1618" i="2"/>
  <c r="U1594" i="2"/>
  <c r="U1595" i="2" s="1"/>
  <c r="U1598" i="2" s="1"/>
  <c r="V1599" i="2" s="1"/>
  <c r="U1605" i="2"/>
  <c r="U1610" i="2" s="1"/>
  <c r="U1606" i="2"/>
  <c r="U1607" i="2" s="1"/>
  <c r="U1580" i="2"/>
  <c r="U1581" i="2" s="1"/>
  <c r="U1584" i="2" s="1"/>
  <c r="V1585" i="2" s="1"/>
  <c r="U1608" i="2" l="1"/>
  <c r="U1609" i="2" s="1"/>
  <c r="U1612" i="2" s="1"/>
  <c r="V1613" i="2" s="1"/>
  <c r="U1619" i="2"/>
  <c r="U1624" i="2" s="1"/>
  <c r="U1620" i="2"/>
  <c r="U1621" i="2" s="1"/>
  <c r="U1643" i="2"/>
  <c r="U1632" i="2"/>
  <c r="W1641" i="2"/>
  <c r="U1631" i="2"/>
  <c r="W1655" i="2" l="1"/>
  <c r="U1646" i="2"/>
  <c r="U1645" i="2"/>
  <c r="U1657" i="2"/>
  <c r="U1634" i="2"/>
  <c r="U1635" i="2" s="1"/>
  <c r="U1636" i="2" s="1"/>
  <c r="U1633" i="2"/>
  <c r="U1638" i="2" s="1"/>
  <c r="U1622" i="2"/>
  <c r="U1623" i="2" s="1"/>
  <c r="U1626" i="2" s="1"/>
  <c r="V1627" i="2" s="1"/>
  <c r="U1637" i="2" l="1"/>
  <c r="U1640" i="2" s="1"/>
  <c r="V1641" i="2" s="1"/>
  <c r="U1647" i="2"/>
  <c r="U1652" i="2" s="1"/>
  <c r="U1648" i="2"/>
  <c r="U1649" i="2" s="1"/>
  <c r="U1660" i="2"/>
  <c r="U1671" i="2"/>
  <c r="U1659" i="2"/>
  <c r="W1669" i="2"/>
  <c r="U1650" i="2" l="1"/>
  <c r="U1651" i="2" s="1"/>
  <c r="U1654" i="2" s="1"/>
  <c r="V1655" i="2" s="1"/>
  <c r="U1661" i="2"/>
  <c r="U1666" i="2" s="1"/>
  <c r="U1662" i="2"/>
  <c r="U1663" i="2" s="1"/>
  <c r="W1683" i="2"/>
  <c r="U1685" i="2"/>
  <c r="U1674" i="2"/>
  <c r="U1673" i="2"/>
  <c r="U1699" i="2" l="1"/>
  <c r="W1697" i="2"/>
  <c r="U1688" i="2"/>
  <c r="U1687" i="2"/>
  <c r="U1676" i="2"/>
  <c r="U1677" i="2" s="1"/>
  <c r="U1675" i="2"/>
  <c r="U1680" i="2" s="1"/>
  <c r="U1664" i="2"/>
  <c r="U1665" i="2" s="1"/>
  <c r="U1668" i="2" s="1"/>
  <c r="V1669" i="2" s="1"/>
  <c r="U1678" i="2" l="1"/>
  <c r="U1679" i="2" s="1"/>
  <c r="U1682" i="2" s="1"/>
  <c r="V1683" i="2" s="1"/>
  <c r="U1713" i="2"/>
  <c r="U1701" i="2"/>
  <c r="U1702" i="2"/>
  <c r="W1711" i="2"/>
  <c r="U1690" i="2"/>
  <c r="U1691" i="2" s="1"/>
  <c r="U1689" i="2"/>
  <c r="U1694" i="2" s="1"/>
  <c r="W1725" i="2" l="1"/>
  <c r="U1716" i="2"/>
  <c r="U1727" i="2"/>
  <c r="U1715" i="2"/>
  <c r="U1692" i="2"/>
  <c r="U1693" i="2" s="1"/>
  <c r="U1696" i="2" s="1"/>
  <c r="V1697" i="2" s="1"/>
  <c r="U1704" i="2"/>
  <c r="U1705" i="2" s="1"/>
  <c r="U1703" i="2"/>
  <c r="U1708" i="2" s="1"/>
  <c r="U1729" i="2" l="1"/>
  <c r="W1739" i="2"/>
  <c r="U1741" i="2"/>
  <c r="U1730" i="2"/>
  <c r="U1706" i="2"/>
  <c r="U1707" i="2" s="1"/>
  <c r="U1710" i="2" s="1"/>
  <c r="V1711" i="2" s="1"/>
  <c r="U1718" i="2"/>
  <c r="U1719" i="2" s="1"/>
  <c r="U1717" i="2"/>
  <c r="U1722" i="2" s="1"/>
  <c r="U1720" i="2" l="1"/>
  <c r="U1721" i="2" s="1"/>
  <c r="U1724" i="2" s="1"/>
  <c r="V1725" i="2" s="1"/>
  <c r="U1755" i="2"/>
  <c r="W1753" i="2"/>
  <c r="U1744" i="2"/>
  <c r="U1743" i="2"/>
  <c r="U1732" i="2"/>
  <c r="U1733" i="2" s="1"/>
  <c r="U1731" i="2"/>
  <c r="U1736" i="2" s="1"/>
  <c r="U1746" i="2" l="1"/>
  <c r="U1747" i="2" s="1"/>
  <c r="U1745" i="2"/>
  <c r="U1750" i="2" s="1"/>
  <c r="U1734" i="2"/>
  <c r="U1735" i="2" s="1"/>
  <c r="U1738" i="2" s="1"/>
  <c r="V1739" i="2" s="1"/>
  <c r="U1757" i="2"/>
  <c r="U1758" i="2"/>
  <c r="U1769" i="2"/>
  <c r="W1767" i="2"/>
  <c r="U1748" i="2" l="1"/>
  <c r="U1749" i="2" s="1"/>
  <c r="U1752" i="2" s="1"/>
  <c r="V1753" i="2" s="1"/>
  <c r="U1759" i="2"/>
  <c r="U1764" i="2" s="1"/>
  <c r="U1760" i="2"/>
  <c r="U1761" i="2" s="1"/>
  <c r="U1783" i="2"/>
  <c r="W1781" i="2"/>
  <c r="U1771" i="2"/>
  <c r="U1772" i="2"/>
  <c r="W1795" i="2" l="1"/>
  <c r="U1797" i="2"/>
  <c r="U1786" i="2"/>
  <c r="U1785" i="2"/>
  <c r="U1774" i="2"/>
  <c r="U1775" i="2" s="1"/>
  <c r="U1776" i="2" s="1"/>
  <c r="U1773" i="2"/>
  <c r="U1778" i="2" s="1"/>
  <c r="U1762" i="2"/>
  <c r="U1763" i="2" s="1"/>
  <c r="U1766" i="2" s="1"/>
  <c r="V1767" i="2" s="1"/>
  <c r="U1777" i="2" l="1"/>
  <c r="U1780" i="2" s="1"/>
  <c r="V1781" i="2" s="1"/>
  <c r="W1809" i="2"/>
  <c r="U1799" i="2"/>
  <c r="U1811" i="2"/>
  <c r="U1800" i="2"/>
  <c r="U1787" i="2"/>
  <c r="U1792" i="2" s="1"/>
  <c r="U1788" i="2"/>
  <c r="U1789" i="2" s="1"/>
  <c r="U1802" i="2" l="1"/>
  <c r="U1803" i="2" s="1"/>
  <c r="U1801" i="2"/>
  <c r="U1806" i="2" s="1"/>
  <c r="U1790" i="2"/>
  <c r="U1791" i="2" s="1"/>
  <c r="U1794" i="2" s="1"/>
  <c r="V1795" i="2" s="1"/>
  <c r="U1814" i="2"/>
  <c r="U1825" i="2"/>
  <c r="W1823" i="2"/>
  <c r="U1813" i="2"/>
  <c r="U1804" i="2" l="1"/>
  <c r="U1805" i="2" s="1"/>
  <c r="U1808" i="2" s="1"/>
  <c r="V1809" i="2" s="1"/>
  <c r="W1837" i="2"/>
  <c r="U1827" i="2"/>
  <c r="U1828" i="2"/>
  <c r="U1839" i="2"/>
  <c r="U1816" i="2"/>
  <c r="U1817" i="2" s="1"/>
  <c r="U1815" i="2"/>
  <c r="U1820" i="2" s="1"/>
  <c r="U1842" i="2" l="1"/>
  <c r="W1851" i="2"/>
  <c r="U1853" i="2"/>
  <c r="U1841" i="2"/>
  <c r="U1818" i="2"/>
  <c r="U1819" i="2" s="1"/>
  <c r="U1822" i="2" s="1"/>
  <c r="V1823" i="2" s="1"/>
  <c r="U1829" i="2"/>
  <c r="U1834" i="2" s="1"/>
  <c r="U1830" i="2"/>
  <c r="U1831" i="2" s="1"/>
  <c r="U1855" i="2" l="1"/>
  <c r="U1867" i="2"/>
  <c r="W1865" i="2"/>
  <c r="U1856" i="2"/>
  <c r="U1832" i="2"/>
  <c r="U1833" i="2" s="1"/>
  <c r="U1836" i="2" s="1"/>
  <c r="V1837" i="2" s="1"/>
  <c r="U1844" i="2"/>
  <c r="U1845" i="2" s="1"/>
  <c r="U1843" i="2"/>
  <c r="U1848" i="2" s="1"/>
  <c r="U1869" i="2" l="1"/>
  <c r="U1881" i="2"/>
  <c r="U1870" i="2"/>
  <c r="W1879" i="2"/>
  <c r="U1846" i="2"/>
  <c r="U1847" i="2" s="1"/>
  <c r="U1850" i="2" s="1"/>
  <c r="V1851" i="2" s="1"/>
  <c r="U1858" i="2"/>
  <c r="U1859" i="2" s="1"/>
  <c r="U1857" i="2"/>
  <c r="U1862" i="2" s="1"/>
  <c r="U1884" i="2" l="1"/>
  <c r="U1883" i="2"/>
  <c r="U1895" i="2"/>
  <c r="W1893" i="2"/>
  <c r="U1871" i="2"/>
  <c r="U1876" i="2" s="1"/>
  <c r="U1872" i="2"/>
  <c r="U1873" i="2" s="1"/>
  <c r="U1874" i="2" s="1"/>
  <c r="U1860" i="2"/>
  <c r="U1861" i="2" s="1"/>
  <c r="U1864" i="2" s="1"/>
  <c r="V1865" i="2" s="1"/>
  <c r="W1907" i="2" l="1"/>
  <c r="U1897" i="2"/>
  <c r="U1909" i="2"/>
  <c r="U1898" i="2"/>
  <c r="U1885" i="2"/>
  <c r="U1890" i="2" s="1"/>
  <c r="U1886" i="2"/>
  <c r="U1887" i="2" s="1"/>
  <c r="U1875" i="2"/>
  <c r="U1878" i="2" s="1"/>
  <c r="V1879" i="2" s="1"/>
  <c r="U1899" i="2" l="1"/>
  <c r="U1904" i="2" s="1"/>
  <c r="U1900" i="2"/>
  <c r="U1901" i="2" s="1"/>
  <c r="U1888" i="2"/>
  <c r="U1889" i="2" s="1"/>
  <c r="U1892" i="2" s="1"/>
  <c r="V1893" i="2" s="1"/>
  <c r="U1912" i="2"/>
  <c r="W1921" i="2"/>
  <c r="U1911" i="2"/>
  <c r="U1923" i="2"/>
  <c r="U1902" i="2" l="1"/>
  <c r="U1903" i="2" s="1"/>
  <c r="U1906" i="2" s="1"/>
  <c r="V1907" i="2" s="1"/>
  <c r="U1913" i="2"/>
  <c r="U1918" i="2" s="1"/>
  <c r="U1914" i="2"/>
  <c r="U1915" i="2" s="1"/>
  <c r="U1916" i="2" s="1"/>
  <c r="U1926" i="2"/>
  <c r="U1925" i="2"/>
  <c r="U1937" i="2"/>
  <c r="W1935" i="2"/>
  <c r="U1917" i="2" l="1"/>
  <c r="U1920" i="2" s="1"/>
  <c r="V1921" i="2" s="1"/>
  <c r="U1927" i="2"/>
  <c r="U1932" i="2" s="1"/>
  <c r="U1928" i="2"/>
  <c r="U1929" i="2" s="1"/>
  <c r="U1930" i="2" s="1"/>
  <c r="W1949" i="2"/>
  <c r="U1940" i="2"/>
  <c r="U1951" i="2"/>
  <c r="U1939" i="2"/>
  <c r="U1931" i="2" l="1"/>
  <c r="U1934" i="2" s="1"/>
  <c r="V1935" i="2" s="1"/>
  <c r="U1965" i="2"/>
  <c r="U1954" i="2"/>
  <c r="U1953" i="2"/>
  <c r="W1963" i="2"/>
  <c r="U1942" i="2"/>
  <c r="U1943" i="2" s="1"/>
  <c r="U1941" i="2"/>
  <c r="U1946" i="2" s="1"/>
  <c r="U1944" i="2" l="1"/>
  <c r="U1945" i="2" s="1"/>
  <c r="U1948" i="2" s="1"/>
  <c r="V1949" i="2" s="1"/>
  <c r="U1979" i="2"/>
  <c r="U1967" i="2"/>
  <c r="W1977" i="2"/>
  <c r="U1968" i="2"/>
  <c r="U1955" i="2"/>
  <c r="U1960" i="2" s="1"/>
  <c r="U1956" i="2"/>
  <c r="U1957" i="2" s="1"/>
  <c r="U1958" i="2" s="1"/>
  <c r="U1981" i="2" l="1"/>
  <c r="W1991" i="2"/>
  <c r="U1982" i="2"/>
  <c r="U1993" i="2"/>
  <c r="U1970" i="2"/>
  <c r="U1971" i="2" s="1"/>
  <c r="U1972" i="2" s="1"/>
  <c r="U1969" i="2"/>
  <c r="U1974" i="2" s="1"/>
  <c r="U1959" i="2"/>
  <c r="U1962" i="2" s="1"/>
  <c r="V1963" i="2" s="1"/>
  <c r="U1973" i="2" l="1"/>
  <c r="U1976" i="2" s="1"/>
  <c r="V1977" i="2" s="1"/>
  <c r="U1996" i="2"/>
  <c r="U1995" i="2"/>
  <c r="W2005" i="2"/>
  <c r="U2007" i="2"/>
  <c r="U1983" i="2"/>
  <c r="U1988" i="2" s="1"/>
  <c r="U1984" i="2"/>
  <c r="U1985" i="2" s="1"/>
  <c r="U1986" i="2" s="1"/>
  <c r="U1998" i="2" l="1"/>
  <c r="U1999" i="2" s="1"/>
  <c r="U1997" i="2"/>
  <c r="U2002" i="2" s="1"/>
  <c r="U2010" i="2"/>
  <c r="U2009" i="2"/>
  <c r="W2019" i="2"/>
  <c r="U2021" i="2"/>
  <c r="U1987" i="2"/>
  <c r="U1990" i="2" s="1"/>
  <c r="V1991" i="2" s="1"/>
  <c r="U2000" i="2" l="1"/>
  <c r="U2001" i="2" s="1"/>
  <c r="U2004" i="2" s="1"/>
  <c r="V2005" i="2" s="1"/>
  <c r="U2035" i="2"/>
  <c r="U2024" i="2"/>
  <c r="U2023" i="2"/>
  <c r="W2033" i="2"/>
  <c r="U2011" i="2"/>
  <c r="U2016" i="2" s="1"/>
  <c r="U2012" i="2"/>
  <c r="U2013" i="2" s="1"/>
  <c r="U2014" i="2" s="1"/>
  <c r="U2026" i="2" l="1"/>
  <c r="U2027" i="2" s="1"/>
  <c r="U2028" i="2" s="1"/>
  <c r="U2025" i="2"/>
  <c r="U2030" i="2" s="1"/>
  <c r="U2015" i="2"/>
  <c r="U2018" i="2" s="1"/>
  <c r="V2019" i="2" s="1"/>
  <c r="U2049" i="2"/>
  <c r="U2038" i="2"/>
  <c r="U2037" i="2"/>
  <c r="W2047" i="2"/>
  <c r="U2029" i="2" l="1"/>
  <c r="U2032" i="2" s="1"/>
  <c r="V2033" i="2" s="1"/>
  <c r="U2040" i="2"/>
  <c r="U2041" i="2" s="1"/>
  <c r="U2039" i="2"/>
  <c r="U2044" i="2" s="1"/>
  <c r="W2061" i="2"/>
  <c r="U2052" i="2"/>
  <c r="U2051" i="2"/>
  <c r="U2063" i="2"/>
  <c r="U2054" i="2" l="1"/>
  <c r="U2055" i="2" s="1"/>
  <c r="U2053" i="2"/>
  <c r="U2058" i="2" s="1"/>
  <c r="U2042" i="2"/>
  <c r="U2043" i="2" s="1"/>
  <c r="U2046" i="2" s="1"/>
  <c r="V2047" i="2" s="1"/>
  <c r="U2077" i="2"/>
  <c r="U2065" i="2"/>
  <c r="U2066" i="2"/>
  <c r="W2075" i="2"/>
  <c r="W2089" i="2" l="1"/>
  <c r="U2080" i="2"/>
  <c r="U2079" i="2"/>
  <c r="U2091" i="2"/>
  <c r="U2056" i="2"/>
  <c r="U2057" i="2" s="1"/>
  <c r="U2060" i="2" s="1"/>
  <c r="V2061" i="2" s="1"/>
  <c r="U2067" i="2"/>
  <c r="U2072" i="2" s="1"/>
  <c r="U2068" i="2"/>
  <c r="U2069" i="2" s="1"/>
  <c r="U2081" i="2" l="1"/>
  <c r="U2086" i="2" s="1"/>
  <c r="U2082" i="2"/>
  <c r="U2083" i="2" s="1"/>
  <c r="U2084" i="2" s="1"/>
  <c r="U2070" i="2"/>
  <c r="U2071" i="2" s="1"/>
  <c r="U2074" i="2" s="1"/>
  <c r="V2075" i="2" s="1"/>
  <c r="U2094" i="2"/>
  <c r="U2105" i="2"/>
  <c r="U2093" i="2"/>
  <c r="W2103" i="2"/>
  <c r="U2085" i="2" l="1"/>
  <c r="U2088" i="2" s="1"/>
  <c r="V2089" i="2" s="1"/>
  <c r="U2107" i="2"/>
  <c r="U2108" i="2"/>
  <c r="U2119" i="2"/>
  <c r="W2117" i="2"/>
  <c r="U2095" i="2"/>
  <c r="U2100" i="2" s="1"/>
  <c r="U2096" i="2"/>
  <c r="U2097" i="2" s="1"/>
  <c r="U2098" i="2" s="1"/>
  <c r="U2109" i="2" l="1"/>
  <c r="U2114" i="2" s="1"/>
  <c r="U2110" i="2"/>
  <c r="U2111" i="2" s="1"/>
  <c r="U2121" i="2"/>
  <c r="W2131" i="2"/>
  <c r="U2133" i="2"/>
  <c r="U2122" i="2"/>
  <c r="U2099" i="2"/>
  <c r="U2102" i="2" s="1"/>
  <c r="V2103" i="2" s="1"/>
  <c r="W2145" i="2" l="1"/>
  <c r="U2135" i="2"/>
  <c r="U2147" i="2"/>
  <c r="U2136" i="2"/>
  <c r="U2112" i="2"/>
  <c r="U2113" i="2" s="1"/>
  <c r="U2116" i="2" s="1"/>
  <c r="V2117" i="2" s="1"/>
  <c r="U2123" i="2"/>
  <c r="U2128" i="2" s="1"/>
  <c r="U2124" i="2"/>
  <c r="U2125" i="2" s="1"/>
  <c r="U2137" i="2" l="1"/>
  <c r="U2142" i="2" s="1"/>
  <c r="U2138" i="2"/>
  <c r="U2139" i="2" s="1"/>
  <c r="U2140" i="2" s="1"/>
  <c r="U2161" i="2"/>
  <c r="W2159" i="2"/>
  <c r="U2150" i="2"/>
  <c r="U2149" i="2"/>
  <c r="U2126" i="2"/>
  <c r="U2127" i="2" s="1"/>
  <c r="U2130" i="2" s="1"/>
  <c r="V2131" i="2" s="1"/>
  <c r="U2141" i="2" l="1"/>
  <c r="U2144" i="2" s="1"/>
  <c r="V2145" i="2" s="1"/>
  <c r="U2164" i="2"/>
  <c r="U2163" i="2"/>
  <c r="W2173" i="2"/>
  <c r="U2175" i="2"/>
  <c r="U2151" i="2"/>
  <c r="U2156" i="2" s="1"/>
  <c r="U2152" i="2"/>
  <c r="U2153" i="2" s="1"/>
  <c r="U2177" i="2" l="1"/>
  <c r="W2187" i="2"/>
  <c r="U2189" i="2"/>
  <c r="U2178" i="2"/>
  <c r="U2166" i="2"/>
  <c r="U2167" i="2" s="1"/>
  <c r="U2165" i="2"/>
  <c r="U2170" i="2" s="1"/>
  <c r="U2154" i="2"/>
  <c r="U2155" i="2" s="1"/>
  <c r="U2158" i="2" s="1"/>
  <c r="V2159" i="2" s="1"/>
  <c r="U2168" i="2" l="1"/>
  <c r="U2169" i="2" s="1"/>
  <c r="U2172" i="2" s="1"/>
  <c r="V2173" i="2" s="1"/>
  <c r="U2203" i="2"/>
  <c r="U2192" i="2"/>
  <c r="U2191" i="2"/>
  <c r="W2201" i="2"/>
  <c r="U2180" i="2"/>
  <c r="U2181" i="2" s="1"/>
  <c r="U2182" i="2" s="1"/>
  <c r="U2179" i="2"/>
  <c r="U2184" i="2" s="1"/>
  <c r="U2217" i="2" l="1"/>
  <c r="W2215" i="2"/>
  <c r="U2205" i="2"/>
  <c r="U2206" i="2"/>
  <c r="U2193" i="2"/>
  <c r="U2198" i="2" s="1"/>
  <c r="U2194" i="2"/>
  <c r="U2195" i="2" s="1"/>
  <c r="U2196" i="2" s="1"/>
  <c r="U2183" i="2"/>
  <c r="U2186" i="2" s="1"/>
  <c r="V2187" i="2" s="1"/>
  <c r="U2197" i="2" l="1"/>
  <c r="U2200" i="2" s="1"/>
  <c r="V2201" i="2" s="1"/>
  <c r="U2208" i="2"/>
  <c r="U2209" i="2" s="1"/>
  <c r="U2207" i="2"/>
  <c r="U2212" i="2" s="1"/>
  <c r="U2219" i="2"/>
  <c r="U2231" i="2"/>
  <c r="W2229" i="2"/>
  <c r="U2220" i="2"/>
  <c r="U2210" i="2" l="1"/>
  <c r="U2211" i="2" s="1"/>
  <c r="U2214" i="2" s="1"/>
  <c r="V2215" i="2" s="1"/>
  <c r="U2221" i="2"/>
  <c r="U2226" i="2" s="1"/>
  <c r="U2222" i="2"/>
  <c r="U2223" i="2" s="1"/>
  <c r="U2233" i="2"/>
  <c r="W2243" i="2"/>
  <c r="U2245" i="2"/>
  <c r="U2234" i="2"/>
  <c r="U2235" i="2" l="1"/>
  <c r="U2240" i="2" s="1"/>
  <c r="U2236" i="2"/>
  <c r="U2237" i="2" s="1"/>
  <c r="U2238" i="2" s="1"/>
  <c r="U2259" i="2"/>
  <c r="U2248" i="2"/>
  <c r="U2247" i="2"/>
  <c r="W2257" i="2"/>
  <c r="U2224" i="2"/>
  <c r="U2225" i="2" s="1"/>
  <c r="U2228" i="2" s="1"/>
  <c r="V2229" i="2" s="1"/>
  <c r="U2239" i="2" l="1"/>
  <c r="U2242" i="2" s="1"/>
  <c r="V2243" i="2" s="1"/>
  <c r="U2249" i="2"/>
  <c r="U2254" i="2" s="1"/>
  <c r="U2250" i="2"/>
  <c r="U2251" i="2" s="1"/>
  <c r="U2252" i="2" s="1"/>
  <c r="U2262" i="2"/>
  <c r="U2273" i="2"/>
  <c r="U2261" i="2"/>
  <c r="W2271" i="2"/>
  <c r="U2264" i="2" l="1"/>
  <c r="U2265" i="2" s="1"/>
  <c r="U2266" i="2" s="1"/>
  <c r="U2263" i="2"/>
  <c r="U2268" i="2" s="1"/>
  <c r="U2275" i="2"/>
  <c r="U2287" i="2"/>
  <c r="U2276" i="2"/>
  <c r="W2285" i="2"/>
  <c r="U2253" i="2"/>
  <c r="U2256" i="2" s="1"/>
  <c r="V2257" i="2" s="1"/>
  <c r="U2267" i="2" l="1"/>
  <c r="U2270" i="2" s="1"/>
  <c r="V2271" i="2" s="1"/>
  <c r="U2278" i="2"/>
  <c r="U2279" i="2" s="1"/>
  <c r="U2277" i="2"/>
  <c r="U2282" i="2" s="1"/>
  <c r="U2290" i="2"/>
  <c r="W2299" i="2"/>
  <c r="U2301" i="2"/>
  <c r="U2289" i="2"/>
  <c r="U2292" i="2" l="1"/>
  <c r="U2293" i="2" s="1"/>
  <c r="U2294" i="2" s="1"/>
  <c r="U2291" i="2"/>
  <c r="U2296" i="2" s="1"/>
  <c r="W2313" i="2"/>
  <c r="U2315" i="2"/>
  <c r="U2303" i="2"/>
  <c r="U2304" i="2"/>
  <c r="U2280" i="2"/>
  <c r="U2281" i="2" s="1"/>
  <c r="U2284" i="2" s="1"/>
  <c r="V2285" i="2" s="1"/>
  <c r="U2295" i="2" l="1"/>
  <c r="U2298" i="2" s="1"/>
  <c r="V2299" i="2" s="1"/>
  <c r="U2306" i="2"/>
  <c r="U2307" i="2" s="1"/>
  <c r="U2308" i="2" s="1"/>
  <c r="U2305" i="2"/>
  <c r="U2310" i="2" s="1"/>
  <c r="U2317" i="2"/>
  <c r="W2327" i="2"/>
  <c r="U2329" i="2"/>
  <c r="U2318" i="2"/>
  <c r="U2309" i="2" l="1"/>
  <c r="U2312" i="2" s="1"/>
  <c r="V2313" i="2" s="1"/>
  <c r="U2343" i="2"/>
  <c r="U2332" i="2"/>
  <c r="U2331" i="2"/>
  <c r="W2341" i="2"/>
  <c r="U2320" i="2"/>
  <c r="U2321" i="2" s="1"/>
  <c r="U2319" i="2"/>
  <c r="U2324" i="2" s="1"/>
  <c r="U2322" i="2" l="1"/>
  <c r="U2323" i="2" s="1"/>
  <c r="U2326" i="2" s="1"/>
  <c r="V2327" i="2" s="1"/>
  <c r="U2357" i="2"/>
  <c r="U2346" i="2"/>
  <c r="U2345" i="2"/>
  <c r="W2355" i="2"/>
  <c r="U2334" i="2"/>
  <c r="U2335" i="2" s="1"/>
  <c r="U2333" i="2"/>
  <c r="U2338" i="2" s="1"/>
  <c r="U2336" i="2" l="1"/>
  <c r="U2337" i="2" s="1"/>
  <c r="U2340" i="2" s="1"/>
  <c r="V2341" i="2" s="1"/>
  <c r="U2359" i="2"/>
  <c r="U2360" i="2"/>
  <c r="W2369" i="2"/>
  <c r="U2371" i="2"/>
  <c r="U2348" i="2"/>
  <c r="U2349" i="2" s="1"/>
  <c r="U2350" i="2" s="1"/>
  <c r="U2347" i="2"/>
  <c r="U2352" i="2" s="1"/>
  <c r="U2351" i="2" l="1"/>
  <c r="U2354" i="2" s="1"/>
  <c r="V2355" i="2" s="1"/>
  <c r="U2373" i="2"/>
  <c r="U2374" i="2"/>
  <c r="W2383" i="2"/>
  <c r="U2385" i="2"/>
  <c r="U2361" i="2"/>
  <c r="U2366" i="2" s="1"/>
  <c r="U2362" i="2"/>
  <c r="U2363" i="2" s="1"/>
  <c r="U2376" i="2" l="1"/>
  <c r="U2377" i="2" s="1"/>
  <c r="U2375" i="2"/>
  <c r="U2380" i="2" s="1"/>
  <c r="U2364" i="2"/>
  <c r="U2365" i="2" s="1"/>
  <c r="U2368" i="2" s="1"/>
  <c r="V2369" i="2" s="1"/>
  <c r="U2387" i="2"/>
  <c r="U2399" i="2"/>
  <c r="U2388" i="2"/>
  <c r="W2397" i="2"/>
  <c r="U2389" i="2" l="1"/>
  <c r="U2394" i="2" s="1"/>
  <c r="U2390" i="2"/>
  <c r="U2391" i="2" s="1"/>
  <c r="U2378" i="2"/>
  <c r="U2379" i="2" s="1"/>
  <c r="U2382" i="2" s="1"/>
  <c r="V2383" i="2" s="1"/>
  <c r="U2402" i="2"/>
  <c r="U2413" i="2"/>
  <c r="U2401" i="2"/>
  <c r="W2411" i="2"/>
  <c r="U2416" i="2" l="1"/>
  <c r="U2427" i="2"/>
  <c r="W2425" i="2"/>
  <c r="U2415" i="2"/>
  <c r="U2392" i="2"/>
  <c r="U2393" i="2" s="1"/>
  <c r="U2396" i="2" s="1"/>
  <c r="V2397" i="2" s="1"/>
  <c r="U2403" i="2"/>
  <c r="U2408" i="2" s="1"/>
  <c r="U2404" i="2"/>
  <c r="U2405" i="2" s="1"/>
  <c r="U2406" i="2" s="1"/>
  <c r="U2407" i="2" l="1"/>
  <c r="U2410" i="2" s="1"/>
  <c r="V2411" i="2" s="1"/>
  <c r="U2417" i="2"/>
  <c r="U2422" i="2" s="1"/>
  <c r="U2418" i="2"/>
  <c r="U2419" i="2" s="1"/>
  <c r="W2439" i="2"/>
  <c r="U2429" i="2"/>
  <c r="U2441" i="2"/>
  <c r="U2430" i="2"/>
  <c r="U2420" i="2" l="1"/>
  <c r="U2421" i="2" s="1"/>
  <c r="U2424" i="2" s="1"/>
  <c r="V2425" i="2" s="1"/>
  <c r="U2455" i="2"/>
  <c r="W2453" i="2"/>
  <c r="U2443" i="2"/>
  <c r="U2444" i="2"/>
  <c r="U2431" i="2"/>
  <c r="U2436" i="2" s="1"/>
  <c r="U2432" i="2"/>
  <c r="U2433" i="2" s="1"/>
  <c r="U2434" i="2" s="1"/>
  <c r="U2445" i="2" l="1"/>
  <c r="U2450" i="2" s="1"/>
  <c r="U2446" i="2"/>
  <c r="U2447" i="2" s="1"/>
  <c r="U2469" i="2"/>
  <c r="W2467" i="2"/>
  <c r="U2458" i="2"/>
  <c r="U2457" i="2"/>
  <c r="U2435" i="2"/>
  <c r="U2438" i="2" s="1"/>
  <c r="V2439" i="2" s="1"/>
  <c r="W2481" i="2" l="1"/>
  <c r="U2472" i="2"/>
  <c r="U2483" i="2"/>
  <c r="U2471" i="2"/>
  <c r="U2459" i="2"/>
  <c r="U2464" i="2" s="1"/>
  <c r="U2460" i="2"/>
  <c r="U2461" i="2" s="1"/>
  <c r="U2448" i="2"/>
  <c r="U2449" i="2" s="1"/>
  <c r="U2452" i="2" s="1"/>
  <c r="V2453" i="2" s="1"/>
  <c r="U2473" i="2" l="1"/>
  <c r="U2478" i="2" s="1"/>
  <c r="U2474" i="2"/>
  <c r="U2475" i="2" s="1"/>
  <c r="U2462" i="2"/>
  <c r="U2463" i="2" s="1"/>
  <c r="U2466" i="2" s="1"/>
  <c r="V2467" i="2" s="1"/>
  <c r="U2486" i="2"/>
  <c r="W2495" i="2"/>
  <c r="U2497" i="2"/>
  <c r="U2485" i="2"/>
  <c r="U2488" i="2" l="1"/>
  <c r="U2489" i="2" s="1"/>
  <c r="U2490" i="2" s="1"/>
  <c r="U2487" i="2"/>
  <c r="U2492" i="2" s="1"/>
  <c r="U2476" i="2"/>
  <c r="U2477" i="2" s="1"/>
  <c r="U2480" i="2" s="1"/>
  <c r="V2481" i="2" s="1"/>
  <c r="W2509" i="2"/>
  <c r="U2500" i="2"/>
  <c r="U2499" i="2"/>
  <c r="U2511" i="2"/>
  <c r="U2491" i="2" l="1"/>
  <c r="U2494" i="2" s="1"/>
  <c r="V2495" i="2" s="1"/>
  <c r="U2501" i="2"/>
  <c r="U2506" i="2" s="1"/>
  <c r="U2502" i="2"/>
  <c r="U2503" i="2" s="1"/>
  <c r="U2513" i="2"/>
  <c r="U2525" i="2"/>
  <c r="W2523" i="2"/>
  <c r="U2514" i="2"/>
  <c r="U2504" i="2" l="1"/>
  <c r="U2505" i="2" s="1"/>
  <c r="U2508" i="2" s="1"/>
  <c r="V2509" i="2" s="1"/>
  <c r="U2515" i="2"/>
  <c r="U2520" i="2" s="1"/>
  <c r="U2516" i="2"/>
  <c r="U2517" i="2" s="1"/>
  <c r="U2518" i="2" s="1"/>
  <c r="U2539" i="2"/>
  <c r="U2527" i="2"/>
  <c r="U2528" i="2"/>
  <c r="W2537" i="2"/>
  <c r="U2519" i="2" l="1"/>
  <c r="U2522" i="2" s="1"/>
  <c r="V2523" i="2" s="1"/>
  <c r="U2542" i="2"/>
  <c r="U2541" i="2"/>
  <c r="U2553" i="2"/>
  <c r="W2551" i="2"/>
  <c r="U2530" i="2"/>
  <c r="U2531" i="2" s="1"/>
  <c r="U2532" i="2" s="1"/>
  <c r="U2529" i="2"/>
  <c r="U2534" i="2" s="1"/>
  <c r="U2533" i="2" l="1"/>
  <c r="U2536" i="2" s="1"/>
  <c r="V2537" i="2" s="1"/>
  <c r="U2543" i="2"/>
  <c r="U2548" i="2" s="1"/>
  <c r="U2544" i="2"/>
  <c r="U2545" i="2" s="1"/>
  <c r="U2555" i="2"/>
  <c r="U2567" i="2"/>
  <c r="W2565" i="2"/>
  <c r="U2556" i="2"/>
  <c r="U2546" i="2" l="1"/>
  <c r="U2547" i="2" s="1"/>
  <c r="U2550" i="2" s="1"/>
  <c r="V2551" i="2" s="1"/>
  <c r="U2557" i="2"/>
  <c r="U2562" i="2" s="1"/>
  <c r="U2558" i="2"/>
  <c r="U2559" i="2" s="1"/>
  <c r="U2581" i="2"/>
  <c r="U2569" i="2"/>
  <c r="W2579" i="2"/>
  <c r="U2570" i="2"/>
  <c r="U2571" i="2" l="1"/>
  <c r="U2576" i="2" s="1"/>
  <c r="U2572" i="2"/>
  <c r="U2573" i="2" s="1"/>
  <c r="U2584" i="2"/>
  <c r="U2595" i="2"/>
  <c r="U2583" i="2"/>
  <c r="W2593" i="2"/>
  <c r="U2560" i="2"/>
  <c r="U2561" i="2" s="1"/>
  <c r="U2564" i="2" s="1"/>
  <c r="V2565" i="2" s="1"/>
  <c r="U2574" i="2" l="1"/>
  <c r="U2575" i="2" s="1"/>
  <c r="U2578" i="2" s="1"/>
  <c r="V2579" i="2" s="1"/>
  <c r="U2585" i="2"/>
  <c r="U2590" i="2" s="1"/>
  <c r="U2586" i="2"/>
  <c r="U2587" i="2" s="1"/>
  <c r="U2597" i="2"/>
  <c r="U2609" i="2"/>
  <c r="U2598" i="2"/>
  <c r="W2607" i="2"/>
  <c r="U2599" i="2" l="1"/>
  <c r="U2604" i="2" s="1"/>
  <c r="U2600" i="2"/>
  <c r="U2601" i="2" s="1"/>
  <c r="U2611" i="2"/>
  <c r="U2623" i="2"/>
  <c r="W2621" i="2"/>
  <c r="U2612" i="2"/>
  <c r="U2588" i="2"/>
  <c r="U2589" i="2" s="1"/>
  <c r="U2592" i="2" s="1"/>
  <c r="V2593" i="2" s="1"/>
  <c r="U2602" i="2" l="1"/>
  <c r="U2603" i="2" s="1"/>
  <c r="U2606" i="2" s="1"/>
  <c r="V2607" i="2" s="1"/>
  <c r="U2613" i="2"/>
  <c r="U2618" i="2" s="1"/>
  <c r="U2614" i="2"/>
  <c r="U2615" i="2" s="1"/>
  <c r="U2637" i="2"/>
  <c r="U2625" i="2"/>
  <c r="W2635" i="2"/>
  <c r="U2626" i="2"/>
  <c r="U2639" i="2" l="1"/>
  <c r="W2649" i="2"/>
  <c r="U2651" i="2"/>
  <c r="U2640" i="2"/>
  <c r="U2628" i="2"/>
  <c r="U2629" i="2" s="1"/>
  <c r="U2630" i="2" s="1"/>
  <c r="U2627" i="2"/>
  <c r="U2632" i="2" s="1"/>
  <c r="U2616" i="2"/>
  <c r="U2617" i="2" s="1"/>
  <c r="U2620" i="2" s="1"/>
  <c r="V2621" i="2" s="1"/>
  <c r="U2631" i="2" l="1"/>
  <c r="U2634" i="2" s="1"/>
  <c r="V2635" i="2" s="1"/>
  <c r="U2654" i="2"/>
  <c r="W2663" i="2"/>
  <c r="U2653" i="2"/>
  <c r="U2665" i="2"/>
  <c r="U2641" i="2"/>
  <c r="U2646" i="2" s="1"/>
  <c r="U2642" i="2"/>
  <c r="U2643" i="2" s="1"/>
  <c r="U2644" i="2" l="1"/>
  <c r="U2645" i="2" s="1"/>
  <c r="U2648" i="2" s="1"/>
  <c r="V2649" i="2" s="1"/>
  <c r="U2656" i="2"/>
  <c r="U2657" i="2" s="1"/>
  <c r="U2655" i="2"/>
  <c r="U2660" i="2" s="1"/>
  <c r="U2668" i="2"/>
  <c r="U2667" i="2"/>
  <c r="U2679" i="2"/>
  <c r="W2677" i="2"/>
  <c r="U2669" i="2" l="1"/>
  <c r="U2674" i="2" s="1"/>
  <c r="U2670" i="2"/>
  <c r="U2671" i="2" s="1"/>
  <c r="U2693" i="2"/>
  <c r="U2681" i="2"/>
  <c r="W2691" i="2"/>
  <c r="U2682" i="2"/>
  <c r="U2658" i="2"/>
  <c r="U2659" i="2" s="1"/>
  <c r="U2662" i="2" s="1"/>
  <c r="V2663" i="2" s="1"/>
  <c r="W2705" i="2" l="1"/>
  <c r="U2696" i="2"/>
  <c r="U2707" i="2"/>
  <c r="U2695" i="2"/>
  <c r="U2672" i="2"/>
  <c r="U2673" i="2" s="1"/>
  <c r="U2676" i="2" s="1"/>
  <c r="V2677" i="2" s="1"/>
  <c r="U2683" i="2"/>
  <c r="U2688" i="2" s="1"/>
  <c r="U2684" i="2"/>
  <c r="U2685" i="2" s="1"/>
  <c r="U2686" i="2" s="1"/>
  <c r="U2721" i="2" l="1"/>
  <c r="U2709" i="2"/>
  <c r="U2710" i="2"/>
  <c r="W2719" i="2"/>
  <c r="U2698" i="2"/>
  <c r="U2699" i="2" s="1"/>
  <c r="U2697" i="2"/>
  <c r="U2702" i="2" s="1"/>
  <c r="U2687" i="2"/>
  <c r="U2690" i="2" s="1"/>
  <c r="V2691" i="2" s="1"/>
  <c r="U2724" i="2" l="1"/>
  <c r="U2735" i="2"/>
  <c r="W2733" i="2"/>
  <c r="U2723" i="2"/>
  <c r="U2700" i="2"/>
  <c r="U2701" i="2" s="1"/>
  <c r="U2704" i="2" s="1"/>
  <c r="V2705" i="2" s="1"/>
  <c r="U2712" i="2"/>
  <c r="U2713" i="2" s="1"/>
  <c r="U2711" i="2"/>
  <c r="U2716" i="2" s="1"/>
  <c r="U2749" i="2" l="1"/>
  <c r="U2737" i="2"/>
  <c r="W2747" i="2"/>
  <c r="U2738" i="2"/>
  <c r="U2714" i="2"/>
  <c r="U2715" i="2" s="1"/>
  <c r="U2718" i="2" s="1"/>
  <c r="V2719" i="2" s="1"/>
  <c r="U2725" i="2"/>
  <c r="U2730" i="2" s="1"/>
  <c r="U2726" i="2"/>
  <c r="U2727" i="2" s="1"/>
  <c r="U2740" i="2" l="1"/>
  <c r="U2741" i="2" s="1"/>
  <c r="U2739" i="2"/>
  <c r="U2744" i="2" s="1"/>
  <c r="U2752" i="2"/>
  <c r="U2763" i="2"/>
  <c r="U2751" i="2"/>
  <c r="W2761" i="2"/>
  <c r="U2728" i="2"/>
  <c r="U2729" i="2" s="1"/>
  <c r="U2732" i="2" s="1"/>
  <c r="V2733" i="2" s="1"/>
  <c r="U2777" i="2" l="1"/>
  <c r="U2766" i="2"/>
  <c r="U2765" i="2"/>
  <c r="W2775" i="2"/>
  <c r="U2754" i="2"/>
  <c r="U2755" i="2" s="1"/>
  <c r="U2756" i="2" s="1"/>
  <c r="U2753" i="2"/>
  <c r="U2758" i="2" s="1"/>
  <c r="U2742" i="2"/>
  <c r="U2743" i="2" s="1"/>
  <c r="U2746" i="2" s="1"/>
  <c r="V2747" i="2" s="1"/>
  <c r="U2757" i="2" l="1"/>
  <c r="U2760" i="2" s="1"/>
  <c r="V2761" i="2" s="1"/>
  <c r="W2789" i="2"/>
  <c r="U2791" i="2"/>
  <c r="U2779" i="2"/>
  <c r="U2780" i="2"/>
  <c r="U2768" i="2"/>
  <c r="U2769" i="2" s="1"/>
  <c r="U2767" i="2"/>
  <c r="U2772" i="2" s="1"/>
  <c r="U2794" i="2" l="1"/>
  <c r="U2793" i="2"/>
  <c r="W2803" i="2"/>
  <c r="U2805" i="2"/>
  <c r="U2770" i="2"/>
  <c r="U2771" i="2" s="1"/>
  <c r="U2774" i="2" s="1"/>
  <c r="V2775" i="2" s="1"/>
  <c r="U2781" i="2"/>
  <c r="U2786" i="2" s="1"/>
  <c r="U2782" i="2"/>
  <c r="U2783" i="2" s="1"/>
  <c r="U2784" i="2" l="1"/>
  <c r="U2785" i="2" s="1"/>
  <c r="U2788" i="2" s="1"/>
  <c r="V2789" i="2" s="1"/>
  <c r="U2796" i="2"/>
  <c r="U2797" i="2" s="1"/>
  <c r="U2798" i="2" s="1"/>
  <c r="U2795" i="2"/>
  <c r="U2800" i="2" s="1"/>
  <c r="U2808" i="2"/>
  <c r="U2819" i="2"/>
  <c r="U2807" i="2"/>
  <c r="W2817" i="2"/>
  <c r="U2821" i="2" l="1"/>
  <c r="U2833" i="2"/>
  <c r="U2822" i="2"/>
  <c r="W2831" i="2"/>
  <c r="U2809" i="2"/>
  <c r="U2814" i="2" s="1"/>
  <c r="U2810" i="2"/>
  <c r="U2811" i="2" s="1"/>
  <c r="U2799" i="2"/>
  <c r="U2802" i="2" s="1"/>
  <c r="V2803" i="2" s="1"/>
  <c r="U2824" i="2" l="1"/>
  <c r="U2825" i="2" s="1"/>
  <c r="U2823" i="2"/>
  <c r="U2828" i="2" s="1"/>
  <c r="U2836" i="2"/>
  <c r="W2845" i="2"/>
  <c r="U2835" i="2"/>
  <c r="U2847" i="2"/>
  <c r="U2812" i="2"/>
  <c r="U2813" i="2" s="1"/>
  <c r="U2816" i="2" s="1"/>
  <c r="V2817" i="2" s="1"/>
  <c r="U2837" i="2" l="1"/>
  <c r="U2842" i="2" s="1"/>
  <c r="U2838" i="2"/>
  <c r="U2839" i="2" s="1"/>
  <c r="U2826" i="2"/>
  <c r="U2827" i="2" s="1"/>
  <c r="U2830" i="2" s="1"/>
  <c r="V2831" i="2" s="1"/>
  <c r="U2850" i="2"/>
  <c r="U2861" i="2"/>
  <c r="U2849" i="2"/>
  <c r="W2859" i="2"/>
  <c r="W2873" i="2" l="1"/>
  <c r="U2864" i="2"/>
  <c r="U2875" i="2"/>
  <c r="U2863" i="2"/>
  <c r="U2840" i="2"/>
  <c r="U2841" i="2" s="1"/>
  <c r="U2844" i="2" s="1"/>
  <c r="V2845" i="2" s="1"/>
  <c r="U2851" i="2"/>
  <c r="U2856" i="2" s="1"/>
  <c r="U2852" i="2"/>
  <c r="U2853" i="2" s="1"/>
  <c r="W2887" i="2" l="1"/>
  <c r="U2877" i="2"/>
  <c r="U2889" i="2"/>
  <c r="U2878" i="2"/>
  <c r="U2865" i="2"/>
  <c r="U2870" i="2" s="1"/>
  <c r="U2866" i="2"/>
  <c r="U2867" i="2" s="1"/>
  <c r="U2854" i="2"/>
  <c r="U2855" i="2" s="1"/>
  <c r="U2858" i="2" s="1"/>
  <c r="V2859" i="2" s="1"/>
  <c r="U2880" i="2" l="1"/>
  <c r="U2881" i="2" s="1"/>
  <c r="U2879" i="2"/>
  <c r="U2884" i="2" s="1"/>
  <c r="U2868" i="2"/>
  <c r="U2869" i="2" s="1"/>
  <c r="U2872" i="2" s="1"/>
  <c r="V2873" i="2" s="1"/>
  <c r="U2891" i="2"/>
  <c r="U2892" i="2"/>
  <c r="W2901" i="2"/>
  <c r="U2903" i="2"/>
  <c r="U2882" i="2" l="1"/>
  <c r="U2883" i="2" s="1"/>
  <c r="U2886" i="2" s="1"/>
  <c r="V2887" i="2" s="1"/>
  <c r="U2905" i="2"/>
  <c r="W2915" i="2"/>
  <c r="U2917" i="2"/>
  <c r="U2906" i="2"/>
  <c r="U2893" i="2"/>
  <c r="U2898" i="2" s="1"/>
  <c r="U2894" i="2"/>
  <c r="U2895" i="2" s="1"/>
  <c r="U2896" i="2" l="1"/>
  <c r="U2897" i="2" s="1"/>
  <c r="U2900" i="2" s="1"/>
  <c r="V2901" i="2" s="1"/>
  <c r="W2929" i="2"/>
  <c r="U2931" i="2"/>
  <c r="U2919" i="2"/>
  <c r="U2920" i="2"/>
  <c r="U2908" i="2"/>
  <c r="U2909" i="2" s="1"/>
  <c r="U2910" i="2" s="1"/>
  <c r="U2907" i="2"/>
  <c r="U2912" i="2" s="1"/>
  <c r="U2911" i="2" l="1"/>
  <c r="U2914" i="2" s="1"/>
  <c r="V2915" i="2" s="1"/>
  <c r="U2922" i="2"/>
  <c r="U2923" i="2" s="1"/>
  <c r="U2921" i="2"/>
  <c r="U2926" i="2" s="1"/>
  <c r="U2934" i="2"/>
  <c r="W2943" i="2"/>
  <c r="U2933" i="2"/>
  <c r="U2945" i="2"/>
  <c r="U2948" i="2" l="1"/>
  <c r="W2957" i="2"/>
  <c r="U2947" i="2"/>
  <c r="U2959" i="2"/>
  <c r="U2936" i="2"/>
  <c r="U2937" i="2" s="1"/>
  <c r="U2935" i="2"/>
  <c r="U2940" i="2" s="1"/>
  <c r="U2924" i="2"/>
  <c r="U2925" i="2" s="1"/>
  <c r="U2928" i="2" s="1"/>
  <c r="V2929" i="2" s="1"/>
  <c r="U2938" i="2" l="1"/>
  <c r="U2939" i="2" s="1"/>
  <c r="U2942" i="2" s="1"/>
  <c r="V2943" i="2" s="1"/>
  <c r="U2949" i="2"/>
  <c r="U2954" i="2" s="1"/>
  <c r="U2950" i="2"/>
  <c r="U2951" i="2" s="1"/>
  <c r="U2973" i="2"/>
  <c r="U2962" i="2"/>
  <c r="U2961" i="2"/>
  <c r="W2971" i="2"/>
  <c r="U2976" i="2" l="1"/>
  <c r="U2987" i="2"/>
  <c r="U2975" i="2"/>
  <c r="W2985" i="2"/>
  <c r="U2964" i="2"/>
  <c r="U2965" i="2" s="1"/>
  <c r="U2966" i="2" s="1"/>
  <c r="U2963" i="2"/>
  <c r="U2968" i="2" s="1"/>
  <c r="U2952" i="2"/>
  <c r="U2953" i="2" s="1"/>
  <c r="U2956" i="2" s="1"/>
  <c r="V2957" i="2" s="1"/>
  <c r="U2967" i="2" l="1"/>
  <c r="U2970" i="2" s="1"/>
  <c r="V2971" i="2" s="1"/>
  <c r="U3001" i="2"/>
  <c r="U2989" i="2"/>
  <c r="U2990" i="2"/>
  <c r="W2999" i="2"/>
  <c r="U2978" i="2"/>
  <c r="U2979" i="2" s="1"/>
  <c r="U2977" i="2"/>
  <c r="U2982" i="2" s="1"/>
  <c r="U3004" i="2" l="1"/>
  <c r="W3013" i="2"/>
  <c r="U3015" i="2"/>
  <c r="U3003" i="2"/>
  <c r="U2980" i="2"/>
  <c r="U2981" i="2" s="1"/>
  <c r="U2984" i="2" s="1"/>
  <c r="V2985" i="2" s="1"/>
  <c r="U2991" i="2"/>
  <c r="U2996" i="2" s="1"/>
  <c r="U2992" i="2"/>
  <c r="U2993" i="2" s="1"/>
  <c r="U2994" i="2" s="1"/>
  <c r="U2995" i="2" l="1"/>
  <c r="U2998" i="2" s="1"/>
  <c r="V2999" i="2" s="1"/>
  <c r="U3005" i="2"/>
  <c r="U3010" i="2" s="1"/>
  <c r="U3006" i="2"/>
  <c r="U3007" i="2" s="1"/>
  <c r="U3029" i="2"/>
  <c r="U3017" i="2"/>
  <c r="W3027" i="2"/>
  <c r="U3018" i="2"/>
  <c r="U3008" i="2" l="1"/>
  <c r="U3009" i="2" s="1"/>
  <c r="U3012" i="2" s="1"/>
  <c r="V3013" i="2" s="1"/>
  <c r="U3031" i="2"/>
  <c r="W3041" i="2"/>
  <c r="U3032" i="2"/>
  <c r="U3043" i="2"/>
  <c r="U3019" i="2"/>
  <c r="U3024" i="2" s="1"/>
  <c r="U3020" i="2"/>
  <c r="U3021" i="2" s="1"/>
  <c r="U3022" i="2" s="1"/>
  <c r="U3023" i="2" l="1"/>
  <c r="U3026" i="2" s="1"/>
  <c r="V3027" i="2" s="1"/>
  <c r="U3057" i="2"/>
  <c r="U3046" i="2"/>
  <c r="U3045" i="2"/>
  <c r="W3055" i="2"/>
  <c r="U3034" i="2"/>
  <c r="U3035" i="2" s="1"/>
  <c r="U3033" i="2"/>
  <c r="U3038" i="2" s="1"/>
  <c r="U3036" i="2" l="1"/>
  <c r="U3037" i="2" s="1"/>
  <c r="U3040" i="2" s="1"/>
  <c r="V3041" i="2" s="1"/>
  <c r="U3048" i="2"/>
  <c r="U3049" i="2" s="1"/>
  <c r="U3047" i="2"/>
  <c r="U3052" i="2" s="1"/>
  <c r="U3060" i="2"/>
  <c r="W3069" i="2"/>
  <c r="U3059" i="2"/>
  <c r="U3071" i="2"/>
  <c r="U3062" i="2" l="1"/>
  <c r="U3063" i="2" s="1"/>
  <c r="U3061" i="2"/>
  <c r="U3066" i="2" s="1"/>
  <c r="U3050" i="2"/>
  <c r="U3051" i="2" s="1"/>
  <c r="U3054" i="2" s="1"/>
  <c r="V3055" i="2" s="1"/>
  <c r="W3083" i="2"/>
  <c r="U3073" i="2"/>
  <c r="U3074" i="2"/>
  <c r="U3085" i="2"/>
  <c r="U3099" i="2" l="1"/>
  <c r="U3087" i="2"/>
  <c r="W3097" i="2"/>
  <c r="U3088" i="2"/>
  <c r="U3064" i="2"/>
  <c r="U3065" i="2" s="1"/>
  <c r="U3068" i="2" s="1"/>
  <c r="V3069" i="2" s="1"/>
  <c r="U3076" i="2"/>
  <c r="U3077" i="2" s="1"/>
  <c r="U3078" i="2" s="1"/>
  <c r="U3075" i="2"/>
  <c r="U3080" i="2" s="1"/>
  <c r="U3113" i="2" l="1"/>
  <c r="U3102" i="2"/>
  <c r="W3111" i="2"/>
  <c r="U3101" i="2"/>
  <c r="U3089" i="2"/>
  <c r="U3094" i="2" s="1"/>
  <c r="U3090" i="2"/>
  <c r="U3091" i="2" s="1"/>
  <c r="U3079" i="2"/>
  <c r="U3082" i="2" s="1"/>
  <c r="V3083" i="2" s="1"/>
  <c r="U3092" i="2" l="1"/>
  <c r="U3093" i="2" s="1"/>
  <c r="U3096" i="2" s="1"/>
  <c r="V3097" i="2" s="1"/>
  <c r="U3127" i="2"/>
  <c r="U3116" i="2"/>
  <c r="U3115" i="2"/>
  <c r="W3125" i="2"/>
  <c r="U3103" i="2"/>
  <c r="U3108" i="2" s="1"/>
  <c r="U3104" i="2"/>
  <c r="U3105" i="2" s="1"/>
  <c r="U3106" i="2" s="1"/>
  <c r="U3118" i="2" l="1"/>
  <c r="U3119" i="2" s="1"/>
  <c r="U3120" i="2" s="1"/>
  <c r="U3117" i="2"/>
  <c r="U3122" i="2" s="1"/>
  <c r="U3130" i="2"/>
  <c r="U3141" i="2"/>
  <c r="U3129" i="2"/>
  <c r="W3139" i="2"/>
  <c r="U3107" i="2"/>
  <c r="U3110" i="2" s="1"/>
  <c r="V3111" i="2" s="1"/>
  <c r="U3132" i="2" l="1"/>
  <c r="U3133" i="2" s="1"/>
  <c r="U3134" i="2" s="1"/>
  <c r="U3131" i="2"/>
  <c r="U3136" i="2" s="1"/>
  <c r="U3121" i="2"/>
  <c r="U3124" i="2" s="1"/>
  <c r="V3125" i="2" s="1"/>
  <c r="U3155" i="2"/>
  <c r="W3153" i="2"/>
  <c r="U3143" i="2"/>
  <c r="U3144" i="2"/>
  <c r="U3135" i="2" l="1"/>
  <c r="U3138" i="2" s="1"/>
  <c r="V3139" i="2" s="1"/>
  <c r="U3146" i="2"/>
  <c r="U3147" i="2" s="1"/>
  <c r="U3148" i="2" s="1"/>
  <c r="U3145" i="2"/>
  <c r="U3150" i="2" s="1"/>
  <c r="W3167" i="2"/>
  <c r="U3169" i="2"/>
  <c r="U3157" i="2"/>
  <c r="U3158" i="2"/>
  <c r="U3149" i="2" l="1"/>
  <c r="U3152" i="2" s="1"/>
  <c r="V3153" i="2" s="1"/>
  <c r="U3160" i="2"/>
  <c r="U3161" i="2" s="1"/>
  <c r="U3162" i="2" s="1"/>
  <c r="U3159" i="2"/>
  <c r="U3164" i="2" s="1"/>
  <c r="U3183" i="2"/>
  <c r="W3181" i="2"/>
  <c r="U3171" i="2"/>
  <c r="U3172" i="2"/>
  <c r="U3174" i="2" l="1"/>
  <c r="U3175" i="2" s="1"/>
  <c r="U3173" i="2"/>
  <c r="U3178" i="2" s="1"/>
  <c r="U3163" i="2"/>
  <c r="U3166" i="2" s="1"/>
  <c r="V3167" i="2" s="1"/>
  <c r="W3195" i="2"/>
  <c r="U3186" i="2"/>
  <c r="U3185" i="2"/>
  <c r="U3197" i="2"/>
  <c r="U3188" i="2" l="1"/>
  <c r="U3189" i="2" s="1"/>
  <c r="U3187" i="2"/>
  <c r="U3192" i="2" s="1"/>
  <c r="U3176" i="2"/>
  <c r="U3177" i="2" s="1"/>
  <c r="U3180" i="2" s="1"/>
  <c r="V3181" i="2" s="1"/>
  <c r="U3199" i="2"/>
  <c r="U3211" i="2"/>
  <c r="W3209" i="2"/>
  <c r="U3200" i="2"/>
  <c r="U3214" i="2" l="1"/>
  <c r="U3213" i="2"/>
  <c r="W3223" i="2"/>
  <c r="U3225" i="2"/>
  <c r="U3202" i="2"/>
  <c r="U3203" i="2" s="1"/>
  <c r="U3204" i="2" s="1"/>
  <c r="U3201" i="2"/>
  <c r="U3206" i="2" s="1"/>
  <c r="U3190" i="2"/>
  <c r="U3191" i="2" s="1"/>
  <c r="U3194" i="2" s="1"/>
  <c r="V3195" i="2" s="1"/>
  <c r="U3216" i="2" l="1"/>
  <c r="U3217" i="2" s="1"/>
  <c r="U3218" i="2" s="1"/>
  <c r="U3215" i="2"/>
  <c r="U3220" i="2" s="1"/>
  <c r="U3205" i="2"/>
  <c r="U3208" i="2" s="1"/>
  <c r="V3209" i="2" s="1"/>
  <c r="U3239" i="2"/>
  <c r="W3237" i="2"/>
  <c r="U3227" i="2"/>
  <c r="U3228" i="2"/>
  <c r="U3229" i="2" l="1"/>
  <c r="U3234" i="2" s="1"/>
  <c r="U3230" i="2"/>
  <c r="U3231" i="2" s="1"/>
  <c r="U3232" i="2" s="1"/>
  <c r="U3219" i="2"/>
  <c r="U3222" i="2" s="1"/>
  <c r="V3223" i="2" s="1"/>
  <c r="U3241" i="2"/>
  <c r="U3253" i="2"/>
  <c r="W3251" i="2"/>
  <c r="U3242" i="2"/>
  <c r="U3233" i="2" l="1"/>
  <c r="U3236" i="2" s="1"/>
  <c r="V3237" i="2" s="1"/>
  <c r="U3267" i="2"/>
  <c r="W3265" i="2"/>
  <c r="U3256" i="2"/>
  <c r="U3255" i="2"/>
  <c r="U3244" i="2"/>
  <c r="U3245" i="2" s="1"/>
  <c r="U3246" i="2" s="1"/>
  <c r="U3243" i="2"/>
  <c r="U3248" i="2" s="1"/>
  <c r="U3247" i="2" l="1"/>
  <c r="U3250" i="2" s="1"/>
  <c r="V3251" i="2" s="1"/>
  <c r="U3269" i="2"/>
  <c r="W3279" i="2"/>
  <c r="U3270" i="2"/>
  <c r="U3281" i="2"/>
  <c r="U3257" i="2"/>
  <c r="U3262" i="2" s="1"/>
  <c r="U3258" i="2"/>
  <c r="U3259" i="2" s="1"/>
  <c r="U3272" i="2" l="1"/>
  <c r="U3273" i="2" s="1"/>
  <c r="U3274" i="2" s="1"/>
  <c r="U3271" i="2"/>
  <c r="U3276" i="2" s="1"/>
  <c r="U3260" i="2"/>
  <c r="U3261" i="2" s="1"/>
  <c r="U3264" i="2" s="1"/>
  <c r="V3265" i="2" s="1"/>
  <c r="U3295" i="2"/>
  <c r="W3293" i="2"/>
  <c r="U3283" i="2"/>
  <c r="U3284" i="2"/>
  <c r="U3275" i="2" l="1"/>
  <c r="U3278" i="2" s="1"/>
  <c r="V3279" i="2" s="1"/>
  <c r="W3307" i="2"/>
  <c r="U3298" i="2"/>
  <c r="U3297" i="2"/>
  <c r="U3309" i="2"/>
  <c r="U3286" i="2"/>
  <c r="U3287" i="2" s="1"/>
  <c r="U3288" i="2" s="1"/>
  <c r="U3285" i="2"/>
  <c r="U3290" i="2" s="1"/>
  <c r="U3289" i="2" l="1"/>
  <c r="U3292" i="2" s="1"/>
  <c r="V3293" i="2" s="1"/>
  <c r="U3300" i="2"/>
  <c r="U3301" i="2" s="1"/>
  <c r="U3299" i="2"/>
  <c r="U3304" i="2" s="1"/>
  <c r="U3311" i="2"/>
  <c r="U3323" i="2"/>
  <c r="W3321" i="2"/>
  <c r="U3312" i="2"/>
  <c r="U3302" i="2" l="1"/>
  <c r="U3303" i="2" s="1"/>
  <c r="U3306" i="2" s="1"/>
  <c r="V3307" i="2" s="1"/>
  <c r="U3313" i="2"/>
  <c r="U3318" i="2" s="1"/>
  <c r="U3314" i="2"/>
  <c r="U3315" i="2" s="1"/>
  <c r="U3316" i="2" s="1"/>
  <c r="U3325" i="2"/>
  <c r="U3337" i="2"/>
  <c r="W3335" i="2"/>
  <c r="U3326" i="2"/>
  <c r="U3351" i="2" l="1"/>
  <c r="U3340" i="2"/>
  <c r="W3349" i="2"/>
  <c r="U3339" i="2"/>
  <c r="U3328" i="2"/>
  <c r="U3329" i="2" s="1"/>
  <c r="U3330" i="2" s="1"/>
  <c r="U3327" i="2"/>
  <c r="U3332" i="2" s="1"/>
  <c r="U3317" i="2"/>
  <c r="U3320" i="2" s="1"/>
  <c r="V3321" i="2" s="1"/>
  <c r="U3331" i="2" l="1"/>
  <c r="U3334" i="2" s="1"/>
  <c r="V3335" i="2" s="1"/>
  <c r="U3353" i="2"/>
  <c r="W3363" i="2"/>
  <c r="U3354" i="2"/>
  <c r="U3365" i="2"/>
  <c r="U3342" i="2"/>
  <c r="U3343" i="2" s="1"/>
  <c r="U3341" i="2"/>
  <c r="U3346" i="2" s="1"/>
  <c r="U3344" i="2" l="1"/>
  <c r="U3345" i="2" s="1"/>
  <c r="U3348" i="2" s="1"/>
  <c r="V3349" i="2" s="1"/>
  <c r="U3355" i="2"/>
  <c r="U3360" i="2" s="1"/>
  <c r="U3356" i="2"/>
  <c r="U3357" i="2" s="1"/>
  <c r="W3377" i="2"/>
  <c r="U3368" i="2"/>
  <c r="U3367" i="2"/>
  <c r="U3379" i="2"/>
  <c r="U3369" i="2" l="1"/>
  <c r="U3374" i="2" s="1"/>
  <c r="U3370" i="2"/>
  <c r="U3371" i="2" s="1"/>
  <c r="U3372" i="2" s="1"/>
  <c r="U3393" i="2"/>
  <c r="U3381" i="2"/>
  <c r="W3391" i="2"/>
  <c r="U3382" i="2"/>
  <c r="U3358" i="2"/>
  <c r="U3359" i="2" s="1"/>
  <c r="U3362" i="2" s="1"/>
  <c r="V3363" i="2" s="1"/>
  <c r="U3373" i="2" l="1"/>
  <c r="U3376" i="2" s="1"/>
  <c r="V3377" i="2" s="1"/>
  <c r="U3395" i="2"/>
  <c r="U3396" i="2"/>
  <c r="U3407" i="2"/>
  <c r="W3405" i="2"/>
  <c r="U3384" i="2"/>
  <c r="U3385" i="2" s="1"/>
  <c r="U3386" i="2" s="1"/>
  <c r="U3383" i="2"/>
  <c r="U3388" i="2" s="1"/>
  <c r="U3387" i="2" l="1"/>
  <c r="U3390" i="2" s="1"/>
  <c r="V3391" i="2" s="1"/>
  <c r="U3398" i="2"/>
  <c r="U3399" i="2" s="1"/>
  <c r="U3400" i="2" s="1"/>
  <c r="U3397" i="2"/>
  <c r="U3402" i="2" s="1"/>
  <c r="U3409" i="2"/>
  <c r="W3419" i="2"/>
  <c r="U3410" i="2"/>
  <c r="U3421" i="2"/>
  <c r="U3423" i="2" l="1"/>
  <c r="U3435" i="2"/>
  <c r="W3433" i="2"/>
  <c r="U3424" i="2"/>
  <c r="U3401" i="2"/>
  <c r="U3404" i="2" s="1"/>
  <c r="V3405" i="2" s="1"/>
  <c r="U3412" i="2"/>
  <c r="U3413" i="2" s="1"/>
  <c r="U3414" i="2" s="1"/>
  <c r="U3411" i="2"/>
  <c r="U3416" i="2" s="1"/>
  <c r="U3415" i="2" l="1"/>
  <c r="U3418" i="2" s="1"/>
  <c r="V3419" i="2" s="1"/>
  <c r="U3426" i="2"/>
  <c r="U3427" i="2" s="1"/>
  <c r="U3428" i="2" s="1"/>
  <c r="U3425" i="2"/>
  <c r="U3430" i="2" s="1"/>
  <c r="U3437" i="2"/>
  <c r="U3438" i="2"/>
  <c r="U3449" i="2"/>
  <c r="W3447" i="2"/>
  <c r="U3463" i="2" l="1"/>
  <c r="U3452" i="2"/>
  <c r="W3461" i="2"/>
  <c r="U3451" i="2"/>
  <c r="U3429" i="2"/>
  <c r="U3432" i="2" s="1"/>
  <c r="V3433" i="2" s="1"/>
  <c r="U3440" i="2"/>
  <c r="U3441" i="2" s="1"/>
  <c r="U3442" i="2" s="1"/>
  <c r="U3439" i="2"/>
  <c r="U3444" i="2" s="1"/>
  <c r="U3443" i="2" l="1"/>
  <c r="U3446" i="2" s="1"/>
  <c r="V3447" i="2" s="1"/>
  <c r="U3453" i="2"/>
  <c r="U3458" i="2" s="1"/>
  <c r="U3454" i="2"/>
  <c r="U3455" i="2" s="1"/>
  <c r="U3456" i="2" s="1"/>
  <c r="U3466" i="2"/>
  <c r="U3477" i="2"/>
  <c r="W3475" i="2"/>
  <c r="U3465" i="2"/>
  <c r="U3457" i="2" l="1"/>
  <c r="U3460" i="2" s="1"/>
  <c r="V3461" i="2" s="1"/>
  <c r="U3467" i="2"/>
  <c r="U3472" i="2" s="1"/>
  <c r="U3468" i="2"/>
  <c r="U3469" i="2" s="1"/>
  <c r="U3470" i="2" s="1"/>
  <c r="U3479" i="2"/>
  <c r="W3489" i="2"/>
  <c r="U3480" i="2"/>
  <c r="U3491" i="2"/>
  <c r="U3494" i="2" l="1"/>
  <c r="U3493" i="2"/>
  <c r="U3505" i="2"/>
  <c r="W3503" i="2"/>
  <c r="U3482" i="2"/>
  <c r="U3483" i="2" s="1"/>
  <c r="U3484" i="2" s="1"/>
  <c r="U3481" i="2"/>
  <c r="U3486" i="2" s="1"/>
  <c r="U3471" i="2"/>
  <c r="U3474" i="2" s="1"/>
  <c r="V3475" i="2" s="1"/>
  <c r="U3495" i="2" l="1"/>
  <c r="U3500" i="2" s="1"/>
  <c r="U3496" i="2"/>
  <c r="U3497" i="2" s="1"/>
  <c r="U3485" i="2"/>
  <c r="U3488" i="2" s="1"/>
  <c r="V3489" i="2" s="1"/>
  <c r="U3508" i="2"/>
  <c r="U3519" i="2"/>
  <c r="U3507" i="2"/>
  <c r="W3517" i="2"/>
  <c r="U3510" i="2" l="1"/>
  <c r="U3511" i="2" s="1"/>
  <c r="U3512" i="2" s="1"/>
  <c r="U3509" i="2"/>
  <c r="U3514" i="2" s="1"/>
  <c r="U3498" i="2"/>
  <c r="U3499" i="2" s="1"/>
  <c r="U3502" i="2" s="1"/>
  <c r="V3503" i="2" s="1"/>
  <c r="U3533" i="2"/>
  <c r="U3522" i="2"/>
  <c r="U3521" i="2"/>
  <c r="W3531" i="2"/>
  <c r="U3524" i="2" l="1"/>
  <c r="U3525" i="2" s="1"/>
  <c r="U3523" i="2"/>
  <c r="U3528" i="2" s="1"/>
  <c r="U3535" i="2"/>
  <c r="W3545" i="2"/>
  <c r="U3536" i="2"/>
  <c r="U3547" i="2"/>
  <c r="U3513" i="2"/>
  <c r="U3516" i="2" s="1"/>
  <c r="V3517" i="2" s="1"/>
  <c r="U3526" i="2" l="1"/>
  <c r="U3527" i="2" s="1"/>
  <c r="U3530" i="2" s="1"/>
  <c r="V3531" i="2" s="1"/>
  <c r="U3561" i="2"/>
  <c r="U3550" i="2"/>
  <c r="U3549" i="2"/>
  <c r="W3559" i="2"/>
  <c r="U3537" i="2"/>
  <c r="U3542" i="2" s="1"/>
  <c r="U3538" i="2"/>
  <c r="U3539" i="2" s="1"/>
  <c r="U3551" i="2" l="1"/>
  <c r="U3556" i="2" s="1"/>
  <c r="U3552" i="2"/>
  <c r="U3553" i="2" s="1"/>
  <c r="W3573" i="2"/>
  <c r="U3564" i="2"/>
  <c r="U3575" i="2"/>
  <c r="U3563" i="2"/>
  <c r="U3540" i="2"/>
  <c r="U3541" i="2" s="1"/>
  <c r="U3544" i="2" s="1"/>
  <c r="V3545" i="2" s="1"/>
  <c r="U3566" i="2" l="1"/>
  <c r="U3567" i="2" s="1"/>
  <c r="U3568" i="2" s="1"/>
  <c r="U3565" i="2"/>
  <c r="U3570" i="2" s="1"/>
  <c r="U3554" i="2"/>
  <c r="U3555" i="2" s="1"/>
  <c r="U3558" i="2" s="1"/>
  <c r="V3559" i="2" s="1"/>
  <c r="W3587" i="2"/>
  <c r="U3578" i="2"/>
  <c r="U3577" i="2"/>
  <c r="U3589" i="2"/>
  <c r="U3569" i="2" l="1"/>
  <c r="U3572" i="2" s="1"/>
  <c r="V3573" i="2" s="1"/>
  <c r="U3580" i="2"/>
  <c r="U3581" i="2" s="1"/>
  <c r="U3579" i="2"/>
  <c r="U3584" i="2" s="1"/>
  <c r="U3592" i="2"/>
  <c r="U3603" i="2"/>
  <c r="W3601" i="2"/>
  <c r="U3591" i="2"/>
  <c r="U3582" i="2" l="1"/>
  <c r="U3583" i="2" s="1"/>
  <c r="U3586" i="2" s="1"/>
  <c r="V3587" i="2" s="1"/>
  <c r="U3593" i="2"/>
  <c r="U3598" i="2" s="1"/>
  <c r="U3594" i="2"/>
  <c r="U3595" i="2" s="1"/>
  <c r="W3615" i="2"/>
  <c r="U3605" i="2"/>
  <c r="U3617" i="2"/>
  <c r="U3606" i="2"/>
  <c r="U3607" i="2" l="1"/>
  <c r="U3612" i="2" s="1"/>
  <c r="U3608" i="2"/>
  <c r="U3609" i="2" s="1"/>
  <c r="W3629" i="2"/>
  <c r="U3619" i="2"/>
  <c r="U3620" i="2"/>
  <c r="U3631" i="2"/>
  <c r="U3596" i="2"/>
  <c r="U3597" i="2" s="1"/>
  <c r="U3600" i="2" s="1"/>
  <c r="V3601" i="2" s="1"/>
  <c r="W3643" i="2" l="1"/>
  <c r="U3633" i="2"/>
  <c r="U3645" i="2"/>
  <c r="U3634" i="2"/>
  <c r="U3610" i="2"/>
  <c r="U3611" i="2" s="1"/>
  <c r="U3614" i="2" s="1"/>
  <c r="V3615" i="2" s="1"/>
  <c r="U3621" i="2"/>
  <c r="U3626" i="2" s="1"/>
  <c r="U3622" i="2"/>
  <c r="U3623" i="2" s="1"/>
  <c r="U3659" i="2" l="1"/>
  <c r="U3647" i="2"/>
  <c r="W3657" i="2"/>
  <c r="U3648" i="2"/>
  <c r="U3624" i="2"/>
  <c r="U3625" i="2" s="1"/>
  <c r="U3628" i="2" s="1"/>
  <c r="V3629" i="2" s="1"/>
  <c r="U3636" i="2"/>
  <c r="U3637" i="2" s="1"/>
  <c r="U3638" i="2" s="1"/>
  <c r="U3635" i="2"/>
  <c r="U3640" i="2" s="1"/>
  <c r="W3671" i="2" l="1"/>
  <c r="U3662" i="2"/>
  <c r="U3661" i="2"/>
  <c r="U3673" i="2"/>
  <c r="U3639" i="2"/>
  <c r="U3642" i="2" s="1"/>
  <c r="V3643" i="2" s="1"/>
  <c r="U3649" i="2"/>
  <c r="U3654" i="2" s="1"/>
  <c r="U3650" i="2"/>
  <c r="U3651" i="2" s="1"/>
  <c r="U3664" i="2" l="1"/>
  <c r="U3665" i="2" s="1"/>
  <c r="U3666" i="2" s="1"/>
  <c r="U3663" i="2"/>
  <c r="U3668" i="2" s="1"/>
  <c r="U3652" i="2"/>
  <c r="U3653" i="2" s="1"/>
  <c r="U3656" i="2" s="1"/>
  <c r="V3657" i="2" s="1"/>
  <c r="U3687" i="2"/>
  <c r="W3685" i="2"/>
  <c r="U3676" i="2"/>
  <c r="U3675" i="2"/>
  <c r="U3689" i="2" l="1"/>
  <c r="U3701" i="2"/>
  <c r="U3690" i="2"/>
  <c r="W3699" i="2"/>
  <c r="U3677" i="2"/>
  <c r="U3682" i="2" s="1"/>
  <c r="U3678" i="2"/>
  <c r="U3679" i="2" s="1"/>
  <c r="U3680" i="2" s="1"/>
  <c r="U3667" i="2"/>
  <c r="U3670" i="2" s="1"/>
  <c r="V3671" i="2" s="1"/>
  <c r="U3681" i="2" l="1"/>
  <c r="U3684" i="2" s="1"/>
  <c r="V3685" i="2" s="1"/>
  <c r="U3704" i="2"/>
  <c r="U3715" i="2"/>
  <c r="U3703" i="2"/>
  <c r="W3713" i="2"/>
  <c r="U3691" i="2"/>
  <c r="U3696" i="2" s="1"/>
  <c r="U3692" i="2"/>
  <c r="U3693" i="2" s="1"/>
  <c r="U3717" i="2" l="1"/>
  <c r="U3729" i="2"/>
  <c r="U3718" i="2"/>
  <c r="W3727" i="2"/>
  <c r="U3694" i="2"/>
  <c r="U3695" i="2" s="1"/>
  <c r="U3698" i="2" s="1"/>
  <c r="V3699" i="2" s="1"/>
  <c r="U3706" i="2"/>
  <c r="U3707" i="2" s="1"/>
  <c r="U3708" i="2" s="1"/>
  <c r="U3705" i="2"/>
  <c r="U3710" i="2" s="1"/>
  <c r="U3709" i="2" l="1"/>
  <c r="U3712" i="2" s="1"/>
  <c r="V3713" i="2" s="1"/>
  <c r="W3741" i="2"/>
  <c r="U3732" i="2"/>
  <c r="U3743" i="2"/>
  <c r="U3731" i="2"/>
  <c r="U3719" i="2"/>
  <c r="U3724" i="2" s="1"/>
  <c r="U3720" i="2"/>
  <c r="U3721" i="2" s="1"/>
  <c r="U3722" i="2" l="1"/>
  <c r="U3723" i="2" s="1"/>
  <c r="U3726" i="2" s="1"/>
  <c r="V3727" i="2" s="1"/>
  <c r="U3757" i="2"/>
  <c r="W3755" i="2"/>
  <c r="U3746" i="2"/>
  <c r="U3745" i="2"/>
  <c r="U3734" i="2"/>
  <c r="U3735" i="2" s="1"/>
  <c r="U3736" i="2" s="1"/>
  <c r="U3733" i="2"/>
  <c r="U3738" i="2" s="1"/>
  <c r="U3737" i="2" l="1"/>
  <c r="U3740" i="2" s="1"/>
  <c r="V3741" i="2" s="1"/>
  <c r="U3771" i="2"/>
  <c r="W3769" i="2"/>
  <c r="U3759" i="2"/>
  <c r="U3760" i="2"/>
  <c r="U3747" i="2"/>
  <c r="U3752" i="2" s="1"/>
  <c r="U3748" i="2"/>
  <c r="U3749" i="2" s="1"/>
  <c r="U3750" i="2" s="1"/>
  <c r="U3751" i="2" l="1"/>
  <c r="U3754" i="2" s="1"/>
  <c r="V3755" i="2" s="1"/>
  <c r="U3785" i="2"/>
  <c r="W3783" i="2"/>
  <c r="U3774" i="2"/>
  <c r="U3773" i="2"/>
  <c r="U3761" i="2"/>
  <c r="U3766" i="2" s="1"/>
  <c r="U3762" i="2"/>
  <c r="U3763" i="2" s="1"/>
  <c r="W3797" i="2" l="1"/>
  <c r="U3787" i="2"/>
  <c r="U3799" i="2"/>
  <c r="U3788" i="2"/>
  <c r="U3764" i="2"/>
  <c r="U3765" i="2" s="1"/>
  <c r="U3768" i="2" s="1"/>
  <c r="V3769" i="2" s="1"/>
  <c r="U3776" i="2"/>
  <c r="U3777" i="2" s="1"/>
  <c r="U3778" i="2" s="1"/>
  <c r="U3775" i="2"/>
  <c r="U3780" i="2" s="1"/>
  <c r="U3779" i="2" l="1"/>
  <c r="U3782" i="2" s="1"/>
  <c r="V3783" i="2" s="1"/>
  <c r="U3790" i="2"/>
  <c r="U3791" i="2" s="1"/>
  <c r="U3789" i="2"/>
  <c r="U3794" i="2" s="1"/>
  <c r="U3801" i="2"/>
  <c r="U3802" i="2"/>
  <c r="W3811" i="2"/>
  <c r="U3813" i="2"/>
  <c r="U3792" i="2" l="1"/>
  <c r="U3793" i="2" s="1"/>
  <c r="U3796" i="2" s="1"/>
  <c r="V3797" i="2" s="1"/>
  <c r="U3816" i="2"/>
  <c r="U3815" i="2"/>
  <c r="W3825" i="2"/>
  <c r="U3827" i="2"/>
  <c r="U3804" i="2"/>
  <c r="U3805" i="2" s="1"/>
  <c r="U3803" i="2"/>
  <c r="U3808" i="2" s="1"/>
  <c r="W3839" i="2" l="1"/>
  <c r="U3830" i="2"/>
  <c r="U3841" i="2"/>
  <c r="U3829" i="2"/>
  <c r="U3806" i="2"/>
  <c r="U3807" i="2" s="1"/>
  <c r="U3810" i="2" s="1"/>
  <c r="V3811" i="2" s="1"/>
  <c r="U3818" i="2"/>
  <c r="U3819" i="2" s="1"/>
  <c r="U3817" i="2"/>
  <c r="U3822" i="2" s="1"/>
  <c r="U3820" i="2" l="1"/>
  <c r="U3821" i="2" s="1"/>
  <c r="U3824" i="2" s="1"/>
  <c r="V3825" i="2" s="1"/>
  <c r="U3844" i="2"/>
  <c r="U3843" i="2"/>
  <c r="U3855" i="2"/>
  <c r="W3853" i="2"/>
  <c r="U3832" i="2"/>
  <c r="U3833" i="2" s="1"/>
  <c r="U3831" i="2"/>
  <c r="U3836" i="2" s="1"/>
  <c r="U3834" i="2" l="1"/>
  <c r="U3835" i="2" s="1"/>
  <c r="U3838" i="2" s="1"/>
  <c r="V3839" i="2" s="1"/>
  <c r="U3869" i="2"/>
  <c r="U3858" i="2"/>
  <c r="W3867" i="2"/>
  <c r="U3857" i="2"/>
  <c r="U3845" i="2"/>
  <c r="U3850" i="2" s="1"/>
  <c r="U3846" i="2"/>
  <c r="U3847" i="2" s="1"/>
  <c r="U3859" i="2" l="1"/>
  <c r="U3864" i="2" s="1"/>
  <c r="U3860" i="2"/>
  <c r="U3861" i="2" s="1"/>
  <c r="U3872" i="2"/>
  <c r="W3881" i="2"/>
  <c r="U3871" i="2"/>
  <c r="U3883" i="2"/>
  <c r="U3848" i="2"/>
  <c r="U3849" i="2" s="1"/>
  <c r="U3852" i="2" s="1"/>
  <c r="V3853" i="2" s="1"/>
  <c r="U3897" i="2" l="1"/>
  <c r="U3886" i="2"/>
  <c r="W3895" i="2"/>
  <c r="U3885" i="2"/>
  <c r="U3873" i="2"/>
  <c r="U3878" i="2" s="1"/>
  <c r="U3874" i="2"/>
  <c r="U3875" i="2" s="1"/>
  <c r="U3862" i="2"/>
  <c r="U3863" i="2" s="1"/>
  <c r="U3866" i="2" s="1"/>
  <c r="V3867" i="2" s="1"/>
  <c r="U3900" i="2" l="1"/>
  <c r="W3909" i="2"/>
  <c r="U3911" i="2"/>
  <c r="U3899" i="2"/>
  <c r="U3876" i="2"/>
  <c r="U3877" i="2" s="1"/>
  <c r="U3880" i="2" s="1"/>
  <c r="V3881" i="2" s="1"/>
  <c r="U3887" i="2"/>
  <c r="U3892" i="2" s="1"/>
  <c r="U3888" i="2"/>
  <c r="U3889" i="2" s="1"/>
  <c r="U3890" i="2" s="1"/>
  <c r="U3925" i="2" l="1"/>
  <c r="U3914" i="2"/>
  <c r="W3923" i="2"/>
  <c r="U3913" i="2"/>
  <c r="U3902" i="2"/>
  <c r="U3903" i="2" s="1"/>
  <c r="U3904" i="2" s="1"/>
  <c r="U3901" i="2"/>
  <c r="U3906" i="2" s="1"/>
  <c r="U3891" i="2"/>
  <c r="U3894" i="2" s="1"/>
  <c r="V3895" i="2" s="1"/>
  <c r="U3905" i="2" l="1"/>
  <c r="U3908" i="2" s="1"/>
  <c r="V3909" i="2" s="1"/>
  <c r="U3927" i="2"/>
  <c r="U3939" i="2"/>
  <c r="W3937" i="2"/>
  <c r="U3928" i="2"/>
  <c r="U3915" i="2"/>
  <c r="U3920" i="2" s="1"/>
  <c r="U3916" i="2"/>
  <c r="U3917" i="2" s="1"/>
  <c r="U3941" i="2" l="1"/>
  <c r="U3953" i="2"/>
  <c r="W3951" i="2"/>
  <c r="U3942" i="2"/>
  <c r="U3918" i="2"/>
  <c r="U3919" i="2" s="1"/>
  <c r="U3922" i="2" s="1"/>
  <c r="V3923" i="2" s="1"/>
  <c r="U3929" i="2"/>
  <c r="U3934" i="2" s="1"/>
  <c r="U3930" i="2"/>
  <c r="U3931" i="2" s="1"/>
  <c r="U3943" i="2" l="1"/>
  <c r="U3948" i="2" s="1"/>
  <c r="U3944" i="2"/>
  <c r="U3945" i="2" s="1"/>
  <c r="U3955" i="2"/>
  <c r="U3967" i="2"/>
  <c r="W3965" i="2"/>
  <c r="U3956" i="2"/>
  <c r="U3932" i="2"/>
  <c r="U3933" i="2" s="1"/>
  <c r="U3936" i="2" s="1"/>
  <c r="V3937" i="2" s="1"/>
  <c r="U3946" i="2" l="1"/>
  <c r="U3947" i="2" s="1"/>
  <c r="U3950" i="2" s="1"/>
  <c r="V3951" i="2" s="1"/>
  <c r="U3958" i="2"/>
  <c r="U3959" i="2" s="1"/>
  <c r="U3957" i="2"/>
  <c r="U3962" i="2" s="1"/>
  <c r="W3979" i="2"/>
  <c r="U3981" i="2"/>
  <c r="U3970" i="2"/>
  <c r="U3969" i="2"/>
  <c r="U3960" i="2" l="1"/>
  <c r="U3961" i="2" s="1"/>
  <c r="U3964" i="2" s="1"/>
  <c r="V3965" i="2" s="1"/>
  <c r="U3972" i="2"/>
  <c r="U3973" i="2" s="1"/>
  <c r="U3974" i="2" s="1"/>
  <c r="U3971" i="2"/>
  <c r="U3976" i="2" s="1"/>
  <c r="U3984" i="2"/>
  <c r="U3983" i="2"/>
  <c r="U3995" i="2"/>
  <c r="W3993" i="2"/>
  <c r="U3975" i="2" l="1"/>
  <c r="U3978" i="2" s="1"/>
  <c r="V3979" i="2" s="1"/>
  <c r="U3985" i="2"/>
  <c r="U3990" i="2" s="1"/>
  <c r="U3986" i="2"/>
  <c r="U3987" i="2" s="1"/>
  <c r="U3997" i="2"/>
  <c r="U4009" i="2"/>
  <c r="W4007" i="2"/>
  <c r="U3998" i="2"/>
  <c r="U3988" i="2" l="1"/>
  <c r="U3989" i="2" s="1"/>
  <c r="U3992" i="2" s="1"/>
  <c r="V3993" i="2" s="1"/>
  <c r="U3999" i="2"/>
  <c r="U4004" i="2" s="1"/>
  <c r="U4000" i="2"/>
  <c r="U4001" i="2" s="1"/>
  <c r="U4002" i="2" s="1"/>
  <c r="U4012" i="2"/>
  <c r="U4011" i="2"/>
  <c r="U4023" i="2"/>
  <c r="W4021" i="2"/>
  <c r="U4013" i="2" l="1"/>
  <c r="U4018" i="2" s="1"/>
  <c r="U4014" i="2"/>
  <c r="U4015" i="2" s="1"/>
  <c r="U4016" i="2" s="1"/>
  <c r="U4037" i="2"/>
  <c r="W4035" i="2"/>
  <c r="U4026" i="2"/>
  <c r="U4025" i="2"/>
  <c r="U4003" i="2"/>
  <c r="U4006" i="2" s="1"/>
  <c r="V4007" i="2" s="1"/>
  <c r="U4017" i="2" l="1"/>
  <c r="U4020" i="2" s="1"/>
  <c r="V4021" i="2" s="1"/>
  <c r="U4027" i="2"/>
  <c r="U4032" i="2" s="1"/>
  <c r="U4028" i="2"/>
  <c r="U4029" i="2" s="1"/>
  <c r="U4039" i="2"/>
  <c r="U4051" i="2"/>
  <c r="U4040" i="2"/>
  <c r="W4049" i="2"/>
  <c r="U4030" i="2" l="1"/>
  <c r="U4031" i="2" s="1"/>
  <c r="U4034" i="2" s="1"/>
  <c r="V4035" i="2" s="1"/>
  <c r="U4042" i="2"/>
  <c r="U4043" i="2" s="1"/>
  <c r="U4044" i="2" s="1"/>
  <c r="U4041" i="2"/>
  <c r="U4046" i="2" s="1"/>
  <c r="U4053" i="2"/>
  <c r="U4065" i="2"/>
  <c r="W4063" i="2"/>
  <c r="U4054" i="2"/>
  <c r="U4045" i="2" l="1"/>
  <c r="U4048" i="2" s="1"/>
  <c r="V4049" i="2" s="1"/>
  <c r="U4068" i="2"/>
  <c r="U4067" i="2"/>
  <c r="U4079" i="2"/>
  <c r="W4077" i="2"/>
  <c r="U4055" i="2"/>
  <c r="U4060" i="2" s="1"/>
  <c r="U4056" i="2"/>
  <c r="U4057" i="2" s="1"/>
  <c r="U4069" i="2" l="1"/>
  <c r="U4074" i="2" s="1"/>
  <c r="U4070" i="2"/>
  <c r="U4071" i="2" s="1"/>
  <c r="U4072" i="2" s="1"/>
  <c r="U4058" i="2"/>
  <c r="U4059" i="2" s="1"/>
  <c r="U4062" i="2" s="1"/>
  <c r="V4063" i="2" s="1"/>
  <c r="U4082" i="2"/>
  <c r="W4091" i="2"/>
  <c r="U4081" i="2"/>
  <c r="U4093" i="2"/>
  <c r="U4084" i="2" l="1"/>
  <c r="U4085" i="2" s="1"/>
  <c r="U4083" i="2"/>
  <c r="U4088" i="2" s="1"/>
  <c r="W4105" i="2"/>
  <c r="U4095" i="2"/>
  <c r="U4096" i="2"/>
  <c r="U4107" i="2"/>
  <c r="U4073" i="2"/>
  <c r="U4076" i="2" s="1"/>
  <c r="V4077" i="2" s="1"/>
  <c r="U4086" i="2" l="1"/>
  <c r="U4087" i="2" s="1"/>
  <c r="U4090" i="2" s="1"/>
  <c r="V4091" i="2" s="1"/>
  <c r="U4110" i="2"/>
  <c r="U4109" i="2"/>
  <c r="W4119" i="2"/>
  <c r="U4121" i="2"/>
  <c r="U4097" i="2"/>
  <c r="U4102" i="2" s="1"/>
  <c r="U4098" i="2"/>
  <c r="U4099" i="2" s="1"/>
  <c r="U4135" i="2" l="1"/>
  <c r="U4124" i="2"/>
  <c r="W4133" i="2"/>
  <c r="U4123" i="2"/>
  <c r="U4100" i="2"/>
  <c r="U4101" i="2" s="1"/>
  <c r="U4104" i="2" s="1"/>
  <c r="V4105" i="2" s="1"/>
  <c r="U4112" i="2"/>
  <c r="U4113" i="2" s="1"/>
  <c r="U4114" i="2" s="1"/>
  <c r="U4111" i="2"/>
  <c r="U4116" i="2" s="1"/>
  <c r="U4115" i="2" l="1"/>
  <c r="U4118" i="2" s="1"/>
  <c r="V4119" i="2" s="1"/>
  <c r="U4125" i="2"/>
  <c r="U4130" i="2" s="1"/>
  <c r="U4126" i="2"/>
  <c r="U4127" i="2" s="1"/>
  <c r="U4138" i="2"/>
  <c r="W4147" i="2"/>
  <c r="U4137" i="2"/>
  <c r="U4149" i="2"/>
  <c r="U4140" i="2" l="1"/>
  <c r="U4141" i="2" s="1"/>
  <c r="U4142" i="2" s="1"/>
  <c r="U4139" i="2"/>
  <c r="U4144" i="2" s="1"/>
  <c r="W4161" i="2"/>
  <c r="U4152" i="2"/>
  <c r="U4163" i="2"/>
  <c r="U4151" i="2"/>
  <c r="U4128" i="2"/>
  <c r="U4129" i="2" s="1"/>
  <c r="U4132" i="2" s="1"/>
  <c r="V4133" i="2" s="1"/>
  <c r="U4153" i="2" l="1"/>
  <c r="U4158" i="2" s="1"/>
  <c r="U4154" i="2"/>
  <c r="U4155" i="2" s="1"/>
  <c r="U4156" i="2" s="1"/>
  <c r="U4177" i="2"/>
  <c r="W4175" i="2"/>
  <c r="U4165" i="2"/>
  <c r="U4166" i="2"/>
  <c r="U4143" i="2"/>
  <c r="U4146" i="2" s="1"/>
  <c r="V4147" i="2" s="1"/>
  <c r="U4179" i="2" l="1"/>
  <c r="W4189" i="2"/>
  <c r="U4191" i="2"/>
  <c r="U4180" i="2"/>
  <c r="U4168" i="2"/>
  <c r="U4169" i="2" s="1"/>
  <c r="U4167" i="2"/>
  <c r="U4172" i="2" s="1"/>
  <c r="U4157" i="2"/>
  <c r="U4160" i="2" s="1"/>
  <c r="V4161" i="2" s="1"/>
  <c r="U4181" i="2" l="1"/>
  <c r="U4186" i="2" s="1"/>
  <c r="U4182" i="2"/>
  <c r="U4183" i="2" s="1"/>
  <c r="U4170" i="2"/>
  <c r="U4171" i="2" s="1"/>
  <c r="U4174" i="2" s="1"/>
  <c r="V4175" i="2" s="1"/>
  <c r="U4194" i="2"/>
  <c r="W4203" i="2"/>
  <c r="U4193" i="2"/>
  <c r="U4205" i="2"/>
  <c r="U4184" i="2" l="1"/>
  <c r="U4185" i="2" s="1"/>
  <c r="U4188" i="2" s="1"/>
  <c r="V4189" i="2" s="1"/>
  <c r="U4196" i="2"/>
  <c r="U4197" i="2" s="1"/>
  <c r="U4198" i="2" s="1"/>
  <c r="U4195" i="2"/>
  <c r="U4200" i="2" s="1"/>
  <c r="U4208" i="2"/>
  <c r="U4207" i="2"/>
  <c r="U4219" i="2"/>
  <c r="W4217" i="2"/>
  <c r="U4199" i="2" l="1"/>
  <c r="U4202" i="2" s="1"/>
  <c r="V4203" i="2" s="1"/>
  <c r="U4209" i="2"/>
  <c r="U4214" i="2" s="1"/>
  <c r="U4210" i="2"/>
  <c r="U4211" i="2" s="1"/>
  <c r="U4212" i="2" s="1"/>
  <c r="W4231" i="2"/>
  <c r="U4221" i="2"/>
  <c r="U4233" i="2"/>
  <c r="U4222" i="2"/>
  <c r="U4213" i="2" l="1"/>
  <c r="U4216" i="2" s="1"/>
  <c r="V4217" i="2" s="1"/>
  <c r="U4235" i="2"/>
  <c r="U4236" i="2"/>
  <c r="W4245" i="2"/>
  <c r="U4247" i="2"/>
  <c r="U4223" i="2"/>
  <c r="U4228" i="2" s="1"/>
  <c r="U4224" i="2"/>
  <c r="U4225" i="2" s="1"/>
  <c r="U4226" i="2" s="1"/>
  <c r="U4238" i="2" l="1"/>
  <c r="U4239" i="2" s="1"/>
  <c r="U4237" i="2"/>
  <c r="U4242" i="2" s="1"/>
  <c r="U4249" i="2"/>
  <c r="U4250" i="2"/>
  <c r="W4259" i="2"/>
  <c r="U4261" i="2"/>
  <c r="U4227" i="2"/>
  <c r="U4230" i="2" s="1"/>
  <c r="V4231" i="2" s="1"/>
  <c r="U4240" i="2" l="1"/>
  <c r="U4241" i="2" s="1"/>
  <c r="U4244" i="2" s="1"/>
  <c r="V4245" i="2" s="1"/>
  <c r="W4273" i="2"/>
  <c r="U4275" i="2"/>
  <c r="U4264" i="2"/>
  <c r="U4263" i="2"/>
  <c r="U4252" i="2"/>
  <c r="U4253" i="2" s="1"/>
  <c r="U4251" i="2"/>
  <c r="U4256" i="2" s="1"/>
  <c r="U4266" i="2" l="1"/>
  <c r="U4267" i="2" s="1"/>
  <c r="U4265" i="2"/>
  <c r="U4270" i="2" s="1"/>
  <c r="U4254" i="2"/>
  <c r="U4255" i="2" s="1"/>
  <c r="U4258" i="2" s="1"/>
  <c r="V4259" i="2" s="1"/>
  <c r="U4277" i="2"/>
  <c r="U4278" i="2"/>
  <c r="U4289" i="2"/>
  <c r="W4287" i="2"/>
  <c r="U4291" i="2" l="1"/>
  <c r="U4292" i="2"/>
  <c r="U4303" i="2"/>
  <c r="W4301" i="2"/>
  <c r="U4279" i="2"/>
  <c r="U4284" i="2" s="1"/>
  <c r="U4280" i="2"/>
  <c r="U4281" i="2" s="1"/>
  <c r="U4282" i="2" s="1"/>
  <c r="U4268" i="2"/>
  <c r="U4269" i="2" s="1"/>
  <c r="U4272" i="2" s="1"/>
  <c r="V4273" i="2" s="1"/>
  <c r="U4294" i="2" l="1"/>
  <c r="U4295" i="2" s="1"/>
  <c r="U4296" i="2" s="1"/>
  <c r="U4293" i="2"/>
  <c r="U4298" i="2" s="1"/>
  <c r="W4315" i="2"/>
  <c r="U4306" i="2"/>
  <c r="U4305" i="2"/>
  <c r="U4317" i="2"/>
  <c r="U4283" i="2"/>
  <c r="U4286" i="2" s="1"/>
  <c r="V4287" i="2" s="1"/>
  <c r="U4320" i="2" l="1"/>
  <c r="U4319" i="2"/>
  <c r="U4331" i="2"/>
  <c r="W4329" i="2"/>
  <c r="U4308" i="2"/>
  <c r="U4309" i="2" s="1"/>
  <c r="U4310" i="2" s="1"/>
  <c r="U4307" i="2"/>
  <c r="U4312" i="2" s="1"/>
  <c r="U4297" i="2"/>
  <c r="U4300" i="2" s="1"/>
  <c r="V4301" i="2" s="1"/>
  <c r="U4311" i="2" l="1"/>
  <c r="U4314" i="2" s="1"/>
  <c r="V4315" i="2" s="1"/>
  <c r="U4321" i="2"/>
  <c r="U4326" i="2" s="1"/>
  <c r="U4322" i="2"/>
  <c r="U4323" i="2" s="1"/>
  <c r="W4343" i="2"/>
  <c r="U4334" i="2"/>
  <c r="U4333" i="2"/>
  <c r="U4345" i="2"/>
  <c r="U4335" i="2" l="1"/>
  <c r="U4340" i="2" s="1"/>
  <c r="U4336" i="2"/>
  <c r="U4337" i="2" s="1"/>
  <c r="U4359" i="2"/>
  <c r="W4357" i="2"/>
  <c r="U4347" i="2"/>
  <c r="U4348" i="2"/>
  <c r="U4324" i="2"/>
  <c r="U4325" i="2" s="1"/>
  <c r="U4328" i="2" s="1"/>
  <c r="V4329" i="2" s="1"/>
  <c r="U4349" i="2" l="1"/>
  <c r="U4354" i="2" s="1"/>
  <c r="U4350" i="2"/>
  <c r="U4351" i="2" s="1"/>
  <c r="U4352" i="2" s="1"/>
  <c r="U4338" i="2"/>
  <c r="U4339" i="2" s="1"/>
  <c r="U4342" i="2" s="1"/>
  <c r="V4343" i="2" s="1"/>
  <c r="W4371" i="2"/>
  <c r="U4373" i="2"/>
  <c r="U4362" i="2"/>
  <c r="U4361" i="2"/>
  <c r="W4385" i="2" l="1"/>
  <c r="U4375" i="2"/>
  <c r="U4376" i="2"/>
  <c r="U4387" i="2"/>
  <c r="U4364" i="2"/>
  <c r="U4365" i="2" s="1"/>
  <c r="U4366" i="2" s="1"/>
  <c r="U4363" i="2"/>
  <c r="U4368" i="2" s="1"/>
  <c r="U4353" i="2"/>
  <c r="U4356" i="2" s="1"/>
  <c r="V4357" i="2" s="1"/>
  <c r="U4367" i="2" l="1"/>
  <c r="U4370" i="2" s="1"/>
  <c r="V4371" i="2" s="1"/>
  <c r="U4377" i="2"/>
  <c r="U4382" i="2" s="1"/>
  <c r="U4378" i="2"/>
  <c r="U4379" i="2" s="1"/>
  <c r="U4389" i="2"/>
  <c r="U4401" i="2"/>
  <c r="W4399" i="2"/>
  <c r="U4390" i="2"/>
  <c r="U4415" i="2" l="1"/>
  <c r="U4403" i="2"/>
  <c r="U4404" i="2"/>
  <c r="W4413" i="2"/>
  <c r="U4380" i="2"/>
  <c r="U4381" i="2" s="1"/>
  <c r="U4384" i="2" s="1"/>
  <c r="V4385" i="2" s="1"/>
  <c r="U4391" i="2"/>
  <c r="U4396" i="2" s="1"/>
  <c r="U4392" i="2"/>
  <c r="U4393" i="2" s="1"/>
  <c r="U4405" i="2" l="1"/>
  <c r="U4410" i="2" s="1"/>
  <c r="U4406" i="2"/>
  <c r="U4407" i="2" s="1"/>
  <c r="U4418" i="2"/>
  <c r="W4427" i="2"/>
  <c r="U4417" i="2"/>
  <c r="U4429" i="2"/>
  <c r="U4394" i="2"/>
  <c r="U4395" i="2" s="1"/>
  <c r="U4398" i="2" s="1"/>
  <c r="V4399" i="2" s="1"/>
  <c r="W4441" i="2" l="1"/>
  <c r="U4432" i="2"/>
  <c r="U4431" i="2"/>
  <c r="U4443" i="2"/>
  <c r="U4408" i="2"/>
  <c r="U4409" i="2" s="1"/>
  <c r="U4412" i="2" s="1"/>
  <c r="V4413" i="2" s="1"/>
  <c r="U4419" i="2"/>
  <c r="U4424" i="2" s="1"/>
  <c r="U4420" i="2"/>
  <c r="U4421" i="2" s="1"/>
  <c r="U4422" i="2" s="1"/>
  <c r="U4433" i="2" l="1"/>
  <c r="U4438" i="2" s="1"/>
  <c r="U4434" i="2"/>
  <c r="U4435" i="2" s="1"/>
  <c r="U4457" i="2"/>
  <c r="U4446" i="2"/>
  <c r="W4455" i="2"/>
  <c r="U4445" i="2"/>
  <c r="U4423" i="2"/>
  <c r="U4426" i="2" s="1"/>
  <c r="V4427" i="2" s="1"/>
  <c r="U4447" i="2" l="1"/>
  <c r="U4452" i="2" s="1"/>
  <c r="U4448" i="2"/>
  <c r="U4449" i="2" s="1"/>
  <c r="U4450" i="2" s="1"/>
  <c r="U4436" i="2"/>
  <c r="U4437" i="2" s="1"/>
  <c r="U4440" i="2" s="1"/>
  <c r="V4441" i="2" s="1"/>
  <c r="U4471" i="2"/>
  <c r="U4459" i="2"/>
  <c r="U4460" i="2"/>
  <c r="W4469" i="2"/>
  <c r="U4451" i="2" l="1"/>
  <c r="U4454" i="2" s="1"/>
  <c r="V4455" i="2" s="1"/>
  <c r="U4461" i="2"/>
  <c r="U4466" i="2" s="1"/>
  <c r="U4462" i="2"/>
  <c r="U4463" i="2" s="1"/>
  <c r="U4464" i="2" s="1"/>
  <c r="U4485" i="2"/>
  <c r="W4483" i="2"/>
  <c r="U4473" i="2"/>
  <c r="U4474" i="2"/>
  <c r="U4476" i="2" l="1"/>
  <c r="U4477" i="2" s="1"/>
  <c r="U4475" i="2"/>
  <c r="U4480" i="2" s="1"/>
  <c r="U4499" i="2"/>
  <c r="W4497" i="2"/>
  <c r="U4488" i="2"/>
  <c r="U4487" i="2"/>
  <c r="U4465" i="2"/>
  <c r="U4468" i="2" s="1"/>
  <c r="V4469" i="2" s="1"/>
  <c r="U4489" i="2" l="1"/>
  <c r="U4494" i="2" s="1"/>
  <c r="U4490" i="2"/>
  <c r="U4491" i="2" s="1"/>
  <c r="U4502" i="2"/>
  <c r="U4501" i="2"/>
  <c r="U4513" i="2"/>
  <c r="W4511" i="2"/>
  <c r="U4478" i="2"/>
  <c r="U4479" i="2" s="1"/>
  <c r="U4482" i="2" s="1"/>
  <c r="V4483" i="2" s="1"/>
  <c r="U4492" i="2" l="1"/>
  <c r="U4493" i="2" s="1"/>
  <c r="U4496" i="2" s="1"/>
  <c r="V4497" i="2" s="1"/>
  <c r="U4504" i="2"/>
  <c r="U4505" i="2" s="1"/>
  <c r="U4506" i="2" s="1"/>
  <c r="U4503" i="2"/>
  <c r="U4508" i="2" s="1"/>
  <c r="U4516" i="2"/>
  <c r="U4527" i="2"/>
  <c r="W4525" i="2"/>
  <c r="U4515" i="2"/>
  <c r="U4507" i="2" l="1"/>
  <c r="U4510" i="2" s="1"/>
  <c r="V4511" i="2" s="1"/>
  <c r="U4529" i="2"/>
  <c r="U4530" i="2"/>
  <c r="U4541" i="2"/>
  <c r="W4539" i="2"/>
  <c r="U4517" i="2"/>
  <c r="U4522" i="2" s="1"/>
  <c r="U4518" i="2"/>
  <c r="U4519" i="2" s="1"/>
  <c r="U4520" i="2" s="1"/>
  <c r="U4521" i="2" l="1"/>
  <c r="U4524" i="2" s="1"/>
  <c r="V4525" i="2" s="1"/>
  <c r="U4532" i="2"/>
  <c r="U4533" i="2" s="1"/>
  <c r="U4534" i="2" s="1"/>
  <c r="U4531" i="2"/>
  <c r="U4536" i="2" s="1"/>
  <c r="U4555" i="2"/>
  <c r="W4553" i="2"/>
  <c r="U4544" i="2"/>
  <c r="U4543" i="2"/>
  <c r="U4546" i="2" l="1"/>
  <c r="U4547" i="2" s="1"/>
  <c r="U4548" i="2" s="1"/>
  <c r="U4545" i="2"/>
  <c r="U4550" i="2" s="1"/>
  <c r="U4535" i="2"/>
  <c r="U4538" i="2" s="1"/>
  <c r="V4539" i="2" s="1"/>
  <c r="U4558" i="2"/>
  <c r="W4567" i="2"/>
  <c r="U4557" i="2"/>
  <c r="U4569" i="2"/>
  <c r="U4559" i="2" l="1"/>
  <c r="U4564" i="2" s="1"/>
  <c r="U4560" i="2"/>
  <c r="U4561" i="2" s="1"/>
  <c r="U4562" i="2" s="1"/>
  <c r="U4583" i="2"/>
  <c r="U4572" i="2"/>
  <c r="W4581" i="2"/>
  <c r="U4571" i="2"/>
  <c r="U4549" i="2"/>
  <c r="U4552" i="2" s="1"/>
  <c r="V4553" i="2" s="1"/>
  <c r="U4563" i="2" l="1"/>
  <c r="U4566" i="2" s="1"/>
  <c r="V4567" i="2" s="1"/>
  <c r="U4574" i="2"/>
  <c r="U4575" i="2" s="1"/>
  <c r="U4576" i="2" s="1"/>
  <c r="U4573" i="2"/>
  <c r="U4578" i="2" s="1"/>
  <c r="U4585" i="2"/>
  <c r="U4597" i="2"/>
  <c r="U4586" i="2"/>
  <c r="W4595" i="2"/>
  <c r="U4577" i="2" l="1"/>
  <c r="U4580" i="2" s="1"/>
  <c r="V4581" i="2" s="1"/>
  <c r="U4587" i="2"/>
  <c r="U4592" i="2" s="1"/>
  <c r="U4588" i="2"/>
  <c r="U4589" i="2" s="1"/>
  <c r="U4590" i="2" s="1"/>
  <c r="U4599" i="2"/>
  <c r="U4611" i="2"/>
  <c r="W4609" i="2"/>
  <c r="U4600" i="2"/>
  <c r="U4613" i="2" l="1"/>
  <c r="W4623" i="2"/>
  <c r="U4614" i="2"/>
  <c r="U4625" i="2"/>
  <c r="U4601" i="2"/>
  <c r="U4606" i="2" s="1"/>
  <c r="U4602" i="2"/>
  <c r="U4603" i="2" s="1"/>
  <c r="U4591" i="2"/>
  <c r="U4594" i="2" s="1"/>
  <c r="V4595" i="2" s="1"/>
  <c r="U4616" i="2" l="1"/>
  <c r="U4617" i="2" s="1"/>
  <c r="U4618" i="2" s="1"/>
  <c r="U4615" i="2"/>
  <c r="U4620" i="2" s="1"/>
  <c r="U4604" i="2"/>
  <c r="U4605" i="2" s="1"/>
  <c r="U4608" i="2" s="1"/>
  <c r="V4609" i="2" s="1"/>
  <c r="U4628" i="2"/>
  <c r="W4637" i="2"/>
  <c r="U4627" i="2"/>
  <c r="U4639" i="2"/>
  <c r="U4619" i="2" l="1"/>
  <c r="U4622" i="2" s="1"/>
  <c r="V4623" i="2" s="1"/>
  <c r="U4629" i="2"/>
  <c r="U4634" i="2" s="1"/>
  <c r="U4630" i="2"/>
  <c r="U4631" i="2" s="1"/>
  <c r="U4642" i="2"/>
  <c r="W4651" i="2"/>
  <c r="U4641" i="2"/>
  <c r="U4653" i="2"/>
  <c r="U4643" i="2" l="1"/>
  <c r="U4648" i="2" s="1"/>
  <c r="U4644" i="2"/>
  <c r="U4645" i="2" s="1"/>
  <c r="U4646" i="2" s="1"/>
  <c r="U4667" i="2"/>
  <c r="W4665" i="2"/>
  <c r="U4656" i="2"/>
  <c r="U4655" i="2"/>
  <c r="U4632" i="2"/>
  <c r="U4633" i="2" s="1"/>
  <c r="U4636" i="2" s="1"/>
  <c r="V4637" i="2" s="1"/>
  <c r="U4647" i="2" l="1"/>
  <c r="U4650" i="2" s="1"/>
  <c r="V4651" i="2" s="1"/>
  <c r="U4657" i="2"/>
  <c r="U4662" i="2" s="1"/>
  <c r="U4658" i="2"/>
  <c r="U4659" i="2" s="1"/>
  <c r="U4660" i="2" s="1"/>
  <c r="W4679" i="2"/>
  <c r="U4681" i="2"/>
  <c r="U4669" i="2"/>
  <c r="U4670" i="2"/>
  <c r="U4661" i="2" l="1"/>
  <c r="U4664" i="2" s="1"/>
  <c r="V4665" i="2" s="1"/>
  <c r="U4695" i="2"/>
  <c r="W4693" i="2"/>
  <c r="U4684" i="2"/>
  <c r="U4683" i="2"/>
  <c r="U4671" i="2"/>
  <c r="U4676" i="2" s="1"/>
  <c r="U4672" i="2"/>
  <c r="U4698" i="2" l="1"/>
  <c r="U4709" i="2"/>
  <c r="W4707" i="2"/>
  <c r="U4697" i="2"/>
  <c r="U4673" i="2"/>
  <c r="U4674" i="2" s="1"/>
  <c r="U4675" i="2" s="1"/>
  <c r="U4678" i="2" s="1"/>
  <c r="V4679" i="2" s="1"/>
  <c r="U4686" i="2"/>
  <c r="U4685" i="2"/>
  <c r="U4690" i="2" s="1"/>
  <c r="U4712" i="2" l="1"/>
  <c r="U4711" i="2"/>
  <c r="W4721" i="2"/>
  <c r="U4723" i="2"/>
  <c r="U4687" i="2"/>
  <c r="U4699" i="2"/>
  <c r="U4704" i="2" s="1"/>
  <c r="U4700" i="2"/>
  <c r="U4688" i="2" l="1"/>
  <c r="U4689" i="2" s="1"/>
  <c r="U4692" i="2" s="1"/>
  <c r="V4693" i="2" s="1"/>
  <c r="U4714" i="2"/>
  <c r="U4713" i="2"/>
  <c r="U4718" i="2" s="1"/>
  <c r="U4701" i="2"/>
  <c r="W4735" i="2"/>
  <c r="U4725" i="2"/>
  <c r="U4737" i="2"/>
  <c r="U4726" i="2"/>
  <c r="U4702" i="2" l="1"/>
  <c r="U4703" i="2" s="1"/>
  <c r="U4706" i="2" s="1"/>
  <c r="V4707" i="2" s="1"/>
  <c r="U4715" i="2"/>
  <c r="U4740" i="2"/>
  <c r="U4739" i="2"/>
  <c r="U4751" i="2"/>
  <c r="W4749" i="2"/>
  <c r="U4728" i="2"/>
  <c r="U4727" i="2"/>
  <c r="U4732" i="2" s="1"/>
  <c r="U4729" i="2" l="1"/>
  <c r="U4730" i="2" s="1"/>
  <c r="U4731" i="2" s="1"/>
  <c r="U4734" i="2" s="1"/>
  <c r="V4735" i="2" s="1"/>
  <c r="U4742" i="2"/>
  <c r="U4741" i="2"/>
  <c r="U4746" i="2" s="1"/>
  <c r="U4754" i="2"/>
  <c r="U4753" i="2"/>
  <c r="U4765" i="2"/>
  <c r="W4763" i="2"/>
  <c r="U4716" i="2"/>
  <c r="U4717" i="2" s="1"/>
  <c r="U4720" i="2" s="1"/>
  <c r="V4721" i="2" s="1"/>
  <c r="U4755" i="2" l="1"/>
  <c r="U4760" i="2" s="1"/>
  <c r="U4756" i="2"/>
  <c r="U4768" i="2"/>
  <c r="W4777" i="2"/>
  <c r="U4767" i="2"/>
  <c r="U4779" i="2"/>
  <c r="U4743" i="2"/>
  <c r="U4744" i="2" s="1"/>
  <c r="U4745" i="2" s="1"/>
  <c r="U4748" i="2" s="1"/>
  <c r="V4749" i="2" s="1"/>
  <c r="W4791" i="2" l="1"/>
  <c r="U4782" i="2"/>
  <c r="U4793" i="2"/>
  <c r="U4781" i="2"/>
  <c r="U4757" i="2"/>
  <c r="U4769" i="2"/>
  <c r="U4774" i="2" s="1"/>
  <c r="U4770" i="2"/>
  <c r="U4758" i="2" l="1"/>
  <c r="U4759" i="2" s="1"/>
  <c r="U4762" i="2" s="1"/>
  <c r="V4763" i="2" s="1"/>
  <c r="W4805" i="2"/>
  <c r="U4796" i="2"/>
  <c r="U4795" i="2"/>
  <c r="U4807" i="2"/>
  <c r="U4784" i="2"/>
  <c r="U4783" i="2"/>
  <c r="U4788" i="2" s="1"/>
  <c r="U4771" i="2"/>
  <c r="U4772" i="2" l="1"/>
  <c r="U4773" i="2" s="1"/>
  <c r="U4776" i="2" s="1"/>
  <c r="V4777" i="2" s="1"/>
  <c r="U4797" i="2"/>
  <c r="U4802" i="2" s="1"/>
  <c r="U4798" i="2"/>
  <c r="U4821" i="2"/>
  <c r="W4819" i="2"/>
  <c r="U4810" i="2"/>
  <c r="U4809" i="2"/>
  <c r="U4785" i="2"/>
  <c r="U4786" i="2" s="1"/>
  <c r="U4787" i="2" s="1"/>
  <c r="U4790" i="2" s="1"/>
  <c r="V4791" i="2" s="1"/>
  <c r="U4824" i="2" l="1"/>
  <c r="U4823" i="2"/>
  <c r="U4835" i="2"/>
  <c r="W4833" i="2"/>
  <c r="U4811" i="2"/>
  <c r="U4816" i="2" s="1"/>
  <c r="U4812" i="2"/>
  <c r="U4799" i="2"/>
  <c r="U4826" i="2" l="1"/>
  <c r="U4825" i="2"/>
  <c r="U4830" i="2" s="1"/>
  <c r="U4813" i="2"/>
  <c r="U4814" i="2" s="1"/>
  <c r="U4815" i="2" s="1"/>
  <c r="U4818" i="2" s="1"/>
  <c r="V4819" i="2" s="1"/>
  <c r="W4847" i="2"/>
  <c r="U4838" i="2"/>
  <c r="U4837" i="2"/>
  <c r="U4849" i="2"/>
  <c r="U4800" i="2"/>
  <c r="U4801" i="2" s="1"/>
  <c r="U4804" i="2" s="1"/>
  <c r="V4805" i="2" s="1"/>
  <c r="U4840" i="2" l="1"/>
  <c r="U4839" i="2"/>
  <c r="U4844" i="2" s="1"/>
  <c r="U4852" i="2"/>
  <c r="U4851" i="2"/>
  <c r="U4863" i="2"/>
  <c r="W4861" i="2"/>
  <c r="U4827" i="2"/>
  <c r="U4865" i="2" l="1"/>
  <c r="U4877" i="2"/>
  <c r="W4875" i="2"/>
  <c r="U4866" i="2"/>
  <c r="U4841" i="2"/>
  <c r="U4842" i="2" s="1"/>
  <c r="U4843" i="2" s="1"/>
  <c r="U4846" i="2" s="1"/>
  <c r="V4847" i="2" s="1"/>
  <c r="U4828" i="2"/>
  <c r="U4829" i="2" s="1"/>
  <c r="U4832" i="2" s="1"/>
  <c r="V4833" i="2" s="1"/>
  <c r="U4854" i="2"/>
  <c r="U4853" i="2"/>
  <c r="U4858" i="2" s="1"/>
  <c r="U4855" i="2" l="1"/>
  <c r="U4856" i="2" s="1"/>
  <c r="U4857" i="2" s="1"/>
  <c r="U4860" i="2" s="1"/>
  <c r="V4861" i="2" s="1"/>
  <c r="U4867" i="2"/>
  <c r="U4872" i="2" s="1"/>
  <c r="U4868" i="2"/>
  <c r="W4889" i="2"/>
  <c r="U4880" i="2"/>
  <c r="U4879" i="2"/>
  <c r="U4891" i="2"/>
  <c r="U4881" i="2" l="1"/>
  <c r="U4886" i="2" s="1"/>
  <c r="U4882" i="2"/>
  <c r="U4905" i="2"/>
  <c r="W4903" i="2"/>
  <c r="U4894" i="2"/>
  <c r="U4893" i="2"/>
  <c r="U4869" i="2"/>
  <c r="U4870" i="2" s="1"/>
  <c r="U4871" i="2" s="1"/>
  <c r="U4874" i="2" s="1"/>
  <c r="V4875" i="2" s="1"/>
  <c r="U4895" i="2" l="1"/>
  <c r="U4900" i="2" s="1"/>
  <c r="U4896" i="2"/>
  <c r="U4883" i="2"/>
  <c r="U4884" i="2" s="1"/>
  <c r="U4885" i="2" s="1"/>
  <c r="U4888" i="2" s="1"/>
  <c r="V4889" i="2" s="1"/>
  <c r="W4917" i="2"/>
  <c r="U4908" i="2"/>
  <c r="U4907" i="2"/>
  <c r="U4919" i="2"/>
  <c r="U4897" i="2" l="1"/>
  <c r="U4898" i="2" s="1"/>
  <c r="U4899" i="2" s="1"/>
  <c r="U4902" i="2" s="1"/>
  <c r="V4903" i="2" s="1"/>
  <c r="U4909" i="2"/>
  <c r="U4914" i="2" s="1"/>
  <c r="U4910" i="2"/>
  <c r="U4921" i="2"/>
  <c r="W4931" i="2"/>
  <c r="U4922" i="2"/>
  <c r="U4933" i="2"/>
  <c r="U4924" i="2" l="1"/>
  <c r="U4923" i="2"/>
  <c r="U4928" i="2" s="1"/>
  <c r="U4936" i="2"/>
  <c r="U4947" i="2"/>
  <c r="W4945" i="2"/>
  <c r="U4935" i="2"/>
  <c r="U4911" i="2"/>
  <c r="U4912" i="2" s="1"/>
  <c r="U4913" i="2" s="1"/>
  <c r="U4916" i="2" s="1"/>
  <c r="V4917" i="2" s="1"/>
  <c r="U4938" i="2" l="1"/>
  <c r="U4937" i="2"/>
  <c r="U4942" i="2" s="1"/>
  <c r="U4925" i="2"/>
  <c r="U4926" i="2" s="1"/>
  <c r="U4927" i="2" s="1"/>
  <c r="U4930" i="2" s="1"/>
  <c r="V4931" i="2" s="1"/>
  <c r="W4959" i="2"/>
  <c r="U4949" i="2"/>
  <c r="U4950" i="2"/>
  <c r="U4961" i="2"/>
  <c r="U4951" i="2" l="1"/>
  <c r="U4956" i="2" s="1"/>
  <c r="U4952" i="2"/>
  <c r="U4939" i="2"/>
  <c r="U4964" i="2"/>
  <c r="U4963" i="2"/>
  <c r="U4975" i="2"/>
  <c r="W4973" i="2"/>
  <c r="U4953" i="2" l="1"/>
  <c r="U4966" i="2"/>
  <c r="U4965" i="2"/>
  <c r="U4970" i="2" s="1"/>
  <c r="U4940" i="2"/>
  <c r="U4941" i="2" s="1"/>
  <c r="U4944" i="2" s="1"/>
  <c r="V4945" i="2" s="1"/>
  <c r="U4989" i="2"/>
  <c r="W4987" i="2"/>
  <c r="U4977" i="2"/>
  <c r="U4978" i="2"/>
  <c r="U4979" i="2" l="1"/>
  <c r="U4984" i="2" s="1"/>
  <c r="U4980" i="2"/>
  <c r="U4992" i="2"/>
  <c r="U5003" i="2"/>
  <c r="U4991" i="2"/>
  <c r="W5001" i="2"/>
  <c r="U4967" i="2"/>
  <c r="U4968" i="2" s="1"/>
  <c r="U4969" i="2" s="1"/>
  <c r="U4972" i="2" s="1"/>
  <c r="V4973" i="2" s="1"/>
  <c r="U4954" i="2"/>
  <c r="U4955" i="2" s="1"/>
  <c r="U4958" i="2" s="1"/>
  <c r="V4959" i="2" s="1"/>
  <c r="U4993" i="2" l="1"/>
  <c r="U4998" i="2" s="1"/>
  <c r="U4994" i="2"/>
  <c r="U4981" i="2"/>
  <c r="U4982" i="2" s="1"/>
  <c r="U4983" i="2" s="1"/>
  <c r="U4986" i="2" s="1"/>
  <c r="V4987" i="2" s="1"/>
  <c r="U5006" i="2"/>
  <c r="U5017" i="2"/>
  <c r="W5015" i="2"/>
  <c r="U5005" i="2"/>
  <c r="W5029" i="2" l="1"/>
  <c r="U5031" i="2"/>
  <c r="U5020" i="2"/>
  <c r="U5019" i="2"/>
  <c r="U4995" i="2"/>
  <c r="U4996" i="2" s="1"/>
  <c r="U4997" i="2" s="1"/>
  <c r="U5000" i="2" s="1"/>
  <c r="V5001" i="2" s="1"/>
  <c r="U5008" i="2"/>
  <c r="U5007" i="2"/>
  <c r="U5012" i="2" s="1"/>
  <c r="U5009" i="2" l="1"/>
  <c r="U5010" i="2" s="1"/>
  <c r="U5011" i="2" s="1"/>
  <c r="U5014" i="2" s="1"/>
  <c r="V5015" i="2" s="1"/>
  <c r="U5034" i="2"/>
  <c r="U5033" i="2"/>
  <c r="U5045" i="2"/>
  <c r="W5043" i="2"/>
  <c r="U5021" i="2"/>
  <c r="U5026" i="2" s="1"/>
  <c r="U5022" i="2"/>
  <c r="U5023" i="2" l="1"/>
  <c r="U5035" i="2"/>
  <c r="U5040" i="2" s="1"/>
  <c r="U5036" i="2"/>
  <c r="U5059" i="2"/>
  <c r="U5048" i="2"/>
  <c r="U5047" i="2"/>
  <c r="W5057" i="2"/>
  <c r="U5050" i="2" l="1"/>
  <c r="U5049" i="2"/>
  <c r="U5054" i="2" s="1"/>
  <c r="W5071" i="2"/>
  <c r="U5073" i="2"/>
  <c r="U5061" i="2"/>
  <c r="U5062" i="2"/>
  <c r="U5024" i="2"/>
  <c r="U5025" i="2" s="1"/>
  <c r="U5028" i="2" s="1"/>
  <c r="V5029" i="2" s="1"/>
  <c r="U5037" i="2"/>
  <c r="U5038" i="2" s="1"/>
  <c r="U5039" i="2" s="1"/>
  <c r="U5042" i="2" s="1"/>
  <c r="V5043" i="2" s="1"/>
  <c r="U5063" i="2" l="1"/>
  <c r="U5068" i="2" s="1"/>
  <c r="U5064" i="2"/>
  <c r="U5051" i="2"/>
  <c r="U5052" i="2" s="1"/>
  <c r="U5053" i="2" s="1"/>
  <c r="U5056" i="2" s="1"/>
  <c r="V5057" i="2" s="1"/>
  <c r="U5076" i="2"/>
  <c r="U5087" i="2"/>
  <c r="W5085" i="2"/>
  <c r="U5075" i="2"/>
  <c r="W5099" i="2" l="1"/>
  <c r="U5090" i="2"/>
  <c r="U5089" i="2"/>
  <c r="U5101" i="2"/>
  <c r="U5065" i="2"/>
  <c r="U5077" i="2"/>
  <c r="U5082" i="2" s="1"/>
  <c r="U5078" i="2"/>
  <c r="U5066" i="2" l="1"/>
  <c r="U5067" i="2" s="1"/>
  <c r="U5070" i="2" s="1"/>
  <c r="V5071" i="2" s="1"/>
  <c r="U5092" i="2"/>
  <c r="U5091" i="2"/>
  <c r="U5096" i="2" s="1"/>
  <c r="U5079" i="2"/>
  <c r="U5103" i="2"/>
  <c r="U5115" i="2"/>
  <c r="W5113" i="2"/>
  <c r="U5104" i="2"/>
  <c r="U5080" i="2" l="1"/>
  <c r="U5081" i="2" s="1"/>
  <c r="U5084" i="2" s="1"/>
  <c r="V5085" i="2" s="1"/>
  <c r="U5105" i="2"/>
  <c r="U5110" i="2" s="1"/>
  <c r="U5106" i="2"/>
  <c r="U5093" i="2"/>
  <c r="W5127" i="2"/>
  <c r="U5118" i="2"/>
  <c r="U5117" i="2"/>
  <c r="U5129" i="2"/>
  <c r="U5131" i="2" l="1"/>
  <c r="U5143" i="2"/>
  <c r="W5141" i="2"/>
  <c r="U5132" i="2"/>
  <c r="U5094" i="2"/>
  <c r="U5095" i="2" s="1"/>
  <c r="U5098" i="2" s="1"/>
  <c r="V5099" i="2" s="1"/>
  <c r="U5120" i="2"/>
  <c r="U5119" i="2"/>
  <c r="U5124" i="2" s="1"/>
  <c r="U5107" i="2"/>
  <c r="U5108" i="2" s="1"/>
  <c r="U5109" i="2" s="1"/>
  <c r="U5112" i="2" s="1"/>
  <c r="V5113" i="2" s="1"/>
  <c r="U5145" i="2" l="1"/>
  <c r="W5155" i="2"/>
  <c r="U5146" i="2"/>
  <c r="U5157" i="2"/>
  <c r="U5134" i="2"/>
  <c r="U5133" i="2"/>
  <c r="U5138" i="2" s="1"/>
  <c r="U5121" i="2"/>
  <c r="U5122" i="2" s="1"/>
  <c r="U5123" i="2" s="1"/>
  <c r="U5126" i="2" s="1"/>
  <c r="V5127" i="2" s="1"/>
  <c r="U5147" i="2" l="1"/>
  <c r="U5152" i="2" s="1"/>
  <c r="U5148" i="2"/>
  <c r="U5135" i="2"/>
  <c r="U5136" i="2" s="1"/>
  <c r="U5137" i="2" s="1"/>
  <c r="U5140" i="2" s="1"/>
  <c r="V5141" i="2" s="1"/>
  <c r="U5160" i="2"/>
  <c r="U5171" i="2"/>
  <c r="U5159" i="2"/>
  <c r="W5169" i="2"/>
  <c r="U5173" i="2" l="1"/>
  <c r="U5174" i="2"/>
  <c r="U5185" i="2"/>
  <c r="W5183" i="2"/>
  <c r="U5149" i="2"/>
  <c r="U5150" i="2" s="1"/>
  <c r="U5151" i="2" s="1"/>
  <c r="U5154" i="2" s="1"/>
  <c r="V5155" i="2" s="1"/>
  <c r="U5162" i="2"/>
  <c r="U5161" i="2"/>
  <c r="U5166" i="2" s="1"/>
  <c r="U5163" i="2" l="1"/>
  <c r="U5164" i="2" s="1"/>
  <c r="U5165" i="2" s="1"/>
  <c r="U5168" i="2" s="1"/>
  <c r="V5169" i="2" s="1"/>
  <c r="U5175" i="2"/>
  <c r="U5180" i="2" s="1"/>
  <c r="U5176" i="2"/>
  <c r="U5199" i="2"/>
  <c r="U5187" i="2"/>
  <c r="W5197" i="2"/>
  <c r="U5188" i="2"/>
  <c r="U5189" i="2" l="1"/>
  <c r="U5194" i="2" s="1"/>
  <c r="U5190" i="2"/>
  <c r="U5213" i="2"/>
  <c r="W5211" i="2"/>
  <c r="U5202" i="2"/>
  <c r="U5201" i="2"/>
  <c r="U5177" i="2"/>
  <c r="U5203" i="2" l="1"/>
  <c r="U5208" i="2" s="1"/>
  <c r="U5204" i="2"/>
  <c r="U5191" i="2"/>
  <c r="U5192" i="2" s="1"/>
  <c r="U5193" i="2" s="1"/>
  <c r="U5196" i="2" s="1"/>
  <c r="V5197" i="2" s="1"/>
  <c r="U5178" i="2"/>
  <c r="U5179" i="2" s="1"/>
  <c r="U5182" i="2" s="1"/>
  <c r="V5183" i="2" s="1"/>
  <c r="U5227" i="2"/>
  <c r="W5225" i="2"/>
  <c r="U5216" i="2"/>
  <c r="U5215" i="2"/>
  <c r="U5217" i="2" l="1"/>
  <c r="U5222" i="2" s="1"/>
  <c r="U5218" i="2"/>
  <c r="U5205" i="2"/>
  <c r="U5206" i="2" s="1"/>
  <c r="U5207" i="2" s="1"/>
  <c r="U5210" i="2" s="1"/>
  <c r="V5211" i="2" s="1"/>
  <c r="U5241" i="2"/>
  <c r="U5229" i="2"/>
  <c r="U5230" i="2"/>
  <c r="W5239" i="2"/>
  <c r="W5253" i="2" l="1"/>
  <c r="U5255" i="2"/>
  <c r="U5244" i="2"/>
  <c r="U5243" i="2"/>
  <c r="U5232" i="2"/>
  <c r="U5231" i="2"/>
  <c r="U5236" i="2" s="1"/>
  <c r="U5219" i="2"/>
  <c r="U5220" i="2" s="1"/>
  <c r="U5221" i="2" s="1"/>
  <c r="U5224" i="2" s="1"/>
  <c r="V5225" i="2" s="1"/>
  <c r="U5269" i="2" l="1"/>
  <c r="U5258" i="2"/>
  <c r="U5257" i="2"/>
  <c r="W5267" i="2"/>
  <c r="U5233" i="2"/>
  <c r="U5246" i="2"/>
  <c r="U5245" i="2"/>
  <c r="U5250" i="2" s="1"/>
  <c r="U5272" i="2" l="1"/>
  <c r="U5283" i="2"/>
  <c r="U5271" i="2"/>
  <c r="W5281" i="2"/>
  <c r="U5234" i="2"/>
  <c r="U5235" i="2" s="1"/>
  <c r="U5238" i="2" s="1"/>
  <c r="V5239" i="2" s="1"/>
  <c r="U5259" i="2"/>
  <c r="U5264" i="2" s="1"/>
  <c r="U5260" i="2"/>
  <c r="U5247" i="2"/>
  <c r="U5248" i="2" s="1"/>
  <c r="U5249" i="2" s="1"/>
  <c r="U5252" i="2" s="1"/>
  <c r="V5253" i="2" s="1"/>
  <c r="U5261" i="2" l="1"/>
  <c r="W5295" i="2"/>
  <c r="U5297" i="2"/>
  <c r="U5285" i="2"/>
  <c r="U5286" i="2"/>
  <c r="U5274" i="2"/>
  <c r="U5273" i="2"/>
  <c r="U5278" i="2" s="1"/>
  <c r="U5275" i="2" l="1"/>
  <c r="U5276" i="2" s="1"/>
  <c r="U5277" i="2" s="1"/>
  <c r="U5280" i="2" s="1"/>
  <c r="V5281" i="2" s="1"/>
  <c r="U5288" i="2"/>
  <c r="U5287" i="2"/>
  <c r="U5292" i="2" s="1"/>
  <c r="U5262" i="2"/>
  <c r="U5263" i="2" s="1"/>
  <c r="U5266" i="2" s="1"/>
  <c r="V5267" i="2" s="1"/>
  <c r="U5299" i="2"/>
  <c r="W5309" i="2"/>
  <c r="U5311" i="2"/>
  <c r="U5300" i="2"/>
  <c r="U5301" i="2" l="1"/>
  <c r="U5306" i="2" s="1"/>
  <c r="U5302" i="2"/>
  <c r="U5289" i="2"/>
  <c r="U5290" i="2" s="1"/>
  <c r="U5291" i="2" s="1"/>
  <c r="U5294" i="2" s="1"/>
  <c r="V5295" i="2" s="1"/>
  <c r="U5313" i="2"/>
  <c r="W5323" i="2"/>
  <c r="U5314" i="2"/>
  <c r="U5325" i="2"/>
  <c r="U5303" i="2" l="1"/>
  <c r="U5304" i="2" s="1"/>
  <c r="U5305" i="2" s="1"/>
  <c r="U5308" i="2" s="1"/>
  <c r="V5309" i="2" s="1"/>
  <c r="W5337" i="2"/>
  <c r="U5327" i="2"/>
  <c r="U5328" i="2"/>
  <c r="U5339" i="2"/>
  <c r="U5316" i="2"/>
  <c r="U5315" i="2"/>
  <c r="U5320" i="2" s="1"/>
  <c r="U5341" i="2" l="1"/>
  <c r="W5351" i="2"/>
  <c r="U5342" i="2"/>
  <c r="U5353" i="2"/>
  <c r="U5317" i="2"/>
  <c r="U5329" i="2"/>
  <c r="U5334" i="2" s="1"/>
  <c r="U5330" i="2"/>
  <c r="U5331" i="2" l="1"/>
  <c r="U5332" i="2" s="1"/>
  <c r="U5333" i="2" s="1"/>
  <c r="U5336" i="2" s="1"/>
  <c r="V5337" i="2" s="1"/>
  <c r="U5355" i="2"/>
  <c r="W5365" i="2"/>
  <c r="U5356" i="2"/>
  <c r="U5367" i="2"/>
  <c r="U5318" i="2"/>
  <c r="U5319" i="2" s="1"/>
  <c r="U5322" i="2" s="1"/>
  <c r="V5323" i="2" s="1"/>
  <c r="U5343" i="2"/>
  <c r="U5348" i="2" s="1"/>
  <c r="U5344" i="2"/>
  <c r="U5345" i="2" l="1"/>
  <c r="U5346" i="2" s="1"/>
  <c r="U5347" i="2" s="1"/>
  <c r="U5350" i="2" s="1"/>
  <c r="V5351" i="2" s="1"/>
  <c r="U5369" i="2"/>
  <c r="W5379" i="2"/>
  <c r="U5370" i="2"/>
  <c r="U5381" i="2"/>
  <c r="U5357" i="2"/>
  <c r="U5362" i="2" s="1"/>
  <c r="U5358" i="2"/>
  <c r="U5359" i="2" l="1"/>
  <c r="W5393" i="2"/>
  <c r="U5384" i="2"/>
  <c r="U5395" i="2"/>
  <c r="U5383" i="2"/>
  <c r="U5372" i="2"/>
  <c r="U5371" i="2"/>
  <c r="U5376" i="2" s="1"/>
  <c r="U5386" i="2" l="1"/>
  <c r="U5385" i="2"/>
  <c r="U5390" i="2" s="1"/>
  <c r="U5398" i="2"/>
  <c r="W5407" i="2"/>
  <c r="U5409" i="2"/>
  <c r="U5397" i="2"/>
  <c r="U5360" i="2"/>
  <c r="U5361" i="2" s="1"/>
  <c r="U5364" i="2" s="1"/>
  <c r="V5365" i="2" s="1"/>
  <c r="U5373" i="2"/>
  <c r="U5374" i="2" s="1"/>
  <c r="U5375" i="2" s="1"/>
  <c r="U5378" i="2" s="1"/>
  <c r="V5379" i="2" s="1"/>
  <c r="U5400" i="2" l="1"/>
  <c r="U5399" i="2"/>
  <c r="U5404" i="2" s="1"/>
  <c r="W5421" i="2"/>
  <c r="U5423" i="2"/>
  <c r="U5412" i="2"/>
  <c r="U5411" i="2"/>
  <c r="U5387" i="2"/>
  <c r="U5388" i="2" s="1"/>
  <c r="U5389" i="2" s="1"/>
  <c r="U5392" i="2" s="1"/>
  <c r="V5393" i="2" s="1"/>
  <c r="U5414" i="2" l="1"/>
  <c r="U5413" i="2"/>
  <c r="U5418" i="2" s="1"/>
  <c r="U5401" i="2"/>
  <c r="U5402" i="2" s="1"/>
  <c r="U5403" i="2" s="1"/>
  <c r="U5406" i="2" s="1"/>
  <c r="V5407" i="2" s="1"/>
  <c r="U5426" i="2"/>
  <c r="U5437" i="2"/>
  <c r="W5435" i="2"/>
  <c r="U5425" i="2"/>
  <c r="U5440" i="2" l="1"/>
  <c r="U5439" i="2"/>
  <c r="U5451" i="2"/>
  <c r="W5449" i="2"/>
  <c r="U5428" i="2"/>
  <c r="U5427" i="2"/>
  <c r="U5432" i="2" s="1"/>
  <c r="U5415" i="2"/>
  <c r="U5429" i="2" l="1"/>
  <c r="U5430" i="2" s="1"/>
  <c r="U5431" i="2" s="1"/>
  <c r="U5434" i="2" s="1"/>
  <c r="V5435" i="2" s="1"/>
  <c r="U5442" i="2"/>
  <c r="U5441" i="2"/>
  <c r="U5446" i="2" s="1"/>
  <c r="W5463" i="2"/>
  <c r="U5453" i="2"/>
  <c r="U5454" i="2"/>
  <c r="U5465" i="2"/>
  <c r="U5416" i="2"/>
  <c r="U5417" i="2" s="1"/>
  <c r="U5420" i="2" s="1"/>
  <c r="V5421" i="2" s="1"/>
  <c r="U5455" i="2" l="1"/>
  <c r="U5460" i="2" s="1"/>
  <c r="U5456" i="2"/>
  <c r="U5443" i="2"/>
  <c r="U5444" i="2" s="1"/>
  <c r="U5445" i="2" s="1"/>
  <c r="U5448" i="2" s="1"/>
  <c r="V5449" i="2" s="1"/>
  <c r="W5477" i="2"/>
  <c r="U5468" i="2"/>
  <c r="U5467" i="2"/>
  <c r="U5479" i="2"/>
  <c r="U5457" i="2" l="1"/>
  <c r="U5458" i="2" s="1"/>
  <c r="U5459" i="2" s="1"/>
  <c r="U5462" i="2" s="1"/>
  <c r="V5463" i="2" s="1"/>
  <c r="U5470" i="2"/>
  <c r="U5469" i="2"/>
  <c r="U5474" i="2" s="1"/>
  <c r="U5493" i="2"/>
  <c r="W5491" i="2"/>
  <c r="U5482" i="2"/>
  <c r="U5481" i="2"/>
  <c r="U5471" i="2" l="1"/>
  <c r="U5472" i="2" s="1"/>
  <c r="U5473" i="2" s="1"/>
  <c r="U5476" i="2" s="1"/>
  <c r="V5477" i="2" s="1"/>
  <c r="U5483" i="2"/>
  <c r="U5488" i="2" s="1"/>
  <c r="U5484" i="2"/>
  <c r="U5496" i="2"/>
  <c r="U5495" i="2"/>
  <c r="U5507" i="2"/>
  <c r="W5505" i="2"/>
  <c r="U5498" i="2" l="1"/>
  <c r="U5497" i="2"/>
  <c r="U5502" i="2" s="1"/>
  <c r="W5519" i="2"/>
  <c r="U5510" i="2"/>
  <c r="U5521" i="2"/>
  <c r="U5509" i="2"/>
  <c r="U5485" i="2"/>
  <c r="U5486" i="2" s="1"/>
  <c r="U5487" i="2" s="1"/>
  <c r="U5490" i="2" s="1"/>
  <c r="V5491" i="2" s="1"/>
  <c r="U5512" i="2" l="1"/>
  <c r="U5511" i="2"/>
  <c r="U5516" i="2" s="1"/>
  <c r="U5523" i="2"/>
  <c r="U5535" i="2"/>
  <c r="U5524" i="2"/>
  <c r="W5533" i="2"/>
  <c r="U5499" i="2"/>
  <c r="U5500" i="2" s="1"/>
  <c r="U5501" i="2" s="1"/>
  <c r="U5504" i="2" s="1"/>
  <c r="V5505" i="2" s="1"/>
  <c r="U5537" i="2" l="1"/>
  <c r="U5549" i="2"/>
  <c r="W5547" i="2"/>
  <c r="U5538" i="2"/>
  <c r="U5513" i="2"/>
  <c r="U5526" i="2"/>
  <c r="U5525" i="2"/>
  <c r="U5530" i="2" s="1"/>
  <c r="U5539" i="2" l="1"/>
  <c r="U5544" i="2" s="1"/>
  <c r="U5540" i="2"/>
  <c r="U5552" i="2"/>
  <c r="U5563" i="2"/>
  <c r="U5551" i="2"/>
  <c r="W5561" i="2"/>
  <c r="U5514" i="2"/>
  <c r="U5515" i="2" s="1"/>
  <c r="U5518" i="2" s="1"/>
  <c r="V5519" i="2" s="1"/>
  <c r="U5527" i="2"/>
  <c r="U5528" i="2" s="1"/>
  <c r="U5529" i="2" s="1"/>
  <c r="U5532" i="2" s="1"/>
  <c r="V5533" i="2" s="1"/>
  <c r="U5541" i="2" l="1"/>
  <c r="U5542" i="2" s="1"/>
  <c r="U5543" i="2" s="1"/>
  <c r="U5546" i="2" s="1"/>
  <c r="V5547" i="2" s="1"/>
  <c r="U5553" i="2"/>
  <c r="U5558" i="2" s="1"/>
  <c r="U5554" i="2"/>
  <c r="W5575" i="2"/>
  <c r="U5566" i="2"/>
  <c r="U5577" i="2"/>
  <c r="U5565" i="2"/>
  <c r="W5589" i="2" l="1"/>
  <c r="U5591" i="2"/>
  <c r="U5580" i="2"/>
  <c r="U5579" i="2"/>
  <c r="U5568" i="2"/>
  <c r="U5567" i="2"/>
  <c r="U5572" i="2" s="1"/>
  <c r="U5555" i="2"/>
  <c r="U5556" i="2" s="1"/>
  <c r="U5557" i="2" s="1"/>
  <c r="U5560" i="2" s="1"/>
  <c r="V5561" i="2" s="1"/>
  <c r="U5594" i="2" l="1"/>
  <c r="U5593" i="2"/>
  <c r="U5605" i="2"/>
  <c r="W5603" i="2"/>
  <c r="U5569" i="2"/>
  <c r="U5582" i="2"/>
  <c r="U5581" i="2"/>
  <c r="U5586" i="2" s="1"/>
  <c r="U5570" i="2" l="1"/>
  <c r="U5571" i="2" s="1"/>
  <c r="U5574" i="2" s="1"/>
  <c r="V5575" i="2" s="1"/>
  <c r="U5619" i="2"/>
  <c r="U5608" i="2"/>
  <c r="U5607" i="2"/>
  <c r="W5617" i="2"/>
  <c r="U5595" i="2"/>
  <c r="U5600" i="2" s="1"/>
  <c r="U5596" i="2"/>
  <c r="U5583" i="2"/>
  <c r="U5610" i="2" l="1"/>
  <c r="U5609" i="2"/>
  <c r="U5614" i="2" s="1"/>
  <c r="U5584" i="2"/>
  <c r="U5585" i="2" s="1"/>
  <c r="U5588" i="2" s="1"/>
  <c r="V5589" i="2" s="1"/>
  <c r="W5631" i="2"/>
  <c r="U5622" i="2"/>
  <c r="U5621" i="2"/>
  <c r="U5597" i="2"/>
  <c r="U5611" i="2" l="1"/>
  <c r="U5624" i="2"/>
  <c r="U5623" i="2"/>
  <c r="U5628" i="2" s="1"/>
  <c r="U5598" i="2"/>
  <c r="U5599" i="2" s="1"/>
  <c r="U5602" i="2" s="1"/>
  <c r="V5603" i="2" s="1"/>
  <c r="U5625" i="2" l="1"/>
  <c r="U5612" i="2"/>
  <c r="U5613" i="2" s="1"/>
  <c r="U5616" i="2" s="1"/>
  <c r="V5617" i="2" s="1"/>
  <c r="U5626" i="2" l="1"/>
  <c r="U5627" i="2" s="1"/>
  <c r="U5630" i="2" s="1"/>
  <c r="V5631" i="2" s="1"/>
  <c r="W18" i="2" s="1"/>
  <c r="W20" i="2" s="1"/>
  <c r="W19" i="2" l="1"/>
  <c r="F40" i="3" s="1"/>
  <c r="E44" i="3" l="1"/>
  <c r="E41" i="3" s="1"/>
  <c r="E40" i="3"/>
  <c r="D44" i="3" s="1"/>
  <c r="D41" i="3" s="1"/>
  <c r="X33" i="2"/>
  <c r="X35" i="2" s="1"/>
  <c r="X37" i="2" s="1"/>
  <c r="X42" i="2" s="1"/>
  <c r="X47" i="2" l="1"/>
  <c r="Z59" i="2" s="1"/>
  <c r="Z45" i="2"/>
  <c r="X36" i="2"/>
  <c r="X38" i="2" s="1"/>
  <c r="X39" i="2" s="1"/>
  <c r="X61" i="2" l="1"/>
  <c r="X63" i="2" s="1"/>
  <c r="X49" i="2"/>
  <c r="X51" i="2" s="1"/>
  <c r="X56" i="2" s="1"/>
  <c r="X50" i="2"/>
  <c r="X40" i="2"/>
  <c r="X41" i="2" s="1"/>
  <c r="X44" i="2" s="1"/>
  <c r="Y45" i="2" s="1"/>
  <c r="X64" i="2" l="1"/>
  <c r="X66" i="2" s="1"/>
  <c r="X67" i="2" s="1"/>
  <c r="X68" i="2" s="1"/>
  <c r="Z73" i="2"/>
  <c r="X75" i="2"/>
  <c r="X78" i="2" s="1"/>
  <c r="X52" i="2"/>
  <c r="X53" i="2" s="1"/>
  <c r="X54" i="2" s="1"/>
  <c r="X55" i="2" s="1"/>
  <c r="X58" i="2" s="1"/>
  <c r="Y59" i="2" s="1"/>
  <c r="X65" i="2"/>
  <c r="X70" i="2" s="1"/>
  <c r="X89" i="2"/>
  <c r="X77" i="2" l="1"/>
  <c r="X80" i="2" s="1"/>
  <c r="X81" i="2" s="1"/>
  <c r="X82" i="2" s="1"/>
  <c r="Z87" i="2"/>
  <c r="X69" i="2"/>
  <c r="X72" i="2" s="1"/>
  <c r="Y73" i="2" s="1"/>
  <c r="X103" i="2"/>
  <c r="Z101" i="2"/>
  <c r="X92" i="2"/>
  <c r="X91" i="2"/>
  <c r="X79" i="2" l="1"/>
  <c r="X84" i="2" s="1"/>
  <c r="X106" i="2"/>
  <c r="X117" i="2"/>
  <c r="X105" i="2"/>
  <c r="Z115" i="2"/>
  <c r="X93" i="2"/>
  <c r="X98" i="2" s="1"/>
  <c r="X94" i="2"/>
  <c r="X95" i="2" s="1"/>
  <c r="X83" i="2" l="1"/>
  <c r="X86" i="2" s="1"/>
  <c r="Y87" i="2" s="1"/>
  <c r="X96" i="2"/>
  <c r="X97" i="2" s="1"/>
  <c r="X100" i="2" s="1"/>
  <c r="Y101" i="2" s="1"/>
  <c r="X120" i="2"/>
  <c r="X119" i="2"/>
  <c r="Z129" i="2"/>
  <c r="X131" i="2"/>
  <c r="X108" i="2"/>
  <c r="X109" i="2" s="1"/>
  <c r="X107" i="2"/>
  <c r="X112" i="2" s="1"/>
  <c r="X133" i="2" l="1"/>
  <c r="X145" i="2"/>
  <c r="Z143" i="2"/>
  <c r="X134" i="2"/>
  <c r="X110" i="2"/>
  <c r="X111" i="2" s="1"/>
  <c r="X114" i="2" s="1"/>
  <c r="Y115" i="2" s="1"/>
  <c r="X122" i="2"/>
  <c r="X123" i="2" s="1"/>
  <c r="X124" i="2" s="1"/>
  <c r="X121" i="2"/>
  <c r="X126" i="2" s="1"/>
  <c r="X125" i="2" l="1"/>
  <c r="X128" i="2" s="1"/>
  <c r="Y129" i="2" s="1"/>
  <c r="X135" i="2"/>
  <c r="X140" i="2" s="1"/>
  <c r="X136" i="2"/>
  <c r="X137" i="2" s="1"/>
  <c r="X138" i="2" s="1"/>
  <c r="Z157" i="2"/>
  <c r="X148" i="2"/>
  <c r="X159" i="2"/>
  <c r="X147" i="2"/>
  <c r="X139" i="2" l="1"/>
  <c r="X142" i="2" s="1"/>
  <c r="Y143" i="2" s="1"/>
  <c r="X173" i="2"/>
  <c r="X161" i="2"/>
  <c r="Z171" i="2"/>
  <c r="X162" i="2"/>
  <c r="X150" i="2"/>
  <c r="X151" i="2" s="1"/>
  <c r="X152" i="2" s="1"/>
  <c r="X149" i="2"/>
  <c r="X154" i="2" s="1"/>
  <c r="X153" i="2" l="1"/>
  <c r="X156" i="2" s="1"/>
  <c r="Y157" i="2" s="1"/>
  <c r="X163" i="2"/>
  <c r="X168" i="2" s="1"/>
  <c r="X164" i="2"/>
  <c r="X165" i="2" s="1"/>
  <c r="X187" i="2"/>
  <c r="X176" i="2"/>
  <c r="X175" i="2"/>
  <c r="Z185" i="2"/>
  <c r="X178" i="2" l="1"/>
  <c r="X179" i="2" s="1"/>
  <c r="X177" i="2"/>
  <c r="X182" i="2" s="1"/>
  <c r="X166" i="2"/>
  <c r="X167" i="2" s="1"/>
  <c r="X170" i="2" s="1"/>
  <c r="Y171" i="2" s="1"/>
  <c r="X201" i="2"/>
  <c r="Z199" i="2"/>
  <c r="X189" i="2"/>
  <c r="X190" i="2"/>
  <c r="Z213" i="2" l="1"/>
  <c r="X215" i="2"/>
  <c r="X204" i="2"/>
  <c r="X203" i="2"/>
  <c r="X180" i="2"/>
  <c r="X181" i="2" s="1"/>
  <c r="X184" i="2" s="1"/>
  <c r="Y185" i="2" s="1"/>
  <c r="X192" i="2"/>
  <c r="X193" i="2" s="1"/>
  <c r="X191" i="2"/>
  <c r="X196" i="2" s="1"/>
  <c r="Z227" i="2" l="1"/>
  <c r="X218" i="2"/>
  <c r="X229" i="2"/>
  <c r="X217" i="2"/>
  <c r="X194" i="2"/>
  <c r="X195" i="2" s="1"/>
  <c r="X198" i="2" s="1"/>
  <c r="Y199" i="2" s="1"/>
  <c r="X206" i="2"/>
  <c r="X207" i="2" s="1"/>
  <c r="X205" i="2"/>
  <c r="X210" i="2" s="1"/>
  <c r="X208" i="2" l="1"/>
  <c r="X209" i="2" s="1"/>
  <c r="X212" i="2" s="1"/>
  <c r="Y213" i="2" s="1"/>
  <c r="X232" i="2"/>
  <c r="Z241" i="2"/>
  <c r="X231" i="2"/>
  <c r="X243" i="2"/>
  <c r="X220" i="2"/>
  <c r="X221" i="2" s="1"/>
  <c r="X222" i="2" s="1"/>
  <c r="X219" i="2"/>
  <c r="X224" i="2" s="1"/>
  <c r="X223" i="2" l="1"/>
  <c r="X226" i="2" s="1"/>
  <c r="Y227" i="2" s="1"/>
  <c r="X233" i="2"/>
  <c r="X238" i="2" s="1"/>
  <c r="X234" i="2"/>
  <c r="X235" i="2" s="1"/>
  <c r="X236" i="2" s="1"/>
  <c r="X245" i="2"/>
  <c r="X246" i="2"/>
  <c r="X257" i="2"/>
  <c r="Z255" i="2"/>
  <c r="X237" i="2" l="1"/>
  <c r="X240" i="2" s="1"/>
  <c r="Y241" i="2" s="1"/>
  <c r="X248" i="2"/>
  <c r="X249" i="2" s="1"/>
  <c r="X250" i="2" s="1"/>
  <c r="X247" i="2"/>
  <c r="X252" i="2" s="1"/>
  <c r="X271" i="2"/>
  <c r="X260" i="2"/>
  <c r="X259" i="2"/>
  <c r="Z269" i="2"/>
  <c r="X251" i="2" l="1"/>
  <c r="X254" i="2" s="1"/>
  <c r="Y255" i="2" s="1"/>
  <c r="X261" i="2"/>
  <c r="X266" i="2" s="1"/>
  <c r="X262" i="2"/>
  <c r="X263" i="2" s="1"/>
  <c r="Z283" i="2"/>
  <c r="X274" i="2"/>
  <c r="X285" i="2"/>
  <c r="X273" i="2"/>
  <c r="X288" i="2" l="1"/>
  <c r="Z297" i="2"/>
  <c r="X287" i="2"/>
  <c r="X299" i="2"/>
  <c r="X275" i="2"/>
  <c r="X280" i="2" s="1"/>
  <c r="X276" i="2"/>
  <c r="X277" i="2" s="1"/>
  <c r="X278" i="2" s="1"/>
  <c r="X264" i="2"/>
  <c r="X265" i="2" s="1"/>
  <c r="X268" i="2" s="1"/>
  <c r="Y269" i="2" s="1"/>
  <c r="X279" i="2" l="1"/>
  <c r="X282" i="2" s="1"/>
  <c r="Y283" i="2" s="1"/>
  <c r="X289" i="2"/>
  <c r="X294" i="2" s="1"/>
  <c r="X290" i="2"/>
  <c r="X291" i="2" s="1"/>
  <c r="X302" i="2"/>
  <c r="Z311" i="2"/>
  <c r="X313" i="2"/>
  <c r="X301" i="2"/>
  <c r="X303" i="2" l="1"/>
  <c r="X308" i="2" s="1"/>
  <c r="X304" i="2"/>
  <c r="X305" i="2" s="1"/>
  <c r="X306" i="2" s="1"/>
  <c r="X292" i="2"/>
  <c r="X293" i="2" s="1"/>
  <c r="X296" i="2" s="1"/>
  <c r="Y297" i="2" s="1"/>
  <c r="X327" i="2"/>
  <c r="X315" i="2"/>
  <c r="X316" i="2"/>
  <c r="Z325" i="2"/>
  <c r="X307" i="2" l="1"/>
  <c r="X310" i="2" s="1"/>
  <c r="Y311" i="2" s="1"/>
  <c r="Z339" i="2"/>
  <c r="X341" i="2"/>
  <c r="X329" i="2"/>
  <c r="X330" i="2"/>
  <c r="X318" i="2"/>
  <c r="X319" i="2" s="1"/>
  <c r="X317" i="2"/>
  <c r="X322" i="2" s="1"/>
  <c r="X320" i="2" l="1"/>
  <c r="X321" i="2" s="1"/>
  <c r="X324" i="2" s="1"/>
  <c r="Y325" i="2" s="1"/>
  <c r="X343" i="2"/>
  <c r="X355" i="2"/>
  <c r="Z353" i="2"/>
  <c r="X344" i="2"/>
  <c r="X332" i="2"/>
  <c r="X333" i="2" s="1"/>
  <c r="X331" i="2"/>
  <c r="X336" i="2" s="1"/>
  <c r="X345" i="2" l="1"/>
  <c r="X350" i="2" s="1"/>
  <c r="X346" i="2"/>
  <c r="X347" i="2" s="1"/>
  <c r="X334" i="2"/>
  <c r="X335" i="2" s="1"/>
  <c r="X338" i="2" s="1"/>
  <c r="Y339" i="2" s="1"/>
  <c r="X357" i="2"/>
  <c r="X369" i="2"/>
  <c r="Z367" i="2"/>
  <c r="X358" i="2"/>
  <c r="X360" i="2" l="1"/>
  <c r="X361" i="2" s="1"/>
  <c r="X362" i="2" s="1"/>
  <c r="X359" i="2"/>
  <c r="X364" i="2" s="1"/>
  <c r="X383" i="2"/>
  <c r="X372" i="2"/>
  <c r="X371" i="2"/>
  <c r="Z381" i="2"/>
  <c r="X348" i="2"/>
  <c r="X349" i="2" s="1"/>
  <c r="X352" i="2" s="1"/>
  <c r="Y353" i="2" s="1"/>
  <c r="X363" i="2" l="1"/>
  <c r="X366" i="2" s="1"/>
  <c r="Y367" i="2" s="1"/>
  <c r="X373" i="2"/>
  <c r="X378" i="2" s="1"/>
  <c r="X374" i="2"/>
  <c r="X375" i="2" s="1"/>
  <c r="X386" i="2"/>
  <c r="Z395" i="2"/>
  <c r="X385" i="2"/>
  <c r="X397" i="2"/>
  <c r="X387" i="2" l="1"/>
  <c r="X392" i="2" s="1"/>
  <c r="X388" i="2"/>
  <c r="X389" i="2" s="1"/>
  <c r="X376" i="2"/>
  <c r="X377" i="2" s="1"/>
  <c r="X380" i="2" s="1"/>
  <c r="Y381" i="2" s="1"/>
  <c r="X399" i="2"/>
  <c r="Z409" i="2"/>
  <c r="X400" i="2"/>
  <c r="X411" i="2"/>
  <c r="X390" i="2" l="1"/>
  <c r="X391" i="2" s="1"/>
  <c r="X394" i="2" s="1"/>
  <c r="Y395" i="2" s="1"/>
  <c r="X401" i="2"/>
  <c r="X406" i="2" s="1"/>
  <c r="X402" i="2"/>
  <c r="X403" i="2" s="1"/>
  <c r="X425" i="2"/>
  <c r="Z423" i="2"/>
  <c r="X414" i="2"/>
  <c r="X413" i="2"/>
  <c r="Z437" i="2" l="1"/>
  <c r="X439" i="2"/>
  <c r="X427" i="2"/>
  <c r="X428" i="2"/>
  <c r="X416" i="2"/>
  <c r="X417" i="2" s="1"/>
  <c r="X418" i="2" s="1"/>
  <c r="X415" i="2"/>
  <c r="X420" i="2" s="1"/>
  <c r="X404" i="2"/>
  <c r="X405" i="2" s="1"/>
  <c r="X408" i="2" s="1"/>
  <c r="Y409" i="2" s="1"/>
  <c r="X429" i="2" l="1"/>
  <c r="X434" i="2" s="1"/>
  <c r="X430" i="2"/>
  <c r="X431" i="2" s="1"/>
  <c r="X441" i="2"/>
  <c r="Z451" i="2"/>
  <c r="X442" i="2"/>
  <c r="X453" i="2"/>
  <c r="X419" i="2"/>
  <c r="X422" i="2" s="1"/>
  <c r="Y423" i="2" s="1"/>
  <c r="X456" i="2" l="1"/>
  <c r="X455" i="2"/>
  <c r="Z465" i="2"/>
  <c r="X467" i="2"/>
  <c r="X432" i="2"/>
  <c r="X433" i="2" s="1"/>
  <c r="X436" i="2" s="1"/>
  <c r="Y437" i="2" s="1"/>
  <c r="X443" i="2"/>
  <c r="X448" i="2" s="1"/>
  <c r="X444" i="2"/>
  <c r="X445" i="2" s="1"/>
  <c r="X457" i="2" l="1"/>
  <c r="X462" i="2" s="1"/>
  <c r="X458" i="2"/>
  <c r="X459" i="2" s="1"/>
  <c r="X446" i="2"/>
  <c r="X447" i="2" s="1"/>
  <c r="X450" i="2" s="1"/>
  <c r="Y451" i="2" s="1"/>
  <c r="X469" i="2"/>
  <c r="X470" i="2"/>
  <c r="Z479" i="2"/>
  <c r="X481" i="2"/>
  <c r="X460" i="2" l="1"/>
  <c r="X461" i="2" s="1"/>
  <c r="X464" i="2" s="1"/>
  <c r="Y465" i="2" s="1"/>
  <c r="X472" i="2"/>
  <c r="X473" i="2" s="1"/>
  <c r="X474" i="2" s="1"/>
  <c r="X471" i="2"/>
  <c r="X476" i="2" s="1"/>
  <c r="Z493" i="2"/>
  <c r="X495" i="2"/>
  <c r="X484" i="2"/>
  <c r="X483" i="2"/>
  <c r="X475" i="2" l="1"/>
  <c r="X478" i="2" s="1"/>
  <c r="Y479" i="2" s="1"/>
  <c r="X509" i="2"/>
  <c r="X497" i="2"/>
  <c r="Z507" i="2"/>
  <c r="X498" i="2"/>
  <c r="X486" i="2"/>
  <c r="X487" i="2" s="1"/>
  <c r="X488" i="2" s="1"/>
  <c r="X485" i="2"/>
  <c r="X490" i="2" s="1"/>
  <c r="X489" i="2" l="1"/>
  <c r="X492" i="2" s="1"/>
  <c r="Y493" i="2" s="1"/>
  <c r="X523" i="2"/>
  <c r="Z521" i="2"/>
  <c r="X512" i="2"/>
  <c r="X511" i="2"/>
  <c r="X499" i="2"/>
  <c r="X504" i="2" s="1"/>
  <c r="X500" i="2"/>
  <c r="X501" i="2" s="1"/>
  <c r="X526" i="2" l="1"/>
  <c r="X537" i="2"/>
  <c r="X525" i="2"/>
  <c r="Z535" i="2"/>
  <c r="X502" i="2"/>
  <c r="X503" i="2" s="1"/>
  <c r="X506" i="2" s="1"/>
  <c r="Y507" i="2" s="1"/>
  <c r="X514" i="2"/>
  <c r="X515" i="2" s="1"/>
  <c r="X513" i="2"/>
  <c r="X518" i="2" s="1"/>
  <c r="X540" i="2" l="1"/>
  <c r="X551" i="2"/>
  <c r="Z549" i="2"/>
  <c r="X539" i="2"/>
  <c r="X528" i="2"/>
  <c r="X529" i="2" s="1"/>
  <c r="X530" i="2" s="1"/>
  <c r="X527" i="2"/>
  <c r="X532" i="2" s="1"/>
  <c r="X516" i="2"/>
  <c r="X517" i="2" s="1"/>
  <c r="X520" i="2" s="1"/>
  <c r="Y521" i="2" s="1"/>
  <c r="X531" i="2" l="1"/>
  <c r="X534" i="2" s="1"/>
  <c r="Y535" i="2" s="1"/>
  <c r="X554" i="2"/>
  <c r="X553" i="2"/>
  <c r="Z563" i="2"/>
  <c r="X565" i="2"/>
  <c r="X542" i="2"/>
  <c r="X543" i="2" s="1"/>
  <c r="X541" i="2"/>
  <c r="X546" i="2" s="1"/>
  <c r="X544" i="2" l="1"/>
  <c r="X545" i="2" s="1"/>
  <c r="X548" i="2" s="1"/>
  <c r="Y549" i="2" s="1"/>
  <c r="X555" i="2"/>
  <c r="X560" i="2" s="1"/>
  <c r="X556" i="2"/>
  <c r="X557" i="2" s="1"/>
  <c r="X558" i="2" s="1"/>
  <c r="Z577" i="2"/>
  <c r="X579" i="2"/>
  <c r="X568" i="2"/>
  <c r="X567" i="2"/>
  <c r="X559" i="2" l="1"/>
  <c r="X562" i="2" s="1"/>
  <c r="Y563" i="2" s="1"/>
  <c r="X581" i="2"/>
  <c r="X593" i="2"/>
  <c r="Z591" i="2"/>
  <c r="X582" i="2"/>
  <c r="X569" i="2"/>
  <c r="X574" i="2" s="1"/>
  <c r="X570" i="2"/>
  <c r="X571" i="2" s="1"/>
  <c r="X572" i="2" s="1"/>
  <c r="X573" i="2" l="1"/>
  <c r="X576" i="2" s="1"/>
  <c r="Y577" i="2" s="1"/>
  <c r="X607" i="2"/>
  <c r="X596" i="2"/>
  <c r="Z605" i="2"/>
  <c r="X595" i="2"/>
  <c r="X583" i="2"/>
  <c r="X588" i="2" s="1"/>
  <c r="X584" i="2"/>
  <c r="X585" i="2" s="1"/>
  <c r="X586" i="2" s="1"/>
  <c r="X587" i="2" l="1"/>
  <c r="X590" i="2" s="1"/>
  <c r="Y591" i="2" s="1"/>
  <c r="Z619" i="2"/>
  <c r="X610" i="2"/>
  <c r="X609" i="2"/>
  <c r="X621" i="2"/>
  <c r="X598" i="2"/>
  <c r="X599" i="2" s="1"/>
  <c r="X597" i="2"/>
  <c r="X602" i="2" s="1"/>
  <c r="X600" i="2" l="1"/>
  <c r="X601" i="2" s="1"/>
  <c r="X604" i="2" s="1"/>
  <c r="Y605" i="2" s="1"/>
  <c r="X612" i="2"/>
  <c r="X613" i="2" s="1"/>
  <c r="X611" i="2"/>
  <c r="X616" i="2" s="1"/>
  <c r="X624" i="2"/>
  <c r="X635" i="2"/>
  <c r="X623" i="2"/>
  <c r="Z633" i="2"/>
  <c r="X625" i="2" l="1"/>
  <c r="X630" i="2" s="1"/>
  <c r="X626" i="2"/>
  <c r="X627" i="2" s="1"/>
  <c r="X614" i="2"/>
  <c r="X615" i="2" s="1"/>
  <c r="X618" i="2" s="1"/>
  <c r="Y619" i="2" s="1"/>
  <c r="X637" i="2"/>
  <c r="X638" i="2"/>
  <c r="Z647" i="2"/>
  <c r="X649" i="2"/>
  <c r="X628" i="2" l="1"/>
  <c r="X629" i="2" s="1"/>
  <c r="X632" i="2" s="1"/>
  <c r="Y633" i="2" s="1"/>
  <c r="X640" i="2"/>
  <c r="X641" i="2" s="1"/>
  <c r="X639" i="2"/>
  <c r="X644" i="2" s="1"/>
  <c r="X652" i="2"/>
  <c r="X651" i="2"/>
  <c r="X663" i="2"/>
  <c r="Z661" i="2"/>
  <c r="X654" i="2" l="1"/>
  <c r="X655" i="2" s="1"/>
  <c r="X653" i="2"/>
  <c r="X658" i="2" s="1"/>
  <c r="X642" i="2"/>
  <c r="X643" i="2" s="1"/>
  <c r="X646" i="2" s="1"/>
  <c r="Y647" i="2" s="1"/>
  <c r="X677" i="2"/>
  <c r="Z675" i="2"/>
  <c r="X666" i="2"/>
  <c r="X665" i="2"/>
  <c r="X691" i="2" l="1"/>
  <c r="X680" i="2"/>
  <c r="Z689" i="2"/>
  <c r="X679" i="2"/>
  <c r="X656" i="2"/>
  <c r="X657" i="2" s="1"/>
  <c r="X660" i="2" s="1"/>
  <c r="Y661" i="2" s="1"/>
  <c r="X667" i="2"/>
  <c r="X672" i="2" s="1"/>
  <c r="X668" i="2"/>
  <c r="X669" i="2" s="1"/>
  <c r="X670" i="2" l="1"/>
  <c r="X671" i="2" s="1"/>
  <c r="X674" i="2" s="1"/>
  <c r="Y675" i="2" s="1"/>
  <c r="Z703" i="2"/>
  <c r="X693" i="2"/>
  <c r="X694" i="2"/>
  <c r="X705" i="2"/>
  <c r="X681" i="2"/>
  <c r="X686" i="2" s="1"/>
  <c r="X682" i="2"/>
  <c r="X683" i="2" s="1"/>
  <c r="X719" i="2" l="1"/>
  <c r="Z717" i="2"/>
  <c r="X707" i="2"/>
  <c r="X708" i="2"/>
  <c r="X696" i="2"/>
  <c r="X697" i="2" s="1"/>
  <c r="X695" i="2"/>
  <c r="X700" i="2" s="1"/>
  <c r="X684" i="2"/>
  <c r="X685" i="2" s="1"/>
  <c r="X688" i="2" s="1"/>
  <c r="Y689" i="2" s="1"/>
  <c r="X733" i="2" l="1"/>
  <c r="X721" i="2"/>
  <c r="Z731" i="2"/>
  <c r="X722" i="2"/>
  <c r="X698" i="2"/>
  <c r="X699" i="2" s="1"/>
  <c r="X702" i="2" s="1"/>
  <c r="Y703" i="2" s="1"/>
  <c r="X709" i="2"/>
  <c r="X714" i="2" s="1"/>
  <c r="X710" i="2"/>
  <c r="X711" i="2" s="1"/>
  <c r="X712" i="2" s="1"/>
  <c r="X713" i="2" l="1"/>
  <c r="X716" i="2" s="1"/>
  <c r="Y717" i="2" s="1"/>
  <c r="X747" i="2"/>
  <c r="X736" i="2"/>
  <c r="Z745" i="2"/>
  <c r="X735" i="2"/>
  <c r="X723" i="2"/>
  <c r="X728" i="2" s="1"/>
  <c r="X724" i="2"/>
  <c r="X725" i="2" s="1"/>
  <c r="X738" i="2" l="1"/>
  <c r="X739" i="2" s="1"/>
  <c r="X737" i="2"/>
  <c r="X742" i="2" s="1"/>
  <c r="X750" i="2"/>
  <c r="X749" i="2"/>
  <c r="Z759" i="2"/>
  <c r="X761" i="2"/>
  <c r="X726" i="2"/>
  <c r="X727" i="2" s="1"/>
  <c r="X730" i="2" s="1"/>
  <c r="Y731" i="2" s="1"/>
  <c r="X740" i="2" l="1"/>
  <c r="X741" i="2" s="1"/>
  <c r="X744" i="2" s="1"/>
  <c r="Y745" i="2" s="1"/>
  <c r="Z773" i="2"/>
  <c r="X764" i="2"/>
  <c r="X763" i="2"/>
  <c r="X775" i="2"/>
  <c r="X752" i="2"/>
  <c r="X753" i="2" s="1"/>
  <c r="X751" i="2"/>
  <c r="X756" i="2" s="1"/>
  <c r="X765" i="2" l="1"/>
  <c r="X770" i="2" s="1"/>
  <c r="X766" i="2"/>
  <c r="X767" i="2" s="1"/>
  <c r="Z787" i="2"/>
  <c r="X778" i="2"/>
  <c r="X789" i="2"/>
  <c r="X777" i="2"/>
  <c r="X754" i="2"/>
  <c r="X755" i="2" s="1"/>
  <c r="X758" i="2" s="1"/>
  <c r="Y759" i="2" s="1"/>
  <c r="X803" i="2" l="1"/>
  <c r="X792" i="2"/>
  <c r="Z801" i="2"/>
  <c r="X791" i="2"/>
  <c r="X779" i="2"/>
  <c r="X784" i="2" s="1"/>
  <c r="X780" i="2"/>
  <c r="X781" i="2" s="1"/>
  <c r="X768" i="2"/>
  <c r="X769" i="2" s="1"/>
  <c r="X772" i="2" s="1"/>
  <c r="Y773" i="2" s="1"/>
  <c r="X805" i="2" l="1"/>
  <c r="X817" i="2"/>
  <c r="Z815" i="2"/>
  <c r="X806" i="2"/>
  <c r="X782" i="2"/>
  <c r="X783" i="2" s="1"/>
  <c r="X786" i="2" s="1"/>
  <c r="Y787" i="2" s="1"/>
  <c r="X793" i="2"/>
  <c r="X798" i="2" s="1"/>
  <c r="X794" i="2"/>
  <c r="X795" i="2" s="1"/>
  <c r="X808" i="2" l="1"/>
  <c r="X809" i="2" s="1"/>
  <c r="X810" i="2" s="1"/>
  <c r="X807" i="2"/>
  <c r="X812" i="2" s="1"/>
  <c r="X831" i="2"/>
  <c r="X819" i="2"/>
  <c r="X820" i="2"/>
  <c r="Z829" i="2"/>
  <c r="X796" i="2"/>
  <c r="X797" i="2" s="1"/>
  <c r="X800" i="2" s="1"/>
  <c r="Y801" i="2" s="1"/>
  <c r="X811" i="2" l="1"/>
  <c r="X814" i="2" s="1"/>
  <c r="Y815" i="2" s="1"/>
  <c r="Z843" i="2"/>
  <c r="X834" i="2"/>
  <c r="X833" i="2"/>
  <c r="X845" i="2"/>
  <c r="X821" i="2"/>
  <c r="X826" i="2" s="1"/>
  <c r="X822" i="2"/>
  <c r="X823" i="2" s="1"/>
  <c r="X836" i="2" l="1"/>
  <c r="X837" i="2" s="1"/>
  <c r="X835" i="2"/>
  <c r="X840" i="2" s="1"/>
  <c r="X824" i="2"/>
  <c r="X825" i="2" s="1"/>
  <c r="X828" i="2" s="1"/>
  <c r="Y829" i="2" s="1"/>
  <c r="Z857" i="2"/>
  <c r="X848" i="2"/>
  <c r="X847" i="2"/>
  <c r="X859" i="2"/>
  <c r="X838" i="2" l="1"/>
  <c r="X839" i="2" s="1"/>
  <c r="X842" i="2" s="1"/>
  <c r="Y843" i="2" s="1"/>
  <c r="X849" i="2"/>
  <c r="X854" i="2" s="1"/>
  <c r="X850" i="2"/>
  <c r="X851" i="2" s="1"/>
  <c r="X852" i="2" s="1"/>
  <c r="X873" i="2"/>
  <c r="X861" i="2"/>
  <c r="Z871" i="2"/>
  <c r="X862" i="2"/>
  <c r="X853" i="2" l="1"/>
  <c r="X856" i="2" s="1"/>
  <c r="Y857" i="2" s="1"/>
  <c r="Z885" i="2"/>
  <c r="X887" i="2"/>
  <c r="X876" i="2"/>
  <c r="X875" i="2"/>
  <c r="X864" i="2"/>
  <c r="X865" i="2" s="1"/>
  <c r="X866" i="2" s="1"/>
  <c r="X863" i="2"/>
  <c r="X868" i="2" s="1"/>
  <c r="X867" i="2" l="1"/>
  <c r="X870" i="2" s="1"/>
  <c r="Y871" i="2" s="1"/>
  <c r="Z899" i="2"/>
  <c r="X889" i="2"/>
  <c r="X901" i="2"/>
  <c r="X890" i="2"/>
  <c r="X878" i="2"/>
  <c r="X879" i="2" s="1"/>
  <c r="X877" i="2"/>
  <c r="X882" i="2" s="1"/>
  <c r="X880" i="2" l="1"/>
  <c r="X881" i="2" s="1"/>
  <c r="X884" i="2" s="1"/>
  <c r="Y885" i="2" s="1"/>
  <c r="X892" i="2"/>
  <c r="X893" i="2" s="1"/>
  <c r="X891" i="2"/>
  <c r="X896" i="2" s="1"/>
  <c r="X904" i="2"/>
  <c r="Z913" i="2"/>
  <c r="X903" i="2"/>
  <c r="X915" i="2"/>
  <c r="X905" i="2" l="1"/>
  <c r="X910" i="2" s="1"/>
  <c r="X906" i="2"/>
  <c r="X907" i="2" s="1"/>
  <c r="X894" i="2"/>
  <c r="X895" i="2" s="1"/>
  <c r="X898" i="2" s="1"/>
  <c r="Y899" i="2" s="1"/>
  <c r="X929" i="2"/>
  <c r="Z927" i="2"/>
  <c r="X918" i="2"/>
  <c r="X917" i="2"/>
  <c r="Z941" i="2" l="1"/>
  <c r="X931" i="2"/>
  <c r="X943" i="2"/>
  <c r="X932" i="2"/>
  <c r="X908" i="2"/>
  <c r="X909" i="2" s="1"/>
  <c r="X912" i="2" s="1"/>
  <c r="Y913" i="2" s="1"/>
  <c r="X920" i="2"/>
  <c r="X921" i="2" s="1"/>
  <c r="X922" i="2" s="1"/>
  <c r="X919" i="2"/>
  <c r="X924" i="2" s="1"/>
  <c r="X923" i="2" l="1"/>
  <c r="X926" i="2" s="1"/>
  <c r="Y927" i="2" s="1"/>
  <c r="X933" i="2"/>
  <c r="X938" i="2" s="1"/>
  <c r="X934" i="2"/>
  <c r="X935" i="2" s="1"/>
  <c r="X945" i="2"/>
  <c r="Z955" i="2"/>
  <c r="X957" i="2"/>
  <c r="X946" i="2"/>
  <c r="X936" i="2" l="1"/>
  <c r="X937" i="2" s="1"/>
  <c r="X940" i="2" s="1"/>
  <c r="Y941" i="2" s="1"/>
  <c r="X960" i="2"/>
  <c r="X959" i="2"/>
  <c r="X971" i="2"/>
  <c r="Z969" i="2"/>
  <c r="X948" i="2"/>
  <c r="X949" i="2" s="1"/>
  <c r="X950" i="2" s="1"/>
  <c r="X947" i="2"/>
  <c r="X952" i="2" s="1"/>
  <c r="X973" i="2" l="1"/>
  <c r="X974" i="2"/>
  <c r="Z983" i="2"/>
  <c r="X985" i="2"/>
  <c r="X961" i="2"/>
  <c r="X966" i="2" s="1"/>
  <c r="X962" i="2"/>
  <c r="X963" i="2" s="1"/>
  <c r="X951" i="2"/>
  <c r="X954" i="2" s="1"/>
  <c r="Y955" i="2" s="1"/>
  <c r="X976" i="2" l="1"/>
  <c r="X977" i="2" s="1"/>
  <c r="X975" i="2"/>
  <c r="X980" i="2" s="1"/>
  <c r="X964" i="2"/>
  <c r="X965" i="2" s="1"/>
  <c r="X968" i="2" s="1"/>
  <c r="Y969" i="2" s="1"/>
  <c r="X987" i="2"/>
  <c r="X999" i="2"/>
  <c r="Z997" i="2"/>
  <c r="X988" i="2"/>
  <c r="X978" i="2" l="1"/>
  <c r="X979" i="2" s="1"/>
  <c r="X982" i="2" s="1"/>
  <c r="Y983" i="2" s="1"/>
  <c r="X1002" i="2"/>
  <c r="Z1011" i="2"/>
  <c r="X1001" i="2"/>
  <c r="X1013" i="2"/>
  <c r="X990" i="2"/>
  <c r="X991" i="2" s="1"/>
  <c r="X989" i="2"/>
  <c r="X994" i="2" s="1"/>
  <c r="X1003" i="2" l="1"/>
  <c r="X1008" i="2" s="1"/>
  <c r="X1004" i="2"/>
  <c r="X1005" i="2" s="1"/>
  <c r="X1015" i="2"/>
  <c r="X1027" i="2"/>
  <c r="Z1025" i="2"/>
  <c r="X1016" i="2"/>
  <c r="X992" i="2"/>
  <c r="X993" i="2" s="1"/>
  <c r="X996" i="2" s="1"/>
  <c r="Y997" i="2" s="1"/>
  <c r="X1006" i="2" l="1"/>
  <c r="X1007" i="2" s="1"/>
  <c r="X1010" i="2" s="1"/>
  <c r="Y1011" i="2" s="1"/>
  <c r="X1041" i="2"/>
  <c r="X1030" i="2"/>
  <c r="X1029" i="2"/>
  <c r="Z1039" i="2"/>
  <c r="X1017" i="2"/>
  <c r="X1022" i="2" s="1"/>
  <c r="X1018" i="2"/>
  <c r="X1019" i="2" s="1"/>
  <c r="X1031" i="2" l="1"/>
  <c r="X1036" i="2" s="1"/>
  <c r="X1032" i="2"/>
  <c r="X1033" i="2" s="1"/>
  <c r="X1043" i="2"/>
  <c r="Z1053" i="2"/>
  <c r="X1044" i="2"/>
  <c r="X1055" i="2"/>
  <c r="X1020" i="2"/>
  <c r="X1021" i="2" s="1"/>
  <c r="X1024" i="2" s="1"/>
  <c r="Y1025" i="2" s="1"/>
  <c r="X1057" i="2" l="1"/>
  <c r="X1058" i="2"/>
  <c r="X1069" i="2"/>
  <c r="Z1067" i="2"/>
  <c r="X1034" i="2"/>
  <c r="X1035" i="2" s="1"/>
  <c r="X1038" i="2" s="1"/>
  <c r="Y1039" i="2" s="1"/>
  <c r="X1046" i="2"/>
  <c r="X1047" i="2" s="1"/>
  <c r="X1045" i="2"/>
  <c r="X1050" i="2" s="1"/>
  <c r="X1048" i="2" l="1"/>
  <c r="X1049" i="2" s="1"/>
  <c r="X1052" i="2" s="1"/>
  <c r="Y1053" i="2" s="1"/>
  <c r="Z1081" i="2"/>
  <c r="X1072" i="2"/>
  <c r="X1071" i="2"/>
  <c r="X1083" i="2"/>
  <c r="X1059" i="2"/>
  <c r="X1064" i="2" s="1"/>
  <c r="X1060" i="2"/>
  <c r="X1061" i="2" s="1"/>
  <c r="X1073" i="2" l="1"/>
  <c r="X1078" i="2" s="1"/>
  <c r="X1074" i="2"/>
  <c r="X1075" i="2" s="1"/>
  <c r="X1076" i="2" s="1"/>
  <c r="X1086" i="2"/>
  <c r="Z1095" i="2"/>
  <c r="X1085" i="2"/>
  <c r="X1097" i="2"/>
  <c r="X1062" i="2"/>
  <c r="X1063" i="2" s="1"/>
  <c r="X1066" i="2" s="1"/>
  <c r="Y1067" i="2" s="1"/>
  <c r="X1077" i="2" l="1"/>
  <c r="X1080" i="2" s="1"/>
  <c r="Y1081" i="2" s="1"/>
  <c r="X1100" i="2"/>
  <c r="X1099" i="2"/>
  <c r="X1111" i="2"/>
  <c r="Z1109" i="2"/>
  <c r="X1087" i="2"/>
  <c r="X1092" i="2" s="1"/>
  <c r="X1088" i="2"/>
  <c r="X1089" i="2" s="1"/>
  <c r="X1090" i="2" s="1"/>
  <c r="X1091" i="2" l="1"/>
  <c r="X1094" i="2" s="1"/>
  <c r="Y1095" i="2" s="1"/>
  <c r="X1102" i="2"/>
  <c r="X1103" i="2" s="1"/>
  <c r="X1101" i="2"/>
  <c r="X1106" i="2" s="1"/>
  <c r="X1125" i="2"/>
  <c r="X1113" i="2"/>
  <c r="Z1123" i="2"/>
  <c r="X1114" i="2"/>
  <c r="Z1137" i="2" l="1"/>
  <c r="X1139" i="2"/>
  <c r="X1128" i="2"/>
  <c r="X1127" i="2"/>
  <c r="X1104" i="2"/>
  <c r="X1105" i="2" s="1"/>
  <c r="X1108" i="2" s="1"/>
  <c r="Y1109" i="2" s="1"/>
  <c r="X1115" i="2"/>
  <c r="X1120" i="2" s="1"/>
  <c r="X1116" i="2"/>
  <c r="X1117" i="2" s="1"/>
  <c r="X1118" i="2" l="1"/>
  <c r="X1119" i="2" s="1"/>
  <c r="X1122" i="2" s="1"/>
  <c r="Y1123" i="2" s="1"/>
  <c r="X1141" i="2"/>
  <c r="X1142" i="2"/>
  <c r="X1153" i="2"/>
  <c r="Z1151" i="2"/>
  <c r="X1129" i="2"/>
  <c r="X1134" i="2" s="1"/>
  <c r="X1130" i="2"/>
  <c r="X1131" i="2" s="1"/>
  <c r="X1144" i="2" l="1"/>
  <c r="X1145" i="2" s="1"/>
  <c r="X1143" i="2"/>
  <c r="X1148" i="2" s="1"/>
  <c r="X1155" i="2"/>
  <c r="Z1165" i="2"/>
  <c r="X1156" i="2"/>
  <c r="X1167" i="2"/>
  <c r="X1132" i="2"/>
  <c r="X1133" i="2" s="1"/>
  <c r="X1136" i="2" s="1"/>
  <c r="Y1137" i="2" s="1"/>
  <c r="X1146" i="2" l="1"/>
  <c r="X1147" i="2" s="1"/>
  <c r="X1150" i="2" s="1"/>
  <c r="Y1151" i="2" s="1"/>
  <c r="X1157" i="2"/>
  <c r="X1162" i="2" s="1"/>
  <c r="X1158" i="2"/>
  <c r="X1159" i="2" s="1"/>
  <c r="Z1179" i="2"/>
  <c r="X1169" i="2"/>
  <c r="X1181" i="2"/>
  <c r="X1170" i="2"/>
  <c r="X1171" i="2" l="1"/>
  <c r="X1176" i="2" s="1"/>
  <c r="X1172" i="2"/>
  <c r="X1173" i="2" s="1"/>
  <c r="X1184" i="2"/>
  <c r="X1183" i="2"/>
  <c r="Z1193" i="2"/>
  <c r="X1195" i="2"/>
  <c r="X1160" i="2"/>
  <c r="X1161" i="2" s="1"/>
  <c r="X1164" i="2" s="1"/>
  <c r="Y1165" i="2" s="1"/>
  <c r="X1198" i="2" l="1"/>
  <c r="X1197" i="2"/>
  <c r="X1209" i="2"/>
  <c r="Z1207" i="2"/>
  <c r="X1174" i="2"/>
  <c r="X1175" i="2" s="1"/>
  <c r="X1178" i="2" s="1"/>
  <c r="Y1179" i="2" s="1"/>
  <c r="X1185" i="2"/>
  <c r="X1190" i="2" s="1"/>
  <c r="X1186" i="2"/>
  <c r="X1187" i="2" s="1"/>
  <c r="X1188" i="2" s="1"/>
  <c r="X1189" i="2" l="1"/>
  <c r="X1192" i="2" s="1"/>
  <c r="Y1193" i="2" s="1"/>
  <c r="X1199" i="2"/>
  <c r="X1204" i="2" s="1"/>
  <c r="X1200" i="2"/>
  <c r="X1201" i="2" s="1"/>
  <c r="X1202" i="2" s="1"/>
  <c r="X1212" i="2"/>
  <c r="X1223" i="2"/>
  <c r="Z1221" i="2"/>
  <c r="X1211" i="2"/>
  <c r="X1203" i="2" l="1"/>
  <c r="X1206" i="2" s="1"/>
  <c r="Y1207" i="2" s="1"/>
  <c r="X1213" i="2"/>
  <c r="X1218" i="2" s="1"/>
  <c r="X1214" i="2"/>
  <c r="X1215" i="2" s="1"/>
  <c r="X1226" i="2"/>
  <c r="Z1235" i="2"/>
  <c r="X1225" i="2"/>
  <c r="X1237" i="2"/>
  <c r="X1240" i="2" l="1"/>
  <c r="X1239" i="2"/>
  <c r="X1251" i="2"/>
  <c r="Z1249" i="2"/>
  <c r="X1216" i="2"/>
  <c r="X1217" i="2" s="1"/>
  <c r="X1220" i="2" s="1"/>
  <c r="Y1221" i="2" s="1"/>
  <c r="X1227" i="2"/>
  <c r="X1232" i="2" s="1"/>
  <c r="X1228" i="2"/>
  <c r="X1229" i="2" s="1"/>
  <c r="Z1263" i="2" l="1"/>
  <c r="X1265" i="2"/>
  <c r="X1254" i="2"/>
  <c r="X1253" i="2"/>
  <c r="X1242" i="2"/>
  <c r="X1243" i="2" s="1"/>
  <c r="X1244" i="2" s="1"/>
  <c r="X1241" i="2"/>
  <c r="X1246" i="2" s="1"/>
  <c r="X1230" i="2"/>
  <c r="X1231" i="2" s="1"/>
  <c r="X1234" i="2" s="1"/>
  <c r="Y1235" i="2" s="1"/>
  <c r="X1245" i="2" l="1"/>
  <c r="X1248" i="2" s="1"/>
  <c r="Y1249" i="2" s="1"/>
  <c r="X1267" i="2"/>
  <c r="X1268" i="2"/>
  <c r="Z1277" i="2"/>
  <c r="X1279" i="2"/>
  <c r="X1255" i="2"/>
  <c r="X1260" i="2" s="1"/>
  <c r="X1256" i="2"/>
  <c r="X1257" i="2" s="1"/>
  <c r="X1258" i="2" s="1"/>
  <c r="X1259" i="2" l="1"/>
  <c r="X1262" i="2" s="1"/>
  <c r="Y1263" i="2" s="1"/>
  <c r="X1269" i="2"/>
  <c r="X1274" i="2" s="1"/>
  <c r="X1270" i="2"/>
  <c r="X1271" i="2" s="1"/>
  <c r="X1282" i="2"/>
  <c r="X1281" i="2"/>
  <c r="X1293" i="2"/>
  <c r="Z1291" i="2"/>
  <c r="X1296" i="2" l="1"/>
  <c r="X1307" i="2"/>
  <c r="Z1305" i="2"/>
  <c r="X1295" i="2"/>
  <c r="X1272" i="2"/>
  <c r="X1273" i="2" s="1"/>
  <c r="X1276" i="2" s="1"/>
  <c r="Y1277" i="2" s="1"/>
  <c r="X1284" i="2"/>
  <c r="X1285" i="2" s="1"/>
  <c r="X1283" i="2"/>
  <c r="X1288" i="2" s="1"/>
  <c r="X1310" i="2" l="1"/>
  <c r="X1309" i="2"/>
  <c r="X1321" i="2"/>
  <c r="Z1319" i="2"/>
  <c r="X1286" i="2"/>
  <c r="X1287" i="2" s="1"/>
  <c r="X1290" i="2" s="1"/>
  <c r="Y1291" i="2" s="1"/>
  <c r="X1297" i="2"/>
  <c r="X1302" i="2" s="1"/>
  <c r="X1298" i="2"/>
  <c r="X1299" i="2" s="1"/>
  <c r="X1300" i="2" s="1"/>
  <c r="X1301" i="2" l="1"/>
  <c r="X1304" i="2" s="1"/>
  <c r="Y1305" i="2" s="1"/>
  <c r="X1312" i="2"/>
  <c r="X1313" i="2" s="1"/>
  <c r="X1311" i="2"/>
  <c r="X1316" i="2" s="1"/>
  <c r="Z1333" i="2"/>
  <c r="X1324" i="2"/>
  <c r="X1323" i="2"/>
  <c r="X1335" i="2"/>
  <c r="X1325" i="2" l="1"/>
  <c r="X1330" i="2" s="1"/>
  <c r="X1326" i="2"/>
  <c r="X1327" i="2" s="1"/>
  <c r="X1337" i="2"/>
  <c r="X1338" i="2"/>
  <c r="X1349" i="2"/>
  <c r="Z1347" i="2"/>
  <c r="X1314" i="2"/>
  <c r="X1315" i="2" s="1"/>
  <c r="X1318" i="2" s="1"/>
  <c r="Y1319" i="2" s="1"/>
  <c r="X1351" i="2" l="1"/>
  <c r="Z1361" i="2"/>
  <c r="X1352" i="2"/>
  <c r="X1363" i="2"/>
  <c r="X1328" i="2"/>
  <c r="X1329" i="2" s="1"/>
  <c r="X1332" i="2" s="1"/>
  <c r="Y1333" i="2" s="1"/>
  <c r="X1340" i="2"/>
  <c r="X1341" i="2" s="1"/>
  <c r="X1339" i="2"/>
  <c r="X1344" i="2" s="1"/>
  <c r="X1353" i="2" l="1"/>
  <c r="X1358" i="2" s="1"/>
  <c r="X1354" i="2"/>
  <c r="X1355" i="2" s="1"/>
  <c r="X1342" i="2"/>
  <c r="X1343" i="2" s="1"/>
  <c r="X1346" i="2" s="1"/>
  <c r="Y1347" i="2" s="1"/>
  <c r="X1366" i="2"/>
  <c r="X1365" i="2"/>
  <c r="Z1375" i="2"/>
  <c r="X1377" i="2"/>
  <c r="X1391" i="2" l="1"/>
  <c r="X1380" i="2"/>
  <c r="Z1389" i="2"/>
  <c r="X1379" i="2"/>
  <c r="X1367" i="2"/>
  <c r="X1372" i="2" s="1"/>
  <c r="X1368" i="2"/>
  <c r="X1369" i="2" s="1"/>
  <c r="X1370" i="2" s="1"/>
  <c r="X1356" i="2"/>
  <c r="X1357" i="2" s="1"/>
  <c r="X1360" i="2" s="1"/>
  <c r="Y1361" i="2" s="1"/>
  <c r="X1371" i="2" l="1"/>
  <c r="X1374" i="2" s="1"/>
  <c r="Y1375" i="2" s="1"/>
  <c r="X1405" i="2"/>
  <c r="Z1403" i="2"/>
  <c r="X1393" i="2"/>
  <c r="X1394" i="2"/>
  <c r="X1382" i="2"/>
  <c r="X1383" i="2" s="1"/>
  <c r="X1384" i="2" s="1"/>
  <c r="X1381" i="2"/>
  <c r="X1386" i="2" s="1"/>
  <c r="X1385" i="2" l="1"/>
  <c r="X1388" i="2" s="1"/>
  <c r="Y1389" i="2" s="1"/>
  <c r="X1419" i="2"/>
  <c r="Z1417" i="2"/>
  <c r="X1407" i="2"/>
  <c r="X1408" i="2"/>
  <c r="X1396" i="2"/>
  <c r="X1397" i="2" s="1"/>
  <c r="X1395" i="2"/>
  <c r="X1400" i="2" s="1"/>
  <c r="X1421" i="2" l="1"/>
  <c r="Z1431" i="2"/>
  <c r="X1433" i="2"/>
  <c r="X1422" i="2"/>
  <c r="X1398" i="2"/>
  <c r="X1399" i="2" s="1"/>
  <c r="X1402" i="2" s="1"/>
  <c r="Y1403" i="2" s="1"/>
  <c r="X1410" i="2"/>
  <c r="X1411" i="2" s="1"/>
  <c r="X1409" i="2"/>
  <c r="X1414" i="2" s="1"/>
  <c r="X1424" i="2" l="1"/>
  <c r="X1425" i="2" s="1"/>
  <c r="X1426" i="2" s="1"/>
  <c r="X1423" i="2"/>
  <c r="X1428" i="2" s="1"/>
  <c r="Z1445" i="2"/>
  <c r="X1447" i="2"/>
  <c r="X1436" i="2"/>
  <c r="X1435" i="2"/>
  <c r="X1412" i="2"/>
  <c r="X1413" i="2" s="1"/>
  <c r="X1416" i="2" s="1"/>
  <c r="Y1417" i="2" s="1"/>
  <c r="X1427" i="2" l="1"/>
  <c r="X1430" i="2" s="1"/>
  <c r="Y1431" i="2" s="1"/>
  <c r="X1438" i="2"/>
  <c r="X1439" i="2" s="1"/>
  <c r="X1440" i="2" s="1"/>
  <c r="X1437" i="2"/>
  <c r="X1442" i="2" s="1"/>
  <c r="X1450" i="2"/>
  <c r="X1461" i="2"/>
  <c r="X1449" i="2"/>
  <c r="Z1459" i="2"/>
  <c r="X1441" i="2" l="1"/>
  <c r="X1444" i="2" s="1"/>
  <c r="Y1445" i="2" s="1"/>
  <c r="X1451" i="2"/>
  <c r="X1456" i="2" s="1"/>
  <c r="X1452" i="2"/>
  <c r="X1453" i="2" s="1"/>
  <c r="X1475" i="2"/>
  <c r="X1464" i="2"/>
  <c r="X1463" i="2"/>
  <c r="Z1473" i="2"/>
  <c r="X1465" i="2" l="1"/>
  <c r="X1470" i="2" s="1"/>
  <c r="X1466" i="2"/>
  <c r="X1467" i="2" s="1"/>
  <c r="X1454" i="2"/>
  <c r="X1455" i="2" s="1"/>
  <c r="X1458" i="2" s="1"/>
  <c r="Y1459" i="2" s="1"/>
  <c r="X1489" i="2"/>
  <c r="X1477" i="2"/>
  <c r="Z1487" i="2"/>
  <c r="X1478" i="2"/>
  <c r="X1491" i="2" l="1"/>
  <c r="X1503" i="2"/>
  <c r="Z1501" i="2"/>
  <c r="X1492" i="2"/>
  <c r="X1480" i="2"/>
  <c r="X1481" i="2" s="1"/>
  <c r="X1479" i="2"/>
  <c r="X1484" i="2" s="1"/>
  <c r="X1468" i="2"/>
  <c r="X1469" i="2" s="1"/>
  <c r="X1472" i="2" s="1"/>
  <c r="Y1473" i="2" s="1"/>
  <c r="X1494" i="2" l="1"/>
  <c r="X1495" i="2" s="1"/>
  <c r="X1493" i="2"/>
  <c r="X1498" i="2" s="1"/>
  <c r="X1506" i="2"/>
  <c r="Z1515" i="2"/>
  <c r="X1505" i="2"/>
  <c r="X1517" i="2"/>
  <c r="X1482" i="2"/>
  <c r="X1483" i="2" s="1"/>
  <c r="X1486" i="2" s="1"/>
  <c r="Y1487" i="2" s="1"/>
  <c r="X1507" i="2" l="1"/>
  <c r="X1512" i="2" s="1"/>
  <c r="X1508" i="2"/>
  <c r="X1509" i="2" s="1"/>
  <c r="X1531" i="2"/>
  <c r="Z1529" i="2"/>
  <c r="X1520" i="2"/>
  <c r="X1519" i="2"/>
  <c r="X1496" i="2"/>
  <c r="X1497" i="2" s="1"/>
  <c r="X1500" i="2" s="1"/>
  <c r="Y1501" i="2" s="1"/>
  <c r="X1545" i="2" l="1"/>
  <c r="Z1543" i="2"/>
  <c r="X1533" i="2"/>
  <c r="X1534" i="2"/>
  <c r="X1521" i="2"/>
  <c r="X1526" i="2" s="1"/>
  <c r="X1522" i="2"/>
  <c r="X1523" i="2" s="1"/>
  <c r="X1510" i="2"/>
  <c r="X1511" i="2" s="1"/>
  <c r="X1514" i="2" s="1"/>
  <c r="Y1515" i="2" s="1"/>
  <c r="Z1557" i="2" l="1"/>
  <c r="X1548" i="2"/>
  <c r="X1559" i="2"/>
  <c r="X1547" i="2"/>
  <c r="X1536" i="2"/>
  <c r="X1537" i="2" s="1"/>
  <c r="X1538" i="2" s="1"/>
  <c r="X1535" i="2"/>
  <c r="X1540" i="2" s="1"/>
  <c r="X1524" i="2"/>
  <c r="X1525" i="2" s="1"/>
  <c r="X1528" i="2" s="1"/>
  <c r="Y1529" i="2" s="1"/>
  <c r="X1539" i="2" l="1"/>
  <c r="X1542" i="2" s="1"/>
  <c r="Y1543" i="2" s="1"/>
  <c r="Z1571" i="2"/>
  <c r="X1561" i="2"/>
  <c r="X1573" i="2"/>
  <c r="X1562" i="2"/>
  <c r="X1549" i="2"/>
  <c r="X1554" i="2" s="1"/>
  <c r="X1550" i="2"/>
  <c r="X1551" i="2" s="1"/>
  <c r="X1552" i="2" l="1"/>
  <c r="X1553" i="2" s="1"/>
  <c r="X1556" i="2" s="1"/>
  <c r="Y1557" i="2" s="1"/>
  <c r="X1564" i="2"/>
  <c r="X1565" i="2" s="1"/>
  <c r="X1566" i="2" s="1"/>
  <c r="X1563" i="2"/>
  <c r="X1568" i="2" s="1"/>
  <c r="X1575" i="2"/>
  <c r="Z1585" i="2"/>
  <c r="X1576" i="2"/>
  <c r="X1587" i="2"/>
  <c r="X1567" i="2" l="1"/>
  <c r="X1570" i="2" s="1"/>
  <c r="Y1571" i="2" s="1"/>
  <c r="X1578" i="2"/>
  <c r="X1579" i="2" s="1"/>
  <c r="X1577" i="2"/>
  <c r="X1582" i="2" s="1"/>
  <c r="X1601" i="2"/>
  <c r="X1589" i="2"/>
  <c r="Z1599" i="2"/>
  <c r="X1590" i="2"/>
  <c r="Z1613" i="2" l="1"/>
  <c r="X1604" i="2"/>
  <c r="X1603" i="2"/>
  <c r="X1615" i="2"/>
  <c r="X1580" i="2"/>
  <c r="X1581" i="2" s="1"/>
  <c r="X1584" i="2" s="1"/>
  <c r="Y1585" i="2" s="1"/>
  <c r="X1591" i="2"/>
  <c r="X1596" i="2" s="1"/>
  <c r="X1592" i="2"/>
  <c r="X1593" i="2" s="1"/>
  <c r="X1594" i="2" s="1"/>
  <c r="X1595" i="2" l="1"/>
  <c r="X1598" i="2" s="1"/>
  <c r="Y1599" i="2" s="1"/>
  <c r="X1605" i="2"/>
  <c r="X1610" i="2" s="1"/>
  <c r="X1606" i="2"/>
  <c r="X1607" i="2" s="1"/>
  <c r="Z1627" i="2"/>
  <c r="X1629" i="2"/>
  <c r="X1618" i="2"/>
  <c r="X1617" i="2"/>
  <c r="X1619" i="2" l="1"/>
  <c r="X1624" i="2" s="1"/>
  <c r="X1620" i="2"/>
  <c r="X1621" i="2" s="1"/>
  <c r="X1608" i="2"/>
  <c r="X1609" i="2" s="1"/>
  <c r="X1612" i="2" s="1"/>
  <c r="Y1613" i="2" s="1"/>
  <c r="X1643" i="2"/>
  <c r="X1631" i="2"/>
  <c r="X1632" i="2"/>
  <c r="Z1641" i="2"/>
  <c r="Z1655" i="2" l="1"/>
  <c r="X1646" i="2"/>
  <c r="X1657" i="2"/>
  <c r="X1645" i="2"/>
  <c r="X1634" i="2"/>
  <c r="X1635" i="2" s="1"/>
  <c r="X1633" i="2"/>
  <c r="X1638" i="2" s="1"/>
  <c r="X1622" i="2"/>
  <c r="X1623" i="2" s="1"/>
  <c r="X1626" i="2" s="1"/>
  <c r="Y1627" i="2" s="1"/>
  <c r="X1636" i="2" l="1"/>
  <c r="X1637" i="2" s="1"/>
  <c r="X1640" i="2" s="1"/>
  <c r="Y1641" i="2" s="1"/>
  <c r="X1659" i="2"/>
  <c r="Z1669" i="2"/>
  <c r="X1671" i="2"/>
  <c r="X1660" i="2"/>
  <c r="X1648" i="2"/>
  <c r="X1649" i="2" s="1"/>
  <c r="X1650" i="2" s="1"/>
  <c r="X1647" i="2"/>
  <c r="X1652" i="2" s="1"/>
  <c r="X1651" i="2" l="1"/>
  <c r="X1654" i="2" s="1"/>
  <c r="Y1655" i="2" s="1"/>
  <c r="X1673" i="2"/>
  <c r="X1685" i="2"/>
  <c r="Z1683" i="2"/>
  <c r="X1674" i="2"/>
  <c r="X1661" i="2"/>
  <c r="X1666" i="2" s="1"/>
  <c r="X1662" i="2"/>
  <c r="X1663" i="2" s="1"/>
  <c r="X1676" i="2" l="1"/>
  <c r="X1677" i="2" s="1"/>
  <c r="X1678" i="2" s="1"/>
  <c r="X1675" i="2"/>
  <c r="X1680" i="2" s="1"/>
  <c r="X1664" i="2"/>
  <c r="X1665" i="2" s="1"/>
  <c r="X1668" i="2" s="1"/>
  <c r="Y1669" i="2" s="1"/>
  <c r="X1688" i="2"/>
  <c r="X1687" i="2"/>
  <c r="Z1697" i="2"/>
  <c r="X1699" i="2"/>
  <c r="X1679" i="2" l="1"/>
  <c r="X1682" i="2" s="1"/>
  <c r="Y1683" i="2" s="1"/>
  <c r="X1689" i="2"/>
  <c r="X1694" i="2" s="1"/>
  <c r="X1690" i="2"/>
  <c r="X1691" i="2" s="1"/>
  <c r="X1702" i="2"/>
  <c r="X1701" i="2"/>
  <c r="X1713" i="2"/>
  <c r="Z1711" i="2"/>
  <c r="X1727" i="2" l="1"/>
  <c r="X1716" i="2"/>
  <c r="Z1725" i="2"/>
  <c r="X1715" i="2"/>
  <c r="X1692" i="2"/>
  <c r="X1693" i="2" s="1"/>
  <c r="X1696" i="2" s="1"/>
  <c r="Y1697" i="2" s="1"/>
  <c r="X1703" i="2"/>
  <c r="X1708" i="2" s="1"/>
  <c r="X1704" i="2"/>
  <c r="X1705" i="2" s="1"/>
  <c r="X1706" i="2" s="1"/>
  <c r="X1707" i="2" l="1"/>
  <c r="X1710" i="2" s="1"/>
  <c r="Y1711" i="2" s="1"/>
  <c r="X1730" i="2"/>
  <c r="X1741" i="2"/>
  <c r="Z1739" i="2"/>
  <c r="X1729" i="2"/>
  <c r="X1718" i="2"/>
  <c r="X1719" i="2" s="1"/>
  <c r="X1717" i="2"/>
  <c r="X1722" i="2" s="1"/>
  <c r="X1720" i="2" l="1"/>
  <c r="X1721" i="2" s="1"/>
  <c r="X1724" i="2" s="1"/>
  <c r="Y1725" i="2" s="1"/>
  <c r="X1743" i="2"/>
  <c r="X1755" i="2"/>
  <c r="Z1753" i="2"/>
  <c r="X1744" i="2"/>
  <c r="X1731" i="2"/>
  <c r="X1736" i="2" s="1"/>
  <c r="X1732" i="2"/>
  <c r="X1733" i="2" s="1"/>
  <c r="X1734" i="2" l="1"/>
  <c r="X1735" i="2" s="1"/>
  <c r="X1738" i="2" s="1"/>
  <c r="Y1739" i="2" s="1"/>
  <c r="X1745" i="2"/>
  <c r="X1750" i="2" s="1"/>
  <c r="X1746" i="2"/>
  <c r="X1747" i="2" s="1"/>
  <c r="X1748" i="2" s="1"/>
  <c r="Z1767" i="2"/>
  <c r="X1769" i="2"/>
  <c r="X1757" i="2"/>
  <c r="X1758" i="2"/>
  <c r="X1749" i="2" l="1"/>
  <c r="X1752" i="2" s="1"/>
  <c r="Y1753" i="2" s="1"/>
  <c r="X1771" i="2"/>
  <c r="Z1781" i="2"/>
  <c r="X1772" i="2"/>
  <c r="X1783" i="2"/>
  <c r="X1760" i="2"/>
  <c r="X1761" i="2" s="1"/>
  <c r="X1759" i="2"/>
  <c r="X1764" i="2" s="1"/>
  <c r="X1762" i="2" l="1"/>
  <c r="X1763" i="2" s="1"/>
  <c r="X1766" i="2" s="1"/>
  <c r="Y1767" i="2" s="1"/>
  <c r="X1773" i="2"/>
  <c r="X1778" i="2" s="1"/>
  <c r="X1774" i="2"/>
  <c r="X1775" i="2" s="1"/>
  <c r="X1786" i="2"/>
  <c r="X1785" i="2"/>
  <c r="X1797" i="2"/>
  <c r="Z1795" i="2"/>
  <c r="X1788" i="2" l="1"/>
  <c r="X1789" i="2" s="1"/>
  <c r="X1787" i="2"/>
  <c r="X1792" i="2" s="1"/>
  <c r="Z1809" i="2"/>
  <c r="X1800" i="2"/>
  <c r="X1799" i="2"/>
  <c r="X1811" i="2"/>
  <c r="X1776" i="2"/>
  <c r="X1777" i="2" s="1"/>
  <c r="X1780" i="2" s="1"/>
  <c r="Y1781" i="2" s="1"/>
  <c r="X1801" i="2" l="1"/>
  <c r="X1806" i="2" s="1"/>
  <c r="X1802" i="2"/>
  <c r="X1803" i="2" s="1"/>
  <c r="X1790" i="2"/>
  <c r="X1791" i="2" s="1"/>
  <c r="X1794" i="2" s="1"/>
  <c r="Y1795" i="2" s="1"/>
  <c r="X1825" i="2"/>
  <c r="X1813" i="2"/>
  <c r="Z1823" i="2"/>
  <c r="X1814" i="2"/>
  <c r="X1804" i="2" l="1"/>
  <c r="X1805" i="2" s="1"/>
  <c r="X1808" i="2" s="1"/>
  <c r="Y1809" i="2" s="1"/>
  <c r="X1839" i="2"/>
  <c r="X1827" i="2"/>
  <c r="Z1837" i="2"/>
  <c r="X1828" i="2"/>
  <c r="X1815" i="2"/>
  <c r="X1820" i="2" s="1"/>
  <c r="X1816" i="2"/>
  <c r="X1817" i="2" s="1"/>
  <c r="X1818" i="2" s="1"/>
  <c r="X1819" i="2" l="1"/>
  <c r="X1822" i="2" s="1"/>
  <c r="Y1823" i="2" s="1"/>
  <c r="Z1851" i="2"/>
  <c r="X1841" i="2"/>
  <c r="X1853" i="2"/>
  <c r="X1842" i="2"/>
  <c r="X1829" i="2"/>
  <c r="X1834" i="2" s="1"/>
  <c r="X1830" i="2"/>
  <c r="X1831" i="2" s="1"/>
  <c r="X1843" i="2" l="1"/>
  <c r="X1848" i="2" s="1"/>
  <c r="X1844" i="2"/>
  <c r="X1845" i="2" s="1"/>
  <c r="X1846" i="2" s="1"/>
  <c r="X1856" i="2"/>
  <c r="Z1865" i="2"/>
  <c r="X1855" i="2"/>
  <c r="X1867" i="2"/>
  <c r="X1832" i="2"/>
  <c r="X1833" i="2" s="1"/>
  <c r="X1836" i="2" s="1"/>
  <c r="Y1837" i="2" s="1"/>
  <c r="X1847" i="2" l="1"/>
  <c r="X1850" i="2" s="1"/>
  <c r="Y1851" i="2" s="1"/>
  <c r="X1858" i="2"/>
  <c r="X1859" i="2" s="1"/>
  <c r="X1857" i="2"/>
  <c r="X1862" i="2" s="1"/>
  <c r="Z1879" i="2"/>
  <c r="X1870" i="2"/>
  <c r="X1881" i="2"/>
  <c r="X1869" i="2"/>
  <c r="X1860" i="2" l="1"/>
  <c r="X1861" i="2" s="1"/>
  <c r="X1864" i="2" s="1"/>
  <c r="Y1865" i="2" s="1"/>
  <c r="X1883" i="2"/>
  <c r="Z1893" i="2"/>
  <c r="X1884" i="2"/>
  <c r="X1895" i="2"/>
  <c r="X1872" i="2"/>
  <c r="X1873" i="2" s="1"/>
  <c r="X1874" i="2" s="1"/>
  <c r="X1871" i="2"/>
  <c r="X1876" i="2" s="1"/>
  <c r="X1897" i="2" l="1"/>
  <c r="X1898" i="2"/>
  <c r="X1909" i="2"/>
  <c r="Z1907" i="2"/>
  <c r="X1886" i="2"/>
  <c r="X1887" i="2" s="1"/>
  <c r="X1885" i="2"/>
  <c r="X1890" i="2" s="1"/>
  <c r="X1875" i="2"/>
  <c r="X1878" i="2" s="1"/>
  <c r="Y1879" i="2" s="1"/>
  <c r="X1888" i="2" l="1"/>
  <c r="X1889" i="2" s="1"/>
  <c r="X1892" i="2" s="1"/>
  <c r="Y1893" i="2" s="1"/>
  <c r="Z1921" i="2"/>
  <c r="X1911" i="2"/>
  <c r="X1912" i="2"/>
  <c r="X1923" i="2"/>
  <c r="X1900" i="2"/>
  <c r="X1901" i="2" s="1"/>
  <c r="X1902" i="2" s="1"/>
  <c r="X1899" i="2"/>
  <c r="X1904" i="2" s="1"/>
  <c r="X1937" i="2" l="1"/>
  <c r="X1925" i="2"/>
  <c r="Z1935" i="2"/>
  <c r="X1926" i="2"/>
  <c r="X1914" i="2"/>
  <c r="X1915" i="2" s="1"/>
  <c r="X1913" i="2"/>
  <c r="X1918" i="2" s="1"/>
  <c r="X1903" i="2"/>
  <c r="X1906" i="2" s="1"/>
  <c r="Y1907" i="2" s="1"/>
  <c r="X1916" i="2" l="1"/>
  <c r="X1917" i="2" s="1"/>
  <c r="X1920" i="2" s="1"/>
  <c r="Y1921" i="2" s="1"/>
  <c r="X1939" i="2"/>
  <c r="Z1949" i="2"/>
  <c r="X1951" i="2"/>
  <c r="X1940" i="2"/>
  <c r="X1928" i="2"/>
  <c r="X1929" i="2" s="1"/>
  <c r="X1930" i="2" s="1"/>
  <c r="X1927" i="2"/>
  <c r="X1932" i="2" s="1"/>
  <c r="X1931" i="2" l="1"/>
  <c r="X1934" i="2" s="1"/>
  <c r="Y1935" i="2" s="1"/>
  <c r="X1954" i="2"/>
  <c r="X1953" i="2"/>
  <c r="Z1963" i="2"/>
  <c r="X1965" i="2"/>
  <c r="X1941" i="2"/>
  <c r="X1946" i="2" s="1"/>
  <c r="X1942" i="2"/>
  <c r="X1943" i="2" s="1"/>
  <c r="X1956" i="2" l="1"/>
  <c r="X1957" i="2" s="1"/>
  <c r="X1955" i="2"/>
  <c r="X1960" i="2" s="1"/>
  <c r="X1944" i="2"/>
  <c r="X1945" i="2" s="1"/>
  <c r="X1948" i="2" s="1"/>
  <c r="Y1949" i="2" s="1"/>
  <c r="Z1977" i="2"/>
  <c r="X1979" i="2"/>
  <c r="X1967" i="2"/>
  <c r="X1968" i="2"/>
  <c r="X1958" i="2" l="1"/>
  <c r="X1959" i="2" s="1"/>
  <c r="X1962" i="2" s="1"/>
  <c r="Y1963" i="2" s="1"/>
  <c r="X1982" i="2"/>
  <c r="Z1991" i="2"/>
  <c r="X1981" i="2"/>
  <c r="X1993" i="2"/>
  <c r="X1970" i="2"/>
  <c r="X1971" i="2" s="1"/>
  <c r="X1969" i="2"/>
  <c r="X1974" i="2" s="1"/>
  <c r="X1983" i="2" l="1"/>
  <c r="X1988" i="2" s="1"/>
  <c r="X1984" i="2"/>
  <c r="X1985" i="2" s="1"/>
  <c r="X1986" i="2" s="1"/>
  <c r="Z2005" i="2"/>
  <c r="X1995" i="2"/>
  <c r="X1996" i="2"/>
  <c r="X2007" i="2"/>
  <c r="X1972" i="2"/>
  <c r="X1973" i="2" s="1"/>
  <c r="X1976" i="2" s="1"/>
  <c r="Y1977" i="2" s="1"/>
  <c r="X1987" i="2" l="1"/>
  <c r="X1990" i="2" s="1"/>
  <c r="Y1991" i="2" s="1"/>
  <c r="X2010" i="2"/>
  <c r="X2021" i="2"/>
  <c r="Z2019" i="2"/>
  <c r="X2009" i="2"/>
  <c r="X1997" i="2"/>
  <c r="X2002" i="2" s="1"/>
  <c r="X1998" i="2"/>
  <c r="X1999" i="2" s="1"/>
  <c r="X2000" i="2" s="1"/>
  <c r="X2012" i="2" l="1"/>
  <c r="X2013" i="2" s="1"/>
  <c r="X2014" i="2" s="1"/>
  <c r="X2011" i="2"/>
  <c r="X2016" i="2" s="1"/>
  <c r="X2023" i="2"/>
  <c r="X2035" i="2"/>
  <c r="X2024" i="2"/>
  <c r="Z2033" i="2"/>
  <c r="X2001" i="2"/>
  <c r="X2004" i="2" s="1"/>
  <c r="Y2005" i="2" s="1"/>
  <c r="X2015" i="2" l="1"/>
  <c r="X2018" i="2" s="1"/>
  <c r="Y2019" i="2" s="1"/>
  <c r="X2037" i="2"/>
  <c r="Z2047" i="2"/>
  <c r="X2038" i="2"/>
  <c r="X2049" i="2"/>
  <c r="X2026" i="2"/>
  <c r="X2027" i="2" s="1"/>
  <c r="X2025" i="2"/>
  <c r="X2030" i="2" s="1"/>
  <c r="X2040" i="2" l="1"/>
  <c r="X2041" i="2" s="1"/>
  <c r="X2042" i="2" s="1"/>
  <c r="X2039" i="2"/>
  <c r="X2044" i="2" s="1"/>
  <c r="X2028" i="2"/>
  <c r="X2029" i="2" s="1"/>
  <c r="X2032" i="2" s="1"/>
  <c r="Y2033" i="2" s="1"/>
  <c r="X2051" i="2"/>
  <c r="X2063" i="2"/>
  <c r="Z2061" i="2"/>
  <c r="X2052" i="2"/>
  <c r="X2043" i="2" l="1"/>
  <c r="X2046" i="2" s="1"/>
  <c r="Y2047" i="2" s="1"/>
  <c r="X2054" i="2"/>
  <c r="X2055" i="2" s="1"/>
  <c r="X2053" i="2"/>
  <c r="X2058" i="2" s="1"/>
  <c r="X2066" i="2"/>
  <c r="Z2075" i="2"/>
  <c r="X2065" i="2"/>
  <c r="X2077" i="2"/>
  <c r="X2068" i="2" l="1"/>
  <c r="X2069" i="2" s="1"/>
  <c r="X2070" i="2" s="1"/>
  <c r="X2067" i="2"/>
  <c r="X2072" i="2" s="1"/>
  <c r="X2056" i="2"/>
  <c r="X2057" i="2" s="1"/>
  <c r="X2060" i="2" s="1"/>
  <c r="Y2061" i="2" s="1"/>
  <c r="X2080" i="2"/>
  <c r="X2091" i="2"/>
  <c r="X2079" i="2"/>
  <c r="Z2089" i="2"/>
  <c r="X2071" i="2" l="1"/>
  <c r="X2074" i="2" s="1"/>
  <c r="Y2075" i="2" s="1"/>
  <c r="X2105" i="2"/>
  <c r="Z2103" i="2"/>
  <c r="X2094" i="2"/>
  <c r="X2093" i="2"/>
  <c r="X2081" i="2"/>
  <c r="X2086" i="2" s="1"/>
  <c r="X2082" i="2"/>
  <c r="X2083" i="2" s="1"/>
  <c r="X2119" i="2" l="1"/>
  <c r="Z2117" i="2"/>
  <c r="X2108" i="2"/>
  <c r="X2107" i="2"/>
  <c r="X2084" i="2"/>
  <c r="X2085" i="2" s="1"/>
  <c r="X2088" i="2" s="1"/>
  <c r="Y2089" i="2" s="1"/>
  <c r="X2095" i="2"/>
  <c r="X2100" i="2" s="1"/>
  <c r="X2096" i="2"/>
  <c r="X2097" i="2" s="1"/>
  <c r="X2133" i="2" l="1"/>
  <c r="Z2131" i="2"/>
  <c r="X2122" i="2"/>
  <c r="X2121" i="2"/>
  <c r="X2098" i="2"/>
  <c r="X2099" i="2" s="1"/>
  <c r="X2102" i="2" s="1"/>
  <c r="Y2103" i="2" s="1"/>
  <c r="X2110" i="2"/>
  <c r="X2111" i="2" s="1"/>
  <c r="X2112" i="2" s="1"/>
  <c r="X2109" i="2"/>
  <c r="X2114" i="2" s="1"/>
  <c r="X2113" i="2" l="1"/>
  <c r="X2116" i="2" s="1"/>
  <c r="Y2117" i="2" s="1"/>
  <c r="X2147" i="2"/>
  <c r="Z2145" i="2"/>
  <c r="X2136" i="2"/>
  <c r="X2135" i="2"/>
  <c r="X2123" i="2"/>
  <c r="X2128" i="2" s="1"/>
  <c r="X2124" i="2"/>
  <c r="X2125" i="2" s="1"/>
  <c r="X2126" i="2" s="1"/>
  <c r="X2127" i="2" l="1"/>
  <c r="X2130" i="2" s="1"/>
  <c r="Y2131" i="2" s="1"/>
  <c r="X2150" i="2"/>
  <c r="Z2159" i="2"/>
  <c r="X2149" i="2"/>
  <c r="X2161" i="2"/>
  <c r="X2138" i="2"/>
  <c r="X2139" i="2" s="1"/>
  <c r="X2140" i="2" s="1"/>
  <c r="X2141" i="2" s="1"/>
  <c r="X2144" i="2" s="1"/>
  <c r="Y2145" i="2" s="1"/>
  <c r="X2137" i="2"/>
  <c r="X2142" i="2" s="1"/>
  <c r="X2152" i="2" l="1"/>
  <c r="X2153" i="2" s="1"/>
  <c r="X2151" i="2"/>
  <c r="X2156" i="2" s="1"/>
  <c r="X2164" i="2"/>
  <c r="X2163" i="2"/>
  <c r="X2175" i="2"/>
  <c r="Z2173" i="2"/>
  <c r="Z2187" i="2" l="1"/>
  <c r="X2178" i="2"/>
  <c r="X2177" i="2"/>
  <c r="X2189" i="2"/>
  <c r="X2154" i="2"/>
  <c r="X2155" i="2" s="1"/>
  <c r="X2158" i="2" s="1"/>
  <c r="Y2159" i="2" s="1"/>
  <c r="X2165" i="2"/>
  <c r="X2170" i="2" s="1"/>
  <c r="X2166" i="2"/>
  <c r="X2167" i="2" s="1"/>
  <c r="X2168" i="2" l="1"/>
  <c r="X2169" i="2" s="1"/>
  <c r="X2172" i="2" s="1"/>
  <c r="Y2173" i="2" s="1"/>
  <c r="X2179" i="2"/>
  <c r="X2184" i="2" s="1"/>
  <c r="X2180" i="2"/>
  <c r="X2181" i="2" s="1"/>
  <c r="X2203" i="2"/>
  <c r="X2191" i="2"/>
  <c r="X2192" i="2"/>
  <c r="Z2201" i="2"/>
  <c r="Z2215" i="2" l="1"/>
  <c r="X2206" i="2"/>
  <c r="X2205" i="2"/>
  <c r="X2217" i="2"/>
  <c r="X2193" i="2"/>
  <c r="X2198" i="2" s="1"/>
  <c r="X2194" i="2"/>
  <c r="X2195" i="2" s="1"/>
  <c r="X2182" i="2"/>
  <c r="X2183" i="2" s="1"/>
  <c r="X2186" i="2" s="1"/>
  <c r="Y2187" i="2" s="1"/>
  <c r="X2196" i="2" l="1"/>
  <c r="X2197" i="2" s="1"/>
  <c r="X2200" i="2" s="1"/>
  <c r="Y2201" i="2" s="1"/>
  <c r="X2208" i="2"/>
  <c r="X2209" i="2" s="1"/>
  <c r="X2207" i="2"/>
  <c r="X2212" i="2" s="1"/>
  <c r="X2220" i="2"/>
  <c r="X2219" i="2"/>
  <c r="X2231" i="2"/>
  <c r="Z2229" i="2"/>
  <c r="X2222" i="2" l="1"/>
  <c r="X2223" i="2" s="1"/>
  <c r="X2221" i="2"/>
  <c r="X2226" i="2" s="1"/>
  <c r="X2245" i="2"/>
  <c r="Z2243" i="2"/>
  <c r="X2233" i="2"/>
  <c r="X2234" i="2"/>
  <c r="X2210" i="2"/>
  <c r="X2211" i="2" s="1"/>
  <c r="X2214" i="2" s="1"/>
  <c r="Y2215" i="2" s="1"/>
  <c r="X2235" i="2" l="1"/>
  <c r="X2240" i="2" s="1"/>
  <c r="X2236" i="2"/>
  <c r="X2237" i="2" s="1"/>
  <c r="X2224" i="2"/>
  <c r="X2225" i="2" s="1"/>
  <c r="X2228" i="2" s="1"/>
  <c r="Y2229" i="2" s="1"/>
  <c r="X2247" i="2"/>
  <c r="X2259" i="2"/>
  <c r="X2248" i="2"/>
  <c r="Z2257" i="2"/>
  <c r="X2250" i="2" l="1"/>
  <c r="X2251" i="2" s="1"/>
  <c r="X2252" i="2" s="1"/>
  <c r="X2249" i="2"/>
  <c r="X2254" i="2" s="1"/>
  <c r="X2262" i="2"/>
  <c r="Z2271" i="2"/>
  <c r="X2261" i="2"/>
  <c r="X2273" i="2"/>
  <c r="X2238" i="2"/>
  <c r="X2239" i="2" s="1"/>
  <c r="X2242" i="2" s="1"/>
  <c r="Y2243" i="2" s="1"/>
  <c r="X2253" i="2" l="1"/>
  <c r="X2256" i="2" s="1"/>
  <c r="Y2257" i="2" s="1"/>
  <c r="X2264" i="2"/>
  <c r="X2265" i="2" s="1"/>
  <c r="X2263" i="2"/>
  <c r="X2268" i="2" s="1"/>
  <c r="X2276" i="2"/>
  <c r="Z2285" i="2"/>
  <c r="X2275" i="2"/>
  <c r="X2287" i="2"/>
  <c r="X2266" i="2" l="1"/>
  <c r="X2267" i="2" s="1"/>
  <c r="X2270" i="2" s="1"/>
  <c r="Y2271" i="2" s="1"/>
  <c r="X2278" i="2"/>
  <c r="X2279" i="2" s="1"/>
  <c r="X2280" i="2" s="1"/>
  <c r="X2277" i="2"/>
  <c r="X2282" i="2" s="1"/>
  <c r="X2290" i="2"/>
  <c r="X2301" i="2"/>
  <c r="Z2299" i="2"/>
  <c r="X2289" i="2"/>
  <c r="X2281" i="2" l="1"/>
  <c r="X2284" i="2" s="1"/>
  <c r="Y2285" i="2" s="1"/>
  <c r="X2292" i="2"/>
  <c r="X2293" i="2" s="1"/>
  <c r="X2291" i="2"/>
  <c r="X2296" i="2" s="1"/>
  <c r="X2315" i="2"/>
  <c r="X2304" i="2"/>
  <c r="X2303" i="2"/>
  <c r="Z2313" i="2"/>
  <c r="X2318" i="2" l="1"/>
  <c r="X2317" i="2"/>
  <c r="X2329" i="2"/>
  <c r="Z2327" i="2"/>
  <c r="X2305" i="2"/>
  <c r="X2310" i="2" s="1"/>
  <c r="X2306" i="2"/>
  <c r="X2307" i="2" s="1"/>
  <c r="X2294" i="2"/>
  <c r="X2295" i="2" s="1"/>
  <c r="X2298" i="2" s="1"/>
  <c r="Y2299" i="2" s="1"/>
  <c r="X2308" i="2" l="1"/>
  <c r="X2309" i="2" s="1"/>
  <c r="X2312" i="2" s="1"/>
  <c r="Y2313" i="2" s="1"/>
  <c r="X2319" i="2"/>
  <c r="X2324" i="2" s="1"/>
  <c r="X2320" i="2"/>
  <c r="X2321" i="2" s="1"/>
  <c r="X2322" i="2" s="1"/>
  <c r="X2331" i="2"/>
  <c r="Z2341" i="2"/>
  <c r="X2343" i="2"/>
  <c r="X2332" i="2"/>
  <c r="X2334" i="2" l="1"/>
  <c r="X2335" i="2" s="1"/>
  <c r="X2333" i="2"/>
  <c r="X2338" i="2" s="1"/>
  <c r="X2345" i="2"/>
  <c r="X2346" i="2"/>
  <c r="X2357" i="2"/>
  <c r="Z2355" i="2"/>
  <c r="X2323" i="2"/>
  <c r="X2326" i="2" s="1"/>
  <c r="Y2327" i="2" s="1"/>
  <c r="Z2369" i="2" l="1"/>
  <c r="X2359" i="2"/>
  <c r="X2371" i="2"/>
  <c r="X2360" i="2"/>
  <c r="X2347" i="2"/>
  <c r="X2352" i="2" s="1"/>
  <c r="X2348" i="2"/>
  <c r="X2349" i="2" s="1"/>
  <c r="X2350" i="2" s="1"/>
  <c r="X2336" i="2"/>
  <c r="X2337" i="2" s="1"/>
  <c r="X2340" i="2" s="1"/>
  <c r="Y2341" i="2" s="1"/>
  <c r="X2361" i="2" l="1"/>
  <c r="X2366" i="2" s="1"/>
  <c r="X2362" i="2"/>
  <c r="X2363" i="2" s="1"/>
  <c r="X2364" i="2" s="1"/>
  <c r="X2351" i="2"/>
  <c r="X2354" i="2" s="1"/>
  <c r="Y2355" i="2" s="1"/>
  <c r="X2385" i="2"/>
  <c r="Z2383" i="2"/>
  <c r="X2374" i="2"/>
  <c r="X2373" i="2"/>
  <c r="X2365" i="2" l="1"/>
  <c r="X2368" i="2" s="1"/>
  <c r="Y2369" i="2" s="1"/>
  <c r="X2376" i="2"/>
  <c r="X2377" i="2" s="1"/>
  <c r="X2375" i="2"/>
  <c r="X2380" i="2" s="1"/>
  <c r="X2388" i="2"/>
  <c r="X2399" i="2"/>
  <c r="X2387" i="2"/>
  <c r="Z2397" i="2"/>
  <c r="X2390" i="2" l="1"/>
  <c r="X2391" i="2" s="1"/>
  <c r="X2389" i="2"/>
  <c r="X2394" i="2" s="1"/>
  <c r="X2378" i="2"/>
  <c r="X2379" i="2" s="1"/>
  <c r="X2382" i="2" s="1"/>
  <c r="Y2383" i="2" s="1"/>
  <c r="X2401" i="2"/>
  <c r="Z2411" i="2"/>
  <c r="X2413" i="2"/>
  <c r="X2402" i="2"/>
  <c r="X2416" i="2" l="1"/>
  <c r="X2415" i="2"/>
  <c r="X2427" i="2"/>
  <c r="Z2425" i="2"/>
  <c r="X2404" i="2"/>
  <c r="X2405" i="2" s="1"/>
  <c r="X2403" i="2"/>
  <c r="X2408" i="2" s="1"/>
  <c r="X2392" i="2"/>
  <c r="X2393" i="2" s="1"/>
  <c r="X2396" i="2" s="1"/>
  <c r="Y2397" i="2" s="1"/>
  <c r="X2441" i="2" l="1"/>
  <c r="X2430" i="2"/>
  <c r="Z2439" i="2"/>
  <c r="X2429" i="2"/>
  <c r="X2406" i="2"/>
  <c r="X2407" i="2" s="1"/>
  <c r="X2410" i="2" s="1"/>
  <c r="Y2411" i="2" s="1"/>
  <c r="X2418" i="2"/>
  <c r="X2419" i="2" s="1"/>
  <c r="X2417" i="2"/>
  <c r="X2422" i="2" s="1"/>
  <c r="Z2453" i="2" l="1"/>
  <c r="X2444" i="2"/>
  <c r="X2443" i="2"/>
  <c r="X2455" i="2"/>
  <c r="X2420" i="2"/>
  <c r="X2421" i="2" s="1"/>
  <c r="X2424" i="2" s="1"/>
  <c r="Y2425" i="2" s="1"/>
  <c r="X2432" i="2"/>
  <c r="X2433" i="2" s="1"/>
  <c r="X2431" i="2"/>
  <c r="X2436" i="2" s="1"/>
  <c r="X2434" i="2" l="1"/>
  <c r="X2435" i="2" s="1"/>
  <c r="X2438" i="2" s="1"/>
  <c r="Y2439" i="2" s="1"/>
  <c r="X2446" i="2"/>
  <c r="X2447" i="2" s="1"/>
  <c r="X2445" i="2"/>
  <c r="X2450" i="2" s="1"/>
  <c r="Z2467" i="2"/>
  <c r="X2458" i="2"/>
  <c r="X2457" i="2"/>
  <c r="X2469" i="2"/>
  <c r="X2460" i="2" l="1"/>
  <c r="X2461" i="2" s="1"/>
  <c r="X2462" i="2" s="1"/>
  <c r="X2459" i="2"/>
  <c r="X2464" i="2" s="1"/>
  <c r="X2448" i="2"/>
  <c r="X2449" i="2" s="1"/>
  <c r="X2452" i="2" s="1"/>
  <c r="Y2453" i="2" s="1"/>
  <c r="Z2481" i="2"/>
  <c r="X2483" i="2"/>
  <c r="X2471" i="2"/>
  <c r="X2472" i="2"/>
  <c r="X2486" i="2" l="1"/>
  <c r="Z2495" i="2"/>
  <c r="X2485" i="2"/>
  <c r="X2497" i="2"/>
  <c r="X2463" i="2"/>
  <c r="X2466" i="2" s="1"/>
  <c r="Y2467" i="2" s="1"/>
  <c r="X2473" i="2"/>
  <c r="X2478" i="2" s="1"/>
  <c r="X2474" i="2"/>
  <c r="X2475" i="2" s="1"/>
  <c r="X2476" i="2" l="1"/>
  <c r="X2477" i="2" s="1"/>
  <c r="X2480" i="2" s="1"/>
  <c r="Y2481" i="2" s="1"/>
  <c r="X2488" i="2"/>
  <c r="X2489" i="2" s="1"/>
  <c r="X2487" i="2"/>
  <c r="X2492" i="2" s="1"/>
  <c r="Z2509" i="2"/>
  <c r="X2499" i="2"/>
  <c r="X2500" i="2"/>
  <c r="X2511" i="2"/>
  <c r="X2502" i="2" l="1"/>
  <c r="X2503" i="2" s="1"/>
  <c r="X2501" i="2"/>
  <c r="X2506" i="2" s="1"/>
  <c r="X2490" i="2"/>
  <c r="X2491" i="2" s="1"/>
  <c r="X2494" i="2" s="1"/>
  <c r="Y2495" i="2" s="1"/>
  <c r="X2514" i="2"/>
  <c r="X2513" i="2"/>
  <c r="X2525" i="2"/>
  <c r="Z2523" i="2"/>
  <c r="X2504" i="2" l="1"/>
  <c r="X2505" i="2" s="1"/>
  <c r="X2508" i="2" s="1"/>
  <c r="Y2509" i="2" s="1"/>
  <c r="X2516" i="2"/>
  <c r="X2517" i="2" s="1"/>
  <c r="X2515" i="2"/>
  <c r="X2520" i="2" s="1"/>
  <c r="X2539" i="2"/>
  <c r="Z2537" i="2"/>
  <c r="X2528" i="2"/>
  <c r="X2527" i="2"/>
  <c r="Z2551" i="2" l="1"/>
  <c r="X2542" i="2"/>
  <c r="X2541" i="2"/>
  <c r="X2553" i="2"/>
  <c r="X2518" i="2"/>
  <c r="X2519" i="2" s="1"/>
  <c r="X2522" i="2" s="1"/>
  <c r="Y2523" i="2" s="1"/>
  <c r="X2530" i="2"/>
  <c r="X2531" i="2" s="1"/>
  <c r="X2529" i="2"/>
  <c r="X2534" i="2" s="1"/>
  <c r="X2532" i="2" l="1"/>
  <c r="X2533" i="2" s="1"/>
  <c r="X2536" i="2" s="1"/>
  <c r="Y2537" i="2" s="1"/>
  <c r="X2544" i="2"/>
  <c r="X2545" i="2" s="1"/>
  <c r="X2543" i="2"/>
  <c r="X2548" i="2" s="1"/>
  <c r="X2567" i="2"/>
  <c r="Z2565" i="2"/>
  <c r="X2556" i="2"/>
  <c r="X2555" i="2"/>
  <c r="X2569" i="2" l="1"/>
  <c r="X2570" i="2"/>
  <c r="X2581" i="2"/>
  <c r="Z2579" i="2"/>
  <c r="X2546" i="2"/>
  <c r="X2547" i="2" s="1"/>
  <c r="X2550" i="2" s="1"/>
  <c r="Y2551" i="2" s="1"/>
  <c r="X2557" i="2"/>
  <c r="X2562" i="2" s="1"/>
  <c r="X2558" i="2"/>
  <c r="X2559" i="2" s="1"/>
  <c r="X2560" i="2" l="1"/>
  <c r="X2561" i="2" s="1"/>
  <c r="X2564" i="2" s="1"/>
  <c r="Y2565" i="2" s="1"/>
  <c r="X2583" i="2"/>
  <c r="Z2593" i="2"/>
  <c r="X2595" i="2"/>
  <c r="X2584" i="2"/>
  <c r="X2572" i="2"/>
  <c r="X2573" i="2" s="1"/>
  <c r="X2574" i="2" s="1"/>
  <c r="X2571" i="2"/>
  <c r="X2576" i="2" s="1"/>
  <c r="X2575" i="2" l="1"/>
  <c r="X2578" i="2" s="1"/>
  <c r="Y2579" i="2" s="1"/>
  <c r="X2609" i="2"/>
  <c r="X2597" i="2"/>
  <c r="Z2607" i="2"/>
  <c r="X2598" i="2"/>
  <c r="X2586" i="2"/>
  <c r="X2587" i="2" s="1"/>
  <c r="X2588" i="2" s="1"/>
  <c r="X2585" i="2"/>
  <c r="X2590" i="2" s="1"/>
  <c r="X2589" i="2" l="1"/>
  <c r="X2592" i="2" s="1"/>
  <c r="Y2593" i="2" s="1"/>
  <c r="X2612" i="2"/>
  <c r="X2623" i="2"/>
  <c r="Z2621" i="2"/>
  <c r="X2611" i="2"/>
  <c r="X2600" i="2"/>
  <c r="X2601" i="2" s="1"/>
  <c r="X2599" i="2"/>
  <c r="X2604" i="2" s="1"/>
  <c r="X2626" i="2" l="1"/>
  <c r="X2637" i="2"/>
  <c r="X2625" i="2"/>
  <c r="Z2635" i="2"/>
  <c r="X2602" i="2"/>
  <c r="X2603" i="2" s="1"/>
  <c r="X2606" i="2" s="1"/>
  <c r="Y2607" i="2" s="1"/>
  <c r="X2613" i="2"/>
  <c r="X2618" i="2" s="1"/>
  <c r="X2614" i="2"/>
  <c r="X2615" i="2" s="1"/>
  <c r="X2616" i="2" l="1"/>
  <c r="X2617" i="2" s="1"/>
  <c r="X2620" i="2" s="1"/>
  <c r="Y2621" i="2" s="1"/>
  <c r="X2651" i="2"/>
  <c r="Z2649" i="2"/>
  <c r="X2640" i="2"/>
  <c r="X2639" i="2"/>
  <c r="X2627" i="2"/>
  <c r="X2632" i="2" s="1"/>
  <c r="X2628" i="2"/>
  <c r="X2629" i="2" s="1"/>
  <c r="X2642" i="2" l="1"/>
  <c r="X2643" i="2" s="1"/>
  <c r="X2641" i="2"/>
  <c r="X2646" i="2" s="1"/>
  <c r="X2665" i="2"/>
  <c r="X2653" i="2"/>
  <c r="Z2663" i="2"/>
  <c r="X2654" i="2"/>
  <c r="X2630" i="2"/>
  <c r="X2631" i="2" s="1"/>
  <c r="X2634" i="2" s="1"/>
  <c r="Y2635" i="2" s="1"/>
  <c r="X2668" i="2" l="1"/>
  <c r="X2679" i="2"/>
  <c r="X2667" i="2"/>
  <c r="Z2677" i="2"/>
  <c r="X2644" i="2"/>
  <c r="X2645" i="2" s="1"/>
  <c r="X2648" i="2" s="1"/>
  <c r="Y2649" i="2" s="1"/>
  <c r="X2656" i="2"/>
  <c r="X2657" i="2" s="1"/>
  <c r="X2655" i="2"/>
  <c r="X2660" i="2" s="1"/>
  <c r="X2681" i="2" l="1"/>
  <c r="X2693" i="2"/>
  <c r="Z2691" i="2"/>
  <c r="X2682" i="2"/>
  <c r="X2658" i="2"/>
  <c r="X2659" i="2" s="1"/>
  <c r="X2662" i="2" s="1"/>
  <c r="Y2663" i="2" s="1"/>
  <c r="X2669" i="2"/>
  <c r="X2674" i="2" s="1"/>
  <c r="X2670" i="2"/>
  <c r="X2671" i="2" s="1"/>
  <c r="X2672" i="2" l="1"/>
  <c r="X2673" i="2" s="1"/>
  <c r="X2676" i="2" s="1"/>
  <c r="Y2677" i="2" s="1"/>
  <c r="Z2705" i="2"/>
  <c r="X2696" i="2"/>
  <c r="X2707" i="2"/>
  <c r="X2695" i="2"/>
  <c r="X2683" i="2"/>
  <c r="X2688" i="2" s="1"/>
  <c r="X2684" i="2"/>
  <c r="X2685" i="2" s="1"/>
  <c r="X2710" i="2" l="1"/>
  <c r="Z2719" i="2"/>
  <c r="X2709" i="2"/>
  <c r="X2721" i="2"/>
  <c r="X2698" i="2"/>
  <c r="X2699" i="2" s="1"/>
  <c r="X2700" i="2" s="1"/>
  <c r="X2697" i="2"/>
  <c r="X2702" i="2" s="1"/>
  <c r="X2686" i="2"/>
  <c r="X2687" i="2" s="1"/>
  <c r="X2690" i="2" s="1"/>
  <c r="Y2691" i="2" s="1"/>
  <c r="X2701" i="2" l="1"/>
  <c r="X2704" i="2" s="1"/>
  <c r="Y2705" i="2" s="1"/>
  <c r="X2712" i="2"/>
  <c r="X2713" i="2" s="1"/>
  <c r="X2711" i="2"/>
  <c r="X2716" i="2" s="1"/>
  <c r="X2724" i="2"/>
  <c r="Z2733" i="2"/>
  <c r="X2723" i="2"/>
  <c r="X2735" i="2"/>
  <c r="X2714" i="2" l="1"/>
  <c r="X2715" i="2" s="1"/>
  <c r="X2718" i="2" s="1"/>
  <c r="Y2719" i="2" s="1"/>
  <c r="X2726" i="2"/>
  <c r="X2727" i="2" s="1"/>
  <c r="X2728" i="2" s="1"/>
  <c r="X2725" i="2"/>
  <c r="X2730" i="2" s="1"/>
  <c r="X2737" i="2"/>
  <c r="X2749" i="2"/>
  <c r="Z2747" i="2"/>
  <c r="X2738" i="2"/>
  <c r="X2729" i="2" l="1"/>
  <c r="X2732" i="2" s="1"/>
  <c r="Y2733" i="2" s="1"/>
  <c r="X2739" i="2"/>
  <c r="X2744" i="2" s="1"/>
  <c r="X2740" i="2"/>
  <c r="X2741" i="2" s="1"/>
  <c r="X2742" i="2" s="1"/>
  <c r="X2752" i="2"/>
  <c r="X2751" i="2"/>
  <c r="Z2761" i="2"/>
  <c r="X2763" i="2"/>
  <c r="X2743" i="2" l="1"/>
  <c r="X2746" i="2" s="1"/>
  <c r="Y2747" i="2" s="1"/>
  <c r="Z2775" i="2"/>
  <c r="X2766" i="2"/>
  <c r="X2765" i="2"/>
  <c r="X2777" i="2"/>
  <c r="X2754" i="2"/>
  <c r="X2755" i="2" s="1"/>
  <c r="X2753" i="2"/>
  <c r="X2758" i="2" s="1"/>
  <c r="Z2789" i="2" l="1"/>
  <c r="X2779" i="2"/>
  <c r="X2791" i="2"/>
  <c r="X2780" i="2"/>
  <c r="X2756" i="2"/>
  <c r="X2757" i="2" s="1"/>
  <c r="X2760" i="2" s="1"/>
  <c r="Y2761" i="2" s="1"/>
  <c r="X2768" i="2"/>
  <c r="X2769" i="2" s="1"/>
  <c r="X2767" i="2"/>
  <c r="X2772" i="2" s="1"/>
  <c r="X2782" i="2" l="1"/>
  <c r="X2783" i="2" s="1"/>
  <c r="X2781" i="2"/>
  <c r="X2786" i="2" s="1"/>
  <c r="X2770" i="2"/>
  <c r="X2771" i="2" s="1"/>
  <c r="X2774" i="2" s="1"/>
  <c r="Y2775" i="2" s="1"/>
  <c r="X2805" i="2"/>
  <c r="Z2803" i="2"/>
  <c r="X2794" i="2"/>
  <c r="X2793" i="2"/>
  <c r="Z2817" i="2" l="1"/>
  <c r="X2819" i="2"/>
  <c r="X2808" i="2"/>
  <c r="X2807" i="2"/>
  <c r="X2784" i="2"/>
  <c r="X2785" i="2" s="1"/>
  <c r="X2788" i="2" s="1"/>
  <c r="Y2789" i="2" s="1"/>
  <c r="X2796" i="2"/>
  <c r="X2797" i="2" s="1"/>
  <c r="X2795" i="2"/>
  <c r="X2800" i="2" s="1"/>
  <c r="Z2831" i="2" l="1"/>
  <c r="X2822" i="2"/>
  <c r="X2821" i="2"/>
  <c r="X2833" i="2"/>
  <c r="X2798" i="2"/>
  <c r="X2799" i="2" s="1"/>
  <c r="X2802" i="2" s="1"/>
  <c r="Y2803" i="2" s="1"/>
  <c r="X2810" i="2"/>
  <c r="X2811" i="2" s="1"/>
  <c r="X2809" i="2"/>
  <c r="X2814" i="2" s="1"/>
  <c r="X2824" i="2" l="1"/>
  <c r="X2825" i="2" s="1"/>
  <c r="X2823" i="2"/>
  <c r="X2828" i="2" s="1"/>
  <c r="X2812" i="2"/>
  <c r="X2813" i="2" s="1"/>
  <c r="X2816" i="2" s="1"/>
  <c r="Y2817" i="2" s="1"/>
  <c r="X2847" i="2"/>
  <c r="Z2845" i="2"/>
  <c r="X2836" i="2"/>
  <c r="X2835" i="2"/>
  <c r="X2861" i="2" l="1"/>
  <c r="Z2859" i="2"/>
  <c r="X2850" i="2"/>
  <c r="X2849" i="2"/>
  <c r="X2826" i="2"/>
  <c r="X2827" i="2" s="1"/>
  <c r="X2830" i="2" s="1"/>
  <c r="Y2831" i="2" s="1"/>
  <c r="X2837" i="2"/>
  <c r="X2842" i="2" s="1"/>
  <c r="X2838" i="2"/>
  <c r="X2839" i="2" s="1"/>
  <c r="X2875" i="2" l="1"/>
  <c r="X2864" i="2"/>
  <c r="X2863" i="2"/>
  <c r="Z2873" i="2"/>
  <c r="X2840" i="2"/>
  <c r="X2841" i="2" s="1"/>
  <c r="X2844" i="2" s="1"/>
  <c r="Y2845" i="2" s="1"/>
  <c r="X2851" i="2"/>
  <c r="X2856" i="2" s="1"/>
  <c r="X2852" i="2"/>
  <c r="X2853" i="2" s="1"/>
  <c r="X2854" i="2" s="1"/>
  <c r="X2855" i="2" l="1"/>
  <c r="X2858" i="2" s="1"/>
  <c r="Y2859" i="2" s="1"/>
  <c r="X2889" i="2"/>
  <c r="X2878" i="2"/>
  <c r="X2877" i="2"/>
  <c r="Z2887" i="2"/>
  <c r="X2865" i="2"/>
  <c r="X2870" i="2" s="1"/>
  <c r="X2866" i="2"/>
  <c r="X2867" i="2" s="1"/>
  <c r="X2868" i="2" s="1"/>
  <c r="X2869" i="2" l="1"/>
  <c r="X2872" i="2" s="1"/>
  <c r="Y2873" i="2" s="1"/>
  <c r="X2903" i="2"/>
  <c r="Z2901" i="2"/>
  <c r="X2892" i="2"/>
  <c r="X2891" i="2"/>
  <c r="X2880" i="2"/>
  <c r="X2881" i="2" s="1"/>
  <c r="X2882" i="2" s="1"/>
  <c r="X2879" i="2"/>
  <c r="X2884" i="2" s="1"/>
  <c r="X2893" i="2" l="1"/>
  <c r="X2898" i="2" s="1"/>
  <c r="X2894" i="2"/>
  <c r="X2895" i="2" s="1"/>
  <c r="X2917" i="2"/>
  <c r="Z2915" i="2"/>
  <c r="X2906" i="2"/>
  <c r="X2905" i="2"/>
  <c r="X2883" i="2"/>
  <c r="X2886" i="2" s="1"/>
  <c r="Y2887" i="2" s="1"/>
  <c r="X2907" i="2" l="1"/>
  <c r="X2912" i="2" s="1"/>
  <c r="X2908" i="2"/>
  <c r="X2909" i="2" s="1"/>
  <c r="X2896" i="2"/>
  <c r="X2897" i="2" s="1"/>
  <c r="X2900" i="2" s="1"/>
  <c r="Y2901" i="2" s="1"/>
  <c r="Z2929" i="2"/>
  <c r="X2931" i="2"/>
  <c r="X2920" i="2"/>
  <c r="X2919" i="2"/>
  <c r="Z2943" i="2" l="1"/>
  <c r="X2934" i="2"/>
  <c r="X2933" i="2"/>
  <c r="X2945" i="2"/>
  <c r="X2910" i="2"/>
  <c r="X2911" i="2" s="1"/>
  <c r="X2914" i="2" s="1"/>
  <c r="Y2915" i="2" s="1"/>
  <c r="X2922" i="2"/>
  <c r="X2923" i="2" s="1"/>
  <c r="X2921" i="2"/>
  <c r="X2926" i="2" s="1"/>
  <c r="X2936" i="2" l="1"/>
  <c r="X2937" i="2" s="1"/>
  <c r="X2935" i="2"/>
  <c r="X2940" i="2" s="1"/>
  <c r="X2924" i="2"/>
  <c r="X2925" i="2" s="1"/>
  <c r="X2928" i="2" s="1"/>
  <c r="Y2929" i="2" s="1"/>
  <c r="X2947" i="2"/>
  <c r="Z2957" i="2"/>
  <c r="X2948" i="2"/>
  <c r="X2959" i="2"/>
  <c r="X2950" i="2" l="1"/>
  <c r="X2951" i="2" s="1"/>
  <c r="X2949" i="2"/>
  <c r="X2954" i="2" s="1"/>
  <c r="X2938" i="2"/>
  <c r="X2939" i="2" s="1"/>
  <c r="X2942" i="2" s="1"/>
  <c r="Y2943" i="2" s="1"/>
  <c r="X2973" i="2"/>
  <c r="X2962" i="2"/>
  <c r="X2961" i="2"/>
  <c r="Z2971" i="2"/>
  <c r="X2952" i="2" l="1"/>
  <c r="X2953" i="2" s="1"/>
  <c r="X2956" i="2" s="1"/>
  <c r="Y2957" i="2" s="1"/>
  <c r="X2963" i="2"/>
  <c r="X2968" i="2" s="1"/>
  <c r="X2964" i="2"/>
  <c r="X2965" i="2" s="1"/>
  <c r="X2966" i="2" s="1"/>
  <c r="Z2985" i="2"/>
  <c r="X2987" i="2"/>
  <c r="X2976" i="2"/>
  <c r="X2975" i="2"/>
  <c r="X2967" i="2" l="1"/>
  <c r="X2970" i="2" s="1"/>
  <c r="Y2971" i="2" s="1"/>
  <c r="X2990" i="2"/>
  <c r="X2989" i="2"/>
  <c r="X3001" i="2"/>
  <c r="Z2999" i="2"/>
  <c r="X2977" i="2"/>
  <c r="X2982" i="2" s="1"/>
  <c r="X2978" i="2"/>
  <c r="X2979" i="2" s="1"/>
  <c r="X2980" i="2" s="1"/>
  <c r="X2981" i="2" l="1"/>
  <c r="X2984" i="2" s="1"/>
  <c r="Y2985" i="2" s="1"/>
  <c r="Z3013" i="2"/>
  <c r="X3003" i="2"/>
  <c r="X3015" i="2"/>
  <c r="X3004" i="2"/>
  <c r="X2992" i="2"/>
  <c r="X2993" i="2" s="1"/>
  <c r="X2991" i="2"/>
  <c r="X2996" i="2" s="1"/>
  <c r="X2994" i="2" l="1"/>
  <c r="X2995" i="2" s="1"/>
  <c r="X2998" i="2" s="1"/>
  <c r="Y2999" i="2" s="1"/>
  <c r="X3005" i="2"/>
  <c r="X3010" i="2" s="1"/>
  <c r="X3006" i="2"/>
  <c r="X3007" i="2" s="1"/>
  <c r="X3017" i="2"/>
  <c r="X3029" i="2"/>
  <c r="Z3027" i="2"/>
  <c r="X3018" i="2"/>
  <c r="X3032" i="2" l="1"/>
  <c r="X3031" i="2"/>
  <c r="Z3041" i="2"/>
  <c r="X3043" i="2"/>
  <c r="X3020" i="2"/>
  <c r="X3021" i="2" s="1"/>
  <c r="X3019" i="2"/>
  <c r="X3024" i="2" s="1"/>
  <c r="X3008" i="2"/>
  <c r="X3009" i="2" s="1"/>
  <c r="X3012" i="2" s="1"/>
  <c r="Y3013" i="2" s="1"/>
  <c r="X3022" i="2" l="1"/>
  <c r="X3023" i="2" s="1"/>
  <c r="X3026" i="2" s="1"/>
  <c r="Y3027" i="2" s="1"/>
  <c r="X3034" i="2"/>
  <c r="X3035" i="2" s="1"/>
  <c r="X3033" i="2"/>
  <c r="X3038" i="2" s="1"/>
  <c r="X3057" i="2"/>
  <c r="X3045" i="2"/>
  <c r="Z3055" i="2"/>
  <c r="X3046" i="2"/>
  <c r="X3048" i="2" l="1"/>
  <c r="X3049" i="2" s="1"/>
  <c r="X3050" i="2" s="1"/>
  <c r="X3047" i="2"/>
  <c r="X3052" i="2" s="1"/>
  <c r="X3036" i="2"/>
  <c r="X3037" i="2" s="1"/>
  <c r="X3040" i="2" s="1"/>
  <c r="Y3041" i="2" s="1"/>
  <c r="X3060" i="2"/>
  <c r="X3059" i="2"/>
  <c r="Z3069" i="2"/>
  <c r="X3071" i="2"/>
  <c r="X3051" i="2" l="1"/>
  <c r="X3054" i="2" s="1"/>
  <c r="Y3055" i="2" s="1"/>
  <c r="X3061" i="2"/>
  <c r="X3066" i="2" s="1"/>
  <c r="X3062" i="2"/>
  <c r="X3063" i="2" s="1"/>
  <c r="X3074" i="2"/>
  <c r="X3085" i="2"/>
  <c r="X3073" i="2"/>
  <c r="Z3083" i="2"/>
  <c r="X3064" i="2" l="1"/>
  <c r="X3065" i="2" s="1"/>
  <c r="X3068" i="2" s="1"/>
  <c r="Y3069" i="2" s="1"/>
  <c r="X3075" i="2"/>
  <c r="X3080" i="2" s="1"/>
  <c r="X3076" i="2"/>
  <c r="X3077" i="2" s="1"/>
  <c r="X3078" i="2" s="1"/>
  <c r="Z3097" i="2"/>
  <c r="X3088" i="2"/>
  <c r="X3087" i="2"/>
  <c r="X3099" i="2"/>
  <c r="X3090" i="2" l="1"/>
  <c r="X3091" i="2" s="1"/>
  <c r="X3092" i="2" s="1"/>
  <c r="X3089" i="2"/>
  <c r="X3094" i="2" s="1"/>
  <c r="X3102" i="2"/>
  <c r="X3101" i="2"/>
  <c r="X3113" i="2"/>
  <c r="Z3111" i="2"/>
  <c r="X3079" i="2"/>
  <c r="X3082" i="2" s="1"/>
  <c r="Y3083" i="2" s="1"/>
  <c r="X3093" i="2" l="1"/>
  <c r="X3096" i="2" s="1"/>
  <c r="Y3097" i="2" s="1"/>
  <c r="X3127" i="2"/>
  <c r="Z3125" i="2"/>
  <c r="X3115" i="2"/>
  <c r="X3116" i="2"/>
  <c r="X3104" i="2"/>
  <c r="X3105" i="2" s="1"/>
  <c r="X3103" i="2"/>
  <c r="X3108" i="2" s="1"/>
  <c r="X3118" i="2" l="1"/>
  <c r="X3119" i="2" s="1"/>
  <c r="X3120" i="2" s="1"/>
  <c r="X3117" i="2"/>
  <c r="X3122" i="2" s="1"/>
  <c r="X3130" i="2"/>
  <c r="X3141" i="2"/>
  <c r="X3129" i="2"/>
  <c r="Z3139" i="2"/>
  <c r="X3106" i="2"/>
  <c r="X3107" i="2" s="1"/>
  <c r="X3110" i="2" s="1"/>
  <c r="Y3111" i="2" s="1"/>
  <c r="X3121" i="2" l="1"/>
  <c r="X3124" i="2" s="1"/>
  <c r="Y3125" i="2" s="1"/>
  <c r="X3132" i="2"/>
  <c r="X3133" i="2" s="1"/>
  <c r="X3134" i="2" s="1"/>
  <c r="X3131" i="2"/>
  <c r="X3136" i="2" s="1"/>
  <c r="X3143" i="2"/>
  <c r="X3144" i="2"/>
  <c r="Z3153" i="2"/>
  <c r="X3155" i="2"/>
  <c r="X3135" i="2" l="1"/>
  <c r="X3138" i="2" s="1"/>
  <c r="Y3139" i="2" s="1"/>
  <c r="X3158" i="2"/>
  <c r="X3157" i="2"/>
  <c r="X3169" i="2"/>
  <c r="Z3167" i="2"/>
  <c r="X3146" i="2"/>
  <c r="X3147" i="2" s="1"/>
  <c r="X3148" i="2" s="1"/>
  <c r="X3149" i="2" s="1"/>
  <c r="X3152" i="2" s="1"/>
  <c r="Y3153" i="2" s="1"/>
  <c r="X3145" i="2"/>
  <c r="X3150" i="2" s="1"/>
  <c r="X3160" i="2" l="1"/>
  <c r="X3161" i="2" s="1"/>
  <c r="X3162" i="2" s="1"/>
  <c r="X3159" i="2"/>
  <c r="X3164" i="2" s="1"/>
  <c r="X3183" i="2"/>
  <c r="X3172" i="2"/>
  <c r="X3171" i="2"/>
  <c r="Z3181" i="2"/>
  <c r="X3163" i="2" l="1"/>
  <c r="X3166" i="2" s="1"/>
  <c r="Y3167" i="2" s="1"/>
  <c r="X3186" i="2"/>
  <c r="X3197" i="2"/>
  <c r="X3185" i="2"/>
  <c r="Z3195" i="2"/>
  <c r="X3173" i="2"/>
  <c r="X3178" i="2" s="1"/>
  <c r="X3174" i="2"/>
  <c r="X3175" i="2" s="1"/>
  <c r="X3176" i="2" l="1"/>
  <c r="X3177" i="2" s="1"/>
  <c r="X3180" i="2" s="1"/>
  <c r="Y3181" i="2" s="1"/>
  <c r="Z3209" i="2"/>
  <c r="X3199" i="2"/>
  <c r="X3211" i="2"/>
  <c r="X3200" i="2"/>
  <c r="X3188" i="2"/>
  <c r="X3189" i="2" s="1"/>
  <c r="X3190" i="2" s="1"/>
  <c r="X3187" i="2"/>
  <c r="X3192" i="2" s="1"/>
  <c r="X3225" i="2" l="1"/>
  <c r="X3214" i="2"/>
  <c r="X3213" i="2"/>
  <c r="Z3223" i="2"/>
  <c r="X3201" i="2"/>
  <c r="X3206" i="2" s="1"/>
  <c r="X3202" i="2"/>
  <c r="X3203" i="2" s="1"/>
  <c r="X3204" i="2" s="1"/>
  <c r="X3191" i="2"/>
  <c r="X3194" i="2" s="1"/>
  <c r="Y3195" i="2" s="1"/>
  <c r="X3205" i="2" l="1"/>
  <c r="X3208" i="2" s="1"/>
  <c r="Y3209" i="2" s="1"/>
  <c r="X3228" i="2"/>
  <c r="X3227" i="2"/>
  <c r="X3239" i="2"/>
  <c r="Z3237" i="2"/>
  <c r="X3216" i="2"/>
  <c r="X3217" i="2" s="1"/>
  <c r="X3215" i="2"/>
  <c r="X3220" i="2" s="1"/>
  <c r="X3230" i="2" l="1"/>
  <c r="X3231" i="2" s="1"/>
  <c r="X3229" i="2"/>
  <c r="X3234" i="2" s="1"/>
  <c r="X3253" i="2"/>
  <c r="X3241" i="2"/>
  <c r="Z3251" i="2"/>
  <c r="X3242" i="2"/>
  <c r="X3218" i="2"/>
  <c r="X3219" i="2" s="1"/>
  <c r="X3222" i="2" s="1"/>
  <c r="Y3223" i="2" s="1"/>
  <c r="X3232" i="2" l="1"/>
  <c r="X3233" i="2" s="1"/>
  <c r="X3236" i="2" s="1"/>
  <c r="Y3237" i="2" s="1"/>
  <c r="X3267" i="2"/>
  <c r="Z3265" i="2"/>
  <c r="X3255" i="2"/>
  <c r="X3256" i="2"/>
  <c r="X3243" i="2"/>
  <c r="X3248" i="2" s="1"/>
  <c r="X3244" i="2"/>
  <c r="X3245" i="2" s="1"/>
  <c r="X3246" i="2" s="1"/>
  <c r="X3247" i="2" l="1"/>
  <c r="X3250" i="2" s="1"/>
  <c r="Y3251" i="2" s="1"/>
  <c r="X3281" i="2"/>
  <c r="X3270" i="2"/>
  <c r="X3269" i="2"/>
  <c r="Z3279" i="2"/>
  <c r="X3258" i="2"/>
  <c r="X3259" i="2" s="1"/>
  <c r="X3257" i="2"/>
  <c r="X3262" i="2" s="1"/>
  <c r="X3260" i="2" l="1"/>
  <c r="X3261" i="2" s="1"/>
  <c r="X3264" i="2" s="1"/>
  <c r="Y3265" i="2" s="1"/>
  <c r="X3295" i="2"/>
  <c r="X3284" i="2"/>
  <c r="X3283" i="2"/>
  <c r="Z3293" i="2"/>
  <c r="X3272" i="2"/>
  <c r="X3273" i="2" s="1"/>
  <c r="X3274" i="2" s="1"/>
  <c r="X3271" i="2"/>
  <c r="X3276" i="2" s="1"/>
  <c r="X3275" i="2" l="1"/>
  <c r="X3278" i="2" s="1"/>
  <c r="Y3279" i="2" s="1"/>
  <c r="X3285" i="2"/>
  <c r="X3290" i="2" s="1"/>
  <c r="X3286" i="2"/>
  <c r="X3287" i="2" s="1"/>
  <c r="X3297" i="2"/>
  <c r="X3298" i="2"/>
  <c r="X3309" i="2"/>
  <c r="Z3307" i="2"/>
  <c r="X3300" i="2" l="1"/>
  <c r="X3301" i="2" s="1"/>
  <c r="X3302" i="2" s="1"/>
  <c r="X3299" i="2"/>
  <c r="X3304" i="2" s="1"/>
  <c r="X3323" i="2"/>
  <c r="Z3321" i="2"/>
  <c r="X3312" i="2"/>
  <c r="X3311" i="2"/>
  <c r="X3288" i="2"/>
  <c r="X3289" i="2" s="1"/>
  <c r="X3292" i="2" s="1"/>
  <c r="Y3293" i="2" s="1"/>
  <c r="X3303" i="2" l="1"/>
  <c r="X3306" i="2" s="1"/>
  <c r="Y3307" i="2" s="1"/>
  <c r="X3313" i="2"/>
  <c r="X3318" i="2" s="1"/>
  <c r="X3314" i="2"/>
  <c r="X3315" i="2" s="1"/>
  <c r="X3316" i="2" s="1"/>
  <c r="X3337" i="2"/>
  <c r="Z3335" i="2"/>
  <c r="X3326" i="2"/>
  <c r="X3325" i="2"/>
  <c r="X3351" i="2" l="1"/>
  <c r="Z3349" i="2"/>
  <c r="X3340" i="2"/>
  <c r="X3339" i="2"/>
  <c r="X3317" i="2"/>
  <c r="X3320" i="2" s="1"/>
  <c r="Y3321" i="2" s="1"/>
  <c r="X3328" i="2"/>
  <c r="X3329" i="2" s="1"/>
  <c r="X3327" i="2"/>
  <c r="X3332" i="2" s="1"/>
  <c r="X3330" i="2" l="1"/>
  <c r="X3331" i="2" s="1"/>
  <c r="X3334" i="2" s="1"/>
  <c r="Y3335" i="2" s="1"/>
  <c r="Z3363" i="2"/>
  <c r="X3354" i="2"/>
  <c r="X3365" i="2"/>
  <c r="X3353" i="2"/>
  <c r="X3342" i="2"/>
  <c r="X3343" i="2" s="1"/>
  <c r="X3344" i="2" s="1"/>
  <c r="X3341" i="2"/>
  <c r="X3346" i="2" s="1"/>
  <c r="X3345" i="2" l="1"/>
  <c r="X3348" i="2" s="1"/>
  <c r="Y3349" i="2" s="1"/>
  <c r="X3367" i="2"/>
  <c r="X3368" i="2"/>
  <c r="Z3377" i="2"/>
  <c r="X3379" i="2"/>
  <c r="X3356" i="2"/>
  <c r="X3357" i="2" s="1"/>
  <c r="X3358" i="2" s="1"/>
  <c r="X3355" i="2"/>
  <c r="X3360" i="2" s="1"/>
  <c r="X3359" i="2" l="1"/>
  <c r="X3362" i="2" s="1"/>
  <c r="Y3363" i="2" s="1"/>
  <c r="X3369" i="2"/>
  <c r="X3374" i="2" s="1"/>
  <c r="X3370" i="2"/>
  <c r="X3371" i="2" s="1"/>
  <c r="X3382" i="2"/>
  <c r="X3381" i="2"/>
  <c r="X3393" i="2"/>
  <c r="Z3391" i="2"/>
  <c r="X3395" i="2" l="1"/>
  <c r="Z3405" i="2"/>
  <c r="X3407" i="2"/>
  <c r="X3396" i="2"/>
  <c r="X3372" i="2"/>
  <c r="X3373" i="2" s="1"/>
  <c r="X3376" i="2" s="1"/>
  <c r="Y3377" i="2" s="1"/>
  <c r="X3383" i="2"/>
  <c r="X3388" i="2" s="1"/>
  <c r="X3384" i="2"/>
  <c r="X3385" i="2" l="1"/>
  <c r="X3386" i="2" s="1"/>
  <c r="X3387" i="2" s="1"/>
  <c r="X3390" i="2" s="1"/>
  <c r="Y3391" i="2" s="1"/>
  <c r="X3398" i="2"/>
  <c r="X3397" i="2"/>
  <c r="X3402" i="2" s="1"/>
  <c r="X3410" i="2"/>
  <c r="Z3419" i="2"/>
  <c r="X3409" i="2"/>
  <c r="X3421" i="2"/>
  <c r="X3412" i="2" l="1"/>
  <c r="X3411" i="2"/>
  <c r="X3416" i="2" s="1"/>
  <c r="X3399" i="2"/>
  <c r="X3400" i="2" s="1"/>
  <c r="X3401" i="2" s="1"/>
  <c r="X3404" i="2" s="1"/>
  <c r="Y3405" i="2" s="1"/>
  <c r="X3424" i="2"/>
  <c r="X3423" i="2"/>
  <c r="X3435" i="2"/>
  <c r="Z3433" i="2"/>
  <c r="X3425" i="2" l="1"/>
  <c r="X3430" i="2" s="1"/>
  <c r="X3426" i="2"/>
  <c r="X3413" i="2"/>
  <c r="X3414" i="2" s="1"/>
  <c r="X3415" i="2" s="1"/>
  <c r="X3418" i="2" s="1"/>
  <c r="Y3419" i="2" s="1"/>
  <c r="X3437" i="2"/>
  <c r="X3449" i="2"/>
  <c r="Z3447" i="2"/>
  <c r="X3438" i="2"/>
  <c r="X3440" i="2" l="1"/>
  <c r="X3439" i="2"/>
  <c r="X3444" i="2" s="1"/>
  <c r="Z3461" i="2"/>
  <c r="X3452" i="2"/>
  <c r="X3451" i="2"/>
  <c r="X3463" i="2"/>
  <c r="X3427" i="2"/>
  <c r="Z3475" i="2" l="1"/>
  <c r="X3465" i="2"/>
  <c r="X3466" i="2"/>
  <c r="X3477" i="2"/>
  <c r="X3454" i="2"/>
  <c r="X3453" i="2"/>
  <c r="X3458" i="2" s="1"/>
  <c r="X3441" i="2"/>
  <c r="X3442" i="2" s="1"/>
  <c r="X3443" i="2" s="1"/>
  <c r="X3446" i="2" s="1"/>
  <c r="Y3447" i="2" s="1"/>
  <c r="X3428" i="2"/>
  <c r="X3429" i="2" s="1"/>
  <c r="X3432" i="2" s="1"/>
  <c r="Y3433" i="2" s="1"/>
  <c r="X3468" i="2" l="1"/>
  <c r="X3467" i="2"/>
  <c r="X3472" i="2" s="1"/>
  <c r="X3455" i="2"/>
  <c r="X3456" i="2" s="1"/>
  <c r="X3457" i="2" s="1"/>
  <c r="X3460" i="2" s="1"/>
  <c r="Y3461" i="2" s="1"/>
  <c r="Z3489" i="2"/>
  <c r="X3480" i="2"/>
  <c r="X3479" i="2"/>
  <c r="X3491" i="2"/>
  <c r="X3493" i="2" l="1"/>
  <c r="X3505" i="2"/>
  <c r="Z3503" i="2"/>
  <c r="X3494" i="2"/>
  <c r="X3469" i="2"/>
  <c r="X3470" i="2" s="1"/>
  <c r="X3471" i="2" s="1"/>
  <c r="X3474" i="2" s="1"/>
  <c r="Y3475" i="2" s="1"/>
  <c r="X3482" i="2"/>
  <c r="X3481" i="2"/>
  <c r="X3486" i="2" s="1"/>
  <c r="X3495" i="2" l="1"/>
  <c r="X3500" i="2" s="1"/>
  <c r="X3496" i="2"/>
  <c r="X3507" i="2"/>
  <c r="X3508" i="2"/>
  <c r="X3519" i="2"/>
  <c r="Z3517" i="2"/>
  <c r="X3483" i="2"/>
  <c r="X3533" i="2" l="1"/>
  <c r="Z3531" i="2"/>
  <c r="X3521" i="2"/>
  <c r="X3522" i="2"/>
  <c r="X3497" i="2"/>
  <c r="X3498" i="2" s="1"/>
  <c r="X3499" i="2" s="1"/>
  <c r="X3502" i="2" s="1"/>
  <c r="Y3503" i="2" s="1"/>
  <c r="X3510" i="2"/>
  <c r="X3509" i="2"/>
  <c r="X3514" i="2" s="1"/>
  <c r="X3484" i="2"/>
  <c r="X3485" i="2" s="1"/>
  <c r="X3488" i="2" s="1"/>
  <c r="Y3489" i="2" s="1"/>
  <c r="Z3545" i="2" l="1"/>
  <c r="X3536" i="2"/>
  <c r="X3535" i="2"/>
  <c r="X3547" i="2"/>
  <c r="X3511" i="2"/>
  <c r="X3512" i="2" s="1"/>
  <c r="X3513" i="2" s="1"/>
  <c r="X3516" i="2" s="1"/>
  <c r="Y3517" i="2" s="1"/>
  <c r="X3524" i="2"/>
  <c r="X3523" i="2"/>
  <c r="X3528" i="2" s="1"/>
  <c r="X3525" i="2" l="1"/>
  <c r="X3537" i="2"/>
  <c r="X3542" i="2" s="1"/>
  <c r="X3538" i="2"/>
  <c r="X3549" i="2"/>
  <c r="X3561" i="2"/>
  <c r="Z3559" i="2"/>
  <c r="X3550" i="2"/>
  <c r="X3552" i="2" l="1"/>
  <c r="X3551" i="2"/>
  <c r="X3556" i="2" s="1"/>
  <c r="Z3573" i="2"/>
  <c r="X3564" i="2"/>
  <c r="X3575" i="2"/>
  <c r="X3563" i="2"/>
  <c r="X3526" i="2"/>
  <c r="X3527" i="2" s="1"/>
  <c r="X3530" i="2" s="1"/>
  <c r="Y3531" i="2" s="1"/>
  <c r="X3539" i="2"/>
  <c r="X3565" i="2" l="1"/>
  <c r="X3570" i="2" s="1"/>
  <c r="X3566" i="2"/>
  <c r="X3578" i="2"/>
  <c r="X3589" i="2"/>
  <c r="Z3587" i="2"/>
  <c r="X3577" i="2"/>
  <c r="X3553" i="2"/>
  <c r="X3540" i="2"/>
  <c r="X3541" i="2" s="1"/>
  <c r="X3544" i="2" s="1"/>
  <c r="Y3545" i="2" s="1"/>
  <c r="X3580" i="2" l="1"/>
  <c r="X3579" i="2"/>
  <c r="X3584" i="2" s="1"/>
  <c r="X3567" i="2"/>
  <c r="X3554" i="2"/>
  <c r="X3555" i="2" s="1"/>
  <c r="X3558" i="2" s="1"/>
  <c r="Y3559" i="2" s="1"/>
  <c r="X3592" i="2"/>
  <c r="X3591" i="2"/>
  <c r="X3603" i="2"/>
  <c r="Z3601" i="2"/>
  <c r="X3605" i="2" l="1"/>
  <c r="X3617" i="2"/>
  <c r="Z3615" i="2"/>
  <c r="X3606" i="2"/>
  <c r="X3581" i="2"/>
  <c r="X3568" i="2"/>
  <c r="X3569" i="2" s="1"/>
  <c r="X3572" i="2" s="1"/>
  <c r="Y3573" i="2" s="1"/>
  <c r="X3594" i="2"/>
  <c r="X3593" i="2"/>
  <c r="X3598" i="2" s="1"/>
  <c r="X3595" i="2" l="1"/>
  <c r="X3620" i="2"/>
  <c r="X3631" i="2"/>
  <c r="X3619" i="2"/>
  <c r="Z3629" i="2"/>
  <c r="X3582" i="2"/>
  <c r="X3583" i="2" s="1"/>
  <c r="X3586" i="2" s="1"/>
  <c r="Y3587" i="2" s="1"/>
  <c r="X3607" i="2"/>
  <c r="X3612" i="2" s="1"/>
  <c r="X3608" i="2"/>
  <c r="X3621" i="2" l="1"/>
  <c r="X3626" i="2" s="1"/>
  <c r="X3622" i="2"/>
  <c r="X3609" i="2"/>
  <c r="X3596" i="2"/>
  <c r="X3597" i="2" s="1"/>
  <c r="X3600" i="2" s="1"/>
  <c r="Y3601" i="2" s="1"/>
  <c r="X3634" i="2"/>
  <c r="X3645" i="2"/>
  <c r="Z3643" i="2"/>
  <c r="X3633" i="2"/>
  <c r="X3636" i="2" l="1"/>
  <c r="X3635" i="2"/>
  <c r="X3640" i="2" s="1"/>
  <c r="X3623" i="2"/>
  <c r="X3624" i="2" s="1"/>
  <c r="X3625" i="2" s="1"/>
  <c r="X3628" i="2" s="1"/>
  <c r="Y3629" i="2" s="1"/>
  <c r="X3647" i="2"/>
  <c r="X3659" i="2"/>
  <c r="Z3657" i="2"/>
  <c r="X3648" i="2"/>
  <c r="X3610" i="2"/>
  <c r="X3611" i="2" s="1"/>
  <c r="X3614" i="2" s="1"/>
  <c r="Y3615" i="2" s="1"/>
  <c r="Z3671" i="2" l="1"/>
  <c r="X3662" i="2"/>
  <c r="X3661" i="2"/>
  <c r="X3673" i="2"/>
  <c r="X3649" i="2"/>
  <c r="X3654" i="2" s="1"/>
  <c r="X3650" i="2"/>
  <c r="X3637" i="2"/>
  <c r="X3651" i="2" l="1"/>
  <c r="X3652" i="2" s="1"/>
  <c r="X3653" i="2" s="1"/>
  <c r="X3656" i="2" s="1"/>
  <c r="Y3657" i="2" s="1"/>
  <c r="X3664" i="2"/>
  <c r="X3663" i="2"/>
  <c r="X3668" i="2" s="1"/>
  <c r="X3638" i="2"/>
  <c r="X3639" i="2" s="1"/>
  <c r="X3642" i="2" s="1"/>
  <c r="Y3643" i="2" s="1"/>
  <c r="X3687" i="2"/>
  <c r="Z3685" i="2"/>
  <c r="X3676" i="2"/>
  <c r="X3675" i="2"/>
  <c r="X3678" i="2" l="1"/>
  <c r="X3677" i="2"/>
  <c r="X3682" i="2" s="1"/>
  <c r="Z3699" i="2"/>
  <c r="X3690" i="2"/>
  <c r="X3701" i="2"/>
  <c r="X3689" i="2"/>
  <c r="X3665" i="2"/>
  <c r="X3666" i="2" s="1"/>
  <c r="X3667" i="2" s="1"/>
  <c r="X3670" i="2" s="1"/>
  <c r="Y3671" i="2" s="1"/>
  <c r="X3715" i="2" l="1"/>
  <c r="Z3713" i="2"/>
  <c r="X3704" i="2"/>
  <c r="X3703" i="2"/>
  <c r="X3679" i="2"/>
  <c r="X3680" i="2" s="1"/>
  <c r="X3681" i="2" s="1"/>
  <c r="X3684" i="2" s="1"/>
  <c r="Y3685" i="2" s="1"/>
  <c r="X3692" i="2"/>
  <c r="X3691" i="2"/>
  <c r="X3696" i="2" s="1"/>
  <c r="Z3727" i="2" l="1"/>
  <c r="X3718" i="2"/>
  <c r="X3717" i="2"/>
  <c r="X3729" i="2"/>
  <c r="X3693" i="2"/>
  <c r="X3706" i="2"/>
  <c r="X3705" i="2"/>
  <c r="X3710" i="2" s="1"/>
  <c r="X3694" i="2" l="1"/>
  <c r="X3695" i="2" s="1"/>
  <c r="X3698" i="2" s="1"/>
  <c r="Y3699" i="2" s="1"/>
  <c r="X3707" i="2"/>
  <c r="X3708" i="2" s="1"/>
  <c r="X3709" i="2" s="1"/>
  <c r="X3712" i="2" s="1"/>
  <c r="Y3713" i="2" s="1"/>
  <c r="X3720" i="2"/>
  <c r="X3719" i="2"/>
  <c r="X3724" i="2" s="1"/>
  <c r="Z3741" i="2"/>
  <c r="X3732" i="2"/>
  <c r="X3743" i="2"/>
  <c r="X3731" i="2"/>
  <c r="Z3755" i="2" l="1"/>
  <c r="X3745" i="2"/>
  <c r="X3746" i="2"/>
  <c r="X3757" i="2"/>
  <c r="X3721" i="2"/>
  <c r="X3722" i="2" s="1"/>
  <c r="X3723" i="2" s="1"/>
  <c r="X3726" i="2" s="1"/>
  <c r="Y3727" i="2" s="1"/>
  <c r="X3734" i="2"/>
  <c r="X3733" i="2"/>
  <c r="X3738" i="2" s="1"/>
  <c r="X3748" i="2" l="1"/>
  <c r="X3747" i="2"/>
  <c r="X3752" i="2" s="1"/>
  <c r="X3735" i="2"/>
  <c r="X3771" i="2"/>
  <c r="X3760" i="2"/>
  <c r="X3759" i="2"/>
  <c r="Z3769" i="2"/>
  <c r="X3785" i="2" l="1"/>
  <c r="Z3783" i="2"/>
  <c r="X3774" i="2"/>
  <c r="X3773" i="2"/>
  <c r="X3749" i="2"/>
  <c r="X3761" i="2"/>
  <c r="X3766" i="2" s="1"/>
  <c r="X3762" i="2"/>
  <c r="X3736" i="2"/>
  <c r="X3737" i="2" s="1"/>
  <c r="X3740" i="2" s="1"/>
  <c r="Y3741" i="2" s="1"/>
  <c r="X3763" i="2" l="1"/>
  <c r="X3764" i="2" s="1"/>
  <c r="X3765" i="2" s="1"/>
  <c r="X3768" i="2" s="1"/>
  <c r="Y3769" i="2" s="1"/>
  <c r="Z3797" i="2"/>
  <c r="X3799" i="2"/>
  <c r="X3788" i="2"/>
  <c r="X3787" i="2"/>
  <c r="X3750" i="2"/>
  <c r="X3751" i="2" s="1"/>
  <c r="X3754" i="2" s="1"/>
  <c r="Y3755" i="2" s="1"/>
  <c r="X3775" i="2"/>
  <c r="X3780" i="2" s="1"/>
  <c r="X3776" i="2"/>
  <c r="X3777" i="2" l="1"/>
  <c r="X3778" i="2" s="1"/>
  <c r="X3779" i="2" s="1"/>
  <c r="X3782" i="2" s="1"/>
  <c r="Y3783" i="2" s="1"/>
  <c r="X3790" i="2"/>
  <c r="X3789" i="2"/>
  <c r="X3794" i="2" s="1"/>
  <c r="X3802" i="2"/>
  <c r="X3813" i="2"/>
  <c r="Z3811" i="2"/>
  <c r="X3801" i="2"/>
  <c r="X3791" i="2" l="1"/>
  <c r="X3792" i="2" s="1"/>
  <c r="X3793" i="2" s="1"/>
  <c r="X3796" i="2" s="1"/>
  <c r="Y3797" i="2" s="1"/>
  <c r="X3816" i="2"/>
  <c r="X3815" i="2"/>
  <c r="X3827" i="2"/>
  <c r="Z3825" i="2"/>
  <c r="X3804" i="2"/>
  <c r="X3803" i="2"/>
  <c r="X3808" i="2" s="1"/>
  <c r="X3805" i="2" l="1"/>
  <c r="X3806" i="2" s="1"/>
  <c r="X3807" i="2" s="1"/>
  <c r="X3810" i="2" s="1"/>
  <c r="Y3811" i="2" s="1"/>
  <c r="X3841" i="2"/>
  <c r="X3830" i="2"/>
  <c r="Z3839" i="2"/>
  <c r="X3829" i="2"/>
  <c r="X3817" i="2"/>
  <c r="X3822" i="2" s="1"/>
  <c r="X3818" i="2"/>
  <c r="X3831" i="2" l="1"/>
  <c r="X3836" i="2" s="1"/>
  <c r="X3832" i="2"/>
  <c r="Z3853" i="2"/>
  <c r="X3844" i="2"/>
  <c r="X3855" i="2"/>
  <c r="X3843" i="2"/>
  <c r="X3819" i="2"/>
  <c r="Z3867" i="2" l="1"/>
  <c r="X3869" i="2"/>
  <c r="X3858" i="2"/>
  <c r="X3857" i="2"/>
  <c r="X3846" i="2"/>
  <c r="X3845" i="2"/>
  <c r="X3850" i="2" s="1"/>
  <c r="X3833" i="2"/>
  <c r="X3834" i="2" s="1"/>
  <c r="X3835" i="2" s="1"/>
  <c r="X3838" i="2" s="1"/>
  <c r="Y3839" i="2" s="1"/>
  <c r="X3820" i="2"/>
  <c r="X3821" i="2" s="1"/>
  <c r="X3824" i="2" s="1"/>
  <c r="Y3825" i="2" s="1"/>
  <c r="X3847" i="2" l="1"/>
  <c r="X3871" i="2"/>
  <c r="Z3881" i="2"/>
  <c r="X3872" i="2"/>
  <c r="X3883" i="2"/>
  <c r="X3860" i="2"/>
  <c r="X3859" i="2"/>
  <c r="X3864" i="2" s="1"/>
  <c r="X3848" i="2" l="1"/>
  <c r="X3849" i="2" s="1"/>
  <c r="X3852" i="2" s="1"/>
  <c r="Y3853" i="2" s="1"/>
  <c r="Z3895" i="2"/>
  <c r="X3885" i="2"/>
  <c r="X3886" i="2"/>
  <c r="X3897" i="2"/>
  <c r="X3861" i="2"/>
  <c r="X3862" i="2" s="1"/>
  <c r="X3863" i="2" s="1"/>
  <c r="X3866" i="2" s="1"/>
  <c r="Y3867" i="2" s="1"/>
  <c r="X3873" i="2"/>
  <c r="X3878" i="2" s="1"/>
  <c r="X3874" i="2"/>
  <c r="X3875" i="2" l="1"/>
  <c r="X3876" i="2" s="1"/>
  <c r="X3877" i="2" s="1"/>
  <c r="X3880" i="2" s="1"/>
  <c r="Y3881" i="2" s="1"/>
  <c r="X3900" i="2"/>
  <c r="X3911" i="2"/>
  <c r="X3899" i="2"/>
  <c r="Z3909" i="2"/>
  <c r="X3888" i="2"/>
  <c r="X3887" i="2"/>
  <c r="X3892" i="2" s="1"/>
  <c r="X3901" i="2" l="1"/>
  <c r="X3906" i="2" s="1"/>
  <c r="X3902" i="2"/>
  <c r="X3889" i="2"/>
  <c r="X3890" i="2" s="1"/>
  <c r="X3891" i="2" s="1"/>
  <c r="X3894" i="2" s="1"/>
  <c r="Y3895" i="2" s="1"/>
  <c r="X3925" i="2"/>
  <c r="X3914" i="2"/>
  <c r="Z3923" i="2"/>
  <c r="X3913" i="2"/>
  <c r="X3903" i="2" l="1"/>
  <c r="X3904" i="2" s="1"/>
  <c r="X3905" i="2" s="1"/>
  <c r="X3908" i="2" s="1"/>
  <c r="Y3909" i="2" s="1"/>
  <c r="X3927" i="2"/>
  <c r="X3928" i="2"/>
  <c r="X3939" i="2"/>
  <c r="Z3937" i="2"/>
  <c r="X3916" i="2"/>
  <c r="X3915" i="2"/>
  <c r="X3920" i="2" s="1"/>
  <c r="X3953" i="2" l="1"/>
  <c r="Z3951" i="2"/>
  <c r="X3942" i="2"/>
  <c r="X3941" i="2"/>
  <c r="X3929" i="2"/>
  <c r="X3934" i="2" s="1"/>
  <c r="X3930" i="2"/>
  <c r="X3917" i="2"/>
  <c r="X3956" i="2" l="1"/>
  <c r="X3967" i="2"/>
  <c r="X3955" i="2"/>
  <c r="Z3965" i="2"/>
  <c r="X3931" i="2"/>
  <c r="X3932" i="2" s="1"/>
  <c r="X3933" i="2" s="1"/>
  <c r="X3936" i="2" s="1"/>
  <c r="Y3937" i="2" s="1"/>
  <c r="X3918" i="2"/>
  <c r="X3919" i="2" s="1"/>
  <c r="X3922" i="2" s="1"/>
  <c r="Y3923" i="2" s="1"/>
  <c r="X3944" i="2"/>
  <c r="X3943" i="2"/>
  <c r="X3948" i="2" s="1"/>
  <c r="X3945" i="2" l="1"/>
  <c r="X3946" i="2" s="1"/>
  <c r="X3947" i="2" s="1"/>
  <c r="X3950" i="2" s="1"/>
  <c r="Y3951" i="2" s="1"/>
  <c r="X3957" i="2"/>
  <c r="X3962" i="2" s="1"/>
  <c r="X3958" i="2"/>
  <c r="Z3979" i="2"/>
  <c r="X3969" i="2"/>
  <c r="X3981" i="2"/>
  <c r="X3970" i="2"/>
  <c r="X3972" i="2" l="1"/>
  <c r="X3971" i="2"/>
  <c r="X3976" i="2" s="1"/>
  <c r="X3995" i="2"/>
  <c r="Z3993" i="2"/>
  <c r="X3984" i="2"/>
  <c r="X3983" i="2"/>
  <c r="X3959" i="2"/>
  <c r="X3960" i="2" s="1"/>
  <c r="X3961" i="2" s="1"/>
  <c r="X3964" i="2" s="1"/>
  <c r="Y3965" i="2" s="1"/>
  <c r="X3973" i="2" l="1"/>
  <c r="X3974" i="2" s="1"/>
  <c r="X3975" i="2" s="1"/>
  <c r="X3978" i="2" s="1"/>
  <c r="Y3979" i="2" s="1"/>
  <c r="X3997" i="2"/>
  <c r="X3998" i="2"/>
  <c r="X4009" i="2"/>
  <c r="Z4007" i="2"/>
  <c r="X3985" i="2"/>
  <c r="X3990" i="2" s="1"/>
  <c r="X3986" i="2"/>
  <c r="X4012" i="2" l="1"/>
  <c r="X4023" i="2"/>
  <c r="X4011" i="2"/>
  <c r="Z4021" i="2"/>
  <c r="X4000" i="2"/>
  <c r="X3999" i="2"/>
  <c r="X4004" i="2" s="1"/>
  <c r="X3987" i="2"/>
  <c r="X3988" i="2" s="1"/>
  <c r="X3989" i="2" s="1"/>
  <c r="X3992" i="2" s="1"/>
  <c r="Y3993" i="2" s="1"/>
  <c r="X4013" i="2" l="1"/>
  <c r="X4018" i="2" s="1"/>
  <c r="X4014" i="2"/>
  <c r="X4001" i="2"/>
  <c r="X4002" i="2" s="1"/>
  <c r="X4003" i="2" s="1"/>
  <c r="X4006" i="2" s="1"/>
  <c r="Y4007" i="2" s="1"/>
  <c r="X4025" i="2"/>
  <c r="X4037" i="2"/>
  <c r="X4026" i="2"/>
  <c r="Z4035" i="2"/>
  <c r="X4027" i="2" l="1"/>
  <c r="X4032" i="2" s="1"/>
  <c r="X4028" i="2"/>
  <c r="Z4049" i="2"/>
  <c r="X4040" i="2"/>
  <c r="X4039" i="2"/>
  <c r="X4051" i="2"/>
  <c r="X4015" i="2"/>
  <c r="X4042" i="2" l="1"/>
  <c r="X4041" i="2"/>
  <c r="X4046" i="2" s="1"/>
  <c r="X4053" i="2"/>
  <c r="X4065" i="2"/>
  <c r="Z4063" i="2"/>
  <c r="X4054" i="2"/>
  <c r="X4029" i="2"/>
  <c r="X4016" i="2"/>
  <c r="X4017" i="2" s="1"/>
  <c r="X4020" i="2" s="1"/>
  <c r="Y4021" i="2" s="1"/>
  <c r="X4043" i="2" l="1"/>
  <c r="X4056" i="2"/>
  <c r="X4055" i="2"/>
  <c r="X4060" i="2" s="1"/>
  <c r="X4030" i="2"/>
  <c r="X4031" i="2" s="1"/>
  <c r="X4034" i="2" s="1"/>
  <c r="Y4035" i="2" s="1"/>
  <c r="Z4077" i="2"/>
  <c r="X4068" i="2"/>
  <c r="X4067" i="2"/>
  <c r="X4079" i="2"/>
  <c r="X4069" i="2" l="1"/>
  <c r="X4074" i="2" s="1"/>
  <c r="X4070" i="2"/>
  <c r="X4044" i="2"/>
  <c r="X4045" i="2" s="1"/>
  <c r="X4048" i="2" s="1"/>
  <c r="Y4049" i="2" s="1"/>
  <c r="X4093" i="2"/>
  <c r="X4082" i="2"/>
  <c r="X4081" i="2"/>
  <c r="Z4091" i="2"/>
  <c r="X4057" i="2"/>
  <c r="X4084" i="2" l="1"/>
  <c r="X4083" i="2"/>
  <c r="X4088" i="2" s="1"/>
  <c r="X4096" i="2"/>
  <c r="Z4105" i="2"/>
  <c r="X4107" i="2"/>
  <c r="X4095" i="2"/>
  <c r="X4058" i="2"/>
  <c r="X4059" i="2" s="1"/>
  <c r="X4062" i="2" s="1"/>
  <c r="Y4063" i="2" s="1"/>
  <c r="X4071" i="2"/>
  <c r="X4072" i="2" s="1"/>
  <c r="X4073" i="2" s="1"/>
  <c r="X4076" i="2" s="1"/>
  <c r="Y4077" i="2" s="1"/>
  <c r="X4110" i="2" l="1"/>
  <c r="X4121" i="2"/>
  <c r="Z4119" i="2"/>
  <c r="X4109" i="2"/>
  <c r="X4085" i="2"/>
  <c r="X4086" i="2" s="1"/>
  <c r="X4087" i="2" s="1"/>
  <c r="X4090" i="2" s="1"/>
  <c r="Y4091" i="2" s="1"/>
  <c r="X4097" i="2"/>
  <c r="X4102" i="2" s="1"/>
  <c r="X4098" i="2"/>
  <c r="X4124" i="2" l="1"/>
  <c r="X4123" i="2"/>
  <c r="X4135" i="2"/>
  <c r="Z4133" i="2"/>
  <c r="X4099" i="2"/>
  <c r="X4100" i="2" s="1"/>
  <c r="X4101" i="2" s="1"/>
  <c r="X4104" i="2" s="1"/>
  <c r="Y4105" i="2" s="1"/>
  <c r="X4112" i="2"/>
  <c r="X4111" i="2"/>
  <c r="X4116" i="2" s="1"/>
  <c r="X4125" i="2" l="1"/>
  <c r="X4130" i="2" s="1"/>
  <c r="X4126" i="2"/>
  <c r="X4113" i="2"/>
  <c r="Z4147" i="2"/>
  <c r="X4138" i="2"/>
  <c r="X4137" i="2"/>
  <c r="X4149" i="2"/>
  <c r="X4127" i="2" l="1"/>
  <c r="X4128" i="2" s="1"/>
  <c r="X4129" i="2" s="1"/>
  <c r="X4132" i="2" s="1"/>
  <c r="Y4133" i="2" s="1"/>
  <c r="X4140" i="2"/>
  <c r="X4139" i="2"/>
  <c r="X4144" i="2" s="1"/>
  <c r="X4114" i="2"/>
  <c r="X4115" i="2" s="1"/>
  <c r="X4118" i="2" s="1"/>
  <c r="Y4119" i="2" s="1"/>
  <c r="Z4161" i="2"/>
  <c r="X4163" i="2"/>
  <c r="X4152" i="2"/>
  <c r="X4151" i="2"/>
  <c r="X4153" i="2" l="1"/>
  <c r="X4158" i="2" s="1"/>
  <c r="X4154" i="2"/>
  <c r="X4141" i="2"/>
  <c r="Z4175" i="2"/>
  <c r="X4165" i="2"/>
  <c r="X4166" i="2"/>
  <c r="X4177" i="2"/>
  <c r="X4168" i="2" l="1"/>
  <c r="X4167" i="2"/>
  <c r="X4172" i="2" s="1"/>
  <c r="X4155" i="2"/>
  <c r="X4156" i="2" s="1"/>
  <c r="X4157" i="2" s="1"/>
  <c r="X4160" i="2" s="1"/>
  <c r="Y4161" i="2" s="1"/>
  <c r="X4142" i="2"/>
  <c r="X4143" i="2" s="1"/>
  <c r="X4146" i="2" s="1"/>
  <c r="Y4147" i="2" s="1"/>
  <c r="Z4189" i="2"/>
  <c r="X4180" i="2"/>
  <c r="X4179" i="2"/>
  <c r="X4191" i="2"/>
  <c r="X4169" i="2" l="1"/>
  <c r="X4181" i="2"/>
  <c r="X4186" i="2" s="1"/>
  <c r="X4182" i="2"/>
  <c r="Z4203" i="2"/>
  <c r="X4193" i="2"/>
  <c r="X4205" i="2"/>
  <c r="X4194" i="2"/>
  <c r="X4207" i="2" l="1"/>
  <c r="Z4217" i="2"/>
  <c r="X4219" i="2"/>
  <c r="X4208" i="2"/>
  <c r="X4170" i="2"/>
  <c r="X4171" i="2" s="1"/>
  <c r="X4174" i="2" s="1"/>
  <c r="Y4175" i="2" s="1"/>
  <c r="X4195" i="2"/>
  <c r="X4200" i="2" s="1"/>
  <c r="X4196" i="2"/>
  <c r="X4183" i="2"/>
  <c r="X4209" i="2" l="1"/>
  <c r="X4214" i="2" s="1"/>
  <c r="X4210" i="2"/>
  <c r="X4222" i="2"/>
  <c r="X4233" i="2"/>
  <c r="Z4231" i="2"/>
  <c r="X4221" i="2"/>
  <c r="X4184" i="2"/>
  <c r="X4185" i="2" s="1"/>
  <c r="X4188" i="2" s="1"/>
  <c r="Y4189" i="2" s="1"/>
  <c r="X4197" i="2"/>
  <c r="X4198" i="2" s="1"/>
  <c r="X4199" i="2" s="1"/>
  <c r="X4202" i="2" s="1"/>
  <c r="Y4203" i="2" s="1"/>
  <c r="X4224" i="2" l="1"/>
  <c r="X4223" i="2"/>
  <c r="X4228" i="2" s="1"/>
  <c r="X4211" i="2"/>
  <c r="X4212" i="2" s="1"/>
  <c r="X4213" i="2" s="1"/>
  <c r="X4216" i="2" s="1"/>
  <c r="Y4217" i="2" s="1"/>
  <c r="X4247" i="2"/>
  <c r="Z4245" i="2"/>
  <c r="X4236" i="2"/>
  <c r="X4235" i="2"/>
  <c r="X4261" i="2" l="1"/>
  <c r="Z4259" i="2"/>
  <c r="X4250" i="2"/>
  <c r="X4249" i="2"/>
  <c r="X4225" i="2"/>
  <c r="X4237" i="2"/>
  <c r="X4242" i="2" s="1"/>
  <c r="X4238" i="2"/>
  <c r="X4275" i="2" l="1"/>
  <c r="X4263" i="2"/>
  <c r="Z4273" i="2"/>
  <c r="X4264" i="2"/>
  <c r="X4226" i="2"/>
  <c r="X4227" i="2" s="1"/>
  <c r="X4230" i="2" s="1"/>
  <c r="Y4231" i="2" s="1"/>
  <c r="X4239" i="2"/>
  <c r="X4240" i="2" s="1"/>
  <c r="X4241" i="2" s="1"/>
  <c r="X4244" i="2" s="1"/>
  <c r="Y4245" i="2" s="1"/>
  <c r="X4251" i="2"/>
  <c r="X4256" i="2" s="1"/>
  <c r="X4252" i="2"/>
  <c r="X4278" i="2" l="1"/>
  <c r="Z4287" i="2"/>
  <c r="X4277" i="2"/>
  <c r="X4289" i="2"/>
  <c r="X4253" i="2"/>
  <c r="X4254" i="2" s="1"/>
  <c r="X4255" i="2" s="1"/>
  <c r="X4258" i="2" s="1"/>
  <c r="Y4259" i="2" s="1"/>
  <c r="X4265" i="2"/>
  <c r="X4270" i="2" s="1"/>
  <c r="X4266" i="2"/>
  <c r="X4267" i="2" l="1"/>
  <c r="X4268" i="2" s="1"/>
  <c r="X4269" i="2" s="1"/>
  <c r="X4272" i="2" s="1"/>
  <c r="Y4273" i="2" s="1"/>
  <c r="X4280" i="2"/>
  <c r="X4279" i="2"/>
  <c r="X4284" i="2" s="1"/>
  <c r="X4292" i="2"/>
  <c r="X4291" i="2"/>
  <c r="X4303" i="2"/>
  <c r="Z4301" i="2"/>
  <c r="X4306" i="2" l="1"/>
  <c r="X4317" i="2"/>
  <c r="Z4315" i="2"/>
  <c r="X4305" i="2"/>
  <c r="X4281" i="2"/>
  <c r="X4293" i="2"/>
  <c r="X4298" i="2" s="1"/>
  <c r="X4294" i="2"/>
  <c r="X4282" i="2" l="1"/>
  <c r="X4283" i="2" s="1"/>
  <c r="X4286" i="2" s="1"/>
  <c r="Y4287" i="2" s="1"/>
  <c r="X4320" i="2"/>
  <c r="X4319" i="2"/>
  <c r="Z4329" i="2"/>
  <c r="X4331" i="2"/>
  <c r="X4295" i="2"/>
  <c r="X4307" i="2"/>
  <c r="X4312" i="2" s="1"/>
  <c r="X4308" i="2"/>
  <c r="X4309" i="2" l="1"/>
  <c r="X4333" i="2"/>
  <c r="X4334" i="2"/>
  <c r="X4345" i="2"/>
  <c r="Z4343" i="2"/>
  <c r="X4296" i="2"/>
  <c r="X4297" i="2" s="1"/>
  <c r="X4300" i="2" s="1"/>
  <c r="Y4301" i="2" s="1"/>
  <c r="X4322" i="2"/>
  <c r="X4321" i="2"/>
  <c r="X4326" i="2" s="1"/>
  <c r="X4359" i="2" l="1"/>
  <c r="Z4357" i="2"/>
  <c r="X4348" i="2"/>
  <c r="X4347" i="2"/>
  <c r="X4336" i="2"/>
  <c r="X4335" i="2"/>
  <c r="X4340" i="2" s="1"/>
  <c r="X4323" i="2"/>
  <c r="X4310" i="2"/>
  <c r="X4311" i="2" s="1"/>
  <c r="X4314" i="2" s="1"/>
  <c r="Y4315" i="2" s="1"/>
  <c r="X4337" i="2" l="1"/>
  <c r="X4361" i="2"/>
  <c r="X4373" i="2"/>
  <c r="Z4371" i="2"/>
  <c r="X4362" i="2"/>
  <c r="X4324" i="2"/>
  <c r="X4325" i="2" s="1"/>
  <c r="X4328" i="2" s="1"/>
  <c r="Y4329" i="2" s="1"/>
  <c r="X4350" i="2"/>
  <c r="X4349" i="2"/>
  <c r="X4354" i="2" s="1"/>
  <c r="X4351" i="2" l="1"/>
  <c r="X4363" i="2"/>
  <c r="X4368" i="2" s="1"/>
  <c r="X4364" i="2"/>
  <c r="X4338" i="2"/>
  <c r="X4339" i="2" s="1"/>
  <c r="X4342" i="2" s="1"/>
  <c r="Y4343" i="2" s="1"/>
  <c r="X4376" i="2"/>
  <c r="X4375" i="2"/>
  <c r="Z4385" i="2"/>
  <c r="X4387" i="2"/>
  <c r="X4390" i="2" l="1"/>
  <c r="X4401" i="2"/>
  <c r="Z4399" i="2"/>
  <c r="X4389" i="2"/>
  <c r="X4352" i="2"/>
  <c r="X4353" i="2" s="1"/>
  <c r="X4356" i="2" s="1"/>
  <c r="Y4357" i="2" s="1"/>
  <c r="X4377" i="2"/>
  <c r="X4382" i="2" s="1"/>
  <c r="X4378" i="2"/>
  <c r="X4365" i="2"/>
  <c r="X4366" i="2" l="1"/>
  <c r="X4367" i="2" s="1"/>
  <c r="X4370" i="2" s="1"/>
  <c r="Y4371" i="2" s="1"/>
  <c r="X4403" i="2"/>
  <c r="X4415" i="2"/>
  <c r="Z4413" i="2"/>
  <c r="X4404" i="2"/>
  <c r="X4379" i="2"/>
  <c r="X4392" i="2"/>
  <c r="X4391" i="2"/>
  <c r="X4396" i="2" s="1"/>
  <c r="X4380" i="2" l="1"/>
  <c r="X4381" i="2" s="1"/>
  <c r="X4384" i="2" s="1"/>
  <c r="Y4385" i="2" s="1"/>
  <c r="X4405" i="2"/>
  <c r="X4410" i="2" s="1"/>
  <c r="X4406" i="2"/>
  <c r="X4393" i="2"/>
  <c r="Z4427" i="2"/>
  <c r="X4418" i="2"/>
  <c r="X4417" i="2"/>
  <c r="X4429" i="2"/>
  <c r="X4419" i="2" l="1"/>
  <c r="X4424" i="2" s="1"/>
  <c r="X4420" i="2"/>
  <c r="X4431" i="2"/>
  <c r="Z4441" i="2"/>
  <c r="X4443" i="2"/>
  <c r="X4432" i="2"/>
  <c r="X4394" i="2"/>
  <c r="X4395" i="2" s="1"/>
  <c r="X4398" i="2" s="1"/>
  <c r="Y4399" i="2" s="1"/>
  <c r="X4407" i="2"/>
  <c r="X4408" i="2" l="1"/>
  <c r="X4409" i="2" s="1"/>
  <c r="X4412" i="2" s="1"/>
  <c r="Y4413" i="2" s="1"/>
  <c r="X4421" i="2"/>
  <c r="X4434" i="2"/>
  <c r="X4433" i="2"/>
  <c r="X4438" i="2" s="1"/>
  <c r="X4446" i="2"/>
  <c r="Z4455" i="2"/>
  <c r="X4445" i="2"/>
  <c r="X4457" i="2"/>
  <c r="X4471" i="2" l="1"/>
  <c r="X4460" i="2"/>
  <c r="X4459" i="2"/>
  <c r="Z4469" i="2"/>
  <c r="X4447" i="2"/>
  <c r="X4452" i="2" s="1"/>
  <c r="X4448" i="2"/>
  <c r="X4435" i="2"/>
  <c r="X4422" i="2"/>
  <c r="X4423" i="2" s="1"/>
  <c r="X4426" i="2" s="1"/>
  <c r="Y4427" i="2" s="1"/>
  <c r="Z4483" i="2" l="1"/>
  <c r="X4474" i="2"/>
  <c r="X4473" i="2"/>
  <c r="X4485" i="2"/>
  <c r="X4449" i="2"/>
  <c r="X4436" i="2"/>
  <c r="X4437" i="2" s="1"/>
  <c r="X4440" i="2" s="1"/>
  <c r="Y4441" i="2" s="1"/>
  <c r="X4461" i="2"/>
  <c r="X4466" i="2" s="1"/>
  <c r="X4462" i="2"/>
  <c r="X4463" i="2" l="1"/>
  <c r="X4450" i="2"/>
  <c r="X4451" i="2" s="1"/>
  <c r="X4454" i="2" s="1"/>
  <c r="Y4455" i="2" s="1"/>
  <c r="X4475" i="2"/>
  <c r="X4480" i="2" s="1"/>
  <c r="X4476" i="2"/>
  <c r="X4487" i="2"/>
  <c r="X4488" i="2"/>
  <c r="Z4497" i="2"/>
  <c r="X4499" i="2"/>
  <c r="X4490" i="2" l="1"/>
  <c r="X4489" i="2"/>
  <c r="X4494" i="2" s="1"/>
  <c r="X4513" i="2"/>
  <c r="X4502" i="2"/>
  <c r="Z4511" i="2"/>
  <c r="X4501" i="2"/>
  <c r="X4477" i="2"/>
  <c r="X4464" i="2"/>
  <c r="X4465" i="2" s="1"/>
  <c r="X4468" i="2" s="1"/>
  <c r="Y4469" i="2" s="1"/>
  <c r="X4491" i="2" l="1"/>
  <c r="X4503" i="2"/>
  <c r="X4508" i="2" s="1"/>
  <c r="X4504" i="2"/>
  <c r="X4527" i="2"/>
  <c r="X4516" i="2"/>
  <c r="X4515" i="2"/>
  <c r="Z4525" i="2"/>
  <c r="X4478" i="2"/>
  <c r="X4479" i="2" s="1"/>
  <c r="X4482" i="2" s="1"/>
  <c r="Y4483" i="2" s="1"/>
  <c r="X4505" i="2" l="1"/>
  <c r="X4529" i="2"/>
  <c r="X4541" i="2"/>
  <c r="Z4539" i="2"/>
  <c r="X4530" i="2"/>
  <c r="X4492" i="2"/>
  <c r="X4493" i="2" s="1"/>
  <c r="X4496" i="2" s="1"/>
  <c r="Y4497" i="2" s="1"/>
  <c r="X4517" i="2"/>
  <c r="X4522" i="2" s="1"/>
  <c r="X4518" i="2"/>
  <c r="X4532" i="2" l="1"/>
  <c r="X4531" i="2"/>
  <c r="X4536" i="2" s="1"/>
  <c r="X4506" i="2"/>
  <c r="X4507" i="2" s="1"/>
  <c r="X4510" i="2" s="1"/>
  <c r="Y4511" i="2" s="1"/>
  <c r="X4519" i="2"/>
  <c r="Z4553" i="2"/>
  <c r="X4543" i="2"/>
  <c r="X4555" i="2"/>
  <c r="X4544" i="2"/>
  <c r="X4545" i="2" l="1"/>
  <c r="X4550" i="2" s="1"/>
  <c r="X4546" i="2"/>
  <c r="X4557" i="2"/>
  <c r="X4558" i="2"/>
  <c r="Z4567" i="2"/>
  <c r="X4569" i="2"/>
  <c r="X4520" i="2"/>
  <c r="X4521" i="2" s="1"/>
  <c r="X4524" i="2" s="1"/>
  <c r="Y4525" i="2" s="1"/>
  <c r="X4533" i="2"/>
  <c r="X4534" i="2" l="1"/>
  <c r="X4535" i="2" s="1"/>
  <c r="X4538" i="2" s="1"/>
  <c r="Y4539" i="2" s="1"/>
  <c r="X4571" i="2"/>
  <c r="Z4581" i="2"/>
  <c r="X4583" i="2"/>
  <c r="X4572" i="2"/>
  <c r="X4547" i="2"/>
  <c r="X4559" i="2"/>
  <c r="X4564" i="2" s="1"/>
  <c r="X4560" i="2"/>
  <c r="X4573" i="2" l="1"/>
  <c r="X4578" i="2" s="1"/>
  <c r="X4574" i="2"/>
  <c r="Z4595" i="2"/>
  <c r="X4586" i="2"/>
  <c r="X4585" i="2"/>
  <c r="X4597" i="2"/>
  <c r="X4561" i="2"/>
  <c r="X4548" i="2"/>
  <c r="X4549" i="2" s="1"/>
  <c r="X4552" i="2" s="1"/>
  <c r="Y4553" i="2" s="1"/>
  <c r="X4600" i="2" l="1"/>
  <c r="Z4609" i="2"/>
  <c r="X4599" i="2"/>
  <c r="X4611" i="2"/>
  <c r="X4575" i="2"/>
  <c r="X4587" i="2"/>
  <c r="X4592" i="2" s="1"/>
  <c r="X4588" i="2"/>
  <c r="X4562" i="2"/>
  <c r="X4563" i="2" s="1"/>
  <c r="X4566" i="2" s="1"/>
  <c r="Y4567" i="2" s="1"/>
  <c r="X4589" i="2" l="1"/>
  <c r="X4576" i="2"/>
  <c r="X4577" i="2" s="1"/>
  <c r="X4580" i="2" s="1"/>
  <c r="Y4581" i="2" s="1"/>
  <c r="X4601" i="2"/>
  <c r="X4606" i="2" s="1"/>
  <c r="X4602" i="2"/>
  <c r="X4613" i="2"/>
  <c r="X4625" i="2"/>
  <c r="X4614" i="2"/>
  <c r="Z4623" i="2"/>
  <c r="X4590" i="2" l="1"/>
  <c r="X4591" i="2" s="1"/>
  <c r="X4594" i="2" s="1"/>
  <c r="Y4595" i="2" s="1"/>
  <c r="X4603" i="2"/>
  <c r="X4616" i="2"/>
  <c r="X4615" i="2"/>
  <c r="X4620" i="2" s="1"/>
  <c r="X4628" i="2"/>
  <c r="X4627" i="2"/>
  <c r="Z4637" i="2"/>
  <c r="X4639" i="2"/>
  <c r="X4617" i="2" l="1"/>
  <c r="X4641" i="2"/>
  <c r="Z4651" i="2"/>
  <c r="X4642" i="2"/>
  <c r="X4653" i="2"/>
  <c r="X4629" i="2"/>
  <c r="X4634" i="2" s="1"/>
  <c r="X4630" i="2"/>
  <c r="X4604" i="2"/>
  <c r="X4605" i="2" s="1"/>
  <c r="X4608" i="2" s="1"/>
  <c r="Y4609" i="2" s="1"/>
  <c r="X4643" i="2" l="1"/>
  <c r="X4648" i="2" s="1"/>
  <c r="X4644" i="2"/>
  <c r="X4631" i="2"/>
  <c r="X4656" i="2"/>
  <c r="Z4665" i="2"/>
  <c r="X4655" i="2"/>
  <c r="X4667" i="2"/>
  <c r="X4618" i="2"/>
  <c r="X4619" i="2" s="1"/>
  <c r="X4622" i="2" s="1"/>
  <c r="Y4623" i="2" s="1"/>
  <c r="X4645" i="2" l="1"/>
  <c r="X4657" i="2"/>
  <c r="X4662" i="2" s="1"/>
  <c r="X4658" i="2"/>
  <c r="X4681" i="2"/>
  <c r="X4670" i="2"/>
  <c r="Z4679" i="2"/>
  <c r="X4669" i="2"/>
  <c r="X4632" i="2"/>
  <c r="X4633" i="2" s="1"/>
  <c r="X4636" i="2" s="1"/>
  <c r="Y4637" i="2" s="1"/>
  <c r="X4695" i="2" l="1"/>
  <c r="X4684" i="2"/>
  <c r="X4683" i="2"/>
  <c r="Z4693" i="2"/>
  <c r="X4646" i="2"/>
  <c r="X4647" i="2" s="1"/>
  <c r="X4650" i="2" s="1"/>
  <c r="Y4651" i="2" s="1"/>
  <c r="X4671" i="2"/>
  <c r="X4676" i="2" s="1"/>
  <c r="X4672" i="2"/>
  <c r="X4659" i="2"/>
  <c r="X4685" i="2" l="1"/>
  <c r="X4690" i="2" s="1"/>
  <c r="X4686" i="2"/>
  <c r="Z4707" i="2"/>
  <c r="X4698" i="2"/>
  <c r="X4697" i="2"/>
  <c r="X4709" i="2"/>
  <c r="X4660" i="2"/>
  <c r="X4661" i="2" s="1"/>
  <c r="X4664" i="2" s="1"/>
  <c r="Y4665" i="2" s="1"/>
  <c r="X4673" i="2"/>
  <c r="X4712" i="2" l="1"/>
  <c r="Z4721" i="2"/>
  <c r="X4711" i="2"/>
  <c r="X4723" i="2"/>
  <c r="X4687" i="2"/>
  <c r="X4674" i="2"/>
  <c r="X4675" i="2" s="1"/>
  <c r="X4678" i="2" s="1"/>
  <c r="Y4679" i="2" s="1"/>
  <c r="X4700" i="2"/>
  <c r="X4699" i="2"/>
  <c r="X4704" i="2" s="1"/>
  <c r="X4726" i="2" l="1"/>
  <c r="X4725" i="2"/>
  <c r="X4737" i="2"/>
  <c r="Z4735" i="2"/>
  <c r="X4701" i="2"/>
  <c r="X4688" i="2"/>
  <c r="X4689" i="2" s="1"/>
  <c r="X4692" i="2" s="1"/>
  <c r="Y4693" i="2" s="1"/>
  <c r="X4713" i="2"/>
  <c r="X4718" i="2" s="1"/>
  <c r="X4714" i="2"/>
  <c r="X4702" i="2" l="1"/>
  <c r="X4703" i="2" s="1"/>
  <c r="X4706" i="2" s="1"/>
  <c r="Y4707" i="2" s="1"/>
  <c r="X4751" i="2"/>
  <c r="X4740" i="2"/>
  <c r="X4739" i="2"/>
  <c r="Z4749" i="2"/>
  <c r="X4715" i="2"/>
  <c r="X4727" i="2"/>
  <c r="X4732" i="2" s="1"/>
  <c r="X4728" i="2"/>
  <c r="X4729" i="2" l="1"/>
  <c r="X4754" i="2"/>
  <c r="X4753" i="2"/>
  <c r="X4765" i="2"/>
  <c r="Z4763" i="2"/>
  <c r="X4716" i="2"/>
  <c r="X4717" i="2" s="1"/>
  <c r="X4720" i="2" s="1"/>
  <c r="Y4721" i="2" s="1"/>
  <c r="X4741" i="2"/>
  <c r="X4746" i="2" s="1"/>
  <c r="X4742" i="2"/>
  <c r="X4756" i="2" l="1"/>
  <c r="X4755" i="2"/>
  <c r="X4760" i="2" s="1"/>
  <c r="X4779" i="2"/>
  <c r="X4768" i="2"/>
  <c r="Z4777" i="2"/>
  <c r="X4767" i="2"/>
  <c r="X4730" i="2"/>
  <c r="X4731" i="2" s="1"/>
  <c r="X4734" i="2" s="1"/>
  <c r="Y4735" i="2" s="1"/>
  <c r="X4743" i="2"/>
  <c r="X4757" i="2" l="1"/>
  <c r="X4744" i="2"/>
  <c r="X4745" i="2" s="1"/>
  <c r="X4748" i="2" s="1"/>
  <c r="Y4749" i="2" s="1"/>
  <c r="X4769" i="2"/>
  <c r="X4774" i="2" s="1"/>
  <c r="X4770" i="2"/>
  <c r="X4781" i="2"/>
  <c r="X4793" i="2"/>
  <c r="X4782" i="2"/>
  <c r="Z4791" i="2"/>
  <c r="X4771" i="2" l="1"/>
  <c r="X4758" i="2"/>
  <c r="X4759" i="2" s="1"/>
  <c r="X4762" i="2" s="1"/>
  <c r="Y4763" i="2" s="1"/>
  <c r="X4783" i="2"/>
  <c r="X4788" i="2" s="1"/>
  <c r="X4784" i="2"/>
  <c r="X4807" i="2"/>
  <c r="X4795" i="2"/>
  <c r="Z4805" i="2"/>
  <c r="X4796" i="2"/>
  <c r="X4785" i="2" l="1"/>
  <c r="X4772" i="2"/>
  <c r="X4773" i="2" s="1"/>
  <c r="X4776" i="2" s="1"/>
  <c r="Y4777" i="2" s="1"/>
  <c r="X4821" i="2"/>
  <c r="Z4819" i="2"/>
  <c r="X4810" i="2"/>
  <c r="X4809" i="2"/>
  <c r="X4797" i="2"/>
  <c r="X4802" i="2" s="1"/>
  <c r="X4798" i="2"/>
  <c r="X4799" i="2" l="1"/>
  <c r="X4824" i="2"/>
  <c r="Z4833" i="2"/>
  <c r="X4823" i="2"/>
  <c r="X4835" i="2"/>
  <c r="X4786" i="2"/>
  <c r="X4787" i="2" s="1"/>
  <c r="X4790" i="2" s="1"/>
  <c r="Y4791" i="2" s="1"/>
  <c r="X4812" i="2"/>
  <c r="X4811" i="2"/>
  <c r="X4816" i="2" s="1"/>
  <c r="X4813" i="2" l="1"/>
  <c r="X4837" i="2"/>
  <c r="X4849" i="2"/>
  <c r="X4838" i="2"/>
  <c r="Z4847" i="2"/>
  <c r="X4800" i="2"/>
  <c r="X4801" i="2" s="1"/>
  <c r="X4804" i="2" s="1"/>
  <c r="Y4805" i="2" s="1"/>
  <c r="X4825" i="2"/>
  <c r="X4830" i="2" s="1"/>
  <c r="X4826" i="2"/>
  <c r="X4863" i="2" l="1"/>
  <c r="X4852" i="2"/>
  <c r="X4851" i="2"/>
  <c r="Z4861" i="2"/>
  <c r="X4814" i="2"/>
  <c r="X4815" i="2" s="1"/>
  <c r="X4818" i="2" s="1"/>
  <c r="Y4819" i="2" s="1"/>
  <c r="X4827" i="2"/>
  <c r="X4839" i="2"/>
  <c r="X4844" i="2" s="1"/>
  <c r="X4840" i="2"/>
  <c r="X4841" i="2" l="1"/>
  <c r="X4853" i="2"/>
  <c r="X4858" i="2" s="1"/>
  <c r="X4854" i="2"/>
  <c r="Z4875" i="2"/>
  <c r="X4866" i="2"/>
  <c r="X4865" i="2"/>
  <c r="X4877" i="2"/>
  <c r="X4828" i="2"/>
  <c r="X4829" i="2" s="1"/>
  <c r="X4832" i="2" s="1"/>
  <c r="Y4833" i="2" s="1"/>
  <c r="X4842" i="2" l="1"/>
  <c r="X4843" i="2" s="1"/>
  <c r="X4846" i="2" s="1"/>
  <c r="Y4847" i="2" s="1"/>
  <c r="X4868" i="2"/>
  <c r="X4867" i="2"/>
  <c r="X4872" i="2" s="1"/>
  <c r="Z4889" i="2"/>
  <c r="X4891" i="2"/>
  <c r="X4880" i="2"/>
  <c r="X4879" i="2"/>
  <c r="X4855" i="2"/>
  <c r="X4856" i="2" l="1"/>
  <c r="X4857" i="2" s="1"/>
  <c r="X4860" i="2" s="1"/>
  <c r="Y4861" i="2" s="1"/>
  <c r="X4869" i="2"/>
  <c r="X4894" i="2"/>
  <c r="X4893" i="2"/>
  <c r="X4905" i="2"/>
  <c r="Z4903" i="2"/>
  <c r="X4881" i="2"/>
  <c r="X4886" i="2" s="1"/>
  <c r="X4882" i="2"/>
  <c r="X4896" i="2" l="1"/>
  <c r="X4895" i="2"/>
  <c r="X4900" i="2" s="1"/>
  <c r="X4883" i="2"/>
  <c r="Z4917" i="2"/>
  <c r="X4919" i="2"/>
  <c r="X4908" i="2"/>
  <c r="X4907" i="2"/>
  <c r="X4870" i="2"/>
  <c r="X4871" i="2" s="1"/>
  <c r="X4874" i="2" s="1"/>
  <c r="Y4875" i="2" s="1"/>
  <c r="X4933" i="2" l="1"/>
  <c r="Z4931" i="2"/>
  <c r="X4922" i="2"/>
  <c r="X4921" i="2"/>
  <c r="X4897" i="2"/>
  <c r="X4910" i="2"/>
  <c r="X4909" i="2"/>
  <c r="X4914" i="2" s="1"/>
  <c r="X4884" i="2"/>
  <c r="X4885" i="2" s="1"/>
  <c r="X4888" i="2" s="1"/>
  <c r="Y4889" i="2" s="1"/>
  <c r="Z4945" i="2" l="1"/>
  <c r="X4935" i="2"/>
  <c r="X4947" i="2"/>
  <c r="X4936" i="2"/>
  <c r="X4898" i="2"/>
  <c r="X4899" i="2" s="1"/>
  <c r="X4902" i="2" s="1"/>
  <c r="Y4903" i="2" s="1"/>
  <c r="X4911" i="2"/>
  <c r="X4924" i="2"/>
  <c r="X4923" i="2"/>
  <c r="X4928" i="2" s="1"/>
  <c r="X4925" i="2" l="1"/>
  <c r="Z4959" i="2"/>
  <c r="X4949" i="2"/>
  <c r="X4961" i="2"/>
  <c r="X4950" i="2"/>
  <c r="X4938" i="2"/>
  <c r="X4937" i="2"/>
  <c r="X4942" i="2" s="1"/>
  <c r="X4912" i="2"/>
  <c r="X4913" i="2" s="1"/>
  <c r="X4916" i="2" s="1"/>
  <c r="Y4917" i="2" s="1"/>
  <c r="X4926" i="2" l="1"/>
  <c r="X4927" i="2" s="1"/>
  <c r="X4930" i="2" s="1"/>
  <c r="Y4931" i="2" s="1"/>
  <c r="X4939" i="2"/>
  <c r="X4964" i="2"/>
  <c r="X4963" i="2"/>
  <c r="Z4973" i="2"/>
  <c r="X4975" i="2"/>
  <c r="X4951" i="2"/>
  <c r="X4956" i="2" s="1"/>
  <c r="X4952" i="2"/>
  <c r="X4953" i="2" l="1"/>
  <c r="X4965" i="2"/>
  <c r="X4970" i="2" s="1"/>
  <c r="X4966" i="2"/>
  <c r="Z4987" i="2"/>
  <c r="X4978" i="2"/>
  <c r="X4977" i="2"/>
  <c r="X4989" i="2"/>
  <c r="X4940" i="2"/>
  <c r="X4941" i="2" s="1"/>
  <c r="X4944" i="2" s="1"/>
  <c r="Y4945" i="2" s="1"/>
  <c r="X4954" i="2" l="1"/>
  <c r="X4955" i="2" s="1"/>
  <c r="X4958" i="2" s="1"/>
  <c r="Y4959" i="2" s="1"/>
  <c r="X4980" i="2"/>
  <c r="X4979" i="2"/>
  <c r="X4984" i="2" s="1"/>
  <c r="X4991" i="2"/>
  <c r="X5003" i="2"/>
  <c r="X4992" i="2"/>
  <c r="Z5001" i="2"/>
  <c r="X4967" i="2"/>
  <c r="X5006" i="2" l="1"/>
  <c r="X5005" i="2"/>
  <c r="X5017" i="2"/>
  <c r="Z5015" i="2"/>
  <c r="X4981" i="2"/>
  <c r="X4968" i="2"/>
  <c r="X4969" i="2" s="1"/>
  <c r="X4972" i="2" s="1"/>
  <c r="Y4973" i="2" s="1"/>
  <c r="X4993" i="2"/>
  <c r="X4998" i="2" s="1"/>
  <c r="X4994" i="2"/>
  <c r="X4982" i="2" l="1"/>
  <c r="X4983" i="2" s="1"/>
  <c r="X4986" i="2" s="1"/>
  <c r="Y4987" i="2" s="1"/>
  <c r="X5007" i="2"/>
  <c r="X5012" i="2" s="1"/>
  <c r="X5008" i="2"/>
  <c r="X4995" i="2"/>
  <c r="Z5029" i="2"/>
  <c r="X5031" i="2"/>
  <c r="X5020" i="2"/>
  <c r="X5019" i="2"/>
  <c r="X4996" i="2" l="1"/>
  <c r="X4997" i="2" s="1"/>
  <c r="X5000" i="2" s="1"/>
  <c r="Y5001" i="2" s="1"/>
  <c r="X5021" i="2"/>
  <c r="X5026" i="2" s="1"/>
  <c r="X5022" i="2"/>
  <c r="X5045" i="2"/>
  <c r="Z5043" i="2"/>
  <c r="X5034" i="2"/>
  <c r="X5033" i="2"/>
  <c r="X5009" i="2"/>
  <c r="X5048" i="2" l="1"/>
  <c r="Z5057" i="2"/>
  <c r="X5047" i="2"/>
  <c r="X5059" i="2"/>
  <c r="X5010" i="2"/>
  <c r="X5011" i="2" s="1"/>
  <c r="X5014" i="2" s="1"/>
  <c r="Y5015" i="2" s="1"/>
  <c r="X5036" i="2"/>
  <c r="X5035" i="2"/>
  <c r="X5040" i="2" s="1"/>
  <c r="X5023" i="2"/>
  <c r="X5049" i="2" l="1"/>
  <c r="X5054" i="2" s="1"/>
  <c r="X5050" i="2"/>
  <c r="X5024" i="2"/>
  <c r="X5025" i="2" s="1"/>
  <c r="X5028" i="2" s="1"/>
  <c r="Y5029" i="2" s="1"/>
  <c r="X5037" i="2"/>
  <c r="X5062" i="2"/>
  <c r="Z5071" i="2"/>
  <c r="X5061" i="2"/>
  <c r="X5073" i="2"/>
  <c r="X5063" i="2" l="1"/>
  <c r="X5068" i="2" s="1"/>
  <c r="X5064" i="2"/>
  <c r="X5038" i="2"/>
  <c r="X5039" i="2" s="1"/>
  <c r="X5042" i="2" s="1"/>
  <c r="Y5043" i="2" s="1"/>
  <c r="X5075" i="2"/>
  <c r="Z5085" i="2"/>
  <c r="X5087" i="2"/>
  <c r="X5076" i="2"/>
  <c r="X5051" i="2"/>
  <c r="X5077" i="2" l="1"/>
  <c r="X5082" i="2" s="1"/>
  <c r="X5078" i="2"/>
  <c r="X5065" i="2"/>
  <c r="X5052" i="2"/>
  <c r="X5053" i="2" s="1"/>
  <c r="X5056" i="2" s="1"/>
  <c r="Y5057" i="2" s="1"/>
  <c r="X5090" i="2"/>
  <c r="X5089" i="2"/>
  <c r="X5101" i="2"/>
  <c r="Z5099" i="2"/>
  <c r="X5066" i="2" l="1"/>
  <c r="X5067" i="2" s="1"/>
  <c r="X5070" i="2" s="1"/>
  <c r="Y5071" i="2" s="1"/>
  <c r="X5104" i="2"/>
  <c r="Z5113" i="2"/>
  <c r="X5103" i="2"/>
  <c r="X5115" i="2"/>
  <c r="X5079" i="2"/>
  <c r="X5092" i="2"/>
  <c r="X5091" i="2"/>
  <c r="X5096" i="2" s="1"/>
  <c r="X5105" i="2" l="1"/>
  <c r="X5110" i="2" s="1"/>
  <c r="X5106" i="2"/>
  <c r="X5093" i="2"/>
  <c r="X5129" i="2"/>
  <c r="X5118" i="2"/>
  <c r="Z5127" i="2"/>
  <c r="X5117" i="2"/>
  <c r="X5080" i="2"/>
  <c r="X5081" i="2" s="1"/>
  <c r="X5084" i="2" s="1"/>
  <c r="Y5085" i="2" s="1"/>
  <c r="X5094" i="2" l="1"/>
  <c r="X5095" i="2" s="1"/>
  <c r="X5098" i="2" s="1"/>
  <c r="Y5099" i="2" s="1"/>
  <c r="X5132" i="2"/>
  <c r="X5131" i="2"/>
  <c r="Z5141" i="2"/>
  <c r="X5143" i="2"/>
  <c r="X5107" i="2"/>
  <c r="X5119" i="2"/>
  <c r="X5124" i="2" s="1"/>
  <c r="X5120" i="2"/>
  <c r="X5121" i="2" l="1"/>
  <c r="X5145" i="2"/>
  <c r="X5157" i="2"/>
  <c r="Z5155" i="2"/>
  <c r="X5146" i="2"/>
  <c r="X5108" i="2"/>
  <c r="X5109" i="2" s="1"/>
  <c r="X5112" i="2" s="1"/>
  <c r="Y5113" i="2" s="1"/>
  <c r="X5133" i="2"/>
  <c r="X5138" i="2" s="1"/>
  <c r="X5134" i="2"/>
  <c r="X5122" i="2" l="1"/>
  <c r="X5123" i="2" s="1"/>
  <c r="X5126" i="2" s="1"/>
  <c r="Y5127" i="2" s="1"/>
  <c r="X5135" i="2"/>
  <c r="X5148" i="2"/>
  <c r="X5147" i="2"/>
  <c r="X5152" i="2" s="1"/>
  <c r="Z5169" i="2"/>
  <c r="X5159" i="2"/>
  <c r="X5171" i="2"/>
  <c r="X5160" i="2"/>
  <c r="Z5183" i="2" l="1"/>
  <c r="X5173" i="2"/>
  <c r="X5185" i="2"/>
  <c r="X5174" i="2"/>
  <c r="X5136" i="2"/>
  <c r="X5137" i="2" s="1"/>
  <c r="X5140" i="2" s="1"/>
  <c r="Y5141" i="2" s="1"/>
  <c r="X5149" i="2"/>
  <c r="X5161" i="2"/>
  <c r="X5166" i="2" s="1"/>
  <c r="X5162" i="2"/>
  <c r="X5176" i="2" l="1"/>
  <c r="X5175" i="2"/>
  <c r="X5180" i="2" s="1"/>
  <c r="X5163" i="2"/>
  <c r="X5188" i="2"/>
  <c r="X5187" i="2"/>
  <c r="Z5197" i="2"/>
  <c r="X5199" i="2"/>
  <c r="X5150" i="2"/>
  <c r="X5151" i="2" s="1"/>
  <c r="X5154" i="2" s="1"/>
  <c r="Y5155" i="2" s="1"/>
  <c r="X5177" i="2" l="1"/>
  <c r="X5189" i="2"/>
  <c r="X5194" i="2" s="1"/>
  <c r="X5190" i="2"/>
  <c r="X5201" i="2"/>
  <c r="Z5211" i="2"/>
  <c r="X5202" i="2"/>
  <c r="X5213" i="2"/>
  <c r="X5164" i="2"/>
  <c r="X5165" i="2" s="1"/>
  <c r="X5168" i="2" s="1"/>
  <c r="Y5169" i="2" s="1"/>
  <c r="X5178" i="2" l="1"/>
  <c r="X5179" i="2" s="1"/>
  <c r="X5182" i="2" s="1"/>
  <c r="Y5183" i="2" s="1"/>
  <c r="X5204" i="2"/>
  <c r="X5203" i="2"/>
  <c r="X5208" i="2" s="1"/>
  <c r="X5215" i="2"/>
  <c r="X5227" i="2"/>
  <c r="X5216" i="2"/>
  <c r="Z5225" i="2"/>
  <c r="X5191" i="2"/>
  <c r="X5230" i="2" l="1"/>
  <c r="Z5239" i="2"/>
  <c r="X5229" i="2"/>
  <c r="X5241" i="2"/>
  <c r="X5205" i="2"/>
  <c r="X5192" i="2"/>
  <c r="X5193" i="2" s="1"/>
  <c r="X5196" i="2" s="1"/>
  <c r="Y5197" i="2" s="1"/>
  <c r="X5217" i="2"/>
  <c r="X5222" i="2" s="1"/>
  <c r="X5218" i="2"/>
  <c r="X5206" i="2" l="1"/>
  <c r="X5207" i="2" s="1"/>
  <c r="X5210" i="2" s="1"/>
  <c r="Y5211" i="2" s="1"/>
  <c r="X5219" i="2"/>
  <c r="X5231" i="2"/>
  <c r="X5236" i="2" s="1"/>
  <c r="X5232" i="2"/>
  <c r="X5255" i="2"/>
  <c r="X5244" i="2"/>
  <c r="X5243" i="2"/>
  <c r="Z5253" i="2"/>
  <c r="X5246" i="2" l="1"/>
  <c r="X5245" i="2"/>
  <c r="X5250" i="2" s="1"/>
  <c r="X5233" i="2"/>
  <c r="X5258" i="2"/>
  <c r="X5269" i="2"/>
  <c r="Z5267" i="2"/>
  <c r="X5257" i="2"/>
  <c r="X5220" i="2"/>
  <c r="X5221" i="2" s="1"/>
  <c r="X5224" i="2" s="1"/>
  <c r="Y5225" i="2" s="1"/>
  <c r="X5247" i="2" l="1"/>
  <c r="X5271" i="2"/>
  <c r="X5272" i="2"/>
  <c r="Z5281" i="2"/>
  <c r="X5283" i="2"/>
  <c r="X5234" i="2"/>
  <c r="X5235" i="2" s="1"/>
  <c r="X5238" i="2" s="1"/>
  <c r="Y5239" i="2" s="1"/>
  <c r="X5259" i="2"/>
  <c r="X5264" i="2" s="1"/>
  <c r="X5260" i="2"/>
  <c r="X5297" i="2" l="1"/>
  <c r="X5286" i="2"/>
  <c r="Z5295" i="2"/>
  <c r="X5285" i="2"/>
  <c r="X5273" i="2"/>
  <c r="X5278" i="2" s="1"/>
  <c r="X5274" i="2"/>
  <c r="X5248" i="2"/>
  <c r="X5249" i="2" s="1"/>
  <c r="X5252" i="2" s="1"/>
  <c r="Y5253" i="2" s="1"/>
  <c r="X5261" i="2"/>
  <c r="Z5309" i="2" l="1"/>
  <c r="X5311" i="2"/>
  <c r="X5300" i="2"/>
  <c r="X5299" i="2"/>
  <c r="X5262" i="2"/>
  <c r="X5263" i="2" s="1"/>
  <c r="X5266" i="2" s="1"/>
  <c r="Y5267" i="2" s="1"/>
  <c r="X5275" i="2"/>
  <c r="X5288" i="2"/>
  <c r="X5287" i="2"/>
  <c r="X5292" i="2" s="1"/>
  <c r="X5276" i="2" l="1"/>
  <c r="X5277" i="2" s="1"/>
  <c r="X5280" i="2" s="1"/>
  <c r="Y5281" i="2" s="1"/>
  <c r="X5313" i="2"/>
  <c r="X5325" i="2"/>
  <c r="Z5323" i="2"/>
  <c r="X5314" i="2"/>
  <c r="X5289" i="2"/>
  <c r="X5301" i="2"/>
  <c r="X5306" i="2" s="1"/>
  <c r="X5302" i="2"/>
  <c r="X5290" i="2" l="1"/>
  <c r="X5291" i="2" s="1"/>
  <c r="X5294" i="2" s="1"/>
  <c r="Y5295" i="2" s="1"/>
  <c r="X5316" i="2"/>
  <c r="X5315" i="2"/>
  <c r="X5320" i="2" s="1"/>
  <c r="X5303" i="2"/>
  <c r="Z5337" i="2"/>
  <c r="X5327" i="2"/>
  <c r="X5339" i="2"/>
  <c r="X5328" i="2"/>
  <c r="X5341" i="2" l="1"/>
  <c r="X5353" i="2"/>
  <c r="X5342" i="2"/>
  <c r="Z5351" i="2"/>
  <c r="X5317" i="2"/>
  <c r="X5304" i="2"/>
  <c r="X5305" i="2" s="1"/>
  <c r="X5308" i="2" s="1"/>
  <c r="Y5309" i="2" s="1"/>
  <c r="X5329" i="2"/>
  <c r="X5334" i="2" s="1"/>
  <c r="X5330" i="2"/>
  <c r="X5344" i="2" l="1"/>
  <c r="X5343" i="2"/>
  <c r="X5348" i="2" s="1"/>
  <c r="X5318" i="2"/>
  <c r="X5319" i="2" s="1"/>
  <c r="X5322" i="2" s="1"/>
  <c r="Y5323" i="2" s="1"/>
  <c r="Z5365" i="2"/>
  <c r="X5367" i="2"/>
  <c r="X5356" i="2"/>
  <c r="X5355" i="2"/>
  <c r="X5331" i="2"/>
  <c r="X5332" i="2" l="1"/>
  <c r="X5333" i="2" s="1"/>
  <c r="X5336" i="2" s="1"/>
  <c r="Y5337" i="2" s="1"/>
  <c r="X5381" i="2"/>
  <c r="Z5379" i="2"/>
  <c r="X5370" i="2"/>
  <c r="X5369" i="2"/>
  <c r="X5345" i="2"/>
  <c r="X5357" i="2"/>
  <c r="X5362" i="2" s="1"/>
  <c r="X5358" i="2"/>
  <c r="X5359" i="2" l="1"/>
  <c r="X5372" i="2"/>
  <c r="X5371" i="2"/>
  <c r="X5376" i="2" s="1"/>
  <c r="Z5393" i="2"/>
  <c r="X5383" i="2"/>
  <c r="X5395" i="2"/>
  <c r="X5384" i="2"/>
  <c r="X5346" i="2"/>
  <c r="X5347" i="2" s="1"/>
  <c r="X5350" i="2" s="1"/>
  <c r="Y5351" i="2" s="1"/>
  <c r="X5385" i="2" l="1"/>
  <c r="X5390" i="2" s="1"/>
  <c r="X5386" i="2"/>
  <c r="X5360" i="2"/>
  <c r="X5361" i="2" s="1"/>
  <c r="X5364" i="2" s="1"/>
  <c r="Y5365" i="2" s="1"/>
  <c r="Z5407" i="2"/>
  <c r="X5397" i="2"/>
  <c r="X5409" i="2"/>
  <c r="X5398" i="2"/>
  <c r="X5373" i="2"/>
  <c r="X5387" i="2" l="1"/>
  <c r="X5374" i="2"/>
  <c r="X5375" i="2" s="1"/>
  <c r="X5378" i="2" s="1"/>
  <c r="Y5379" i="2" s="1"/>
  <c r="X5399" i="2"/>
  <c r="X5404" i="2" s="1"/>
  <c r="X5400" i="2"/>
  <c r="X5411" i="2"/>
  <c r="Z5421" i="2"/>
  <c r="X5423" i="2"/>
  <c r="X5412" i="2"/>
  <c r="X5426" i="2" l="1"/>
  <c r="X5425" i="2"/>
  <c r="Z5435" i="2"/>
  <c r="X5437" i="2"/>
  <c r="X5401" i="2"/>
  <c r="X5388" i="2"/>
  <c r="X5389" i="2" s="1"/>
  <c r="X5392" i="2" s="1"/>
  <c r="Y5393" i="2" s="1"/>
  <c r="X5413" i="2"/>
  <c r="X5418" i="2" s="1"/>
  <c r="X5414" i="2"/>
  <c r="X5402" i="2" l="1"/>
  <c r="X5403" i="2" s="1"/>
  <c r="X5406" i="2" s="1"/>
  <c r="Y5407" i="2" s="1"/>
  <c r="X5428" i="2"/>
  <c r="X5427" i="2"/>
  <c r="X5432" i="2" s="1"/>
  <c r="X5415" i="2"/>
  <c r="X5439" i="2"/>
  <c r="X5451" i="2"/>
  <c r="X5440" i="2"/>
  <c r="Z5449" i="2"/>
  <c r="X5416" i="2" l="1"/>
  <c r="X5417" i="2" s="1"/>
  <c r="X5420" i="2" s="1"/>
  <c r="Y5421" i="2" s="1"/>
  <c r="X5454" i="2"/>
  <c r="X5453" i="2"/>
  <c r="X5465" i="2"/>
  <c r="Z5463" i="2"/>
  <c r="X5441" i="2"/>
  <c r="X5446" i="2" s="1"/>
  <c r="X5442" i="2"/>
  <c r="X5429" i="2"/>
  <c r="X5430" i="2" l="1"/>
  <c r="X5431" i="2" s="1"/>
  <c r="X5434" i="2" s="1"/>
  <c r="Y5435" i="2" s="1"/>
  <c r="Z5477" i="2"/>
  <c r="X5479" i="2"/>
  <c r="X5468" i="2"/>
  <c r="X5467" i="2"/>
  <c r="X5443" i="2"/>
  <c r="X5456" i="2"/>
  <c r="X5455" i="2"/>
  <c r="X5460" i="2" s="1"/>
  <c r="X5457" i="2" l="1"/>
  <c r="X5469" i="2"/>
  <c r="X5474" i="2" s="1"/>
  <c r="X5470" i="2"/>
  <c r="X5444" i="2"/>
  <c r="X5445" i="2" s="1"/>
  <c r="X5448" i="2" s="1"/>
  <c r="Y5449" i="2" s="1"/>
  <c r="Z5491" i="2"/>
  <c r="X5493" i="2"/>
  <c r="X5482" i="2"/>
  <c r="X5481" i="2"/>
  <c r="X5458" i="2" l="1"/>
  <c r="X5459" i="2" s="1"/>
  <c r="X5462" i="2" s="1"/>
  <c r="Y5463" i="2" s="1"/>
  <c r="X5483" i="2"/>
  <c r="X5488" i="2" s="1"/>
  <c r="X5484" i="2"/>
  <c r="X5496" i="2"/>
  <c r="Z5505" i="2"/>
  <c r="X5507" i="2"/>
  <c r="X5495" i="2"/>
  <c r="X5471" i="2"/>
  <c r="X5472" i="2" l="1"/>
  <c r="X5473" i="2" s="1"/>
  <c r="X5476" i="2" s="1"/>
  <c r="Y5477" i="2" s="1"/>
  <c r="X5509" i="2"/>
  <c r="X5510" i="2"/>
  <c r="X5521" i="2"/>
  <c r="Z5519" i="2"/>
  <c r="X5497" i="2"/>
  <c r="X5502" i="2" s="1"/>
  <c r="X5498" i="2"/>
  <c r="X5485" i="2"/>
  <c r="X5486" i="2" l="1"/>
  <c r="X5487" i="2" s="1"/>
  <c r="X5490" i="2" s="1"/>
  <c r="Y5491" i="2" s="1"/>
  <c r="X5524" i="2"/>
  <c r="X5535" i="2"/>
  <c r="X5523" i="2"/>
  <c r="Z5533" i="2"/>
  <c r="X5512" i="2"/>
  <c r="X5511" i="2"/>
  <c r="X5516" i="2" s="1"/>
  <c r="X5499" i="2"/>
  <c r="X5500" i="2" l="1"/>
  <c r="X5501" i="2" s="1"/>
  <c r="X5504" i="2" s="1"/>
  <c r="Y5505" i="2" s="1"/>
  <c r="X5513" i="2"/>
  <c r="X5526" i="2"/>
  <c r="X5525" i="2"/>
  <c r="X5530" i="2" s="1"/>
  <c r="Z5547" i="2"/>
  <c r="X5538" i="2"/>
  <c r="X5549" i="2"/>
  <c r="X5537" i="2"/>
  <c r="X5540" i="2" l="1"/>
  <c r="X5539" i="2"/>
  <c r="X5544" i="2" s="1"/>
  <c r="X5514" i="2"/>
  <c r="X5515" i="2" s="1"/>
  <c r="X5518" i="2" s="1"/>
  <c r="Y5519" i="2" s="1"/>
  <c r="X5551" i="2"/>
  <c r="X5563" i="2"/>
  <c r="X5552" i="2"/>
  <c r="Z5561" i="2"/>
  <c r="X5527" i="2"/>
  <c r="X5541" i="2" l="1"/>
  <c r="X5553" i="2"/>
  <c r="X5558" i="2" s="1"/>
  <c r="X5554" i="2"/>
  <c r="X5565" i="2"/>
  <c r="X5566" i="2"/>
  <c r="Z5575" i="2"/>
  <c r="X5577" i="2"/>
  <c r="X5528" i="2"/>
  <c r="X5529" i="2" s="1"/>
  <c r="X5532" i="2" s="1"/>
  <c r="Y5533" i="2" s="1"/>
  <c r="X5567" i="2" l="1"/>
  <c r="X5572" i="2" s="1"/>
  <c r="X5568" i="2"/>
  <c r="X5542" i="2"/>
  <c r="X5543" i="2" s="1"/>
  <c r="X5546" i="2" s="1"/>
  <c r="Y5547" i="2" s="1"/>
  <c r="X5579" i="2"/>
  <c r="X5591" i="2"/>
  <c r="X5580" i="2"/>
  <c r="Z5589" i="2"/>
  <c r="X5555" i="2"/>
  <c r="X5582" i="2" l="1"/>
  <c r="X5581" i="2"/>
  <c r="X5586" i="2" s="1"/>
  <c r="X5556" i="2"/>
  <c r="X5557" i="2" s="1"/>
  <c r="X5560" i="2" s="1"/>
  <c r="Y5561" i="2" s="1"/>
  <c r="X5593" i="2"/>
  <c r="X5605" i="2"/>
  <c r="X5594" i="2"/>
  <c r="Z5603" i="2"/>
  <c r="X5569" i="2"/>
  <c r="X5583" i="2" l="1"/>
  <c r="X5570" i="2"/>
  <c r="X5571" i="2" s="1"/>
  <c r="X5574" i="2" s="1"/>
  <c r="Y5575" i="2" s="1"/>
  <c r="X5619" i="2"/>
  <c r="Z5617" i="2"/>
  <c r="X5608" i="2"/>
  <c r="X5607" i="2"/>
  <c r="X5596" i="2"/>
  <c r="X5595" i="2"/>
  <c r="X5600" i="2" s="1"/>
  <c r="X5597" i="2" l="1"/>
  <c r="X5622" i="2"/>
  <c r="Z5631" i="2"/>
  <c r="X5621" i="2"/>
  <c r="X5584" i="2"/>
  <c r="X5585" i="2" s="1"/>
  <c r="X5588" i="2" s="1"/>
  <c r="Y5589" i="2" s="1"/>
  <c r="X5609" i="2"/>
  <c r="X5614" i="2" s="1"/>
  <c r="X5610" i="2"/>
  <c r="X5623" i="2" l="1"/>
  <c r="X5628" i="2" s="1"/>
  <c r="X5624" i="2"/>
  <c r="X5611" i="2"/>
  <c r="X5598" i="2"/>
  <c r="X5599" i="2" s="1"/>
  <c r="X5602" i="2" s="1"/>
  <c r="Y5603" i="2" s="1"/>
  <c r="X5625" i="2" l="1"/>
  <c r="X5612" i="2"/>
  <c r="X5613" i="2" s="1"/>
  <c r="X5616" i="2" s="1"/>
  <c r="Y5617" i="2" s="1"/>
  <c r="X5626" i="2" l="1"/>
  <c r="X5627" i="2" s="1"/>
  <c r="X5630" i="2" s="1"/>
  <c r="Y5631" i="2" s="1"/>
  <c r="Z18" i="2" s="1"/>
  <c r="Z19" i="2" s="1"/>
  <c r="H40" i="3" l="1"/>
  <c r="Z20" i="2"/>
  <c r="AA33" i="2"/>
  <c r="G44" i="3" l="1"/>
  <c r="G41" i="3" s="1"/>
  <c r="G40" i="3"/>
  <c r="F44" i="3" s="1"/>
  <c r="F41" i="3" s="1"/>
  <c r="AC45" i="2"/>
  <c r="AA36" i="2"/>
  <c r="AA47" i="2"/>
  <c r="AA35" i="2"/>
  <c r="AA37" i="2" l="1"/>
  <c r="AA42" i="2" s="1"/>
  <c r="AA38" i="2"/>
  <c r="AA39" i="2" s="1"/>
  <c r="AC59" i="2"/>
  <c r="AA50" i="2"/>
  <c r="AA61" i="2"/>
  <c r="AA49" i="2"/>
  <c r="AA40" i="2" l="1"/>
  <c r="AA41" i="2" s="1"/>
  <c r="AA44" i="2" s="1"/>
  <c r="AB45" i="2" s="1"/>
  <c r="AA75" i="2"/>
  <c r="AA63" i="2"/>
  <c r="AA64" i="2"/>
  <c r="AC73" i="2"/>
  <c r="AA51" i="2"/>
  <c r="AA56" i="2" s="1"/>
  <c r="AA52" i="2"/>
  <c r="AA53" i="2" s="1"/>
  <c r="AA54" i="2" s="1"/>
  <c r="AA55" i="2" l="1"/>
  <c r="AA58" i="2" s="1"/>
  <c r="AB59" i="2" s="1"/>
  <c r="AA89" i="2"/>
  <c r="AA78" i="2"/>
  <c r="AA77" i="2"/>
  <c r="AC87" i="2"/>
  <c r="AA65" i="2"/>
  <c r="AA70" i="2" s="1"/>
  <c r="AA66" i="2"/>
  <c r="AA67" i="2" s="1"/>
  <c r="AC101" i="2" l="1"/>
  <c r="AA92" i="2"/>
  <c r="AA91" i="2"/>
  <c r="AA103" i="2"/>
  <c r="AA68" i="2"/>
  <c r="AA69" i="2" s="1"/>
  <c r="AA72" i="2" s="1"/>
  <c r="AB73" i="2" s="1"/>
  <c r="AA80" i="2"/>
  <c r="AA81" i="2" s="1"/>
  <c r="AA82" i="2" s="1"/>
  <c r="AA79" i="2"/>
  <c r="AA84" i="2" s="1"/>
  <c r="AA83" i="2" l="1"/>
  <c r="AA86" i="2" s="1"/>
  <c r="AB87" i="2" s="1"/>
  <c r="AA94" i="2"/>
  <c r="AA95" i="2" s="1"/>
  <c r="AA93" i="2"/>
  <c r="AA98" i="2" s="1"/>
  <c r="AA106" i="2"/>
  <c r="AC115" i="2"/>
  <c r="AA105" i="2"/>
  <c r="AA117" i="2"/>
  <c r="AA107" i="2" l="1"/>
  <c r="AA112" i="2" s="1"/>
  <c r="AA108" i="2"/>
  <c r="AA109" i="2" s="1"/>
  <c r="AA110" i="2" s="1"/>
  <c r="AA96" i="2"/>
  <c r="AA97" i="2" s="1"/>
  <c r="AA100" i="2" s="1"/>
  <c r="AB101" i="2" s="1"/>
  <c r="AA120" i="2"/>
  <c r="AA119" i="2"/>
  <c r="AC129" i="2"/>
  <c r="AA131" i="2"/>
  <c r="AA111" i="2" l="1"/>
  <c r="AA114" i="2" s="1"/>
  <c r="AB115" i="2" s="1"/>
  <c r="AA121" i="2"/>
  <c r="AA126" i="2" s="1"/>
  <c r="AA122" i="2"/>
  <c r="AA123" i="2" s="1"/>
  <c r="AA124" i="2" s="1"/>
  <c r="AA134" i="2"/>
  <c r="AA145" i="2"/>
  <c r="AA133" i="2"/>
  <c r="AC143" i="2"/>
  <c r="AA125" i="2" l="1"/>
  <c r="AA128" i="2" s="1"/>
  <c r="AB129" i="2" s="1"/>
  <c r="AA136" i="2"/>
  <c r="AA137" i="2" s="1"/>
  <c r="AA138" i="2" s="1"/>
  <c r="AA135" i="2"/>
  <c r="AA140" i="2" s="1"/>
  <c r="AA159" i="2"/>
  <c r="AC157" i="2"/>
  <c r="AA148" i="2"/>
  <c r="AA147" i="2"/>
  <c r="AA139" i="2" l="1"/>
  <c r="AA142" i="2" s="1"/>
  <c r="AB143" i="2" s="1"/>
  <c r="AA150" i="2"/>
  <c r="AA151" i="2" s="1"/>
  <c r="AA152" i="2" s="1"/>
  <c r="AA149" i="2"/>
  <c r="AA154" i="2" s="1"/>
  <c r="AA173" i="2"/>
  <c r="AC171" i="2"/>
  <c r="AA162" i="2"/>
  <c r="AA161" i="2"/>
  <c r="AA153" i="2" l="1"/>
  <c r="AA156" i="2" s="1"/>
  <c r="AB157" i="2" s="1"/>
  <c r="AA164" i="2"/>
  <c r="AA165" i="2" s="1"/>
  <c r="AA166" i="2" s="1"/>
  <c r="AA163" i="2"/>
  <c r="AA168" i="2" s="1"/>
  <c r="AA175" i="2"/>
  <c r="AA187" i="2"/>
  <c r="AC185" i="2"/>
  <c r="AA176" i="2"/>
  <c r="AA167" i="2" l="1"/>
  <c r="AA170" i="2" s="1"/>
  <c r="AB171" i="2" s="1"/>
  <c r="AA177" i="2"/>
  <c r="AA182" i="2" s="1"/>
  <c r="AA178" i="2"/>
  <c r="AA179" i="2" s="1"/>
  <c r="AA180" i="2" s="1"/>
  <c r="AA189" i="2"/>
  <c r="AA201" i="2"/>
  <c r="AC199" i="2"/>
  <c r="AA190" i="2"/>
  <c r="AA191" i="2" l="1"/>
  <c r="AA196" i="2" s="1"/>
  <c r="AA192" i="2"/>
  <c r="AA193" i="2" s="1"/>
  <c r="AA215" i="2"/>
  <c r="AA204" i="2"/>
  <c r="AA203" i="2"/>
  <c r="AC213" i="2"/>
  <c r="AA181" i="2"/>
  <c r="AA184" i="2" s="1"/>
  <c r="AB185" i="2" s="1"/>
  <c r="AA206" i="2" l="1"/>
  <c r="AA207" i="2" s="1"/>
  <c r="AA205" i="2"/>
  <c r="AA210" i="2" s="1"/>
  <c r="AA218" i="2"/>
  <c r="AC227" i="2"/>
  <c r="AA229" i="2"/>
  <c r="AA217" i="2"/>
  <c r="AA194" i="2"/>
  <c r="AA195" i="2" s="1"/>
  <c r="AA198" i="2" s="1"/>
  <c r="AB199" i="2" s="1"/>
  <c r="AA208" i="2" l="1"/>
  <c r="AA209" i="2" s="1"/>
  <c r="AA212" i="2" s="1"/>
  <c r="AB213" i="2" s="1"/>
  <c r="AA243" i="2"/>
  <c r="AA231" i="2"/>
  <c r="AC241" i="2"/>
  <c r="AA232" i="2"/>
  <c r="AA219" i="2"/>
  <c r="AA224" i="2" s="1"/>
  <c r="AA220" i="2"/>
  <c r="AA221" i="2" s="1"/>
  <c r="AA222" i="2" l="1"/>
  <c r="AA223" i="2" s="1"/>
  <c r="AA226" i="2" s="1"/>
  <c r="AB227" i="2" s="1"/>
  <c r="AA233" i="2"/>
  <c r="AA238" i="2" s="1"/>
  <c r="AA234" i="2"/>
  <c r="AA235" i="2" s="1"/>
  <c r="AC255" i="2"/>
  <c r="AA246" i="2"/>
  <c r="AA257" i="2"/>
  <c r="AA245" i="2"/>
  <c r="AA260" i="2" l="1"/>
  <c r="AA259" i="2"/>
  <c r="AA271" i="2"/>
  <c r="AC269" i="2"/>
  <c r="AA247" i="2"/>
  <c r="AA252" i="2" s="1"/>
  <c r="AA248" i="2"/>
  <c r="AA249" i="2" s="1"/>
  <c r="AA250" i="2" s="1"/>
  <c r="AA236" i="2"/>
  <c r="AA237" i="2" s="1"/>
  <c r="AA240" i="2" s="1"/>
  <c r="AB241" i="2" s="1"/>
  <c r="AA261" i="2" l="1"/>
  <c r="AA266" i="2" s="1"/>
  <c r="AA262" i="2"/>
  <c r="AA263" i="2" s="1"/>
  <c r="AC283" i="2"/>
  <c r="AA273" i="2"/>
  <c r="AA285" i="2"/>
  <c r="AA274" i="2"/>
  <c r="AA251" i="2"/>
  <c r="AA254" i="2" s="1"/>
  <c r="AB255" i="2" s="1"/>
  <c r="AA287" i="2" l="1"/>
  <c r="AC297" i="2"/>
  <c r="AA299" i="2"/>
  <c r="AA288" i="2"/>
  <c r="AA264" i="2"/>
  <c r="AA265" i="2" s="1"/>
  <c r="AA268" i="2" s="1"/>
  <c r="AB269" i="2" s="1"/>
  <c r="AA275" i="2"/>
  <c r="AA280" i="2" s="1"/>
  <c r="AA276" i="2"/>
  <c r="AA277" i="2" s="1"/>
  <c r="AA278" i="2" l="1"/>
  <c r="AA279" i="2" s="1"/>
  <c r="AA282" i="2" s="1"/>
  <c r="AB283" i="2" s="1"/>
  <c r="AA289" i="2"/>
  <c r="AA294" i="2" s="1"/>
  <c r="AA290" i="2"/>
  <c r="AA291" i="2" s="1"/>
  <c r="AC311" i="2"/>
  <c r="AA302" i="2"/>
  <c r="AA313" i="2"/>
  <c r="AA301" i="2"/>
  <c r="AA327" i="2" l="1"/>
  <c r="AA315" i="2"/>
  <c r="AC325" i="2"/>
  <c r="AA316" i="2"/>
  <c r="AA304" i="2"/>
  <c r="AA305" i="2" s="1"/>
  <c r="AA306" i="2" s="1"/>
  <c r="AA303" i="2"/>
  <c r="AA308" i="2" s="1"/>
  <c r="AA292" i="2"/>
  <c r="AA293" i="2" s="1"/>
  <c r="AA296" i="2" s="1"/>
  <c r="AB297" i="2" s="1"/>
  <c r="AA307" i="2" l="1"/>
  <c r="AA310" i="2" s="1"/>
  <c r="AB311" i="2" s="1"/>
  <c r="AA329" i="2"/>
  <c r="AC339" i="2"/>
  <c r="AA341" i="2"/>
  <c r="AA330" i="2"/>
  <c r="AA317" i="2"/>
  <c r="AA322" i="2" s="1"/>
  <c r="AA318" i="2"/>
  <c r="AA319" i="2" s="1"/>
  <c r="AA331" i="2" l="1"/>
  <c r="AA336" i="2" s="1"/>
  <c r="AA332" i="2"/>
  <c r="AA333" i="2" s="1"/>
  <c r="AA334" i="2" s="1"/>
  <c r="AA320" i="2"/>
  <c r="AA321" i="2" s="1"/>
  <c r="AA324" i="2" s="1"/>
  <c r="AB325" i="2" s="1"/>
  <c r="AC353" i="2"/>
  <c r="AA344" i="2"/>
  <c r="AA355" i="2"/>
  <c r="AA343" i="2"/>
  <c r="AA358" i="2" l="1"/>
  <c r="AC367" i="2"/>
  <c r="AA369" i="2"/>
  <c r="AA357" i="2"/>
  <c r="AA335" i="2"/>
  <c r="AA338" i="2" s="1"/>
  <c r="AB339" i="2" s="1"/>
  <c r="AA345" i="2"/>
  <c r="AA350" i="2" s="1"/>
  <c r="AA346" i="2"/>
  <c r="AA347" i="2" s="1"/>
  <c r="AA348" i="2" s="1"/>
  <c r="AA349" i="2" l="1"/>
  <c r="AA352" i="2" s="1"/>
  <c r="AB353" i="2" s="1"/>
  <c r="AA371" i="2"/>
  <c r="AA383" i="2"/>
  <c r="AC381" i="2"/>
  <c r="AA372" i="2"/>
  <c r="AA359" i="2"/>
  <c r="AA364" i="2" s="1"/>
  <c r="AA360" i="2"/>
  <c r="AA361" i="2" s="1"/>
  <c r="AA362" i="2" l="1"/>
  <c r="AA363" i="2" s="1"/>
  <c r="AA366" i="2" s="1"/>
  <c r="AB367" i="2" s="1"/>
  <c r="AA385" i="2"/>
  <c r="AA397" i="2"/>
  <c r="AA386" i="2"/>
  <c r="AC395" i="2"/>
  <c r="AA374" i="2"/>
  <c r="AA375" i="2" s="1"/>
  <c r="AA373" i="2"/>
  <c r="AA378" i="2" s="1"/>
  <c r="AA376" i="2" l="1"/>
  <c r="AA377" i="2" s="1"/>
  <c r="AA380" i="2" s="1"/>
  <c r="AB381" i="2" s="1"/>
  <c r="AA387" i="2"/>
  <c r="AA392" i="2" s="1"/>
  <c r="AA388" i="2"/>
  <c r="AA389" i="2" s="1"/>
  <c r="AA411" i="2"/>
  <c r="AC409" i="2"/>
  <c r="AA400" i="2"/>
  <c r="AA399" i="2"/>
  <c r="AA425" i="2" l="1"/>
  <c r="AA413" i="2"/>
  <c r="AC423" i="2"/>
  <c r="AA414" i="2"/>
  <c r="AA401" i="2"/>
  <c r="AA406" i="2" s="1"/>
  <c r="AA402" i="2"/>
  <c r="AA403" i="2" s="1"/>
  <c r="AA390" i="2"/>
  <c r="AA391" i="2" s="1"/>
  <c r="AA394" i="2" s="1"/>
  <c r="AB395" i="2" s="1"/>
  <c r="AA428" i="2" l="1"/>
  <c r="AA427" i="2"/>
  <c r="AC437" i="2"/>
  <c r="AA439" i="2"/>
  <c r="AA404" i="2"/>
  <c r="AA405" i="2" s="1"/>
  <c r="AA408" i="2" s="1"/>
  <c r="AB409" i="2" s="1"/>
  <c r="AA416" i="2"/>
  <c r="AA417" i="2" s="1"/>
  <c r="AA415" i="2"/>
  <c r="AA420" i="2" s="1"/>
  <c r="AA430" i="2" l="1"/>
  <c r="AA431" i="2" s="1"/>
  <c r="AA429" i="2"/>
  <c r="AA434" i="2" s="1"/>
  <c r="AA418" i="2"/>
  <c r="AA419" i="2" s="1"/>
  <c r="AA422" i="2" s="1"/>
  <c r="AB423" i="2" s="1"/>
  <c r="AA442" i="2"/>
  <c r="AA453" i="2"/>
  <c r="AC451" i="2"/>
  <c r="AA441" i="2"/>
  <c r="AA432" i="2" l="1"/>
  <c r="AA433" i="2" s="1"/>
  <c r="AA436" i="2" s="1"/>
  <c r="AB437" i="2" s="1"/>
  <c r="AA467" i="2"/>
  <c r="AC465" i="2"/>
  <c r="AA456" i="2"/>
  <c r="AA455" i="2"/>
  <c r="AA444" i="2"/>
  <c r="AA445" i="2" s="1"/>
  <c r="AA446" i="2" s="1"/>
  <c r="AA443" i="2"/>
  <c r="AA448" i="2" s="1"/>
  <c r="AA447" i="2" l="1"/>
  <c r="AA450" i="2" s="1"/>
  <c r="AB451" i="2" s="1"/>
  <c r="AA458" i="2"/>
  <c r="AA459" i="2" s="1"/>
  <c r="AA457" i="2"/>
  <c r="AA462" i="2" s="1"/>
  <c r="AA469" i="2"/>
  <c r="AA470" i="2"/>
  <c r="AA481" i="2"/>
  <c r="AC479" i="2"/>
  <c r="AA484" i="2" l="1"/>
  <c r="AC493" i="2"/>
  <c r="AA483" i="2"/>
  <c r="AA495" i="2"/>
  <c r="AA460" i="2"/>
  <c r="AA461" i="2" s="1"/>
  <c r="AA464" i="2" s="1"/>
  <c r="AB465" i="2" s="1"/>
  <c r="AA472" i="2"/>
  <c r="AA473" i="2" s="1"/>
  <c r="AA471" i="2"/>
  <c r="AA476" i="2" s="1"/>
  <c r="AA474" i="2" l="1"/>
  <c r="AA475" i="2" s="1"/>
  <c r="AA478" i="2" s="1"/>
  <c r="AB479" i="2" s="1"/>
  <c r="AA486" i="2"/>
  <c r="AA487" i="2" s="1"/>
  <c r="AA485" i="2"/>
  <c r="AA490" i="2" s="1"/>
  <c r="AA497" i="2"/>
  <c r="AA498" i="2"/>
  <c r="AC507" i="2"/>
  <c r="AA509" i="2"/>
  <c r="AA500" i="2" l="1"/>
  <c r="AA501" i="2" s="1"/>
  <c r="AA499" i="2"/>
  <c r="AA504" i="2" s="1"/>
  <c r="AA488" i="2"/>
  <c r="AA489" i="2" s="1"/>
  <c r="AA492" i="2" s="1"/>
  <c r="AB493" i="2" s="1"/>
  <c r="AA523" i="2"/>
  <c r="AA512" i="2"/>
  <c r="AC521" i="2"/>
  <c r="AA511" i="2"/>
  <c r="AA526" i="2" l="1"/>
  <c r="AA537" i="2"/>
  <c r="AC535" i="2"/>
  <c r="AA525" i="2"/>
  <c r="AA502" i="2"/>
  <c r="AA503" i="2" s="1"/>
  <c r="AA506" i="2" s="1"/>
  <c r="AB507" i="2" s="1"/>
  <c r="AA513" i="2"/>
  <c r="AA518" i="2" s="1"/>
  <c r="AA514" i="2"/>
  <c r="AA515" i="2" s="1"/>
  <c r="AA516" i="2" l="1"/>
  <c r="AA517" i="2" s="1"/>
  <c r="AA520" i="2" s="1"/>
  <c r="AB521" i="2" s="1"/>
  <c r="AA551" i="2"/>
  <c r="AC549" i="2"/>
  <c r="AA540" i="2"/>
  <c r="AA539" i="2"/>
  <c r="AA528" i="2"/>
  <c r="AA529" i="2" s="1"/>
  <c r="AA527" i="2"/>
  <c r="AA532" i="2" s="1"/>
  <c r="AA542" i="2" l="1"/>
  <c r="AA543" i="2" s="1"/>
  <c r="AA541" i="2"/>
  <c r="AA546" i="2" s="1"/>
  <c r="AA553" i="2"/>
  <c r="AA554" i="2"/>
  <c r="AA565" i="2"/>
  <c r="AC563" i="2"/>
  <c r="AA530" i="2"/>
  <c r="AA531" i="2" s="1"/>
  <c r="AA534" i="2" s="1"/>
  <c r="AB535" i="2" s="1"/>
  <c r="AC577" i="2" l="1"/>
  <c r="AA568" i="2"/>
  <c r="AA567" i="2"/>
  <c r="AA579" i="2"/>
  <c r="AA544" i="2"/>
  <c r="AA545" i="2" s="1"/>
  <c r="AA548" i="2" s="1"/>
  <c r="AB549" i="2" s="1"/>
  <c r="AA556" i="2"/>
  <c r="AA557" i="2" s="1"/>
  <c r="AA555" i="2"/>
  <c r="AA560" i="2" s="1"/>
  <c r="AA570" i="2" l="1"/>
  <c r="AA571" i="2" s="1"/>
  <c r="AA572" i="2" s="1"/>
  <c r="AA569" i="2"/>
  <c r="AA574" i="2" s="1"/>
  <c r="AA558" i="2"/>
  <c r="AA559" i="2" s="1"/>
  <c r="AA562" i="2" s="1"/>
  <c r="AB563" i="2" s="1"/>
  <c r="AC591" i="2"/>
  <c r="AA593" i="2"/>
  <c r="AA581" i="2"/>
  <c r="AA582" i="2"/>
  <c r="AA573" i="2" l="1"/>
  <c r="AA576" i="2" s="1"/>
  <c r="AB577" i="2" s="1"/>
  <c r="AA595" i="2"/>
  <c r="AC605" i="2"/>
  <c r="AA607" i="2"/>
  <c r="AA596" i="2"/>
  <c r="AA583" i="2"/>
  <c r="AA588" i="2" s="1"/>
  <c r="AA584" i="2"/>
  <c r="AA585" i="2" s="1"/>
  <c r="AA586" i="2" l="1"/>
  <c r="AA587" i="2" s="1"/>
  <c r="AA590" i="2" s="1"/>
  <c r="AB591" i="2" s="1"/>
  <c r="AA621" i="2"/>
  <c r="AA609" i="2"/>
  <c r="AA610" i="2"/>
  <c r="AC619" i="2"/>
  <c r="AA597" i="2"/>
  <c r="AA602" i="2" s="1"/>
  <c r="AA598" i="2"/>
  <c r="AA599" i="2" s="1"/>
  <c r="AA600" i="2" l="1"/>
  <c r="AA601" i="2" s="1"/>
  <c r="AA604" i="2" s="1"/>
  <c r="AB605" i="2" s="1"/>
  <c r="AC633" i="2"/>
  <c r="AA624" i="2"/>
  <c r="AA623" i="2"/>
  <c r="AA635" i="2"/>
  <c r="AA612" i="2"/>
  <c r="AA613" i="2" s="1"/>
  <c r="AA611" i="2"/>
  <c r="AA616" i="2" s="1"/>
  <c r="AA637" i="2" l="1"/>
  <c r="AA649" i="2"/>
  <c r="AC647" i="2"/>
  <c r="AA638" i="2"/>
  <c r="AA626" i="2"/>
  <c r="AA627" i="2" s="1"/>
  <c r="AA625" i="2"/>
  <c r="AA630" i="2" s="1"/>
  <c r="AA614" i="2"/>
  <c r="AA615" i="2" s="1"/>
  <c r="AA618" i="2" s="1"/>
  <c r="AB619" i="2" s="1"/>
  <c r="AA639" i="2" l="1"/>
  <c r="AA644" i="2" s="1"/>
  <c r="AA640" i="2"/>
  <c r="AA641" i="2" s="1"/>
  <c r="AA628" i="2"/>
  <c r="AA629" i="2" s="1"/>
  <c r="AA632" i="2" s="1"/>
  <c r="AB633" i="2" s="1"/>
  <c r="AA663" i="2"/>
  <c r="AA652" i="2"/>
  <c r="AC661" i="2"/>
  <c r="AA651" i="2"/>
  <c r="AA654" i="2" l="1"/>
  <c r="AA655" i="2" s="1"/>
  <c r="AA653" i="2"/>
  <c r="AA658" i="2" s="1"/>
  <c r="AA677" i="2"/>
  <c r="AC675" i="2"/>
  <c r="AA665" i="2"/>
  <c r="AA666" i="2"/>
  <c r="AA642" i="2"/>
  <c r="AA643" i="2" s="1"/>
  <c r="AA646" i="2" s="1"/>
  <c r="AB647" i="2" s="1"/>
  <c r="AA668" i="2" l="1"/>
  <c r="AA669" i="2" s="1"/>
  <c r="AA667" i="2"/>
  <c r="AA672" i="2" s="1"/>
  <c r="AA656" i="2"/>
  <c r="AA657" i="2" s="1"/>
  <c r="AA660" i="2" s="1"/>
  <c r="AB661" i="2" s="1"/>
  <c r="AA691" i="2"/>
  <c r="AC689" i="2"/>
  <c r="AA679" i="2"/>
  <c r="AA680" i="2"/>
  <c r="AC703" i="2" l="1"/>
  <c r="AA705" i="2"/>
  <c r="AA694" i="2"/>
  <c r="AA693" i="2"/>
  <c r="AA670" i="2"/>
  <c r="AA671" i="2" s="1"/>
  <c r="AA674" i="2" s="1"/>
  <c r="AB675" i="2" s="1"/>
  <c r="AA682" i="2"/>
  <c r="AA683" i="2" s="1"/>
  <c r="AA681" i="2"/>
  <c r="AA686" i="2" s="1"/>
  <c r="AA708" i="2" l="1"/>
  <c r="AC717" i="2"/>
  <c r="AA707" i="2"/>
  <c r="AA719" i="2"/>
  <c r="AA684" i="2"/>
  <c r="AA685" i="2" s="1"/>
  <c r="AA688" i="2" s="1"/>
  <c r="AB689" i="2" s="1"/>
  <c r="AA696" i="2"/>
  <c r="AA697" i="2" s="1"/>
  <c r="AA695" i="2"/>
  <c r="AA700" i="2" s="1"/>
  <c r="AA698" i="2" l="1"/>
  <c r="AA699" i="2" s="1"/>
  <c r="AA702" i="2" s="1"/>
  <c r="AB703" i="2" s="1"/>
  <c r="AA709" i="2"/>
  <c r="AA714" i="2" s="1"/>
  <c r="AA710" i="2"/>
  <c r="AA711" i="2" s="1"/>
  <c r="AA722" i="2"/>
  <c r="AC731" i="2"/>
  <c r="AA721" i="2"/>
  <c r="AA733" i="2"/>
  <c r="AA724" i="2" l="1"/>
  <c r="AA725" i="2" s="1"/>
  <c r="AA726" i="2" s="1"/>
  <c r="AA723" i="2"/>
  <c r="AA728" i="2" s="1"/>
  <c r="AA735" i="2"/>
  <c r="AA747" i="2"/>
  <c r="AA736" i="2"/>
  <c r="AC745" i="2"/>
  <c r="AA712" i="2"/>
  <c r="AA713" i="2" s="1"/>
  <c r="AA716" i="2" s="1"/>
  <c r="AB717" i="2" s="1"/>
  <c r="AA727" i="2" l="1"/>
  <c r="AA730" i="2" s="1"/>
  <c r="AB731" i="2" s="1"/>
  <c r="AA738" i="2"/>
  <c r="AA739" i="2" s="1"/>
  <c r="AA740" i="2" s="1"/>
  <c r="AA737" i="2"/>
  <c r="AA742" i="2" s="1"/>
  <c r="AA761" i="2"/>
  <c r="AA750" i="2"/>
  <c r="AC759" i="2"/>
  <c r="AA749" i="2"/>
  <c r="AA741" i="2" l="1"/>
  <c r="AA744" i="2" s="1"/>
  <c r="AB745" i="2" s="1"/>
  <c r="AC773" i="2"/>
  <c r="AA763" i="2"/>
  <c r="AA775" i="2"/>
  <c r="AA764" i="2"/>
  <c r="AA752" i="2"/>
  <c r="AA753" i="2" s="1"/>
  <c r="AA751" i="2"/>
  <c r="AA756" i="2" s="1"/>
  <c r="AA754" i="2" l="1"/>
  <c r="AA755" i="2" s="1"/>
  <c r="AA758" i="2" s="1"/>
  <c r="AB759" i="2" s="1"/>
  <c r="AA766" i="2"/>
  <c r="AA767" i="2" s="1"/>
  <c r="AA765" i="2"/>
  <c r="AA770" i="2" s="1"/>
  <c r="AA777" i="2"/>
  <c r="AA789" i="2"/>
  <c r="AA778" i="2"/>
  <c r="AC787" i="2"/>
  <c r="AA780" i="2" l="1"/>
  <c r="AA781" i="2" s="1"/>
  <c r="AA782" i="2" s="1"/>
  <c r="AA779" i="2"/>
  <c r="AA784" i="2" s="1"/>
  <c r="AA792" i="2"/>
  <c r="AA803" i="2"/>
  <c r="AC801" i="2"/>
  <c r="AA791" i="2"/>
  <c r="AA768" i="2"/>
  <c r="AA769" i="2" s="1"/>
  <c r="AA772" i="2" s="1"/>
  <c r="AB773" i="2" s="1"/>
  <c r="AA783" i="2" l="1"/>
  <c r="AA786" i="2" s="1"/>
  <c r="AB787" i="2" s="1"/>
  <c r="AA793" i="2"/>
  <c r="AA798" i="2" s="1"/>
  <c r="AA794" i="2"/>
  <c r="AA795" i="2" s="1"/>
  <c r="AA805" i="2"/>
  <c r="AA817" i="2"/>
  <c r="AA806" i="2"/>
  <c r="AC815" i="2"/>
  <c r="AA820" i="2" l="1"/>
  <c r="AC829" i="2"/>
  <c r="AA819" i="2"/>
  <c r="AA831" i="2"/>
  <c r="AA796" i="2"/>
  <c r="AA797" i="2" s="1"/>
  <c r="AA800" i="2" s="1"/>
  <c r="AB801" i="2" s="1"/>
  <c r="AA808" i="2"/>
  <c r="AA809" i="2" s="1"/>
  <c r="AA810" i="2" s="1"/>
  <c r="AA807" i="2"/>
  <c r="AA812" i="2" s="1"/>
  <c r="AA822" i="2" l="1"/>
  <c r="AA823" i="2" s="1"/>
  <c r="AA821" i="2"/>
  <c r="AA826" i="2" s="1"/>
  <c r="AA834" i="2"/>
  <c r="AA845" i="2"/>
  <c r="AC843" i="2"/>
  <c r="AA833" i="2"/>
  <c r="AA811" i="2"/>
  <c r="AA814" i="2" s="1"/>
  <c r="AB815" i="2" s="1"/>
  <c r="AA824" i="2" l="1"/>
  <c r="AA825" i="2" s="1"/>
  <c r="AA828" i="2" s="1"/>
  <c r="AB829" i="2" s="1"/>
  <c r="AA835" i="2"/>
  <c r="AA840" i="2" s="1"/>
  <c r="AA836" i="2"/>
  <c r="AA837" i="2" s="1"/>
  <c r="AA848" i="2"/>
  <c r="AC857" i="2"/>
  <c r="AA847" i="2"/>
  <c r="AA859" i="2"/>
  <c r="AC871" i="2" l="1"/>
  <c r="AA862" i="2"/>
  <c r="AA861" i="2"/>
  <c r="AA873" i="2"/>
  <c r="AA838" i="2"/>
  <c r="AA839" i="2" s="1"/>
  <c r="AA842" i="2" s="1"/>
  <c r="AB843" i="2" s="1"/>
  <c r="AA850" i="2"/>
  <c r="AA851" i="2" s="1"/>
  <c r="AA852" i="2" s="1"/>
  <c r="AA849" i="2"/>
  <c r="AA854" i="2" s="1"/>
  <c r="AA863" i="2" l="1"/>
  <c r="AA868" i="2" s="1"/>
  <c r="AA864" i="2"/>
  <c r="AA865" i="2" s="1"/>
  <c r="AC885" i="2"/>
  <c r="AA887" i="2"/>
  <c r="AA875" i="2"/>
  <c r="AA876" i="2"/>
  <c r="AA853" i="2"/>
  <c r="AA856" i="2" s="1"/>
  <c r="AB857" i="2" s="1"/>
  <c r="AA877" i="2" l="1"/>
  <c r="AA882" i="2" s="1"/>
  <c r="AA878" i="2"/>
  <c r="AA879" i="2" s="1"/>
  <c r="AA866" i="2"/>
  <c r="AA867" i="2" s="1"/>
  <c r="AA870" i="2" s="1"/>
  <c r="AB871" i="2" s="1"/>
  <c r="AA889" i="2"/>
  <c r="AA901" i="2"/>
  <c r="AA890" i="2"/>
  <c r="AC899" i="2"/>
  <c r="AA892" i="2" l="1"/>
  <c r="AA893" i="2" s="1"/>
  <c r="AA891" i="2"/>
  <c r="AA896" i="2" s="1"/>
  <c r="AA904" i="2"/>
  <c r="AA903" i="2"/>
  <c r="AA915" i="2"/>
  <c r="AC913" i="2"/>
  <c r="AA880" i="2"/>
  <c r="AA881" i="2" s="1"/>
  <c r="AA884" i="2" s="1"/>
  <c r="AB885" i="2" s="1"/>
  <c r="AA929" i="2" l="1"/>
  <c r="AC927" i="2"/>
  <c r="AA918" i="2"/>
  <c r="AA917" i="2"/>
  <c r="AA894" i="2"/>
  <c r="AA895" i="2" s="1"/>
  <c r="AA898" i="2" s="1"/>
  <c r="AB899" i="2" s="1"/>
  <c r="AA905" i="2"/>
  <c r="AA910" i="2" s="1"/>
  <c r="AA906" i="2"/>
  <c r="AA907" i="2" s="1"/>
  <c r="AA908" i="2" l="1"/>
  <c r="AA909" i="2" s="1"/>
  <c r="AA912" i="2" s="1"/>
  <c r="AB913" i="2" s="1"/>
  <c r="AC941" i="2"/>
  <c r="AA943" i="2"/>
  <c r="AA931" i="2"/>
  <c r="AA932" i="2"/>
  <c r="AA920" i="2"/>
  <c r="AA921" i="2" s="1"/>
  <c r="AA922" i="2" s="1"/>
  <c r="AA919" i="2"/>
  <c r="AA924" i="2" s="1"/>
  <c r="AA923" i="2" l="1"/>
  <c r="AA926" i="2" s="1"/>
  <c r="AB927" i="2" s="1"/>
  <c r="AA933" i="2"/>
  <c r="AA938" i="2" s="1"/>
  <c r="AA934" i="2"/>
  <c r="AA935" i="2" s="1"/>
  <c r="AA945" i="2"/>
  <c r="AC955" i="2"/>
  <c r="AA957" i="2"/>
  <c r="AA946" i="2"/>
  <c r="AA960" i="2" l="1"/>
  <c r="AC969" i="2"/>
  <c r="AA959" i="2"/>
  <c r="AA971" i="2"/>
  <c r="AA936" i="2"/>
  <c r="AA937" i="2" s="1"/>
  <c r="AA940" i="2" s="1"/>
  <c r="AB941" i="2" s="1"/>
  <c r="AA947" i="2"/>
  <c r="AA952" i="2" s="1"/>
  <c r="AA948" i="2"/>
  <c r="AA949" i="2" s="1"/>
  <c r="AA961" i="2" l="1"/>
  <c r="AA966" i="2" s="1"/>
  <c r="AA962" i="2"/>
  <c r="AA963" i="2" s="1"/>
  <c r="AA964" i="2" s="1"/>
  <c r="AA950" i="2"/>
  <c r="AA951" i="2" s="1"/>
  <c r="AA954" i="2" s="1"/>
  <c r="AB955" i="2" s="1"/>
  <c r="AA973" i="2"/>
  <c r="AA974" i="2"/>
  <c r="AC983" i="2"/>
  <c r="AA985" i="2"/>
  <c r="AA965" i="2" l="1"/>
  <c r="AA968" i="2" s="1"/>
  <c r="AB969" i="2" s="1"/>
  <c r="AA976" i="2"/>
  <c r="AA977" i="2" s="1"/>
  <c r="AA975" i="2"/>
  <c r="AA980" i="2" s="1"/>
  <c r="AA999" i="2"/>
  <c r="AC997" i="2"/>
  <c r="AA987" i="2"/>
  <c r="AA988" i="2"/>
  <c r="AA990" i="2" l="1"/>
  <c r="AA991" i="2" s="1"/>
  <c r="AA989" i="2"/>
  <c r="AA994" i="2" s="1"/>
  <c r="AC1011" i="2"/>
  <c r="AA1013" i="2"/>
  <c r="AA1002" i="2"/>
  <c r="AA1001" i="2"/>
  <c r="AA978" i="2"/>
  <c r="AA979" i="2" s="1"/>
  <c r="AA982" i="2" s="1"/>
  <c r="AB983" i="2" s="1"/>
  <c r="AA992" i="2" l="1"/>
  <c r="AA993" i="2" s="1"/>
  <c r="AA996" i="2" s="1"/>
  <c r="AB997" i="2" s="1"/>
  <c r="AA1004" i="2"/>
  <c r="AA1005" i="2" s="1"/>
  <c r="AA1003" i="2"/>
  <c r="AA1008" i="2" s="1"/>
  <c r="AA1015" i="2"/>
  <c r="AA1016" i="2"/>
  <c r="AA1027" i="2"/>
  <c r="AC1025" i="2"/>
  <c r="AA1018" i="2" l="1"/>
  <c r="AA1019" i="2" s="1"/>
  <c r="AA1017" i="2"/>
  <c r="AA1022" i="2" s="1"/>
  <c r="AC1039" i="2"/>
  <c r="AA1029" i="2"/>
  <c r="AA1041" i="2"/>
  <c r="AA1030" i="2"/>
  <c r="AA1006" i="2"/>
  <c r="AA1007" i="2" s="1"/>
  <c r="AA1010" i="2" s="1"/>
  <c r="AB1011" i="2" s="1"/>
  <c r="AA1055" i="2" l="1"/>
  <c r="AA1044" i="2"/>
  <c r="AC1053" i="2"/>
  <c r="AA1043" i="2"/>
  <c r="AA1020" i="2"/>
  <c r="AA1021" i="2" s="1"/>
  <c r="AA1024" i="2" s="1"/>
  <c r="AB1025" i="2" s="1"/>
  <c r="AA1031" i="2"/>
  <c r="AA1036" i="2" s="1"/>
  <c r="AA1032" i="2"/>
  <c r="AA1033" i="2" s="1"/>
  <c r="AC1067" i="2" l="1"/>
  <c r="AA1057" i="2"/>
  <c r="AA1069" i="2"/>
  <c r="AA1058" i="2"/>
  <c r="AA1034" i="2"/>
  <c r="AA1035" i="2" s="1"/>
  <c r="AA1038" i="2" s="1"/>
  <c r="AB1039" i="2" s="1"/>
  <c r="AA1046" i="2"/>
  <c r="AA1047" i="2" s="1"/>
  <c r="AA1045" i="2"/>
  <c r="AA1050" i="2" s="1"/>
  <c r="AA1060" i="2" l="1"/>
  <c r="AA1061" i="2" s="1"/>
  <c r="AA1059" i="2"/>
  <c r="AA1064" i="2" s="1"/>
  <c r="AA1083" i="2"/>
  <c r="AA1072" i="2"/>
  <c r="AA1071" i="2"/>
  <c r="AC1081" i="2"/>
  <c r="AA1048" i="2"/>
  <c r="AA1049" i="2" s="1"/>
  <c r="AA1052" i="2" s="1"/>
  <c r="AB1053" i="2" s="1"/>
  <c r="AA1074" i="2" l="1"/>
  <c r="AA1075" i="2" s="1"/>
  <c r="AA1073" i="2"/>
  <c r="AA1078" i="2" s="1"/>
  <c r="AA1062" i="2"/>
  <c r="AA1063" i="2" s="1"/>
  <c r="AA1066" i="2" s="1"/>
  <c r="AB1067" i="2" s="1"/>
  <c r="AA1085" i="2"/>
  <c r="AA1097" i="2"/>
  <c r="AA1086" i="2"/>
  <c r="AC1095" i="2"/>
  <c r="AA1087" i="2" l="1"/>
  <c r="AA1092" i="2" s="1"/>
  <c r="AA1088" i="2"/>
  <c r="AA1089" i="2" s="1"/>
  <c r="AA1090" i="2" s="1"/>
  <c r="AA1100" i="2"/>
  <c r="AA1099" i="2"/>
  <c r="AC1109" i="2"/>
  <c r="AA1111" i="2"/>
  <c r="AA1076" i="2"/>
  <c r="AA1077" i="2" s="1"/>
  <c r="AA1080" i="2" s="1"/>
  <c r="AB1081" i="2" s="1"/>
  <c r="AA1091" i="2" l="1"/>
  <c r="AA1094" i="2" s="1"/>
  <c r="AB1095" i="2" s="1"/>
  <c r="AC1123" i="2"/>
  <c r="AA1113" i="2"/>
  <c r="AA1125" i="2"/>
  <c r="AA1114" i="2"/>
  <c r="AA1102" i="2"/>
  <c r="AA1103" i="2" s="1"/>
  <c r="AA1101" i="2"/>
  <c r="AA1106" i="2" s="1"/>
  <c r="AA1104" i="2" l="1"/>
  <c r="AA1105" i="2" s="1"/>
  <c r="AA1108" i="2" s="1"/>
  <c r="AB1109" i="2" s="1"/>
  <c r="AA1115" i="2"/>
  <c r="AA1120" i="2" s="1"/>
  <c r="AA1116" i="2"/>
  <c r="AA1117" i="2" s="1"/>
  <c r="AA1139" i="2"/>
  <c r="AC1137" i="2"/>
  <c r="AA1127" i="2"/>
  <c r="AA1128" i="2"/>
  <c r="AC1151" i="2" l="1"/>
  <c r="AA1142" i="2"/>
  <c r="AA1141" i="2"/>
  <c r="AA1153" i="2"/>
  <c r="AA1130" i="2"/>
  <c r="AA1131" i="2" s="1"/>
  <c r="AA1132" i="2" s="1"/>
  <c r="AA1129" i="2"/>
  <c r="AA1134" i="2" s="1"/>
  <c r="AA1118" i="2"/>
  <c r="AA1119" i="2" s="1"/>
  <c r="AA1122" i="2" s="1"/>
  <c r="AB1123" i="2" s="1"/>
  <c r="AA1133" i="2" l="1"/>
  <c r="AA1136" i="2" s="1"/>
  <c r="AB1137" i="2" s="1"/>
  <c r="AA1143" i="2"/>
  <c r="AA1148" i="2" s="1"/>
  <c r="AA1144" i="2"/>
  <c r="AA1145" i="2" s="1"/>
  <c r="AC1165" i="2"/>
  <c r="AA1155" i="2"/>
  <c r="AA1156" i="2"/>
  <c r="AA1167" i="2"/>
  <c r="AC1179" i="2" l="1"/>
  <c r="AA1169" i="2"/>
  <c r="AA1170" i="2"/>
  <c r="AA1181" i="2"/>
  <c r="AA1146" i="2"/>
  <c r="AA1147" i="2" s="1"/>
  <c r="AA1150" i="2" s="1"/>
  <c r="AB1151" i="2" s="1"/>
  <c r="AA1158" i="2"/>
  <c r="AA1159" i="2" s="1"/>
  <c r="AA1157" i="2"/>
  <c r="AA1162" i="2" s="1"/>
  <c r="AA1172" i="2" l="1"/>
  <c r="AA1173" i="2" s="1"/>
  <c r="AA1171" i="2"/>
  <c r="AA1176" i="2" s="1"/>
  <c r="AA1160" i="2"/>
  <c r="AA1161" i="2" s="1"/>
  <c r="AA1164" i="2" s="1"/>
  <c r="AB1165" i="2" s="1"/>
  <c r="AA1195" i="2"/>
  <c r="AC1193" i="2"/>
  <c r="AA1183" i="2"/>
  <c r="AA1184" i="2"/>
  <c r="AA1174" i="2" l="1"/>
  <c r="AA1175" i="2" s="1"/>
  <c r="AA1178" i="2" s="1"/>
  <c r="AB1179" i="2" s="1"/>
  <c r="AA1186" i="2"/>
  <c r="AA1187" i="2" s="1"/>
  <c r="AA1188" i="2" s="1"/>
  <c r="AA1185" i="2"/>
  <c r="AA1190" i="2" s="1"/>
  <c r="AA1198" i="2"/>
  <c r="AA1197" i="2"/>
  <c r="AC1207" i="2"/>
  <c r="AA1209" i="2"/>
  <c r="AA1189" i="2" l="1"/>
  <c r="AA1192" i="2" s="1"/>
  <c r="AB1193" i="2" s="1"/>
  <c r="AA1200" i="2"/>
  <c r="AA1201" i="2" s="1"/>
  <c r="AA1202" i="2" s="1"/>
  <c r="AA1199" i="2"/>
  <c r="AA1204" i="2" s="1"/>
  <c r="AA1211" i="2"/>
  <c r="AA1212" i="2"/>
  <c r="AC1221" i="2"/>
  <c r="AA1223" i="2"/>
  <c r="AA1203" i="2" l="1"/>
  <c r="AA1206" i="2" s="1"/>
  <c r="AB1207" i="2" s="1"/>
  <c r="AA1226" i="2"/>
  <c r="AA1225" i="2"/>
  <c r="AC1235" i="2"/>
  <c r="AA1237" i="2"/>
  <c r="AA1214" i="2"/>
  <c r="AA1215" i="2" s="1"/>
  <c r="AA1216" i="2" s="1"/>
  <c r="AA1213" i="2"/>
  <c r="AA1218" i="2" s="1"/>
  <c r="AA1228" i="2" l="1"/>
  <c r="AA1229" i="2" s="1"/>
  <c r="AA1230" i="2" s="1"/>
  <c r="AA1227" i="2"/>
  <c r="AA1232" i="2" s="1"/>
  <c r="AA1217" i="2"/>
  <c r="AA1220" i="2" s="1"/>
  <c r="AB1221" i="2" s="1"/>
  <c r="AA1251" i="2"/>
  <c r="AC1249" i="2"/>
  <c r="AA1239" i="2"/>
  <c r="AA1240" i="2"/>
  <c r="AA1231" i="2" l="1"/>
  <c r="AA1234" i="2" s="1"/>
  <c r="AB1235" i="2" s="1"/>
  <c r="AA1241" i="2"/>
  <c r="AA1246" i="2" s="1"/>
  <c r="AA1242" i="2"/>
  <c r="AA1243" i="2" s="1"/>
  <c r="AA1244" i="2" s="1"/>
  <c r="AA1253" i="2"/>
  <c r="AA1254" i="2"/>
  <c r="AC1263" i="2"/>
  <c r="AA1265" i="2"/>
  <c r="AA1245" i="2" l="1"/>
  <c r="AA1248" i="2" s="1"/>
  <c r="AB1249" i="2" s="1"/>
  <c r="AA1267" i="2"/>
  <c r="AA1268" i="2"/>
  <c r="AC1277" i="2"/>
  <c r="AA1279" i="2"/>
  <c r="AA1256" i="2"/>
  <c r="AA1257" i="2" s="1"/>
  <c r="AA1255" i="2"/>
  <c r="AA1260" i="2" s="1"/>
  <c r="AA1270" i="2" l="1"/>
  <c r="AA1271" i="2" s="1"/>
  <c r="AA1269" i="2"/>
  <c r="AA1274" i="2" s="1"/>
  <c r="AA1258" i="2"/>
  <c r="AA1259" i="2" s="1"/>
  <c r="AA1262" i="2" s="1"/>
  <c r="AB1263" i="2" s="1"/>
  <c r="AA1293" i="2"/>
  <c r="AA1282" i="2"/>
  <c r="AC1291" i="2"/>
  <c r="AA1281" i="2"/>
  <c r="AA1296" i="2" l="1"/>
  <c r="AC1305" i="2"/>
  <c r="AA1295" i="2"/>
  <c r="AA1307" i="2"/>
  <c r="AA1272" i="2"/>
  <c r="AA1273" i="2" s="1"/>
  <c r="AA1276" i="2" s="1"/>
  <c r="AB1277" i="2" s="1"/>
  <c r="AA1284" i="2"/>
  <c r="AA1285" i="2" s="1"/>
  <c r="AA1286" i="2" s="1"/>
  <c r="AA1283" i="2"/>
  <c r="AA1288" i="2" s="1"/>
  <c r="AA1297" i="2" l="1"/>
  <c r="AA1302" i="2" s="1"/>
  <c r="AA1298" i="2"/>
  <c r="AA1299" i="2" s="1"/>
  <c r="AA1300" i="2" s="1"/>
  <c r="AA1309" i="2"/>
  <c r="AA1310" i="2"/>
  <c r="AA1321" i="2"/>
  <c r="AC1319" i="2"/>
  <c r="AA1287" i="2"/>
  <c r="AA1290" i="2" s="1"/>
  <c r="AB1291" i="2" s="1"/>
  <c r="AA1301" i="2" l="1"/>
  <c r="AA1304" i="2" s="1"/>
  <c r="AB1305" i="2" s="1"/>
  <c r="AA1312" i="2"/>
  <c r="AA1313" i="2" s="1"/>
  <c r="AA1311" i="2"/>
  <c r="AA1316" i="2" s="1"/>
  <c r="AA1335" i="2"/>
  <c r="AC1333" i="2"/>
  <c r="AA1324" i="2"/>
  <c r="AA1323" i="2"/>
  <c r="AA1314" i="2" l="1"/>
  <c r="AA1315" i="2" s="1"/>
  <c r="AA1318" i="2" s="1"/>
  <c r="AB1319" i="2" s="1"/>
  <c r="AA1326" i="2"/>
  <c r="AA1327" i="2" s="1"/>
  <c r="AA1328" i="2" s="1"/>
  <c r="AA1325" i="2"/>
  <c r="AA1330" i="2" s="1"/>
  <c r="AC1347" i="2"/>
  <c r="AA1337" i="2"/>
  <c r="AA1349" i="2"/>
  <c r="AA1338" i="2"/>
  <c r="AA1329" i="2" l="1"/>
  <c r="AA1332" i="2" s="1"/>
  <c r="AB1333" i="2" s="1"/>
  <c r="AA1351" i="2"/>
  <c r="AA1352" i="2"/>
  <c r="AA1363" i="2"/>
  <c r="AC1361" i="2"/>
  <c r="AA1339" i="2"/>
  <c r="AA1344" i="2" s="1"/>
  <c r="AA1340" i="2"/>
  <c r="AA1341" i="2" s="1"/>
  <c r="AA1342" i="2" s="1"/>
  <c r="AA1343" i="2" l="1"/>
  <c r="AA1346" i="2" s="1"/>
  <c r="AB1347" i="2" s="1"/>
  <c r="AA1354" i="2"/>
  <c r="AA1355" i="2" s="1"/>
  <c r="AA1356" i="2" s="1"/>
  <c r="AA1353" i="2"/>
  <c r="AA1358" i="2" s="1"/>
  <c r="AA1366" i="2"/>
  <c r="AC1375" i="2"/>
  <c r="AA1365" i="2"/>
  <c r="AA1377" i="2"/>
  <c r="AA1357" i="2" l="1"/>
  <c r="AA1360" i="2" s="1"/>
  <c r="AB1361" i="2" s="1"/>
  <c r="AA1367" i="2"/>
  <c r="AA1372" i="2" s="1"/>
  <c r="AA1368" i="2"/>
  <c r="AA1369" i="2" s="1"/>
  <c r="AC1389" i="2"/>
  <c r="AA1391" i="2"/>
  <c r="AA1379" i="2"/>
  <c r="AA1380" i="2"/>
  <c r="AA1382" i="2" l="1"/>
  <c r="AA1383" i="2" s="1"/>
  <c r="AA1381" i="2"/>
  <c r="AA1386" i="2" s="1"/>
  <c r="AA1370" i="2"/>
  <c r="AA1371" i="2" s="1"/>
  <c r="AA1374" i="2" s="1"/>
  <c r="AB1375" i="2" s="1"/>
  <c r="AC1403" i="2"/>
  <c r="AA1394" i="2"/>
  <c r="AA1393" i="2"/>
  <c r="AA1405" i="2"/>
  <c r="AA1407" i="2" l="1"/>
  <c r="AA1419" i="2"/>
  <c r="AA1408" i="2"/>
  <c r="AC1417" i="2"/>
  <c r="AA1384" i="2"/>
  <c r="AA1385" i="2" s="1"/>
  <c r="AA1388" i="2" s="1"/>
  <c r="AB1389" i="2" s="1"/>
  <c r="AA1395" i="2"/>
  <c r="AA1400" i="2" s="1"/>
  <c r="AA1396" i="2"/>
  <c r="AA1397" i="2" s="1"/>
  <c r="AA1398" i="2" s="1"/>
  <c r="AA1399" i="2" l="1"/>
  <c r="AA1402" i="2" s="1"/>
  <c r="AB1403" i="2" s="1"/>
  <c r="AA1422" i="2"/>
  <c r="AA1421" i="2"/>
  <c r="AA1433" i="2"/>
  <c r="AC1431" i="2"/>
  <c r="AA1409" i="2"/>
  <c r="AA1414" i="2" s="1"/>
  <c r="AA1410" i="2"/>
  <c r="AA1411" i="2" s="1"/>
  <c r="AA1412" i="2" s="1"/>
  <c r="AA1413" i="2" l="1"/>
  <c r="AA1416" i="2" s="1"/>
  <c r="AB1417" i="2" s="1"/>
  <c r="AA1423" i="2"/>
  <c r="AA1428" i="2" s="1"/>
  <c r="AA1424" i="2"/>
  <c r="AA1425" i="2" s="1"/>
  <c r="AA1426" i="2" s="1"/>
  <c r="AA1447" i="2"/>
  <c r="AA1435" i="2"/>
  <c r="AA1436" i="2"/>
  <c r="AC1445" i="2"/>
  <c r="AA1427" i="2" l="1"/>
  <c r="AA1430" i="2" s="1"/>
  <c r="AB1431" i="2" s="1"/>
  <c r="AA1461" i="2"/>
  <c r="AA1449" i="2"/>
  <c r="AA1450" i="2"/>
  <c r="AC1459" i="2"/>
  <c r="AA1438" i="2"/>
  <c r="AA1439" i="2" s="1"/>
  <c r="AA1437" i="2"/>
  <c r="AA1442" i="2" s="1"/>
  <c r="AA1464" i="2" l="1"/>
  <c r="AA1475" i="2"/>
  <c r="AC1473" i="2"/>
  <c r="AA1463" i="2"/>
  <c r="AA1440" i="2"/>
  <c r="AA1441" i="2" s="1"/>
  <c r="AA1444" i="2" s="1"/>
  <c r="AB1445" i="2" s="1"/>
  <c r="AA1452" i="2"/>
  <c r="AA1453" i="2" s="1"/>
  <c r="AA1451" i="2"/>
  <c r="AA1456" i="2" s="1"/>
  <c r="AA1489" i="2" l="1"/>
  <c r="AA1478" i="2"/>
  <c r="AC1487" i="2"/>
  <c r="AA1477" i="2"/>
  <c r="AA1454" i="2"/>
  <c r="AA1455" i="2" s="1"/>
  <c r="AA1458" i="2" s="1"/>
  <c r="AB1459" i="2" s="1"/>
  <c r="AA1466" i="2"/>
  <c r="AA1467" i="2" s="1"/>
  <c r="AA1465" i="2"/>
  <c r="AA1470" i="2" s="1"/>
  <c r="AA1492" i="2" l="1"/>
  <c r="AA1491" i="2"/>
  <c r="AA1503" i="2"/>
  <c r="AC1501" i="2"/>
  <c r="AA1468" i="2"/>
  <c r="AA1469" i="2" s="1"/>
  <c r="AA1472" i="2" s="1"/>
  <c r="AB1473" i="2" s="1"/>
  <c r="AA1479" i="2"/>
  <c r="AA1484" i="2" s="1"/>
  <c r="AA1480" i="2"/>
  <c r="AA1481" i="2" s="1"/>
  <c r="AA1505" i="2" l="1"/>
  <c r="AA1517" i="2"/>
  <c r="AA1506" i="2"/>
  <c r="AC1515" i="2"/>
  <c r="AA1494" i="2"/>
  <c r="AA1495" i="2" s="1"/>
  <c r="AA1493" i="2"/>
  <c r="AA1498" i="2" s="1"/>
  <c r="AA1482" i="2"/>
  <c r="AA1483" i="2" s="1"/>
  <c r="AA1486" i="2" s="1"/>
  <c r="AB1487" i="2" s="1"/>
  <c r="AA1507" i="2" l="1"/>
  <c r="AA1512" i="2" s="1"/>
  <c r="AA1508" i="2"/>
  <c r="AA1509" i="2" s="1"/>
  <c r="AA1519" i="2"/>
  <c r="AA1520" i="2"/>
  <c r="AA1531" i="2"/>
  <c r="AC1529" i="2"/>
  <c r="AA1496" i="2"/>
  <c r="AA1497" i="2" s="1"/>
  <c r="AA1500" i="2" s="1"/>
  <c r="AB1501" i="2" s="1"/>
  <c r="AA1533" i="2" l="1"/>
  <c r="AA1545" i="2"/>
  <c r="AA1534" i="2"/>
  <c r="AC1543" i="2"/>
  <c r="AA1522" i="2"/>
  <c r="AA1523" i="2" s="1"/>
  <c r="AA1524" i="2" s="1"/>
  <c r="AA1521" i="2"/>
  <c r="AA1526" i="2" s="1"/>
  <c r="AA1510" i="2"/>
  <c r="AA1511" i="2" s="1"/>
  <c r="AA1514" i="2" s="1"/>
  <c r="AB1515" i="2" s="1"/>
  <c r="AA1525" i="2" l="1"/>
  <c r="AA1528" i="2" s="1"/>
  <c r="AB1529" i="2" s="1"/>
  <c r="AA1536" i="2"/>
  <c r="AA1537" i="2" s="1"/>
  <c r="AA1538" i="2" s="1"/>
  <c r="AA1535" i="2"/>
  <c r="AA1540" i="2" s="1"/>
  <c r="AC1557" i="2"/>
  <c r="AA1547" i="2"/>
  <c r="AA1559" i="2"/>
  <c r="AA1548" i="2"/>
  <c r="AA1539" i="2" l="1"/>
  <c r="AA1542" i="2" s="1"/>
  <c r="AB1543" i="2" s="1"/>
  <c r="AA1561" i="2"/>
  <c r="AA1562" i="2"/>
  <c r="AC1571" i="2"/>
  <c r="AA1573" i="2"/>
  <c r="AA1550" i="2"/>
  <c r="AA1551" i="2" s="1"/>
  <c r="AA1549" i="2"/>
  <c r="AA1554" i="2" s="1"/>
  <c r="AA1563" i="2" l="1"/>
  <c r="AA1568" i="2" s="1"/>
  <c r="AA1564" i="2"/>
  <c r="AA1565" i="2" s="1"/>
  <c r="AA1566" i="2" s="1"/>
  <c r="AA1552" i="2"/>
  <c r="AA1553" i="2" s="1"/>
  <c r="AA1556" i="2" s="1"/>
  <c r="AB1557" i="2" s="1"/>
  <c r="AA1587" i="2"/>
  <c r="AA1575" i="2"/>
  <c r="AA1576" i="2"/>
  <c r="AC1585" i="2"/>
  <c r="AA1589" i="2" l="1"/>
  <c r="AA1601" i="2"/>
  <c r="AA1590" i="2"/>
  <c r="AC1599" i="2"/>
  <c r="AA1567" i="2"/>
  <c r="AA1570" i="2" s="1"/>
  <c r="AB1571" i="2" s="1"/>
  <c r="AA1577" i="2"/>
  <c r="AA1582" i="2" s="1"/>
  <c r="AA1578" i="2"/>
  <c r="AA1579" i="2" s="1"/>
  <c r="AA1580" i="2" s="1"/>
  <c r="AA1581" i="2" l="1"/>
  <c r="AA1584" i="2" s="1"/>
  <c r="AB1585" i="2" s="1"/>
  <c r="AA1591" i="2"/>
  <c r="AA1596" i="2" s="1"/>
  <c r="AA1592" i="2"/>
  <c r="AA1593" i="2" s="1"/>
  <c r="AA1615" i="2"/>
  <c r="AA1604" i="2"/>
  <c r="AA1603" i="2"/>
  <c r="AC1613" i="2"/>
  <c r="AA1594" i="2" l="1"/>
  <c r="AA1595" i="2" s="1"/>
  <c r="AA1598" i="2" s="1"/>
  <c r="AB1599" i="2" s="1"/>
  <c r="AC1627" i="2"/>
  <c r="AA1629" i="2"/>
  <c r="AA1618" i="2"/>
  <c r="AA1617" i="2"/>
  <c r="AA1606" i="2"/>
  <c r="AA1607" i="2" s="1"/>
  <c r="AA1605" i="2"/>
  <c r="AA1610" i="2" s="1"/>
  <c r="AA1620" i="2" l="1"/>
  <c r="AA1621" i="2" s="1"/>
  <c r="AA1622" i="2" s="1"/>
  <c r="AA1619" i="2"/>
  <c r="AA1624" i="2" s="1"/>
  <c r="AA1608" i="2"/>
  <c r="AA1609" i="2" s="1"/>
  <c r="AA1612" i="2" s="1"/>
  <c r="AB1613" i="2" s="1"/>
  <c r="AA1643" i="2"/>
  <c r="AA1632" i="2"/>
  <c r="AC1641" i="2"/>
  <c r="AA1631" i="2"/>
  <c r="AA1623" i="2" l="1"/>
  <c r="AA1626" i="2" s="1"/>
  <c r="AB1627" i="2" s="1"/>
  <c r="AA1645" i="2"/>
  <c r="AA1657" i="2"/>
  <c r="AA1646" i="2"/>
  <c r="AC1655" i="2"/>
  <c r="AA1634" i="2"/>
  <c r="AA1635" i="2" s="1"/>
  <c r="AA1636" i="2" s="1"/>
  <c r="AA1637" i="2" s="1"/>
  <c r="AA1640" i="2" s="1"/>
  <c r="AB1641" i="2" s="1"/>
  <c r="AA1633" i="2"/>
  <c r="AA1638" i="2" s="1"/>
  <c r="AA1648" i="2" l="1"/>
  <c r="AA1649" i="2" s="1"/>
  <c r="AA1647" i="2"/>
  <c r="AA1652" i="2" s="1"/>
  <c r="AA1659" i="2"/>
  <c r="AA1660" i="2"/>
  <c r="AA1671" i="2"/>
  <c r="AC1669" i="2"/>
  <c r="AA1685" i="2" l="1"/>
  <c r="AC1683" i="2"/>
  <c r="AA1673" i="2"/>
  <c r="AA1674" i="2"/>
  <c r="AA1650" i="2"/>
  <c r="AA1651" i="2" s="1"/>
  <c r="AA1654" i="2" s="1"/>
  <c r="AB1655" i="2" s="1"/>
  <c r="AA1662" i="2"/>
  <c r="AA1663" i="2" s="1"/>
  <c r="AA1661" i="2"/>
  <c r="AA1666" i="2" s="1"/>
  <c r="AA1688" i="2" l="1"/>
  <c r="AA1687" i="2"/>
  <c r="AC1697" i="2"/>
  <c r="AA1699" i="2"/>
  <c r="AA1675" i="2"/>
  <c r="AA1680" i="2" s="1"/>
  <c r="AA1676" i="2"/>
  <c r="AA1677" i="2" s="1"/>
  <c r="AA1664" i="2"/>
  <c r="AA1665" i="2" s="1"/>
  <c r="AA1668" i="2" s="1"/>
  <c r="AB1669" i="2" s="1"/>
  <c r="AA1678" i="2" l="1"/>
  <c r="AA1679" i="2" s="1"/>
  <c r="AA1682" i="2" s="1"/>
  <c r="AB1683" i="2" s="1"/>
  <c r="AA1689" i="2"/>
  <c r="AA1694" i="2" s="1"/>
  <c r="AA1690" i="2"/>
  <c r="AA1691" i="2" s="1"/>
  <c r="AA1692" i="2" s="1"/>
  <c r="AA1701" i="2"/>
  <c r="AA1702" i="2"/>
  <c r="AC1711" i="2"/>
  <c r="AA1713" i="2"/>
  <c r="AA1703" i="2" l="1"/>
  <c r="AA1708" i="2" s="1"/>
  <c r="AA1704" i="2"/>
  <c r="AA1705" i="2" s="1"/>
  <c r="AA1715" i="2"/>
  <c r="AA1716" i="2"/>
  <c r="AA1727" i="2"/>
  <c r="AC1725" i="2"/>
  <c r="AA1693" i="2"/>
  <c r="AA1696" i="2" s="1"/>
  <c r="AB1697" i="2" s="1"/>
  <c r="AA1741" i="2" l="1"/>
  <c r="AA1730" i="2"/>
  <c r="AA1729" i="2"/>
  <c r="AC1739" i="2"/>
  <c r="AA1706" i="2"/>
  <c r="AA1707" i="2" s="1"/>
  <c r="AA1710" i="2" s="1"/>
  <c r="AB1711" i="2" s="1"/>
  <c r="AA1718" i="2"/>
  <c r="AA1719" i="2" s="1"/>
  <c r="AA1720" i="2" s="1"/>
  <c r="AA1721" i="2" s="1"/>
  <c r="AA1724" i="2" s="1"/>
  <c r="AB1725" i="2" s="1"/>
  <c r="AA1717" i="2"/>
  <c r="AA1722" i="2" s="1"/>
  <c r="AA1744" i="2" l="1"/>
  <c r="AA1755" i="2"/>
  <c r="AC1753" i="2"/>
  <c r="AA1743" i="2"/>
  <c r="AA1732" i="2"/>
  <c r="AA1733" i="2" s="1"/>
  <c r="AA1734" i="2" s="1"/>
  <c r="AA1731" i="2"/>
  <c r="AA1736" i="2" s="1"/>
  <c r="AA1735" i="2" l="1"/>
  <c r="AA1738" i="2" s="1"/>
  <c r="AB1739" i="2" s="1"/>
  <c r="AA1757" i="2"/>
  <c r="AA1769" i="2"/>
  <c r="AA1758" i="2"/>
  <c r="AC1767" i="2"/>
  <c r="AA1745" i="2"/>
  <c r="AA1750" i="2" s="1"/>
  <c r="AA1746" i="2"/>
  <c r="AA1747" i="2" s="1"/>
  <c r="AA1759" i="2" l="1"/>
  <c r="AA1764" i="2" s="1"/>
  <c r="AA1760" i="2"/>
  <c r="AA1761" i="2" s="1"/>
  <c r="AA1783" i="2"/>
  <c r="AC1781" i="2"/>
  <c r="AA1771" i="2"/>
  <c r="AA1772" i="2"/>
  <c r="AA1748" i="2"/>
  <c r="AA1749" i="2" s="1"/>
  <c r="AA1752" i="2" s="1"/>
  <c r="AB1753" i="2" s="1"/>
  <c r="AA1773" i="2" l="1"/>
  <c r="AA1778" i="2" s="1"/>
  <c r="AA1774" i="2"/>
  <c r="AA1775" i="2" s="1"/>
  <c r="AA1776" i="2" s="1"/>
  <c r="AC1795" i="2"/>
  <c r="AA1785" i="2"/>
  <c r="AA1797" i="2"/>
  <c r="AA1786" i="2"/>
  <c r="AA1762" i="2"/>
  <c r="AA1763" i="2" s="1"/>
  <c r="AA1766" i="2" s="1"/>
  <c r="AB1767" i="2" s="1"/>
  <c r="AA1777" i="2" l="1"/>
  <c r="AA1780" i="2" s="1"/>
  <c r="AB1781" i="2" s="1"/>
  <c r="AA1811" i="2"/>
  <c r="AC1809" i="2"/>
  <c r="AA1800" i="2"/>
  <c r="AA1799" i="2"/>
  <c r="AA1788" i="2"/>
  <c r="AA1789" i="2" s="1"/>
  <c r="AA1790" i="2" s="1"/>
  <c r="AA1787" i="2"/>
  <c r="AA1792" i="2" s="1"/>
  <c r="AA1791" i="2" l="1"/>
  <c r="AA1794" i="2" s="1"/>
  <c r="AB1795" i="2" s="1"/>
  <c r="AA1801" i="2"/>
  <c r="AA1806" i="2" s="1"/>
  <c r="AA1802" i="2"/>
  <c r="AA1803" i="2" s="1"/>
  <c r="AA1813" i="2"/>
  <c r="AA1814" i="2"/>
  <c r="AA1825" i="2"/>
  <c r="AC1823" i="2"/>
  <c r="AA1827" i="2" l="1"/>
  <c r="AA1839" i="2"/>
  <c r="AC1837" i="2"/>
  <c r="AA1828" i="2"/>
  <c r="AA1804" i="2"/>
  <c r="AA1805" i="2" s="1"/>
  <c r="AA1808" i="2" s="1"/>
  <c r="AB1809" i="2" s="1"/>
  <c r="AA1815" i="2"/>
  <c r="AA1820" i="2" s="1"/>
  <c r="AA1816" i="2"/>
  <c r="AA1817" i="2" s="1"/>
  <c r="AA1818" i="2" s="1"/>
  <c r="AA1819" i="2" l="1"/>
  <c r="AA1822" i="2" s="1"/>
  <c r="AB1823" i="2" s="1"/>
  <c r="AA1830" i="2"/>
  <c r="AA1831" i="2" s="1"/>
  <c r="AA1829" i="2"/>
  <c r="AA1834" i="2" s="1"/>
  <c r="AA1853" i="2"/>
  <c r="AC1851" i="2"/>
  <c r="AA1841" i="2"/>
  <c r="AA1842" i="2"/>
  <c r="AA1844" i="2" l="1"/>
  <c r="AA1845" i="2" s="1"/>
  <c r="AA1846" i="2" s="1"/>
  <c r="AA1843" i="2"/>
  <c r="AA1848" i="2" s="1"/>
  <c r="AA1832" i="2"/>
  <c r="AA1833" i="2" s="1"/>
  <c r="AA1836" i="2" s="1"/>
  <c r="AB1837" i="2" s="1"/>
  <c r="AA1867" i="2"/>
  <c r="AA1856" i="2"/>
  <c r="AA1855" i="2"/>
  <c r="AC1865" i="2"/>
  <c r="AA1847" i="2" l="1"/>
  <c r="AA1850" i="2" s="1"/>
  <c r="AB1851" i="2" s="1"/>
  <c r="AA1881" i="2"/>
  <c r="AA1870" i="2"/>
  <c r="AC1879" i="2"/>
  <c r="AA1869" i="2"/>
  <c r="AA1858" i="2"/>
  <c r="AA1859" i="2" s="1"/>
  <c r="AA1860" i="2" s="1"/>
  <c r="AA1857" i="2"/>
  <c r="AA1862" i="2" s="1"/>
  <c r="AA1861" i="2" l="1"/>
  <c r="AA1864" i="2" s="1"/>
  <c r="AB1865" i="2" s="1"/>
  <c r="AA1884" i="2"/>
  <c r="AA1883" i="2"/>
  <c r="AC1893" i="2"/>
  <c r="AA1895" i="2"/>
  <c r="AA1872" i="2"/>
  <c r="AA1873" i="2" s="1"/>
  <c r="AA1874" i="2" s="1"/>
  <c r="AA1875" i="2" s="1"/>
  <c r="AA1871" i="2"/>
  <c r="AA1876" i="2" s="1"/>
  <c r="AA1878" i="2" l="1"/>
  <c r="AB1879" i="2" s="1"/>
  <c r="AA1886" i="2"/>
  <c r="AA1887" i="2" s="1"/>
  <c r="AA1885" i="2"/>
  <c r="AA1890" i="2" s="1"/>
  <c r="AC1907" i="2"/>
  <c r="AA1898" i="2"/>
  <c r="AA1897" i="2"/>
  <c r="AA1909" i="2"/>
  <c r="AA1899" i="2" l="1"/>
  <c r="AA1904" i="2" s="1"/>
  <c r="AA1900" i="2"/>
  <c r="AA1901" i="2" s="1"/>
  <c r="AA1888" i="2"/>
  <c r="AA1889" i="2" s="1"/>
  <c r="AA1892" i="2" s="1"/>
  <c r="AB1893" i="2" s="1"/>
  <c r="AA1912" i="2"/>
  <c r="AC1921" i="2"/>
  <c r="AA1923" i="2"/>
  <c r="AA1911" i="2"/>
  <c r="AA1902" i="2" l="1"/>
  <c r="AA1903" i="2" s="1"/>
  <c r="AA1906" i="2" s="1"/>
  <c r="AB1907" i="2" s="1"/>
  <c r="AC1935" i="2"/>
  <c r="AA1925" i="2"/>
  <c r="AA1926" i="2"/>
  <c r="AA1937" i="2"/>
  <c r="AA1913" i="2"/>
  <c r="AA1918" i="2" s="1"/>
  <c r="AA1914" i="2"/>
  <c r="AA1915" i="2" s="1"/>
  <c r="AC1949" i="2" l="1"/>
  <c r="AA1940" i="2"/>
  <c r="AA1951" i="2"/>
  <c r="AA1939" i="2"/>
  <c r="AA1916" i="2"/>
  <c r="AA1917" i="2" s="1"/>
  <c r="AA1920" i="2" s="1"/>
  <c r="AB1921" i="2" s="1"/>
  <c r="AA1928" i="2"/>
  <c r="AA1929" i="2" s="1"/>
  <c r="AA1927" i="2"/>
  <c r="AA1932" i="2" s="1"/>
  <c r="AA1965" i="2" l="1"/>
  <c r="AA1954" i="2"/>
  <c r="AA1953" i="2"/>
  <c r="AC1963" i="2"/>
  <c r="AA1930" i="2"/>
  <c r="AA1931" i="2" s="1"/>
  <c r="AA1934" i="2" s="1"/>
  <c r="AB1935" i="2" s="1"/>
  <c r="AA1941" i="2"/>
  <c r="AA1946" i="2" s="1"/>
  <c r="AA1942" i="2"/>
  <c r="AA1943" i="2" s="1"/>
  <c r="AA1944" i="2" s="1"/>
  <c r="AA1945" i="2" l="1"/>
  <c r="AA1948" i="2" s="1"/>
  <c r="AB1949" i="2" s="1"/>
  <c r="AC1977" i="2"/>
  <c r="AA1968" i="2"/>
  <c r="AA1967" i="2"/>
  <c r="AA1979" i="2"/>
  <c r="AA1955" i="2"/>
  <c r="AA1960" i="2" s="1"/>
  <c r="AA1956" i="2"/>
  <c r="AA1957" i="2" s="1"/>
  <c r="AA1958" i="2" l="1"/>
  <c r="AA1959" i="2" s="1"/>
  <c r="AA1962" i="2" s="1"/>
  <c r="AB1963" i="2" s="1"/>
  <c r="AA1969" i="2"/>
  <c r="AA1974" i="2" s="1"/>
  <c r="AA1970" i="2"/>
  <c r="AA1971" i="2" s="1"/>
  <c r="AA1982" i="2"/>
  <c r="AC1991" i="2"/>
  <c r="AA1993" i="2"/>
  <c r="AA1981" i="2"/>
  <c r="AA2007" i="2" l="1"/>
  <c r="AC2005" i="2"/>
  <c r="AA1996" i="2"/>
  <c r="AA1995" i="2"/>
  <c r="AA1984" i="2"/>
  <c r="AA1985" i="2" s="1"/>
  <c r="AA1986" i="2" s="1"/>
  <c r="AA1983" i="2"/>
  <c r="AA1988" i="2" s="1"/>
  <c r="AA1972" i="2"/>
  <c r="AA1973" i="2" s="1"/>
  <c r="AA1976" i="2" s="1"/>
  <c r="AB1977" i="2" s="1"/>
  <c r="AA1987" i="2" l="1"/>
  <c r="AA1990" i="2" s="1"/>
  <c r="AB1991" i="2" s="1"/>
  <c r="AA2009" i="2"/>
  <c r="AA2010" i="2"/>
  <c r="AC2019" i="2"/>
  <c r="AA2021" i="2"/>
  <c r="AA1998" i="2"/>
  <c r="AA1999" i="2" s="1"/>
  <c r="AA2000" i="2" s="1"/>
  <c r="AA2001" i="2" s="1"/>
  <c r="AA2004" i="2" s="1"/>
  <c r="AB2005" i="2" s="1"/>
  <c r="AA1997" i="2"/>
  <c r="AA2002" i="2" s="1"/>
  <c r="AA2012" i="2" l="1"/>
  <c r="AA2013" i="2" s="1"/>
  <c r="AA2011" i="2"/>
  <c r="AA2016" i="2" s="1"/>
  <c r="AA2023" i="2"/>
  <c r="AC2033" i="2"/>
  <c r="AA2035" i="2"/>
  <c r="AA2024" i="2"/>
  <c r="AA2014" i="2" l="1"/>
  <c r="AA2015" i="2" s="1"/>
  <c r="AA2018" i="2" s="1"/>
  <c r="AB2019" i="2" s="1"/>
  <c r="AA2037" i="2"/>
  <c r="AC2047" i="2"/>
  <c r="AA2038" i="2"/>
  <c r="AA2049" i="2"/>
  <c r="AA2026" i="2"/>
  <c r="AA2027" i="2" s="1"/>
  <c r="AA2025" i="2"/>
  <c r="AA2030" i="2" s="1"/>
  <c r="AA2040" i="2" l="1"/>
  <c r="AA2041" i="2" s="1"/>
  <c r="AA2039" i="2"/>
  <c r="AA2044" i="2" s="1"/>
  <c r="AA2052" i="2"/>
  <c r="AA2063" i="2"/>
  <c r="AA2051" i="2"/>
  <c r="AC2061" i="2"/>
  <c r="AA2028" i="2"/>
  <c r="AA2029" i="2" s="1"/>
  <c r="AA2032" i="2" s="1"/>
  <c r="AB2033" i="2" s="1"/>
  <c r="AA2054" i="2" l="1"/>
  <c r="AA2055" i="2" s="1"/>
  <c r="AA2056" i="2" s="1"/>
  <c r="AA2053" i="2"/>
  <c r="AA2058" i="2" s="1"/>
  <c r="AA2042" i="2"/>
  <c r="AA2043" i="2" s="1"/>
  <c r="AA2046" i="2" s="1"/>
  <c r="AB2047" i="2" s="1"/>
  <c r="AC2075" i="2"/>
  <c r="AA2065" i="2"/>
  <c r="AA2077" i="2"/>
  <c r="AA2066" i="2"/>
  <c r="AA2057" i="2" l="1"/>
  <c r="AA2060" i="2" s="1"/>
  <c r="AB2061" i="2" s="1"/>
  <c r="AA2068" i="2"/>
  <c r="AA2069" i="2" s="1"/>
  <c r="AA2067" i="2"/>
  <c r="AA2072" i="2" s="1"/>
  <c r="AA2080" i="2"/>
  <c r="AA2091" i="2"/>
  <c r="AA2079" i="2"/>
  <c r="AC2089" i="2"/>
  <c r="AA2082" i="2" l="1"/>
  <c r="AA2083" i="2" s="1"/>
  <c r="AA2081" i="2"/>
  <c r="AA2086" i="2" s="1"/>
  <c r="AA2070" i="2"/>
  <c r="AA2071" i="2" s="1"/>
  <c r="AA2074" i="2" s="1"/>
  <c r="AB2075" i="2" s="1"/>
  <c r="AC2103" i="2"/>
  <c r="AA2093" i="2"/>
  <c r="AA2105" i="2"/>
  <c r="AA2094" i="2"/>
  <c r="AA2084" i="2" l="1"/>
  <c r="AA2085" i="2" s="1"/>
  <c r="AA2088" i="2" s="1"/>
  <c r="AB2089" i="2" s="1"/>
  <c r="AA2095" i="2"/>
  <c r="AA2100" i="2" s="1"/>
  <c r="AA2096" i="2"/>
  <c r="AA2097" i="2" s="1"/>
  <c r="AA2098" i="2" s="1"/>
  <c r="AA2107" i="2"/>
  <c r="AA2119" i="2"/>
  <c r="AA2108" i="2"/>
  <c r="AC2117" i="2"/>
  <c r="AA2099" i="2" l="1"/>
  <c r="AA2102" i="2" s="1"/>
  <c r="AB2103" i="2" s="1"/>
  <c r="AA2109" i="2"/>
  <c r="AA2114" i="2" s="1"/>
  <c r="AA2110" i="2"/>
  <c r="AA2111" i="2" s="1"/>
  <c r="AC2131" i="2"/>
  <c r="AA2121" i="2"/>
  <c r="AA2122" i="2"/>
  <c r="AA2133" i="2"/>
  <c r="AA2147" i="2" l="1"/>
  <c r="AC2145" i="2"/>
  <c r="AA2136" i="2"/>
  <c r="AA2135" i="2"/>
  <c r="AA2112" i="2"/>
  <c r="AA2113" i="2" s="1"/>
  <c r="AA2116" i="2" s="1"/>
  <c r="AB2117" i="2" s="1"/>
  <c r="AA2124" i="2"/>
  <c r="AA2125" i="2" s="1"/>
  <c r="AA2123" i="2"/>
  <c r="AA2128" i="2" s="1"/>
  <c r="AC2159" i="2" l="1"/>
  <c r="AA2150" i="2"/>
  <c r="AA2149" i="2"/>
  <c r="AA2161" i="2"/>
  <c r="AA2126" i="2"/>
  <c r="AA2127" i="2" s="1"/>
  <c r="AA2130" i="2" s="1"/>
  <c r="AB2131" i="2" s="1"/>
  <c r="AA2137" i="2"/>
  <c r="AA2142" i="2" s="1"/>
  <c r="AA2138" i="2"/>
  <c r="AA2139" i="2" s="1"/>
  <c r="AA2151" i="2" l="1"/>
  <c r="AA2156" i="2" s="1"/>
  <c r="AA2152" i="2"/>
  <c r="AA2153" i="2" s="1"/>
  <c r="AA2140" i="2"/>
  <c r="AA2141" i="2" s="1"/>
  <c r="AA2144" i="2" s="1"/>
  <c r="AB2145" i="2" s="1"/>
  <c r="AC2173" i="2"/>
  <c r="AA2175" i="2"/>
  <c r="AA2164" i="2"/>
  <c r="AA2163" i="2"/>
  <c r="AA2177" i="2" l="1"/>
  <c r="AA2189" i="2"/>
  <c r="AC2187" i="2"/>
  <c r="AA2178" i="2"/>
  <c r="AA2154" i="2"/>
  <c r="AA2155" i="2" s="1"/>
  <c r="AA2158" i="2" s="1"/>
  <c r="AB2159" i="2" s="1"/>
  <c r="AA2165" i="2"/>
  <c r="AA2170" i="2" s="1"/>
  <c r="AA2166" i="2"/>
  <c r="AA2167" i="2" s="1"/>
  <c r="AA2168" i="2" l="1"/>
  <c r="AA2169" i="2" s="1"/>
  <c r="AA2172" i="2" s="1"/>
  <c r="AB2173" i="2" s="1"/>
  <c r="AA2180" i="2"/>
  <c r="AA2181" i="2" s="1"/>
  <c r="AA2179" i="2"/>
  <c r="AA2184" i="2" s="1"/>
  <c r="AA2191" i="2"/>
  <c r="AA2203" i="2"/>
  <c r="AC2201" i="2"/>
  <c r="AA2192" i="2"/>
  <c r="AA2194" i="2" l="1"/>
  <c r="AA2195" i="2" s="1"/>
  <c r="AA2193" i="2"/>
  <c r="AA2198" i="2" s="1"/>
  <c r="AA2182" i="2"/>
  <c r="AA2183" i="2" s="1"/>
  <c r="AA2186" i="2" s="1"/>
  <c r="AB2187" i="2" s="1"/>
  <c r="AA2217" i="2"/>
  <c r="AC2215" i="2"/>
  <c r="AA2205" i="2"/>
  <c r="AA2206" i="2"/>
  <c r="AA2231" i="2" l="1"/>
  <c r="AA2220" i="2"/>
  <c r="AA2219" i="2"/>
  <c r="AC2229" i="2"/>
  <c r="AA2196" i="2"/>
  <c r="AA2197" i="2" s="1"/>
  <c r="AA2200" i="2" s="1"/>
  <c r="AB2201" i="2" s="1"/>
  <c r="AA2208" i="2"/>
  <c r="AA2209" i="2" s="1"/>
  <c r="AA2207" i="2"/>
  <c r="AA2212" i="2" s="1"/>
  <c r="AA2210" i="2" l="1"/>
  <c r="AA2211" i="2" s="1"/>
  <c r="AA2214" i="2" s="1"/>
  <c r="AB2215" i="2" s="1"/>
  <c r="AA2222" i="2"/>
  <c r="AA2223" i="2" s="1"/>
  <c r="AA2221" i="2"/>
  <c r="AA2226" i="2" s="1"/>
  <c r="AA2234" i="2"/>
  <c r="AA2245" i="2"/>
  <c r="AC2243" i="2"/>
  <c r="AA2233" i="2"/>
  <c r="AA2259" i="2" l="1"/>
  <c r="AA2248" i="2"/>
  <c r="AA2247" i="2"/>
  <c r="AC2257" i="2"/>
  <c r="AA2224" i="2"/>
  <c r="AA2225" i="2" s="1"/>
  <c r="AA2228" i="2" s="1"/>
  <c r="AB2229" i="2" s="1"/>
  <c r="AA2235" i="2"/>
  <c r="AA2240" i="2" s="1"/>
  <c r="AA2236" i="2"/>
  <c r="AA2237" i="2" s="1"/>
  <c r="AA2261" i="2" l="1"/>
  <c r="AA2273" i="2"/>
  <c r="AC2271" i="2"/>
  <c r="AA2262" i="2"/>
  <c r="AA2249" i="2"/>
  <c r="AA2254" i="2" s="1"/>
  <c r="AA2250" i="2"/>
  <c r="AA2251" i="2" s="1"/>
  <c r="AA2252" i="2" s="1"/>
  <c r="AA2238" i="2"/>
  <c r="AA2239" i="2" s="1"/>
  <c r="AA2242" i="2" s="1"/>
  <c r="AB2243" i="2" s="1"/>
  <c r="AA2264" i="2" l="1"/>
  <c r="AA2265" i="2" s="1"/>
  <c r="AA2263" i="2"/>
  <c r="AA2268" i="2" s="1"/>
  <c r="AC2285" i="2"/>
  <c r="AA2276" i="2"/>
  <c r="AA2275" i="2"/>
  <c r="AA2287" i="2"/>
  <c r="AA2253" i="2"/>
  <c r="AA2256" i="2" s="1"/>
  <c r="AB2257" i="2" s="1"/>
  <c r="AA2277" i="2" l="1"/>
  <c r="AA2282" i="2" s="1"/>
  <c r="AA2278" i="2"/>
  <c r="AA2279" i="2" s="1"/>
  <c r="AA2266" i="2"/>
  <c r="AA2267" i="2" s="1"/>
  <c r="AA2270" i="2" s="1"/>
  <c r="AB2271" i="2" s="1"/>
  <c r="AC2299" i="2"/>
  <c r="AA2289" i="2"/>
  <c r="AA2290" i="2"/>
  <c r="AA2301" i="2"/>
  <c r="AA2280" i="2" l="1"/>
  <c r="AA2281" i="2" s="1"/>
  <c r="AA2284" i="2" s="1"/>
  <c r="AB2285" i="2" s="1"/>
  <c r="AA2292" i="2"/>
  <c r="AA2293" i="2" s="1"/>
  <c r="AA2291" i="2"/>
  <c r="AA2296" i="2" s="1"/>
  <c r="AC2313" i="2"/>
  <c r="AA2304" i="2"/>
  <c r="AA2315" i="2"/>
  <c r="AA2303" i="2"/>
  <c r="AA2317" i="2" l="1"/>
  <c r="AA2318" i="2"/>
  <c r="AA2329" i="2"/>
  <c r="AC2327" i="2"/>
  <c r="AA2294" i="2"/>
  <c r="AA2295" i="2" s="1"/>
  <c r="AA2298" i="2" s="1"/>
  <c r="AB2299" i="2" s="1"/>
  <c r="AA2305" i="2"/>
  <c r="AA2310" i="2" s="1"/>
  <c r="AA2306" i="2"/>
  <c r="AA2307" i="2" s="1"/>
  <c r="AA2308" i="2" s="1"/>
  <c r="AA2309" i="2" l="1"/>
  <c r="AA2312" i="2" s="1"/>
  <c r="AB2313" i="2" s="1"/>
  <c r="AA2319" i="2"/>
  <c r="AA2324" i="2" s="1"/>
  <c r="AA2320" i="2"/>
  <c r="AA2321" i="2" s="1"/>
  <c r="AC2341" i="2"/>
  <c r="AA2331" i="2"/>
  <c r="AA2343" i="2"/>
  <c r="AA2332" i="2"/>
  <c r="AA2346" i="2" l="1"/>
  <c r="AA2357" i="2"/>
  <c r="AA2345" i="2"/>
  <c r="AC2355" i="2"/>
  <c r="AA2322" i="2"/>
  <c r="AA2323" i="2" s="1"/>
  <c r="AA2326" i="2" s="1"/>
  <c r="AB2327" i="2" s="1"/>
  <c r="AA2334" i="2"/>
  <c r="AA2335" i="2" s="1"/>
  <c r="AA2336" i="2" s="1"/>
  <c r="AA2333" i="2"/>
  <c r="AA2338" i="2" s="1"/>
  <c r="AA2360" i="2" l="1"/>
  <c r="AA2371" i="2"/>
  <c r="AC2369" i="2"/>
  <c r="AA2359" i="2"/>
  <c r="AA2348" i="2"/>
  <c r="AA2349" i="2" s="1"/>
  <c r="AA2347" i="2"/>
  <c r="AA2352" i="2" s="1"/>
  <c r="AA2337" i="2"/>
  <c r="AA2340" i="2" s="1"/>
  <c r="AB2341" i="2" s="1"/>
  <c r="AA2350" i="2" l="1"/>
  <c r="AA2351" i="2" s="1"/>
  <c r="AA2354" i="2" s="1"/>
  <c r="AB2355" i="2" s="1"/>
  <c r="AA2374" i="2"/>
  <c r="AA2385" i="2"/>
  <c r="AC2383" i="2"/>
  <c r="AA2373" i="2"/>
  <c r="AA2361" i="2"/>
  <c r="AA2366" i="2" s="1"/>
  <c r="AA2362" i="2"/>
  <c r="AA2363" i="2" s="1"/>
  <c r="AA2364" i="2" s="1"/>
  <c r="AA2365" i="2" l="1"/>
  <c r="AA2368" i="2" s="1"/>
  <c r="AB2369" i="2" s="1"/>
  <c r="AA2375" i="2"/>
  <c r="AA2380" i="2" s="1"/>
  <c r="AA2376" i="2"/>
  <c r="AA2377" i="2" s="1"/>
  <c r="AC2397" i="2"/>
  <c r="AA2387" i="2"/>
  <c r="AA2399" i="2"/>
  <c r="AA2388" i="2"/>
  <c r="AA2390" i="2" l="1"/>
  <c r="AA2391" i="2" s="1"/>
  <c r="AA2389" i="2"/>
  <c r="AA2394" i="2" s="1"/>
  <c r="AA2413" i="2"/>
  <c r="AC2411" i="2"/>
  <c r="AA2402" i="2"/>
  <c r="AA2401" i="2"/>
  <c r="AA2378" i="2"/>
  <c r="AA2379" i="2" s="1"/>
  <c r="AA2382" i="2" s="1"/>
  <c r="AB2383" i="2" s="1"/>
  <c r="AA2392" i="2" l="1"/>
  <c r="AA2393" i="2" s="1"/>
  <c r="AA2396" i="2" s="1"/>
  <c r="AB2397" i="2" s="1"/>
  <c r="AA2403" i="2"/>
  <c r="AA2408" i="2" s="1"/>
  <c r="AA2404" i="2"/>
  <c r="AA2405" i="2" s="1"/>
  <c r="AA2416" i="2"/>
  <c r="AA2415" i="2"/>
  <c r="AA2427" i="2"/>
  <c r="AC2425" i="2"/>
  <c r="AA2418" i="2" l="1"/>
  <c r="AA2419" i="2" s="1"/>
  <c r="AA2417" i="2"/>
  <c r="AA2422" i="2" s="1"/>
  <c r="AA2441" i="2"/>
  <c r="AC2439" i="2"/>
  <c r="AA2429" i="2"/>
  <c r="AA2430" i="2"/>
  <c r="AA2406" i="2"/>
  <c r="AA2407" i="2" s="1"/>
  <c r="AA2410" i="2" s="1"/>
  <c r="AB2411" i="2" s="1"/>
  <c r="AA2431" i="2" l="1"/>
  <c r="AA2436" i="2" s="1"/>
  <c r="AA2432" i="2"/>
  <c r="AA2420" i="2"/>
  <c r="AA2421" i="2" s="1"/>
  <c r="AA2424" i="2" s="1"/>
  <c r="AB2425" i="2" s="1"/>
  <c r="AC2453" i="2"/>
  <c r="AA2443" i="2"/>
  <c r="AA2444" i="2"/>
  <c r="AA2455" i="2"/>
  <c r="AA2445" i="2" l="1"/>
  <c r="AA2450" i="2" s="1"/>
  <c r="AA2446" i="2"/>
  <c r="AA2433" i="2"/>
  <c r="AA2434" i="2" s="1"/>
  <c r="AA2435" i="2" s="1"/>
  <c r="AA2438" i="2" s="1"/>
  <c r="AB2439" i="2" s="1"/>
  <c r="AC2467" i="2"/>
  <c r="AA2458" i="2"/>
  <c r="AA2457" i="2"/>
  <c r="AA2469" i="2"/>
  <c r="AA2447" i="2" l="1"/>
  <c r="AA2448" i="2" s="1"/>
  <c r="AA2449" i="2" s="1"/>
  <c r="AA2452" i="2" s="1"/>
  <c r="AB2453" i="2" s="1"/>
  <c r="AA2459" i="2"/>
  <c r="AA2464" i="2" s="1"/>
  <c r="AA2460" i="2"/>
  <c r="AA2483" i="2"/>
  <c r="AC2481" i="2"/>
  <c r="AA2472" i="2"/>
  <c r="AA2471" i="2"/>
  <c r="AA2497" i="2" l="1"/>
  <c r="AA2485" i="2"/>
  <c r="AA2486" i="2"/>
  <c r="AC2495" i="2"/>
  <c r="AA2473" i="2"/>
  <c r="AA2478" i="2" s="1"/>
  <c r="AA2474" i="2"/>
  <c r="AA2461" i="2"/>
  <c r="AA2462" i="2" s="1"/>
  <c r="AA2463" i="2" s="1"/>
  <c r="AA2466" i="2" s="1"/>
  <c r="AB2467" i="2" s="1"/>
  <c r="AA2475" i="2" l="1"/>
  <c r="AA2511" i="2"/>
  <c r="AA2499" i="2"/>
  <c r="AA2500" i="2"/>
  <c r="AC2509" i="2"/>
  <c r="AA2488" i="2"/>
  <c r="AA2487" i="2"/>
  <c r="AA2492" i="2" s="1"/>
  <c r="AA2489" i="2" l="1"/>
  <c r="AA2490" i="2" s="1"/>
  <c r="AA2491" i="2" s="1"/>
  <c r="AA2494" i="2" s="1"/>
  <c r="AB2495" i="2" s="1"/>
  <c r="AC2523" i="2"/>
  <c r="AA2513" i="2"/>
  <c r="AA2514" i="2"/>
  <c r="AA2525" i="2"/>
  <c r="AA2476" i="2"/>
  <c r="AA2477" i="2" s="1"/>
  <c r="AA2480" i="2" s="1"/>
  <c r="AB2481" i="2" s="1"/>
  <c r="AA2502" i="2"/>
  <c r="AA2501" i="2"/>
  <c r="AA2506" i="2" s="1"/>
  <c r="AA2503" i="2" l="1"/>
  <c r="AA2504" i="2" s="1"/>
  <c r="AA2505" i="2" s="1"/>
  <c r="AA2508" i="2" s="1"/>
  <c r="AB2509" i="2" s="1"/>
  <c r="AA2527" i="2"/>
  <c r="AC2537" i="2"/>
  <c r="AA2539" i="2"/>
  <c r="AA2528" i="2"/>
  <c r="AA2516" i="2"/>
  <c r="AA2515" i="2"/>
  <c r="AA2520" i="2" s="1"/>
  <c r="AA2517" i="2" l="1"/>
  <c r="AA2529" i="2"/>
  <c r="AA2534" i="2" s="1"/>
  <c r="AA2530" i="2"/>
  <c r="AC2551" i="2"/>
  <c r="AA2541" i="2"/>
  <c r="AA2542" i="2"/>
  <c r="AA2553" i="2"/>
  <c r="AA2518" i="2" l="1"/>
  <c r="AA2519" i="2" s="1"/>
  <c r="AA2522" i="2" s="1"/>
  <c r="AB2523" i="2" s="1"/>
  <c r="AA2543" i="2"/>
  <c r="AA2548" i="2" s="1"/>
  <c r="AA2544" i="2"/>
  <c r="AA2556" i="2"/>
  <c r="AC2565" i="2"/>
  <c r="AA2555" i="2"/>
  <c r="AA2567" i="2"/>
  <c r="AA2531" i="2"/>
  <c r="AA2532" i="2" s="1"/>
  <c r="AA2533" i="2" s="1"/>
  <c r="AA2536" i="2" s="1"/>
  <c r="AB2537" i="2" s="1"/>
  <c r="AA2557" i="2" l="1"/>
  <c r="AA2562" i="2" s="1"/>
  <c r="AA2558" i="2"/>
  <c r="AA2570" i="2"/>
  <c r="AA2581" i="2"/>
  <c r="AC2579" i="2"/>
  <c r="AA2569" i="2"/>
  <c r="AA2545" i="2"/>
  <c r="AA2546" i="2" s="1"/>
  <c r="AA2547" i="2" s="1"/>
  <c r="AA2550" i="2" s="1"/>
  <c r="AB2551" i="2" s="1"/>
  <c r="AA2571" i="2" l="1"/>
  <c r="AA2576" i="2" s="1"/>
  <c r="AA2572" i="2"/>
  <c r="AA2559" i="2"/>
  <c r="AA2560" i="2" s="1"/>
  <c r="AA2561" i="2" s="1"/>
  <c r="AA2564" i="2" s="1"/>
  <c r="AB2565" i="2" s="1"/>
  <c r="AC2593" i="2"/>
  <c r="AA2595" i="2"/>
  <c r="AA2584" i="2"/>
  <c r="AA2583" i="2"/>
  <c r="AA2586" i="2" l="1"/>
  <c r="AA2585" i="2"/>
  <c r="AA2590" i="2" s="1"/>
  <c r="AA2597" i="2"/>
  <c r="AA2609" i="2"/>
  <c r="AA2598" i="2"/>
  <c r="AC2607" i="2"/>
  <c r="AA2573" i="2"/>
  <c r="AA2587" i="2" l="1"/>
  <c r="AA2588" i="2" s="1"/>
  <c r="AA2589" i="2" s="1"/>
  <c r="AA2592" i="2" s="1"/>
  <c r="AB2593" i="2" s="1"/>
  <c r="AA2600" i="2"/>
  <c r="AA2599" i="2"/>
  <c r="AA2604" i="2" s="1"/>
  <c r="AA2574" i="2"/>
  <c r="AA2575" i="2" s="1"/>
  <c r="AA2578" i="2" s="1"/>
  <c r="AB2579" i="2" s="1"/>
  <c r="AC2621" i="2"/>
  <c r="AA2612" i="2"/>
  <c r="AA2623" i="2"/>
  <c r="AA2611" i="2"/>
  <c r="AA2625" i="2" l="1"/>
  <c r="AC2635" i="2"/>
  <c r="AA2637" i="2"/>
  <c r="AA2626" i="2"/>
  <c r="AA2601" i="2"/>
  <c r="AA2602" i="2" s="1"/>
  <c r="AA2603" i="2" s="1"/>
  <c r="AA2606" i="2" s="1"/>
  <c r="AB2607" i="2" s="1"/>
  <c r="AA2613" i="2"/>
  <c r="AA2618" i="2" s="1"/>
  <c r="AA2614" i="2"/>
  <c r="AA2651" i="2" l="1"/>
  <c r="AA2639" i="2"/>
  <c r="AC2649" i="2"/>
  <c r="AA2640" i="2"/>
  <c r="AA2628" i="2"/>
  <c r="AA2627" i="2"/>
  <c r="AA2632" i="2" s="1"/>
  <c r="AA2615" i="2"/>
  <c r="AA2629" i="2" l="1"/>
  <c r="AA2630" i="2" s="1"/>
  <c r="AA2631" i="2" s="1"/>
  <c r="AA2634" i="2" s="1"/>
  <c r="AB2635" i="2" s="1"/>
  <c r="AA2665" i="2"/>
  <c r="AA2654" i="2"/>
  <c r="AC2663" i="2"/>
  <c r="AA2653" i="2"/>
  <c r="AA2641" i="2"/>
  <c r="AA2646" i="2" s="1"/>
  <c r="AA2642" i="2"/>
  <c r="AA2616" i="2"/>
  <c r="AA2617" i="2" s="1"/>
  <c r="AA2620" i="2" s="1"/>
  <c r="AB2621" i="2" s="1"/>
  <c r="AA2643" i="2" l="1"/>
  <c r="AA2644" i="2" s="1"/>
  <c r="AA2645" i="2" s="1"/>
  <c r="AA2648" i="2" s="1"/>
  <c r="AB2649" i="2" s="1"/>
  <c r="AA2656" i="2"/>
  <c r="AA2655" i="2"/>
  <c r="AA2660" i="2" s="1"/>
  <c r="AA2679" i="2"/>
  <c r="AC2677" i="2"/>
  <c r="AA2668" i="2"/>
  <c r="AA2667" i="2"/>
  <c r="AA2657" i="2" l="1"/>
  <c r="AA2658" i="2" s="1"/>
  <c r="AA2659" i="2" s="1"/>
  <c r="AA2662" i="2" s="1"/>
  <c r="AB2663" i="2" s="1"/>
  <c r="AA2693" i="2"/>
  <c r="AA2682" i="2"/>
  <c r="AA2681" i="2"/>
  <c r="AC2691" i="2"/>
  <c r="AA2670" i="2"/>
  <c r="AA2669" i="2"/>
  <c r="AA2674" i="2" s="1"/>
  <c r="AA2684" i="2" l="1"/>
  <c r="AA2683" i="2"/>
  <c r="AA2688" i="2" s="1"/>
  <c r="AA2671" i="2"/>
  <c r="AA2696" i="2"/>
  <c r="AA2695" i="2"/>
  <c r="AA2707" i="2"/>
  <c r="AC2705" i="2"/>
  <c r="AA2697" i="2" l="1"/>
  <c r="AA2702" i="2" s="1"/>
  <c r="AA2698" i="2"/>
  <c r="AA2721" i="2"/>
  <c r="AC2719" i="2"/>
  <c r="AA2709" i="2"/>
  <c r="AA2710" i="2"/>
  <c r="AA2685" i="2"/>
  <c r="AA2686" i="2" s="1"/>
  <c r="AA2687" i="2" s="1"/>
  <c r="AA2690" i="2" s="1"/>
  <c r="AB2691" i="2" s="1"/>
  <c r="AA2672" i="2"/>
  <c r="AA2673" i="2" s="1"/>
  <c r="AA2676" i="2" s="1"/>
  <c r="AB2677" i="2" s="1"/>
  <c r="AA2712" i="2" l="1"/>
  <c r="AA2711" i="2"/>
  <c r="AA2716" i="2" s="1"/>
  <c r="AA2735" i="2"/>
  <c r="AA2724" i="2"/>
  <c r="AA2723" i="2"/>
  <c r="AC2733" i="2"/>
  <c r="AA2699" i="2"/>
  <c r="AC2747" i="2" l="1"/>
  <c r="AA2738" i="2"/>
  <c r="AA2737" i="2"/>
  <c r="AA2749" i="2"/>
  <c r="AA2726" i="2"/>
  <c r="AA2725" i="2"/>
  <c r="AA2730" i="2" s="1"/>
  <c r="AA2713" i="2"/>
  <c r="AA2700" i="2"/>
  <c r="AA2701" i="2" s="1"/>
  <c r="AA2704" i="2" s="1"/>
  <c r="AB2705" i="2" s="1"/>
  <c r="AA2727" i="2" l="1"/>
  <c r="AA2728" i="2" s="1"/>
  <c r="AA2729" i="2" s="1"/>
  <c r="AA2732" i="2" s="1"/>
  <c r="AB2733" i="2" s="1"/>
  <c r="AA2740" i="2"/>
  <c r="AA2739" i="2"/>
  <c r="AA2744" i="2" s="1"/>
  <c r="AA2714" i="2"/>
  <c r="AA2715" i="2" s="1"/>
  <c r="AA2718" i="2" s="1"/>
  <c r="AB2719" i="2" s="1"/>
  <c r="AA2752" i="2"/>
  <c r="AA2751" i="2"/>
  <c r="AA2763" i="2"/>
  <c r="AC2761" i="2"/>
  <c r="AA2777" i="2" l="1"/>
  <c r="AC2775" i="2"/>
  <c r="AA2765" i="2"/>
  <c r="AA2766" i="2"/>
  <c r="AA2741" i="2"/>
  <c r="AA2742" i="2" s="1"/>
  <c r="AA2743" i="2" s="1"/>
  <c r="AA2746" i="2" s="1"/>
  <c r="AB2747" i="2" s="1"/>
  <c r="AA2754" i="2"/>
  <c r="AA2753" i="2"/>
  <c r="AA2758" i="2" s="1"/>
  <c r="AA2779" i="2" l="1"/>
  <c r="AA2791" i="2"/>
  <c r="AA2780" i="2"/>
  <c r="AC2789" i="2"/>
  <c r="AA2755" i="2"/>
  <c r="AA2767" i="2"/>
  <c r="AA2772" i="2" s="1"/>
  <c r="AA2768" i="2"/>
  <c r="AA2756" i="2" l="1"/>
  <c r="AA2757" i="2" s="1"/>
  <c r="AA2760" i="2" s="1"/>
  <c r="AB2761" i="2" s="1"/>
  <c r="AA2781" i="2"/>
  <c r="AA2786" i="2" s="1"/>
  <c r="AA2782" i="2"/>
  <c r="AA2805" i="2"/>
  <c r="AC2803" i="2"/>
  <c r="AA2794" i="2"/>
  <c r="AA2793" i="2"/>
  <c r="AA2769" i="2"/>
  <c r="AA2770" i="2" s="1"/>
  <c r="AA2771" i="2" s="1"/>
  <c r="AA2774" i="2" s="1"/>
  <c r="AB2775" i="2" s="1"/>
  <c r="AA2808" i="2" l="1"/>
  <c r="AA2807" i="2"/>
  <c r="AA2819" i="2"/>
  <c r="AC2817" i="2"/>
  <c r="AA2796" i="2"/>
  <c r="AA2795" i="2"/>
  <c r="AA2800" i="2" s="1"/>
  <c r="AA2783" i="2"/>
  <c r="AA2784" i="2" s="1"/>
  <c r="AA2785" i="2" s="1"/>
  <c r="AA2788" i="2" s="1"/>
  <c r="AB2789" i="2" s="1"/>
  <c r="AA2797" i="2" l="1"/>
  <c r="AA2798" i="2" s="1"/>
  <c r="AA2799" i="2" s="1"/>
  <c r="AA2802" i="2" s="1"/>
  <c r="AB2803" i="2" s="1"/>
  <c r="AA2809" i="2"/>
  <c r="AA2814" i="2" s="1"/>
  <c r="AA2810" i="2"/>
  <c r="AA2822" i="2"/>
  <c r="AA2833" i="2"/>
  <c r="AC2831" i="2"/>
  <c r="AA2821" i="2"/>
  <c r="AA2836" i="2" l="1"/>
  <c r="AA2835" i="2"/>
  <c r="AC2845" i="2"/>
  <c r="AA2847" i="2"/>
  <c r="AA2824" i="2"/>
  <c r="AA2823" i="2"/>
  <c r="AA2828" i="2" s="1"/>
  <c r="AA2811" i="2"/>
  <c r="AA2825" i="2" l="1"/>
  <c r="AA2826" i="2" s="1"/>
  <c r="AA2827" i="2" s="1"/>
  <c r="AA2830" i="2" s="1"/>
  <c r="AB2831" i="2" s="1"/>
  <c r="AA2838" i="2"/>
  <c r="AA2837" i="2"/>
  <c r="AA2842" i="2" s="1"/>
  <c r="AA2812" i="2"/>
  <c r="AA2813" i="2" s="1"/>
  <c r="AA2816" i="2" s="1"/>
  <c r="AB2817" i="2" s="1"/>
  <c r="AC2859" i="2"/>
  <c r="AA2849" i="2"/>
  <c r="AA2861" i="2"/>
  <c r="AA2850" i="2"/>
  <c r="AC2873" i="2" l="1"/>
  <c r="AA2864" i="2"/>
  <c r="AA2863" i="2"/>
  <c r="AA2875" i="2"/>
  <c r="AA2839" i="2"/>
  <c r="AA2851" i="2"/>
  <c r="AA2856" i="2" s="1"/>
  <c r="AA2852" i="2"/>
  <c r="AA2853" i="2" l="1"/>
  <c r="AA2854" i="2" s="1"/>
  <c r="AA2855" i="2" s="1"/>
  <c r="AA2858" i="2" s="1"/>
  <c r="AB2859" i="2" s="1"/>
  <c r="AA2889" i="2"/>
  <c r="AC2887" i="2"/>
  <c r="AA2877" i="2"/>
  <c r="AA2878" i="2"/>
  <c r="AA2840" i="2"/>
  <c r="AA2841" i="2" s="1"/>
  <c r="AA2844" i="2" s="1"/>
  <c r="AB2845" i="2" s="1"/>
  <c r="AA2865" i="2"/>
  <c r="AA2870" i="2" s="1"/>
  <c r="AA2866" i="2"/>
  <c r="AA2867" i="2" l="1"/>
  <c r="AA2903" i="2"/>
  <c r="AA2892" i="2"/>
  <c r="AC2901" i="2"/>
  <c r="AA2891" i="2"/>
  <c r="AA2880" i="2"/>
  <c r="AA2879" i="2"/>
  <c r="AA2884" i="2" s="1"/>
  <c r="AA2894" i="2" l="1"/>
  <c r="AA2893" i="2"/>
  <c r="AA2898" i="2" s="1"/>
  <c r="AA2868" i="2"/>
  <c r="AA2869" i="2" s="1"/>
  <c r="AA2872" i="2" s="1"/>
  <c r="AB2873" i="2" s="1"/>
  <c r="AA2881" i="2"/>
  <c r="AA2882" i="2" s="1"/>
  <c r="AA2883" i="2" s="1"/>
  <c r="AA2886" i="2" s="1"/>
  <c r="AB2887" i="2" s="1"/>
  <c r="AA2905" i="2"/>
  <c r="AA2917" i="2"/>
  <c r="AC2915" i="2"/>
  <c r="AA2906" i="2"/>
  <c r="AA2895" i="2" l="1"/>
  <c r="AA2907" i="2"/>
  <c r="AA2912" i="2" s="1"/>
  <c r="AA2908" i="2"/>
  <c r="AC2929" i="2"/>
  <c r="AA2920" i="2"/>
  <c r="AA2919" i="2"/>
  <c r="AA2931" i="2"/>
  <c r="AA2896" i="2" l="1"/>
  <c r="AA2897" i="2" s="1"/>
  <c r="AA2900" i="2" s="1"/>
  <c r="AB2901" i="2" s="1"/>
  <c r="AA2921" i="2"/>
  <c r="AA2926" i="2" s="1"/>
  <c r="AA2922" i="2"/>
  <c r="AA2945" i="2"/>
  <c r="AC2943" i="2"/>
  <c r="AA2933" i="2"/>
  <c r="AA2934" i="2"/>
  <c r="AA2909" i="2"/>
  <c r="AA2910" i="2" s="1"/>
  <c r="AA2911" i="2" s="1"/>
  <c r="AA2914" i="2" s="1"/>
  <c r="AB2915" i="2" s="1"/>
  <c r="AA2936" i="2" l="1"/>
  <c r="AA2935" i="2"/>
  <c r="AA2940" i="2" s="1"/>
  <c r="AA2947" i="2"/>
  <c r="AC2957" i="2"/>
  <c r="AA2959" i="2"/>
  <c r="AA2948" i="2"/>
  <c r="AA2923" i="2"/>
  <c r="AA2937" i="2" l="1"/>
  <c r="AA2950" i="2"/>
  <c r="AA2949" i="2"/>
  <c r="AA2954" i="2" s="1"/>
  <c r="AC2971" i="2"/>
  <c r="AA2962" i="2"/>
  <c r="AA2961" i="2"/>
  <c r="AA2973" i="2"/>
  <c r="AA2924" i="2"/>
  <c r="AA2925" i="2" s="1"/>
  <c r="AA2928" i="2" s="1"/>
  <c r="AB2929" i="2" s="1"/>
  <c r="AA2964" i="2" l="1"/>
  <c r="AA2963" i="2"/>
  <c r="AA2968" i="2" s="1"/>
  <c r="AA2951" i="2"/>
  <c r="AA2952" i="2" s="1"/>
  <c r="AA2953" i="2" s="1"/>
  <c r="AA2956" i="2" s="1"/>
  <c r="AB2957" i="2" s="1"/>
  <c r="AA2938" i="2"/>
  <c r="AA2939" i="2" s="1"/>
  <c r="AA2942" i="2" s="1"/>
  <c r="AB2943" i="2" s="1"/>
  <c r="AA2976" i="2"/>
  <c r="AA2987" i="2"/>
  <c r="AC2985" i="2"/>
  <c r="AA2975" i="2"/>
  <c r="AA2977" i="2" l="1"/>
  <c r="AA2982" i="2" s="1"/>
  <c r="AA2978" i="2"/>
  <c r="AA2965" i="2"/>
  <c r="AC2999" i="2"/>
  <c r="AA2989" i="2"/>
  <c r="AA2990" i="2"/>
  <c r="AA3001" i="2"/>
  <c r="AA2979" i="2" l="1"/>
  <c r="AA2966" i="2"/>
  <c r="AA2967" i="2" s="1"/>
  <c r="AA2970" i="2" s="1"/>
  <c r="AB2971" i="2" s="1"/>
  <c r="AA2992" i="2"/>
  <c r="AA2991" i="2"/>
  <c r="AA2996" i="2" s="1"/>
  <c r="AA3003" i="2"/>
  <c r="AA3004" i="2"/>
  <c r="AC3013" i="2"/>
  <c r="AA3015" i="2"/>
  <c r="AA2993" i="2" l="1"/>
  <c r="AA2980" i="2"/>
  <c r="AA2981" i="2" s="1"/>
  <c r="AA2984" i="2" s="1"/>
  <c r="AB2985" i="2" s="1"/>
  <c r="AA3018" i="2"/>
  <c r="AA3017" i="2"/>
  <c r="AA3029" i="2"/>
  <c r="AC3027" i="2"/>
  <c r="AA3005" i="2"/>
  <c r="AA3010" i="2" s="1"/>
  <c r="AA3006" i="2"/>
  <c r="AA3020" i="2" l="1"/>
  <c r="AA3019" i="2"/>
  <c r="AA3024" i="2" s="1"/>
  <c r="AA3007" i="2"/>
  <c r="AA2994" i="2"/>
  <c r="AA2995" i="2" s="1"/>
  <c r="AA2998" i="2" s="1"/>
  <c r="AB2999" i="2" s="1"/>
  <c r="AA3032" i="2"/>
  <c r="AA3043" i="2"/>
  <c r="AC3041" i="2"/>
  <c r="AA3031" i="2"/>
  <c r="AA3021" i="2" l="1"/>
  <c r="AA3008" i="2"/>
  <c r="AA3009" i="2" s="1"/>
  <c r="AA3012" i="2" s="1"/>
  <c r="AB3013" i="2" s="1"/>
  <c r="AA3034" i="2"/>
  <c r="AA3033" i="2"/>
  <c r="AA3038" i="2" s="1"/>
  <c r="AC3055" i="2"/>
  <c r="AA3045" i="2"/>
  <c r="AA3046" i="2"/>
  <c r="AA3057" i="2"/>
  <c r="AA3035" i="2" l="1"/>
  <c r="AA3036" i="2" s="1"/>
  <c r="AA3037" i="2" s="1"/>
  <c r="AA3040" i="2" s="1"/>
  <c r="AB3041" i="2" s="1"/>
  <c r="AA3022" i="2"/>
  <c r="AA3023" i="2" s="1"/>
  <c r="AA3026" i="2" s="1"/>
  <c r="AB3027" i="2" s="1"/>
  <c r="AC3069" i="2"/>
  <c r="AA3071" i="2"/>
  <c r="AA3060" i="2"/>
  <c r="AA3059" i="2"/>
  <c r="AA3048" i="2"/>
  <c r="AA3047" i="2"/>
  <c r="AA3052" i="2" s="1"/>
  <c r="AA3061" i="2" l="1"/>
  <c r="AA3066" i="2" s="1"/>
  <c r="AA3062" i="2"/>
  <c r="AA3049" i="2"/>
  <c r="AA3050" i="2" s="1"/>
  <c r="AA3051" i="2" s="1"/>
  <c r="AA3054" i="2" s="1"/>
  <c r="AB3055" i="2" s="1"/>
  <c r="AA3085" i="2"/>
  <c r="AC3083" i="2"/>
  <c r="AA3074" i="2"/>
  <c r="AA3073" i="2"/>
  <c r="AC3097" i="2" l="1"/>
  <c r="AA3087" i="2"/>
  <c r="AA3099" i="2"/>
  <c r="AA3088" i="2"/>
  <c r="AA3063" i="2"/>
  <c r="AA3075" i="2"/>
  <c r="AA3080" i="2" s="1"/>
  <c r="AA3076" i="2"/>
  <c r="AA3077" i="2" l="1"/>
  <c r="AA3078" i="2" s="1"/>
  <c r="AA3079" i="2" s="1"/>
  <c r="AA3082" i="2" s="1"/>
  <c r="AB3083" i="2" s="1"/>
  <c r="AC3111" i="2"/>
  <c r="AA3101" i="2"/>
  <c r="AA3102" i="2"/>
  <c r="AA3113" i="2"/>
  <c r="AA3090" i="2"/>
  <c r="AA3089" i="2"/>
  <c r="AA3094" i="2" s="1"/>
  <c r="AA3064" i="2"/>
  <c r="AA3065" i="2" s="1"/>
  <c r="AA3068" i="2" s="1"/>
  <c r="AB3069" i="2" s="1"/>
  <c r="AA3127" i="2" l="1"/>
  <c r="AA3116" i="2"/>
  <c r="AC3125" i="2"/>
  <c r="AA3115" i="2"/>
  <c r="AA3091" i="2"/>
  <c r="AA3104" i="2"/>
  <c r="AA3103" i="2"/>
  <c r="AA3108" i="2" s="1"/>
  <c r="AC3139" i="2" l="1"/>
  <c r="AA3130" i="2"/>
  <c r="AA3129" i="2"/>
  <c r="AA3141" i="2"/>
  <c r="AA3092" i="2"/>
  <c r="AA3093" i="2" s="1"/>
  <c r="AA3096" i="2" s="1"/>
  <c r="AB3097" i="2" s="1"/>
  <c r="AA3105" i="2"/>
  <c r="AA3106" i="2" s="1"/>
  <c r="AA3107" i="2" s="1"/>
  <c r="AA3110" i="2" s="1"/>
  <c r="AB3111" i="2" s="1"/>
  <c r="AA3118" i="2"/>
  <c r="AA3117" i="2"/>
  <c r="AA3122" i="2" s="1"/>
  <c r="AA3119" i="2" l="1"/>
  <c r="AA3132" i="2"/>
  <c r="AA3131" i="2"/>
  <c r="AA3136" i="2" s="1"/>
  <c r="AA3144" i="2"/>
  <c r="AA3143" i="2"/>
  <c r="AA3155" i="2"/>
  <c r="AC3153" i="2"/>
  <c r="AA3120" i="2" l="1"/>
  <c r="AA3121" i="2" s="1"/>
  <c r="AA3124" i="2" s="1"/>
  <c r="AB3125" i="2" s="1"/>
  <c r="AA3146" i="2"/>
  <c r="AA3145" i="2"/>
  <c r="AA3150" i="2" s="1"/>
  <c r="AC3167" i="2"/>
  <c r="AA3158" i="2"/>
  <c r="AA3169" i="2"/>
  <c r="AA3157" i="2"/>
  <c r="AA3133" i="2"/>
  <c r="AA3134" i="2" s="1"/>
  <c r="AA3135" i="2" s="1"/>
  <c r="AA3138" i="2" s="1"/>
  <c r="AB3139" i="2" s="1"/>
  <c r="AC3181" i="2" l="1"/>
  <c r="AA3172" i="2"/>
  <c r="AA3171" i="2"/>
  <c r="AA3183" i="2"/>
  <c r="AA3147" i="2"/>
  <c r="AA3148" i="2" s="1"/>
  <c r="AA3149" i="2" s="1"/>
  <c r="AA3152" i="2" s="1"/>
  <c r="AB3153" i="2" s="1"/>
  <c r="AA3159" i="2"/>
  <c r="AA3164" i="2" s="1"/>
  <c r="AA3160" i="2"/>
  <c r="AA3174" i="2" l="1"/>
  <c r="AA3173" i="2"/>
  <c r="AA3178" i="2" s="1"/>
  <c r="AA3161" i="2"/>
  <c r="AA3162" i="2" s="1"/>
  <c r="AA3163" i="2" s="1"/>
  <c r="AA3166" i="2" s="1"/>
  <c r="AB3167" i="2" s="1"/>
  <c r="AA3185" i="2"/>
  <c r="AA3197" i="2"/>
  <c r="AC3195" i="2"/>
  <c r="AA3186" i="2"/>
  <c r="AA3188" i="2" l="1"/>
  <c r="AA3187" i="2"/>
  <c r="AA3192" i="2" s="1"/>
  <c r="AC3209" i="2"/>
  <c r="AA3200" i="2"/>
  <c r="AA3199" i="2"/>
  <c r="AA3211" i="2"/>
  <c r="AA3175" i="2"/>
  <c r="AA3201" i="2" l="1"/>
  <c r="AA3206" i="2" s="1"/>
  <c r="AA3202" i="2"/>
  <c r="AA3189" i="2"/>
  <c r="AA3225" i="2"/>
  <c r="AC3223" i="2"/>
  <c r="AA3213" i="2"/>
  <c r="AA3214" i="2"/>
  <c r="AA3176" i="2"/>
  <c r="AA3177" i="2" s="1"/>
  <c r="AA3180" i="2" s="1"/>
  <c r="AB3181" i="2" s="1"/>
  <c r="AA3228" i="2" l="1"/>
  <c r="AA3227" i="2"/>
  <c r="AA3239" i="2"/>
  <c r="AC3237" i="2"/>
  <c r="AA3216" i="2"/>
  <c r="AA3215" i="2"/>
  <c r="AA3220" i="2" s="1"/>
  <c r="AA3203" i="2"/>
  <c r="AA3204" i="2" s="1"/>
  <c r="AA3205" i="2" s="1"/>
  <c r="AA3208" i="2" s="1"/>
  <c r="AB3209" i="2" s="1"/>
  <c r="AA3190" i="2"/>
  <c r="AA3191" i="2" s="1"/>
  <c r="AA3194" i="2" s="1"/>
  <c r="AB3195" i="2" s="1"/>
  <c r="AA3230" i="2" l="1"/>
  <c r="AA3229" i="2"/>
  <c r="AA3234" i="2" s="1"/>
  <c r="AC3251" i="2"/>
  <c r="AA3242" i="2"/>
  <c r="AA3241" i="2"/>
  <c r="AA3253" i="2"/>
  <c r="AA3217" i="2"/>
  <c r="AA3218" i="2" l="1"/>
  <c r="AA3219" i="2" s="1"/>
  <c r="AA3222" i="2" s="1"/>
  <c r="AB3223" i="2" s="1"/>
  <c r="AA3243" i="2"/>
  <c r="AA3248" i="2" s="1"/>
  <c r="AA3244" i="2"/>
  <c r="AA3231" i="2"/>
  <c r="AA3255" i="2"/>
  <c r="AA3267" i="2"/>
  <c r="AC3265" i="2"/>
  <c r="AA3256" i="2"/>
  <c r="AA3232" i="2" l="1"/>
  <c r="AA3233" i="2" s="1"/>
  <c r="AA3236" i="2" s="1"/>
  <c r="AB3237" i="2" s="1"/>
  <c r="AA3257" i="2"/>
  <c r="AA3262" i="2" s="1"/>
  <c r="AA3258" i="2"/>
  <c r="AA3281" i="2"/>
  <c r="AC3279" i="2"/>
  <c r="AA3269" i="2"/>
  <c r="AA3270" i="2"/>
  <c r="AA3245" i="2"/>
  <c r="AA3284" i="2" l="1"/>
  <c r="AA3283" i="2"/>
  <c r="AC3293" i="2"/>
  <c r="AA3295" i="2"/>
  <c r="AA3246" i="2"/>
  <c r="AA3247" i="2" s="1"/>
  <c r="AA3250" i="2" s="1"/>
  <c r="AB3251" i="2" s="1"/>
  <c r="AA3271" i="2"/>
  <c r="AA3276" i="2" s="1"/>
  <c r="AA3272" i="2"/>
  <c r="AA3259" i="2"/>
  <c r="AA3273" i="2" l="1"/>
  <c r="AA3274" i="2" s="1"/>
  <c r="AA3275" i="2" s="1"/>
  <c r="AA3278" i="2" s="1"/>
  <c r="AB3279" i="2" s="1"/>
  <c r="AA3286" i="2"/>
  <c r="AA3285" i="2"/>
  <c r="AA3290" i="2" s="1"/>
  <c r="AA3260" i="2"/>
  <c r="AA3261" i="2" s="1"/>
  <c r="AA3264" i="2" s="1"/>
  <c r="AB3265" i="2" s="1"/>
  <c r="AC3307" i="2"/>
  <c r="AA3297" i="2"/>
  <c r="AA3309" i="2"/>
  <c r="AA3298" i="2"/>
  <c r="AA3287" i="2" l="1"/>
  <c r="AA3323" i="2"/>
  <c r="AA3312" i="2"/>
  <c r="AA3311" i="2"/>
  <c r="AC3321" i="2"/>
  <c r="AA3300" i="2"/>
  <c r="AA3299" i="2"/>
  <c r="AA3304" i="2" s="1"/>
  <c r="AA3314" i="2" l="1"/>
  <c r="AA3313" i="2"/>
  <c r="AA3318" i="2" s="1"/>
  <c r="AA3288" i="2"/>
  <c r="AA3289" i="2" s="1"/>
  <c r="AA3292" i="2" s="1"/>
  <c r="AB3293" i="2" s="1"/>
  <c r="AA3301" i="2"/>
  <c r="AC3335" i="2"/>
  <c r="AA3325" i="2"/>
  <c r="AA3326" i="2"/>
  <c r="AA3337" i="2"/>
  <c r="AA3339" i="2" l="1"/>
  <c r="AA3351" i="2"/>
  <c r="AA3340" i="2"/>
  <c r="AC3349" i="2"/>
  <c r="AA3302" i="2"/>
  <c r="AA3303" i="2" s="1"/>
  <c r="AA3306" i="2" s="1"/>
  <c r="AB3307" i="2" s="1"/>
  <c r="AA3315" i="2"/>
  <c r="AA3316" i="2" s="1"/>
  <c r="AA3317" i="2" s="1"/>
  <c r="AA3320" i="2" s="1"/>
  <c r="AB3321" i="2" s="1"/>
  <c r="AA3327" i="2"/>
  <c r="AA3332" i="2" s="1"/>
  <c r="AA3328" i="2"/>
  <c r="AA3341" i="2" l="1"/>
  <c r="AA3346" i="2" s="1"/>
  <c r="AA3342" i="2"/>
  <c r="AA3329" i="2"/>
  <c r="AC3363" i="2"/>
  <c r="AA3354" i="2"/>
  <c r="AA3353" i="2"/>
  <c r="AA3365" i="2"/>
  <c r="AA3343" i="2" l="1"/>
  <c r="AA3356" i="2"/>
  <c r="AA3355" i="2"/>
  <c r="AA3360" i="2" s="1"/>
  <c r="AA3330" i="2"/>
  <c r="AA3331" i="2" s="1"/>
  <c r="AA3334" i="2" s="1"/>
  <c r="AB3335" i="2" s="1"/>
  <c r="AA3379" i="2"/>
  <c r="AC3377" i="2"/>
  <c r="AA3368" i="2"/>
  <c r="AA3367" i="2"/>
  <c r="AA3344" i="2" l="1"/>
  <c r="AA3345" i="2" s="1"/>
  <c r="AA3348" i="2" s="1"/>
  <c r="AB3349" i="2" s="1"/>
  <c r="AA3369" i="2"/>
  <c r="AA3374" i="2" s="1"/>
  <c r="AA3370" i="2"/>
  <c r="AA3393" i="2"/>
  <c r="AA3381" i="2"/>
  <c r="AA3382" i="2"/>
  <c r="AC3391" i="2"/>
  <c r="AA3357" i="2"/>
  <c r="AA3395" i="2" l="1"/>
  <c r="AC3405" i="2"/>
  <c r="AA3407" i="2"/>
  <c r="AA3396" i="2"/>
  <c r="AA3358" i="2"/>
  <c r="AA3359" i="2" s="1"/>
  <c r="AA3362" i="2" s="1"/>
  <c r="AB3363" i="2" s="1"/>
  <c r="AA3384" i="2"/>
  <c r="AA3383" i="2"/>
  <c r="AA3388" i="2" s="1"/>
  <c r="AA3371" i="2"/>
  <c r="AA3398" i="2" l="1"/>
  <c r="AA3397" i="2"/>
  <c r="AA3402" i="2" s="1"/>
  <c r="AA3372" i="2"/>
  <c r="AA3373" i="2" s="1"/>
  <c r="AA3376" i="2" s="1"/>
  <c r="AB3377" i="2" s="1"/>
  <c r="AC3419" i="2"/>
  <c r="AA3409" i="2"/>
  <c r="AA3421" i="2"/>
  <c r="AA3410" i="2"/>
  <c r="AA3385" i="2"/>
  <c r="AA3399" i="2" l="1"/>
  <c r="AA3386" i="2"/>
  <c r="AA3387" i="2" s="1"/>
  <c r="AA3390" i="2" s="1"/>
  <c r="AB3391" i="2" s="1"/>
  <c r="AA3412" i="2"/>
  <c r="AA3411" i="2"/>
  <c r="AA3416" i="2" s="1"/>
  <c r="AA3424" i="2"/>
  <c r="AA3423" i="2"/>
  <c r="AA3435" i="2"/>
  <c r="AC3433" i="2"/>
  <c r="AA3438" i="2" l="1"/>
  <c r="AA3449" i="2"/>
  <c r="AC3447" i="2"/>
  <c r="AA3437" i="2"/>
  <c r="AA3413" i="2"/>
  <c r="AA3400" i="2"/>
  <c r="AA3401" i="2" s="1"/>
  <c r="AA3404" i="2" s="1"/>
  <c r="AB3405" i="2" s="1"/>
  <c r="AA3425" i="2"/>
  <c r="AA3430" i="2" s="1"/>
  <c r="AA3426" i="2"/>
  <c r="AC3461" i="2" l="1"/>
  <c r="AA3451" i="2"/>
  <c r="AA3463" i="2"/>
  <c r="AA3452" i="2"/>
  <c r="AA3427" i="2"/>
  <c r="AA3414" i="2"/>
  <c r="AA3415" i="2" s="1"/>
  <c r="AA3418" i="2" s="1"/>
  <c r="AB3419" i="2" s="1"/>
  <c r="AA3440" i="2"/>
  <c r="AA3439" i="2"/>
  <c r="AA3444" i="2" s="1"/>
  <c r="AA3441" i="2" l="1"/>
  <c r="AA3428" i="2"/>
  <c r="AA3429" i="2" s="1"/>
  <c r="AA3432" i="2" s="1"/>
  <c r="AB3433" i="2" s="1"/>
  <c r="AA3454" i="2"/>
  <c r="AA3453" i="2"/>
  <c r="AA3458" i="2" s="1"/>
  <c r="AC3475" i="2"/>
  <c r="AA3465" i="2"/>
  <c r="AA3477" i="2"/>
  <c r="AA3466" i="2"/>
  <c r="AA3479" i="2" l="1"/>
  <c r="AA3491" i="2"/>
  <c r="AC3489" i="2"/>
  <c r="AA3480" i="2"/>
  <c r="AA3455" i="2"/>
  <c r="AA3442" i="2"/>
  <c r="AA3443" i="2" s="1"/>
  <c r="AA3446" i="2" s="1"/>
  <c r="AB3447" i="2" s="1"/>
  <c r="AA3468" i="2"/>
  <c r="AA3467" i="2"/>
  <c r="AA3472" i="2" s="1"/>
  <c r="AA3469" i="2" l="1"/>
  <c r="AA3481" i="2"/>
  <c r="AA3486" i="2" s="1"/>
  <c r="AA3482" i="2"/>
  <c r="AA3456" i="2"/>
  <c r="AA3457" i="2" s="1"/>
  <c r="AA3460" i="2" s="1"/>
  <c r="AB3461" i="2" s="1"/>
  <c r="AA3493" i="2"/>
  <c r="AA3505" i="2"/>
  <c r="AC3503" i="2"/>
  <c r="AA3494" i="2"/>
  <c r="AA3470" i="2" l="1"/>
  <c r="AA3471" i="2" s="1"/>
  <c r="AA3474" i="2" s="1"/>
  <c r="AB3475" i="2" s="1"/>
  <c r="AA3496" i="2"/>
  <c r="AA3495" i="2"/>
  <c r="AA3500" i="2" s="1"/>
  <c r="AA3508" i="2"/>
  <c r="AA3507" i="2"/>
  <c r="AC3517" i="2"/>
  <c r="AA3519" i="2"/>
  <c r="AA3483" i="2"/>
  <c r="AA3497" i="2" l="1"/>
  <c r="AA3522" i="2"/>
  <c r="AA3521" i="2"/>
  <c r="AA3533" i="2"/>
  <c r="AC3531" i="2"/>
  <c r="AA3484" i="2"/>
  <c r="AA3485" i="2" s="1"/>
  <c r="AA3488" i="2" s="1"/>
  <c r="AB3489" i="2" s="1"/>
  <c r="AA3510" i="2"/>
  <c r="AA3509" i="2"/>
  <c r="AA3514" i="2" s="1"/>
  <c r="AA3511" i="2" l="1"/>
  <c r="AC3545" i="2"/>
  <c r="AA3536" i="2"/>
  <c r="AA3535" i="2"/>
  <c r="AA3547" i="2"/>
  <c r="AA3498" i="2"/>
  <c r="AA3499" i="2" s="1"/>
  <c r="AA3502" i="2" s="1"/>
  <c r="AB3503" i="2" s="1"/>
  <c r="AA3523" i="2"/>
  <c r="AA3528" i="2" s="1"/>
  <c r="AA3524" i="2"/>
  <c r="AA3537" i="2" l="1"/>
  <c r="AA3542" i="2" s="1"/>
  <c r="AA3538" i="2"/>
  <c r="AA3512" i="2"/>
  <c r="AA3513" i="2" s="1"/>
  <c r="AA3516" i="2" s="1"/>
  <c r="AB3517" i="2" s="1"/>
  <c r="AA3561" i="2"/>
  <c r="AC3559" i="2"/>
  <c r="AA3549" i="2"/>
  <c r="AA3550" i="2"/>
  <c r="AA3525" i="2"/>
  <c r="AA3539" i="2" l="1"/>
  <c r="AA3564" i="2"/>
  <c r="AC3573" i="2"/>
  <c r="AA3575" i="2"/>
  <c r="AA3563" i="2"/>
  <c r="AA3526" i="2"/>
  <c r="AA3527" i="2" s="1"/>
  <c r="AA3530" i="2" s="1"/>
  <c r="AB3531" i="2" s="1"/>
  <c r="AA3552" i="2"/>
  <c r="AA3551" i="2"/>
  <c r="AA3556" i="2" s="1"/>
  <c r="AA3553" i="2" l="1"/>
  <c r="AC3587" i="2"/>
  <c r="AA3578" i="2"/>
  <c r="AA3577" i="2"/>
  <c r="AA3589" i="2"/>
  <c r="AA3540" i="2"/>
  <c r="AA3541" i="2" s="1"/>
  <c r="AA3544" i="2" s="1"/>
  <c r="AB3545" i="2" s="1"/>
  <c r="AA3566" i="2"/>
  <c r="AA3565" i="2"/>
  <c r="AA3570" i="2" s="1"/>
  <c r="AA3567" i="2" l="1"/>
  <c r="AA3579" i="2"/>
  <c r="AA3584" i="2" s="1"/>
  <c r="AA3580" i="2"/>
  <c r="AA3554" i="2"/>
  <c r="AA3555" i="2" s="1"/>
  <c r="AA3558" i="2" s="1"/>
  <c r="AB3559" i="2" s="1"/>
  <c r="AA3592" i="2"/>
  <c r="AA3603" i="2"/>
  <c r="AC3601" i="2"/>
  <c r="AA3591" i="2"/>
  <c r="AA3568" i="2" l="1"/>
  <c r="AA3569" i="2" s="1"/>
  <c r="AA3572" i="2" s="1"/>
  <c r="AB3573" i="2" s="1"/>
  <c r="AA3594" i="2"/>
  <c r="AA3593" i="2"/>
  <c r="AA3598" i="2" s="1"/>
  <c r="AA3617" i="2"/>
  <c r="AA3605" i="2"/>
  <c r="AC3615" i="2"/>
  <c r="AA3606" i="2"/>
  <c r="AA3581" i="2"/>
  <c r="AA3620" i="2" l="1"/>
  <c r="AA3619" i="2"/>
  <c r="AC3629" i="2"/>
  <c r="AA3631" i="2"/>
  <c r="AA3607" i="2"/>
  <c r="AA3612" i="2" s="1"/>
  <c r="AA3608" i="2"/>
  <c r="AA3595" i="2"/>
  <c r="AA3582" i="2"/>
  <c r="AA3583" i="2" s="1"/>
  <c r="AA3586" i="2" s="1"/>
  <c r="AB3587" i="2" s="1"/>
  <c r="AA3609" i="2" l="1"/>
  <c r="AA3622" i="2"/>
  <c r="AA3621" i="2"/>
  <c r="AA3626" i="2" s="1"/>
  <c r="AA3596" i="2"/>
  <c r="AA3597" i="2" s="1"/>
  <c r="AA3600" i="2" s="1"/>
  <c r="AB3601" i="2" s="1"/>
  <c r="AA3645" i="2"/>
  <c r="AC3643" i="2"/>
  <c r="AA3634" i="2"/>
  <c r="AA3633" i="2"/>
  <c r="AA3635" i="2" l="1"/>
  <c r="AA3640" i="2" s="1"/>
  <c r="AA3636" i="2"/>
  <c r="AA3648" i="2"/>
  <c r="AA3659" i="2"/>
  <c r="AC3657" i="2"/>
  <c r="AA3647" i="2"/>
  <c r="AA3610" i="2"/>
  <c r="AA3611" i="2" s="1"/>
  <c r="AA3614" i="2" s="1"/>
  <c r="AB3615" i="2" s="1"/>
  <c r="AA3623" i="2"/>
  <c r="AA3624" i="2" l="1"/>
  <c r="AA3625" i="2" s="1"/>
  <c r="AA3628" i="2" s="1"/>
  <c r="AB3629" i="2" s="1"/>
  <c r="AA3649" i="2"/>
  <c r="AA3654" i="2" s="1"/>
  <c r="AA3650" i="2"/>
  <c r="AA3637" i="2"/>
  <c r="AA3662" i="2"/>
  <c r="AA3673" i="2"/>
  <c r="AA3661" i="2"/>
  <c r="AC3671" i="2"/>
  <c r="AA3664" i="2" l="1"/>
  <c r="AA3663" i="2"/>
  <c r="AA3668" i="2" s="1"/>
  <c r="AA3638" i="2"/>
  <c r="AA3639" i="2" s="1"/>
  <c r="AA3642" i="2" s="1"/>
  <c r="AB3643" i="2" s="1"/>
  <c r="AA3675" i="2"/>
  <c r="AC3685" i="2"/>
  <c r="AA3687" i="2"/>
  <c r="AA3676" i="2"/>
  <c r="AA3651" i="2"/>
  <c r="AA3690" i="2" l="1"/>
  <c r="AA3689" i="2"/>
  <c r="AA3701" i="2"/>
  <c r="AC3699" i="2"/>
  <c r="AA3652" i="2"/>
  <c r="AA3653" i="2" s="1"/>
  <c r="AA3656" i="2" s="1"/>
  <c r="AB3657" i="2" s="1"/>
  <c r="AA3677" i="2"/>
  <c r="AA3682" i="2" s="1"/>
  <c r="AA3678" i="2"/>
  <c r="AA3665" i="2"/>
  <c r="AA3666" i="2" l="1"/>
  <c r="AA3667" i="2" s="1"/>
  <c r="AA3670" i="2" s="1"/>
  <c r="AB3671" i="2" s="1"/>
  <c r="AA3691" i="2"/>
  <c r="AA3696" i="2" s="1"/>
  <c r="AA3692" i="2"/>
  <c r="AC3713" i="2"/>
  <c r="AA3703" i="2"/>
  <c r="AA3704" i="2"/>
  <c r="AA3715" i="2"/>
  <c r="AA3679" i="2"/>
  <c r="AA3706" i="2" l="1"/>
  <c r="AA3705" i="2"/>
  <c r="AA3710" i="2" s="1"/>
  <c r="AA3680" i="2"/>
  <c r="AA3681" i="2" s="1"/>
  <c r="AA3684" i="2" s="1"/>
  <c r="AB3685" i="2" s="1"/>
  <c r="AC3727" i="2"/>
  <c r="AA3729" i="2"/>
  <c r="AA3718" i="2"/>
  <c r="AA3717" i="2"/>
  <c r="AA3693" i="2"/>
  <c r="AA3707" i="2" l="1"/>
  <c r="AA3719" i="2"/>
  <c r="AA3724" i="2" s="1"/>
  <c r="AA3720" i="2"/>
  <c r="AA3694" i="2"/>
  <c r="AA3695" i="2" s="1"/>
  <c r="AA3698" i="2" s="1"/>
  <c r="AB3699" i="2" s="1"/>
  <c r="AC3741" i="2"/>
  <c r="AA3732" i="2"/>
  <c r="AA3731" i="2"/>
  <c r="AA3743" i="2"/>
  <c r="AA3734" i="2" l="1"/>
  <c r="AA3733" i="2"/>
  <c r="AA3738" i="2" s="1"/>
  <c r="AA3708" i="2"/>
  <c r="AA3709" i="2" s="1"/>
  <c r="AA3712" i="2" s="1"/>
  <c r="AB3713" i="2" s="1"/>
  <c r="AA3721" i="2"/>
  <c r="AA3746" i="2"/>
  <c r="AA3745" i="2"/>
  <c r="AA3757" i="2"/>
  <c r="AC3755" i="2"/>
  <c r="AA3735" i="2" l="1"/>
  <c r="AA3722" i="2"/>
  <c r="AA3723" i="2" s="1"/>
  <c r="AA3726" i="2" s="1"/>
  <c r="AB3727" i="2" s="1"/>
  <c r="AA3760" i="2"/>
  <c r="AA3771" i="2"/>
  <c r="AC3769" i="2"/>
  <c r="AA3759" i="2"/>
  <c r="AA3747" i="2"/>
  <c r="AA3752" i="2" s="1"/>
  <c r="AA3748" i="2"/>
  <c r="AA3761" i="2" l="1"/>
  <c r="AA3766" i="2" s="1"/>
  <c r="AA3762" i="2"/>
  <c r="AA3773" i="2"/>
  <c r="AC3783" i="2"/>
  <c r="AA3774" i="2"/>
  <c r="AA3785" i="2"/>
  <c r="AA3736" i="2"/>
  <c r="AA3737" i="2" s="1"/>
  <c r="AA3740" i="2" s="1"/>
  <c r="AB3741" i="2" s="1"/>
  <c r="AA3749" i="2"/>
  <c r="AA3775" i="2" l="1"/>
  <c r="AA3780" i="2" s="1"/>
  <c r="AA3776" i="2"/>
  <c r="AA3788" i="2"/>
  <c r="AA3787" i="2"/>
  <c r="AC3797" i="2"/>
  <c r="AA3799" i="2"/>
  <c r="AA3763" i="2"/>
  <c r="AA3750" i="2"/>
  <c r="AA3751" i="2" s="1"/>
  <c r="AA3754" i="2" s="1"/>
  <c r="AB3755" i="2" s="1"/>
  <c r="AC3811" i="2" l="1"/>
  <c r="AA3801" i="2"/>
  <c r="AA3813" i="2"/>
  <c r="AA3802" i="2"/>
  <c r="AA3777" i="2"/>
  <c r="AA3764" i="2"/>
  <c r="AA3765" i="2" s="1"/>
  <c r="AA3768" i="2" s="1"/>
  <c r="AB3769" i="2" s="1"/>
  <c r="AA3790" i="2"/>
  <c r="AA3789" i="2"/>
  <c r="AA3794" i="2" s="1"/>
  <c r="AA3804" i="2" l="1"/>
  <c r="AA3803" i="2"/>
  <c r="AA3808" i="2" s="1"/>
  <c r="AA3816" i="2"/>
  <c r="AC3825" i="2"/>
  <c r="AA3815" i="2"/>
  <c r="AA3827" i="2"/>
  <c r="AA3791" i="2"/>
  <c r="AA3778" i="2"/>
  <c r="AA3779" i="2" s="1"/>
  <c r="AA3782" i="2" s="1"/>
  <c r="AB3783" i="2" s="1"/>
  <c r="AC3839" i="2" l="1"/>
  <c r="AA3830" i="2"/>
  <c r="AA3841" i="2"/>
  <c r="AA3829" i="2"/>
  <c r="AA3818" i="2"/>
  <c r="AA3817" i="2"/>
  <c r="AA3822" i="2" s="1"/>
  <c r="AA3805" i="2"/>
  <c r="AA3792" i="2"/>
  <c r="AA3793" i="2" s="1"/>
  <c r="AA3796" i="2" s="1"/>
  <c r="AB3797" i="2" s="1"/>
  <c r="AA3806" i="2" l="1"/>
  <c r="AA3807" i="2" s="1"/>
  <c r="AA3810" i="2" s="1"/>
  <c r="AB3811" i="2" s="1"/>
  <c r="AA3831" i="2"/>
  <c r="AA3836" i="2" s="1"/>
  <c r="AA3832" i="2"/>
  <c r="AA3819" i="2"/>
  <c r="AA3844" i="2"/>
  <c r="AA3843" i="2"/>
  <c r="AA3855" i="2"/>
  <c r="AC3853" i="2"/>
  <c r="AA3869" i="2" l="1"/>
  <c r="AC3867" i="2"/>
  <c r="AA3858" i="2"/>
  <c r="AA3857" i="2"/>
  <c r="AA3820" i="2"/>
  <c r="AA3821" i="2" s="1"/>
  <c r="AA3824" i="2" s="1"/>
  <c r="AB3825" i="2" s="1"/>
  <c r="AA3845" i="2"/>
  <c r="AA3850" i="2" s="1"/>
  <c r="AA3846" i="2"/>
  <c r="AA3833" i="2"/>
  <c r="AA3847" i="2" l="1"/>
  <c r="AC3881" i="2"/>
  <c r="AA3883" i="2"/>
  <c r="AA3872" i="2"/>
  <c r="AA3871" i="2"/>
  <c r="AA3834" i="2"/>
  <c r="AA3835" i="2" s="1"/>
  <c r="AA3838" i="2" s="1"/>
  <c r="AB3839" i="2" s="1"/>
  <c r="AA3860" i="2"/>
  <c r="AA3859" i="2"/>
  <c r="AA3864" i="2" s="1"/>
  <c r="AA3861" i="2" l="1"/>
  <c r="AA3874" i="2"/>
  <c r="AA3873" i="2"/>
  <c r="AA3878" i="2" s="1"/>
  <c r="AA3848" i="2"/>
  <c r="AA3849" i="2" s="1"/>
  <c r="AA3852" i="2" s="1"/>
  <c r="AB3853" i="2" s="1"/>
  <c r="AA3885" i="2"/>
  <c r="AA3886" i="2"/>
  <c r="AA3897" i="2"/>
  <c r="AC3895" i="2"/>
  <c r="AA3899" i="2" l="1"/>
  <c r="AA3911" i="2"/>
  <c r="AC3909" i="2"/>
  <c r="AA3900" i="2"/>
  <c r="AA3862" i="2"/>
  <c r="AA3863" i="2" s="1"/>
  <c r="AA3866" i="2" s="1"/>
  <c r="AB3867" i="2" s="1"/>
  <c r="AA3888" i="2"/>
  <c r="AA3887" i="2"/>
  <c r="AA3892" i="2" s="1"/>
  <c r="AA3875" i="2"/>
  <c r="AA3913" i="2" l="1"/>
  <c r="AA3925" i="2"/>
  <c r="AC3923" i="2"/>
  <c r="AA3914" i="2"/>
  <c r="AA3889" i="2"/>
  <c r="AA3876" i="2"/>
  <c r="AA3877" i="2" s="1"/>
  <c r="AA3880" i="2" s="1"/>
  <c r="AB3881" i="2" s="1"/>
  <c r="AA3902" i="2"/>
  <c r="AA3901" i="2"/>
  <c r="AA3906" i="2" s="1"/>
  <c r="AA3890" i="2" l="1"/>
  <c r="AA3891" i="2" s="1"/>
  <c r="AA3894" i="2" s="1"/>
  <c r="AB3895" i="2" s="1"/>
  <c r="AA3915" i="2"/>
  <c r="AA3920" i="2" s="1"/>
  <c r="AA3916" i="2"/>
  <c r="AA3903" i="2"/>
  <c r="AA3927" i="2"/>
  <c r="AC3937" i="2"/>
  <c r="AA3928" i="2"/>
  <c r="AA3939" i="2"/>
  <c r="AA3904" i="2" l="1"/>
  <c r="AA3905" i="2" s="1"/>
  <c r="AA3908" i="2" s="1"/>
  <c r="AB3909" i="2" s="1"/>
  <c r="AA3942" i="2"/>
  <c r="AC3951" i="2"/>
  <c r="AA3941" i="2"/>
  <c r="AA3953" i="2"/>
  <c r="AA3929" i="2"/>
  <c r="AA3934" i="2" s="1"/>
  <c r="AA3930" i="2"/>
  <c r="AA3917" i="2"/>
  <c r="AA3944" i="2" l="1"/>
  <c r="AA3943" i="2"/>
  <c r="AA3948" i="2" s="1"/>
  <c r="AA3918" i="2"/>
  <c r="AA3919" i="2" s="1"/>
  <c r="AA3922" i="2" s="1"/>
  <c r="AB3923" i="2" s="1"/>
  <c r="AA3955" i="2"/>
  <c r="AA3967" i="2"/>
  <c r="AC3965" i="2"/>
  <c r="AA3956" i="2"/>
  <c r="AA3931" i="2"/>
  <c r="AA3932" i="2" l="1"/>
  <c r="AA3933" i="2" s="1"/>
  <c r="AA3936" i="2" s="1"/>
  <c r="AB3937" i="2" s="1"/>
  <c r="AA3945" i="2"/>
  <c r="AA3970" i="2"/>
  <c r="AA3969" i="2"/>
  <c r="AA3981" i="2"/>
  <c r="AC3979" i="2"/>
  <c r="AA3957" i="2"/>
  <c r="AA3962" i="2" s="1"/>
  <c r="AA3958" i="2"/>
  <c r="AA3984" i="2" l="1"/>
  <c r="AA3983" i="2"/>
  <c r="AC3993" i="2"/>
  <c r="AA3995" i="2"/>
  <c r="AA3946" i="2"/>
  <c r="AA3947" i="2" s="1"/>
  <c r="AA3950" i="2" s="1"/>
  <c r="AB3951" i="2" s="1"/>
  <c r="AA3959" i="2"/>
  <c r="AA3972" i="2"/>
  <c r="AA3971" i="2"/>
  <c r="AA3976" i="2" s="1"/>
  <c r="AA3986" i="2" l="1"/>
  <c r="AA3985" i="2"/>
  <c r="AA3990" i="2" s="1"/>
  <c r="AA3973" i="2"/>
  <c r="AA3960" i="2"/>
  <c r="AA3961" i="2" s="1"/>
  <c r="AA3964" i="2" s="1"/>
  <c r="AB3965" i="2" s="1"/>
  <c r="AA4009" i="2"/>
  <c r="AA3997" i="2"/>
  <c r="AA3998" i="2"/>
  <c r="AC4007" i="2"/>
  <c r="AC4021" i="2" l="1"/>
  <c r="AA4012" i="2"/>
  <c r="AA4011" i="2"/>
  <c r="AA4023" i="2"/>
  <c r="AA3987" i="2"/>
  <c r="AA4000" i="2"/>
  <c r="AA3999" i="2"/>
  <c r="AA4004" i="2" s="1"/>
  <c r="AA3974" i="2"/>
  <c r="AA3975" i="2" s="1"/>
  <c r="AA3978" i="2" s="1"/>
  <c r="AB3979" i="2" s="1"/>
  <c r="AA3988" i="2" l="1"/>
  <c r="AA3989" i="2" s="1"/>
  <c r="AA3992" i="2" s="1"/>
  <c r="AB3993" i="2" s="1"/>
  <c r="AA4001" i="2"/>
  <c r="AA4013" i="2"/>
  <c r="AA4018" i="2" s="1"/>
  <c r="AA4014" i="2"/>
  <c r="AA4037" i="2"/>
  <c r="AC4035" i="2"/>
  <c r="AA4026" i="2"/>
  <c r="AA4025" i="2"/>
  <c r="AA4027" i="2" l="1"/>
  <c r="AA4032" i="2" s="1"/>
  <c r="AA4028" i="2"/>
  <c r="AA4051" i="2"/>
  <c r="AA4039" i="2"/>
  <c r="AC4049" i="2"/>
  <c r="AA4040" i="2"/>
  <c r="AA4002" i="2"/>
  <c r="AA4003" i="2" s="1"/>
  <c r="AA4006" i="2" s="1"/>
  <c r="AB4007" i="2" s="1"/>
  <c r="AA4015" i="2"/>
  <c r="AC4063" i="2" l="1"/>
  <c r="AA4053" i="2"/>
  <c r="AA4054" i="2"/>
  <c r="AA4065" i="2"/>
  <c r="AA4016" i="2"/>
  <c r="AA4017" i="2" s="1"/>
  <c r="AA4020" i="2" s="1"/>
  <c r="AB4021" i="2" s="1"/>
  <c r="AA4029" i="2"/>
  <c r="AA4041" i="2"/>
  <c r="AA4046" i="2" s="1"/>
  <c r="AA4042" i="2"/>
  <c r="AA4056" i="2" l="1"/>
  <c r="AA4055" i="2"/>
  <c r="AA4060" i="2" s="1"/>
  <c r="AA4043" i="2"/>
  <c r="AA4030" i="2"/>
  <c r="AA4031" i="2" s="1"/>
  <c r="AA4034" i="2" s="1"/>
  <c r="AB4035" i="2" s="1"/>
  <c r="AA4068" i="2"/>
  <c r="AA4067" i="2"/>
  <c r="AA4079" i="2"/>
  <c r="AC4077" i="2"/>
  <c r="AA4070" i="2" l="1"/>
  <c r="AA4069" i="2"/>
  <c r="AA4074" i="2" s="1"/>
  <c r="AC4091" i="2"/>
  <c r="AA4082" i="2"/>
  <c r="AA4081" i="2"/>
  <c r="AA4093" i="2"/>
  <c r="AA4057" i="2"/>
  <c r="AA4044" i="2"/>
  <c r="AA4045" i="2" s="1"/>
  <c r="AA4048" i="2" s="1"/>
  <c r="AB4049" i="2" s="1"/>
  <c r="AA4084" i="2" l="1"/>
  <c r="AA4083" i="2"/>
  <c r="AA4088" i="2" s="1"/>
  <c r="AA4071" i="2"/>
  <c r="AC4105" i="2"/>
  <c r="AA4107" i="2"/>
  <c r="AA4096" i="2"/>
  <c r="AA4095" i="2"/>
  <c r="AA4058" i="2"/>
  <c r="AA4059" i="2" s="1"/>
  <c r="AA4062" i="2" s="1"/>
  <c r="AB4063" i="2" s="1"/>
  <c r="AC4119" i="2" l="1"/>
  <c r="AA4109" i="2"/>
  <c r="AA4110" i="2"/>
  <c r="AA4121" i="2"/>
  <c r="AA4085" i="2"/>
  <c r="AA4098" i="2"/>
  <c r="AA4097" i="2"/>
  <c r="AA4102" i="2" s="1"/>
  <c r="AA4072" i="2"/>
  <c r="AA4073" i="2" s="1"/>
  <c r="AA4076" i="2" s="1"/>
  <c r="AB4077" i="2" s="1"/>
  <c r="AA4086" i="2" l="1"/>
  <c r="AA4087" i="2" s="1"/>
  <c r="AA4090" i="2" s="1"/>
  <c r="AB4091" i="2" s="1"/>
  <c r="AA4112" i="2"/>
  <c r="AA4111" i="2"/>
  <c r="AA4116" i="2" s="1"/>
  <c r="AA4099" i="2"/>
  <c r="AA4123" i="2"/>
  <c r="AA4135" i="2"/>
  <c r="AC4133" i="2"/>
  <c r="AA4124" i="2"/>
  <c r="AA4100" i="2" l="1"/>
  <c r="AA4101" i="2" s="1"/>
  <c r="AA4104" i="2" s="1"/>
  <c r="AB4105" i="2" s="1"/>
  <c r="AA4125" i="2"/>
  <c r="AA4130" i="2" s="1"/>
  <c r="AA4126" i="2"/>
  <c r="AA4113" i="2"/>
  <c r="AA4149" i="2"/>
  <c r="AC4147" i="2"/>
  <c r="AA4138" i="2"/>
  <c r="AA4137" i="2"/>
  <c r="AC4161" i="2" l="1"/>
  <c r="AA4152" i="2"/>
  <c r="AA4163" i="2"/>
  <c r="AA4151" i="2"/>
  <c r="AA4114" i="2"/>
  <c r="AA4115" i="2" s="1"/>
  <c r="AA4118" i="2" s="1"/>
  <c r="AB4119" i="2" s="1"/>
  <c r="AA4140" i="2"/>
  <c r="AA4139" i="2"/>
  <c r="AA4144" i="2" s="1"/>
  <c r="AA4127" i="2"/>
  <c r="AA4128" i="2" l="1"/>
  <c r="AA4129" i="2" s="1"/>
  <c r="AA4132" i="2" s="1"/>
  <c r="AB4133" i="2" s="1"/>
  <c r="AA4141" i="2"/>
  <c r="AA4177" i="2"/>
  <c r="AC4175" i="2"/>
  <c r="AA4165" i="2"/>
  <c r="AA4166" i="2"/>
  <c r="AA4154" i="2"/>
  <c r="AA4153" i="2"/>
  <c r="AA4158" i="2" s="1"/>
  <c r="AA4180" i="2" l="1"/>
  <c r="AA4191" i="2"/>
  <c r="AC4189" i="2"/>
  <c r="AA4179" i="2"/>
  <c r="AA4155" i="2"/>
  <c r="AA4168" i="2"/>
  <c r="AA4167" i="2"/>
  <c r="AA4172" i="2" s="1"/>
  <c r="AA4142" i="2"/>
  <c r="AA4143" i="2" s="1"/>
  <c r="AA4146" i="2" s="1"/>
  <c r="AB4147" i="2" s="1"/>
  <c r="AA4156" i="2" l="1"/>
  <c r="AA4157" i="2" s="1"/>
  <c r="AA4160" i="2" s="1"/>
  <c r="AB4161" i="2" s="1"/>
  <c r="AA4194" i="2"/>
  <c r="AA4193" i="2"/>
  <c r="AA4205" i="2"/>
  <c r="AC4203" i="2"/>
  <c r="AA4169" i="2"/>
  <c r="AA4181" i="2"/>
  <c r="AA4186" i="2" s="1"/>
  <c r="AA4182" i="2"/>
  <c r="AA4170" i="2" l="1"/>
  <c r="AA4171" i="2" s="1"/>
  <c r="AA4174" i="2" s="1"/>
  <c r="AB4175" i="2" s="1"/>
  <c r="AC4217" i="2"/>
  <c r="AA4219" i="2"/>
  <c r="AA4208" i="2"/>
  <c r="AA4207" i="2"/>
  <c r="AA4183" i="2"/>
  <c r="AA4196" i="2"/>
  <c r="AA4195" i="2"/>
  <c r="AA4200" i="2" s="1"/>
  <c r="AA4210" i="2" l="1"/>
  <c r="AA4209" i="2"/>
  <c r="AA4214" i="2" s="1"/>
  <c r="AA4184" i="2"/>
  <c r="AA4185" i="2" s="1"/>
  <c r="AA4188" i="2" s="1"/>
  <c r="AB4189" i="2" s="1"/>
  <c r="AA4197" i="2"/>
  <c r="AA4221" i="2"/>
  <c r="AA4233" i="2"/>
  <c r="AC4231" i="2"/>
  <c r="AA4222" i="2"/>
  <c r="AA4211" i="2" l="1"/>
  <c r="AA4198" i="2"/>
  <c r="AA4199" i="2" s="1"/>
  <c r="AA4202" i="2" s="1"/>
  <c r="AB4203" i="2" s="1"/>
  <c r="AA4224" i="2"/>
  <c r="AA4223" i="2"/>
  <c r="AA4228" i="2" s="1"/>
  <c r="AA4235" i="2"/>
  <c r="AC4245" i="2"/>
  <c r="AA4236" i="2"/>
  <c r="AA4247" i="2"/>
  <c r="AA4225" i="2" l="1"/>
  <c r="AA4238" i="2"/>
  <c r="AA4237" i="2"/>
  <c r="AA4242" i="2" s="1"/>
  <c r="AA4212" i="2"/>
  <c r="AA4213" i="2" s="1"/>
  <c r="AA4216" i="2" s="1"/>
  <c r="AB4217" i="2" s="1"/>
  <c r="AA4249" i="2"/>
  <c r="AA4261" i="2"/>
  <c r="AC4259" i="2"/>
  <c r="AA4250" i="2"/>
  <c r="AA4226" i="2" l="1"/>
  <c r="AA4227" i="2" s="1"/>
  <c r="AA4230" i="2" s="1"/>
  <c r="AB4231" i="2" s="1"/>
  <c r="AA4252" i="2"/>
  <c r="AA4251" i="2"/>
  <c r="AA4256" i="2" s="1"/>
  <c r="AA4239" i="2"/>
  <c r="AA4264" i="2"/>
  <c r="AA4263" i="2"/>
  <c r="AC4273" i="2"/>
  <c r="AA4275" i="2"/>
  <c r="AA4278" i="2" l="1"/>
  <c r="AA4289" i="2"/>
  <c r="AC4287" i="2"/>
  <c r="AA4277" i="2"/>
  <c r="AA4253" i="2"/>
  <c r="AA4240" i="2"/>
  <c r="AA4241" i="2" s="1"/>
  <c r="AA4244" i="2" s="1"/>
  <c r="AB4245" i="2" s="1"/>
  <c r="AA4265" i="2"/>
  <c r="AA4270" i="2" s="1"/>
  <c r="AA4266" i="2"/>
  <c r="AA4254" i="2" l="1"/>
  <c r="AA4255" i="2" s="1"/>
  <c r="AA4258" i="2" s="1"/>
  <c r="AB4259" i="2" s="1"/>
  <c r="AA4267" i="2"/>
  <c r="AA4291" i="2"/>
  <c r="AA4303" i="2"/>
  <c r="AC4301" i="2"/>
  <c r="AA4292" i="2"/>
  <c r="AA4280" i="2"/>
  <c r="AA4279" i="2"/>
  <c r="AA4284" i="2" s="1"/>
  <c r="AA4281" i="2" l="1"/>
  <c r="AA4305" i="2"/>
  <c r="AA4317" i="2"/>
  <c r="AC4315" i="2"/>
  <c r="AA4306" i="2"/>
  <c r="AA4268" i="2"/>
  <c r="AA4269" i="2" s="1"/>
  <c r="AA4272" i="2" s="1"/>
  <c r="AB4273" i="2" s="1"/>
  <c r="AA4294" i="2"/>
  <c r="AA4293" i="2"/>
  <c r="AA4298" i="2" s="1"/>
  <c r="AA4295" i="2" l="1"/>
  <c r="AA4282" i="2"/>
  <c r="AA4283" i="2" s="1"/>
  <c r="AA4286" i="2" s="1"/>
  <c r="AB4287" i="2" s="1"/>
  <c r="AA4307" i="2"/>
  <c r="AA4312" i="2" s="1"/>
  <c r="AA4308" i="2"/>
  <c r="AA4331" i="2"/>
  <c r="AA4320" i="2"/>
  <c r="AA4319" i="2"/>
  <c r="AC4329" i="2"/>
  <c r="AA4309" i="2" l="1"/>
  <c r="AA4296" i="2"/>
  <c r="AA4297" i="2" s="1"/>
  <c r="AA4300" i="2" s="1"/>
  <c r="AB4301" i="2" s="1"/>
  <c r="AA4321" i="2"/>
  <c r="AA4326" i="2" s="1"/>
  <c r="AA4322" i="2"/>
  <c r="AA4334" i="2"/>
  <c r="AA4345" i="2"/>
  <c r="AC4343" i="2"/>
  <c r="AA4333" i="2"/>
  <c r="AA4336" i="2" l="1"/>
  <c r="AA4335" i="2"/>
  <c r="AA4340" i="2" s="1"/>
  <c r="AA4310" i="2"/>
  <c r="AA4311" i="2" s="1"/>
  <c r="AA4314" i="2" s="1"/>
  <c r="AB4315" i="2" s="1"/>
  <c r="AA4323" i="2"/>
  <c r="AA4348" i="2"/>
  <c r="AA4347" i="2"/>
  <c r="AA4359" i="2"/>
  <c r="AC4357" i="2"/>
  <c r="AA4362" i="2" l="1"/>
  <c r="AA4361" i="2"/>
  <c r="AA4373" i="2"/>
  <c r="AC4371" i="2"/>
  <c r="AA4324" i="2"/>
  <c r="AA4325" i="2" s="1"/>
  <c r="AA4328" i="2" s="1"/>
  <c r="AB4329" i="2" s="1"/>
  <c r="AA4337" i="2"/>
  <c r="AA4349" i="2"/>
  <c r="AA4354" i="2" s="1"/>
  <c r="AA4350" i="2"/>
  <c r="AA4351" i="2" l="1"/>
  <c r="AA4364" i="2"/>
  <c r="AA4363" i="2"/>
  <c r="AA4368" i="2" s="1"/>
  <c r="AA4338" i="2"/>
  <c r="AA4339" i="2" s="1"/>
  <c r="AA4342" i="2" s="1"/>
  <c r="AB4343" i="2" s="1"/>
  <c r="AA4387" i="2"/>
  <c r="AA4375" i="2"/>
  <c r="AC4385" i="2"/>
  <c r="AA4376" i="2"/>
  <c r="AA4352" i="2" l="1"/>
  <c r="AA4353" i="2" s="1"/>
  <c r="AA4356" i="2" s="1"/>
  <c r="AB4357" i="2" s="1"/>
  <c r="AC4399" i="2"/>
  <c r="AA4389" i="2"/>
  <c r="AA4390" i="2"/>
  <c r="AA4401" i="2"/>
  <c r="AA4365" i="2"/>
  <c r="AA4378" i="2"/>
  <c r="AA4377" i="2"/>
  <c r="AA4382" i="2" s="1"/>
  <c r="AA4379" i="2" l="1"/>
  <c r="AA4404" i="2"/>
  <c r="AA4403" i="2"/>
  <c r="AA4415" i="2"/>
  <c r="AC4413" i="2"/>
  <c r="AA4366" i="2"/>
  <c r="AA4367" i="2" s="1"/>
  <c r="AA4370" i="2" s="1"/>
  <c r="AB4371" i="2" s="1"/>
  <c r="AA4392" i="2"/>
  <c r="AA4391" i="2"/>
  <c r="AA4396" i="2" s="1"/>
  <c r="AA4405" i="2" l="1"/>
  <c r="AA4410" i="2" s="1"/>
  <c r="AA4406" i="2"/>
  <c r="AA4393" i="2"/>
  <c r="AA4429" i="2"/>
  <c r="AA4418" i="2"/>
  <c r="AA4417" i="2"/>
  <c r="AC4427" i="2"/>
  <c r="AA4380" i="2"/>
  <c r="AA4381" i="2" s="1"/>
  <c r="AA4384" i="2" s="1"/>
  <c r="AB4385" i="2" s="1"/>
  <c r="AC4441" i="2" l="1"/>
  <c r="AA4432" i="2"/>
  <c r="AA4431" i="2"/>
  <c r="AA4443" i="2"/>
  <c r="AA4407" i="2"/>
  <c r="AA4419" i="2"/>
  <c r="AA4424" i="2" s="1"/>
  <c r="AA4420" i="2"/>
  <c r="AA4394" i="2"/>
  <c r="AA4395" i="2" s="1"/>
  <c r="AA4398" i="2" s="1"/>
  <c r="AB4399" i="2" s="1"/>
  <c r="AA4434" i="2" l="1"/>
  <c r="AA4433" i="2"/>
  <c r="AA4438" i="2" s="1"/>
  <c r="AA4408" i="2"/>
  <c r="AA4409" i="2" s="1"/>
  <c r="AA4412" i="2" s="1"/>
  <c r="AB4413" i="2" s="1"/>
  <c r="AA4421" i="2"/>
  <c r="AA4446" i="2"/>
  <c r="AA4457" i="2"/>
  <c r="AC4455" i="2"/>
  <c r="AA4445" i="2"/>
  <c r="AA4448" i="2" l="1"/>
  <c r="AA4447" i="2"/>
  <c r="AA4452" i="2" s="1"/>
  <c r="AA4422" i="2"/>
  <c r="AA4423" i="2" s="1"/>
  <c r="AA4426" i="2" s="1"/>
  <c r="AB4427" i="2" s="1"/>
  <c r="AA4435" i="2"/>
  <c r="AA4460" i="2"/>
  <c r="AA4459" i="2"/>
  <c r="AA4471" i="2"/>
  <c r="AC4469" i="2"/>
  <c r="AA4461" i="2" l="1"/>
  <c r="AA4466" i="2" s="1"/>
  <c r="AA4462" i="2"/>
  <c r="AA4436" i="2"/>
  <c r="AA4437" i="2" s="1"/>
  <c r="AA4440" i="2" s="1"/>
  <c r="AB4441" i="2" s="1"/>
  <c r="AA4449" i="2"/>
  <c r="AA4474" i="2"/>
  <c r="AC4483" i="2"/>
  <c r="AA4473" i="2"/>
  <c r="AA4485" i="2"/>
  <c r="AA4475" i="2" l="1"/>
  <c r="AA4480" i="2" s="1"/>
  <c r="AA4476" i="2"/>
  <c r="AA4499" i="2"/>
  <c r="AA4488" i="2"/>
  <c r="AA4487" i="2"/>
  <c r="AC4497" i="2"/>
  <c r="AA4450" i="2"/>
  <c r="AA4451" i="2" s="1"/>
  <c r="AA4454" i="2" s="1"/>
  <c r="AB4455" i="2" s="1"/>
  <c r="AA4463" i="2"/>
  <c r="AA4490" i="2" l="1"/>
  <c r="AA4489" i="2"/>
  <c r="AA4494" i="2" s="1"/>
  <c r="AA4477" i="2"/>
  <c r="AA4464" i="2"/>
  <c r="AA4465" i="2" s="1"/>
  <c r="AA4468" i="2" s="1"/>
  <c r="AB4469" i="2" s="1"/>
  <c r="AA4513" i="2"/>
  <c r="AC4511" i="2"/>
  <c r="AA4502" i="2"/>
  <c r="AA4501" i="2"/>
  <c r="AA4491" i="2" l="1"/>
  <c r="AA4504" i="2"/>
  <c r="AA4503" i="2"/>
  <c r="AA4508" i="2" s="1"/>
  <c r="AA4515" i="2"/>
  <c r="AC4525" i="2"/>
  <c r="AA4516" i="2"/>
  <c r="AA4527" i="2"/>
  <c r="AA4478" i="2"/>
  <c r="AA4479" i="2" s="1"/>
  <c r="AA4482" i="2" s="1"/>
  <c r="AB4483" i="2" s="1"/>
  <c r="AA4492" i="2" l="1"/>
  <c r="AA4493" i="2" s="1"/>
  <c r="AA4496" i="2" s="1"/>
  <c r="AB4497" i="2" s="1"/>
  <c r="AA4505" i="2"/>
  <c r="AA4517" i="2"/>
  <c r="AA4522" i="2" s="1"/>
  <c r="AA4518" i="2"/>
  <c r="AA4529" i="2"/>
  <c r="AA4541" i="2"/>
  <c r="AA4530" i="2"/>
  <c r="AC4539" i="2"/>
  <c r="AA4519" i="2" l="1"/>
  <c r="AA4532" i="2"/>
  <c r="AA4531" i="2"/>
  <c r="AA4536" i="2" s="1"/>
  <c r="AA4544" i="2"/>
  <c r="AC4553" i="2"/>
  <c r="AA4543" i="2"/>
  <c r="AA4555" i="2"/>
  <c r="AA4506" i="2"/>
  <c r="AA4507" i="2" s="1"/>
  <c r="AA4510" i="2" s="1"/>
  <c r="AB4511" i="2" s="1"/>
  <c r="AA4520" i="2" l="1"/>
  <c r="AA4521" i="2" s="1"/>
  <c r="AA4524" i="2" s="1"/>
  <c r="AB4525" i="2" s="1"/>
  <c r="AA4545" i="2"/>
  <c r="AA4550" i="2" s="1"/>
  <c r="AA4546" i="2"/>
  <c r="AA4533" i="2"/>
  <c r="AA4569" i="2"/>
  <c r="AC4567" i="2"/>
  <c r="AA4558" i="2"/>
  <c r="AA4557" i="2"/>
  <c r="AA4559" i="2" l="1"/>
  <c r="AA4564" i="2" s="1"/>
  <c r="AA4560" i="2"/>
  <c r="AA4534" i="2"/>
  <c r="AA4535" i="2" s="1"/>
  <c r="AA4538" i="2" s="1"/>
  <c r="AB4539" i="2" s="1"/>
  <c r="AC4581" i="2"/>
  <c r="AA4572" i="2"/>
  <c r="AA4571" i="2"/>
  <c r="AA4583" i="2"/>
  <c r="AA4547" i="2"/>
  <c r="AA4548" i="2" l="1"/>
  <c r="AA4549" i="2" s="1"/>
  <c r="AA4552" i="2" s="1"/>
  <c r="AB4553" i="2" s="1"/>
  <c r="AA4561" i="2"/>
  <c r="AA4573" i="2"/>
  <c r="AA4578" i="2" s="1"/>
  <c r="AA4574" i="2"/>
  <c r="AA4585" i="2"/>
  <c r="AA4597" i="2"/>
  <c r="AA4586" i="2"/>
  <c r="AC4595" i="2"/>
  <c r="AA4588" i="2" l="1"/>
  <c r="AA4587" i="2"/>
  <c r="AA4592" i="2" s="1"/>
  <c r="AA4575" i="2"/>
  <c r="AA4599" i="2"/>
  <c r="AC4609" i="2"/>
  <c r="AA4611" i="2"/>
  <c r="AA4600" i="2"/>
  <c r="AA4562" i="2"/>
  <c r="AA4563" i="2" s="1"/>
  <c r="AA4566" i="2" s="1"/>
  <c r="AB4567" i="2" s="1"/>
  <c r="AA4601" i="2" l="1"/>
  <c r="AA4606" i="2" s="1"/>
  <c r="AA4602" i="2"/>
  <c r="AA4614" i="2"/>
  <c r="AA4613" i="2"/>
  <c r="AA4625" i="2"/>
  <c r="AC4623" i="2"/>
  <c r="AA4589" i="2"/>
  <c r="AA4576" i="2"/>
  <c r="AA4577" i="2" s="1"/>
  <c r="AA4580" i="2" s="1"/>
  <c r="AB4581" i="2" s="1"/>
  <c r="AA4603" i="2" l="1"/>
  <c r="AA4590" i="2"/>
  <c r="AA4591" i="2" s="1"/>
  <c r="AA4594" i="2" s="1"/>
  <c r="AB4595" i="2" s="1"/>
  <c r="AC4637" i="2"/>
  <c r="AA4628" i="2"/>
  <c r="AA4627" i="2"/>
  <c r="AA4639" i="2"/>
  <c r="AA4615" i="2"/>
  <c r="AA4620" i="2" s="1"/>
  <c r="AA4616" i="2"/>
  <c r="AA4617" i="2" l="1"/>
  <c r="AA4604" i="2"/>
  <c r="AA4605" i="2" s="1"/>
  <c r="AA4608" i="2" s="1"/>
  <c r="AB4609" i="2" s="1"/>
  <c r="AA4629" i="2"/>
  <c r="AA4634" i="2" s="1"/>
  <c r="AA4630" i="2"/>
  <c r="AA4642" i="2"/>
  <c r="AC4651" i="2"/>
  <c r="AA4641" i="2"/>
  <c r="AA4653" i="2"/>
  <c r="AA4667" i="2" l="1"/>
  <c r="AA4656" i="2"/>
  <c r="AC4665" i="2"/>
  <c r="AA4655" i="2"/>
  <c r="AA4618" i="2"/>
  <c r="AA4619" i="2" s="1"/>
  <c r="AA4622" i="2" s="1"/>
  <c r="AB4623" i="2" s="1"/>
  <c r="AA4644" i="2"/>
  <c r="AA4643" i="2"/>
  <c r="AA4648" i="2" s="1"/>
  <c r="AA4631" i="2"/>
  <c r="AA4670" i="2" l="1"/>
  <c r="AA4669" i="2"/>
  <c r="AA4681" i="2"/>
  <c r="AC4679" i="2"/>
  <c r="AA4645" i="2"/>
  <c r="AA4632" i="2"/>
  <c r="AA4633" i="2" s="1"/>
  <c r="AA4636" i="2" s="1"/>
  <c r="AB4637" i="2" s="1"/>
  <c r="AA4657" i="2"/>
  <c r="AA4662" i="2" s="1"/>
  <c r="AA4658" i="2"/>
  <c r="AA4684" i="2" l="1"/>
  <c r="AA4683" i="2"/>
  <c r="AA4695" i="2"/>
  <c r="AC4693" i="2"/>
  <c r="AA4659" i="2"/>
  <c r="AA4646" i="2"/>
  <c r="AA4647" i="2" s="1"/>
  <c r="AA4650" i="2" s="1"/>
  <c r="AB4651" i="2" s="1"/>
  <c r="AA4672" i="2"/>
  <c r="AA4671" i="2"/>
  <c r="AA4676" i="2" s="1"/>
  <c r="AA4673" i="2" l="1"/>
  <c r="AA4660" i="2"/>
  <c r="AA4661" i="2" s="1"/>
  <c r="AA4664" i="2" s="1"/>
  <c r="AB4665" i="2" s="1"/>
  <c r="AA4697" i="2"/>
  <c r="AA4709" i="2"/>
  <c r="AA4698" i="2"/>
  <c r="AC4707" i="2"/>
  <c r="AA4685" i="2"/>
  <c r="AA4690" i="2" s="1"/>
  <c r="AA4686" i="2"/>
  <c r="AA4700" i="2" l="1"/>
  <c r="AA4699" i="2"/>
  <c r="AA4704" i="2" s="1"/>
  <c r="AC4721" i="2"/>
  <c r="AA4723" i="2"/>
  <c r="AA4712" i="2"/>
  <c r="AA4711" i="2"/>
  <c r="AA4674" i="2"/>
  <c r="AA4675" i="2" s="1"/>
  <c r="AA4678" i="2" s="1"/>
  <c r="AB4679" i="2" s="1"/>
  <c r="AA4687" i="2"/>
  <c r="AA4714" i="2" l="1"/>
  <c r="AA4713" i="2"/>
  <c r="AA4718" i="2" s="1"/>
  <c r="AA4701" i="2"/>
  <c r="AA4688" i="2"/>
  <c r="AA4689" i="2" s="1"/>
  <c r="AA4692" i="2" s="1"/>
  <c r="AB4693" i="2" s="1"/>
  <c r="AA4737" i="2"/>
  <c r="AC4735" i="2"/>
  <c r="AA4726" i="2"/>
  <c r="AA4725" i="2"/>
  <c r="AA4702" i="2" l="1"/>
  <c r="AA4703" i="2" s="1"/>
  <c r="AA4706" i="2" s="1"/>
  <c r="AB4707" i="2" s="1"/>
  <c r="AA4715" i="2"/>
  <c r="AA4728" i="2"/>
  <c r="AA4727" i="2"/>
  <c r="AA4732" i="2" s="1"/>
  <c r="AA4740" i="2"/>
  <c r="AA4739" i="2"/>
  <c r="AA4751" i="2"/>
  <c r="AC4749" i="2"/>
  <c r="AA4729" i="2" l="1"/>
  <c r="AA4716" i="2"/>
  <c r="AA4717" i="2" s="1"/>
  <c r="AA4720" i="2" s="1"/>
  <c r="AB4721" i="2" s="1"/>
  <c r="AA4754" i="2"/>
  <c r="AC4763" i="2"/>
  <c r="AA4753" i="2"/>
  <c r="AA4765" i="2"/>
  <c r="AA4741" i="2"/>
  <c r="AA4746" i="2" s="1"/>
  <c r="AA4742" i="2"/>
  <c r="AA4730" i="2" l="1"/>
  <c r="AA4731" i="2" s="1"/>
  <c r="AA4734" i="2" s="1"/>
  <c r="AB4735" i="2" s="1"/>
  <c r="AA4755" i="2"/>
  <c r="AA4760" i="2" s="1"/>
  <c r="AA4756" i="2"/>
  <c r="AA4743" i="2"/>
  <c r="AA4767" i="2"/>
  <c r="AA4779" i="2"/>
  <c r="AA4768" i="2"/>
  <c r="AC4777" i="2"/>
  <c r="AA4744" i="2" l="1"/>
  <c r="AA4745" i="2" s="1"/>
  <c r="AA4748" i="2" s="1"/>
  <c r="AB4749" i="2" s="1"/>
  <c r="AA4769" i="2"/>
  <c r="AA4774" i="2" s="1"/>
  <c r="AA4770" i="2"/>
  <c r="AA4782" i="2"/>
  <c r="AA4781" i="2"/>
  <c r="AA4793" i="2"/>
  <c r="AC4791" i="2"/>
  <c r="AA4757" i="2"/>
  <c r="AA4758" i="2" l="1"/>
  <c r="AA4759" i="2" s="1"/>
  <c r="AA4762" i="2" s="1"/>
  <c r="AB4763" i="2" s="1"/>
  <c r="AA4784" i="2"/>
  <c r="AA4783" i="2"/>
  <c r="AA4788" i="2" s="1"/>
  <c r="AA4796" i="2"/>
  <c r="AA4795" i="2"/>
  <c r="AA4807" i="2"/>
  <c r="AC4805" i="2"/>
  <c r="AA4771" i="2"/>
  <c r="AA4797" i="2" l="1"/>
  <c r="AA4802" i="2" s="1"/>
  <c r="AA4798" i="2"/>
  <c r="AA4809" i="2"/>
  <c r="AA4821" i="2"/>
  <c r="AA4810" i="2"/>
  <c r="AC4819" i="2"/>
  <c r="AA4785" i="2"/>
  <c r="AA4772" i="2"/>
  <c r="AA4773" i="2" s="1"/>
  <c r="AA4776" i="2" s="1"/>
  <c r="AB4777" i="2" s="1"/>
  <c r="AA4812" i="2" l="1"/>
  <c r="AA4811" i="2"/>
  <c r="AA4816" i="2" s="1"/>
  <c r="AA4799" i="2"/>
  <c r="AA4786" i="2"/>
  <c r="AA4787" i="2" s="1"/>
  <c r="AA4790" i="2" s="1"/>
  <c r="AB4791" i="2" s="1"/>
  <c r="AA4835" i="2"/>
  <c r="AA4824" i="2"/>
  <c r="AA4823" i="2"/>
  <c r="AC4833" i="2"/>
  <c r="AA4826" i="2" l="1"/>
  <c r="AA4825" i="2"/>
  <c r="AA4830" i="2" s="1"/>
  <c r="AC4847" i="2"/>
  <c r="AA4837" i="2"/>
  <c r="AA4849" i="2"/>
  <c r="AA4838" i="2"/>
  <c r="AA4813" i="2"/>
  <c r="AA4800" i="2"/>
  <c r="AA4801" i="2" s="1"/>
  <c r="AA4804" i="2" s="1"/>
  <c r="AB4805" i="2" s="1"/>
  <c r="AC4861" i="2" l="1"/>
  <c r="AA4851" i="2"/>
  <c r="AA4863" i="2"/>
  <c r="AA4852" i="2"/>
  <c r="AA4827" i="2"/>
  <c r="AA4814" i="2"/>
  <c r="AA4815" i="2" s="1"/>
  <c r="AA4818" i="2" s="1"/>
  <c r="AB4819" i="2" s="1"/>
  <c r="AA4839" i="2"/>
  <c r="AA4844" i="2" s="1"/>
  <c r="AA4840" i="2"/>
  <c r="AA4828" i="2" l="1"/>
  <c r="AA4829" i="2" s="1"/>
  <c r="AA4832" i="2" s="1"/>
  <c r="AB4833" i="2" s="1"/>
  <c r="AA4853" i="2"/>
  <c r="AA4858" i="2" s="1"/>
  <c r="AA4854" i="2"/>
  <c r="AA4841" i="2"/>
  <c r="AA4866" i="2"/>
  <c r="AC4875" i="2"/>
  <c r="AA4865" i="2"/>
  <c r="AA4877" i="2"/>
  <c r="AA4868" i="2" l="1"/>
  <c r="AA4867" i="2"/>
  <c r="AA4872" i="2" s="1"/>
  <c r="AC4889" i="2"/>
  <c r="AA4879" i="2"/>
  <c r="AA4891" i="2"/>
  <c r="AA4880" i="2"/>
  <c r="AA4842" i="2"/>
  <c r="AA4843" i="2" s="1"/>
  <c r="AA4846" i="2" s="1"/>
  <c r="AB4847" i="2" s="1"/>
  <c r="AA4855" i="2"/>
  <c r="AA4905" i="2" l="1"/>
  <c r="AC4903" i="2"/>
  <c r="AA4894" i="2"/>
  <c r="AA4893" i="2"/>
  <c r="AA4869" i="2"/>
  <c r="AA4856" i="2"/>
  <c r="AA4857" i="2" s="1"/>
  <c r="AA4860" i="2" s="1"/>
  <c r="AB4861" i="2" s="1"/>
  <c r="AA4882" i="2"/>
  <c r="AA4881" i="2"/>
  <c r="AA4886" i="2" s="1"/>
  <c r="AA4919" i="2" l="1"/>
  <c r="AC4917" i="2"/>
  <c r="AA4908" i="2"/>
  <c r="AA4907" i="2"/>
  <c r="AA4870" i="2"/>
  <c r="AA4871" i="2" s="1"/>
  <c r="AA4874" i="2" s="1"/>
  <c r="AB4875" i="2" s="1"/>
  <c r="AA4883" i="2"/>
  <c r="AA4896" i="2"/>
  <c r="AA4895" i="2"/>
  <c r="AA4900" i="2" s="1"/>
  <c r="AA4922" i="2" l="1"/>
  <c r="AC4931" i="2"/>
  <c r="AA4921" i="2"/>
  <c r="AA4933" i="2"/>
  <c r="AA4897" i="2"/>
  <c r="AA4884" i="2"/>
  <c r="AA4885" i="2" s="1"/>
  <c r="AA4888" i="2" s="1"/>
  <c r="AB4889" i="2" s="1"/>
  <c r="AA4909" i="2"/>
  <c r="AA4914" i="2" s="1"/>
  <c r="AA4910" i="2"/>
  <c r="AA4911" i="2" l="1"/>
  <c r="AA4898" i="2"/>
  <c r="AA4899" i="2" s="1"/>
  <c r="AA4902" i="2" s="1"/>
  <c r="AB4903" i="2" s="1"/>
  <c r="AA4924" i="2"/>
  <c r="AA4923" i="2"/>
  <c r="AA4928" i="2" s="1"/>
  <c r="AC4945" i="2"/>
  <c r="AA4947" i="2"/>
  <c r="AA4936" i="2"/>
  <c r="AA4935" i="2"/>
  <c r="AA4925" i="2" l="1"/>
  <c r="AA4912" i="2"/>
  <c r="AA4913" i="2" s="1"/>
  <c r="AA4916" i="2" s="1"/>
  <c r="AB4917" i="2" s="1"/>
  <c r="AA4938" i="2"/>
  <c r="AA4937" i="2"/>
  <c r="AA4942" i="2" s="1"/>
  <c r="AC4959" i="2"/>
  <c r="AA4950" i="2"/>
  <c r="AA4949" i="2"/>
  <c r="AA4961" i="2"/>
  <c r="AA4951" i="2" l="1"/>
  <c r="AA4956" i="2" s="1"/>
  <c r="AA4952" i="2"/>
  <c r="AA4926" i="2"/>
  <c r="AA4927" i="2" s="1"/>
  <c r="AA4930" i="2" s="1"/>
  <c r="AB4931" i="2" s="1"/>
  <c r="AA4963" i="2"/>
  <c r="AC4973" i="2"/>
  <c r="AA4964" i="2"/>
  <c r="AA4975" i="2"/>
  <c r="AA4939" i="2"/>
  <c r="AA4940" i="2" l="1"/>
  <c r="AA4941" i="2" s="1"/>
  <c r="AA4944" i="2" s="1"/>
  <c r="AB4945" i="2" s="1"/>
  <c r="AA4966" i="2"/>
  <c r="AA4965" i="2"/>
  <c r="AA4970" i="2" s="1"/>
  <c r="AA4989" i="2"/>
  <c r="AA4978" i="2"/>
  <c r="AC4987" i="2"/>
  <c r="AA4977" i="2"/>
  <c r="AA4953" i="2"/>
  <c r="AA4954" i="2" l="1"/>
  <c r="AA4955" i="2" s="1"/>
  <c r="AA4958" i="2" s="1"/>
  <c r="AB4959" i="2" s="1"/>
  <c r="AA4967" i="2"/>
  <c r="AA4991" i="2"/>
  <c r="AA5003" i="2"/>
  <c r="AA4992" i="2"/>
  <c r="AC5001" i="2"/>
  <c r="AA4979" i="2"/>
  <c r="AA4984" i="2" s="1"/>
  <c r="AA4980" i="2"/>
  <c r="AA5006" i="2" l="1"/>
  <c r="AA5005" i="2"/>
  <c r="AA5017" i="2"/>
  <c r="AC5015" i="2"/>
  <c r="AA4968" i="2"/>
  <c r="AA4969" i="2" s="1"/>
  <c r="AA4972" i="2" s="1"/>
  <c r="AB4973" i="2" s="1"/>
  <c r="AA4993" i="2"/>
  <c r="AA4998" i="2" s="1"/>
  <c r="AA4994" i="2"/>
  <c r="AA4981" i="2"/>
  <c r="AA5020" i="2" l="1"/>
  <c r="AA5019" i="2"/>
  <c r="AA5031" i="2"/>
  <c r="AC5029" i="2"/>
  <c r="AA4982" i="2"/>
  <c r="AA4983" i="2" s="1"/>
  <c r="AA4986" i="2" s="1"/>
  <c r="AB4987" i="2" s="1"/>
  <c r="AA5008" i="2"/>
  <c r="AA5007" i="2"/>
  <c r="AA5012" i="2" s="1"/>
  <c r="AA4995" i="2"/>
  <c r="AA4996" i="2" l="1"/>
  <c r="AA4997" i="2" s="1"/>
  <c r="AA5000" i="2" s="1"/>
  <c r="AB5001" i="2" s="1"/>
  <c r="AA5021" i="2"/>
  <c r="AA5026" i="2" s="1"/>
  <c r="AA5022" i="2"/>
  <c r="AA5009" i="2"/>
  <c r="AA5033" i="2"/>
  <c r="AA5045" i="2"/>
  <c r="AA5034" i="2"/>
  <c r="AC5043" i="2"/>
  <c r="AA5010" i="2" l="1"/>
  <c r="AA5011" i="2" s="1"/>
  <c r="AA5014" i="2" s="1"/>
  <c r="AB5015" i="2" s="1"/>
  <c r="AA5035" i="2"/>
  <c r="AA5040" i="2" s="1"/>
  <c r="AA5036" i="2"/>
  <c r="AC5057" i="2"/>
  <c r="AA5059" i="2"/>
  <c r="AA5048" i="2"/>
  <c r="AA5047" i="2"/>
  <c r="AA5023" i="2"/>
  <c r="AA5073" i="2" l="1"/>
  <c r="AC5071" i="2"/>
  <c r="AA5062" i="2"/>
  <c r="AA5061" i="2"/>
  <c r="AA5024" i="2"/>
  <c r="AA5025" i="2" s="1"/>
  <c r="AA5028" i="2" s="1"/>
  <c r="AB5029" i="2" s="1"/>
  <c r="AA5049" i="2"/>
  <c r="AA5054" i="2" s="1"/>
  <c r="AA5050" i="2"/>
  <c r="AA5037" i="2"/>
  <c r="AA5051" i="2" l="1"/>
  <c r="AA5087" i="2"/>
  <c r="AC5085" i="2"/>
  <c r="AA5076" i="2"/>
  <c r="AA5075" i="2"/>
  <c r="AA5038" i="2"/>
  <c r="AA5039" i="2" s="1"/>
  <c r="AA5042" i="2" s="1"/>
  <c r="AB5043" i="2" s="1"/>
  <c r="AA5064" i="2"/>
  <c r="AA5063" i="2"/>
  <c r="AA5068" i="2" s="1"/>
  <c r="AA5052" i="2" l="1"/>
  <c r="AA5053" i="2" s="1"/>
  <c r="AA5056" i="2" s="1"/>
  <c r="AB5057" i="2" s="1"/>
  <c r="AC5099" i="2"/>
  <c r="AA5089" i="2"/>
  <c r="AA5101" i="2"/>
  <c r="AA5090" i="2"/>
  <c r="AA5065" i="2"/>
  <c r="AA5078" i="2"/>
  <c r="AA5077" i="2"/>
  <c r="AA5082" i="2" s="1"/>
  <c r="AA5104" i="2" l="1"/>
  <c r="AC5113" i="2"/>
  <c r="AA5103" i="2"/>
  <c r="AA5115" i="2"/>
  <c r="AA5079" i="2"/>
  <c r="AA5066" i="2"/>
  <c r="AA5067" i="2" s="1"/>
  <c r="AA5070" i="2" s="1"/>
  <c r="AB5071" i="2" s="1"/>
  <c r="AA5091" i="2"/>
  <c r="AA5096" i="2" s="1"/>
  <c r="AA5092" i="2"/>
  <c r="AA5129" i="2" l="1"/>
  <c r="AC5127" i="2"/>
  <c r="AA5118" i="2"/>
  <c r="AA5117" i="2"/>
  <c r="AA5093" i="2"/>
  <c r="AA5080" i="2"/>
  <c r="AA5081" i="2" s="1"/>
  <c r="AA5084" i="2" s="1"/>
  <c r="AB5085" i="2" s="1"/>
  <c r="AA5106" i="2"/>
  <c r="AA5105" i="2"/>
  <c r="AA5110" i="2" s="1"/>
  <c r="AA5107" i="2" l="1"/>
  <c r="AA5094" i="2"/>
  <c r="AA5095" i="2" s="1"/>
  <c r="AA5098" i="2" s="1"/>
  <c r="AB5099" i="2" s="1"/>
  <c r="AC5141" i="2"/>
  <c r="AA5132" i="2"/>
  <c r="AA5131" i="2"/>
  <c r="AA5143" i="2"/>
  <c r="AA5119" i="2"/>
  <c r="AA5124" i="2" s="1"/>
  <c r="AA5120" i="2"/>
  <c r="AA5121" i="2" l="1"/>
  <c r="AA5108" i="2"/>
  <c r="AA5109" i="2" s="1"/>
  <c r="AA5112" i="2" s="1"/>
  <c r="AB5113" i="2" s="1"/>
  <c r="AA5134" i="2"/>
  <c r="AA5133" i="2"/>
  <c r="AA5138" i="2" s="1"/>
  <c r="AC5155" i="2"/>
  <c r="AA5145" i="2"/>
  <c r="AA5157" i="2"/>
  <c r="AA5146" i="2"/>
  <c r="AA5159" i="2" l="1"/>
  <c r="AA5171" i="2"/>
  <c r="AA5160" i="2"/>
  <c r="AC5169" i="2"/>
  <c r="AA5135" i="2"/>
  <c r="AA5122" i="2"/>
  <c r="AA5123" i="2" s="1"/>
  <c r="AA5126" i="2" s="1"/>
  <c r="AB5127" i="2" s="1"/>
  <c r="AA5148" i="2"/>
  <c r="AA5147" i="2"/>
  <c r="AA5152" i="2" s="1"/>
  <c r="AA5162" i="2" l="1"/>
  <c r="AA5161" i="2"/>
  <c r="AA5166" i="2" s="1"/>
  <c r="AC5183" i="2"/>
  <c r="AA5174" i="2"/>
  <c r="AA5173" i="2"/>
  <c r="AA5185" i="2"/>
  <c r="AA5136" i="2"/>
  <c r="AA5137" i="2" s="1"/>
  <c r="AA5140" i="2" s="1"/>
  <c r="AB5141" i="2" s="1"/>
  <c r="AA5149" i="2"/>
  <c r="AA5150" i="2" l="1"/>
  <c r="AA5151" i="2" s="1"/>
  <c r="AA5154" i="2" s="1"/>
  <c r="AB5155" i="2" s="1"/>
  <c r="AA5163" i="2"/>
  <c r="AA5188" i="2"/>
  <c r="AA5187" i="2"/>
  <c r="AA5199" i="2"/>
  <c r="AC5197" i="2"/>
  <c r="AA5176" i="2"/>
  <c r="AA5175" i="2"/>
  <c r="AA5180" i="2" s="1"/>
  <c r="AA5177" i="2" l="1"/>
  <c r="AA5189" i="2"/>
  <c r="AA5194" i="2" s="1"/>
  <c r="AA5190" i="2"/>
  <c r="AA5202" i="2"/>
  <c r="AC5211" i="2"/>
  <c r="AA5201" i="2"/>
  <c r="AA5213" i="2"/>
  <c r="AA5164" i="2"/>
  <c r="AA5165" i="2" s="1"/>
  <c r="AA5168" i="2" s="1"/>
  <c r="AB5169" i="2" s="1"/>
  <c r="AA5178" i="2" l="1"/>
  <c r="AA5179" i="2" s="1"/>
  <c r="AA5182" i="2" s="1"/>
  <c r="AB5183" i="2" s="1"/>
  <c r="AA5204" i="2"/>
  <c r="AA5203" i="2"/>
  <c r="AA5208" i="2" s="1"/>
  <c r="AC5225" i="2"/>
  <c r="AA5227" i="2"/>
  <c r="AA5216" i="2"/>
  <c r="AA5215" i="2"/>
  <c r="AA5191" i="2"/>
  <c r="AA5229" i="2" l="1"/>
  <c r="AA5241" i="2"/>
  <c r="AC5239" i="2"/>
  <c r="AA5230" i="2"/>
  <c r="AA5192" i="2"/>
  <c r="AA5193" i="2" s="1"/>
  <c r="AA5196" i="2" s="1"/>
  <c r="AB5197" i="2" s="1"/>
  <c r="AA5205" i="2"/>
  <c r="AA5218" i="2"/>
  <c r="AA5217" i="2"/>
  <c r="AA5222" i="2" s="1"/>
  <c r="AA5219" i="2" l="1"/>
  <c r="AC5253" i="2"/>
  <c r="AA5244" i="2"/>
  <c r="AA5243" i="2"/>
  <c r="AA5255" i="2"/>
  <c r="AA5206" i="2"/>
  <c r="AA5207" i="2" s="1"/>
  <c r="AA5210" i="2" s="1"/>
  <c r="AB5211" i="2" s="1"/>
  <c r="AA5232" i="2"/>
  <c r="AA5231" i="2"/>
  <c r="AA5236" i="2" s="1"/>
  <c r="AA5233" i="2" l="1"/>
  <c r="AC5267" i="2"/>
  <c r="AA5257" i="2"/>
  <c r="AA5269" i="2"/>
  <c r="AA5258" i="2"/>
  <c r="AA5220" i="2"/>
  <c r="AA5221" i="2" s="1"/>
  <c r="AA5224" i="2" s="1"/>
  <c r="AB5225" i="2" s="1"/>
  <c r="AA5246" i="2"/>
  <c r="AA5245" i="2"/>
  <c r="AA5250" i="2" s="1"/>
  <c r="AA5234" i="2" l="1"/>
  <c r="AA5235" i="2" s="1"/>
  <c r="AA5238" i="2" s="1"/>
  <c r="AB5239" i="2" s="1"/>
  <c r="AA5247" i="2"/>
  <c r="AA5271" i="2"/>
  <c r="AC5281" i="2"/>
  <c r="AA5283" i="2"/>
  <c r="AA5272" i="2"/>
  <c r="AA5260" i="2"/>
  <c r="AA5259" i="2"/>
  <c r="AA5264" i="2" s="1"/>
  <c r="AA5261" i="2" l="1"/>
  <c r="AA5274" i="2"/>
  <c r="AA5273" i="2"/>
  <c r="AA5278" i="2" s="1"/>
  <c r="AA5285" i="2"/>
  <c r="AA5297" i="2"/>
  <c r="AC5295" i="2"/>
  <c r="AA5286" i="2"/>
  <c r="AA5248" i="2"/>
  <c r="AA5249" i="2" s="1"/>
  <c r="AA5252" i="2" s="1"/>
  <c r="AB5253" i="2" s="1"/>
  <c r="AA5262" i="2" l="1"/>
  <c r="AA5263" i="2" s="1"/>
  <c r="AA5266" i="2" s="1"/>
  <c r="AB5267" i="2" s="1"/>
  <c r="AA5300" i="2"/>
  <c r="AA5299" i="2"/>
  <c r="AA5311" i="2"/>
  <c r="AC5309" i="2"/>
  <c r="AA5288" i="2"/>
  <c r="AA5287" i="2"/>
  <c r="AA5292" i="2" s="1"/>
  <c r="AA5275" i="2"/>
  <c r="AA5325" i="2" l="1"/>
  <c r="AC5323" i="2"/>
  <c r="AA5313" i="2"/>
  <c r="AA5314" i="2"/>
  <c r="AA5289" i="2"/>
  <c r="AA5276" i="2"/>
  <c r="AA5277" i="2" s="1"/>
  <c r="AA5280" i="2" s="1"/>
  <c r="AB5281" i="2" s="1"/>
  <c r="AA5302" i="2"/>
  <c r="AA5301" i="2"/>
  <c r="AA5306" i="2" s="1"/>
  <c r="AA5339" i="2" l="1"/>
  <c r="AA5328" i="2"/>
  <c r="AC5337" i="2"/>
  <c r="AA5327" i="2"/>
  <c r="AA5303" i="2"/>
  <c r="AA5290" i="2"/>
  <c r="AA5291" i="2" s="1"/>
  <c r="AA5294" i="2" s="1"/>
  <c r="AB5295" i="2" s="1"/>
  <c r="AA5316" i="2"/>
  <c r="AA5315" i="2"/>
  <c r="AA5320" i="2" s="1"/>
  <c r="AA5342" i="2" l="1"/>
  <c r="AA5341" i="2"/>
  <c r="AA5353" i="2"/>
  <c r="AC5351" i="2"/>
  <c r="AA5304" i="2"/>
  <c r="AA5305" i="2" s="1"/>
  <c r="AA5308" i="2" s="1"/>
  <c r="AB5309" i="2" s="1"/>
  <c r="AA5317" i="2"/>
  <c r="AA5329" i="2"/>
  <c r="AA5334" i="2" s="1"/>
  <c r="AA5330" i="2"/>
  <c r="AC5365" i="2" l="1"/>
  <c r="AA5356" i="2"/>
  <c r="AA5355" i="2"/>
  <c r="AA5367" i="2"/>
  <c r="AA5331" i="2"/>
  <c r="AA5343" i="2"/>
  <c r="AA5348" i="2" s="1"/>
  <c r="AA5344" i="2"/>
  <c r="AA5318" i="2"/>
  <c r="AA5319" i="2" s="1"/>
  <c r="AA5322" i="2" s="1"/>
  <c r="AB5323" i="2" s="1"/>
  <c r="AA5332" i="2" l="1"/>
  <c r="AA5333" i="2" s="1"/>
  <c r="AA5336" i="2" s="1"/>
  <c r="AB5337" i="2" s="1"/>
  <c r="AA5357" i="2"/>
  <c r="AA5362" i="2" s="1"/>
  <c r="AA5358" i="2"/>
  <c r="AA5345" i="2"/>
  <c r="AA5370" i="2"/>
  <c r="AC5379" i="2"/>
  <c r="AA5369" i="2"/>
  <c r="AA5381" i="2"/>
  <c r="AA5371" i="2" l="1"/>
  <c r="AA5376" i="2" s="1"/>
  <c r="AA5372" i="2"/>
  <c r="AC5393" i="2"/>
  <c r="AA5395" i="2"/>
  <c r="AA5384" i="2"/>
  <c r="AA5383" i="2"/>
  <c r="AA5346" i="2"/>
  <c r="AA5347" i="2" s="1"/>
  <c r="AA5350" i="2" s="1"/>
  <c r="AB5351" i="2" s="1"/>
  <c r="AA5359" i="2"/>
  <c r="AA5385" i="2" l="1"/>
  <c r="AA5390" i="2" s="1"/>
  <c r="AA5386" i="2"/>
  <c r="AA5373" i="2"/>
  <c r="AA5360" i="2"/>
  <c r="AA5361" i="2" s="1"/>
  <c r="AA5364" i="2" s="1"/>
  <c r="AB5365" i="2" s="1"/>
  <c r="AA5397" i="2"/>
  <c r="AA5409" i="2"/>
  <c r="AC5407" i="2"/>
  <c r="AA5398" i="2"/>
  <c r="AA5412" i="2" l="1"/>
  <c r="AA5411" i="2"/>
  <c r="AA5423" i="2"/>
  <c r="AC5421" i="2"/>
  <c r="AA5387" i="2"/>
  <c r="AA5400" i="2"/>
  <c r="AA5399" i="2"/>
  <c r="AA5404" i="2" s="1"/>
  <c r="AA5374" i="2"/>
  <c r="AA5375" i="2" s="1"/>
  <c r="AA5378" i="2" s="1"/>
  <c r="AB5379" i="2" s="1"/>
  <c r="AA5388" i="2" l="1"/>
  <c r="AA5389" i="2" s="1"/>
  <c r="AA5392" i="2" s="1"/>
  <c r="AB5393" i="2" s="1"/>
  <c r="AA5413" i="2"/>
  <c r="AA5418" i="2" s="1"/>
  <c r="AA5414" i="2"/>
  <c r="AA5401" i="2"/>
  <c r="AC5435" i="2"/>
  <c r="AA5437" i="2"/>
  <c r="AA5425" i="2"/>
  <c r="AA5426" i="2"/>
  <c r="AA5402" i="2" l="1"/>
  <c r="AA5403" i="2" s="1"/>
  <c r="AA5406" i="2" s="1"/>
  <c r="AB5407" i="2" s="1"/>
  <c r="AA5428" i="2"/>
  <c r="AA5427" i="2"/>
  <c r="AA5432" i="2" s="1"/>
  <c r="AC5449" i="2"/>
  <c r="AA5439" i="2"/>
  <c r="AA5451" i="2"/>
  <c r="AA5440" i="2"/>
  <c r="AA5415" i="2"/>
  <c r="AA5416" i="2" l="1"/>
  <c r="AA5417" i="2" s="1"/>
  <c r="AA5420" i="2" s="1"/>
  <c r="AB5421" i="2" s="1"/>
  <c r="AA5454" i="2"/>
  <c r="AA5453" i="2"/>
  <c r="AA5465" i="2"/>
  <c r="AC5463" i="2"/>
  <c r="AA5429" i="2"/>
  <c r="AA5441" i="2"/>
  <c r="AA5446" i="2" s="1"/>
  <c r="AA5442" i="2"/>
  <c r="AA5479" i="2" l="1"/>
  <c r="AC5477" i="2"/>
  <c r="AA5468" i="2"/>
  <c r="AA5467" i="2"/>
  <c r="AA5443" i="2"/>
  <c r="AA5430" i="2"/>
  <c r="AA5431" i="2" s="1"/>
  <c r="AA5434" i="2" s="1"/>
  <c r="AB5435" i="2" s="1"/>
  <c r="AA5456" i="2"/>
  <c r="AA5455" i="2"/>
  <c r="AA5460" i="2" s="1"/>
  <c r="AA5457" i="2" l="1"/>
  <c r="AA5444" i="2"/>
  <c r="AA5445" i="2" s="1"/>
  <c r="AA5448" i="2" s="1"/>
  <c r="AB5449" i="2" s="1"/>
  <c r="AA5493" i="2"/>
  <c r="AA5482" i="2"/>
  <c r="AC5491" i="2"/>
  <c r="AA5481" i="2"/>
  <c r="AA5470" i="2"/>
  <c r="AA5469" i="2"/>
  <c r="AA5474" i="2" s="1"/>
  <c r="AA5471" i="2" l="1"/>
  <c r="AA5458" i="2"/>
  <c r="AA5459" i="2" s="1"/>
  <c r="AA5462" i="2" s="1"/>
  <c r="AB5463" i="2" s="1"/>
  <c r="AA5495" i="2"/>
  <c r="AA5496" i="2"/>
  <c r="AC5505" i="2"/>
  <c r="AA5507" i="2"/>
  <c r="AA5484" i="2"/>
  <c r="AA5483" i="2"/>
  <c r="AA5488" i="2" s="1"/>
  <c r="AA5485" i="2" l="1"/>
  <c r="AA5472" i="2"/>
  <c r="AA5473" i="2" s="1"/>
  <c r="AA5476" i="2" s="1"/>
  <c r="AB5477" i="2" s="1"/>
  <c r="AA5498" i="2"/>
  <c r="AA5497" i="2"/>
  <c r="AA5502" i="2" s="1"/>
  <c r="AA5510" i="2"/>
  <c r="AC5519" i="2"/>
  <c r="AA5509" i="2"/>
  <c r="AA5521" i="2"/>
  <c r="AA5486" i="2" l="1"/>
  <c r="AA5487" i="2" s="1"/>
  <c r="AA5490" i="2" s="1"/>
  <c r="AB5491" i="2" s="1"/>
  <c r="AA5512" i="2"/>
  <c r="AA5511" i="2"/>
  <c r="AA5516" i="2" s="1"/>
  <c r="AA5499" i="2"/>
  <c r="AC5533" i="2"/>
  <c r="AA5523" i="2"/>
  <c r="AA5535" i="2"/>
  <c r="AA5524" i="2"/>
  <c r="AA5537" i="2" l="1"/>
  <c r="AA5549" i="2"/>
  <c r="AA5538" i="2"/>
  <c r="AC5547" i="2"/>
  <c r="AA5500" i="2"/>
  <c r="AA5501" i="2" s="1"/>
  <c r="AA5504" i="2" s="1"/>
  <c r="AB5505" i="2" s="1"/>
  <c r="AA5513" i="2"/>
  <c r="AA5525" i="2"/>
  <c r="AA5530" i="2" s="1"/>
  <c r="AA5526" i="2"/>
  <c r="AA5527" i="2" l="1"/>
  <c r="AA5514" i="2"/>
  <c r="AA5515" i="2" s="1"/>
  <c r="AA5518" i="2" s="1"/>
  <c r="AB5519" i="2" s="1"/>
  <c r="AA5540" i="2"/>
  <c r="AA5539" i="2"/>
  <c r="AA5544" i="2" s="1"/>
  <c r="AA5563" i="2"/>
  <c r="AA5552" i="2"/>
  <c r="AC5561" i="2"/>
  <c r="AA5551" i="2"/>
  <c r="AA5554" i="2" l="1"/>
  <c r="AA5553" i="2"/>
  <c r="AA5558" i="2" s="1"/>
  <c r="AA5528" i="2"/>
  <c r="AA5529" i="2" s="1"/>
  <c r="AA5532" i="2" s="1"/>
  <c r="AB5533" i="2" s="1"/>
  <c r="AC5575" i="2"/>
  <c r="AA5577" i="2"/>
  <c r="AA5566" i="2"/>
  <c r="AA5565" i="2"/>
  <c r="AA5541" i="2"/>
  <c r="AA5542" i="2" l="1"/>
  <c r="AA5543" i="2" s="1"/>
  <c r="AA5546" i="2" s="1"/>
  <c r="AB5547" i="2" s="1"/>
  <c r="AA5555" i="2"/>
  <c r="AA5579" i="2"/>
  <c r="AA5591" i="2"/>
  <c r="AA5580" i="2"/>
  <c r="AC5589" i="2"/>
  <c r="AA5568" i="2"/>
  <c r="AA5567" i="2"/>
  <c r="AA5572" i="2" s="1"/>
  <c r="AA5581" i="2" l="1"/>
  <c r="AA5586" i="2" s="1"/>
  <c r="AA5582" i="2"/>
  <c r="AA5569" i="2"/>
  <c r="AC5603" i="2"/>
  <c r="AA5593" i="2"/>
  <c r="AA5605" i="2"/>
  <c r="AA5594" i="2"/>
  <c r="AA5556" i="2"/>
  <c r="AA5557" i="2" s="1"/>
  <c r="AA5560" i="2" s="1"/>
  <c r="AB5561" i="2" s="1"/>
  <c r="AC5617" i="2" l="1"/>
  <c r="AA5607" i="2"/>
  <c r="AA5619" i="2"/>
  <c r="AA5608" i="2"/>
  <c r="AA5570" i="2"/>
  <c r="AA5571" i="2" s="1"/>
  <c r="AA5574" i="2" s="1"/>
  <c r="AB5575" i="2" s="1"/>
  <c r="AA5596" i="2"/>
  <c r="AA5595" i="2"/>
  <c r="AA5600" i="2" s="1"/>
  <c r="AA5583" i="2"/>
  <c r="AA5610" i="2" l="1"/>
  <c r="AA5609" i="2"/>
  <c r="AA5614" i="2" s="1"/>
  <c r="AA5597" i="2"/>
  <c r="AA5622" i="2"/>
  <c r="AA5621" i="2"/>
  <c r="AC5631" i="2"/>
  <c r="AA5584" i="2"/>
  <c r="AA5585" i="2" s="1"/>
  <c r="AA5588" i="2" s="1"/>
  <c r="AB5589" i="2" s="1"/>
  <c r="AA5611" i="2" l="1"/>
  <c r="AA5598" i="2"/>
  <c r="AA5599" i="2" s="1"/>
  <c r="AA5602" i="2" s="1"/>
  <c r="AB5603" i="2" s="1"/>
  <c r="AA5624" i="2"/>
  <c r="AA5623" i="2"/>
  <c r="AA5628" i="2" s="1"/>
  <c r="AA5625" i="2" l="1"/>
  <c r="AA5612" i="2"/>
  <c r="AA5613" i="2" s="1"/>
  <c r="AA5616" i="2" s="1"/>
  <c r="AB5617" i="2" s="1"/>
  <c r="AA5626" i="2" l="1"/>
  <c r="AA5627" i="2" s="1"/>
  <c r="AA5630" i="2" s="1"/>
  <c r="AB5631" i="2" s="1"/>
  <c r="AC18" i="2" s="1"/>
  <c r="AC20" i="2" s="1"/>
  <c r="AC19" i="2" l="1"/>
  <c r="J40" i="3" l="1"/>
  <c r="AD33" i="2"/>
  <c r="AF45" i="2" s="1"/>
  <c r="I44" i="3" l="1"/>
  <c r="I41" i="3" s="1"/>
  <c r="I40" i="3"/>
  <c r="H44" i="3" s="1"/>
  <c r="H41" i="3" s="1"/>
  <c r="AD47" i="2"/>
  <c r="AD50" i="2" s="1"/>
  <c r="AD35" i="2"/>
  <c r="AD37" i="2" s="1"/>
  <c r="AD42" i="2" s="1"/>
  <c r="AD36" i="2"/>
  <c r="AD61" i="2" l="1"/>
  <c r="AD63" i="2" s="1"/>
  <c r="AD49" i="2"/>
  <c r="AD51" i="2" s="1"/>
  <c r="AD56" i="2" s="1"/>
  <c r="AF59" i="2"/>
  <c r="AD38" i="2"/>
  <c r="AD39" i="2" s="1"/>
  <c r="AD40" i="2" s="1"/>
  <c r="AD41" i="2" s="1"/>
  <c r="AD44" i="2" s="1"/>
  <c r="AE45" i="2" s="1"/>
  <c r="AD64" i="2" l="1"/>
  <c r="AD66" i="2" s="1"/>
  <c r="AD67" i="2" s="1"/>
  <c r="AD75" i="2"/>
  <c r="AF87" i="2" s="1"/>
  <c r="AF73" i="2"/>
  <c r="AD52" i="2"/>
  <c r="AD53" i="2" s="1"/>
  <c r="AD54" i="2" s="1"/>
  <c r="AD55" i="2" s="1"/>
  <c r="AD58" i="2" s="1"/>
  <c r="AE59" i="2" s="1"/>
  <c r="AD65" i="2"/>
  <c r="AD70" i="2" s="1"/>
  <c r="AD78" i="2" l="1"/>
  <c r="AD89" i="2"/>
  <c r="AD103" i="2" s="1"/>
  <c r="AD77" i="2"/>
  <c r="AD79" i="2" s="1"/>
  <c r="AD84" i="2" s="1"/>
  <c r="AD68" i="2"/>
  <c r="AD69" i="2" s="1"/>
  <c r="AD72" i="2" s="1"/>
  <c r="AE73" i="2" s="1"/>
  <c r="AD91" i="2" l="1"/>
  <c r="AD93" i="2" s="1"/>
  <c r="AD98" i="2" s="1"/>
  <c r="AD92" i="2"/>
  <c r="AF101" i="2"/>
  <c r="AD80" i="2"/>
  <c r="AD81" i="2" s="1"/>
  <c r="AD82" i="2" s="1"/>
  <c r="AD83" i="2" s="1"/>
  <c r="AD86" i="2" s="1"/>
  <c r="AE87" i="2" s="1"/>
  <c r="AD105" i="2"/>
  <c r="AD117" i="2"/>
  <c r="AF115" i="2"/>
  <c r="AD106" i="2"/>
  <c r="AD94" i="2" l="1"/>
  <c r="AD95" i="2" s="1"/>
  <c r="AD96" i="2" s="1"/>
  <c r="AD97" i="2" s="1"/>
  <c r="AD100" i="2" s="1"/>
  <c r="AE101" i="2" s="1"/>
  <c r="AD120" i="2"/>
  <c r="AD131" i="2"/>
  <c r="AD119" i="2"/>
  <c r="AF129" i="2"/>
  <c r="AD108" i="2"/>
  <c r="AD109" i="2" s="1"/>
  <c r="AD110" i="2" s="1"/>
  <c r="AD107" i="2"/>
  <c r="AD112" i="2" s="1"/>
  <c r="AD111" i="2" l="1"/>
  <c r="AD114" i="2" s="1"/>
  <c r="AE115" i="2" s="1"/>
  <c r="AD122" i="2"/>
  <c r="AD123" i="2" s="1"/>
  <c r="AD121" i="2"/>
  <c r="AD126" i="2" s="1"/>
  <c r="AD145" i="2"/>
  <c r="AD133" i="2"/>
  <c r="AD134" i="2"/>
  <c r="AF143" i="2"/>
  <c r="AD147" i="2" l="1"/>
  <c r="AD159" i="2"/>
  <c r="AF157" i="2"/>
  <c r="AD148" i="2"/>
  <c r="AD124" i="2"/>
  <c r="AD125" i="2" s="1"/>
  <c r="AD128" i="2" s="1"/>
  <c r="AE129" i="2" s="1"/>
  <c r="AD135" i="2"/>
  <c r="AD140" i="2" s="1"/>
  <c r="AD136" i="2"/>
  <c r="AD137" i="2" s="1"/>
  <c r="AD138" i="2" s="1"/>
  <c r="AD139" i="2" l="1"/>
  <c r="AD142" i="2" s="1"/>
  <c r="AE143" i="2" s="1"/>
  <c r="AD173" i="2"/>
  <c r="AD162" i="2"/>
  <c r="AF171" i="2"/>
  <c r="AD161" i="2"/>
  <c r="AD149" i="2"/>
  <c r="AD154" i="2" s="1"/>
  <c r="AD150" i="2"/>
  <c r="AD151" i="2" s="1"/>
  <c r="AD152" i="2" l="1"/>
  <c r="AD153" i="2" s="1"/>
  <c r="AD156" i="2" s="1"/>
  <c r="AE157" i="2" s="1"/>
  <c r="AD176" i="2"/>
  <c r="AD187" i="2"/>
  <c r="AF185" i="2"/>
  <c r="AD175" i="2"/>
  <c r="AD164" i="2"/>
  <c r="AD165" i="2" s="1"/>
  <c r="AD166" i="2" s="1"/>
  <c r="AD163" i="2"/>
  <c r="AD168" i="2" s="1"/>
  <c r="AD167" i="2" l="1"/>
  <c r="AD170" i="2" s="1"/>
  <c r="AE171" i="2" s="1"/>
  <c r="AD177" i="2"/>
  <c r="AD182" i="2" s="1"/>
  <c r="AD178" i="2"/>
  <c r="AD179" i="2" s="1"/>
  <c r="AF199" i="2"/>
  <c r="AD201" i="2"/>
  <c r="AD190" i="2"/>
  <c r="AD189" i="2"/>
  <c r="AD191" i="2" l="1"/>
  <c r="AD196" i="2" s="1"/>
  <c r="AD192" i="2"/>
  <c r="AD193" i="2" s="1"/>
  <c r="AD180" i="2"/>
  <c r="AD181" i="2" s="1"/>
  <c r="AD184" i="2" s="1"/>
  <c r="AE185" i="2" s="1"/>
  <c r="AF213" i="2"/>
  <c r="AD215" i="2"/>
  <c r="AD203" i="2"/>
  <c r="AD204" i="2"/>
  <c r="AF227" i="2" l="1"/>
  <c r="AD229" i="2"/>
  <c r="AD218" i="2"/>
  <c r="AD217" i="2"/>
  <c r="AD194" i="2"/>
  <c r="AD195" i="2" s="1"/>
  <c r="AD198" i="2" s="1"/>
  <c r="AE199" i="2" s="1"/>
  <c r="AD205" i="2"/>
  <c r="AD210" i="2" s="1"/>
  <c r="AD206" i="2"/>
  <c r="AD207" i="2" s="1"/>
  <c r="AD208" i="2" s="1"/>
  <c r="AD231" i="2" l="1"/>
  <c r="AD232" i="2"/>
  <c r="AF241" i="2"/>
  <c r="AD243" i="2"/>
  <c r="AD220" i="2"/>
  <c r="AD221" i="2" s="1"/>
  <c r="AD219" i="2"/>
  <c r="AD224" i="2" s="1"/>
  <c r="AD209" i="2"/>
  <c r="AD212" i="2" s="1"/>
  <c r="AE213" i="2" s="1"/>
  <c r="AD222" i="2" l="1"/>
  <c r="AD223" i="2" s="1"/>
  <c r="AD226" i="2" s="1"/>
  <c r="AE227" i="2" s="1"/>
  <c r="AD234" i="2"/>
  <c r="AD235" i="2" s="1"/>
  <c r="AD233" i="2"/>
  <c r="AD238" i="2" s="1"/>
  <c r="AD245" i="2"/>
  <c r="AD257" i="2"/>
  <c r="AF255" i="2"/>
  <c r="AD246" i="2"/>
  <c r="AD248" i="2" l="1"/>
  <c r="AD249" i="2" s="1"/>
  <c r="AD250" i="2" s="1"/>
  <c r="AD247" i="2"/>
  <c r="AD252" i="2" s="1"/>
  <c r="AD259" i="2"/>
  <c r="AD260" i="2"/>
  <c r="AD271" i="2"/>
  <c r="AF269" i="2"/>
  <c r="AD236" i="2"/>
  <c r="AD237" i="2" s="1"/>
  <c r="AD240" i="2" s="1"/>
  <c r="AE241" i="2" s="1"/>
  <c r="AD251" i="2" l="1"/>
  <c r="AD254" i="2" s="1"/>
  <c r="AE255" i="2" s="1"/>
  <c r="AF283" i="2"/>
  <c r="AD285" i="2"/>
  <c r="AD274" i="2"/>
  <c r="AD273" i="2"/>
  <c r="AD262" i="2"/>
  <c r="AD263" i="2" s="1"/>
  <c r="AD261" i="2"/>
  <c r="AD266" i="2" s="1"/>
  <c r="AD264" i="2" l="1"/>
  <c r="AD265" i="2" s="1"/>
  <c r="AD268" i="2" s="1"/>
  <c r="AE269" i="2" s="1"/>
  <c r="AF297" i="2"/>
  <c r="AD288" i="2"/>
  <c r="AD287" i="2"/>
  <c r="AD299" i="2"/>
  <c r="AD275" i="2"/>
  <c r="AD280" i="2" s="1"/>
  <c r="AD276" i="2"/>
  <c r="AD277" i="2" s="1"/>
  <c r="AD278" i="2" s="1"/>
  <c r="AD279" i="2" l="1"/>
  <c r="AD282" i="2" s="1"/>
  <c r="AE283" i="2" s="1"/>
  <c r="AD290" i="2"/>
  <c r="AD291" i="2" s="1"/>
  <c r="AD289" i="2"/>
  <c r="AD294" i="2" s="1"/>
  <c r="AF311" i="2"/>
  <c r="AD313" i="2"/>
  <c r="AD302" i="2"/>
  <c r="AD301" i="2"/>
  <c r="AD292" i="2" l="1"/>
  <c r="AD293" i="2" s="1"/>
  <c r="AD296" i="2" s="1"/>
  <c r="AE297" i="2" s="1"/>
  <c r="AD303" i="2"/>
  <c r="AD308" i="2" s="1"/>
  <c r="AD304" i="2"/>
  <c r="AD305" i="2" s="1"/>
  <c r="AD316" i="2"/>
  <c r="AD327" i="2"/>
  <c r="AD315" i="2"/>
  <c r="AF325" i="2"/>
  <c r="AF339" i="2" l="1"/>
  <c r="AD341" i="2"/>
  <c r="AD330" i="2"/>
  <c r="AD329" i="2"/>
  <c r="AD318" i="2"/>
  <c r="AD319" i="2" s="1"/>
  <c r="AD317" i="2"/>
  <c r="AD322" i="2" s="1"/>
  <c r="AD306" i="2"/>
  <c r="AD307" i="2" s="1"/>
  <c r="AD310" i="2" s="1"/>
  <c r="AE311" i="2" s="1"/>
  <c r="AD320" i="2" l="1"/>
  <c r="AD321" i="2" s="1"/>
  <c r="AD324" i="2" s="1"/>
  <c r="AE325" i="2" s="1"/>
  <c r="AD344" i="2"/>
  <c r="AD343" i="2"/>
  <c r="AD355" i="2"/>
  <c r="AF353" i="2"/>
  <c r="AD332" i="2"/>
  <c r="AD333" i="2" s="1"/>
  <c r="AD334" i="2" s="1"/>
  <c r="AD331" i="2"/>
  <c r="AD336" i="2" s="1"/>
  <c r="AD358" i="2" l="1"/>
  <c r="AD369" i="2"/>
  <c r="AF367" i="2"/>
  <c r="AD357" i="2"/>
  <c r="AD346" i="2"/>
  <c r="AD347" i="2" s="1"/>
  <c r="AD345" i="2"/>
  <c r="AD350" i="2" s="1"/>
  <c r="AD335" i="2"/>
  <c r="AD338" i="2" s="1"/>
  <c r="AE339" i="2" s="1"/>
  <c r="AD348" i="2" l="1"/>
  <c r="AD349" i="2" s="1"/>
  <c r="AD352" i="2" s="1"/>
  <c r="AE353" i="2" s="1"/>
  <c r="AD371" i="2"/>
  <c r="AD372" i="2"/>
  <c r="AF381" i="2"/>
  <c r="AD383" i="2"/>
  <c r="AD360" i="2"/>
  <c r="AD361" i="2" s="1"/>
  <c r="AD362" i="2" s="1"/>
  <c r="AD359" i="2"/>
  <c r="AD364" i="2" s="1"/>
  <c r="AD363" i="2" l="1"/>
  <c r="AD366" i="2" s="1"/>
  <c r="AE367" i="2" s="1"/>
  <c r="AD374" i="2"/>
  <c r="AD375" i="2" s="1"/>
  <c r="AD376" i="2" s="1"/>
  <c r="AD373" i="2"/>
  <c r="AD378" i="2" s="1"/>
  <c r="AF395" i="2"/>
  <c r="AD386" i="2"/>
  <c r="AD397" i="2"/>
  <c r="AD385" i="2"/>
  <c r="AD377" i="2" l="1"/>
  <c r="AD380" i="2" s="1"/>
  <c r="AE381" i="2" s="1"/>
  <c r="AD387" i="2"/>
  <c r="AD392" i="2" s="1"/>
  <c r="AD388" i="2"/>
  <c r="AD389" i="2" s="1"/>
  <c r="AD390" i="2" s="1"/>
  <c r="AF409" i="2"/>
  <c r="AD399" i="2"/>
  <c r="AD411" i="2"/>
  <c r="AD400" i="2"/>
  <c r="AD391" i="2" l="1"/>
  <c r="AD394" i="2" s="1"/>
  <c r="AE395" i="2" s="1"/>
  <c r="AD425" i="2"/>
  <c r="AF423" i="2"/>
  <c r="AD414" i="2"/>
  <c r="AD413" i="2"/>
  <c r="AD401" i="2"/>
  <c r="AD406" i="2" s="1"/>
  <c r="AD402" i="2"/>
  <c r="AD403" i="2" s="1"/>
  <c r="AD404" i="2" s="1"/>
  <c r="AD405" i="2" l="1"/>
  <c r="AD408" i="2" s="1"/>
  <c r="AE409" i="2" s="1"/>
  <c r="AD427" i="2"/>
  <c r="AF437" i="2"/>
  <c r="AD428" i="2"/>
  <c r="AD439" i="2"/>
  <c r="AD415" i="2"/>
  <c r="AD420" i="2" s="1"/>
  <c r="AD416" i="2"/>
  <c r="AD417" i="2" s="1"/>
  <c r="AD418" i="2" s="1"/>
  <c r="AD419" i="2" l="1"/>
  <c r="AD422" i="2" s="1"/>
  <c r="AE423" i="2" s="1"/>
  <c r="AD429" i="2"/>
  <c r="AD434" i="2" s="1"/>
  <c r="AD430" i="2"/>
  <c r="AD431" i="2" s="1"/>
  <c r="AD442" i="2"/>
  <c r="AD441" i="2"/>
  <c r="AD453" i="2"/>
  <c r="AF451" i="2"/>
  <c r="AD432" i="2" l="1"/>
  <c r="AD433" i="2" s="1"/>
  <c r="AD436" i="2" s="1"/>
  <c r="AE437" i="2" s="1"/>
  <c r="AD456" i="2"/>
  <c r="AF465" i="2"/>
  <c r="AD455" i="2"/>
  <c r="AD467" i="2"/>
  <c r="AD444" i="2"/>
  <c r="AD445" i="2" s="1"/>
  <c r="AD446" i="2" s="1"/>
  <c r="AD443" i="2"/>
  <c r="AD448" i="2" s="1"/>
  <c r="AD447" i="2" l="1"/>
  <c r="AD450" i="2" s="1"/>
  <c r="AE451" i="2" s="1"/>
  <c r="AD469" i="2"/>
  <c r="AD470" i="2"/>
  <c r="AD481" i="2"/>
  <c r="AF479" i="2"/>
  <c r="AD457" i="2"/>
  <c r="AD462" i="2" s="1"/>
  <c r="AD458" i="2"/>
  <c r="AD459" i="2" s="1"/>
  <c r="AD460" i="2" l="1"/>
  <c r="AD461" i="2" s="1"/>
  <c r="AD464" i="2" s="1"/>
  <c r="AE465" i="2" s="1"/>
  <c r="AD483" i="2"/>
  <c r="AF493" i="2"/>
  <c r="AD495" i="2"/>
  <c r="AD484" i="2"/>
  <c r="AD472" i="2"/>
  <c r="AD473" i="2" s="1"/>
  <c r="AD471" i="2"/>
  <c r="AD476" i="2" s="1"/>
  <c r="AD509" i="2" l="1"/>
  <c r="AD497" i="2"/>
  <c r="AF507" i="2"/>
  <c r="AD498" i="2"/>
  <c r="AD474" i="2"/>
  <c r="AD475" i="2" s="1"/>
  <c r="AD478" i="2" s="1"/>
  <c r="AE479" i="2" s="1"/>
  <c r="AD485" i="2"/>
  <c r="AD490" i="2" s="1"/>
  <c r="AD486" i="2"/>
  <c r="AD487" i="2" s="1"/>
  <c r="AD523" i="2" l="1"/>
  <c r="AF521" i="2"/>
  <c r="AD511" i="2"/>
  <c r="AD512" i="2"/>
  <c r="AD499" i="2"/>
  <c r="AD504" i="2" s="1"/>
  <c r="AD500" i="2"/>
  <c r="AD501" i="2" s="1"/>
  <c r="AD488" i="2"/>
  <c r="AD489" i="2" s="1"/>
  <c r="AD492" i="2" s="1"/>
  <c r="AE493" i="2" s="1"/>
  <c r="AD514" i="2" l="1"/>
  <c r="AD515" i="2" s="1"/>
  <c r="AD513" i="2"/>
  <c r="AD518" i="2" s="1"/>
  <c r="AD525" i="2"/>
  <c r="AF535" i="2"/>
  <c r="AD526" i="2"/>
  <c r="AD537" i="2"/>
  <c r="AD502" i="2"/>
  <c r="AD503" i="2" s="1"/>
  <c r="AD506" i="2" s="1"/>
  <c r="AE507" i="2" s="1"/>
  <c r="AD539" i="2" l="1"/>
  <c r="AD540" i="2"/>
  <c r="AD551" i="2"/>
  <c r="AF549" i="2"/>
  <c r="AD528" i="2"/>
  <c r="AD529" i="2" s="1"/>
  <c r="AD530" i="2" s="1"/>
  <c r="AD527" i="2"/>
  <c r="AD532" i="2" s="1"/>
  <c r="AD516" i="2"/>
  <c r="AD517" i="2" s="1"/>
  <c r="AD520" i="2" s="1"/>
  <c r="AE521" i="2" s="1"/>
  <c r="AD531" i="2" l="1"/>
  <c r="AD534" i="2" s="1"/>
  <c r="AE535" i="2" s="1"/>
  <c r="AD542" i="2"/>
  <c r="AD543" i="2" s="1"/>
  <c r="AD541" i="2"/>
  <c r="AD546" i="2" s="1"/>
  <c r="AF563" i="2"/>
  <c r="AD565" i="2"/>
  <c r="AD554" i="2"/>
  <c r="AD553" i="2"/>
  <c r="AD555" i="2" l="1"/>
  <c r="AD560" i="2" s="1"/>
  <c r="AD556" i="2"/>
  <c r="AD557" i="2" s="1"/>
  <c r="AD558" i="2" s="1"/>
  <c r="AD544" i="2"/>
  <c r="AD545" i="2" s="1"/>
  <c r="AD548" i="2" s="1"/>
  <c r="AE549" i="2" s="1"/>
  <c r="AD568" i="2"/>
  <c r="AD567" i="2"/>
  <c r="AD579" i="2"/>
  <c r="AF577" i="2"/>
  <c r="AD570" i="2" l="1"/>
  <c r="AD571" i="2" s="1"/>
  <c r="AD569" i="2"/>
  <c r="AD574" i="2" s="1"/>
  <c r="AD559" i="2"/>
  <c r="AD562" i="2" s="1"/>
  <c r="AE563" i="2" s="1"/>
  <c r="AF591" i="2"/>
  <c r="AD593" i="2"/>
  <c r="AD582" i="2"/>
  <c r="AD581" i="2"/>
  <c r="AD595" i="2" l="1"/>
  <c r="AD596" i="2"/>
  <c r="AD607" i="2"/>
  <c r="AF605" i="2"/>
  <c r="AD572" i="2"/>
  <c r="AD573" i="2" s="1"/>
  <c r="AD576" i="2" s="1"/>
  <c r="AE577" i="2" s="1"/>
  <c r="AD583" i="2"/>
  <c r="AD588" i="2" s="1"/>
  <c r="AD584" i="2"/>
  <c r="AD585" i="2" s="1"/>
  <c r="AD597" i="2" l="1"/>
  <c r="AD602" i="2" s="1"/>
  <c r="AD598" i="2"/>
  <c r="AD599" i="2" s="1"/>
  <c r="AD600" i="2" s="1"/>
  <c r="AD621" i="2"/>
  <c r="AF619" i="2"/>
  <c r="AD609" i="2"/>
  <c r="AD610" i="2"/>
  <c r="AD586" i="2"/>
  <c r="AD587" i="2" s="1"/>
  <c r="AD590" i="2" s="1"/>
  <c r="AE591" i="2" s="1"/>
  <c r="AD611" i="2" l="1"/>
  <c r="AD616" i="2" s="1"/>
  <c r="AD612" i="2"/>
  <c r="AD613" i="2" s="1"/>
  <c r="AD614" i="2" s="1"/>
  <c r="AD601" i="2"/>
  <c r="AD604" i="2" s="1"/>
  <c r="AE605" i="2" s="1"/>
  <c r="AF633" i="2"/>
  <c r="AD635" i="2"/>
  <c r="AD624" i="2"/>
  <c r="AD623" i="2"/>
  <c r="AD615" i="2" l="1"/>
  <c r="AD618" i="2" s="1"/>
  <c r="AE619" i="2" s="1"/>
  <c r="AD649" i="2"/>
  <c r="AF647" i="2"/>
  <c r="AD637" i="2"/>
  <c r="AD638" i="2"/>
  <c r="AD625" i="2"/>
  <c r="AD630" i="2" s="1"/>
  <c r="AD626" i="2"/>
  <c r="AD627" i="2" s="1"/>
  <c r="AD628" i="2" s="1"/>
  <c r="AD629" i="2" l="1"/>
  <c r="AD632" i="2" s="1"/>
  <c r="AE633" i="2" s="1"/>
  <c r="AD639" i="2"/>
  <c r="AD644" i="2" s="1"/>
  <c r="AD640" i="2"/>
  <c r="AD641" i="2" s="1"/>
  <c r="AD642" i="2" s="1"/>
  <c r="AD651" i="2"/>
  <c r="AF661" i="2"/>
  <c r="AD652" i="2"/>
  <c r="AD663" i="2"/>
  <c r="AD643" i="2" l="1"/>
  <c r="AD646" i="2" s="1"/>
  <c r="AE647" i="2" s="1"/>
  <c r="AD654" i="2"/>
  <c r="AD655" i="2" s="1"/>
  <c r="AD653" i="2"/>
  <c r="AD658" i="2" s="1"/>
  <c r="AD666" i="2"/>
  <c r="AD665" i="2"/>
  <c r="AD677" i="2"/>
  <c r="AF675" i="2"/>
  <c r="AF689" i="2" l="1"/>
  <c r="AD680" i="2"/>
  <c r="AD679" i="2"/>
  <c r="AD691" i="2"/>
  <c r="AD656" i="2"/>
  <c r="AD657" i="2" s="1"/>
  <c r="AD660" i="2" s="1"/>
  <c r="AE661" i="2" s="1"/>
  <c r="AD668" i="2"/>
  <c r="AD669" i="2" s="1"/>
  <c r="AD667" i="2"/>
  <c r="AD672" i="2" s="1"/>
  <c r="AD670" i="2" l="1"/>
  <c r="AD671" i="2" s="1"/>
  <c r="AD674" i="2" s="1"/>
  <c r="AE675" i="2" s="1"/>
  <c r="AD681" i="2"/>
  <c r="AD686" i="2" s="1"/>
  <c r="AD682" i="2"/>
  <c r="AD683" i="2" s="1"/>
  <c r="AD684" i="2" s="1"/>
  <c r="AD705" i="2"/>
  <c r="AD693" i="2"/>
  <c r="AD694" i="2"/>
  <c r="AF703" i="2"/>
  <c r="AD685" i="2" l="1"/>
  <c r="AD688" i="2" s="1"/>
  <c r="AE689" i="2" s="1"/>
  <c r="AF717" i="2"/>
  <c r="AD707" i="2"/>
  <c r="AD708" i="2"/>
  <c r="AD719" i="2"/>
  <c r="AD696" i="2"/>
  <c r="AD697" i="2" s="1"/>
  <c r="AD698" i="2" s="1"/>
  <c r="AD695" i="2"/>
  <c r="AD700" i="2" s="1"/>
  <c r="AD699" i="2" l="1"/>
  <c r="AD702" i="2" s="1"/>
  <c r="AE703" i="2" s="1"/>
  <c r="AD710" i="2"/>
  <c r="AD711" i="2" s="1"/>
  <c r="AD709" i="2"/>
  <c r="AD714" i="2" s="1"/>
  <c r="AF731" i="2"/>
  <c r="AD722" i="2"/>
  <c r="AD721" i="2"/>
  <c r="AD733" i="2"/>
  <c r="AD712" i="2" l="1"/>
  <c r="AD713" i="2" s="1"/>
  <c r="AD716" i="2" s="1"/>
  <c r="AE717" i="2" s="1"/>
  <c r="AD724" i="2"/>
  <c r="AD725" i="2" s="1"/>
  <c r="AD723" i="2"/>
  <c r="AD728" i="2" s="1"/>
  <c r="AD747" i="2"/>
  <c r="AF745" i="2"/>
  <c r="AD736" i="2"/>
  <c r="AD735" i="2"/>
  <c r="AD726" i="2" l="1"/>
  <c r="AD727" i="2" s="1"/>
  <c r="AD730" i="2" s="1"/>
  <c r="AE731" i="2" s="1"/>
  <c r="AD761" i="2"/>
  <c r="AF759" i="2"/>
  <c r="AD750" i="2"/>
  <c r="AD749" i="2"/>
  <c r="AD738" i="2"/>
  <c r="AD739" i="2" s="1"/>
  <c r="AD737" i="2"/>
  <c r="AD742" i="2" s="1"/>
  <c r="AD752" i="2" l="1"/>
  <c r="AD753" i="2" s="1"/>
  <c r="AD754" i="2" s="1"/>
  <c r="AD751" i="2"/>
  <c r="AD756" i="2" s="1"/>
  <c r="AD740" i="2"/>
  <c r="AD741" i="2" s="1"/>
  <c r="AD744" i="2" s="1"/>
  <c r="AE745" i="2" s="1"/>
  <c r="AD764" i="2"/>
  <c r="AF773" i="2"/>
  <c r="AD763" i="2"/>
  <c r="AD775" i="2"/>
  <c r="AD755" i="2" l="1"/>
  <c r="AD758" i="2" s="1"/>
  <c r="AE759" i="2" s="1"/>
  <c r="AD765" i="2"/>
  <c r="AD770" i="2" s="1"/>
  <c r="AD766" i="2"/>
  <c r="AD767" i="2" s="1"/>
  <c r="AD777" i="2"/>
  <c r="AF787" i="2"/>
  <c r="AD778" i="2"/>
  <c r="AD789" i="2"/>
  <c r="AD803" i="2" l="1"/>
  <c r="AF801" i="2"/>
  <c r="AD791" i="2"/>
  <c r="AD792" i="2"/>
  <c r="AD779" i="2"/>
  <c r="AD784" i="2" s="1"/>
  <c r="AD780" i="2"/>
  <c r="AD781" i="2" s="1"/>
  <c r="AD782" i="2" s="1"/>
  <c r="AD768" i="2"/>
  <c r="AD769" i="2" s="1"/>
  <c r="AD772" i="2" s="1"/>
  <c r="AE773" i="2" s="1"/>
  <c r="AD783" i="2" l="1"/>
  <c r="AD786" i="2" s="1"/>
  <c r="AE787" i="2" s="1"/>
  <c r="AD817" i="2"/>
  <c r="AF815" i="2"/>
  <c r="AD806" i="2"/>
  <c r="AD805" i="2"/>
  <c r="AD793" i="2"/>
  <c r="AD798" i="2" s="1"/>
  <c r="AD794" i="2"/>
  <c r="AD795" i="2" s="1"/>
  <c r="AD796" i="2" s="1"/>
  <c r="AD797" i="2" l="1"/>
  <c r="AD800" i="2" s="1"/>
  <c r="AE801" i="2" s="1"/>
  <c r="AF829" i="2"/>
  <c r="AD820" i="2"/>
  <c r="AD819" i="2"/>
  <c r="AD831" i="2"/>
  <c r="AD807" i="2"/>
  <c r="AD812" i="2" s="1"/>
  <c r="AD808" i="2"/>
  <c r="AD809" i="2" s="1"/>
  <c r="AD810" i="2" s="1"/>
  <c r="AD811" i="2" l="1"/>
  <c r="AD814" i="2" s="1"/>
  <c r="AE815" i="2" s="1"/>
  <c r="AD822" i="2"/>
  <c r="AD823" i="2" s="1"/>
  <c r="AD821" i="2"/>
  <c r="AD826" i="2" s="1"/>
  <c r="AD833" i="2"/>
  <c r="AF843" i="2"/>
  <c r="AD834" i="2"/>
  <c r="AD845" i="2"/>
  <c r="AD824" i="2" l="1"/>
  <c r="AD825" i="2" s="1"/>
  <c r="AD828" i="2" s="1"/>
  <c r="AE829" i="2" s="1"/>
  <c r="AD847" i="2"/>
  <c r="AD859" i="2"/>
  <c r="AF857" i="2"/>
  <c r="AD848" i="2"/>
  <c r="AD836" i="2"/>
  <c r="AD837" i="2" s="1"/>
  <c r="AD835" i="2"/>
  <c r="AD840" i="2" s="1"/>
  <c r="AD849" i="2" l="1"/>
  <c r="AD854" i="2" s="1"/>
  <c r="AD850" i="2"/>
  <c r="AD851" i="2" s="1"/>
  <c r="AD838" i="2"/>
  <c r="AD839" i="2" s="1"/>
  <c r="AD842" i="2" s="1"/>
  <c r="AE843" i="2" s="1"/>
  <c r="AD873" i="2"/>
  <c r="AF871" i="2"/>
  <c r="AD861" i="2"/>
  <c r="AD862" i="2"/>
  <c r="AD852" i="2" l="1"/>
  <c r="AD853" i="2" s="1"/>
  <c r="AD856" i="2" s="1"/>
  <c r="AE857" i="2" s="1"/>
  <c r="AD863" i="2"/>
  <c r="AD868" i="2" s="1"/>
  <c r="AD864" i="2"/>
  <c r="AD865" i="2" s="1"/>
  <c r="AD887" i="2"/>
  <c r="AD875" i="2"/>
  <c r="AD876" i="2"/>
  <c r="AF885" i="2"/>
  <c r="AD878" i="2" l="1"/>
  <c r="AD879" i="2" s="1"/>
  <c r="AD880" i="2" s="1"/>
  <c r="AD877" i="2"/>
  <c r="AD882" i="2" s="1"/>
  <c r="AD901" i="2"/>
  <c r="AF899" i="2"/>
  <c r="AD890" i="2"/>
  <c r="AD889" i="2"/>
  <c r="AD866" i="2"/>
  <c r="AD867" i="2" s="1"/>
  <c r="AD870" i="2" s="1"/>
  <c r="AE871" i="2" s="1"/>
  <c r="AD881" i="2" l="1"/>
  <c r="AD884" i="2" s="1"/>
  <c r="AE885" i="2" s="1"/>
  <c r="AD891" i="2"/>
  <c r="AD896" i="2" s="1"/>
  <c r="AD892" i="2"/>
  <c r="AD893" i="2" s="1"/>
  <c r="AF913" i="2"/>
  <c r="AD915" i="2"/>
  <c r="AD903" i="2"/>
  <c r="AD904" i="2"/>
  <c r="AD906" i="2" l="1"/>
  <c r="AD907" i="2" s="1"/>
  <c r="AD905" i="2"/>
  <c r="AD910" i="2" s="1"/>
  <c r="AD894" i="2"/>
  <c r="AD895" i="2" s="1"/>
  <c r="AD898" i="2" s="1"/>
  <c r="AE899" i="2" s="1"/>
  <c r="AF927" i="2"/>
  <c r="AD917" i="2"/>
  <c r="AD918" i="2"/>
  <c r="AD929" i="2"/>
  <c r="AD919" i="2" l="1"/>
  <c r="AD924" i="2" s="1"/>
  <c r="AD920" i="2"/>
  <c r="AD921" i="2" s="1"/>
  <c r="AD922" i="2" s="1"/>
  <c r="AD908" i="2"/>
  <c r="AD909" i="2" s="1"/>
  <c r="AD912" i="2" s="1"/>
  <c r="AE913" i="2" s="1"/>
  <c r="AD943" i="2"/>
  <c r="AD931" i="2"/>
  <c r="AF941" i="2"/>
  <c r="AD932" i="2"/>
  <c r="AD923" i="2" l="1"/>
  <c r="AD926" i="2" s="1"/>
  <c r="AE927" i="2" s="1"/>
  <c r="AD945" i="2"/>
  <c r="AF955" i="2"/>
  <c r="AD946" i="2"/>
  <c r="AD957" i="2"/>
  <c r="AD933" i="2"/>
  <c r="AD938" i="2" s="1"/>
  <c r="AD934" i="2"/>
  <c r="AD935" i="2" s="1"/>
  <c r="AD936" i="2" s="1"/>
  <c r="AD937" i="2" l="1"/>
  <c r="AD940" i="2" s="1"/>
  <c r="AE941" i="2" s="1"/>
  <c r="AD948" i="2"/>
  <c r="AD949" i="2" s="1"/>
  <c r="AD950" i="2" s="1"/>
  <c r="AD947" i="2"/>
  <c r="AD952" i="2" s="1"/>
  <c r="AD971" i="2"/>
  <c r="AF969" i="2"/>
  <c r="AD960" i="2"/>
  <c r="AD959" i="2"/>
  <c r="AD951" i="2" l="1"/>
  <c r="AD954" i="2" s="1"/>
  <c r="AE955" i="2" s="1"/>
  <c r="AD961" i="2"/>
  <c r="AD966" i="2" s="1"/>
  <c r="AD962" i="2"/>
  <c r="AD963" i="2" s="1"/>
  <c r="AD964" i="2" s="1"/>
  <c r="AF983" i="2"/>
  <c r="AD974" i="2"/>
  <c r="AD985" i="2"/>
  <c r="AD973" i="2"/>
  <c r="AD999" i="2" l="1"/>
  <c r="AD987" i="2"/>
  <c r="AF997" i="2"/>
  <c r="AD988" i="2"/>
  <c r="AD976" i="2"/>
  <c r="AD977" i="2" s="1"/>
  <c r="AD978" i="2" s="1"/>
  <c r="AD975" i="2"/>
  <c r="AD980" i="2" s="1"/>
  <c r="AD965" i="2"/>
  <c r="AD968" i="2" s="1"/>
  <c r="AE969" i="2" s="1"/>
  <c r="AD979" i="2" l="1"/>
  <c r="AD982" i="2" s="1"/>
  <c r="AE983" i="2" s="1"/>
  <c r="AF1011" i="2"/>
  <c r="AD1001" i="2"/>
  <c r="AD1002" i="2"/>
  <c r="AD1013" i="2"/>
  <c r="AD990" i="2"/>
  <c r="AD991" i="2" s="1"/>
  <c r="AD989" i="2"/>
  <c r="AD994" i="2" s="1"/>
  <c r="AD992" i="2" l="1"/>
  <c r="AD993" i="2" s="1"/>
  <c r="AD996" i="2" s="1"/>
  <c r="AE997" i="2" s="1"/>
  <c r="AD1003" i="2"/>
  <c r="AD1008" i="2" s="1"/>
  <c r="AD1004" i="2"/>
  <c r="AD1005" i="2" s="1"/>
  <c r="AD1006" i="2" s="1"/>
  <c r="AD1016" i="2"/>
  <c r="AF1025" i="2"/>
  <c r="AD1027" i="2"/>
  <c r="AD1015" i="2"/>
  <c r="AD1017" i="2" l="1"/>
  <c r="AD1022" i="2" s="1"/>
  <c r="AD1018" i="2"/>
  <c r="AD1019" i="2" s="1"/>
  <c r="AD1020" i="2" s="1"/>
  <c r="AF1039" i="2"/>
  <c r="AD1041" i="2"/>
  <c r="AD1030" i="2"/>
  <c r="AD1029" i="2"/>
  <c r="AD1007" i="2"/>
  <c r="AD1010" i="2" s="1"/>
  <c r="AE1011" i="2" s="1"/>
  <c r="AD1031" i="2" l="1"/>
  <c r="AD1036" i="2" s="1"/>
  <c r="AD1032" i="2"/>
  <c r="AD1033" i="2" s="1"/>
  <c r="AD1034" i="2" s="1"/>
  <c r="AD1055" i="2"/>
  <c r="AF1053" i="2"/>
  <c r="AD1043" i="2"/>
  <c r="AD1044" i="2"/>
  <c r="AD1021" i="2"/>
  <c r="AD1024" i="2" s="1"/>
  <c r="AE1025" i="2" s="1"/>
  <c r="AD1045" i="2" l="1"/>
  <c r="AD1050" i="2" s="1"/>
  <c r="AD1046" i="2"/>
  <c r="AD1047" i="2" s="1"/>
  <c r="AD1058" i="2"/>
  <c r="AD1057" i="2"/>
  <c r="AD1069" i="2"/>
  <c r="AF1067" i="2"/>
  <c r="AD1035" i="2"/>
  <c r="AD1038" i="2" s="1"/>
  <c r="AE1039" i="2" s="1"/>
  <c r="AD1072" i="2" l="1"/>
  <c r="AD1083" i="2"/>
  <c r="AF1081" i="2"/>
  <c r="AD1071" i="2"/>
  <c r="AD1048" i="2"/>
  <c r="AD1049" i="2" s="1"/>
  <c r="AD1052" i="2" s="1"/>
  <c r="AE1053" i="2" s="1"/>
  <c r="AD1059" i="2"/>
  <c r="AD1064" i="2" s="1"/>
  <c r="AD1060" i="2"/>
  <c r="AD1061" i="2" s="1"/>
  <c r="AD1085" i="2" l="1"/>
  <c r="AF1095" i="2"/>
  <c r="AD1086" i="2"/>
  <c r="AD1097" i="2"/>
  <c r="AD1062" i="2"/>
  <c r="AD1063" i="2" s="1"/>
  <c r="AD1066" i="2" s="1"/>
  <c r="AE1067" i="2" s="1"/>
  <c r="AD1074" i="2"/>
  <c r="AD1075" i="2" s="1"/>
  <c r="AD1076" i="2" s="1"/>
  <c r="AD1073" i="2"/>
  <c r="AD1078" i="2" s="1"/>
  <c r="AD1087" i="2" l="1"/>
  <c r="AD1092" i="2" s="1"/>
  <c r="AD1088" i="2"/>
  <c r="AD1089" i="2" s="1"/>
  <c r="AD1090" i="2" s="1"/>
  <c r="AF1109" i="2"/>
  <c r="AD1100" i="2"/>
  <c r="AD1099" i="2"/>
  <c r="AD1111" i="2"/>
  <c r="AD1077" i="2"/>
  <c r="AD1080" i="2" s="1"/>
  <c r="AE1081" i="2" s="1"/>
  <c r="AD1114" i="2" l="1"/>
  <c r="AD1113" i="2"/>
  <c r="AD1125" i="2"/>
  <c r="AF1123" i="2"/>
  <c r="AD1102" i="2"/>
  <c r="AD1103" i="2" s="1"/>
  <c r="AD1101" i="2"/>
  <c r="AD1106" i="2" s="1"/>
  <c r="AD1091" i="2"/>
  <c r="AD1094" i="2" s="1"/>
  <c r="AE1095" i="2" s="1"/>
  <c r="AD1104" i="2" l="1"/>
  <c r="AD1105" i="2" s="1"/>
  <c r="AD1108" i="2" s="1"/>
  <c r="AE1109" i="2" s="1"/>
  <c r="AD1116" i="2"/>
  <c r="AD1117" i="2" s="1"/>
  <c r="AD1118" i="2" s="1"/>
  <c r="AD1115" i="2"/>
  <c r="AD1120" i="2" s="1"/>
  <c r="AD1127" i="2"/>
  <c r="AF1137" i="2"/>
  <c r="AD1139" i="2"/>
  <c r="AD1128" i="2"/>
  <c r="AD1119" i="2" l="1"/>
  <c r="AD1122" i="2" s="1"/>
  <c r="AE1123" i="2" s="1"/>
  <c r="AD1130" i="2"/>
  <c r="AD1131" i="2" s="1"/>
  <c r="AD1132" i="2" s="1"/>
  <c r="AD1129" i="2"/>
  <c r="AD1134" i="2" s="1"/>
  <c r="AD1153" i="2"/>
  <c r="AD1142" i="2"/>
  <c r="AF1151" i="2"/>
  <c r="AD1141" i="2"/>
  <c r="AD1133" i="2" l="1"/>
  <c r="AD1136" i="2" s="1"/>
  <c r="AE1137" i="2" s="1"/>
  <c r="AD1167" i="2"/>
  <c r="AF1165" i="2"/>
  <c r="AD1156" i="2"/>
  <c r="AD1155" i="2"/>
  <c r="AD1143" i="2"/>
  <c r="AD1148" i="2" s="1"/>
  <c r="AD1144" i="2"/>
  <c r="AD1145" i="2" s="1"/>
  <c r="AD1146" i="2" s="1"/>
  <c r="AD1147" i="2" l="1"/>
  <c r="AD1150" i="2" s="1"/>
  <c r="AE1151" i="2" s="1"/>
  <c r="AD1181" i="2"/>
  <c r="AF1179" i="2"/>
  <c r="AD1169" i="2"/>
  <c r="AD1170" i="2"/>
  <c r="AD1158" i="2"/>
  <c r="AD1159" i="2" s="1"/>
  <c r="AD1160" i="2" s="1"/>
  <c r="AD1161" i="2" s="1"/>
  <c r="AD1157" i="2"/>
  <c r="AD1162" i="2" s="1"/>
  <c r="AD1164" i="2" l="1"/>
  <c r="AE1165" i="2" s="1"/>
  <c r="AF1193" i="2"/>
  <c r="AD1183" i="2"/>
  <c r="AD1195" i="2"/>
  <c r="AD1184" i="2"/>
  <c r="AD1171" i="2"/>
  <c r="AD1176" i="2" s="1"/>
  <c r="AD1172" i="2"/>
  <c r="AD1173" i="2" s="1"/>
  <c r="AD1186" i="2" l="1"/>
  <c r="AD1187" i="2" s="1"/>
  <c r="AD1185" i="2"/>
  <c r="AD1190" i="2" s="1"/>
  <c r="AD1197" i="2"/>
  <c r="AD1198" i="2"/>
  <c r="AF1207" i="2"/>
  <c r="AD1209" i="2"/>
  <c r="AD1174" i="2"/>
  <c r="AD1175" i="2" s="1"/>
  <c r="AD1178" i="2" s="1"/>
  <c r="AE1179" i="2" s="1"/>
  <c r="AD1188" i="2" l="1"/>
  <c r="AD1189" i="2" s="1"/>
  <c r="AD1192" i="2" s="1"/>
  <c r="AE1193" i="2" s="1"/>
  <c r="AD1200" i="2"/>
  <c r="AD1201" i="2" s="1"/>
  <c r="AD1202" i="2" s="1"/>
  <c r="AD1199" i="2"/>
  <c r="AD1204" i="2" s="1"/>
  <c r="AD1223" i="2"/>
  <c r="AF1221" i="2"/>
  <c r="AD1212" i="2"/>
  <c r="AD1211" i="2"/>
  <c r="AD1203" i="2" l="1"/>
  <c r="AD1206" i="2" s="1"/>
  <c r="AE1207" i="2" s="1"/>
  <c r="AD1226" i="2"/>
  <c r="AD1237" i="2"/>
  <c r="AF1235" i="2"/>
  <c r="AD1225" i="2"/>
  <c r="AD1214" i="2"/>
  <c r="AD1215" i="2" s="1"/>
  <c r="AD1213" i="2"/>
  <c r="AD1218" i="2" s="1"/>
  <c r="AD1239" i="2" l="1"/>
  <c r="AF1249" i="2"/>
  <c r="AD1240" i="2"/>
  <c r="AD1251" i="2"/>
  <c r="AD1216" i="2"/>
  <c r="AD1217" i="2" s="1"/>
  <c r="AD1220" i="2" s="1"/>
  <c r="AE1221" i="2" s="1"/>
  <c r="AD1227" i="2"/>
  <c r="AD1232" i="2" s="1"/>
  <c r="AD1228" i="2"/>
  <c r="AD1229" i="2" s="1"/>
  <c r="AD1230" i="2" s="1"/>
  <c r="AD1231" i="2" l="1"/>
  <c r="AD1234" i="2" s="1"/>
  <c r="AE1235" i="2" s="1"/>
  <c r="AD1242" i="2"/>
  <c r="AD1243" i="2" s="1"/>
  <c r="AD1244" i="2" s="1"/>
  <c r="AD1241" i="2"/>
  <c r="AD1246" i="2" s="1"/>
  <c r="AF1263" i="2"/>
  <c r="AD1265" i="2"/>
  <c r="AD1254" i="2"/>
  <c r="AD1253" i="2"/>
  <c r="AD1245" i="2" l="1"/>
  <c r="AD1248" i="2" s="1"/>
  <c r="AE1249" i="2" s="1"/>
  <c r="AD1255" i="2"/>
  <c r="AD1260" i="2" s="1"/>
  <c r="AD1256" i="2"/>
  <c r="AD1257" i="2" s="1"/>
  <c r="AD1279" i="2"/>
  <c r="AD1268" i="2"/>
  <c r="AF1277" i="2"/>
  <c r="AD1267" i="2"/>
  <c r="AD1270" i="2" l="1"/>
  <c r="AD1271" i="2" s="1"/>
  <c r="AD1272" i="2" s="1"/>
  <c r="AD1269" i="2"/>
  <c r="AD1274" i="2" s="1"/>
  <c r="AD1258" i="2"/>
  <c r="AD1259" i="2" s="1"/>
  <c r="AD1262" i="2" s="1"/>
  <c r="AE1263" i="2" s="1"/>
  <c r="AD1293" i="2"/>
  <c r="AD1282" i="2"/>
  <c r="AD1281" i="2"/>
  <c r="AF1291" i="2"/>
  <c r="AD1273" i="2" l="1"/>
  <c r="AD1276" i="2" s="1"/>
  <c r="AE1277" i="2" s="1"/>
  <c r="AD1296" i="2"/>
  <c r="AD1307" i="2"/>
  <c r="AF1305" i="2"/>
  <c r="AD1295" i="2"/>
  <c r="AD1283" i="2"/>
  <c r="AD1288" i="2" s="1"/>
  <c r="AD1284" i="2"/>
  <c r="AD1285" i="2" s="1"/>
  <c r="AD1286" i="2" s="1"/>
  <c r="AD1287" i="2" l="1"/>
  <c r="AD1290" i="2" s="1"/>
  <c r="AE1291" i="2" s="1"/>
  <c r="AD1321" i="2"/>
  <c r="AD1310" i="2"/>
  <c r="AF1319" i="2"/>
  <c r="AD1309" i="2"/>
  <c r="AD1298" i="2"/>
  <c r="AD1299" i="2" s="1"/>
  <c r="AD1300" i="2" s="1"/>
  <c r="AD1297" i="2"/>
  <c r="AD1302" i="2" s="1"/>
  <c r="AD1301" i="2" l="1"/>
  <c r="AD1304" i="2" s="1"/>
  <c r="AE1305" i="2" s="1"/>
  <c r="AD1324" i="2"/>
  <c r="AD1323" i="2"/>
  <c r="AD1335" i="2"/>
  <c r="AF1333" i="2"/>
  <c r="AD1312" i="2"/>
  <c r="AD1313" i="2" s="1"/>
  <c r="AD1314" i="2" s="1"/>
  <c r="AD1315" i="2" s="1"/>
  <c r="AD1318" i="2" s="1"/>
  <c r="AE1319" i="2" s="1"/>
  <c r="AD1311" i="2"/>
  <c r="AD1316" i="2" s="1"/>
  <c r="AD1326" i="2" l="1"/>
  <c r="AD1327" i="2" s="1"/>
  <c r="AD1325" i="2"/>
  <c r="AD1330" i="2" s="1"/>
  <c r="AD1349" i="2"/>
  <c r="AD1338" i="2"/>
  <c r="AF1347" i="2"/>
  <c r="AD1337" i="2"/>
  <c r="AD1328" i="2" l="1"/>
  <c r="AD1329" i="2" s="1"/>
  <c r="AD1332" i="2" s="1"/>
  <c r="AE1333" i="2" s="1"/>
  <c r="AD1339" i="2"/>
  <c r="AD1344" i="2" s="1"/>
  <c r="AD1340" i="2"/>
  <c r="AD1341" i="2" s="1"/>
  <c r="AD1342" i="2" s="1"/>
  <c r="AD1363" i="2"/>
  <c r="AF1361" i="2"/>
  <c r="AD1351" i="2"/>
  <c r="AD1352" i="2"/>
  <c r="AD1343" i="2" l="1"/>
  <c r="AD1346" i="2" s="1"/>
  <c r="AE1347" i="2" s="1"/>
  <c r="AD1366" i="2"/>
  <c r="AD1365" i="2"/>
  <c r="AF1375" i="2"/>
  <c r="AD1377" i="2"/>
  <c r="AD1354" i="2"/>
  <c r="AD1355" i="2" s="1"/>
  <c r="AD1353" i="2"/>
  <c r="AD1358" i="2" s="1"/>
  <c r="AD1356" i="2" l="1"/>
  <c r="AD1357" i="2" s="1"/>
  <c r="AD1360" i="2" s="1"/>
  <c r="AE1361" i="2" s="1"/>
  <c r="AD1367" i="2"/>
  <c r="AD1372" i="2" s="1"/>
  <c r="AD1368" i="2"/>
  <c r="AD1369" i="2" s="1"/>
  <c r="AD1380" i="2"/>
  <c r="AD1379" i="2"/>
  <c r="AD1391" i="2"/>
  <c r="AF1389" i="2"/>
  <c r="AD1393" i="2" l="1"/>
  <c r="AD1405" i="2"/>
  <c r="AD1394" i="2"/>
  <c r="AF1403" i="2"/>
  <c r="AD1381" i="2"/>
  <c r="AD1386" i="2" s="1"/>
  <c r="AD1382" i="2"/>
  <c r="AD1383" i="2" s="1"/>
  <c r="AD1370" i="2"/>
  <c r="AD1371" i="2" s="1"/>
  <c r="AD1374" i="2" s="1"/>
  <c r="AE1375" i="2" s="1"/>
  <c r="AD1395" i="2" l="1"/>
  <c r="AD1400" i="2" s="1"/>
  <c r="AD1396" i="2"/>
  <c r="AD1397" i="2" s="1"/>
  <c r="AD1384" i="2"/>
  <c r="AD1385" i="2" s="1"/>
  <c r="AD1388" i="2" s="1"/>
  <c r="AE1389" i="2" s="1"/>
  <c r="AF1417" i="2"/>
  <c r="AD1419" i="2"/>
  <c r="AD1407" i="2"/>
  <c r="AD1408" i="2"/>
  <c r="AD1398" i="2" l="1"/>
  <c r="AD1399" i="2" s="1"/>
  <c r="AD1402" i="2" s="1"/>
  <c r="AE1403" i="2" s="1"/>
  <c r="AD1433" i="2"/>
  <c r="AD1422" i="2"/>
  <c r="AF1431" i="2"/>
  <c r="AD1421" i="2"/>
  <c r="AD1410" i="2"/>
  <c r="AD1411" i="2" s="1"/>
  <c r="AD1409" i="2"/>
  <c r="AD1414" i="2" s="1"/>
  <c r="AD1424" i="2" l="1"/>
  <c r="AD1425" i="2" s="1"/>
  <c r="AD1423" i="2"/>
  <c r="AD1428" i="2" s="1"/>
  <c r="AD1412" i="2"/>
  <c r="AD1413" i="2" s="1"/>
  <c r="AD1416" i="2" s="1"/>
  <c r="AE1417" i="2" s="1"/>
  <c r="AD1436" i="2"/>
  <c r="AD1435" i="2"/>
  <c r="AD1447" i="2"/>
  <c r="AF1445" i="2"/>
  <c r="AD1426" i="2" l="1"/>
  <c r="AD1427" i="2" s="1"/>
  <c r="AD1430" i="2" s="1"/>
  <c r="AE1431" i="2" s="1"/>
  <c r="AF1459" i="2"/>
  <c r="AD1450" i="2"/>
  <c r="AD1449" i="2"/>
  <c r="AD1461" i="2"/>
  <c r="AD1438" i="2"/>
  <c r="AD1439" i="2" s="1"/>
  <c r="AD1437" i="2"/>
  <c r="AD1442" i="2" s="1"/>
  <c r="AD1451" i="2" l="1"/>
  <c r="AD1456" i="2" s="1"/>
  <c r="AD1452" i="2"/>
  <c r="AD1453" i="2" s="1"/>
  <c r="AD1454" i="2" s="1"/>
  <c r="AD1463" i="2"/>
  <c r="AF1473" i="2"/>
  <c r="AD1475" i="2"/>
  <c r="AD1464" i="2"/>
  <c r="AD1440" i="2"/>
  <c r="AD1441" i="2" s="1"/>
  <c r="AD1444" i="2" s="1"/>
  <c r="AE1445" i="2" s="1"/>
  <c r="AD1455" i="2" l="1"/>
  <c r="AD1458" i="2" s="1"/>
  <c r="AE1459" i="2" s="1"/>
  <c r="AD1489" i="2"/>
  <c r="AF1487" i="2"/>
  <c r="AD1477" i="2"/>
  <c r="AD1478" i="2"/>
  <c r="AD1466" i="2"/>
  <c r="AD1467" i="2" s="1"/>
  <c r="AD1468" i="2" s="1"/>
  <c r="AD1465" i="2"/>
  <c r="AD1470" i="2" s="1"/>
  <c r="AD1469" i="2" l="1"/>
  <c r="AD1472" i="2" s="1"/>
  <c r="AE1473" i="2" s="1"/>
  <c r="AD1503" i="2"/>
  <c r="AD1491" i="2"/>
  <c r="AF1501" i="2"/>
  <c r="AD1492" i="2"/>
  <c r="AD1479" i="2"/>
  <c r="AD1484" i="2" s="1"/>
  <c r="AD1480" i="2"/>
  <c r="AD1481" i="2" s="1"/>
  <c r="AD1505" i="2" l="1"/>
  <c r="AF1515" i="2"/>
  <c r="AD1506" i="2"/>
  <c r="AD1517" i="2"/>
  <c r="AD1493" i="2"/>
  <c r="AD1498" i="2" s="1"/>
  <c r="AD1494" i="2"/>
  <c r="AD1495" i="2" s="1"/>
  <c r="AD1496" i="2" s="1"/>
  <c r="AD1482" i="2"/>
  <c r="AD1483" i="2" s="1"/>
  <c r="AD1486" i="2" s="1"/>
  <c r="AE1487" i="2" s="1"/>
  <c r="AD1497" i="2" l="1"/>
  <c r="AD1500" i="2" s="1"/>
  <c r="AE1501" i="2" s="1"/>
  <c r="AD1508" i="2"/>
  <c r="AD1509" i="2" s="1"/>
  <c r="AD1510" i="2" s="1"/>
  <c r="AD1507" i="2"/>
  <c r="AD1512" i="2" s="1"/>
  <c r="AF1529" i="2"/>
  <c r="AD1531" i="2"/>
  <c r="AD1520" i="2"/>
  <c r="AD1519" i="2"/>
  <c r="AD1511" i="2" l="1"/>
  <c r="AD1514" i="2" s="1"/>
  <c r="AE1515" i="2" s="1"/>
  <c r="AD1521" i="2"/>
  <c r="AD1526" i="2" s="1"/>
  <c r="AD1522" i="2"/>
  <c r="AD1523" i="2" s="1"/>
  <c r="AD1524" i="2" s="1"/>
  <c r="AD1545" i="2"/>
  <c r="AD1534" i="2"/>
  <c r="AF1543" i="2"/>
  <c r="AD1533" i="2"/>
  <c r="AD1559" i="2" l="1"/>
  <c r="AD1548" i="2"/>
  <c r="AF1557" i="2"/>
  <c r="AD1547" i="2"/>
  <c r="AD1525" i="2"/>
  <c r="AD1528" i="2" s="1"/>
  <c r="AE1529" i="2" s="1"/>
  <c r="AD1535" i="2"/>
  <c r="AD1540" i="2" s="1"/>
  <c r="AD1536" i="2"/>
  <c r="AD1537" i="2" s="1"/>
  <c r="AD1538" i="2" s="1"/>
  <c r="AD1539" i="2" l="1"/>
  <c r="AD1542" i="2" s="1"/>
  <c r="AE1543" i="2" s="1"/>
  <c r="AD1561" i="2"/>
  <c r="AD1562" i="2"/>
  <c r="AD1573" i="2"/>
  <c r="AF1571" i="2"/>
  <c r="AD1549" i="2"/>
  <c r="AD1554" i="2" s="1"/>
  <c r="AD1550" i="2"/>
  <c r="AD1551" i="2" s="1"/>
  <c r="AD1563" i="2" l="1"/>
  <c r="AD1568" i="2" s="1"/>
  <c r="AD1564" i="2"/>
  <c r="AD1565" i="2" s="1"/>
  <c r="AD1566" i="2" s="1"/>
  <c r="AD1552" i="2"/>
  <c r="AD1553" i="2" s="1"/>
  <c r="AD1556" i="2" s="1"/>
  <c r="AE1557" i="2" s="1"/>
  <c r="AD1587" i="2"/>
  <c r="AD1575" i="2"/>
  <c r="AD1576" i="2"/>
  <c r="AF1585" i="2"/>
  <c r="AD1590" i="2" l="1"/>
  <c r="AD1601" i="2"/>
  <c r="AF1599" i="2"/>
  <c r="AD1589" i="2"/>
  <c r="AD1577" i="2"/>
  <c r="AD1582" i="2" s="1"/>
  <c r="AD1578" i="2"/>
  <c r="AD1579" i="2" s="1"/>
  <c r="AD1567" i="2"/>
  <c r="AD1570" i="2" s="1"/>
  <c r="AE1571" i="2" s="1"/>
  <c r="AD1580" i="2" l="1"/>
  <c r="AD1581" i="2" s="1"/>
  <c r="AD1584" i="2" s="1"/>
  <c r="AE1585" i="2" s="1"/>
  <c r="AF1613" i="2"/>
  <c r="AD1604" i="2"/>
  <c r="AD1603" i="2"/>
  <c r="AD1615" i="2"/>
  <c r="AD1591" i="2"/>
  <c r="AD1596" i="2" s="1"/>
  <c r="AD1592" i="2"/>
  <c r="AD1593" i="2" s="1"/>
  <c r="AD1594" i="2" s="1"/>
  <c r="AD1595" i="2" l="1"/>
  <c r="AD1598" i="2" s="1"/>
  <c r="AE1599" i="2" s="1"/>
  <c r="AD1606" i="2"/>
  <c r="AD1607" i="2" s="1"/>
  <c r="AD1608" i="2" s="1"/>
  <c r="AD1605" i="2"/>
  <c r="AD1610" i="2" s="1"/>
  <c r="AD1617" i="2"/>
  <c r="AD1618" i="2"/>
  <c r="AD1629" i="2"/>
  <c r="AF1627" i="2"/>
  <c r="AD1609" i="2" l="1"/>
  <c r="AD1612" i="2" s="1"/>
  <c r="AE1613" i="2" s="1"/>
  <c r="AF1641" i="2"/>
  <c r="AD1632" i="2"/>
  <c r="AD1631" i="2"/>
  <c r="AD1643" i="2"/>
  <c r="AD1619" i="2"/>
  <c r="AD1624" i="2" s="1"/>
  <c r="AD1620" i="2"/>
  <c r="AD1621" i="2" s="1"/>
  <c r="AD1622" i="2" l="1"/>
  <c r="AD1623" i="2" s="1"/>
  <c r="AD1626" i="2" s="1"/>
  <c r="AE1627" i="2" s="1"/>
  <c r="AD1634" i="2"/>
  <c r="AD1635" i="2" s="1"/>
  <c r="AD1633" i="2"/>
  <c r="AD1638" i="2" s="1"/>
  <c r="AD1645" i="2"/>
  <c r="AD1646" i="2"/>
  <c r="AD1657" i="2"/>
  <c r="AF1655" i="2"/>
  <c r="AD1648" i="2" l="1"/>
  <c r="AD1649" i="2" s="1"/>
  <c r="AD1647" i="2"/>
  <c r="AD1652" i="2" s="1"/>
  <c r="AD1659" i="2"/>
  <c r="AD1671" i="2"/>
  <c r="AF1669" i="2"/>
  <c r="AD1660" i="2"/>
  <c r="AD1636" i="2"/>
  <c r="AD1637" i="2" s="1"/>
  <c r="AD1640" i="2" s="1"/>
  <c r="AE1641" i="2" s="1"/>
  <c r="AD1662" i="2" l="1"/>
  <c r="AD1663" i="2" s="1"/>
  <c r="AD1664" i="2" s="1"/>
  <c r="AD1661" i="2"/>
  <c r="AD1666" i="2" s="1"/>
  <c r="AD1650" i="2"/>
  <c r="AD1651" i="2" s="1"/>
  <c r="AD1654" i="2" s="1"/>
  <c r="AE1655" i="2" s="1"/>
  <c r="AD1674" i="2"/>
  <c r="AD1685" i="2"/>
  <c r="AD1673" i="2"/>
  <c r="AF1683" i="2"/>
  <c r="AD1665" i="2" l="1"/>
  <c r="AD1668" i="2" s="1"/>
  <c r="AE1669" i="2" s="1"/>
  <c r="AD1699" i="2"/>
  <c r="AF1697" i="2"/>
  <c r="AD1688" i="2"/>
  <c r="AD1687" i="2"/>
  <c r="AD1676" i="2"/>
  <c r="AD1677" i="2" s="1"/>
  <c r="AD1678" i="2" s="1"/>
  <c r="AD1675" i="2"/>
  <c r="AD1680" i="2" s="1"/>
  <c r="AD1679" i="2" l="1"/>
  <c r="AD1682" i="2" s="1"/>
  <c r="AE1683" i="2" s="1"/>
  <c r="AD1713" i="2"/>
  <c r="AD1702" i="2"/>
  <c r="AF1711" i="2"/>
  <c r="AD1701" i="2"/>
  <c r="AD1690" i="2"/>
  <c r="AD1691" i="2" s="1"/>
  <c r="AD1689" i="2"/>
  <c r="AD1694" i="2" s="1"/>
  <c r="AD1692" i="2" l="1"/>
  <c r="AD1693" i="2" s="1"/>
  <c r="AD1696" i="2" s="1"/>
  <c r="AE1697" i="2" s="1"/>
  <c r="AD1727" i="2"/>
  <c r="AF1725" i="2"/>
  <c r="AD1716" i="2"/>
  <c r="AD1715" i="2"/>
  <c r="AD1703" i="2"/>
  <c r="AD1708" i="2" s="1"/>
  <c r="AD1704" i="2"/>
  <c r="AD1705" i="2" s="1"/>
  <c r="AD1706" i="2" s="1"/>
  <c r="AD1707" i="2" l="1"/>
  <c r="AD1710" i="2" s="1"/>
  <c r="AE1711" i="2" s="1"/>
  <c r="AD1717" i="2"/>
  <c r="AD1722" i="2" s="1"/>
  <c r="AD1718" i="2"/>
  <c r="AD1730" i="2"/>
  <c r="AD1729" i="2"/>
  <c r="AD1741" i="2"/>
  <c r="AF1739" i="2"/>
  <c r="AD1755" i="2" l="1"/>
  <c r="AF1753" i="2"/>
  <c r="AD1744" i="2"/>
  <c r="AD1743" i="2"/>
  <c r="AD1719" i="2"/>
  <c r="AD1720" i="2" s="1"/>
  <c r="AD1721" i="2" s="1"/>
  <c r="AD1724" i="2" s="1"/>
  <c r="AE1725" i="2" s="1"/>
  <c r="AD1731" i="2"/>
  <c r="AD1736" i="2" s="1"/>
  <c r="AD1732" i="2"/>
  <c r="AD1733" i="2" l="1"/>
  <c r="AD1734" i="2" s="1"/>
  <c r="AD1735" i="2" s="1"/>
  <c r="AD1738" i="2" s="1"/>
  <c r="AE1739" i="2" s="1"/>
  <c r="AF1767" i="2"/>
  <c r="AD1757" i="2"/>
  <c r="AD1769" i="2"/>
  <c r="AD1758" i="2"/>
  <c r="AD1745" i="2"/>
  <c r="AD1750" i="2" s="1"/>
  <c r="AD1746" i="2"/>
  <c r="AD1771" i="2" l="1"/>
  <c r="AD1783" i="2"/>
  <c r="AF1781" i="2"/>
  <c r="AD1772" i="2"/>
  <c r="AD1747" i="2"/>
  <c r="AD1760" i="2"/>
  <c r="AD1759" i="2"/>
  <c r="AD1764" i="2" s="1"/>
  <c r="AD1773" i="2" l="1"/>
  <c r="AD1778" i="2" s="1"/>
  <c r="AD1774" i="2"/>
  <c r="AD1785" i="2"/>
  <c r="AD1797" i="2"/>
  <c r="AF1795" i="2"/>
  <c r="AD1786" i="2"/>
  <c r="AD1748" i="2"/>
  <c r="AD1749" i="2" s="1"/>
  <c r="AD1752" i="2" s="1"/>
  <c r="AE1753" i="2" s="1"/>
  <c r="AD1761" i="2"/>
  <c r="AD1775" i="2" l="1"/>
  <c r="AD1787" i="2"/>
  <c r="AD1792" i="2" s="1"/>
  <c r="AD1788" i="2"/>
  <c r="AD1762" i="2"/>
  <c r="AD1763" i="2" s="1"/>
  <c r="AD1766" i="2" s="1"/>
  <c r="AE1767" i="2" s="1"/>
  <c r="AD1811" i="2"/>
  <c r="AD1799" i="2"/>
  <c r="AD1800" i="2"/>
  <c r="AF1809" i="2"/>
  <c r="AD1776" i="2" l="1"/>
  <c r="AD1777" i="2" s="1"/>
  <c r="AD1780" i="2" s="1"/>
  <c r="AE1781" i="2" s="1"/>
  <c r="AD1825" i="2"/>
  <c r="AD1814" i="2"/>
  <c r="AF1823" i="2"/>
  <c r="AD1813" i="2"/>
  <c r="AD1802" i="2"/>
  <c r="AD1801" i="2"/>
  <c r="AD1806" i="2" s="1"/>
  <c r="AD1789" i="2"/>
  <c r="AD1790" i="2" s="1"/>
  <c r="AD1791" i="2" s="1"/>
  <c r="AD1794" i="2" s="1"/>
  <c r="AE1795" i="2" s="1"/>
  <c r="AD1815" i="2" l="1"/>
  <c r="AD1820" i="2" s="1"/>
  <c r="AD1816" i="2"/>
  <c r="AD1803" i="2"/>
  <c r="AD1804" i="2" s="1"/>
  <c r="AD1805" i="2" s="1"/>
  <c r="AD1808" i="2" s="1"/>
  <c r="AE1809" i="2" s="1"/>
  <c r="AF1837" i="2"/>
  <c r="AD1827" i="2"/>
  <c r="AD1839" i="2"/>
  <c r="AD1828" i="2"/>
  <c r="AD1830" i="2" l="1"/>
  <c r="AD1829" i="2"/>
  <c r="AD1834" i="2" s="1"/>
  <c r="AD1817" i="2"/>
  <c r="AD1818" i="2" s="1"/>
  <c r="AD1819" i="2" s="1"/>
  <c r="AD1822" i="2" s="1"/>
  <c r="AE1823" i="2" s="1"/>
  <c r="AD1842" i="2"/>
  <c r="AD1853" i="2"/>
  <c r="AD1841" i="2"/>
  <c r="AF1851" i="2"/>
  <c r="AD1831" i="2" l="1"/>
  <c r="AD1832" i="2" s="1"/>
  <c r="AD1833" i="2" s="1"/>
  <c r="AD1836" i="2" s="1"/>
  <c r="AE1837" i="2" s="1"/>
  <c r="AF1865" i="2"/>
  <c r="AD1855" i="2"/>
  <c r="AD1867" i="2"/>
  <c r="AD1856" i="2"/>
  <c r="AD1843" i="2"/>
  <c r="AD1848" i="2" s="1"/>
  <c r="AD1844" i="2"/>
  <c r="AD1845" i="2" l="1"/>
  <c r="AD1846" i="2" s="1"/>
  <c r="AD1847" i="2" s="1"/>
  <c r="AD1850" i="2" s="1"/>
  <c r="AE1851" i="2" s="1"/>
  <c r="AF1879" i="2"/>
  <c r="AD1881" i="2"/>
  <c r="AD1870" i="2"/>
  <c r="AD1869" i="2"/>
  <c r="AD1857" i="2"/>
  <c r="AD1862" i="2" s="1"/>
  <c r="AD1858" i="2"/>
  <c r="AD1871" i="2" l="1"/>
  <c r="AD1876" i="2" s="1"/>
  <c r="AD1872" i="2"/>
  <c r="AD1859" i="2"/>
  <c r="AD1860" i="2" s="1"/>
  <c r="AD1861" i="2" s="1"/>
  <c r="AD1864" i="2" s="1"/>
  <c r="AE1865" i="2" s="1"/>
  <c r="AD1895" i="2"/>
  <c r="AD1883" i="2"/>
  <c r="AF1893" i="2"/>
  <c r="AD1884" i="2"/>
  <c r="AD1897" i="2" l="1"/>
  <c r="AD1909" i="2"/>
  <c r="AF1907" i="2"/>
  <c r="AD1898" i="2"/>
  <c r="AD1885" i="2"/>
  <c r="AD1890" i="2" s="1"/>
  <c r="AD1886" i="2"/>
  <c r="AD1873" i="2"/>
  <c r="AD1900" i="2" l="1"/>
  <c r="AD1899" i="2"/>
  <c r="AD1904" i="2" s="1"/>
  <c r="AD1887" i="2"/>
  <c r="AD1888" i="2" s="1"/>
  <c r="AD1889" i="2" s="1"/>
  <c r="AD1892" i="2" s="1"/>
  <c r="AE1893" i="2" s="1"/>
  <c r="AD1911" i="2"/>
  <c r="AF1921" i="2"/>
  <c r="AD1923" i="2"/>
  <c r="AD1912" i="2"/>
  <c r="AD1874" i="2"/>
  <c r="AD1875" i="2" s="1"/>
  <c r="AD1878" i="2" s="1"/>
  <c r="AE1879" i="2" s="1"/>
  <c r="AD1914" i="2" l="1"/>
  <c r="AD1913" i="2"/>
  <c r="AD1918" i="2" s="1"/>
  <c r="AD1901" i="2"/>
  <c r="AD1902" i="2" s="1"/>
  <c r="AD1903" i="2" s="1"/>
  <c r="AD1906" i="2" s="1"/>
  <c r="AE1907" i="2" s="1"/>
  <c r="AF1935" i="2"/>
  <c r="AD1925" i="2"/>
  <c r="AD1926" i="2"/>
  <c r="AD1937" i="2"/>
  <c r="AD1928" i="2" l="1"/>
  <c r="AD1927" i="2"/>
  <c r="AD1932" i="2" s="1"/>
  <c r="AD1939" i="2"/>
  <c r="AD1951" i="2"/>
  <c r="AF1949" i="2"/>
  <c r="AD1940" i="2"/>
  <c r="AD1915" i="2"/>
  <c r="AD1916" i="2" s="1"/>
  <c r="AD1917" i="2" s="1"/>
  <c r="AD1920" i="2" s="1"/>
  <c r="AE1921" i="2" s="1"/>
  <c r="AD1941" i="2" l="1"/>
  <c r="AD1946" i="2" s="1"/>
  <c r="AD1942" i="2"/>
  <c r="AD1929" i="2"/>
  <c r="AD1930" i="2" s="1"/>
  <c r="AD1931" i="2" s="1"/>
  <c r="AD1934" i="2" s="1"/>
  <c r="AE1935" i="2" s="1"/>
  <c r="AD1954" i="2"/>
  <c r="AD1953" i="2"/>
  <c r="AD1965" i="2"/>
  <c r="AF1963" i="2"/>
  <c r="AD1955" i="2" l="1"/>
  <c r="AD1960" i="2" s="1"/>
  <c r="AD1956" i="2"/>
  <c r="AD1943" i="2"/>
  <c r="AD1944" i="2" s="1"/>
  <c r="AD1945" i="2" s="1"/>
  <c r="AD1948" i="2" s="1"/>
  <c r="AE1949" i="2" s="1"/>
  <c r="AD1968" i="2"/>
  <c r="AD1979" i="2"/>
  <c r="AF1977" i="2"/>
  <c r="AD1967" i="2"/>
  <c r="AD1993" i="2" l="1"/>
  <c r="AF1991" i="2"/>
  <c r="AD1982" i="2"/>
  <c r="AD1981" i="2"/>
  <c r="AD1957" i="2"/>
  <c r="AD1958" i="2" s="1"/>
  <c r="AD1959" i="2" s="1"/>
  <c r="AD1962" i="2" s="1"/>
  <c r="AE1963" i="2" s="1"/>
  <c r="AD1969" i="2"/>
  <c r="AD1974" i="2" s="1"/>
  <c r="AD1970" i="2"/>
  <c r="AD1971" i="2" l="1"/>
  <c r="AD2007" i="2"/>
  <c r="AF2005" i="2"/>
  <c r="AD1996" i="2"/>
  <c r="AD1995" i="2"/>
  <c r="AD1984" i="2"/>
  <c r="AD1983" i="2"/>
  <c r="AD1988" i="2" s="1"/>
  <c r="AD1985" i="2" l="1"/>
  <c r="AD1986" i="2" s="1"/>
  <c r="AD1987" i="2" s="1"/>
  <c r="AD1990" i="2" s="1"/>
  <c r="AE1991" i="2" s="1"/>
  <c r="AD2010" i="2"/>
  <c r="AD2021" i="2"/>
  <c r="AF2019" i="2"/>
  <c r="AD2009" i="2"/>
  <c r="AD1972" i="2"/>
  <c r="AD1973" i="2" s="1"/>
  <c r="AD1976" i="2" s="1"/>
  <c r="AE1977" i="2" s="1"/>
  <c r="AD1997" i="2"/>
  <c r="AD2002" i="2" s="1"/>
  <c r="AD1998" i="2"/>
  <c r="AD1999" i="2" l="1"/>
  <c r="AD2012" i="2"/>
  <c r="AD2011" i="2"/>
  <c r="AD2016" i="2" s="1"/>
  <c r="AD2023" i="2"/>
  <c r="AD2035" i="2"/>
  <c r="AD2024" i="2"/>
  <c r="AF2033" i="2"/>
  <c r="AD2013" i="2" l="1"/>
  <c r="AD2026" i="2"/>
  <c r="AD2025" i="2"/>
  <c r="AD2030" i="2" s="1"/>
  <c r="AD2037" i="2"/>
  <c r="AD2049" i="2"/>
  <c r="AD2038" i="2"/>
  <c r="AF2047" i="2"/>
  <c r="AD2000" i="2"/>
  <c r="AD2001" i="2" s="1"/>
  <c r="AD2004" i="2" s="1"/>
  <c r="AE2005" i="2" s="1"/>
  <c r="AD2039" i="2" l="1"/>
  <c r="AD2044" i="2" s="1"/>
  <c r="AD2040" i="2"/>
  <c r="AD2052" i="2"/>
  <c r="AD2063" i="2"/>
  <c r="AD2051" i="2"/>
  <c r="AF2061" i="2"/>
  <c r="AD2014" i="2"/>
  <c r="AD2015" i="2" s="1"/>
  <c r="AD2018" i="2" s="1"/>
  <c r="AE2019" i="2" s="1"/>
  <c r="AD2027" i="2"/>
  <c r="AD2028" i="2" s="1"/>
  <c r="AD2029" i="2" s="1"/>
  <c r="AD2032" i="2" s="1"/>
  <c r="AE2033" i="2" s="1"/>
  <c r="AD2054" i="2" l="1"/>
  <c r="AD2053" i="2"/>
  <c r="AD2058" i="2" s="1"/>
  <c r="AD2041" i="2"/>
  <c r="AD2042" i="2" s="1"/>
  <c r="AD2043" i="2" s="1"/>
  <c r="AD2046" i="2" s="1"/>
  <c r="AE2047" i="2" s="1"/>
  <c r="AF2075" i="2"/>
  <c r="AD2065" i="2"/>
  <c r="AD2066" i="2"/>
  <c r="AD2077" i="2"/>
  <c r="AD2067" i="2" l="1"/>
  <c r="AD2072" i="2" s="1"/>
  <c r="AD2068" i="2"/>
  <c r="AD2055" i="2"/>
  <c r="AD2079" i="2"/>
  <c r="AD2091" i="2"/>
  <c r="AD2080" i="2"/>
  <c r="AF2089" i="2"/>
  <c r="AD2069" i="2" l="1"/>
  <c r="AD2070" i="2" s="1"/>
  <c r="AD2071" i="2" s="1"/>
  <c r="AD2074" i="2" s="1"/>
  <c r="AE2075" i="2" s="1"/>
  <c r="AD2082" i="2"/>
  <c r="AD2081" i="2"/>
  <c r="AD2086" i="2" s="1"/>
  <c r="AD2094" i="2"/>
  <c r="AF2103" i="2"/>
  <c r="AD2105" i="2"/>
  <c r="AD2093" i="2"/>
  <c r="AD2056" i="2"/>
  <c r="AD2057" i="2" s="1"/>
  <c r="AD2060" i="2" s="1"/>
  <c r="AE2061" i="2" s="1"/>
  <c r="AD2119" i="2" l="1"/>
  <c r="AD2108" i="2"/>
  <c r="AD2107" i="2"/>
  <c r="AF2117" i="2"/>
  <c r="AD2083" i="2"/>
  <c r="AD2096" i="2"/>
  <c r="AD2095" i="2"/>
  <c r="AD2100" i="2" s="1"/>
  <c r="AD2084" i="2" l="1"/>
  <c r="AD2085" i="2" s="1"/>
  <c r="AD2088" i="2" s="1"/>
  <c r="AE2089" i="2" s="1"/>
  <c r="AD2133" i="2"/>
  <c r="AD2122" i="2"/>
  <c r="AF2131" i="2"/>
  <c r="AD2121" i="2"/>
  <c r="AD2097" i="2"/>
  <c r="AD2109" i="2"/>
  <c r="AD2114" i="2" s="1"/>
  <c r="AD2110" i="2"/>
  <c r="AD2111" i="2" l="1"/>
  <c r="AD2112" i="2" s="1"/>
  <c r="AD2113" i="2" s="1"/>
  <c r="AD2116" i="2" s="1"/>
  <c r="AE2117" i="2" s="1"/>
  <c r="AD2123" i="2"/>
  <c r="AD2128" i="2" s="1"/>
  <c r="AD2124" i="2"/>
  <c r="AD2136" i="2"/>
  <c r="AF2145" i="2"/>
  <c r="AD2135" i="2"/>
  <c r="AD2147" i="2"/>
  <c r="AD2098" i="2"/>
  <c r="AD2099" i="2" s="1"/>
  <c r="AD2102" i="2" s="1"/>
  <c r="AE2103" i="2" s="1"/>
  <c r="AD2137" i="2" l="1"/>
  <c r="AD2142" i="2" s="1"/>
  <c r="AD2138" i="2"/>
  <c r="AD2161" i="2"/>
  <c r="AD2150" i="2"/>
  <c r="AF2159" i="2"/>
  <c r="AD2149" i="2"/>
  <c r="AD2125" i="2"/>
  <c r="AD2126" i="2" s="1"/>
  <c r="AD2127" i="2" s="1"/>
  <c r="AD2130" i="2" s="1"/>
  <c r="AE2131" i="2" s="1"/>
  <c r="AD2139" i="2" l="1"/>
  <c r="AD2140" i="2" s="1"/>
  <c r="AD2141" i="2" s="1"/>
  <c r="AD2144" i="2" s="1"/>
  <c r="AE2145" i="2" s="1"/>
  <c r="AD2151" i="2"/>
  <c r="AD2156" i="2" s="1"/>
  <c r="AD2152" i="2"/>
  <c r="AD2163" i="2"/>
  <c r="AF2173" i="2"/>
  <c r="AD2175" i="2"/>
  <c r="AD2164" i="2"/>
  <c r="AD2166" i="2" l="1"/>
  <c r="AD2165" i="2"/>
  <c r="AD2170" i="2" s="1"/>
  <c r="AD2178" i="2"/>
  <c r="AD2177" i="2"/>
  <c r="AF2187" i="2"/>
  <c r="AD2189" i="2"/>
  <c r="AD2153" i="2"/>
  <c r="AD2154" i="2" s="1"/>
  <c r="AD2155" i="2" s="1"/>
  <c r="AD2158" i="2" s="1"/>
  <c r="AE2159" i="2" s="1"/>
  <c r="AD2192" i="2" l="1"/>
  <c r="AD2203" i="2"/>
  <c r="AD2191" i="2"/>
  <c r="AF2201" i="2"/>
  <c r="AD2167" i="2"/>
  <c r="AD2180" i="2"/>
  <c r="AD2179" i="2"/>
  <c r="AD2184" i="2" s="1"/>
  <c r="AD2168" i="2" l="1"/>
  <c r="AD2169" i="2" s="1"/>
  <c r="AD2172" i="2" s="1"/>
  <c r="AE2173" i="2" s="1"/>
  <c r="AF2215" i="2"/>
  <c r="AD2205" i="2"/>
  <c r="AD2217" i="2"/>
  <c r="AD2206" i="2"/>
  <c r="AD2181" i="2"/>
  <c r="AD2194" i="2"/>
  <c r="AD2193" i="2"/>
  <c r="AD2198" i="2" s="1"/>
  <c r="AD2219" i="2" l="1"/>
  <c r="AD2231" i="2"/>
  <c r="AD2220" i="2"/>
  <c r="AF2229" i="2"/>
  <c r="AD2182" i="2"/>
  <c r="AD2183" i="2" s="1"/>
  <c r="AD2186" i="2" s="1"/>
  <c r="AE2187" i="2" s="1"/>
  <c r="AD2195" i="2"/>
  <c r="AD2208" i="2"/>
  <c r="AD2207" i="2"/>
  <c r="AD2212" i="2" s="1"/>
  <c r="AD2209" i="2" l="1"/>
  <c r="AD2210" i="2" s="1"/>
  <c r="AD2211" i="2" s="1"/>
  <c r="AD2214" i="2" s="1"/>
  <c r="AE2215" i="2" s="1"/>
  <c r="AD2233" i="2"/>
  <c r="AD2234" i="2"/>
  <c r="AF2243" i="2"/>
  <c r="AD2245" i="2"/>
  <c r="AD2221" i="2"/>
  <c r="AD2226" i="2" s="1"/>
  <c r="AD2222" i="2"/>
  <c r="AD2196" i="2"/>
  <c r="AD2197" i="2" s="1"/>
  <c r="AD2200" i="2" s="1"/>
  <c r="AE2201" i="2" s="1"/>
  <c r="AD2223" i="2" l="1"/>
  <c r="AD2224" i="2" s="1"/>
  <c r="AD2225" i="2" s="1"/>
  <c r="AD2228" i="2" s="1"/>
  <c r="AE2229" i="2" s="1"/>
  <c r="AD2236" i="2"/>
  <c r="AD2235" i="2"/>
  <c r="AD2240" i="2" s="1"/>
  <c r="AD2247" i="2"/>
  <c r="AD2259" i="2"/>
  <c r="AD2248" i="2"/>
  <c r="AF2257" i="2"/>
  <c r="AD2237" i="2" l="1"/>
  <c r="AD2249" i="2"/>
  <c r="AD2254" i="2" s="1"/>
  <c r="AD2250" i="2"/>
  <c r="AD2261" i="2"/>
  <c r="AF2271" i="2"/>
  <c r="AD2273" i="2"/>
  <c r="AD2262" i="2"/>
  <c r="AD2263" i="2" l="1"/>
  <c r="AD2268" i="2" s="1"/>
  <c r="AD2264" i="2"/>
  <c r="AD2238" i="2"/>
  <c r="AD2239" i="2" s="1"/>
  <c r="AD2242" i="2" s="1"/>
  <c r="AE2243" i="2" s="1"/>
  <c r="AD2287" i="2"/>
  <c r="AD2276" i="2"/>
  <c r="AD2275" i="2"/>
  <c r="AF2285" i="2"/>
  <c r="AD2251" i="2"/>
  <c r="AD2252" i="2" s="1"/>
  <c r="AD2253" i="2" s="1"/>
  <c r="AD2256" i="2" s="1"/>
  <c r="AE2257" i="2" s="1"/>
  <c r="AD2301" i="2" l="1"/>
  <c r="AD2289" i="2"/>
  <c r="AD2290" i="2"/>
  <c r="AF2299" i="2"/>
  <c r="AD2265" i="2"/>
  <c r="AD2266" i="2" s="1"/>
  <c r="AD2267" i="2" s="1"/>
  <c r="AD2270" i="2" s="1"/>
  <c r="AE2271" i="2" s="1"/>
  <c r="AD2277" i="2"/>
  <c r="AD2282" i="2" s="1"/>
  <c r="AD2278" i="2"/>
  <c r="AD2279" i="2" l="1"/>
  <c r="AD2280" i="2" s="1"/>
  <c r="AD2281" i="2" s="1"/>
  <c r="AD2284" i="2" s="1"/>
  <c r="AE2285" i="2" s="1"/>
  <c r="AD2304" i="2"/>
  <c r="AD2303" i="2"/>
  <c r="AF2313" i="2"/>
  <c r="AD2315" i="2"/>
  <c r="AD2291" i="2"/>
  <c r="AD2296" i="2" s="1"/>
  <c r="AD2292" i="2"/>
  <c r="AD2293" i="2" l="1"/>
  <c r="AD2329" i="2"/>
  <c r="AD2318" i="2"/>
  <c r="AF2327" i="2"/>
  <c r="AD2317" i="2"/>
  <c r="AD2305" i="2"/>
  <c r="AD2310" i="2" s="1"/>
  <c r="AD2306" i="2"/>
  <c r="AD2320" i="2" l="1"/>
  <c r="AD2319" i="2"/>
  <c r="AD2324" i="2" s="1"/>
  <c r="AD2331" i="2"/>
  <c r="AD2332" i="2"/>
  <c r="AD2343" i="2"/>
  <c r="AF2341" i="2"/>
  <c r="AD2294" i="2"/>
  <c r="AD2295" i="2" s="1"/>
  <c r="AD2298" i="2" s="1"/>
  <c r="AE2299" i="2" s="1"/>
  <c r="AD2307" i="2"/>
  <c r="AD2308" i="2" s="1"/>
  <c r="AD2309" i="2" s="1"/>
  <c r="AD2312" i="2" s="1"/>
  <c r="AE2313" i="2" s="1"/>
  <c r="AD2346" i="2" l="1"/>
  <c r="AD2345" i="2"/>
  <c r="AD2357" i="2"/>
  <c r="AF2355" i="2"/>
  <c r="AD2334" i="2"/>
  <c r="AD2333" i="2"/>
  <c r="AD2338" i="2" s="1"/>
  <c r="AD2321" i="2"/>
  <c r="AD2335" i="2" l="1"/>
  <c r="AD2348" i="2"/>
  <c r="AD2347" i="2"/>
  <c r="AD2352" i="2" s="1"/>
  <c r="AD2359" i="2"/>
  <c r="AD2360" i="2"/>
  <c r="AD2371" i="2"/>
  <c r="AF2369" i="2"/>
  <c r="AD2322" i="2"/>
  <c r="AD2323" i="2" s="1"/>
  <c r="AD2326" i="2" s="1"/>
  <c r="AE2327" i="2" s="1"/>
  <c r="AD2362" i="2" l="1"/>
  <c r="AD2361" i="2"/>
  <c r="AD2366" i="2" s="1"/>
  <c r="AD2336" i="2"/>
  <c r="AD2337" i="2" s="1"/>
  <c r="AD2340" i="2" s="1"/>
  <c r="AE2341" i="2" s="1"/>
  <c r="AD2373" i="2"/>
  <c r="AF2383" i="2"/>
  <c r="AD2385" i="2"/>
  <c r="AD2374" i="2"/>
  <c r="AD2349" i="2"/>
  <c r="AD2350" i="2" l="1"/>
  <c r="AD2351" i="2" s="1"/>
  <c r="AD2354" i="2" s="1"/>
  <c r="AE2355" i="2" s="1"/>
  <c r="AD2375" i="2"/>
  <c r="AD2380" i="2" s="1"/>
  <c r="AD2376" i="2"/>
  <c r="AD2363" i="2"/>
  <c r="AD2399" i="2"/>
  <c r="AD2388" i="2"/>
  <c r="AF2397" i="2"/>
  <c r="AD2387" i="2"/>
  <c r="AD2364" i="2" l="1"/>
  <c r="AD2365" i="2" s="1"/>
  <c r="AD2368" i="2" s="1"/>
  <c r="AE2369" i="2" s="1"/>
  <c r="AD2390" i="2"/>
  <c r="AD2389" i="2"/>
  <c r="AD2394" i="2" s="1"/>
  <c r="AD2401" i="2"/>
  <c r="AF2411" i="2"/>
  <c r="AD2413" i="2"/>
  <c r="AD2402" i="2"/>
  <c r="AD2377" i="2"/>
  <c r="AD2378" i="2" l="1"/>
  <c r="AD2379" i="2" s="1"/>
  <c r="AD2382" i="2" s="1"/>
  <c r="AE2383" i="2" s="1"/>
  <c r="AD2404" i="2"/>
  <c r="AD2403" i="2"/>
  <c r="AD2408" i="2" s="1"/>
  <c r="AD2416" i="2"/>
  <c r="AD2427" i="2"/>
  <c r="AD2415" i="2"/>
  <c r="AF2425" i="2"/>
  <c r="AD2391" i="2"/>
  <c r="AD2392" i="2" s="1"/>
  <c r="AD2393" i="2" s="1"/>
  <c r="AD2396" i="2" s="1"/>
  <c r="AE2397" i="2" s="1"/>
  <c r="AF2439" i="2" l="1"/>
  <c r="AD2430" i="2"/>
  <c r="AD2429" i="2"/>
  <c r="AD2441" i="2"/>
  <c r="AD2418" i="2"/>
  <c r="AD2417" i="2"/>
  <c r="AD2422" i="2" s="1"/>
  <c r="AD2405" i="2"/>
  <c r="AD2419" i="2" l="1"/>
  <c r="AD2420" i="2" s="1"/>
  <c r="AD2421" i="2" s="1"/>
  <c r="AD2424" i="2" s="1"/>
  <c r="AE2425" i="2" s="1"/>
  <c r="AD2431" i="2"/>
  <c r="AD2436" i="2" s="1"/>
  <c r="AD2432" i="2"/>
  <c r="AD2406" i="2"/>
  <c r="AD2407" i="2" s="1"/>
  <c r="AD2410" i="2" s="1"/>
  <c r="AE2411" i="2" s="1"/>
  <c r="AF2453" i="2"/>
  <c r="AD2444" i="2"/>
  <c r="AD2443" i="2"/>
  <c r="AD2455" i="2"/>
  <c r="AD2446" i="2" l="1"/>
  <c r="AD2445" i="2"/>
  <c r="AD2450" i="2" s="1"/>
  <c r="AD2457" i="2"/>
  <c r="AF2467" i="2"/>
  <c r="AD2469" i="2"/>
  <c r="AD2458" i="2"/>
  <c r="AD2433" i="2"/>
  <c r="AD2434" i="2" s="1"/>
  <c r="AD2435" i="2" s="1"/>
  <c r="AD2438" i="2" s="1"/>
  <c r="AE2439" i="2" s="1"/>
  <c r="AD2447" i="2" l="1"/>
  <c r="AD2448" i="2" s="1"/>
  <c r="AD2449" i="2" s="1"/>
  <c r="AD2452" i="2" s="1"/>
  <c r="AE2453" i="2" s="1"/>
  <c r="AD2460" i="2"/>
  <c r="AD2459" i="2"/>
  <c r="AD2464" i="2" s="1"/>
  <c r="AF2481" i="2"/>
  <c r="AD2472" i="2"/>
  <c r="AD2471" i="2"/>
  <c r="AD2483" i="2"/>
  <c r="AD2473" i="2" l="1"/>
  <c r="AD2478" i="2" s="1"/>
  <c r="AD2474" i="2"/>
  <c r="AD2461" i="2"/>
  <c r="AD2462" i="2" s="1"/>
  <c r="AD2463" i="2" s="1"/>
  <c r="AD2466" i="2" s="1"/>
  <c r="AE2467" i="2" s="1"/>
  <c r="AD2486" i="2"/>
  <c r="AF2495" i="2"/>
  <c r="AD2485" i="2"/>
  <c r="AD2497" i="2"/>
  <c r="AD2488" i="2" l="1"/>
  <c r="AD2487" i="2"/>
  <c r="AD2492" i="2" s="1"/>
  <c r="AD2475" i="2"/>
  <c r="AF2509" i="2"/>
  <c r="AD2499" i="2"/>
  <c r="AD2511" i="2"/>
  <c r="AD2500" i="2"/>
  <c r="AD2525" i="2" l="1"/>
  <c r="AD2513" i="2"/>
  <c r="AF2523" i="2"/>
  <c r="AD2514" i="2"/>
  <c r="AD2476" i="2"/>
  <c r="AD2477" i="2" s="1"/>
  <c r="AD2480" i="2" s="1"/>
  <c r="AE2481" i="2" s="1"/>
  <c r="AD2489" i="2"/>
  <c r="AD2490" i="2" s="1"/>
  <c r="AD2491" i="2" s="1"/>
  <c r="AD2494" i="2" s="1"/>
  <c r="AE2495" i="2" s="1"/>
  <c r="AD2501" i="2"/>
  <c r="AD2506" i="2" s="1"/>
  <c r="AD2502" i="2"/>
  <c r="AD2515" i="2" l="1"/>
  <c r="AD2520" i="2" s="1"/>
  <c r="AD2516" i="2"/>
  <c r="AD2503" i="2"/>
  <c r="AD2504" i="2" s="1"/>
  <c r="AD2505" i="2" s="1"/>
  <c r="AD2508" i="2" s="1"/>
  <c r="AE2509" i="2" s="1"/>
  <c r="AD2528" i="2"/>
  <c r="AD2539" i="2"/>
  <c r="AD2527" i="2"/>
  <c r="AF2537" i="2"/>
  <c r="AF2551" i="2" l="1"/>
  <c r="AD2542" i="2"/>
  <c r="AD2553" i="2"/>
  <c r="AD2541" i="2"/>
  <c r="AD2517" i="2"/>
  <c r="AD2518" i="2" s="1"/>
  <c r="AD2519" i="2" s="1"/>
  <c r="AD2522" i="2" s="1"/>
  <c r="AE2523" i="2" s="1"/>
  <c r="AD2530" i="2"/>
  <c r="AD2529" i="2"/>
  <c r="AD2534" i="2" s="1"/>
  <c r="AD2531" i="2" l="1"/>
  <c r="AD2555" i="2"/>
  <c r="AD2556" i="2"/>
  <c r="AD2567" i="2"/>
  <c r="AF2565" i="2"/>
  <c r="AD2543" i="2"/>
  <c r="AD2548" i="2" s="1"/>
  <c r="AD2544" i="2"/>
  <c r="AD2532" i="2" l="1"/>
  <c r="AD2533" i="2" s="1"/>
  <c r="AD2536" i="2" s="1"/>
  <c r="AE2537" i="2" s="1"/>
  <c r="AD2558" i="2"/>
  <c r="AD2557" i="2"/>
  <c r="AD2562" i="2" s="1"/>
  <c r="AD2545" i="2"/>
  <c r="AF2579" i="2"/>
  <c r="AD2581" i="2"/>
  <c r="AD2570" i="2"/>
  <c r="AD2569" i="2"/>
  <c r="AD2546" i="2" l="1"/>
  <c r="AD2547" i="2" s="1"/>
  <c r="AD2550" i="2" s="1"/>
  <c r="AE2551" i="2" s="1"/>
  <c r="AD2572" i="2"/>
  <c r="AD2571" i="2"/>
  <c r="AD2576" i="2" s="1"/>
  <c r="AD2559" i="2"/>
  <c r="AD2595" i="2"/>
  <c r="AD2583" i="2"/>
  <c r="AF2593" i="2"/>
  <c r="AD2584" i="2"/>
  <c r="AD2573" i="2" l="1"/>
  <c r="AD2574" i="2" s="1"/>
  <c r="AD2575" i="2" s="1"/>
  <c r="AD2578" i="2" s="1"/>
  <c r="AE2579" i="2" s="1"/>
  <c r="AD2586" i="2"/>
  <c r="AD2585" i="2"/>
  <c r="AD2590" i="2" s="1"/>
  <c r="AD2560" i="2"/>
  <c r="AD2561" i="2" s="1"/>
  <c r="AD2564" i="2" s="1"/>
  <c r="AE2565" i="2" s="1"/>
  <c r="AF2607" i="2"/>
  <c r="AD2598" i="2"/>
  <c r="AD2597" i="2"/>
  <c r="AD2609" i="2"/>
  <c r="AD2599" i="2" l="1"/>
  <c r="AD2604" i="2" s="1"/>
  <c r="AD2600" i="2"/>
  <c r="AD2612" i="2"/>
  <c r="AD2623" i="2"/>
  <c r="AF2621" i="2"/>
  <c r="AD2611" i="2"/>
  <c r="AD2587" i="2"/>
  <c r="AD2601" i="2" l="1"/>
  <c r="AD2602" i="2" s="1"/>
  <c r="AD2603" i="2" s="1"/>
  <c r="AD2606" i="2" s="1"/>
  <c r="AE2607" i="2" s="1"/>
  <c r="AD2588" i="2"/>
  <c r="AD2589" i="2" s="1"/>
  <c r="AD2592" i="2" s="1"/>
  <c r="AE2593" i="2" s="1"/>
  <c r="AD2613" i="2"/>
  <c r="AD2618" i="2" s="1"/>
  <c r="AD2614" i="2"/>
  <c r="AD2625" i="2"/>
  <c r="AD2637" i="2"/>
  <c r="AD2626" i="2"/>
  <c r="AF2635" i="2"/>
  <c r="AD2615" i="2" l="1"/>
  <c r="AD2628" i="2"/>
  <c r="AD2627" i="2"/>
  <c r="AD2632" i="2" s="1"/>
  <c r="AD2639" i="2"/>
  <c r="AD2651" i="2"/>
  <c r="AF2649" i="2"/>
  <c r="AD2640" i="2"/>
  <c r="AD2642" i="2" l="1"/>
  <c r="AD2641" i="2"/>
  <c r="AD2646" i="2" s="1"/>
  <c r="AD2616" i="2"/>
  <c r="AD2617" i="2" s="1"/>
  <c r="AD2620" i="2" s="1"/>
  <c r="AE2621" i="2" s="1"/>
  <c r="AD2665" i="2"/>
  <c r="AD2654" i="2"/>
  <c r="AF2663" i="2"/>
  <c r="AD2653" i="2"/>
  <c r="AD2629" i="2"/>
  <c r="AD2679" i="2" l="1"/>
  <c r="AD2668" i="2"/>
  <c r="AF2677" i="2"/>
  <c r="AD2667" i="2"/>
  <c r="AD2630" i="2"/>
  <c r="AD2631" i="2" s="1"/>
  <c r="AD2634" i="2" s="1"/>
  <c r="AE2635" i="2" s="1"/>
  <c r="AD2643" i="2"/>
  <c r="AD2655" i="2"/>
  <c r="AD2660" i="2" s="1"/>
  <c r="AD2656" i="2"/>
  <c r="AD2682" i="2" l="1"/>
  <c r="AF2691" i="2"/>
  <c r="AD2693" i="2"/>
  <c r="AD2681" i="2"/>
  <c r="AD2657" i="2"/>
  <c r="AD2644" i="2"/>
  <c r="AD2645" i="2" s="1"/>
  <c r="AD2648" i="2" s="1"/>
  <c r="AE2649" i="2" s="1"/>
  <c r="AD2670" i="2"/>
  <c r="AD2669" i="2"/>
  <c r="AD2674" i="2" s="1"/>
  <c r="AD2658" i="2" l="1"/>
  <c r="AD2659" i="2" s="1"/>
  <c r="AD2662" i="2" s="1"/>
  <c r="AE2663" i="2" s="1"/>
  <c r="AD2707" i="2"/>
  <c r="AF2705" i="2"/>
  <c r="AD2696" i="2"/>
  <c r="AD2695" i="2"/>
  <c r="AD2671" i="2"/>
  <c r="AD2683" i="2"/>
  <c r="AD2688" i="2" s="1"/>
  <c r="AD2684" i="2"/>
  <c r="AD2672" i="2" l="1"/>
  <c r="AD2673" i="2" s="1"/>
  <c r="AD2676" i="2" s="1"/>
  <c r="AE2677" i="2" s="1"/>
  <c r="AF2719" i="2"/>
  <c r="AD2709" i="2"/>
  <c r="AD2721" i="2"/>
  <c r="AD2710" i="2"/>
  <c r="AD2685" i="2"/>
  <c r="AD2698" i="2"/>
  <c r="AD2697" i="2"/>
  <c r="AD2702" i="2" s="1"/>
  <c r="AD2699" i="2" l="1"/>
  <c r="AF2733" i="2"/>
  <c r="AD2724" i="2"/>
  <c r="AD2723" i="2"/>
  <c r="AD2735" i="2"/>
  <c r="AD2686" i="2"/>
  <c r="AD2687" i="2" s="1"/>
  <c r="AD2690" i="2" s="1"/>
  <c r="AE2691" i="2" s="1"/>
  <c r="AD2711" i="2"/>
  <c r="AD2716" i="2" s="1"/>
  <c r="AD2712" i="2"/>
  <c r="AD2725" i="2" l="1"/>
  <c r="AD2730" i="2" s="1"/>
  <c r="AD2726" i="2"/>
  <c r="AF2747" i="2"/>
  <c r="AD2749" i="2"/>
  <c r="AD2738" i="2"/>
  <c r="AD2737" i="2"/>
  <c r="AD2700" i="2"/>
  <c r="AD2701" i="2" s="1"/>
  <c r="AD2704" i="2" s="1"/>
  <c r="AE2705" i="2" s="1"/>
  <c r="AD2713" i="2"/>
  <c r="AD2714" i="2" l="1"/>
  <c r="AD2715" i="2" s="1"/>
  <c r="AD2718" i="2" s="1"/>
  <c r="AE2719" i="2" s="1"/>
  <c r="AD2740" i="2"/>
  <c r="AD2739" i="2"/>
  <c r="AD2744" i="2" s="1"/>
  <c r="AD2727" i="2"/>
  <c r="AD2751" i="2"/>
  <c r="AD2763" i="2"/>
  <c r="AF2761" i="2"/>
  <c r="AD2752" i="2"/>
  <c r="AD2728" i="2" l="1"/>
  <c r="AD2729" i="2" s="1"/>
  <c r="AD2732" i="2" s="1"/>
  <c r="AE2733" i="2" s="1"/>
  <c r="AD2766" i="2"/>
  <c r="AD2765" i="2"/>
  <c r="AD2777" i="2"/>
  <c r="AF2775" i="2"/>
  <c r="AD2753" i="2"/>
  <c r="AD2758" i="2" s="1"/>
  <c r="AD2754" i="2"/>
  <c r="AD2741" i="2"/>
  <c r="AD2742" i="2" l="1"/>
  <c r="AD2743" i="2" s="1"/>
  <c r="AD2746" i="2" s="1"/>
  <c r="AE2747" i="2" s="1"/>
  <c r="AD2791" i="2"/>
  <c r="AF2789" i="2"/>
  <c r="AD2780" i="2"/>
  <c r="AD2779" i="2"/>
  <c r="AD2755" i="2"/>
  <c r="AD2767" i="2"/>
  <c r="AD2772" i="2" s="1"/>
  <c r="AD2768" i="2"/>
  <c r="AD2805" i="2" l="1"/>
  <c r="AD2794" i="2"/>
  <c r="AD2793" i="2"/>
  <c r="AF2803" i="2"/>
  <c r="AD2781" i="2"/>
  <c r="AD2786" i="2" s="1"/>
  <c r="AD2782" i="2"/>
  <c r="AD2769" i="2"/>
  <c r="AD2756" i="2"/>
  <c r="AD2757" i="2" s="1"/>
  <c r="AD2760" i="2" s="1"/>
  <c r="AE2761" i="2" s="1"/>
  <c r="AD2770" i="2" l="1"/>
  <c r="AD2771" i="2" s="1"/>
  <c r="AD2774" i="2" s="1"/>
  <c r="AE2775" i="2" s="1"/>
  <c r="AD2808" i="2"/>
  <c r="AD2807" i="2"/>
  <c r="AD2819" i="2"/>
  <c r="AF2817" i="2"/>
  <c r="AD2783" i="2"/>
  <c r="AD2796" i="2"/>
  <c r="AD2795" i="2"/>
  <c r="AD2800" i="2" s="1"/>
  <c r="AD2810" i="2" l="1"/>
  <c r="AD2809" i="2"/>
  <c r="AD2814" i="2" s="1"/>
  <c r="AD2797" i="2"/>
  <c r="AD2822" i="2"/>
  <c r="AD2821" i="2"/>
  <c r="AD2833" i="2"/>
  <c r="AF2831" i="2"/>
  <c r="AD2784" i="2"/>
  <c r="AD2785" i="2" s="1"/>
  <c r="AD2788" i="2" s="1"/>
  <c r="AE2789" i="2" s="1"/>
  <c r="AD2811" i="2" l="1"/>
  <c r="AD2823" i="2"/>
  <c r="AD2828" i="2" s="1"/>
  <c r="AD2824" i="2"/>
  <c r="AD2847" i="2"/>
  <c r="AF2845" i="2"/>
  <c r="AD2836" i="2"/>
  <c r="AD2835" i="2"/>
  <c r="AD2798" i="2"/>
  <c r="AD2799" i="2" s="1"/>
  <c r="AD2802" i="2" s="1"/>
  <c r="AE2803" i="2" s="1"/>
  <c r="AF2859" i="2" l="1"/>
  <c r="AD2861" i="2"/>
  <c r="AD2850" i="2"/>
  <c r="AD2849" i="2"/>
  <c r="AD2812" i="2"/>
  <c r="AD2813" i="2" s="1"/>
  <c r="AD2816" i="2" s="1"/>
  <c r="AE2817" i="2" s="1"/>
  <c r="AD2838" i="2"/>
  <c r="AD2837" i="2"/>
  <c r="AD2842" i="2" s="1"/>
  <c r="AD2825" i="2"/>
  <c r="AD2863" i="2" l="1"/>
  <c r="AD2875" i="2"/>
  <c r="AF2873" i="2"/>
  <c r="AD2864" i="2"/>
  <c r="AD2826" i="2"/>
  <c r="AD2827" i="2" s="1"/>
  <c r="AD2830" i="2" s="1"/>
  <c r="AE2831" i="2" s="1"/>
  <c r="AD2839" i="2"/>
  <c r="AD2852" i="2"/>
  <c r="AD2851" i="2"/>
  <c r="AD2856" i="2" s="1"/>
  <c r="AD2866" i="2" l="1"/>
  <c r="AD2865" i="2"/>
  <c r="AD2870" i="2" s="1"/>
  <c r="AD2853" i="2"/>
  <c r="AD2840" i="2"/>
  <c r="AD2841" i="2" s="1"/>
  <c r="AD2844" i="2" s="1"/>
  <c r="AE2845" i="2" s="1"/>
  <c r="AF2887" i="2"/>
  <c r="AD2877" i="2"/>
  <c r="AD2889" i="2"/>
  <c r="AD2878" i="2"/>
  <c r="AD2867" i="2" l="1"/>
  <c r="AD2854" i="2"/>
  <c r="AD2855" i="2" s="1"/>
  <c r="AD2858" i="2" s="1"/>
  <c r="AE2859" i="2" s="1"/>
  <c r="AF2901" i="2"/>
  <c r="AD2892" i="2"/>
  <c r="AD2891" i="2"/>
  <c r="AD2903" i="2"/>
  <c r="AD2879" i="2"/>
  <c r="AD2884" i="2" s="1"/>
  <c r="AD2880" i="2"/>
  <c r="AD2881" i="2" l="1"/>
  <c r="AD2893" i="2"/>
  <c r="AD2898" i="2" s="1"/>
  <c r="AD2894" i="2"/>
  <c r="AD2868" i="2"/>
  <c r="AD2869" i="2" s="1"/>
  <c r="AD2872" i="2" s="1"/>
  <c r="AE2873" i="2" s="1"/>
  <c r="AF2915" i="2"/>
  <c r="AD2917" i="2"/>
  <c r="AD2906" i="2"/>
  <c r="AD2905" i="2"/>
  <c r="AD2882" i="2" l="1"/>
  <c r="AD2883" i="2" s="1"/>
  <c r="AD2886" i="2" s="1"/>
  <c r="AE2887" i="2" s="1"/>
  <c r="AD2908" i="2"/>
  <c r="AD2907" i="2"/>
  <c r="AF2929" i="2"/>
  <c r="AD2920" i="2"/>
  <c r="AD2919" i="2"/>
  <c r="AD2931" i="2"/>
  <c r="AD2895" i="2"/>
  <c r="AD2912" i="2"/>
  <c r="AD2922" i="2" l="1"/>
  <c r="AD2921" i="2"/>
  <c r="AD2926" i="2" s="1"/>
  <c r="AD2909" i="2"/>
  <c r="AD2896" i="2"/>
  <c r="AD2897" i="2" s="1"/>
  <c r="AD2900" i="2" s="1"/>
  <c r="AE2901" i="2" s="1"/>
  <c r="AF2943" i="2"/>
  <c r="AD2934" i="2"/>
  <c r="AD2933" i="2"/>
  <c r="AD2945" i="2"/>
  <c r="AD2923" i="2" l="1"/>
  <c r="AD2947" i="2"/>
  <c r="AD2959" i="2"/>
  <c r="AF2957" i="2"/>
  <c r="AD2948" i="2"/>
  <c r="AD2910" i="2"/>
  <c r="AD2911" i="2" s="1"/>
  <c r="AD2914" i="2" s="1"/>
  <c r="AE2915" i="2" s="1"/>
  <c r="AD2935" i="2"/>
  <c r="AD2940" i="2" s="1"/>
  <c r="AD2936" i="2"/>
  <c r="AD2949" i="2" l="1"/>
  <c r="AD2954" i="2" s="1"/>
  <c r="AD2950" i="2"/>
  <c r="AD2937" i="2"/>
  <c r="AD2924" i="2"/>
  <c r="AD2925" i="2" s="1"/>
  <c r="AD2928" i="2" s="1"/>
  <c r="AE2929" i="2" s="1"/>
  <c r="AD2973" i="2"/>
  <c r="AD2962" i="2"/>
  <c r="AD2961" i="2"/>
  <c r="AF2971" i="2"/>
  <c r="AD2964" i="2" l="1"/>
  <c r="AD2963" i="2"/>
  <c r="AD2968" i="2" s="1"/>
  <c r="AD2951" i="2"/>
  <c r="AD2975" i="2"/>
  <c r="AD2987" i="2"/>
  <c r="AF2985" i="2"/>
  <c r="AD2976" i="2"/>
  <c r="AD2938" i="2"/>
  <c r="AD2939" i="2" s="1"/>
  <c r="AD2942" i="2" s="1"/>
  <c r="AE2943" i="2" s="1"/>
  <c r="AD2977" i="2" l="1"/>
  <c r="AD2982" i="2" s="1"/>
  <c r="AD2978" i="2"/>
  <c r="AD2965" i="2"/>
  <c r="AD2990" i="2"/>
  <c r="AD2989" i="2"/>
  <c r="AD3001" i="2"/>
  <c r="AF2999" i="2"/>
  <c r="AD2952" i="2"/>
  <c r="AD2953" i="2" s="1"/>
  <c r="AD2956" i="2" s="1"/>
  <c r="AE2957" i="2" s="1"/>
  <c r="AD2979" i="2" l="1"/>
  <c r="AD3004" i="2"/>
  <c r="AD3003" i="2"/>
  <c r="AD3015" i="2"/>
  <c r="AF3013" i="2"/>
  <c r="AD2991" i="2"/>
  <c r="AD2996" i="2" s="1"/>
  <c r="AD2992" i="2"/>
  <c r="AD2966" i="2"/>
  <c r="AD2967" i="2" s="1"/>
  <c r="AD2970" i="2" s="1"/>
  <c r="AE2971" i="2" s="1"/>
  <c r="AD3017" i="2" l="1"/>
  <c r="AF3027" i="2"/>
  <c r="AD3029" i="2"/>
  <c r="AD3018" i="2"/>
  <c r="AD2980" i="2"/>
  <c r="AD2981" i="2" s="1"/>
  <c r="AD2984" i="2" s="1"/>
  <c r="AE2985" i="2" s="1"/>
  <c r="AD2993" i="2"/>
  <c r="AD3005" i="2"/>
  <c r="AD3010" i="2" s="1"/>
  <c r="AD3006" i="2"/>
  <c r="AD3007" i="2" l="1"/>
  <c r="AD3031" i="2"/>
  <c r="AD3043" i="2"/>
  <c r="AF3041" i="2"/>
  <c r="AD3032" i="2"/>
  <c r="AD3020" i="2"/>
  <c r="AD3019" i="2"/>
  <c r="AD3024" i="2" s="1"/>
  <c r="AD2994" i="2"/>
  <c r="AD2995" i="2" s="1"/>
  <c r="AD2998" i="2" s="1"/>
  <c r="AE2999" i="2" s="1"/>
  <c r="AD3034" i="2" l="1"/>
  <c r="AD3033" i="2"/>
  <c r="AD3038" i="2" s="1"/>
  <c r="AD3008" i="2"/>
  <c r="AD3009" i="2" s="1"/>
  <c r="AD3012" i="2" s="1"/>
  <c r="AE3013" i="2" s="1"/>
  <c r="AD3021" i="2"/>
  <c r="AD3045" i="2"/>
  <c r="AD3057" i="2"/>
  <c r="AF3055" i="2"/>
  <c r="AD3046" i="2"/>
  <c r="AD3022" i="2" l="1"/>
  <c r="AD3023" i="2" s="1"/>
  <c r="AD3026" i="2" s="1"/>
  <c r="AE3027" i="2" s="1"/>
  <c r="AD3047" i="2"/>
  <c r="AD3052" i="2" s="1"/>
  <c r="AD3048" i="2"/>
  <c r="AD3035" i="2"/>
  <c r="AD3060" i="2"/>
  <c r="AD3059" i="2"/>
  <c r="AD3071" i="2"/>
  <c r="AF3069" i="2"/>
  <c r="AD3074" i="2" l="1"/>
  <c r="AD3073" i="2"/>
  <c r="AF3083" i="2"/>
  <c r="AD3085" i="2"/>
  <c r="AD3036" i="2"/>
  <c r="AD3037" i="2" s="1"/>
  <c r="AD3040" i="2" s="1"/>
  <c r="AE3041" i="2" s="1"/>
  <c r="AD3061" i="2"/>
  <c r="AD3066" i="2" s="1"/>
  <c r="AD3062" i="2"/>
  <c r="AD3049" i="2"/>
  <c r="AD3063" i="2" l="1"/>
  <c r="AD3076" i="2"/>
  <c r="AD3075" i="2"/>
  <c r="AD3080" i="2" s="1"/>
  <c r="AD3050" i="2"/>
  <c r="AD3051" i="2" s="1"/>
  <c r="AD3054" i="2" s="1"/>
  <c r="AE3055" i="2" s="1"/>
  <c r="AD3087" i="2"/>
  <c r="AD3099" i="2"/>
  <c r="AF3097" i="2"/>
  <c r="AD3088" i="2"/>
  <c r="AD3113" i="2" l="1"/>
  <c r="AF3111" i="2"/>
  <c r="AD3102" i="2"/>
  <c r="AD3101" i="2"/>
  <c r="AD3064" i="2"/>
  <c r="AD3065" i="2" s="1"/>
  <c r="AD3068" i="2" s="1"/>
  <c r="AE3069" i="2" s="1"/>
  <c r="AD3089" i="2"/>
  <c r="AD3094" i="2" s="1"/>
  <c r="AD3090" i="2"/>
  <c r="AD3077" i="2"/>
  <c r="AD3078" i="2" l="1"/>
  <c r="AD3079" i="2" s="1"/>
  <c r="AD3082" i="2" s="1"/>
  <c r="AE3083" i="2" s="1"/>
  <c r="AD3127" i="2"/>
  <c r="AD3116" i="2"/>
  <c r="AD3115" i="2"/>
  <c r="AF3125" i="2"/>
  <c r="AD3091" i="2"/>
  <c r="AD3103" i="2"/>
  <c r="AD3108" i="2" s="1"/>
  <c r="AD3104" i="2"/>
  <c r="AD3117" i="2" l="1"/>
  <c r="AD3122" i="2" s="1"/>
  <c r="AD3118" i="2"/>
  <c r="AD3092" i="2"/>
  <c r="AD3093" i="2" s="1"/>
  <c r="AD3096" i="2" s="1"/>
  <c r="AE3097" i="2" s="1"/>
  <c r="AF3139" i="2"/>
  <c r="AD3130" i="2"/>
  <c r="AD3129" i="2"/>
  <c r="AD3141" i="2"/>
  <c r="AD3105" i="2"/>
  <c r="AD3106" i="2" l="1"/>
  <c r="AD3107" i="2" s="1"/>
  <c r="AD3110" i="2" s="1"/>
  <c r="AE3111" i="2" s="1"/>
  <c r="AD3119" i="2"/>
  <c r="AD3132" i="2"/>
  <c r="AD3131" i="2"/>
  <c r="AD3136" i="2" s="1"/>
  <c r="AD3143" i="2"/>
  <c r="AD3155" i="2"/>
  <c r="AF3153" i="2"/>
  <c r="AD3144" i="2"/>
  <c r="AD3133" i="2" l="1"/>
  <c r="AD3146" i="2"/>
  <c r="AD3145" i="2"/>
  <c r="AD3150" i="2" s="1"/>
  <c r="AD3120" i="2"/>
  <c r="AD3121" i="2" s="1"/>
  <c r="AD3124" i="2" s="1"/>
  <c r="AE3125" i="2" s="1"/>
  <c r="AF3167" i="2"/>
  <c r="AD3158" i="2"/>
  <c r="AD3157" i="2"/>
  <c r="AD3169" i="2"/>
  <c r="AD3159" i="2" l="1"/>
  <c r="AD3164" i="2" s="1"/>
  <c r="AD3160" i="2"/>
  <c r="AD3134" i="2"/>
  <c r="AD3135" i="2" s="1"/>
  <c r="AD3138" i="2" s="1"/>
  <c r="AE3139" i="2" s="1"/>
  <c r="AD3183" i="2"/>
  <c r="AF3181" i="2"/>
  <c r="AD3172" i="2"/>
  <c r="AD3171" i="2"/>
  <c r="AD3147" i="2"/>
  <c r="AD3173" i="2" l="1"/>
  <c r="AD3178" i="2" s="1"/>
  <c r="AD3174" i="2"/>
  <c r="AD3197" i="2"/>
  <c r="AD3186" i="2"/>
  <c r="AD3185" i="2"/>
  <c r="AF3195" i="2"/>
  <c r="AD3148" i="2"/>
  <c r="AD3149" i="2" s="1"/>
  <c r="AD3152" i="2" s="1"/>
  <c r="AE3153" i="2" s="1"/>
  <c r="AD3161" i="2"/>
  <c r="AD3211" i="2" l="1"/>
  <c r="AF3209" i="2"/>
  <c r="AD3200" i="2"/>
  <c r="AD3199" i="2"/>
  <c r="AD3188" i="2"/>
  <c r="AD3187" i="2"/>
  <c r="AD3192" i="2" s="1"/>
  <c r="AD3162" i="2"/>
  <c r="AD3163" i="2" s="1"/>
  <c r="AD3166" i="2" s="1"/>
  <c r="AE3167" i="2" s="1"/>
  <c r="AD3175" i="2"/>
  <c r="AD3176" i="2" l="1"/>
  <c r="AD3177" i="2" s="1"/>
  <c r="AD3180" i="2" s="1"/>
  <c r="AE3181" i="2" s="1"/>
  <c r="AD3214" i="2"/>
  <c r="AD3213" i="2"/>
  <c r="AD3225" i="2"/>
  <c r="AF3223" i="2"/>
  <c r="AD3189" i="2"/>
  <c r="AD3201" i="2"/>
  <c r="AD3206" i="2" s="1"/>
  <c r="AD3202" i="2"/>
  <c r="AD3227" i="2" l="1"/>
  <c r="AD3239" i="2"/>
  <c r="AF3237" i="2"/>
  <c r="AD3228" i="2"/>
  <c r="AD3203" i="2"/>
  <c r="AD3190" i="2"/>
  <c r="AD3191" i="2" s="1"/>
  <c r="AD3194" i="2" s="1"/>
  <c r="AE3195" i="2" s="1"/>
  <c r="AD3216" i="2"/>
  <c r="AD3215" i="2"/>
  <c r="AD3220" i="2" s="1"/>
  <c r="AD3217" i="2" l="1"/>
  <c r="AD3230" i="2"/>
  <c r="AD3229" i="2"/>
  <c r="AD3234" i="2" s="1"/>
  <c r="AD3242" i="2"/>
  <c r="AD3241" i="2"/>
  <c r="AF3251" i="2"/>
  <c r="AD3253" i="2"/>
  <c r="AD3204" i="2"/>
  <c r="AD3205" i="2" s="1"/>
  <c r="AD3208" i="2" s="1"/>
  <c r="AE3209" i="2" s="1"/>
  <c r="AD3218" i="2" l="1"/>
  <c r="AD3219" i="2" s="1"/>
  <c r="AD3222" i="2" s="1"/>
  <c r="AE3223" i="2" s="1"/>
  <c r="AD3255" i="2"/>
  <c r="AD3267" i="2"/>
  <c r="AF3265" i="2"/>
  <c r="AD3256" i="2"/>
  <c r="AD3244" i="2"/>
  <c r="AD3243" i="2"/>
  <c r="AD3248" i="2" s="1"/>
  <c r="AD3231" i="2"/>
  <c r="AD3232" i="2" l="1"/>
  <c r="AD3233" i="2" s="1"/>
  <c r="AD3236" i="2" s="1"/>
  <c r="AE3237" i="2" s="1"/>
  <c r="AD3245" i="2"/>
  <c r="AD3257" i="2"/>
  <c r="AD3262" i="2" s="1"/>
  <c r="AD3258" i="2"/>
  <c r="AD3270" i="2"/>
  <c r="AD3269" i="2"/>
  <c r="AD3281" i="2"/>
  <c r="AF3279" i="2"/>
  <c r="AD3246" i="2" l="1"/>
  <c r="AD3247" i="2" s="1"/>
  <c r="AD3250" i="2" s="1"/>
  <c r="AE3251" i="2" s="1"/>
  <c r="AD3283" i="2"/>
  <c r="AD3295" i="2"/>
  <c r="AF3293" i="2"/>
  <c r="AD3284" i="2"/>
  <c r="AD3259" i="2"/>
  <c r="AD3271" i="2"/>
  <c r="AD3276" i="2" s="1"/>
  <c r="AD3272" i="2"/>
  <c r="AD3273" i="2" l="1"/>
  <c r="AD3285" i="2"/>
  <c r="AD3290" i="2" s="1"/>
  <c r="AD3286" i="2"/>
  <c r="AD3260" i="2"/>
  <c r="AD3261" i="2" s="1"/>
  <c r="AD3264" i="2" s="1"/>
  <c r="AE3265" i="2" s="1"/>
  <c r="AD3297" i="2"/>
  <c r="AF3307" i="2"/>
  <c r="AD3309" i="2"/>
  <c r="AD3298" i="2"/>
  <c r="AD3311" i="2" l="1"/>
  <c r="AD3323" i="2"/>
  <c r="AF3321" i="2"/>
  <c r="AD3312" i="2"/>
  <c r="AD3274" i="2"/>
  <c r="AD3275" i="2" s="1"/>
  <c r="AD3278" i="2" s="1"/>
  <c r="AE3279" i="2" s="1"/>
  <c r="AD3300" i="2"/>
  <c r="AD3299" i="2"/>
  <c r="AD3304" i="2" s="1"/>
  <c r="AD3287" i="2"/>
  <c r="AD3314" i="2" l="1"/>
  <c r="AD3313" i="2"/>
  <c r="AD3318" i="2" s="1"/>
  <c r="AD3288" i="2"/>
  <c r="AD3289" i="2" s="1"/>
  <c r="AD3292" i="2" s="1"/>
  <c r="AE3293" i="2" s="1"/>
  <c r="AD3325" i="2"/>
  <c r="AD3337" i="2"/>
  <c r="AF3335" i="2"/>
  <c r="AD3326" i="2"/>
  <c r="AD3301" i="2"/>
  <c r="AD3302" i="2" l="1"/>
  <c r="AD3303" i="2" s="1"/>
  <c r="AD3306" i="2" s="1"/>
  <c r="AE3307" i="2" s="1"/>
  <c r="AD3327" i="2"/>
  <c r="AD3332" i="2" s="1"/>
  <c r="AD3328" i="2"/>
  <c r="AD3315" i="2"/>
  <c r="AD3340" i="2"/>
  <c r="AD3339" i="2"/>
  <c r="AD3351" i="2"/>
  <c r="AF3349" i="2"/>
  <c r="AD3354" i="2" l="1"/>
  <c r="AD3353" i="2"/>
  <c r="AF3363" i="2"/>
  <c r="AD3365" i="2"/>
  <c r="AD3316" i="2"/>
  <c r="AD3317" i="2" s="1"/>
  <c r="AD3320" i="2" s="1"/>
  <c r="AE3321" i="2" s="1"/>
  <c r="AD3341" i="2"/>
  <c r="AD3346" i="2" s="1"/>
  <c r="AD3342" i="2"/>
  <c r="AD3329" i="2"/>
  <c r="AD3356" i="2" l="1"/>
  <c r="AD3355" i="2"/>
  <c r="AD3360" i="2" s="1"/>
  <c r="AD3343" i="2"/>
  <c r="AD3330" i="2"/>
  <c r="AD3331" i="2" s="1"/>
  <c r="AD3334" i="2" s="1"/>
  <c r="AE3335" i="2" s="1"/>
  <c r="AD3379" i="2"/>
  <c r="AF3377" i="2"/>
  <c r="AD3368" i="2"/>
  <c r="AD3367" i="2"/>
  <c r="AD3381" i="2" l="1"/>
  <c r="AD3393" i="2"/>
  <c r="AF3391" i="2"/>
  <c r="AD3382" i="2"/>
  <c r="AD3357" i="2"/>
  <c r="AD3369" i="2"/>
  <c r="AD3374" i="2" s="1"/>
  <c r="AD3370" i="2"/>
  <c r="AD3344" i="2"/>
  <c r="AD3345" i="2" s="1"/>
  <c r="AD3348" i="2" s="1"/>
  <c r="AE3349" i="2" s="1"/>
  <c r="AD3383" i="2" l="1"/>
  <c r="AD3388" i="2" s="1"/>
  <c r="AD3384" i="2"/>
  <c r="AD3358" i="2"/>
  <c r="AD3359" i="2" s="1"/>
  <c r="AD3362" i="2" s="1"/>
  <c r="AE3363" i="2" s="1"/>
  <c r="AD3396" i="2"/>
  <c r="AD3395" i="2"/>
  <c r="AD3407" i="2"/>
  <c r="AF3405" i="2"/>
  <c r="AD3371" i="2"/>
  <c r="AD3385" i="2" l="1"/>
  <c r="AD3372" i="2"/>
  <c r="AD3373" i="2" s="1"/>
  <c r="AD3376" i="2" s="1"/>
  <c r="AE3377" i="2" s="1"/>
  <c r="AD3397" i="2"/>
  <c r="AD3402" i="2" s="1"/>
  <c r="AD3398" i="2"/>
  <c r="AD3421" i="2"/>
  <c r="AD3410" i="2"/>
  <c r="AD3409" i="2"/>
  <c r="AF3419" i="2"/>
  <c r="AD3412" i="2" l="1"/>
  <c r="AD3411" i="2"/>
  <c r="AD3416" i="2" s="1"/>
  <c r="AD3386" i="2"/>
  <c r="AD3387" i="2" s="1"/>
  <c r="AD3390" i="2" s="1"/>
  <c r="AE3391" i="2" s="1"/>
  <c r="AD3399" i="2"/>
  <c r="AD3423" i="2"/>
  <c r="AD3435" i="2"/>
  <c r="AF3433" i="2"/>
  <c r="AD3424" i="2"/>
  <c r="AD3413" i="2" l="1"/>
  <c r="AD3400" i="2"/>
  <c r="AD3401" i="2" s="1"/>
  <c r="AD3404" i="2" s="1"/>
  <c r="AE3405" i="2" s="1"/>
  <c r="AD3426" i="2"/>
  <c r="AD3425" i="2"/>
  <c r="AD3430" i="2" s="1"/>
  <c r="AF3447" i="2"/>
  <c r="AD3438" i="2"/>
  <c r="AD3437" i="2"/>
  <c r="AD3449" i="2"/>
  <c r="AD3439" i="2" l="1"/>
  <c r="AD3444" i="2" s="1"/>
  <c r="AD3440" i="2"/>
  <c r="AD3427" i="2"/>
  <c r="AD3414" i="2"/>
  <c r="AD3415" i="2" s="1"/>
  <c r="AD3418" i="2" s="1"/>
  <c r="AE3419" i="2" s="1"/>
  <c r="AD3463" i="2"/>
  <c r="AF3461" i="2"/>
  <c r="AD3452" i="2"/>
  <c r="AD3451" i="2"/>
  <c r="AD3477" i="2" l="1"/>
  <c r="AD3466" i="2"/>
  <c r="AD3465" i="2"/>
  <c r="AF3475" i="2"/>
  <c r="AD3428" i="2"/>
  <c r="AD3429" i="2" s="1"/>
  <c r="AD3432" i="2" s="1"/>
  <c r="AE3433" i="2" s="1"/>
  <c r="AD3453" i="2"/>
  <c r="AD3458" i="2" s="1"/>
  <c r="AD3454" i="2"/>
  <c r="AD3441" i="2"/>
  <c r="AD3455" i="2" l="1"/>
  <c r="AD3491" i="2"/>
  <c r="AF3489" i="2"/>
  <c r="AD3480" i="2"/>
  <c r="AD3479" i="2"/>
  <c r="AD3442" i="2"/>
  <c r="AD3443" i="2" s="1"/>
  <c r="AD3446" i="2" s="1"/>
  <c r="AE3447" i="2" s="1"/>
  <c r="AD3467" i="2"/>
  <c r="AD3472" i="2" s="1"/>
  <c r="AD3468" i="2"/>
  <c r="AD3456" i="2" l="1"/>
  <c r="AD3457" i="2" s="1"/>
  <c r="AD3460" i="2" s="1"/>
  <c r="AE3461" i="2" s="1"/>
  <c r="AF3503" i="2"/>
  <c r="AD3494" i="2"/>
  <c r="AD3493" i="2"/>
  <c r="AD3505" i="2"/>
  <c r="AD3469" i="2"/>
  <c r="AD3482" i="2"/>
  <c r="AD3481" i="2"/>
  <c r="AD3486" i="2" s="1"/>
  <c r="AD3483" i="2" l="1"/>
  <c r="AD3496" i="2"/>
  <c r="AD3495" i="2"/>
  <c r="AD3500" i="2" s="1"/>
  <c r="AD3470" i="2"/>
  <c r="AD3471" i="2" s="1"/>
  <c r="AD3474" i="2" s="1"/>
  <c r="AE3475" i="2" s="1"/>
  <c r="AD3507" i="2"/>
  <c r="AD3519" i="2"/>
  <c r="AF3517" i="2"/>
  <c r="AD3508" i="2"/>
  <c r="AD3484" i="2" l="1"/>
  <c r="AD3485" i="2" s="1"/>
  <c r="AD3488" i="2" s="1"/>
  <c r="AE3489" i="2" s="1"/>
  <c r="AD3510" i="2"/>
  <c r="AD3509" i="2"/>
  <c r="AD3514" i="2" s="1"/>
  <c r="AD3497" i="2"/>
  <c r="AD3522" i="2"/>
  <c r="AD3521" i="2"/>
  <c r="AF3531" i="2"/>
  <c r="AD3533" i="2"/>
  <c r="AD3498" i="2" l="1"/>
  <c r="AD3499" i="2" s="1"/>
  <c r="AD3502" i="2" s="1"/>
  <c r="AE3503" i="2" s="1"/>
  <c r="AF3545" i="2"/>
  <c r="AD3536" i="2"/>
  <c r="AD3535" i="2"/>
  <c r="AD3547" i="2"/>
  <c r="AD3511" i="2"/>
  <c r="AD3524" i="2"/>
  <c r="AD3523" i="2"/>
  <c r="AD3528" i="2" s="1"/>
  <c r="AD3538" i="2" l="1"/>
  <c r="AD3537" i="2"/>
  <c r="AD3542" i="2" s="1"/>
  <c r="AD3550" i="2"/>
  <c r="AD3549" i="2"/>
  <c r="AD3561" i="2"/>
  <c r="AF3559" i="2"/>
  <c r="AD3525" i="2"/>
  <c r="AD3512" i="2"/>
  <c r="AD3513" i="2" s="1"/>
  <c r="AD3516" i="2" s="1"/>
  <c r="AE3517" i="2" s="1"/>
  <c r="AD3539" i="2" l="1"/>
  <c r="AD3563" i="2"/>
  <c r="AD3575" i="2"/>
  <c r="AF3573" i="2"/>
  <c r="AD3564" i="2"/>
  <c r="AD3526" i="2"/>
  <c r="AD3527" i="2" s="1"/>
  <c r="AD3530" i="2" s="1"/>
  <c r="AE3531" i="2" s="1"/>
  <c r="AD3552" i="2"/>
  <c r="AD3551" i="2"/>
  <c r="AD3556" i="2" s="1"/>
  <c r="AD3553" i="2" l="1"/>
  <c r="AD3540" i="2"/>
  <c r="AD3541" i="2" s="1"/>
  <c r="AD3544" i="2" s="1"/>
  <c r="AE3545" i="2" s="1"/>
  <c r="AD3565" i="2"/>
  <c r="AD3570" i="2" s="1"/>
  <c r="AD3566" i="2"/>
  <c r="AD3577" i="2"/>
  <c r="AF3587" i="2"/>
  <c r="AD3589" i="2"/>
  <c r="AD3578" i="2"/>
  <c r="AD3603" i="2" l="1"/>
  <c r="AF3601" i="2"/>
  <c r="AD3592" i="2"/>
  <c r="AD3591" i="2"/>
  <c r="AD3567" i="2"/>
  <c r="AD3554" i="2"/>
  <c r="AD3555" i="2" s="1"/>
  <c r="AD3558" i="2" s="1"/>
  <c r="AE3559" i="2" s="1"/>
  <c r="AD3580" i="2"/>
  <c r="AD3579" i="2"/>
  <c r="AD3584" i="2" s="1"/>
  <c r="AD3581" i="2" l="1"/>
  <c r="AD3568" i="2"/>
  <c r="AD3569" i="2" s="1"/>
  <c r="AD3572" i="2" s="1"/>
  <c r="AE3573" i="2" s="1"/>
  <c r="AF3615" i="2"/>
  <c r="AD3606" i="2"/>
  <c r="AD3605" i="2"/>
  <c r="AD3617" i="2"/>
  <c r="AD3594" i="2"/>
  <c r="AD3593" i="2"/>
  <c r="AD3598" i="2" s="1"/>
  <c r="AD3582" i="2" l="1"/>
  <c r="AD3583" i="2" s="1"/>
  <c r="AD3586" i="2" s="1"/>
  <c r="AE3587" i="2" s="1"/>
  <c r="AD3608" i="2"/>
  <c r="AD3607" i="2"/>
  <c r="AD3612" i="2" s="1"/>
  <c r="AD3595" i="2"/>
  <c r="AF3629" i="2"/>
  <c r="AD3620" i="2"/>
  <c r="AD3619" i="2"/>
  <c r="AD3631" i="2"/>
  <c r="AF3643" i="2" l="1"/>
  <c r="AD3645" i="2"/>
  <c r="AD3634" i="2"/>
  <c r="AD3633" i="2"/>
  <c r="AD3621" i="2"/>
  <c r="AD3626" i="2" s="1"/>
  <c r="AD3622" i="2"/>
  <c r="AD3596" i="2"/>
  <c r="AD3597" i="2" s="1"/>
  <c r="AD3600" i="2" s="1"/>
  <c r="AE3601" i="2" s="1"/>
  <c r="AD3609" i="2"/>
  <c r="AD3610" i="2" l="1"/>
  <c r="AD3611" i="2" s="1"/>
  <c r="AD3614" i="2" s="1"/>
  <c r="AE3615" i="2" s="1"/>
  <c r="AD3623" i="2"/>
  <c r="AD3648" i="2"/>
  <c r="AD3647" i="2"/>
  <c r="AD3659" i="2"/>
  <c r="AF3657" i="2"/>
  <c r="AD3636" i="2"/>
  <c r="AD3635" i="2"/>
  <c r="AD3640" i="2" s="1"/>
  <c r="AD3637" i="2" l="1"/>
  <c r="AD3650" i="2"/>
  <c r="AD3649" i="2"/>
  <c r="AD3654" i="2" s="1"/>
  <c r="AD3673" i="2"/>
  <c r="AF3671" i="2"/>
  <c r="AD3662" i="2"/>
  <c r="AD3661" i="2"/>
  <c r="AD3624" i="2"/>
  <c r="AD3625" i="2" s="1"/>
  <c r="AD3628" i="2" s="1"/>
  <c r="AE3629" i="2" s="1"/>
  <c r="AF3685" i="2" l="1"/>
  <c r="AD3676" i="2"/>
  <c r="AD3675" i="2"/>
  <c r="AD3687" i="2"/>
  <c r="AD3638" i="2"/>
  <c r="AD3639" i="2" s="1"/>
  <c r="AD3642" i="2" s="1"/>
  <c r="AE3643" i="2" s="1"/>
  <c r="AD3651" i="2"/>
  <c r="AD3664" i="2"/>
  <c r="AD3663" i="2"/>
  <c r="AD3668" i="2" s="1"/>
  <c r="AD3665" i="2" l="1"/>
  <c r="AD3652" i="2"/>
  <c r="AD3653" i="2" s="1"/>
  <c r="AD3656" i="2" s="1"/>
  <c r="AE3657" i="2" s="1"/>
  <c r="AD3677" i="2"/>
  <c r="AD3682" i="2" s="1"/>
  <c r="AD3678" i="2"/>
  <c r="AD3701" i="2"/>
  <c r="AF3699" i="2"/>
  <c r="AD3690" i="2"/>
  <c r="AD3689" i="2"/>
  <c r="AD3679" i="2" l="1"/>
  <c r="AD3691" i="2"/>
  <c r="AD3696" i="2" s="1"/>
  <c r="AD3692" i="2"/>
  <c r="AD3666" i="2"/>
  <c r="AD3667" i="2" s="1"/>
  <c r="AD3670" i="2" s="1"/>
  <c r="AE3671" i="2" s="1"/>
  <c r="AF3713" i="2"/>
  <c r="AD3715" i="2"/>
  <c r="AD3704" i="2"/>
  <c r="AD3703" i="2"/>
  <c r="AD3680" i="2" l="1"/>
  <c r="AD3681" i="2" s="1"/>
  <c r="AD3684" i="2" s="1"/>
  <c r="AE3685" i="2" s="1"/>
  <c r="AD3729" i="2"/>
  <c r="AF3727" i="2"/>
  <c r="AD3718" i="2"/>
  <c r="AD3717" i="2"/>
  <c r="AD3693" i="2"/>
  <c r="AD3705" i="2"/>
  <c r="AD3710" i="2" s="1"/>
  <c r="AD3706" i="2"/>
  <c r="AF3741" i="2" l="1"/>
  <c r="AD3732" i="2"/>
  <c r="AD3743" i="2"/>
  <c r="AD3731" i="2"/>
  <c r="AD3707" i="2"/>
  <c r="AD3720" i="2"/>
  <c r="AD3719" i="2"/>
  <c r="AD3724" i="2" s="1"/>
  <c r="AD3694" i="2"/>
  <c r="AD3695" i="2" s="1"/>
  <c r="AD3698" i="2" s="1"/>
  <c r="AE3699" i="2" s="1"/>
  <c r="AD3708" i="2" l="1"/>
  <c r="AD3709" i="2" s="1"/>
  <c r="AD3712" i="2" s="1"/>
  <c r="AE3713" i="2" s="1"/>
  <c r="AD3721" i="2"/>
  <c r="AD3757" i="2"/>
  <c r="AD3745" i="2"/>
  <c r="AF3755" i="2"/>
  <c r="AD3746" i="2"/>
  <c r="AD3733" i="2"/>
  <c r="AD3738" i="2" s="1"/>
  <c r="AD3734" i="2"/>
  <c r="AF3769" i="2" l="1"/>
  <c r="AD3759" i="2"/>
  <c r="AD3760" i="2"/>
  <c r="AD3771" i="2"/>
  <c r="AD3735" i="2"/>
  <c r="AD3747" i="2"/>
  <c r="AD3752" i="2" s="1"/>
  <c r="AD3748" i="2"/>
  <c r="AD3722" i="2"/>
  <c r="AD3723" i="2" s="1"/>
  <c r="AD3726" i="2" s="1"/>
  <c r="AE3727" i="2" s="1"/>
  <c r="AD3761" i="2" l="1"/>
  <c r="AD3766" i="2" s="1"/>
  <c r="AD3762" i="2"/>
  <c r="AD3736" i="2"/>
  <c r="AD3737" i="2" s="1"/>
  <c r="AD3740" i="2" s="1"/>
  <c r="AE3741" i="2" s="1"/>
  <c r="AD3749" i="2"/>
  <c r="AD3773" i="2"/>
  <c r="AD3785" i="2"/>
  <c r="AF3783" i="2"/>
  <c r="AD3774" i="2"/>
  <c r="AD3750" i="2" l="1"/>
  <c r="AD3751" i="2" s="1"/>
  <c r="AD3754" i="2" s="1"/>
  <c r="AE3755" i="2" s="1"/>
  <c r="AD3763" i="2"/>
  <c r="AD3776" i="2"/>
  <c r="AD3775" i="2"/>
  <c r="AD3780" i="2" s="1"/>
  <c r="AD3799" i="2"/>
  <c r="AD3788" i="2"/>
  <c r="AF3797" i="2"/>
  <c r="AD3787" i="2"/>
  <c r="AD3789" i="2" l="1"/>
  <c r="AD3794" i="2" s="1"/>
  <c r="AD3790" i="2"/>
  <c r="AD3777" i="2"/>
  <c r="AD3802" i="2"/>
  <c r="AD3813" i="2"/>
  <c r="AD3801" i="2"/>
  <c r="AF3811" i="2"/>
  <c r="AD3764" i="2"/>
  <c r="AD3765" i="2" s="1"/>
  <c r="AD3768" i="2" s="1"/>
  <c r="AE3769" i="2" s="1"/>
  <c r="AD3816" i="2" l="1"/>
  <c r="AD3815" i="2"/>
  <c r="AF3825" i="2"/>
  <c r="AD3827" i="2"/>
  <c r="AD3791" i="2"/>
  <c r="AD3804" i="2"/>
  <c r="AD3803" i="2"/>
  <c r="AD3808" i="2" s="1"/>
  <c r="AD3778" i="2"/>
  <c r="AD3779" i="2" s="1"/>
  <c r="AD3782" i="2" s="1"/>
  <c r="AE3783" i="2" s="1"/>
  <c r="AD3792" i="2" l="1"/>
  <c r="AD3793" i="2" s="1"/>
  <c r="AD3796" i="2" s="1"/>
  <c r="AE3797" i="2" s="1"/>
  <c r="AD3817" i="2"/>
  <c r="AD3822" i="2" s="1"/>
  <c r="AD3818" i="2"/>
  <c r="AD3805" i="2"/>
  <c r="AF3839" i="2"/>
  <c r="AD3830" i="2"/>
  <c r="AD3829" i="2"/>
  <c r="AD3841" i="2"/>
  <c r="AD3831" i="2" l="1"/>
  <c r="AD3836" i="2" s="1"/>
  <c r="AD3832" i="2"/>
  <c r="AD3806" i="2"/>
  <c r="AD3807" i="2" s="1"/>
  <c r="AD3810" i="2" s="1"/>
  <c r="AE3811" i="2" s="1"/>
  <c r="AF3853" i="2"/>
  <c r="AD3844" i="2"/>
  <c r="AD3843" i="2"/>
  <c r="AD3855" i="2"/>
  <c r="AD3819" i="2"/>
  <c r="AD3820" i="2" l="1"/>
  <c r="AD3821" i="2" s="1"/>
  <c r="AD3824" i="2" s="1"/>
  <c r="AE3825" i="2" s="1"/>
  <c r="AD3833" i="2"/>
  <c r="AD3845" i="2"/>
  <c r="AD3850" i="2" s="1"/>
  <c r="AD3846" i="2"/>
  <c r="AF3867" i="2"/>
  <c r="AD3857" i="2"/>
  <c r="AD3858" i="2"/>
  <c r="AD3869" i="2"/>
  <c r="AD3872" i="2" l="1"/>
  <c r="AD3871" i="2"/>
  <c r="AD3883" i="2"/>
  <c r="AF3881" i="2"/>
  <c r="AD3847" i="2"/>
  <c r="AD3859" i="2"/>
  <c r="AD3864" i="2" s="1"/>
  <c r="AD3860" i="2"/>
  <c r="AD3834" i="2"/>
  <c r="AD3835" i="2" s="1"/>
  <c r="AD3838" i="2" s="1"/>
  <c r="AE3839" i="2" s="1"/>
  <c r="AD3861" i="2" l="1"/>
  <c r="AD3848" i="2"/>
  <c r="AD3849" i="2" s="1"/>
  <c r="AD3852" i="2" s="1"/>
  <c r="AE3853" i="2" s="1"/>
  <c r="AD3874" i="2"/>
  <c r="AD3873" i="2"/>
  <c r="AD3878" i="2" s="1"/>
  <c r="AD3886" i="2"/>
  <c r="AD3885" i="2"/>
  <c r="AD3897" i="2"/>
  <c r="AF3895" i="2"/>
  <c r="AD3888" i="2" l="1"/>
  <c r="AD3887" i="2"/>
  <c r="AD3892" i="2" s="1"/>
  <c r="AF3909" i="2"/>
  <c r="AD3900" i="2"/>
  <c r="AD3899" i="2"/>
  <c r="AD3911" i="2"/>
  <c r="AD3875" i="2"/>
  <c r="AD3862" i="2"/>
  <c r="AD3863" i="2" s="1"/>
  <c r="AD3866" i="2" s="1"/>
  <c r="AE3867" i="2" s="1"/>
  <c r="AD3889" i="2" l="1"/>
  <c r="AD3902" i="2"/>
  <c r="AD3901" i="2"/>
  <c r="AD3906" i="2" s="1"/>
  <c r="AD3913" i="2"/>
  <c r="AD3914" i="2"/>
  <c r="AD3925" i="2"/>
  <c r="AF3923" i="2"/>
  <c r="AD3876" i="2"/>
  <c r="AD3877" i="2" s="1"/>
  <c r="AD3880" i="2" s="1"/>
  <c r="AE3881" i="2" s="1"/>
  <c r="AD3916" i="2" l="1"/>
  <c r="AD3915" i="2"/>
  <c r="AD3920" i="2" s="1"/>
  <c r="AD3890" i="2"/>
  <c r="AD3891" i="2" s="1"/>
  <c r="AD3894" i="2" s="1"/>
  <c r="AE3895" i="2" s="1"/>
  <c r="AD3927" i="2"/>
  <c r="AD3939" i="2"/>
  <c r="AF3937" i="2"/>
  <c r="AD3928" i="2"/>
  <c r="AD3903" i="2"/>
  <c r="AD3930" i="2" l="1"/>
  <c r="AD3929" i="2"/>
  <c r="AD3934" i="2" s="1"/>
  <c r="AD3904" i="2"/>
  <c r="AD3905" i="2" s="1"/>
  <c r="AD3908" i="2" s="1"/>
  <c r="AE3909" i="2" s="1"/>
  <c r="AD3917" i="2"/>
  <c r="AD3941" i="2"/>
  <c r="AD3953" i="2"/>
  <c r="AF3951" i="2"/>
  <c r="AD3942" i="2"/>
  <c r="AD3931" i="2" l="1"/>
  <c r="AD3918" i="2"/>
  <c r="AD3919" i="2" s="1"/>
  <c r="AD3922" i="2" s="1"/>
  <c r="AE3923" i="2" s="1"/>
  <c r="AD3943" i="2"/>
  <c r="AD3948" i="2" s="1"/>
  <c r="AD3944" i="2"/>
  <c r="AD3967" i="2"/>
  <c r="AF3965" i="2"/>
  <c r="AD3956" i="2"/>
  <c r="AD3955" i="2"/>
  <c r="AD3957" i="2" l="1"/>
  <c r="AD3962" i="2" s="1"/>
  <c r="AD3958" i="2"/>
  <c r="AD3945" i="2"/>
  <c r="AD3932" i="2"/>
  <c r="AD3933" i="2" s="1"/>
  <c r="AD3936" i="2" s="1"/>
  <c r="AE3937" i="2" s="1"/>
  <c r="AF3979" i="2"/>
  <c r="AD3969" i="2"/>
  <c r="AD3970" i="2"/>
  <c r="AD3981" i="2"/>
  <c r="AD3984" i="2" l="1"/>
  <c r="AD3983" i="2"/>
  <c r="AD3995" i="2"/>
  <c r="AF3993" i="2"/>
  <c r="AD3959" i="2"/>
  <c r="AD3972" i="2"/>
  <c r="AD3971" i="2"/>
  <c r="AD3976" i="2" s="1"/>
  <c r="AD3946" i="2"/>
  <c r="AD3947" i="2" s="1"/>
  <c r="AD3950" i="2" s="1"/>
  <c r="AE3951" i="2" s="1"/>
  <c r="AD3960" i="2" l="1"/>
  <c r="AD3961" i="2" s="1"/>
  <c r="AD3964" i="2" s="1"/>
  <c r="AE3965" i="2" s="1"/>
  <c r="AD3986" i="2"/>
  <c r="AD3985" i="2"/>
  <c r="AD3990" i="2" s="1"/>
  <c r="AD3973" i="2"/>
  <c r="AD4009" i="2"/>
  <c r="AF4007" i="2"/>
  <c r="AD3998" i="2"/>
  <c r="AD3997" i="2"/>
  <c r="AD4000" i="2" l="1"/>
  <c r="AD3999" i="2"/>
  <c r="AD4004" i="2" s="1"/>
  <c r="AD3974" i="2"/>
  <c r="AD3975" i="2" s="1"/>
  <c r="AD3978" i="2" s="1"/>
  <c r="AE3979" i="2" s="1"/>
  <c r="AD4011" i="2"/>
  <c r="AD4023" i="2"/>
  <c r="AF4021" i="2"/>
  <c r="AD4012" i="2"/>
  <c r="AD3987" i="2"/>
  <c r="AD4014" i="2" l="1"/>
  <c r="AD4013" i="2"/>
  <c r="AD4018" i="2" s="1"/>
  <c r="AD4001" i="2"/>
  <c r="AD4025" i="2"/>
  <c r="AD4026" i="2"/>
  <c r="AD4037" i="2"/>
  <c r="AF4035" i="2"/>
  <c r="AD3988" i="2"/>
  <c r="AD3989" i="2" s="1"/>
  <c r="AD3992" i="2" s="1"/>
  <c r="AE3993" i="2" s="1"/>
  <c r="AD4028" i="2" l="1"/>
  <c r="AD4027" i="2"/>
  <c r="AD4032" i="2" s="1"/>
  <c r="AD4015" i="2"/>
  <c r="AD4040" i="2"/>
  <c r="AD4039" i="2"/>
  <c r="AD4051" i="2"/>
  <c r="AF4049" i="2"/>
  <c r="AD4002" i="2"/>
  <c r="AD4003" i="2" s="1"/>
  <c r="AD4006" i="2" s="1"/>
  <c r="AE4007" i="2" s="1"/>
  <c r="AD4029" i="2" l="1"/>
  <c r="AD4042" i="2"/>
  <c r="AD4041" i="2"/>
  <c r="AD4046" i="2" s="1"/>
  <c r="AD4054" i="2"/>
  <c r="AD4053" i="2"/>
  <c r="AD4065" i="2"/>
  <c r="AF4063" i="2"/>
  <c r="AD4016" i="2"/>
  <c r="AD4017" i="2" s="1"/>
  <c r="AD4020" i="2" s="1"/>
  <c r="AE4021" i="2" s="1"/>
  <c r="AD4030" i="2" l="1"/>
  <c r="AD4031" i="2" s="1"/>
  <c r="AD4034" i="2" s="1"/>
  <c r="AE4035" i="2" s="1"/>
  <c r="AD4055" i="2"/>
  <c r="AD4060" i="2" s="1"/>
  <c r="AD4056" i="2"/>
  <c r="AD4079" i="2"/>
  <c r="AF4077" i="2"/>
  <c r="AD4068" i="2"/>
  <c r="AD4067" i="2"/>
  <c r="AD4043" i="2"/>
  <c r="AD4044" i="2" l="1"/>
  <c r="AD4045" i="2" s="1"/>
  <c r="AD4048" i="2" s="1"/>
  <c r="AE4049" i="2" s="1"/>
  <c r="AD4082" i="2"/>
  <c r="AD4093" i="2"/>
  <c r="AF4091" i="2"/>
  <c r="AD4081" i="2"/>
  <c r="AD4070" i="2"/>
  <c r="AD4069" i="2"/>
  <c r="AD4074" i="2" s="1"/>
  <c r="AD4057" i="2"/>
  <c r="AD4084" i="2" l="1"/>
  <c r="AD4083" i="2"/>
  <c r="AD4088" i="2" s="1"/>
  <c r="AD4058" i="2"/>
  <c r="AD4059" i="2" s="1"/>
  <c r="AD4062" i="2" s="1"/>
  <c r="AE4063" i="2" s="1"/>
  <c r="AD4071" i="2"/>
  <c r="AD4096" i="2"/>
  <c r="AD4095" i="2"/>
  <c r="AD4107" i="2"/>
  <c r="AF4105" i="2"/>
  <c r="AD4109" i="2" l="1"/>
  <c r="AD4121" i="2"/>
  <c r="AF4119" i="2"/>
  <c r="AD4110" i="2"/>
  <c r="AD4085" i="2"/>
  <c r="AD4097" i="2"/>
  <c r="AD4102" i="2" s="1"/>
  <c r="AD4098" i="2"/>
  <c r="AD4072" i="2"/>
  <c r="AD4073" i="2" s="1"/>
  <c r="AD4076" i="2" s="1"/>
  <c r="AE4077" i="2" s="1"/>
  <c r="AD4086" i="2" l="1"/>
  <c r="AD4087" i="2" s="1"/>
  <c r="AD4090" i="2" s="1"/>
  <c r="AE4091" i="2" s="1"/>
  <c r="AD4111" i="2"/>
  <c r="AD4116" i="2" s="1"/>
  <c r="AD4112" i="2"/>
  <c r="AF4133" i="2"/>
  <c r="AD4124" i="2"/>
  <c r="AD4123" i="2"/>
  <c r="AD4135" i="2"/>
  <c r="AD4099" i="2"/>
  <c r="AD4100" i="2" l="1"/>
  <c r="AD4101" i="2" s="1"/>
  <c r="AD4104" i="2" s="1"/>
  <c r="AE4105" i="2" s="1"/>
  <c r="AD4125" i="2"/>
  <c r="AD4130" i="2" s="1"/>
  <c r="AD4126" i="2"/>
  <c r="AF4147" i="2"/>
  <c r="AD4137" i="2"/>
  <c r="AD4138" i="2"/>
  <c r="AD4149" i="2"/>
  <c r="AD4113" i="2"/>
  <c r="AD4140" i="2" l="1"/>
  <c r="AD4139" i="2"/>
  <c r="AD4144" i="2" s="1"/>
  <c r="AD4114" i="2"/>
  <c r="AD4115" i="2" s="1"/>
  <c r="AD4118" i="2" s="1"/>
  <c r="AE4119" i="2" s="1"/>
  <c r="AD4151" i="2"/>
  <c r="AF4161" i="2"/>
  <c r="AD4152" i="2"/>
  <c r="AD4163" i="2"/>
  <c r="AD4127" i="2"/>
  <c r="AD4128" i="2" l="1"/>
  <c r="AD4129" i="2" s="1"/>
  <c r="AD4132" i="2" s="1"/>
  <c r="AE4133" i="2" s="1"/>
  <c r="AD4141" i="2"/>
  <c r="AD4154" i="2"/>
  <c r="AD4153" i="2"/>
  <c r="AD4158" i="2" s="1"/>
  <c r="AD4177" i="2"/>
  <c r="AF4175" i="2"/>
  <c r="AD4166" i="2"/>
  <c r="AD4165" i="2"/>
  <c r="AD4155" i="2" l="1"/>
  <c r="AD4167" i="2"/>
  <c r="AD4172" i="2" s="1"/>
  <c r="AD4168" i="2"/>
  <c r="AD4142" i="2"/>
  <c r="AD4143" i="2" s="1"/>
  <c r="AD4146" i="2" s="1"/>
  <c r="AE4147" i="2" s="1"/>
  <c r="AF4189" i="2"/>
  <c r="AD4180" i="2"/>
  <c r="AD4179" i="2"/>
  <c r="AD4191" i="2"/>
  <c r="AD4156" i="2" l="1"/>
  <c r="AD4157" i="2" s="1"/>
  <c r="AD4160" i="2" s="1"/>
  <c r="AE4161" i="2" s="1"/>
  <c r="AD4182" i="2"/>
  <c r="AD4181" i="2"/>
  <c r="AD4186" i="2" s="1"/>
  <c r="AD4193" i="2"/>
  <c r="AD4194" i="2"/>
  <c r="AD4205" i="2"/>
  <c r="AF4203" i="2"/>
  <c r="AD4169" i="2"/>
  <c r="AD4207" i="2" l="1"/>
  <c r="AD4219" i="2"/>
  <c r="AF4217" i="2"/>
  <c r="AD4208" i="2"/>
  <c r="AD4183" i="2"/>
  <c r="AD4196" i="2"/>
  <c r="AD4195" i="2"/>
  <c r="AD4200" i="2" s="1"/>
  <c r="AD4170" i="2"/>
  <c r="AD4171" i="2" s="1"/>
  <c r="AD4174" i="2" s="1"/>
  <c r="AE4175" i="2" s="1"/>
  <c r="AD4184" i="2" l="1"/>
  <c r="AD4185" i="2" s="1"/>
  <c r="AD4188" i="2" s="1"/>
  <c r="AE4189" i="2" s="1"/>
  <c r="AD4210" i="2"/>
  <c r="AD4209" i="2"/>
  <c r="AD4214" i="2" s="1"/>
  <c r="AD4233" i="2"/>
  <c r="AF4231" i="2"/>
  <c r="AD4222" i="2"/>
  <c r="AD4221" i="2"/>
  <c r="AD4197" i="2"/>
  <c r="AD4198" i="2" l="1"/>
  <c r="AD4199" i="2" s="1"/>
  <c r="AD4202" i="2" s="1"/>
  <c r="AE4203" i="2" s="1"/>
  <c r="AF4245" i="2"/>
  <c r="AD4236" i="2"/>
  <c r="AD4235" i="2"/>
  <c r="AD4247" i="2"/>
  <c r="AD4211" i="2"/>
  <c r="AD4223" i="2"/>
  <c r="AD4228" i="2" s="1"/>
  <c r="AD4224" i="2"/>
  <c r="AD4238" i="2" l="1"/>
  <c r="AD4237" i="2"/>
  <c r="AD4242" i="2" s="1"/>
  <c r="AD4225" i="2"/>
  <c r="AD4249" i="2"/>
  <c r="AD4250" i="2"/>
  <c r="AD4261" i="2"/>
  <c r="AF4259" i="2"/>
  <c r="AD4212" i="2"/>
  <c r="AD4213" i="2" s="1"/>
  <c r="AD4216" i="2" s="1"/>
  <c r="AE4217" i="2" s="1"/>
  <c r="AD4263" i="2" l="1"/>
  <c r="AF4273" i="2"/>
  <c r="AD4264" i="2"/>
  <c r="AD4275" i="2"/>
  <c r="AD4252" i="2"/>
  <c r="AD4251" i="2"/>
  <c r="AD4256" i="2" s="1"/>
  <c r="AD4239" i="2"/>
  <c r="AD4226" i="2"/>
  <c r="AD4227" i="2" s="1"/>
  <c r="AD4230" i="2" s="1"/>
  <c r="AE4231" i="2" s="1"/>
  <c r="AD4265" i="2" l="1"/>
  <c r="AD4270" i="2" s="1"/>
  <c r="AD4266" i="2"/>
  <c r="AD4240" i="2"/>
  <c r="AD4241" i="2" s="1"/>
  <c r="AD4244" i="2" s="1"/>
  <c r="AE4245" i="2" s="1"/>
  <c r="AD4253" i="2"/>
  <c r="AD4277" i="2"/>
  <c r="AD4289" i="2"/>
  <c r="AF4287" i="2"/>
  <c r="AD4278" i="2"/>
  <c r="AD4254" i="2" l="1"/>
  <c r="AD4255" i="2" s="1"/>
  <c r="AD4258" i="2" s="1"/>
  <c r="AE4259" i="2" s="1"/>
  <c r="AD4267" i="2"/>
  <c r="AD4280" i="2"/>
  <c r="AD4279" i="2"/>
  <c r="AD4284" i="2" s="1"/>
  <c r="AD4291" i="2"/>
  <c r="AD4303" i="2"/>
  <c r="AF4301" i="2"/>
  <c r="AD4292" i="2"/>
  <c r="AD4281" i="2" l="1"/>
  <c r="AD4293" i="2"/>
  <c r="AD4298" i="2" s="1"/>
  <c r="AD4294" i="2"/>
  <c r="AD4268" i="2"/>
  <c r="AD4269" i="2" s="1"/>
  <c r="AD4272" i="2" s="1"/>
  <c r="AE4273" i="2" s="1"/>
  <c r="AF4315" i="2"/>
  <c r="AD4305" i="2"/>
  <c r="AD4306" i="2"/>
  <c r="AD4317" i="2"/>
  <c r="AF4329" i="2" l="1"/>
  <c r="AD4320" i="2"/>
  <c r="AD4319" i="2"/>
  <c r="AD4331" i="2"/>
  <c r="AD4282" i="2"/>
  <c r="AD4283" i="2" s="1"/>
  <c r="AD4286" i="2" s="1"/>
  <c r="AE4287" i="2" s="1"/>
  <c r="AD4308" i="2"/>
  <c r="AD4307" i="2"/>
  <c r="AD4312" i="2" s="1"/>
  <c r="AD4295" i="2"/>
  <c r="AD4296" i="2" l="1"/>
  <c r="AD4297" i="2" s="1"/>
  <c r="AD4300" i="2" s="1"/>
  <c r="AE4301" i="2" s="1"/>
  <c r="AD4309" i="2"/>
  <c r="AD4321" i="2"/>
  <c r="AD4326" i="2" s="1"/>
  <c r="AD4322" i="2"/>
  <c r="AF4343" i="2"/>
  <c r="AD4334" i="2"/>
  <c r="AD4333" i="2"/>
  <c r="AD4345" i="2"/>
  <c r="AD4335" i="2" l="1"/>
  <c r="AD4340" i="2" s="1"/>
  <c r="AD4336" i="2"/>
  <c r="AD4347" i="2"/>
  <c r="AD4359" i="2"/>
  <c r="AF4357" i="2"/>
  <c r="AD4348" i="2"/>
  <c r="AD4323" i="2"/>
  <c r="AD4310" i="2"/>
  <c r="AD4311" i="2" s="1"/>
  <c r="AD4314" i="2" s="1"/>
  <c r="AE4315" i="2" s="1"/>
  <c r="AD4337" i="2" l="1"/>
  <c r="AD4350" i="2"/>
  <c r="AD4349" i="2"/>
  <c r="AD4354" i="2" s="1"/>
  <c r="AD4324" i="2"/>
  <c r="AD4325" i="2" s="1"/>
  <c r="AD4328" i="2" s="1"/>
  <c r="AE4329" i="2" s="1"/>
  <c r="AD4362" i="2"/>
  <c r="AD4373" i="2"/>
  <c r="AF4371" i="2"/>
  <c r="AD4361" i="2"/>
  <c r="AD4338" i="2" l="1"/>
  <c r="AD4339" i="2" s="1"/>
  <c r="AD4342" i="2" s="1"/>
  <c r="AE4343" i="2" s="1"/>
  <c r="AD4351" i="2"/>
  <c r="AD4364" i="2"/>
  <c r="AD4363" i="2"/>
  <c r="AD4368" i="2" s="1"/>
  <c r="AD4376" i="2"/>
  <c r="AD4375" i="2"/>
  <c r="AD4387" i="2"/>
  <c r="AF4385" i="2"/>
  <c r="AF4399" i="2" l="1"/>
  <c r="AD4390" i="2"/>
  <c r="AD4389" i="2"/>
  <c r="AD4401" i="2"/>
  <c r="AD4378" i="2"/>
  <c r="AD4377" i="2"/>
  <c r="AD4382" i="2" s="1"/>
  <c r="AD4352" i="2"/>
  <c r="AD4353" i="2" s="1"/>
  <c r="AD4356" i="2" s="1"/>
  <c r="AE4357" i="2" s="1"/>
  <c r="AD4365" i="2"/>
  <c r="AD4379" i="2" l="1"/>
  <c r="AD4366" i="2"/>
  <c r="AD4367" i="2" s="1"/>
  <c r="AD4370" i="2" s="1"/>
  <c r="AE4371" i="2" s="1"/>
  <c r="AD4391" i="2"/>
  <c r="AD4396" i="2" s="1"/>
  <c r="AD4392" i="2"/>
  <c r="AD4404" i="2"/>
  <c r="AD4403" i="2"/>
  <c r="AD4415" i="2"/>
  <c r="AF4413" i="2"/>
  <c r="AD4418" i="2" l="1"/>
  <c r="AD4429" i="2"/>
  <c r="AF4427" i="2"/>
  <c r="AD4417" i="2"/>
  <c r="AD4393" i="2"/>
  <c r="AD4380" i="2"/>
  <c r="AD4381" i="2" s="1"/>
  <c r="AD4384" i="2" s="1"/>
  <c r="AE4385" i="2" s="1"/>
  <c r="AD4406" i="2"/>
  <c r="AD4405" i="2"/>
  <c r="AD4410" i="2" s="1"/>
  <c r="AD4394" i="2" l="1"/>
  <c r="AD4395" i="2" s="1"/>
  <c r="AD4398" i="2" s="1"/>
  <c r="AE4399" i="2" s="1"/>
  <c r="AF4441" i="2"/>
  <c r="AD4432" i="2"/>
  <c r="AD4431" i="2"/>
  <c r="AD4443" i="2"/>
  <c r="AD4407" i="2"/>
  <c r="AD4420" i="2"/>
  <c r="AD4419" i="2"/>
  <c r="AD4424" i="2" s="1"/>
  <c r="AD4434" i="2" l="1"/>
  <c r="AD4433" i="2"/>
  <c r="AD4438" i="2" s="1"/>
  <c r="AD4421" i="2"/>
  <c r="AD4446" i="2"/>
  <c r="AF4455" i="2"/>
  <c r="AD4445" i="2"/>
  <c r="AD4457" i="2"/>
  <c r="AD4408" i="2"/>
  <c r="AD4409" i="2" s="1"/>
  <c r="AD4412" i="2" s="1"/>
  <c r="AE4413" i="2" s="1"/>
  <c r="AD4435" i="2" l="1"/>
  <c r="AD4448" i="2"/>
  <c r="AD4447" i="2"/>
  <c r="AD4452" i="2" s="1"/>
  <c r="AD4422" i="2"/>
  <c r="AD4423" i="2" s="1"/>
  <c r="AD4426" i="2" s="1"/>
  <c r="AE4427" i="2" s="1"/>
  <c r="AD4471" i="2"/>
  <c r="AF4469" i="2"/>
  <c r="AD4460" i="2"/>
  <c r="AD4459" i="2"/>
  <c r="AD4436" i="2" l="1"/>
  <c r="AD4437" i="2" s="1"/>
  <c r="AD4440" i="2" s="1"/>
  <c r="AE4441" i="2" s="1"/>
  <c r="AD4473" i="2"/>
  <c r="AD4474" i="2"/>
  <c r="AF4483" i="2"/>
  <c r="AD4485" i="2"/>
  <c r="AD4449" i="2"/>
  <c r="AD4461" i="2"/>
  <c r="AD4466" i="2" s="1"/>
  <c r="AD4462" i="2"/>
  <c r="AD4463" i="2" l="1"/>
  <c r="AD4499" i="2"/>
  <c r="AD4488" i="2"/>
  <c r="AF4497" i="2"/>
  <c r="AD4487" i="2"/>
  <c r="AD4450" i="2"/>
  <c r="AD4451" i="2" s="1"/>
  <c r="AD4454" i="2" s="1"/>
  <c r="AE4455" i="2" s="1"/>
  <c r="AD4476" i="2"/>
  <c r="AD4475" i="2"/>
  <c r="AD4480" i="2" s="1"/>
  <c r="AD4477" i="2" l="1"/>
  <c r="AD4490" i="2"/>
  <c r="AD4489" i="2"/>
  <c r="AD4494" i="2" s="1"/>
  <c r="AD4464" i="2"/>
  <c r="AD4465" i="2" s="1"/>
  <c r="AD4468" i="2" s="1"/>
  <c r="AE4469" i="2" s="1"/>
  <c r="AD4502" i="2"/>
  <c r="AD4501" i="2"/>
  <c r="AD4513" i="2"/>
  <c r="AF4511" i="2"/>
  <c r="AD4515" i="2" l="1"/>
  <c r="AD4527" i="2"/>
  <c r="AF4525" i="2"/>
  <c r="AD4516" i="2"/>
  <c r="AD4478" i="2"/>
  <c r="AD4479" i="2" s="1"/>
  <c r="AD4482" i="2" s="1"/>
  <c r="AE4483" i="2" s="1"/>
  <c r="AD4491" i="2"/>
  <c r="AD4504" i="2"/>
  <c r="AD4503" i="2"/>
  <c r="AD4508" i="2" s="1"/>
  <c r="AD4505" i="2" l="1"/>
  <c r="AD4517" i="2"/>
  <c r="AD4522" i="2" s="1"/>
  <c r="AD4518" i="2"/>
  <c r="AD4492" i="2"/>
  <c r="AD4493" i="2" s="1"/>
  <c r="AD4496" i="2" s="1"/>
  <c r="AE4497" i="2" s="1"/>
  <c r="AD4541" i="2"/>
  <c r="AD4530" i="2"/>
  <c r="AF4539" i="2"/>
  <c r="AD4529" i="2"/>
  <c r="AD4532" i="2" l="1"/>
  <c r="AD4531" i="2"/>
  <c r="AD4536" i="2" s="1"/>
  <c r="AD4506" i="2"/>
  <c r="AD4507" i="2" s="1"/>
  <c r="AD4510" i="2" s="1"/>
  <c r="AE4511" i="2" s="1"/>
  <c r="AD4555" i="2"/>
  <c r="AD4543" i="2"/>
  <c r="AF4553" i="2"/>
  <c r="AD4544" i="2"/>
  <c r="AD4519" i="2"/>
  <c r="AD4569" i="2" l="1"/>
  <c r="AF4567" i="2"/>
  <c r="AD4558" i="2"/>
  <c r="AD4557" i="2"/>
  <c r="AD4533" i="2"/>
  <c r="AD4546" i="2"/>
  <c r="AD4545" i="2"/>
  <c r="AD4550" i="2" s="1"/>
  <c r="AD4520" i="2"/>
  <c r="AD4521" i="2" s="1"/>
  <c r="AD4524" i="2" s="1"/>
  <c r="AE4525" i="2" s="1"/>
  <c r="AD4559" i="2" l="1"/>
  <c r="AD4564" i="2" s="1"/>
  <c r="AD4560" i="2"/>
  <c r="AD4534" i="2"/>
  <c r="AD4535" i="2" s="1"/>
  <c r="AD4538" i="2" s="1"/>
  <c r="AE4539" i="2" s="1"/>
  <c r="AD4571" i="2"/>
  <c r="AD4583" i="2"/>
  <c r="AF4581" i="2"/>
  <c r="AD4572" i="2"/>
  <c r="AD4547" i="2"/>
  <c r="AD4561" i="2" l="1"/>
  <c r="AD4573" i="2"/>
  <c r="AD4578" i="2" s="1"/>
  <c r="AD4574" i="2"/>
  <c r="AD4585" i="2"/>
  <c r="AD4597" i="2"/>
  <c r="AD4586" i="2"/>
  <c r="AF4595" i="2"/>
  <c r="AD4548" i="2"/>
  <c r="AD4549" i="2" s="1"/>
  <c r="AD4552" i="2" s="1"/>
  <c r="AE4553" i="2" s="1"/>
  <c r="AD4588" i="2" l="1"/>
  <c r="AD4587" i="2"/>
  <c r="AD4592" i="2" s="1"/>
  <c r="AD4599" i="2"/>
  <c r="AD4611" i="2"/>
  <c r="AD4600" i="2"/>
  <c r="AF4609" i="2"/>
  <c r="AD4562" i="2"/>
  <c r="AD4563" i="2" s="1"/>
  <c r="AD4566" i="2" s="1"/>
  <c r="AE4567" i="2" s="1"/>
  <c r="AD4575" i="2"/>
  <c r="AD4576" i="2" l="1"/>
  <c r="AD4577" i="2" s="1"/>
  <c r="AD4580" i="2" s="1"/>
  <c r="AE4581" i="2" s="1"/>
  <c r="AD4589" i="2"/>
  <c r="AD4602" i="2"/>
  <c r="AD4601" i="2"/>
  <c r="AD4606" i="2" s="1"/>
  <c r="AD4613" i="2"/>
  <c r="AD4625" i="2"/>
  <c r="AF4623" i="2"/>
  <c r="AD4614" i="2"/>
  <c r="AD4603" i="2" l="1"/>
  <c r="AD4616" i="2"/>
  <c r="AD4615" i="2"/>
  <c r="AD4620" i="2" s="1"/>
  <c r="AD4590" i="2"/>
  <c r="AD4591" i="2" s="1"/>
  <c r="AD4594" i="2" s="1"/>
  <c r="AE4595" i="2" s="1"/>
  <c r="AD4627" i="2"/>
  <c r="AD4639" i="2"/>
  <c r="AF4637" i="2"/>
  <c r="AD4628" i="2"/>
  <c r="AD4653" i="2" l="1"/>
  <c r="AD4642" i="2"/>
  <c r="AF4651" i="2"/>
  <c r="AD4641" i="2"/>
  <c r="AD4604" i="2"/>
  <c r="AD4605" i="2" s="1"/>
  <c r="AD4608" i="2" s="1"/>
  <c r="AE4609" i="2" s="1"/>
  <c r="AD4629" i="2"/>
  <c r="AD4634" i="2" s="1"/>
  <c r="AD4630" i="2"/>
  <c r="AD4617" i="2"/>
  <c r="AD4618" i="2" l="1"/>
  <c r="AD4619" i="2" s="1"/>
  <c r="AD4622" i="2" s="1"/>
  <c r="AE4623" i="2" s="1"/>
  <c r="AF4665" i="2"/>
  <c r="AD4667" i="2"/>
  <c r="AD4656" i="2"/>
  <c r="AD4655" i="2"/>
  <c r="AD4631" i="2"/>
  <c r="AD4644" i="2"/>
  <c r="AD4643" i="2"/>
  <c r="AD4648" i="2" s="1"/>
  <c r="AD4632" i="2" l="1"/>
  <c r="AD4633" i="2" s="1"/>
  <c r="AD4636" i="2" s="1"/>
  <c r="AE4637" i="2" s="1"/>
  <c r="AD4658" i="2"/>
  <c r="AD4657" i="2"/>
  <c r="AD4662" i="2" s="1"/>
  <c r="AD4645" i="2"/>
  <c r="AD4681" i="2"/>
  <c r="AF4679" i="2"/>
  <c r="AD4670" i="2"/>
  <c r="AD4669" i="2"/>
  <c r="AD4672" i="2" l="1"/>
  <c r="AD4671" i="2"/>
  <c r="AD4676" i="2" s="1"/>
  <c r="AD4646" i="2"/>
  <c r="AD4647" i="2" s="1"/>
  <c r="AD4650" i="2" s="1"/>
  <c r="AE4651" i="2" s="1"/>
  <c r="AD4659" i="2"/>
  <c r="AD4684" i="2"/>
  <c r="AD4683" i="2"/>
  <c r="AD4695" i="2"/>
  <c r="AF4693" i="2"/>
  <c r="AD4709" i="2" l="1"/>
  <c r="AD4698" i="2"/>
  <c r="AF4707" i="2"/>
  <c r="AD4697" i="2"/>
  <c r="AD4660" i="2"/>
  <c r="AD4661" i="2" s="1"/>
  <c r="AD4664" i="2" s="1"/>
  <c r="AE4665" i="2" s="1"/>
  <c r="AD4673" i="2"/>
  <c r="AD4685" i="2"/>
  <c r="AD4690" i="2" s="1"/>
  <c r="AD4686" i="2"/>
  <c r="AF4721" i="2" l="1"/>
  <c r="AD4711" i="2"/>
  <c r="AD4723" i="2"/>
  <c r="AD4712" i="2"/>
  <c r="AD4687" i="2"/>
  <c r="AD4674" i="2"/>
  <c r="AD4675" i="2" s="1"/>
  <c r="AD4678" i="2" s="1"/>
  <c r="AE4679" i="2" s="1"/>
  <c r="AD4700" i="2"/>
  <c r="AD4699" i="2"/>
  <c r="AD4704" i="2" s="1"/>
  <c r="AD4701" i="2" l="1"/>
  <c r="AD4688" i="2"/>
  <c r="AD4689" i="2" s="1"/>
  <c r="AD4692" i="2" s="1"/>
  <c r="AE4693" i="2" s="1"/>
  <c r="AD4714" i="2"/>
  <c r="AD4713" i="2"/>
  <c r="AD4718" i="2" s="1"/>
  <c r="AF4735" i="2"/>
  <c r="AD4726" i="2"/>
  <c r="AD4725" i="2"/>
  <c r="AD4737" i="2"/>
  <c r="AD4728" i="2" l="1"/>
  <c r="AD4727" i="2"/>
  <c r="AD4732" i="2" s="1"/>
  <c r="AD4715" i="2"/>
  <c r="AD4740" i="2"/>
  <c r="AD4739" i="2"/>
  <c r="AD4751" i="2"/>
  <c r="AF4749" i="2"/>
  <c r="AD4702" i="2"/>
  <c r="AD4703" i="2" s="1"/>
  <c r="AD4706" i="2" s="1"/>
  <c r="AE4707" i="2" s="1"/>
  <c r="AD4729" i="2" l="1"/>
  <c r="AD4716" i="2"/>
  <c r="AD4717" i="2" s="1"/>
  <c r="AD4720" i="2" s="1"/>
  <c r="AE4721" i="2" s="1"/>
  <c r="AD4742" i="2"/>
  <c r="AD4741" i="2"/>
  <c r="AD4746" i="2" s="1"/>
  <c r="AF4763" i="2"/>
  <c r="AD4753" i="2"/>
  <c r="AD4765" i="2"/>
  <c r="AD4754" i="2"/>
  <c r="AD4768" i="2" l="1"/>
  <c r="AD4767" i="2"/>
  <c r="AF4777" i="2"/>
  <c r="AD4779" i="2"/>
  <c r="AD4730" i="2"/>
  <c r="AD4731" i="2" s="1"/>
  <c r="AD4734" i="2" s="1"/>
  <c r="AE4735" i="2" s="1"/>
  <c r="AD4743" i="2"/>
  <c r="AD4755" i="2"/>
  <c r="AD4760" i="2" s="1"/>
  <c r="AD4756" i="2"/>
  <c r="AD4770" i="2" l="1"/>
  <c r="AD4769" i="2"/>
  <c r="AD4774" i="2" s="1"/>
  <c r="AD4757" i="2"/>
  <c r="AD4744" i="2"/>
  <c r="AD4745" i="2" s="1"/>
  <c r="AD4748" i="2" s="1"/>
  <c r="AE4749" i="2" s="1"/>
  <c r="AF4791" i="2"/>
  <c r="AD4782" i="2"/>
  <c r="AD4781" i="2"/>
  <c r="AD4793" i="2"/>
  <c r="AD4771" i="2" l="1"/>
  <c r="AF4805" i="2"/>
  <c r="AD4795" i="2"/>
  <c r="AD4807" i="2"/>
  <c r="AD4796" i="2"/>
  <c r="AD4758" i="2"/>
  <c r="AD4759" i="2" s="1"/>
  <c r="AD4762" i="2" s="1"/>
  <c r="AE4763" i="2" s="1"/>
  <c r="AD4784" i="2"/>
  <c r="AD4783" i="2"/>
  <c r="AD4788" i="2" s="1"/>
  <c r="AD4785" i="2" l="1"/>
  <c r="AF4819" i="2"/>
  <c r="AD4809" i="2"/>
  <c r="AD4821" i="2"/>
  <c r="AD4810" i="2"/>
  <c r="AD4772" i="2"/>
  <c r="AD4773" i="2" s="1"/>
  <c r="AD4776" i="2" s="1"/>
  <c r="AE4777" i="2" s="1"/>
  <c r="AD4797" i="2"/>
  <c r="AD4802" i="2" s="1"/>
  <c r="AD4798" i="2"/>
  <c r="AD4835" i="2" l="1"/>
  <c r="AD4824" i="2"/>
  <c r="AF4833" i="2"/>
  <c r="AD4823" i="2"/>
  <c r="AD4786" i="2"/>
  <c r="AD4787" i="2" s="1"/>
  <c r="AD4790" i="2" s="1"/>
  <c r="AE4791" i="2" s="1"/>
  <c r="AD4799" i="2"/>
  <c r="AD4812" i="2"/>
  <c r="AD4811" i="2"/>
  <c r="AD4816" i="2" s="1"/>
  <c r="AD4800" i="2" l="1"/>
  <c r="AD4801" i="2" s="1"/>
  <c r="AD4804" i="2" s="1"/>
  <c r="AE4805" i="2" s="1"/>
  <c r="AD4849" i="2"/>
  <c r="AF4847" i="2"/>
  <c r="AD4838" i="2"/>
  <c r="AD4837" i="2"/>
  <c r="AD4813" i="2"/>
  <c r="AD4826" i="2"/>
  <c r="AD4825" i="2"/>
  <c r="AD4830" i="2" s="1"/>
  <c r="AD4827" i="2" l="1"/>
  <c r="AD4814" i="2"/>
  <c r="AD4815" i="2" s="1"/>
  <c r="AD4818" i="2" s="1"/>
  <c r="AE4819" i="2" s="1"/>
  <c r="AD4851" i="2"/>
  <c r="AD4863" i="2"/>
  <c r="AF4861" i="2"/>
  <c r="AD4852" i="2"/>
  <c r="AD4840" i="2"/>
  <c r="AD4839" i="2"/>
  <c r="AD4844" i="2" s="1"/>
  <c r="AD4841" i="2" l="1"/>
  <c r="AD4853" i="2"/>
  <c r="AD4858" i="2" s="1"/>
  <c r="AD4854" i="2"/>
  <c r="AD4866" i="2"/>
  <c r="AD4865" i="2"/>
  <c r="AD4877" i="2"/>
  <c r="AF4875" i="2"/>
  <c r="AD4828" i="2"/>
  <c r="AD4829" i="2" s="1"/>
  <c r="AD4832" i="2" s="1"/>
  <c r="AE4833" i="2" s="1"/>
  <c r="AD4868" i="2" l="1"/>
  <c r="AD4867" i="2"/>
  <c r="AD4872" i="2" s="1"/>
  <c r="AD4842" i="2"/>
  <c r="AD4843" i="2" s="1"/>
  <c r="AD4846" i="2" s="1"/>
  <c r="AE4847" i="2" s="1"/>
  <c r="AD4879" i="2"/>
  <c r="AF4889" i="2"/>
  <c r="AD4891" i="2"/>
  <c r="AD4880" i="2"/>
  <c r="AD4855" i="2"/>
  <c r="AD4869" i="2" l="1"/>
  <c r="AD4856" i="2"/>
  <c r="AD4857" i="2" s="1"/>
  <c r="AD4860" i="2" s="1"/>
  <c r="AE4861" i="2" s="1"/>
  <c r="AD4882" i="2"/>
  <c r="AD4881" i="2"/>
  <c r="AD4886" i="2" s="1"/>
  <c r="AF4903" i="2"/>
  <c r="AD4894" i="2"/>
  <c r="AD4893" i="2"/>
  <c r="AD4905" i="2"/>
  <c r="AD4883" i="2" l="1"/>
  <c r="AD4870" i="2"/>
  <c r="AD4871" i="2" s="1"/>
  <c r="AD4874" i="2" s="1"/>
  <c r="AE4875" i="2" s="1"/>
  <c r="AD4907" i="2"/>
  <c r="AD4919" i="2"/>
  <c r="AF4917" i="2"/>
  <c r="AD4908" i="2"/>
  <c r="AD4895" i="2"/>
  <c r="AD4900" i="2" s="1"/>
  <c r="AD4896" i="2"/>
  <c r="AD4897" i="2" l="1"/>
  <c r="AD4909" i="2"/>
  <c r="AD4914" i="2" s="1"/>
  <c r="AD4910" i="2"/>
  <c r="AD4884" i="2"/>
  <c r="AD4885" i="2" s="1"/>
  <c r="AD4888" i="2" s="1"/>
  <c r="AE4889" i="2" s="1"/>
  <c r="AD4933" i="2"/>
  <c r="AD4922" i="2"/>
  <c r="AF4931" i="2"/>
  <c r="AD4921" i="2"/>
  <c r="AD4924" i="2" l="1"/>
  <c r="AD4923" i="2"/>
  <c r="AD4928" i="2" s="1"/>
  <c r="AD4898" i="2"/>
  <c r="AD4899" i="2" s="1"/>
  <c r="AD4902" i="2" s="1"/>
  <c r="AE4903" i="2" s="1"/>
  <c r="AF4945" i="2"/>
  <c r="AD4947" i="2"/>
  <c r="AD4936" i="2"/>
  <c r="AD4935" i="2"/>
  <c r="AD4911" i="2"/>
  <c r="AD4925" i="2" l="1"/>
  <c r="AF4959" i="2"/>
  <c r="AD4950" i="2"/>
  <c r="AD4949" i="2"/>
  <c r="AD4961" i="2"/>
  <c r="AD4912" i="2"/>
  <c r="AD4913" i="2" s="1"/>
  <c r="AD4916" i="2" s="1"/>
  <c r="AE4917" i="2" s="1"/>
  <c r="AD4938" i="2"/>
  <c r="AD4937" i="2"/>
  <c r="AD4942" i="2" s="1"/>
  <c r="AD4952" i="2" l="1"/>
  <c r="AD4951" i="2"/>
  <c r="AD4956" i="2" s="1"/>
  <c r="AD4926" i="2"/>
  <c r="AD4927" i="2" s="1"/>
  <c r="AD4930" i="2" s="1"/>
  <c r="AE4931" i="2" s="1"/>
  <c r="AD4939" i="2"/>
  <c r="AF4973" i="2"/>
  <c r="AD4964" i="2"/>
  <c r="AD4963" i="2"/>
  <c r="AD4975" i="2"/>
  <c r="AD4965" i="2" l="1"/>
  <c r="AD4970" i="2" s="1"/>
  <c r="AD4966" i="2"/>
  <c r="AD4940" i="2"/>
  <c r="AD4941" i="2" s="1"/>
  <c r="AD4944" i="2" s="1"/>
  <c r="AE4945" i="2" s="1"/>
  <c r="AD4953" i="2"/>
  <c r="AF4987" i="2"/>
  <c r="AD4977" i="2"/>
  <c r="AD4989" i="2"/>
  <c r="AD4978" i="2"/>
  <c r="AF5001" i="2" l="1"/>
  <c r="AD4992" i="2"/>
  <c r="AD4991" i="2"/>
  <c r="AD5003" i="2"/>
  <c r="AD4954" i="2"/>
  <c r="AD4955" i="2" s="1"/>
  <c r="AD4958" i="2" s="1"/>
  <c r="AE4959" i="2" s="1"/>
  <c r="AD4967" i="2"/>
  <c r="AD4979" i="2"/>
  <c r="AD4984" i="2" s="1"/>
  <c r="AD4980" i="2"/>
  <c r="AD4981" i="2" l="1"/>
  <c r="AD4968" i="2"/>
  <c r="AD4969" i="2" s="1"/>
  <c r="AD4972" i="2" s="1"/>
  <c r="AE4973" i="2" s="1"/>
  <c r="AD4993" i="2"/>
  <c r="AD4998" i="2" s="1"/>
  <c r="AD4994" i="2"/>
  <c r="AD5017" i="2"/>
  <c r="AF5015" i="2"/>
  <c r="AD5006" i="2"/>
  <c r="AD5005" i="2"/>
  <c r="AD4982" i="2" l="1"/>
  <c r="AD4983" i="2" s="1"/>
  <c r="AD4986" i="2" s="1"/>
  <c r="AE4987" i="2" s="1"/>
  <c r="AD5007" i="2"/>
  <c r="AD5012" i="2" s="1"/>
  <c r="AD5008" i="2"/>
  <c r="AD4995" i="2"/>
  <c r="AF5029" i="2"/>
  <c r="AD5020" i="2"/>
  <c r="AD5019" i="2"/>
  <c r="AD5031" i="2"/>
  <c r="AD5021" i="2" l="1"/>
  <c r="AD5026" i="2" s="1"/>
  <c r="AD5022" i="2"/>
  <c r="AD5045" i="2"/>
  <c r="AD5034" i="2"/>
  <c r="AF5043" i="2"/>
  <c r="AD5033" i="2"/>
  <c r="AD4996" i="2"/>
  <c r="AD4997" i="2" s="1"/>
  <c r="AD5000" i="2" s="1"/>
  <c r="AE5001" i="2" s="1"/>
  <c r="AD5009" i="2"/>
  <c r="AD5010" i="2" l="1"/>
  <c r="AD5011" i="2" s="1"/>
  <c r="AD5014" i="2" s="1"/>
  <c r="AE5015" i="2" s="1"/>
  <c r="AD5036" i="2"/>
  <c r="AD5035" i="2"/>
  <c r="AD5040" i="2" s="1"/>
  <c r="AD5023" i="2"/>
  <c r="AF5057" i="2"/>
  <c r="AD5047" i="2"/>
  <c r="AD5059" i="2"/>
  <c r="AD5048" i="2"/>
  <c r="AD5037" i="2" l="1"/>
  <c r="AF5071" i="2"/>
  <c r="AD5062" i="2"/>
  <c r="AD5061" i="2"/>
  <c r="AD5073" i="2"/>
  <c r="AD5024" i="2"/>
  <c r="AD5025" i="2" s="1"/>
  <c r="AD5028" i="2" s="1"/>
  <c r="AE5029" i="2" s="1"/>
  <c r="AD5050" i="2"/>
  <c r="AD5049" i="2"/>
  <c r="AD5054" i="2" s="1"/>
  <c r="AD5051" i="2" l="1"/>
  <c r="AD5038" i="2"/>
  <c r="AD5039" i="2" s="1"/>
  <c r="AD5042" i="2" s="1"/>
  <c r="AE5043" i="2" s="1"/>
  <c r="AF5085" i="2"/>
  <c r="AD5076" i="2"/>
  <c r="AD5075" i="2"/>
  <c r="AD5087" i="2"/>
  <c r="AD5063" i="2"/>
  <c r="AD5068" i="2" s="1"/>
  <c r="AD5064" i="2"/>
  <c r="AD5052" i="2" l="1"/>
  <c r="AD5053" i="2" s="1"/>
  <c r="AD5056" i="2" s="1"/>
  <c r="AE5057" i="2" s="1"/>
  <c r="AD5065" i="2"/>
  <c r="AD5077" i="2"/>
  <c r="AD5082" i="2" s="1"/>
  <c r="AD5078" i="2"/>
  <c r="AD5089" i="2"/>
  <c r="AD5101" i="2"/>
  <c r="AD5090" i="2"/>
  <c r="AF5099" i="2"/>
  <c r="AD5079" i="2" l="1"/>
  <c r="AD5092" i="2"/>
  <c r="AD5091" i="2"/>
  <c r="AD5096" i="2" s="1"/>
  <c r="AD5115" i="2"/>
  <c r="AD5104" i="2"/>
  <c r="AD5103" i="2"/>
  <c r="AF5113" i="2"/>
  <c r="AD5066" i="2"/>
  <c r="AD5067" i="2" s="1"/>
  <c r="AD5070" i="2" s="1"/>
  <c r="AE5071" i="2" s="1"/>
  <c r="AD5129" i="2" l="1"/>
  <c r="AF5127" i="2"/>
  <c r="AD5118" i="2"/>
  <c r="AD5117" i="2"/>
  <c r="AD5080" i="2"/>
  <c r="AD5081" i="2" s="1"/>
  <c r="AD5084" i="2" s="1"/>
  <c r="AE5085" i="2" s="1"/>
  <c r="AD5105" i="2"/>
  <c r="AD5110" i="2" s="1"/>
  <c r="AD5106" i="2"/>
  <c r="AD5093" i="2"/>
  <c r="AD5120" i="2" l="1"/>
  <c r="AD5119" i="2"/>
  <c r="AD5124" i="2" s="1"/>
  <c r="AD5107" i="2"/>
  <c r="AD5094" i="2"/>
  <c r="AD5095" i="2" s="1"/>
  <c r="AD5098" i="2" s="1"/>
  <c r="AE5099" i="2" s="1"/>
  <c r="AF5141" i="2"/>
  <c r="AD5132" i="2"/>
  <c r="AD5131" i="2"/>
  <c r="AD5143" i="2"/>
  <c r="AD5121" i="2" l="1"/>
  <c r="AD5134" i="2"/>
  <c r="AD5133" i="2"/>
  <c r="AD5138" i="2" s="1"/>
  <c r="AD5157" i="2"/>
  <c r="AD5146" i="2"/>
  <c r="AF5155" i="2"/>
  <c r="AD5145" i="2"/>
  <c r="AD5108" i="2"/>
  <c r="AD5109" i="2" s="1"/>
  <c r="AD5112" i="2" s="1"/>
  <c r="AE5113" i="2" s="1"/>
  <c r="AD5159" i="2" l="1"/>
  <c r="AD5171" i="2"/>
  <c r="AD5160" i="2"/>
  <c r="AF5169" i="2"/>
  <c r="AD5122" i="2"/>
  <c r="AD5123" i="2" s="1"/>
  <c r="AD5126" i="2" s="1"/>
  <c r="AE5127" i="2" s="1"/>
  <c r="AD5135" i="2"/>
  <c r="AD5148" i="2"/>
  <c r="AD5147" i="2"/>
  <c r="AD5152" i="2" s="1"/>
  <c r="AD5162" i="2" l="1"/>
  <c r="AD5161" i="2"/>
  <c r="AD5166" i="2" s="1"/>
  <c r="AD5149" i="2"/>
  <c r="AD5173" i="2"/>
  <c r="AD5185" i="2"/>
  <c r="AF5183" i="2"/>
  <c r="AD5174" i="2"/>
  <c r="AD5136" i="2"/>
  <c r="AD5137" i="2" s="1"/>
  <c r="AD5140" i="2" s="1"/>
  <c r="AE5141" i="2" s="1"/>
  <c r="AD5176" i="2" l="1"/>
  <c r="AD5175" i="2"/>
  <c r="AD5180" i="2" s="1"/>
  <c r="AD5163" i="2"/>
  <c r="AD5188" i="2"/>
  <c r="AD5187" i="2"/>
  <c r="AD5199" i="2"/>
  <c r="AF5197" i="2"/>
  <c r="AD5150" i="2"/>
  <c r="AD5151" i="2" s="1"/>
  <c r="AD5154" i="2" s="1"/>
  <c r="AE5155" i="2" s="1"/>
  <c r="AD5213" i="2" l="1"/>
  <c r="AD5202" i="2"/>
  <c r="AF5211" i="2"/>
  <c r="AD5201" i="2"/>
  <c r="AD5164" i="2"/>
  <c r="AD5165" i="2" s="1"/>
  <c r="AD5168" i="2" s="1"/>
  <c r="AE5169" i="2" s="1"/>
  <c r="AD5177" i="2"/>
  <c r="AD5189" i="2"/>
  <c r="AD5194" i="2" s="1"/>
  <c r="AD5190" i="2"/>
  <c r="AD5216" i="2" l="1"/>
  <c r="AD5215" i="2"/>
  <c r="AF5225" i="2"/>
  <c r="AD5227" i="2"/>
  <c r="AD5178" i="2"/>
  <c r="AD5179" i="2" s="1"/>
  <c r="AD5182" i="2" s="1"/>
  <c r="AE5183" i="2" s="1"/>
  <c r="AD5191" i="2"/>
  <c r="AD5203" i="2"/>
  <c r="AD5208" i="2" s="1"/>
  <c r="AD5204" i="2"/>
  <c r="AD5192" i="2" l="1"/>
  <c r="AD5193" i="2" s="1"/>
  <c r="AD5196" i="2" s="1"/>
  <c r="AE5197" i="2" s="1"/>
  <c r="AD5217" i="2"/>
  <c r="AD5222" i="2" s="1"/>
  <c r="AD5218" i="2"/>
  <c r="AD5205" i="2"/>
  <c r="AD5230" i="2"/>
  <c r="AD5229" i="2"/>
  <c r="AD5241" i="2"/>
  <c r="AF5239" i="2"/>
  <c r="AD5244" i="2" l="1"/>
  <c r="AD5243" i="2"/>
  <c r="AD5255" i="2"/>
  <c r="AF5253" i="2"/>
  <c r="AD5206" i="2"/>
  <c r="AD5207" i="2" s="1"/>
  <c r="AD5210" i="2" s="1"/>
  <c r="AE5211" i="2" s="1"/>
  <c r="AD5232" i="2"/>
  <c r="AD5231" i="2"/>
  <c r="AD5236" i="2" s="1"/>
  <c r="AD5219" i="2"/>
  <c r="AF5267" i="2" l="1"/>
  <c r="AD5257" i="2"/>
  <c r="AD5269" i="2"/>
  <c r="AD5258" i="2"/>
  <c r="AD5220" i="2"/>
  <c r="AD5221" i="2" s="1"/>
  <c r="AD5224" i="2" s="1"/>
  <c r="AE5225" i="2" s="1"/>
  <c r="AD5246" i="2"/>
  <c r="AD5245" i="2"/>
  <c r="AD5250" i="2" s="1"/>
  <c r="AD5233" i="2"/>
  <c r="AD5234" i="2" l="1"/>
  <c r="AD5235" i="2" s="1"/>
  <c r="AD5238" i="2" s="1"/>
  <c r="AE5239" i="2" s="1"/>
  <c r="AD5260" i="2"/>
  <c r="AD5259" i="2"/>
  <c r="AD5264" i="2" s="1"/>
  <c r="AD5247" i="2"/>
  <c r="AD5272" i="2"/>
  <c r="AF5281" i="2"/>
  <c r="AD5271" i="2"/>
  <c r="AD5283" i="2"/>
  <c r="AD5274" i="2" l="1"/>
  <c r="AD5273" i="2"/>
  <c r="AD5278" i="2" s="1"/>
  <c r="AD5248" i="2"/>
  <c r="AD5249" i="2" s="1"/>
  <c r="AD5252" i="2" s="1"/>
  <c r="AE5253" i="2" s="1"/>
  <c r="AD5286" i="2"/>
  <c r="AD5285" i="2"/>
  <c r="AD5297" i="2"/>
  <c r="AF5295" i="2"/>
  <c r="AD5261" i="2"/>
  <c r="AD5287" i="2" l="1"/>
  <c r="AD5292" i="2" s="1"/>
  <c r="AD5288" i="2"/>
  <c r="AD5262" i="2"/>
  <c r="AD5263" i="2" s="1"/>
  <c r="AD5266" i="2" s="1"/>
  <c r="AE5267" i="2" s="1"/>
  <c r="AD5275" i="2"/>
  <c r="AF5309" i="2"/>
  <c r="AD5300" i="2"/>
  <c r="AD5299" i="2"/>
  <c r="AD5311" i="2"/>
  <c r="AD5301" i="2" l="1"/>
  <c r="AD5306" i="2" s="1"/>
  <c r="AD5302" i="2"/>
  <c r="AD5276" i="2"/>
  <c r="AD5277" i="2" s="1"/>
  <c r="AD5280" i="2" s="1"/>
  <c r="AE5281" i="2" s="1"/>
  <c r="AD5314" i="2"/>
  <c r="AF5323" i="2"/>
  <c r="AD5313" i="2"/>
  <c r="AD5325" i="2"/>
  <c r="AD5289" i="2"/>
  <c r="AD5303" i="2" l="1"/>
  <c r="AD5290" i="2"/>
  <c r="AD5291" i="2" s="1"/>
  <c r="AD5294" i="2" s="1"/>
  <c r="AE5295" i="2" s="1"/>
  <c r="AD5315" i="2"/>
  <c r="AD5320" i="2" s="1"/>
  <c r="AD5316" i="2"/>
  <c r="AD5328" i="2"/>
  <c r="AD5327" i="2"/>
  <c r="AF5337" i="2"/>
  <c r="AD5339" i="2"/>
  <c r="AD5317" i="2" l="1"/>
  <c r="AF5351" i="2"/>
  <c r="AD5341" i="2"/>
  <c r="AD5353" i="2"/>
  <c r="AD5342" i="2"/>
  <c r="AD5304" i="2"/>
  <c r="AD5305" i="2" s="1"/>
  <c r="AD5308" i="2" s="1"/>
  <c r="AE5309" i="2" s="1"/>
  <c r="AD5330" i="2"/>
  <c r="AD5329" i="2"/>
  <c r="AD5334" i="2" s="1"/>
  <c r="AD5355" i="2" l="1"/>
  <c r="AD5367" i="2"/>
  <c r="AF5365" i="2"/>
  <c r="AD5356" i="2"/>
  <c r="AD5318" i="2"/>
  <c r="AD5319" i="2" s="1"/>
  <c r="AD5322" i="2" s="1"/>
  <c r="AE5323" i="2" s="1"/>
  <c r="AD5331" i="2"/>
  <c r="AD5344" i="2"/>
  <c r="AD5343" i="2"/>
  <c r="AD5348" i="2" s="1"/>
  <c r="AD5345" i="2" l="1"/>
  <c r="AD5358" i="2"/>
  <c r="AD5357" i="2"/>
  <c r="AD5362" i="2" s="1"/>
  <c r="AF5379" i="2"/>
  <c r="AD5369" i="2"/>
  <c r="AD5381" i="2"/>
  <c r="AD5370" i="2"/>
  <c r="AD5332" i="2"/>
  <c r="AD5333" i="2" s="1"/>
  <c r="AD5336" i="2" s="1"/>
  <c r="AE5337" i="2" s="1"/>
  <c r="AD5372" i="2" l="1"/>
  <c r="AD5371" i="2"/>
  <c r="AD5376" i="2" s="1"/>
  <c r="AD5346" i="2"/>
  <c r="AD5347" i="2" s="1"/>
  <c r="AD5350" i="2" s="1"/>
  <c r="AE5351" i="2" s="1"/>
  <c r="AD5395" i="2"/>
  <c r="AD5384" i="2"/>
  <c r="AF5393" i="2"/>
  <c r="AD5383" i="2"/>
  <c r="AD5359" i="2"/>
  <c r="AD5360" i="2" l="1"/>
  <c r="AD5361" i="2" s="1"/>
  <c r="AD5364" i="2" s="1"/>
  <c r="AE5365" i="2" s="1"/>
  <c r="AF5407" i="2"/>
  <c r="AD5398" i="2"/>
  <c r="AD5397" i="2"/>
  <c r="AD5409" i="2"/>
  <c r="AD5373" i="2"/>
  <c r="AD5386" i="2"/>
  <c r="AD5385" i="2"/>
  <c r="AD5390" i="2" s="1"/>
  <c r="AD5400" i="2" l="1"/>
  <c r="AD5399" i="2"/>
  <c r="AD5404" i="2" s="1"/>
  <c r="AD5387" i="2"/>
  <c r="AD5412" i="2"/>
  <c r="AD5411" i="2"/>
  <c r="AD5423" i="2"/>
  <c r="AF5421" i="2"/>
  <c r="AD5374" i="2"/>
  <c r="AD5375" i="2" s="1"/>
  <c r="AD5378" i="2" s="1"/>
  <c r="AE5379" i="2" s="1"/>
  <c r="AD5401" i="2" l="1"/>
  <c r="AD5413" i="2"/>
  <c r="AD5418" i="2" s="1"/>
  <c r="AD5414" i="2"/>
  <c r="AD5388" i="2"/>
  <c r="AD5389" i="2" s="1"/>
  <c r="AD5392" i="2" s="1"/>
  <c r="AE5393" i="2" s="1"/>
  <c r="AD5425" i="2"/>
  <c r="AD5437" i="2"/>
  <c r="AF5435" i="2"/>
  <c r="AD5426" i="2"/>
  <c r="AD5402" i="2" l="1"/>
  <c r="AD5403" i="2" s="1"/>
  <c r="AD5406" i="2" s="1"/>
  <c r="AE5407" i="2" s="1"/>
  <c r="AD5428" i="2"/>
  <c r="AD5427" i="2"/>
  <c r="AD5432" i="2" s="1"/>
  <c r="AD5451" i="2"/>
  <c r="AD5440" i="2"/>
  <c r="AD5439" i="2"/>
  <c r="AF5449" i="2"/>
  <c r="AD5415" i="2"/>
  <c r="AF5463" i="2" l="1"/>
  <c r="AD5465" i="2"/>
  <c r="AD5454" i="2"/>
  <c r="AD5453" i="2"/>
  <c r="AD5416" i="2"/>
  <c r="AD5417" i="2" s="1"/>
  <c r="AD5420" i="2" s="1"/>
  <c r="AE5421" i="2" s="1"/>
  <c r="AD5442" i="2"/>
  <c r="AD5441" i="2"/>
  <c r="AD5446" i="2" s="1"/>
  <c r="AD5429" i="2"/>
  <c r="AD5468" i="2" l="1"/>
  <c r="AF5477" i="2"/>
  <c r="AD5467" i="2"/>
  <c r="AD5479" i="2"/>
  <c r="AD5430" i="2"/>
  <c r="AD5431" i="2" s="1"/>
  <c r="AD5434" i="2" s="1"/>
  <c r="AE5435" i="2" s="1"/>
  <c r="AD5443" i="2"/>
  <c r="AD5456" i="2"/>
  <c r="AD5455" i="2"/>
  <c r="AD5460" i="2" s="1"/>
  <c r="AD5457" i="2" l="1"/>
  <c r="AD5469" i="2"/>
  <c r="AD5474" i="2" s="1"/>
  <c r="AD5470" i="2"/>
  <c r="AD5444" i="2"/>
  <c r="AD5445" i="2" s="1"/>
  <c r="AD5448" i="2" s="1"/>
  <c r="AE5449" i="2" s="1"/>
  <c r="AD5482" i="2"/>
  <c r="AF5491" i="2"/>
  <c r="AD5481" i="2"/>
  <c r="AD5493" i="2"/>
  <c r="AD5458" i="2" l="1"/>
  <c r="AD5459" i="2" s="1"/>
  <c r="AD5462" i="2" s="1"/>
  <c r="AE5463" i="2" s="1"/>
  <c r="AD5507" i="2"/>
  <c r="AF5505" i="2"/>
  <c r="AD5496" i="2"/>
  <c r="AD5495" i="2"/>
  <c r="AD5484" i="2"/>
  <c r="AD5483" i="2"/>
  <c r="AD5488" i="2" s="1"/>
  <c r="AD5471" i="2"/>
  <c r="AD5497" i="2" l="1"/>
  <c r="AD5502" i="2" s="1"/>
  <c r="AD5498" i="2"/>
  <c r="AD5485" i="2"/>
  <c r="AD5521" i="2"/>
  <c r="AF5519" i="2"/>
  <c r="AD5510" i="2"/>
  <c r="AD5509" i="2"/>
  <c r="AD5472" i="2"/>
  <c r="AD5473" i="2" s="1"/>
  <c r="AD5476" i="2" s="1"/>
  <c r="AE5477" i="2" s="1"/>
  <c r="AD5535" i="2" l="1"/>
  <c r="AF5533" i="2"/>
  <c r="AD5523" i="2"/>
  <c r="AD5524" i="2"/>
  <c r="AD5499" i="2"/>
  <c r="AD5486" i="2"/>
  <c r="AD5487" i="2" s="1"/>
  <c r="AD5490" i="2" s="1"/>
  <c r="AE5491" i="2" s="1"/>
  <c r="AD5511" i="2"/>
  <c r="AD5516" i="2" s="1"/>
  <c r="AD5512" i="2"/>
  <c r="AD5537" i="2" l="1"/>
  <c r="AD5549" i="2"/>
  <c r="AD5538" i="2"/>
  <c r="AF5547" i="2"/>
  <c r="AD5500" i="2"/>
  <c r="AD5501" i="2" s="1"/>
  <c r="AD5504" i="2" s="1"/>
  <c r="AE5505" i="2" s="1"/>
  <c r="AD5513" i="2"/>
  <c r="AD5525" i="2"/>
  <c r="AD5530" i="2" s="1"/>
  <c r="AD5526" i="2"/>
  <c r="AD5539" i="2" l="1"/>
  <c r="AD5544" i="2" s="1"/>
  <c r="AD5540" i="2"/>
  <c r="AD5527" i="2"/>
  <c r="AF5561" i="2"/>
  <c r="AD5563" i="2"/>
  <c r="AD5552" i="2"/>
  <c r="AD5551" i="2"/>
  <c r="AD5514" i="2"/>
  <c r="AD5515" i="2" s="1"/>
  <c r="AD5518" i="2" s="1"/>
  <c r="AE5519" i="2" s="1"/>
  <c r="AD5566" i="2" l="1"/>
  <c r="AD5577" i="2"/>
  <c r="AD5565" i="2"/>
  <c r="AF5575" i="2"/>
  <c r="AD5541" i="2"/>
  <c r="AD5553" i="2"/>
  <c r="AD5558" i="2" s="1"/>
  <c r="AD5554" i="2"/>
  <c r="AD5528" i="2"/>
  <c r="AD5529" i="2" s="1"/>
  <c r="AD5532" i="2" s="1"/>
  <c r="AE5533" i="2" s="1"/>
  <c r="AD5555" i="2" l="1"/>
  <c r="AD5591" i="2"/>
  <c r="AF5589" i="2"/>
  <c r="AD5580" i="2"/>
  <c r="AD5579" i="2"/>
  <c r="AD5542" i="2"/>
  <c r="AD5543" i="2" s="1"/>
  <c r="AD5546" i="2" s="1"/>
  <c r="AE5547" i="2" s="1"/>
  <c r="AD5568" i="2"/>
  <c r="AD5567" i="2"/>
  <c r="AD5572" i="2" s="1"/>
  <c r="AD5556" i="2" l="1"/>
  <c r="AD5557" i="2" s="1"/>
  <c r="AD5560" i="2" s="1"/>
  <c r="AE5561" i="2" s="1"/>
  <c r="AD5581" i="2"/>
  <c r="AD5586" i="2" s="1"/>
  <c r="AD5582" i="2"/>
  <c r="AD5593" i="2"/>
  <c r="AD5594" i="2"/>
  <c r="AF5603" i="2"/>
  <c r="AD5605" i="2"/>
  <c r="AD5569" i="2"/>
  <c r="AD5596" i="2" l="1"/>
  <c r="AD5595" i="2"/>
  <c r="AD5600" i="2" s="1"/>
  <c r="AD5570" i="2"/>
  <c r="AD5571" i="2" s="1"/>
  <c r="AD5574" i="2" s="1"/>
  <c r="AE5575" i="2" s="1"/>
  <c r="AD5607" i="2"/>
  <c r="AD5619" i="2"/>
  <c r="AD5608" i="2"/>
  <c r="AF5617" i="2"/>
  <c r="AD5583" i="2"/>
  <c r="AD5584" i="2" l="1"/>
  <c r="AD5585" i="2" s="1"/>
  <c r="AD5588" i="2" s="1"/>
  <c r="AE5589" i="2" s="1"/>
  <c r="AD5610" i="2"/>
  <c r="AD5609" i="2"/>
  <c r="AD5614" i="2" s="1"/>
  <c r="AD5597" i="2"/>
  <c r="AD5622" i="2"/>
  <c r="AF5631" i="2"/>
  <c r="AD5621" i="2"/>
  <c r="AD5624" i="2" l="1"/>
  <c r="AD5623" i="2"/>
  <c r="AD5628" i="2" s="1"/>
  <c r="AD5598" i="2"/>
  <c r="AD5599" i="2" s="1"/>
  <c r="AD5602" i="2" s="1"/>
  <c r="AE5603" i="2" s="1"/>
  <c r="AD5611" i="2"/>
  <c r="AD5625" i="2" l="1"/>
  <c r="AD5612" i="2"/>
  <c r="AD5613" i="2" s="1"/>
  <c r="AD5616" i="2" s="1"/>
  <c r="AE5617" i="2" s="1"/>
  <c r="AD5626" i="2" l="1"/>
  <c r="AD5627" i="2" s="1"/>
  <c r="AD5630" i="2" s="1"/>
  <c r="AE5631" i="2" s="1"/>
  <c r="AF18" i="2" s="1"/>
  <c r="AF19" i="2" s="1"/>
  <c r="L40" i="3" s="1"/>
  <c r="K44" i="3" l="1"/>
  <c r="K41" i="3" s="1"/>
  <c r="K40" i="3"/>
  <c r="J44" i="3" s="1"/>
  <c r="J41" i="3" s="1"/>
  <c r="AF20" i="2"/>
  <c r="AG33" i="2"/>
  <c r="AG47" i="2" l="1"/>
  <c r="AG35" i="2"/>
  <c r="AG36" i="2"/>
  <c r="AI45" i="2"/>
  <c r="AG50" i="2" l="1"/>
  <c r="AG61" i="2"/>
  <c r="AG49" i="2"/>
  <c r="AI59" i="2"/>
  <c r="AG37" i="2"/>
  <c r="AG42" i="2" s="1"/>
  <c r="AG38" i="2"/>
  <c r="AG39" i="2" s="1"/>
  <c r="AG40" i="2" s="1"/>
  <c r="AG41" i="2" l="1"/>
  <c r="AG44" i="2" s="1"/>
  <c r="AH45" i="2" s="1"/>
  <c r="AG52" i="2"/>
  <c r="AG53" i="2" s="1"/>
  <c r="AG51" i="2"/>
  <c r="AG56" i="2" s="1"/>
  <c r="AG75" i="2"/>
  <c r="AI73" i="2"/>
  <c r="AG64" i="2"/>
  <c r="AG63" i="2"/>
  <c r="AG54" i="2" l="1"/>
  <c r="AG55" i="2" s="1"/>
  <c r="AG58" i="2" s="1"/>
  <c r="AH59" i="2" s="1"/>
  <c r="AG65" i="2"/>
  <c r="AG70" i="2" s="1"/>
  <c r="AG66" i="2"/>
  <c r="AG67" i="2" s="1"/>
  <c r="AG68" i="2" s="1"/>
  <c r="AG78" i="2"/>
  <c r="AG89" i="2"/>
  <c r="AI87" i="2"/>
  <c r="AG77" i="2"/>
  <c r="AG69" i="2" l="1"/>
  <c r="AG72" i="2" s="1"/>
  <c r="AH73" i="2" s="1"/>
  <c r="AG103" i="2"/>
  <c r="AG91" i="2"/>
  <c r="AG92" i="2"/>
  <c r="AI101" i="2"/>
  <c r="AG80" i="2"/>
  <c r="AG81" i="2" s="1"/>
  <c r="AG79" i="2"/>
  <c r="AG84" i="2" s="1"/>
  <c r="AG82" i="2" l="1"/>
  <c r="AG83" i="2" s="1"/>
  <c r="AG86" i="2" s="1"/>
  <c r="AH87" i="2" s="1"/>
  <c r="AG117" i="2"/>
  <c r="AG106" i="2"/>
  <c r="AI115" i="2"/>
  <c r="AG105" i="2"/>
  <c r="AG94" i="2"/>
  <c r="AG95" i="2" s="1"/>
  <c r="AG93" i="2"/>
  <c r="AG98" i="2" s="1"/>
  <c r="AG108" i="2" l="1"/>
  <c r="AG109" i="2" s="1"/>
  <c r="AG107" i="2"/>
  <c r="AG112" i="2" s="1"/>
  <c r="AG96" i="2"/>
  <c r="AG97" i="2" s="1"/>
  <c r="AG100" i="2" s="1"/>
  <c r="AH101" i="2" s="1"/>
  <c r="AI129" i="2"/>
  <c r="AG119" i="2"/>
  <c r="AG131" i="2"/>
  <c r="AG120" i="2"/>
  <c r="AG110" i="2" l="1"/>
  <c r="AG111" i="2" s="1"/>
  <c r="AG114" i="2" s="1"/>
  <c r="AH115" i="2" s="1"/>
  <c r="AG122" i="2"/>
  <c r="AG123" i="2" s="1"/>
  <c r="AG121" i="2"/>
  <c r="AG126" i="2" s="1"/>
  <c r="AI143" i="2"/>
  <c r="AG133" i="2"/>
  <c r="AG145" i="2"/>
  <c r="AG134" i="2"/>
  <c r="AG135" i="2" l="1"/>
  <c r="AG140" i="2" s="1"/>
  <c r="AG136" i="2"/>
  <c r="AG137" i="2" s="1"/>
  <c r="AG138" i="2" s="1"/>
  <c r="AG159" i="2"/>
  <c r="AG147" i="2"/>
  <c r="AI157" i="2"/>
  <c r="AG148" i="2"/>
  <c r="AG124" i="2"/>
  <c r="AG125" i="2" s="1"/>
  <c r="AG128" i="2" s="1"/>
  <c r="AH129" i="2" s="1"/>
  <c r="AI171" i="2" l="1"/>
  <c r="AG161" i="2"/>
  <c r="AG162" i="2"/>
  <c r="AG173" i="2"/>
  <c r="AG139" i="2"/>
  <c r="AG142" i="2" s="1"/>
  <c r="AH143" i="2" s="1"/>
  <c r="AG150" i="2"/>
  <c r="AG151" i="2" s="1"/>
  <c r="AG152" i="2" s="1"/>
  <c r="AG149" i="2"/>
  <c r="AG154" i="2" s="1"/>
  <c r="AG153" i="2" l="1"/>
  <c r="AG156" i="2" s="1"/>
  <c r="AH157" i="2" s="1"/>
  <c r="AG163" i="2"/>
  <c r="AG168" i="2" s="1"/>
  <c r="AG164" i="2"/>
  <c r="AG165" i="2" s="1"/>
  <c r="AG176" i="2"/>
  <c r="AG175" i="2"/>
  <c r="AI185" i="2"/>
  <c r="AG187" i="2"/>
  <c r="AG166" i="2" l="1"/>
  <c r="AG167" i="2" s="1"/>
  <c r="AG170" i="2" s="1"/>
  <c r="AH171" i="2" s="1"/>
  <c r="AG189" i="2"/>
  <c r="AG201" i="2"/>
  <c r="AI199" i="2"/>
  <c r="AG190" i="2"/>
  <c r="AG177" i="2"/>
  <c r="AG182" i="2" s="1"/>
  <c r="AG178" i="2"/>
  <c r="AG179" i="2" s="1"/>
  <c r="AG180" i="2" s="1"/>
  <c r="AG181" i="2" l="1"/>
  <c r="AG184" i="2" s="1"/>
  <c r="AH185" i="2" s="1"/>
  <c r="AG191" i="2"/>
  <c r="AG196" i="2" s="1"/>
  <c r="AG192" i="2"/>
  <c r="AG193" i="2" s="1"/>
  <c r="AG215" i="2"/>
  <c r="AG203" i="2"/>
  <c r="AI213" i="2"/>
  <c r="AG204" i="2"/>
  <c r="AG194" i="2" l="1"/>
  <c r="AG195" i="2" s="1"/>
  <c r="AG198" i="2" s="1"/>
  <c r="AH199" i="2" s="1"/>
  <c r="AG229" i="2"/>
  <c r="AG218" i="2"/>
  <c r="AG217" i="2"/>
  <c r="AI227" i="2"/>
  <c r="AG206" i="2"/>
  <c r="AG207" i="2" s="1"/>
  <c r="AG205" i="2"/>
  <c r="AG210" i="2" s="1"/>
  <c r="AG220" i="2" l="1"/>
  <c r="AG221" i="2" s="1"/>
  <c r="AG219" i="2"/>
  <c r="AG224" i="2" s="1"/>
  <c r="AG208" i="2"/>
  <c r="AG209" i="2" s="1"/>
  <c r="AG212" i="2" s="1"/>
  <c r="AH213" i="2" s="1"/>
  <c r="AI241" i="2"/>
  <c r="AG243" i="2"/>
  <c r="AG232" i="2"/>
  <c r="AG231" i="2"/>
  <c r="AG222" i="2" l="1"/>
  <c r="AG223" i="2" s="1"/>
  <c r="AG226" i="2" s="1"/>
  <c r="AH227" i="2" s="1"/>
  <c r="AG246" i="2"/>
  <c r="AG257" i="2"/>
  <c r="AI255" i="2"/>
  <c r="AG245" i="2"/>
  <c r="AG233" i="2"/>
  <c r="AG238" i="2" s="1"/>
  <c r="AG234" i="2"/>
  <c r="AG235" i="2" s="1"/>
  <c r="AG236" i="2" s="1"/>
  <c r="AG237" i="2" l="1"/>
  <c r="AG240" i="2" s="1"/>
  <c r="AH241" i="2" s="1"/>
  <c r="AG247" i="2"/>
  <c r="AG252" i="2" s="1"/>
  <c r="AG248" i="2"/>
  <c r="AG249" i="2" s="1"/>
  <c r="AI269" i="2"/>
  <c r="AG260" i="2"/>
  <c r="AG259" i="2"/>
  <c r="AG271" i="2"/>
  <c r="AG262" i="2" l="1"/>
  <c r="AG263" i="2" s="1"/>
  <c r="AG261" i="2"/>
  <c r="AG266" i="2" s="1"/>
  <c r="AG274" i="2"/>
  <c r="AG273" i="2"/>
  <c r="AG285" i="2"/>
  <c r="AI283" i="2"/>
  <c r="AG250" i="2"/>
  <c r="AG251" i="2" s="1"/>
  <c r="AG254" i="2" s="1"/>
  <c r="AH255" i="2" s="1"/>
  <c r="AG287" i="2" l="1"/>
  <c r="AG299" i="2"/>
  <c r="AI297" i="2"/>
  <c r="AG288" i="2"/>
  <c r="AG264" i="2"/>
  <c r="AG265" i="2" s="1"/>
  <c r="AG268" i="2" s="1"/>
  <c r="AH269" i="2" s="1"/>
  <c r="AG275" i="2"/>
  <c r="AG280" i="2" s="1"/>
  <c r="AG276" i="2"/>
  <c r="AG277" i="2" s="1"/>
  <c r="AG278" i="2" l="1"/>
  <c r="AG279" i="2" s="1"/>
  <c r="AG282" i="2" s="1"/>
  <c r="AH283" i="2" s="1"/>
  <c r="AG302" i="2"/>
  <c r="AI311" i="2"/>
  <c r="AG313" i="2"/>
  <c r="AG301" i="2"/>
  <c r="AG290" i="2"/>
  <c r="AG291" i="2" s="1"/>
  <c r="AG292" i="2" s="1"/>
  <c r="AG289" i="2"/>
  <c r="AG294" i="2" s="1"/>
  <c r="AG303" i="2" l="1"/>
  <c r="AG308" i="2" s="1"/>
  <c r="AG304" i="2"/>
  <c r="AG305" i="2" s="1"/>
  <c r="AG316" i="2"/>
  <c r="AI325" i="2"/>
  <c r="AG327" i="2"/>
  <c r="AG315" i="2"/>
  <c r="AG293" i="2"/>
  <c r="AG296" i="2" s="1"/>
  <c r="AH297" i="2" s="1"/>
  <c r="AG330" i="2" l="1"/>
  <c r="AI339" i="2"/>
  <c r="AG329" i="2"/>
  <c r="AG341" i="2"/>
  <c r="AG306" i="2"/>
  <c r="AG307" i="2" s="1"/>
  <c r="AG310" i="2" s="1"/>
  <c r="AH311" i="2" s="1"/>
  <c r="AG317" i="2"/>
  <c r="AG322" i="2" s="1"/>
  <c r="AG318" i="2"/>
  <c r="AG319" i="2" s="1"/>
  <c r="AG320" i="2" s="1"/>
  <c r="AG321" i="2" l="1"/>
  <c r="AG324" i="2" s="1"/>
  <c r="AH325" i="2" s="1"/>
  <c r="AG331" i="2"/>
  <c r="AG336" i="2" s="1"/>
  <c r="AG332" i="2"/>
  <c r="AG333" i="2" s="1"/>
  <c r="AG344" i="2"/>
  <c r="AG343" i="2"/>
  <c r="AG355" i="2"/>
  <c r="AI353" i="2"/>
  <c r="AG357" i="2" l="1"/>
  <c r="AI367" i="2"/>
  <c r="AG369" i="2"/>
  <c r="AG358" i="2"/>
  <c r="AG334" i="2"/>
  <c r="AG335" i="2" s="1"/>
  <c r="AG338" i="2" s="1"/>
  <c r="AH339" i="2" s="1"/>
  <c r="AG346" i="2"/>
  <c r="AG347" i="2" s="1"/>
  <c r="AG345" i="2"/>
  <c r="AG350" i="2" s="1"/>
  <c r="AG359" i="2" l="1"/>
  <c r="AG364" i="2" s="1"/>
  <c r="AG360" i="2"/>
  <c r="AG361" i="2" s="1"/>
  <c r="AG348" i="2"/>
  <c r="AG349" i="2" s="1"/>
  <c r="AG352" i="2" s="1"/>
  <c r="AH353" i="2" s="1"/>
  <c r="AG372" i="2"/>
  <c r="AI381" i="2"/>
  <c r="AG371" i="2"/>
  <c r="AG383" i="2"/>
  <c r="AG362" i="2" l="1"/>
  <c r="AG363" i="2" s="1"/>
  <c r="AG366" i="2" s="1"/>
  <c r="AH367" i="2" s="1"/>
  <c r="AG374" i="2"/>
  <c r="AG375" i="2" s="1"/>
  <c r="AG373" i="2"/>
  <c r="AG378" i="2" s="1"/>
  <c r="AG386" i="2"/>
  <c r="AG397" i="2"/>
  <c r="AG385" i="2"/>
  <c r="AI395" i="2"/>
  <c r="AG387" i="2" l="1"/>
  <c r="AG392" i="2" s="1"/>
  <c r="AG388" i="2"/>
  <c r="AG389" i="2" s="1"/>
  <c r="AG411" i="2"/>
  <c r="AG400" i="2"/>
  <c r="AI409" i="2"/>
  <c r="AG399" i="2"/>
  <c r="AG376" i="2"/>
  <c r="AG377" i="2" s="1"/>
  <c r="AG380" i="2" s="1"/>
  <c r="AH381" i="2" s="1"/>
  <c r="AG413" i="2" l="1"/>
  <c r="AI423" i="2"/>
  <c r="AG414" i="2"/>
  <c r="AG425" i="2"/>
  <c r="AG402" i="2"/>
  <c r="AG403" i="2" s="1"/>
  <c r="AG401" i="2"/>
  <c r="AG406" i="2" s="1"/>
  <c r="AG390" i="2"/>
  <c r="AG391" i="2" s="1"/>
  <c r="AG394" i="2" s="1"/>
  <c r="AH395" i="2" s="1"/>
  <c r="AG404" i="2" l="1"/>
  <c r="AG405" i="2" s="1"/>
  <c r="AG408" i="2" s="1"/>
  <c r="AH409" i="2" s="1"/>
  <c r="AG415" i="2"/>
  <c r="AG420" i="2" s="1"/>
  <c r="AG416" i="2"/>
  <c r="AG417" i="2" s="1"/>
  <c r="AG428" i="2"/>
  <c r="AG427" i="2"/>
  <c r="AG439" i="2"/>
  <c r="AI437" i="2"/>
  <c r="AG430" i="2" l="1"/>
  <c r="AG431" i="2" s="1"/>
  <c r="AG432" i="2" s="1"/>
  <c r="AG429" i="2"/>
  <c r="AG434" i="2" s="1"/>
  <c r="AI451" i="2"/>
  <c r="AG442" i="2"/>
  <c r="AG453" i="2"/>
  <c r="AG441" i="2"/>
  <c r="AG418" i="2"/>
  <c r="AG419" i="2" s="1"/>
  <c r="AG422" i="2" s="1"/>
  <c r="AH423" i="2" s="1"/>
  <c r="AG433" i="2" l="1"/>
  <c r="AG436" i="2" s="1"/>
  <c r="AH437" i="2" s="1"/>
  <c r="AG455" i="2"/>
  <c r="AI465" i="2"/>
  <c r="AG467" i="2"/>
  <c r="AG456" i="2"/>
  <c r="AG443" i="2"/>
  <c r="AG448" i="2" s="1"/>
  <c r="AG444" i="2"/>
  <c r="AG445" i="2" s="1"/>
  <c r="AG446" i="2" s="1"/>
  <c r="AG447" i="2" l="1"/>
  <c r="AG450" i="2" s="1"/>
  <c r="AH451" i="2" s="1"/>
  <c r="AG469" i="2"/>
  <c r="AI479" i="2"/>
  <c r="AG470" i="2"/>
  <c r="AG481" i="2"/>
  <c r="AG458" i="2"/>
  <c r="AG459" i="2" s="1"/>
  <c r="AG460" i="2" s="1"/>
  <c r="AG461" i="2" s="1"/>
  <c r="AG464" i="2" s="1"/>
  <c r="AH465" i="2" s="1"/>
  <c r="AG457" i="2"/>
  <c r="AG462" i="2" s="1"/>
  <c r="AG472" i="2" l="1"/>
  <c r="AG473" i="2" s="1"/>
  <c r="AG474" i="2" s="1"/>
  <c r="AG471" i="2"/>
  <c r="AG476" i="2" s="1"/>
  <c r="AG495" i="2"/>
  <c r="AG483" i="2"/>
  <c r="AI493" i="2"/>
  <c r="AG484" i="2"/>
  <c r="AG475" i="2" l="1"/>
  <c r="AG478" i="2" s="1"/>
  <c r="AH479" i="2" s="1"/>
  <c r="AI507" i="2"/>
  <c r="AG509" i="2"/>
  <c r="AG498" i="2"/>
  <c r="AG497" i="2"/>
  <c r="AG485" i="2"/>
  <c r="AG490" i="2" s="1"/>
  <c r="AG486" i="2"/>
  <c r="AG487" i="2" s="1"/>
  <c r="AG488" i="2" s="1"/>
  <c r="AG489" i="2" l="1"/>
  <c r="AG492" i="2" s="1"/>
  <c r="AH493" i="2" s="1"/>
  <c r="AG523" i="2"/>
  <c r="AI521" i="2"/>
  <c r="AG512" i="2"/>
  <c r="AG511" i="2"/>
  <c r="AG500" i="2"/>
  <c r="AG501" i="2" s="1"/>
  <c r="AG499" i="2"/>
  <c r="AG504" i="2" s="1"/>
  <c r="AG525" i="2" l="1"/>
  <c r="AI535" i="2"/>
  <c r="AG537" i="2"/>
  <c r="AG526" i="2"/>
  <c r="AG502" i="2"/>
  <c r="AG503" i="2" s="1"/>
  <c r="AG506" i="2" s="1"/>
  <c r="AH507" i="2" s="1"/>
  <c r="AG513" i="2"/>
  <c r="AG518" i="2" s="1"/>
  <c r="AG514" i="2"/>
  <c r="AG515" i="2" s="1"/>
  <c r="AG527" i="2" l="1"/>
  <c r="AG532" i="2" s="1"/>
  <c r="AG528" i="2"/>
  <c r="AG529" i="2" s="1"/>
  <c r="AI549" i="2"/>
  <c r="AG540" i="2"/>
  <c r="AG551" i="2"/>
  <c r="AG539" i="2"/>
  <c r="AG516" i="2"/>
  <c r="AG517" i="2" s="1"/>
  <c r="AG520" i="2" s="1"/>
  <c r="AH521" i="2" s="1"/>
  <c r="AI563" i="2" l="1"/>
  <c r="AG554" i="2"/>
  <c r="AG553" i="2"/>
  <c r="AG565" i="2"/>
  <c r="AG542" i="2"/>
  <c r="AG543" i="2" s="1"/>
  <c r="AG544" i="2" s="1"/>
  <c r="AG541" i="2"/>
  <c r="AG546" i="2" s="1"/>
  <c r="AG530" i="2"/>
  <c r="AG531" i="2" s="1"/>
  <c r="AG534" i="2" s="1"/>
  <c r="AH535" i="2" s="1"/>
  <c r="AG545" i="2" l="1"/>
  <c r="AG548" i="2" s="1"/>
  <c r="AH549" i="2" s="1"/>
  <c r="AG556" i="2"/>
  <c r="AG557" i="2" s="1"/>
  <c r="AG558" i="2" s="1"/>
  <c r="AG555" i="2"/>
  <c r="AG560" i="2" s="1"/>
  <c r="AG567" i="2"/>
  <c r="AG579" i="2"/>
  <c r="AG568" i="2"/>
  <c r="AI577" i="2"/>
  <c r="AG559" i="2" l="1"/>
  <c r="AG562" i="2" s="1"/>
  <c r="AH563" i="2" s="1"/>
  <c r="AG570" i="2"/>
  <c r="AG571" i="2" s="1"/>
  <c r="AG572" i="2" s="1"/>
  <c r="AG569" i="2"/>
  <c r="AG574" i="2" s="1"/>
  <c r="AI591" i="2"/>
  <c r="AG581" i="2"/>
  <c r="AG593" i="2"/>
  <c r="AG582" i="2"/>
  <c r="AG573" i="2" l="1"/>
  <c r="AG576" i="2" s="1"/>
  <c r="AH577" i="2" s="1"/>
  <c r="AI605" i="2"/>
  <c r="AG596" i="2"/>
  <c r="AG595" i="2"/>
  <c r="AG607" i="2"/>
  <c r="AG583" i="2"/>
  <c r="AG588" i="2" s="1"/>
  <c r="AG584" i="2"/>
  <c r="AG585" i="2" s="1"/>
  <c r="AG586" i="2" s="1"/>
  <c r="AG587" i="2" l="1"/>
  <c r="AG590" i="2" s="1"/>
  <c r="AH591" i="2" s="1"/>
  <c r="AG597" i="2"/>
  <c r="AG602" i="2" s="1"/>
  <c r="AG598" i="2"/>
  <c r="AG599" i="2" s="1"/>
  <c r="AG600" i="2" s="1"/>
  <c r="AI619" i="2"/>
  <c r="AG621" i="2"/>
  <c r="AG610" i="2"/>
  <c r="AG609" i="2"/>
  <c r="AG601" i="2" l="1"/>
  <c r="AG604" i="2" s="1"/>
  <c r="AH605" i="2" s="1"/>
  <c r="AG623" i="2"/>
  <c r="AG635" i="2"/>
  <c r="AG624" i="2"/>
  <c r="AI633" i="2"/>
  <c r="AG612" i="2"/>
  <c r="AG613" i="2" s="1"/>
  <c r="AG611" i="2"/>
  <c r="AG616" i="2" s="1"/>
  <c r="AG625" i="2" l="1"/>
  <c r="AG630" i="2" s="1"/>
  <c r="AG626" i="2"/>
  <c r="AG627" i="2" s="1"/>
  <c r="AG628" i="2" s="1"/>
  <c r="AG614" i="2"/>
  <c r="AG615" i="2" s="1"/>
  <c r="AG618" i="2" s="1"/>
  <c r="AH619" i="2" s="1"/>
  <c r="AI647" i="2"/>
  <c r="AG637" i="2"/>
  <c r="AG638" i="2"/>
  <c r="AG649" i="2"/>
  <c r="AG629" i="2" l="1"/>
  <c r="AG632" i="2" s="1"/>
  <c r="AH633" i="2" s="1"/>
  <c r="AG640" i="2"/>
  <c r="AG641" i="2" s="1"/>
  <c r="AG642" i="2" s="1"/>
  <c r="AG639" i="2"/>
  <c r="AG644" i="2" s="1"/>
  <c r="AG663" i="2"/>
  <c r="AG652" i="2"/>
  <c r="AI661" i="2"/>
  <c r="AG651" i="2"/>
  <c r="AG643" i="2" l="1"/>
  <c r="AG646" i="2" s="1"/>
  <c r="AH647" i="2" s="1"/>
  <c r="AG654" i="2"/>
  <c r="AG655" i="2" s="1"/>
  <c r="AG653" i="2"/>
  <c r="AG658" i="2" s="1"/>
  <c r="AI675" i="2"/>
  <c r="AG666" i="2"/>
  <c r="AG665" i="2"/>
  <c r="AG677" i="2"/>
  <c r="AG667" i="2" l="1"/>
  <c r="AG672" i="2" s="1"/>
  <c r="AG668" i="2"/>
  <c r="AG669" i="2" s="1"/>
  <c r="AG656" i="2"/>
  <c r="AG657" i="2" s="1"/>
  <c r="AG660" i="2" s="1"/>
  <c r="AH661" i="2" s="1"/>
  <c r="AG680" i="2"/>
  <c r="AG691" i="2"/>
  <c r="AG679" i="2"/>
  <c r="AI689" i="2"/>
  <c r="AI703" i="2" l="1"/>
  <c r="AG694" i="2"/>
  <c r="AG693" i="2"/>
  <c r="AG705" i="2"/>
  <c r="AG670" i="2"/>
  <c r="AG671" i="2" s="1"/>
  <c r="AG674" i="2" s="1"/>
  <c r="AH675" i="2" s="1"/>
  <c r="AG682" i="2"/>
  <c r="AG683" i="2" s="1"/>
  <c r="AG684" i="2" s="1"/>
  <c r="AG681" i="2"/>
  <c r="AG686" i="2" s="1"/>
  <c r="AG685" i="2" l="1"/>
  <c r="AG688" i="2" s="1"/>
  <c r="AH689" i="2" s="1"/>
  <c r="AG695" i="2"/>
  <c r="AG700" i="2" s="1"/>
  <c r="AG696" i="2"/>
  <c r="AG697" i="2" s="1"/>
  <c r="AG698" i="2" s="1"/>
  <c r="AG708" i="2"/>
  <c r="AG719" i="2"/>
  <c r="AG707" i="2"/>
  <c r="AI717" i="2"/>
  <c r="AG699" i="2" l="1"/>
  <c r="AG702" i="2" s="1"/>
  <c r="AH703" i="2" s="1"/>
  <c r="AG710" i="2"/>
  <c r="AG711" i="2" s="1"/>
  <c r="AG712" i="2" s="1"/>
  <c r="AG709" i="2"/>
  <c r="AG714" i="2" s="1"/>
  <c r="AI731" i="2"/>
  <c r="AG721" i="2"/>
  <c r="AG733" i="2"/>
  <c r="AG722" i="2"/>
  <c r="AG713" i="2" l="1"/>
  <c r="AG716" i="2" s="1"/>
  <c r="AH717" i="2" s="1"/>
  <c r="AI745" i="2"/>
  <c r="AG747" i="2"/>
  <c r="AG735" i="2"/>
  <c r="AG736" i="2"/>
  <c r="AG723" i="2"/>
  <c r="AG728" i="2" s="1"/>
  <c r="AG724" i="2"/>
  <c r="AG725" i="2" s="1"/>
  <c r="AG726" i="2" l="1"/>
  <c r="AG727" i="2" s="1"/>
  <c r="AG730" i="2" s="1"/>
  <c r="AH731" i="2" s="1"/>
  <c r="AG738" i="2"/>
  <c r="AG739" i="2" s="1"/>
  <c r="AG737" i="2"/>
  <c r="AG742" i="2" s="1"/>
  <c r="AG749" i="2"/>
  <c r="AG761" i="2"/>
  <c r="AI759" i="2"/>
  <c r="AG750" i="2"/>
  <c r="AG764" i="2" l="1"/>
  <c r="AI773" i="2"/>
  <c r="AG763" i="2"/>
  <c r="AG775" i="2"/>
  <c r="AG740" i="2"/>
  <c r="AG741" i="2" s="1"/>
  <c r="AG744" i="2" s="1"/>
  <c r="AH745" i="2" s="1"/>
  <c r="AG751" i="2"/>
  <c r="AG756" i="2" s="1"/>
  <c r="AG752" i="2"/>
  <c r="AG753" i="2" s="1"/>
  <c r="AG754" i="2" s="1"/>
  <c r="AG755" i="2" l="1"/>
  <c r="AG758" i="2" s="1"/>
  <c r="AH759" i="2" s="1"/>
  <c r="AG765" i="2"/>
  <c r="AG770" i="2" s="1"/>
  <c r="AG766" i="2"/>
  <c r="AG767" i="2" s="1"/>
  <c r="AG778" i="2"/>
  <c r="AG777" i="2"/>
  <c r="AG789" i="2"/>
  <c r="AI787" i="2"/>
  <c r="AI801" i="2" l="1"/>
  <c r="AG792" i="2"/>
  <c r="AG803" i="2"/>
  <c r="AG791" i="2"/>
  <c r="AG768" i="2"/>
  <c r="AG769" i="2" s="1"/>
  <c r="AG772" i="2" s="1"/>
  <c r="AH773" i="2" s="1"/>
  <c r="AG779" i="2"/>
  <c r="AG784" i="2" s="1"/>
  <c r="AG780" i="2"/>
  <c r="AG781" i="2" s="1"/>
  <c r="AG782" i="2" s="1"/>
  <c r="AG783" i="2" l="1"/>
  <c r="AG786" i="2" s="1"/>
  <c r="AH787" i="2" s="1"/>
  <c r="AG805" i="2"/>
  <c r="AG806" i="2"/>
  <c r="AG817" i="2"/>
  <c r="AI815" i="2"/>
  <c r="AG794" i="2"/>
  <c r="AG795" i="2" s="1"/>
  <c r="AG793" i="2"/>
  <c r="AG798" i="2" s="1"/>
  <c r="AG796" i="2" l="1"/>
  <c r="AG797" i="2" s="1"/>
  <c r="AG800" i="2" s="1"/>
  <c r="AH801" i="2" s="1"/>
  <c r="AG808" i="2"/>
  <c r="AG809" i="2" s="1"/>
  <c r="AG807" i="2"/>
  <c r="AG812" i="2" s="1"/>
  <c r="AG819" i="2"/>
  <c r="AG831" i="2"/>
  <c r="AG820" i="2"/>
  <c r="AI829" i="2"/>
  <c r="AG834" i="2" l="1"/>
  <c r="AG833" i="2"/>
  <c r="AG845" i="2"/>
  <c r="AI843" i="2"/>
  <c r="AG822" i="2"/>
  <c r="AG823" i="2" s="1"/>
  <c r="AG821" i="2"/>
  <c r="AG826" i="2" s="1"/>
  <c r="AG810" i="2"/>
  <c r="AG811" i="2" s="1"/>
  <c r="AG814" i="2" s="1"/>
  <c r="AH815" i="2" s="1"/>
  <c r="AG824" i="2" l="1"/>
  <c r="AG825" i="2" s="1"/>
  <c r="AG828" i="2" s="1"/>
  <c r="AH829" i="2" s="1"/>
  <c r="AG835" i="2"/>
  <c r="AG840" i="2" s="1"/>
  <c r="AG836" i="2"/>
  <c r="AG837" i="2" s="1"/>
  <c r="AI857" i="2"/>
  <c r="AG847" i="2"/>
  <c r="AG859" i="2"/>
  <c r="AG848" i="2"/>
  <c r="AG849" i="2" l="1"/>
  <c r="AG854" i="2" s="1"/>
  <c r="AG850" i="2"/>
  <c r="AG851" i="2" s="1"/>
  <c r="AG873" i="2"/>
  <c r="AG861" i="2"/>
  <c r="AI871" i="2"/>
  <c r="AG862" i="2"/>
  <c r="AG838" i="2"/>
  <c r="AG839" i="2" s="1"/>
  <c r="AG842" i="2" s="1"/>
  <c r="AH843" i="2" s="1"/>
  <c r="AG852" i="2" l="1"/>
  <c r="AG853" i="2" s="1"/>
  <c r="AG856" i="2" s="1"/>
  <c r="AH857" i="2" s="1"/>
  <c r="AI885" i="2"/>
  <c r="AG875" i="2"/>
  <c r="AG887" i="2"/>
  <c r="AG876" i="2"/>
  <c r="AG863" i="2"/>
  <c r="AG868" i="2" s="1"/>
  <c r="AG864" i="2"/>
  <c r="AG865" i="2" s="1"/>
  <c r="AG866" i="2" s="1"/>
  <c r="AG867" i="2" l="1"/>
  <c r="AG870" i="2" s="1"/>
  <c r="AH871" i="2" s="1"/>
  <c r="AI899" i="2"/>
  <c r="AG901" i="2"/>
  <c r="AG890" i="2"/>
  <c r="AG889" i="2"/>
  <c r="AG878" i="2"/>
  <c r="AG879" i="2" s="1"/>
  <c r="AG877" i="2"/>
  <c r="AG882" i="2" s="1"/>
  <c r="AG880" i="2" l="1"/>
  <c r="AG881" i="2" s="1"/>
  <c r="AG884" i="2" s="1"/>
  <c r="AH885" i="2" s="1"/>
  <c r="AG915" i="2"/>
  <c r="AI913" i="2"/>
  <c r="AG904" i="2"/>
  <c r="AG903" i="2"/>
  <c r="AG891" i="2"/>
  <c r="AG896" i="2" s="1"/>
  <c r="AG892" i="2"/>
  <c r="AG893" i="2" s="1"/>
  <c r="AG894" i="2" s="1"/>
  <c r="AG895" i="2" l="1"/>
  <c r="AG898" i="2" s="1"/>
  <c r="AH899" i="2" s="1"/>
  <c r="AG918" i="2"/>
  <c r="AG929" i="2"/>
  <c r="AI927" i="2"/>
  <c r="AG917" i="2"/>
  <c r="AG905" i="2"/>
  <c r="AG910" i="2" s="1"/>
  <c r="AG906" i="2"/>
  <c r="AG907" i="2" s="1"/>
  <c r="AG908" i="2" s="1"/>
  <c r="AG909" i="2" l="1"/>
  <c r="AG912" i="2" s="1"/>
  <c r="AH913" i="2" s="1"/>
  <c r="AG919" i="2"/>
  <c r="AG924" i="2" s="1"/>
  <c r="AG920" i="2"/>
  <c r="AG921" i="2" s="1"/>
  <c r="AG943" i="2"/>
  <c r="AG932" i="2"/>
  <c r="AI941" i="2"/>
  <c r="AG931" i="2"/>
  <c r="AG922" i="2" l="1"/>
  <c r="AG923" i="2" s="1"/>
  <c r="AG926" i="2" s="1"/>
  <c r="AH927" i="2" s="1"/>
  <c r="AI955" i="2"/>
  <c r="AG945" i="2"/>
  <c r="AG946" i="2"/>
  <c r="AG957" i="2"/>
  <c r="AG934" i="2"/>
  <c r="AG935" i="2" s="1"/>
  <c r="AG936" i="2" s="1"/>
  <c r="AG933" i="2"/>
  <c r="AG938" i="2" s="1"/>
  <c r="AG948" i="2" l="1"/>
  <c r="AG949" i="2" s="1"/>
  <c r="AG950" i="2" s="1"/>
  <c r="AG947" i="2"/>
  <c r="AG952" i="2" s="1"/>
  <c r="AG971" i="2"/>
  <c r="AG960" i="2"/>
  <c r="AG959" i="2"/>
  <c r="AI969" i="2"/>
  <c r="AG937" i="2"/>
  <c r="AG940" i="2" s="1"/>
  <c r="AH941" i="2" s="1"/>
  <c r="AG951" i="2" l="1"/>
  <c r="AG954" i="2" s="1"/>
  <c r="AH955" i="2" s="1"/>
  <c r="AG974" i="2"/>
  <c r="AI983" i="2"/>
  <c r="AG973" i="2"/>
  <c r="AG985" i="2"/>
  <c r="AG961" i="2"/>
  <c r="AG966" i="2" s="1"/>
  <c r="AG962" i="2"/>
  <c r="AG963" i="2" s="1"/>
  <c r="AG964" i="2" s="1"/>
  <c r="AG965" i="2" l="1"/>
  <c r="AG968" i="2" s="1"/>
  <c r="AH969" i="2" s="1"/>
  <c r="AG988" i="2"/>
  <c r="AG999" i="2"/>
  <c r="AI997" i="2"/>
  <c r="AG987" i="2"/>
  <c r="AG976" i="2"/>
  <c r="AG977" i="2" s="1"/>
  <c r="AG978" i="2" s="1"/>
  <c r="AG979" i="2" s="1"/>
  <c r="AG982" i="2" s="1"/>
  <c r="AH983" i="2" s="1"/>
  <c r="AG975" i="2"/>
  <c r="AG980" i="2" s="1"/>
  <c r="AI1011" i="2" l="1"/>
  <c r="AG1001" i="2"/>
  <c r="AG1002" i="2"/>
  <c r="AG1013" i="2"/>
  <c r="AG990" i="2"/>
  <c r="AG991" i="2" s="1"/>
  <c r="AG992" i="2" s="1"/>
  <c r="AG993" i="2" s="1"/>
  <c r="AG996" i="2" s="1"/>
  <c r="AH997" i="2" s="1"/>
  <c r="AG989" i="2"/>
  <c r="AG994" i="2" s="1"/>
  <c r="AG1003" i="2" l="1"/>
  <c r="AG1008" i="2" s="1"/>
  <c r="AG1004" i="2"/>
  <c r="AG1005" i="2" s="1"/>
  <c r="AG1006" i="2" s="1"/>
  <c r="AG1016" i="2"/>
  <c r="AG1027" i="2"/>
  <c r="AI1025" i="2"/>
  <c r="AG1015" i="2"/>
  <c r="AG1007" i="2" l="1"/>
  <c r="AG1010" i="2" s="1"/>
  <c r="AH1011" i="2" s="1"/>
  <c r="AG1017" i="2"/>
  <c r="AG1022" i="2" s="1"/>
  <c r="AG1018" i="2"/>
  <c r="AG1019" i="2" s="1"/>
  <c r="AG1041" i="2"/>
  <c r="AG1030" i="2"/>
  <c r="AI1039" i="2"/>
  <c r="AG1029" i="2"/>
  <c r="AG1031" i="2" l="1"/>
  <c r="AG1036" i="2" s="1"/>
  <c r="AG1032" i="2"/>
  <c r="AG1033" i="2" s="1"/>
  <c r="AG1044" i="2"/>
  <c r="AI1053" i="2"/>
  <c r="AG1043" i="2"/>
  <c r="AG1055" i="2"/>
  <c r="AG1020" i="2"/>
  <c r="AG1021" i="2" s="1"/>
  <c r="AG1024" i="2" s="1"/>
  <c r="AH1025" i="2" s="1"/>
  <c r="AG1046" i="2" l="1"/>
  <c r="AG1047" i="2" s="1"/>
  <c r="AG1048" i="2" s="1"/>
  <c r="AG1045" i="2"/>
  <c r="AG1050" i="2" s="1"/>
  <c r="AG1058" i="2"/>
  <c r="AG1069" i="2"/>
  <c r="AI1067" i="2"/>
  <c r="AG1057" i="2"/>
  <c r="AG1034" i="2"/>
  <c r="AG1035" i="2" s="1"/>
  <c r="AG1038" i="2" s="1"/>
  <c r="AH1039" i="2" s="1"/>
  <c r="AG1049" i="2" l="1"/>
  <c r="AG1052" i="2" s="1"/>
  <c r="AH1053" i="2" s="1"/>
  <c r="AG1059" i="2"/>
  <c r="AG1064" i="2" s="1"/>
  <c r="AG1060" i="2"/>
  <c r="AG1061" i="2" s="1"/>
  <c r="AG1062" i="2" s="1"/>
  <c r="AI1081" i="2"/>
  <c r="AG1071" i="2"/>
  <c r="AG1072" i="2"/>
  <c r="AG1083" i="2"/>
  <c r="AG1063" i="2" l="1"/>
  <c r="AG1066" i="2" s="1"/>
  <c r="AH1067" i="2" s="1"/>
  <c r="AG1085" i="2"/>
  <c r="AG1097" i="2"/>
  <c r="AI1095" i="2"/>
  <c r="AG1086" i="2"/>
  <c r="AG1073" i="2"/>
  <c r="AG1078" i="2" s="1"/>
  <c r="AG1074" i="2"/>
  <c r="AG1075" i="2" s="1"/>
  <c r="AG1087" i="2" l="1"/>
  <c r="AG1092" i="2" s="1"/>
  <c r="AG1088" i="2"/>
  <c r="AG1089" i="2" s="1"/>
  <c r="AG1090" i="2" s="1"/>
  <c r="AI1109" i="2"/>
  <c r="AG1100" i="2"/>
  <c r="AG1099" i="2"/>
  <c r="AG1111" i="2"/>
  <c r="AG1076" i="2"/>
  <c r="AG1077" i="2" s="1"/>
  <c r="AG1080" i="2" s="1"/>
  <c r="AH1081" i="2" s="1"/>
  <c r="AG1091" i="2" l="1"/>
  <c r="AG1094" i="2" s="1"/>
  <c r="AH1095" i="2" s="1"/>
  <c r="AG1101" i="2"/>
  <c r="AG1106" i="2" s="1"/>
  <c r="AG1102" i="2"/>
  <c r="AG1103" i="2" s="1"/>
  <c r="AG1114" i="2"/>
  <c r="AI1123" i="2"/>
  <c r="AG1113" i="2"/>
  <c r="AG1125" i="2"/>
  <c r="AG1115" i="2" l="1"/>
  <c r="AG1120" i="2" s="1"/>
  <c r="AG1116" i="2"/>
  <c r="AG1117" i="2" s="1"/>
  <c r="AG1118" i="2" s="1"/>
  <c r="AI1137" i="2"/>
  <c r="AG1128" i="2"/>
  <c r="AG1127" i="2"/>
  <c r="AG1139" i="2"/>
  <c r="AG1104" i="2"/>
  <c r="AG1105" i="2" s="1"/>
  <c r="AG1108" i="2" s="1"/>
  <c r="AH1109" i="2" s="1"/>
  <c r="AG1119" i="2" l="1"/>
  <c r="AG1122" i="2" s="1"/>
  <c r="AH1123" i="2" s="1"/>
  <c r="AG1130" i="2"/>
  <c r="AG1131" i="2" s="1"/>
  <c r="AG1132" i="2" s="1"/>
  <c r="AG1129" i="2"/>
  <c r="AG1134" i="2" s="1"/>
  <c r="AI1151" i="2"/>
  <c r="AG1142" i="2"/>
  <c r="AG1141" i="2"/>
  <c r="AG1153" i="2"/>
  <c r="AG1133" i="2" l="1"/>
  <c r="AG1136" i="2" s="1"/>
  <c r="AH1137" i="2" s="1"/>
  <c r="AG1144" i="2"/>
  <c r="AG1145" i="2" s="1"/>
  <c r="AG1146" i="2" s="1"/>
  <c r="AG1143" i="2"/>
  <c r="AG1148" i="2" s="1"/>
  <c r="AG1156" i="2"/>
  <c r="AG1155" i="2"/>
  <c r="AG1167" i="2"/>
  <c r="AI1165" i="2"/>
  <c r="AG1147" i="2" l="1"/>
  <c r="AG1150" i="2" s="1"/>
  <c r="AH1151" i="2" s="1"/>
  <c r="AG1169" i="2"/>
  <c r="AG1170" i="2"/>
  <c r="AI1179" i="2"/>
  <c r="AG1181" i="2"/>
  <c r="AG1157" i="2"/>
  <c r="AG1162" i="2" s="1"/>
  <c r="AG1158" i="2"/>
  <c r="AG1159" i="2" s="1"/>
  <c r="AG1160" i="2" l="1"/>
  <c r="AG1161" i="2" s="1"/>
  <c r="AG1164" i="2" s="1"/>
  <c r="AH1165" i="2" s="1"/>
  <c r="AG1172" i="2"/>
  <c r="AG1173" i="2" s="1"/>
  <c r="AG1174" i="2" s="1"/>
  <c r="AG1171" i="2"/>
  <c r="AG1176" i="2" s="1"/>
  <c r="AG1184" i="2"/>
  <c r="AG1195" i="2"/>
  <c r="AI1193" i="2"/>
  <c r="AG1183" i="2"/>
  <c r="AG1175" i="2" l="1"/>
  <c r="AG1178" i="2" s="1"/>
  <c r="AH1179" i="2" s="1"/>
  <c r="AG1209" i="2"/>
  <c r="AI1207" i="2"/>
  <c r="AG1197" i="2"/>
  <c r="AG1198" i="2"/>
  <c r="AG1186" i="2"/>
  <c r="AG1187" i="2" s="1"/>
  <c r="AG1185" i="2"/>
  <c r="AG1190" i="2" s="1"/>
  <c r="AI1221" i="2" l="1"/>
  <c r="AG1212" i="2"/>
  <c r="AG1211" i="2"/>
  <c r="AG1223" i="2"/>
  <c r="AG1188" i="2"/>
  <c r="AG1189" i="2" s="1"/>
  <c r="AG1192" i="2" s="1"/>
  <c r="AH1193" i="2" s="1"/>
  <c r="AG1199" i="2"/>
  <c r="AG1204" i="2" s="1"/>
  <c r="AG1200" i="2"/>
  <c r="AG1213" i="2" l="1"/>
  <c r="AG1218" i="2" s="1"/>
  <c r="AG1214" i="2"/>
  <c r="AG1201" i="2"/>
  <c r="AG1202" i="2" s="1"/>
  <c r="AG1203" i="2" s="1"/>
  <c r="AG1206" i="2" s="1"/>
  <c r="AH1207" i="2" s="1"/>
  <c r="AG1237" i="2"/>
  <c r="AI1235" i="2"/>
  <c r="AG1225" i="2"/>
  <c r="AG1226" i="2"/>
  <c r="AG1251" i="2" l="1"/>
  <c r="AI1249" i="2"/>
  <c r="AG1240" i="2"/>
  <c r="AG1239" i="2"/>
  <c r="AG1215" i="2"/>
  <c r="AG1216" i="2" s="1"/>
  <c r="AG1217" i="2" s="1"/>
  <c r="AG1220" i="2" s="1"/>
  <c r="AH1221" i="2" s="1"/>
  <c r="AG1227" i="2"/>
  <c r="AG1232" i="2" s="1"/>
  <c r="AG1228" i="2"/>
  <c r="AG1254" i="2" l="1"/>
  <c r="AG1265" i="2"/>
  <c r="AG1253" i="2"/>
  <c r="AI1263" i="2"/>
  <c r="AG1229" i="2"/>
  <c r="AG1230" i="2" s="1"/>
  <c r="AG1231" i="2" s="1"/>
  <c r="AG1234" i="2" s="1"/>
  <c r="AH1235" i="2" s="1"/>
  <c r="AG1242" i="2"/>
  <c r="AG1241" i="2"/>
  <c r="AG1246" i="2" s="1"/>
  <c r="AI1277" i="2" l="1"/>
  <c r="AG1268" i="2"/>
  <c r="AG1267" i="2"/>
  <c r="AG1279" i="2"/>
  <c r="AG1243" i="2"/>
  <c r="AG1244" i="2" s="1"/>
  <c r="AG1245" i="2" s="1"/>
  <c r="AG1248" i="2" s="1"/>
  <c r="AH1249" i="2" s="1"/>
  <c r="AG1255" i="2"/>
  <c r="AG1260" i="2" s="1"/>
  <c r="AG1256" i="2"/>
  <c r="AG1269" i="2" l="1"/>
  <c r="AG1274" i="2" s="1"/>
  <c r="AG1270" i="2"/>
  <c r="AG1257" i="2"/>
  <c r="AG1258" i="2" s="1"/>
  <c r="AG1259" i="2" s="1"/>
  <c r="AG1262" i="2" s="1"/>
  <c r="AH1263" i="2" s="1"/>
  <c r="AG1281" i="2"/>
  <c r="AG1282" i="2"/>
  <c r="AG1293" i="2"/>
  <c r="AI1291" i="2"/>
  <c r="AG1271" i="2" l="1"/>
  <c r="AG1272" i="2" s="1"/>
  <c r="AG1273" i="2" s="1"/>
  <c r="AG1276" i="2" s="1"/>
  <c r="AH1277" i="2" s="1"/>
  <c r="AG1295" i="2"/>
  <c r="AI1305" i="2"/>
  <c r="AG1296" i="2"/>
  <c r="AG1307" i="2"/>
  <c r="AG1284" i="2"/>
  <c r="AG1283" i="2"/>
  <c r="AG1288" i="2" s="1"/>
  <c r="AG1285" i="2" l="1"/>
  <c r="AG1286" i="2" s="1"/>
  <c r="AG1287" i="2" s="1"/>
  <c r="AG1290" i="2" s="1"/>
  <c r="AH1291" i="2" s="1"/>
  <c r="AG1298" i="2"/>
  <c r="AG1297" i="2"/>
  <c r="AG1302" i="2" s="1"/>
  <c r="AG1309" i="2"/>
  <c r="AG1321" i="2"/>
  <c r="AI1319" i="2"/>
  <c r="AG1310" i="2"/>
  <c r="AG1312" i="2" l="1"/>
  <c r="AG1311" i="2"/>
  <c r="AG1316" i="2" s="1"/>
  <c r="AG1324" i="2"/>
  <c r="AG1323" i="2"/>
  <c r="AG1335" i="2"/>
  <c r="AI1333" i="2"/>
  <c r="AG1299" i="2"/>
  <c r="AG1349" i="2" l="1"/>
  <c r="AI1347" i="2"/>
  <c r="AG1337" i="2"/>
  <c r="AG1338" i="2"/>
  <c r="AG1313" i="2"/>
  <c r="AG1300" i="2"/>
  <c r="AG1301" i="2" s="1"/>
  <c r="AG1304" i="2" s="1"/>
  <c r="AH1305" i="2" s="1"/>
  <c r="AG1325" i="2"/>
  <c r="AG1330" i="2" s="1"/>
  <c r="AG1326" i="2"/>
  <c r="AG1351" i="2" l="1"/>
  <c r="AG1352" i="2"/>
  <c r="AG1363" i="2"/>
  <c r="AI1361" i="2"/>
  <c r="AG1327" i="2"/>
  <c r="AG1328" i="2" s="1"/>
  <c r="AG1329" i="2" s="1"/>
  <c r="AG1332" i="2" s="1"/>
  <c r="AH1333" i="2" s="1"/>
  <c r="AG1314" i="2"/>
  <c r="AG1315" i="2" s="1"/>
  <c r="AG1318" i="2" s="1"/>
  <c r="AH1319" i="2" s="1"/>
  <c r="AG1339" i="2"/>
  <c r="AG1344" i="2" s="1"/>
  <c r="AG1340" i="2"/>
  <c r="AG1354" i="2" l="1"/>
  <c r="AG1353" i="2"/>
  <c r="AG1358" i="2" s="1"/>
  <c r="AG1341" i="2"/>
  <c r="AG1342" i="2" s="1"/>
  <c r="AG1343" i="2" s="1"/>
  <c r="AG1346" i="2" s="1"/>
  <c r="AH1347" i="2" s="1"/>
  <c r="AI1375" i="2"/>
  <c r="AG1366" i="2"/>
  <c r="AG1377" i="2"/>
  <c r="AG1365" i="2"/>
  <c r="AG1379" i="2" l="1"/>
  <c r="AG1391" i="2"/>
  <c r="AI1389" i="2"/>
  <c r="AG1380" i="2"/>
  <c r="AG1355" i="2"/>
  <c r="AG1367" i="2"/>
  <c r="AG1372" i="2" s="1"/>
  <c r="AG1368" i="2"/>
  <c r="AG1369" i="2" l="1"/>
  <c r="AG1381" i="2"/>
  <c r="AG1386" i="2" s="1"/>
  <c r="AG1382" i="2"/>
  <c r="AG1356" i="2"/>
  <c r="AG1357" i="2" s="1"/>
  <c r="AG1360" i="2" s="1"/>
  <c r="AH1361" i="2" s="1"/>
  <c r="AG1393" i="2"/>
  <c r="AG1405" i="2"/>
  <c r="AG1394" i="2"/>
  <c r="AI1403" i="2"/>
  <c r="AG1370" i="2" l="1"/>
  <c r="AG1371" i="2" s="1"/>
  <c r="AG1374" i="2" s="1"/>
  <c r="AH1375" i="2" s="1"/>
  <c r="AG1396" i="2"/>
  <c r="AG1395" i="2"/>
  <c r="AG1400" i="2" s="1"/>
  <c r="AG1408" i="2"/>
  <c r="AG1419" i="2"/>
  <c r="AG1407" i="2"/>
  <c r="AI1417" i="2"/>
  <c r="AG1383" i="2"/>
  <c r="AG1384" i="2" s="1"/>
  <c r="AG1385" i="2" s="1"/>
  <c r="AG1388" i="2" s="1"/>
  <c r="AH1389" i="2" s="1"/>
  <c r="AG1433" i="2" l="1"/>
  <c r="AI1431" i="2"/>
  <c r="AG1421" i="2"/>
  <c r="AG1422" i="2"/>
  <c r="AG1409" i="2"/>
  <c r="AG1414" i="2" s="1"/>
  <c r="AG1410" i="2"/>
  <c r="AG1397" i="2"/>
  <c r="AG1398" i="2" s="1"/>
  <c r="AG1399" i="2" s="1"/>
  <c r="AG1402" i="2" s="1"/>
  <c r="AH1403" i="2" s="1"/>
  <c r="AG1436" i="2" l="1"/>
  <c r="AI1445" i="2"/>
  <c r="AG1435" i="2"/>
  <c r="AG1447" i="2"/>
  <c r="AG1423" i="2"/>
  <c r="AG1428" i="2" s="1"/>
  <c r="AG1424" i="2"/>
  <c r="AG1411" i="2"/>
  <c r="AG1425" i="2" l="1"/>
  <c r="AG1426" i="2" s="1"/>
  <c r="AG1427" i="2" s="1"/>
  <c r="AG1430" i="2" s="1"/>
  <c r="AH1431" i="2" s="1"/>
  <c r="AG1412" i="2"/>
  <c r="AG1413" i="2" s="1"/>
  <c r="AG1416" i="2" s="1"/>
  <c r="AH1417" i="2" s="1"/>
  <c r="AG1438" i="2"/>
  <c r="AG1437" i="2"/>
  <c r="AG1442" i="2" s="1"/>
  <c r="AI1459" i="2"/>
  <c r="AG1449" i="2"/>
  <c r="AG1461" i="2"/>
  <c r="AG1450" i="2"/>
  <c r="AG1439" i="2" l="1"/>
  <c r="AG1475" i="2"/>
  <c r="AG1464" i="2"/>
  <c r="AI1473" i="2"/>
  <c r="AG1463" i="2"/>
  <c r="AG1452" i="2"/>
  <c r="AG1451" i="2"/>
  <c r="AG1456" i="2" s="1"/>
  <c r="AG1440" i="2" l="1"/>
  <c r="AG1441" i="2" s="1"/>
  <c r="AG1444" i="2" s="1"/>
  <c r="AH1445" i="2" s="1"/>
  <c r="AG1466" i="2"/>
  <c r="AG1465" i="2"/>
  <c r="AG1470" i="2" s="1"/>
  <c r="AG1453" i="2"/>
  <c r="AG1454" i="2" s="1"/>
  <c r="AG1455" i="2" s="1"/>
  <c r="AG1458" i="2" s="1"/>
  <c r="AH1459" i="2" s="1"/>
  <c r="AG1478" i="2"/>
  <c r="AG1489" i="2"/>
  <c r="AG1477" i="2"/>
  <c r="AI1487" i="2"/>
  <c r="AI1501" i="2" l="1"/>
  <c r="AG1503" i="2"/>
  <c r="AG1492" i="2"/>
  <c r="AG1491" i="2"/>
  <c r="AG1479" i="2"/>
  <c r="AG1484" i="2" s="1"/>
  <c r="AG1480" i="2"/>
  <c r="AG1467" i="2"/>
  <c r="AI1515" i="2" l="1"/>
  <c r="AG1505" i="2"/>
  <c r="AG1506" i="2"/>
  <c r="AG1517" i="2"/>
  <c r="AG1481" i="2"/>
  <c r="AG1468" i="2"/>
  <c r="AG1469" i="2" s="1"/>
  <c r="AG1472" i="2" s="1"/>
  <c r="AH1473" i="2" s="1"/>
  <c r="AG1493" i="2"/>
  <c r="AG1498" i="2" s="1"/>
  <c r="AG1494" i="2"/>
  <c r="AG1482" i="2" l="1"/>
  <c r="AG1483" i="2" s="1"/>
  <c r="AG1486" i="2" s="1"/>
  <c r="AH1487" i="2" s="1"/>
  <c r="AG1495" i="2"/>
  <c r="AG1496" i="2" s="1"/>
  <c r="AG1497" i="2" s="1"/>
  <c r="AG1500" i="2" s="1"/>
  <c r="AH1501" i="2" s="1"/>
  <c r="AG1508" i="2"/>
  <c r="AG1507" i="2"/>
  <c r="AG1512" i="2" s="1"/>
  <c r="AG1531" i="2"/>
  <c r="AG1519" i="2"/>
  <c r="AG1520" i="2"/>
  <c r="AI1529" i="2"/>
  <c r="AG1509" i="2" l="1"/>
  <c r="AG1510" i="2" s="1"/>
  <c r="AG1511" i="2" s="1"/>
  <c r="AG1514" i="2" s="1"/>
  <c r="AH1515" i="2" s="1"/>
  <c r="AI1543" i="2"/>
  <c r="AG1534" i="2"/>
  <c r="AG1533" i="2"/>
  <c r="AG1545" i="2"/>
  <c r="AG1522" i="2"/>
  <c r="AG1521" i="2"/>
  <c r="AG1526" i="2" s="1"/>
  <c r="AG1523" i="2" l="1"/>
  <c r="AG1524" i="2" s="1"/>
  <c r="AG1525" i="2" s="1"/>
  <c r="AG1528" i="2" s="1"/>
  <c r="AH1529" i="2" s="1"/>
  <c r="AG1535" i="2"/>
  <c r="AG1540" i="2" s="1"/>
  <c r="AG1536" i="2"/>
  <c r="AG1547" i="2"/>
  <c r="AI1557" i="2"/>
  <c r="AG1548" i="2"/>
  <c r="AG1559" i="2"/>
  <c r="AG1550" i="2" l="1"/>
  <c r="AG1549" i="2"/>
  <c r="AG1554" i="2" s="1"/>
  <c r="AI1571" i="2"/>
  <c r="AG1562" i="2"/>
  <c r="AG1573" i="2"/>
  <c r="AG1561" i="2"/>
  <c r="AG1537" i="2"/>
  <c r="AG1538" i="2" s="1"/>
  <c r="AG1539" i="2" s="1"/>
  <c r="AG1542" i="2" s="1"/>
  <c r="AH1543" i="2" s="1"/>
  <c r="AG1551" i="2" l="1"/>
  <c r="AG1552" i="2" s="1"/>
  <c r="AG1553" i="2" s="1"/>
  <c r="AG1556" i="2" s="1"/>
  <c r="AH1557" i="2" s="1"/>
  <c r="AG1575" i="2"/>
  <c r="AG1576" i="2"/>
  <c r="AG1587" i="2"/>
  <c r="AI1585" i="2"/>
  <c r="AG1564" i="2"/>
  <c r="AG1563" i="2"/>
  <c r="AG1568" i="2" s="1"/>
  <c r="AI1599" i="2" l="1"/>
  <c r="AG1589" i="2"/>
  <c r="AG1590" i="2"/>
  <c r="AG1601" i="2"/>
  <c r="AG1565" i="2"/>
  <c r="AG1566" i="2" s="1"/>
  <c r="AG1567" i="2" s="1"/>
  <c r="AG1570" i="2" s="1"/>
  <c r="AH1571" i="2" s="1"/>
  <c r="AG1578" i="2"/>
  <c r="AG1577" i="2"/>
  <c r="AG1582" i="2" s="1"/>
  <c r="AG1579" i="2" l="1"/>
  <c r="AG1591" i="2"/>
  <c r="AG1596" i="2" s="1"/>
  <c r="AG1592" i="2"/>
  <c r="AG1615" i="2"/>
  <c r="AG1603" i="2"/>
  <c r="AI1613" i="2"/>
  <c r="AG1604" i="2"/>
  <c r="AG1617" i="2" l="1"/>
  <c r="AG1629" i="2"/>
  <c r="AI1627" i="2"/>
  <c r="AG1618" i="2"/>
  <c r="AG1580" i="2"/>
  <c r="AG1581" i="2" s="1"/>
  <c r="AG1584" i="2" s="1"/>
  <c r="AH1585" i="2" s="1"/>
  <c r="AG1605" i="2"/>
  <c r="AG1610" i="2" s="1"/>
  <c r="AG1606" i="2"/>
  <c r="AG1593" i="2"/>
  <c r="AG1619" i="2" l="1"/>
  <c r="AG1624" i="2" s="1"/>
  <c r="AG1620" i="2"/>
  <c r="AG1594" i="2"/>
  <c r="AG1595" i="2" s="1"/>
  <c r="AG1598" i="2" s="1"/>
  <c r="AH1599" i="2" s="1"/>
  <c r="AG1631" i="2"/>
  <c r="AG1632" i="2"/>
  <c r="AG1643" i="2"/>
  <c r="AI1641" i="2"/>
  <c r="AG1607" i="2"/>
  <c r="AI1655" i="2" l="1"/>
  <c r="AG1646" i="2"/>
  <c r="AG1645" i="2"/>
  <c r="AG1657" i="2"/>
  <c r="AG1634" i="2"/>
  <c r="AG1633" i="2"/>
  <c r="AG1638" i="2" s="1"/>
  <c r="AG1608" i="2"/>
  <c r="AG1609" i="2" s="1"/>
  <c r="AG1612" i="2" s="1"/>
  <c r="AH1613" i="2" s="1"/>
  <c r="AG1621" i="2"/>
  <c r="AG1622" i="2" s="1"/>
  <c r="AG1623" i="2" s="1"/>
  <c r="AG1626" i="2" s="1"/>
  <c r="AH1627" i="2" s="1"/>
  <c r="AG1635" i="2" l="1"/>
  <c r="AG1636" i="2" s="1"/>
  <c r="AG1637" i="2" s="1"/>
  <c r="AG1640" i="2" s="1"/>
  <c r="AH1641" i="2" s="1"/>
  <c r="AG1647" i="2"/>
  <c r="AG1652" i="2" s="1"/>
  <c r="AG1648" i="2"/>
  <c r="AG1660" i="2"/>
  <c r="AG1659" i="2"/>
  <c r="AG1671" i="2"/>
  <c r="AI1669" i="2"/>
  <c r="AG1661" i="2" l="1"/>
  <c r="AG1666" i="2" s="1"/>
  <c r="AG1662" i="2"/>
  <c r="AG1673" i="2"/>
  <c r="AG1674" i="2"/>
  <c r="AI1683" i="2"/>
  <c r="AG1685" i="2"/>
  <c r="AG1649" i="2"/>
  <c r="AG1650" i="2" s="1"/>
  <c r="AG1651" i="2" s="1"/>
  <c r="AG1654" i="2" s="1"/>
  <c r="AH1655" i="2" s="1"/>
  <c r="AG1699" i="2" l="1"/>
  <c r="AG1687" i="2"/>
  <c r="AI1697" i="2"/>
  <c r="AG1688" i="2"/>
  <c r="AG1663" i="2"/>
  <c r="AG1664" i="2" s="1"/>
  <c r="AG1665" i="2" s="1"/>
  <c r="AG1668" i="2" s="1"/>
  <c r="AH1669" i="2" s="1"/>
  <c r="AG1675" i="2"/>
  <c r="AG1680" i="2" s="1"/>
  <c r="AG1676" i="2"/>
  <c r="AG1713" i="2" l="1"/>
  <c r="AI1711" i="2"/>
  <c r="AG1702" i="2"/>
  <c r="AG1701" i="2"/>
  <c r="AG1690" i="2"/>
  <c r="AG1689" i="2"/>
  <c r="AG1694" i="2" s="1"/>
  <c r="AG1677" i="2"/>
  <c r="AG1678" i="2" s="1"/>
  <c r="AG1679" i="2" s="1"/>
  <c r="AG1682" i="2" s="1"/>
  <c r="AH1683" i="2" s="1"/>
  <c r="AG1691" i="2" l="1"/>
  <c r="AG1727" i="2"/>
  <c r="AG1716" i="2"/>
  <c r="AI1725" i="2"/>
  <c r="AG1715" i="2"/>
  <c r="AG1703" i="2"/>
  <c r="AG1708" i="2" s="1"/>
  <c r="AG1704" i="2"/>
  <c r="AG1718" i="2" l="1"/>
  <c r="AG1717" i="2"/>
  <c r="AG1722" i="2" s="1"/>
  <c r="AG1692" i="2"/>
  <c r="AG1693" i="2" s="1"/>
  <c r="AG1696" i="2" s="1"/>
  <c r="AH1697" i="2" s="1"/>
  <c r="AI1739" i="2"/>
  <c r="AG1730" i="2"/>
  <c r="AG1741" i="2"/>
  <c r="AG1729" i="2"/>
  <c r="AG1705" i="2"/>
  <c r="AG1719" i="2" l="1"/>
  <c r="AG1706" i="2"/>
  <c r="AG1707" i="2" s="1"/>
  <c r="AG1710" i="2" s="1"/>
  <c r="AH1711" i="2" s="1"/>
  <c r="AG1743" i="2"/>
  <c r="AG1744" i="2"/>
  <c r="AG1755" i="2"/>
  <c r="AI1753" i="2"/>
  <c r="AG1732" i="2"/>
  <c r="AG1731" i="2"/>
  <c r="AG1736" i="2" s="1"/>
  <c r="AG1746" i="2" l="1"/>
  <c r="AG1745" i="2"/>
  <c r="AG1750" i="2" s="1"/>
  <c r="AG1720" i="2"/>
  <c r="AG1721" i="2" s="1"/>
  <c r="AG1724" i="2" s="1"/>
  <c r="AH1725" i="2" s="1"/>
  <c r="AG1733" i="2"/>
  <c r="AG1734" i="2" s="1"/>
  <c r="AG1735" i="2" s="1"/>
  <c r="AG1738" i="2" s="1"/>
  <c r="AH1739" i="2" s="1"/>
  <c r="AG1758" i="2"/>
  <c r="AG1757" i="2"/>
  <c r="AI1767" i="2"/>
  <c r="AG1769" i="2"/>
  <c r="AG1747" i="2" l="1"/>
  <c r="AG1748" i="2" s="1"/>
  <c r="AG1749" i="2" s="1"/>
  <c r="AG1752" i="2" s="1"/>
  <c r="AH1753" i="2" s="1"/>
  <c r="AG1783" i="2"/>
  <c r="AG1771" i="2"/>
  <c r="AI1781" i="2"/>
  <c r="AG1772" i="2"/>
  <c r="AG1759" i="2"/>
  <c r="AG1764" i="2" s="1"/>
  <c r="AG1760" i="2"/>
  <c r="AG1761" i="2" l="1"/>
  <c r="AG1797" i="2"/>
  <c r="AG1786" i="2"/>
  <c r="AG1785" i="2"/>
  <c r="AI1795" i="2"/>
  <c r="AG1774" i="2"/>
  <c r="AG1773" i="2"/>
  <c r="AG1778" i="2" s="1"/>
  <c r="AG1788" i="2" l="1"/>
  <c r="AG1787" i="2"/>
  <c r="AG1792" i="2" s="1"/>
  <c r="AG1762" i="2"/>
  <c r="AG1763" i="2" s="1"/>
  <c r="AG1766" i="2" s="1"/>
  <c r="AH1767" i="2" s="1"/>
  <c r="AG1775" i="2"/>
  <c r="AG1776" i="2" s="1"/>
  <c r="AG1777" i="2" s="1"/>
  <c r="AG1780" i="2" s="1"/>
  <c r="AH1781" i="2" s="1"/>
  <c r="AG1799" i="2"/>
  <c r="AG1811" i="2"/>
  <c r="AI1809" i="2"/>
  <c r="AG1800" i="2"/>
  <c r="AG1789" i="2" l="1"/>
  <c r="AG1790" i="2" s="1"/>
  <c r="AG1791" i="2" s="1"/>
  <c r="AG1794" i="2" s="1"/>
  <c r="AH1795" i="2" s="1"/>
  <c r="AG1802" i="2"/>
  <c r="AG1801" i="2"/>
  <c r="AG1806" i="2" s="1"/>
  <c r="AI1823" i="2"/>
  <c r="AG1813" i="2"/>
  <c r="AG1825" i="2"/>
  <c r="AG1814" i="2"/>
  <c r="AG1815" i="2" l="1"/>
  <c r="AG1820" i="2" s="1"/>
  <c r="AG1816" i="2"/>
  <c r="AG1839" i="2"/>
  <c r="AG1828" i="2"/>
  <c r="AG1827" i="2"/>
  <c r="AI1837" i="2"/>
  <c r="AG1803" i="2"/>
  <c r="AG1804" i="2" s="1"/>
  <c r="AG1805" i="2" s="1"/>
  <c r="AG1808" i="2" s="1"/>
  <c r="AH1809" i="2" s="1"/>
  <c r="AG1830" i="2" l="1"/>
  <c r="AG1829" i="2"/>
  <c r="AG1834" i="2" s="1"/>
  <c r="AG1842" i="2"/>
  <c r="AG1853" i="2"/>
  <c r="AG1841" i="2"/>
  <c r="AI1851" i="2"/>
  <c r="AG1817" i="2"/>
  <c r="AG1844" i="2" l="1"/>
  <c r="AG1843" i="2"/>
  <c r="AG1848" i="2" s="1"/>
  <c r="AG1831" i="2"/>
  <c r="AG1818" i="2"/>
  <c r="AG1819" i="2" s="1"/>
  <c r="AG1822" i="2" s="1"/>
  <c r="AH1823" i="2" s="1"/>
  <c r="AG1856" i="2"/>
  <c r="AG1867" i="2"/>
  <c r="AI1865" i="2"/>
  <c r="AG1855" i="2"/>
  <c r="AG1845" i="2" l="1"/>
  <c r="AG1846" i="2" s="1"/>
  <c r="AG1847" i="2" s="1"/>
  <c r="AG1850" i="2" s="1"/>
  <c r="AH1851" i="2" s="1"/>
  <c r="AG1857" i="2"/>
  <c r="AG1862" i="2" s="1"/>
  <c r="AG1858" i="2"/>
  <c r="AG1881" i="2"/>
  <c r="AG1870" i="2"/>
  <c r="AI1879" i="2"/>
  <c r="AG1869" i="2"/>
  <c r="AG1832" i="2"/>
  <c r="AG1833" i="2" s="1"/>
  <c r="AG1836" i="2" s="1"/>
  <c r="AH1837" i="2" s="1"/>
  <c r="AG1895" i="2" l="1"/>
  <c r="AI1893" i="2"/>
  <c r="AG1884" i="2"/>
  <c r="AG1883" i="2"/>
  <c r="AG1872" i="2"/>
  <c r="AG1871" i="2"/>
  <c r="AG1876" i="2" s="1"/>
  <c r="AG1859" i="2"/>
  <c r="AG1860" i="2" s="1"/>
  <c r="AG1861" i="2" s="1"/>
  <c r="AG1864" i="2" s="1"/>
  <c r="AH1865" i="2" s="1"/>
  <c r="AG1897" i="2" l="1"/>
  <c r="AI1907" i="2"/>
  <c r="AG1898" i="2"/>
  <c r="AG1909" i="2"/>
  <c r="AG1873" i="2"/>
  <c r="AG1885" i="2"/>
  <c r="AG1890" i="2" s="1"/>
  <c r="AG1886" i="2"/>
  <c r="AG1900" i="2" l="1"/>
  <c r="AG1899" i="2"/>
  <c r="AG1904" i="2" s="1"/>
  <c r="AG1874" i="2"/>
  <c r="AG1875" i="2" s="1"/>
  <c r="AG1878" i="2" s="1"/>
  <c r="AH1879" i="2" s="1"/>
  <c r="AG1887" i="2"/>
  <c r="AG1888" i="2" s="1"/>
  <c r="AG1889" i="2" s="1"/>
  <c r="AG1892" i="2" s="1"/>
  <c r="AH1893" i="2" s="1"/>
  <c r="AI1921" i="2"/>
  <c r="AG1912" i="2"/>
  <c r="AG1923" i="2"/>
  <c r="AG1911" i="2"/>
  <c r="AG1914" i="2" l="1"/>
  <c r="AG1913" i="2"/>
  <c r="AG1918" i="2" s="1"/>
  <c r="AG1926" i="2"/>
  <c r="AG1925" i="2"/>
  <c r="AG1937" i="2"/>
  <c r="AI1935" i="2"/>
  <c r="AG1901" i="2"/>
  <c r="AG1902" i="2" s="1"/>
  <c r="AG1903" i="2" s="1"/>
  <c r="AG1906" i="2" s="1"/>
  <c r="AH1907" i="2" s="1"/>
  <c r="AG1939" i="2" l="1"/>
  <c r="AG1940" i="2"/>
  <c r="AG1951" i="2"/>
  <c r="AI1949" i="2"/>
  <c r="AG1915" i="2"/>
  <c r="AG1927" i="2"/>
  <c r="AG1932" i="2" s="1"/>
  <c r="AG1928" i="2"/>
  <c r="AG1916" i="2" l="1"/>
  <c r="AG1917" i="2" s="1"/>
  <c r="AG1920" i="2" s="1"/>
  <c r="AH1921" i="2" s="1"/>
  <c r="AG1941" i="2"/>
  <c r="AG1946" i="2" s="1"/>
  <c r="AG1942" i="2"/>
  <c r="AG1965" i="2"/>
  <c r="AG1954" i="2"/>
  <c r="AI1963" i="2"/>
  <c r="AG1953" i="2"/>
  <c r="AG1929" i="2"/>
  <c r="AG1930" i="2" s="1"/>
  <c r="AG1931" i="2" s="1"/>
  <c r="AG1934" i="2" s="1"/>
  <c r="AH1935" i="2" s="1"/>
  <c r="AG1955" i="2" l="1"/>
  <c r="AG1960" i="2" s="1"/>
  <c r="AG1956" i="2"/>
  <c r="AI1977" i="2"/>
  <c r="AG1967" i="2"/>
  <c r="AG1968" i="2"/>
  <c r="AG1979" i="2"/>
  <c r="AG1943" i="2"/>
  <c r="AG1981" i="2" l="1"/>
  <c r="AI1991" i="2"/>
  <c r="AG1993" i="2"/>
  <c r="AG1982" i="2"/>
  <c r="AG1957" i="2"/>
  <c r="AG1944" i="2"/>
  <c r="AG1945" i="2" s="1"/>
  <c r="AG1948" i="2" s="1"/>
  <c r="AH1949" i="2" s="1"/>
  <c r="AG1970" i="2"/>
  <c r="AG1969" i="2"/>
  <c r="AG1974" i="2" s="1"/>
  <c r="AG1971" i="2" l="1"/>
  <c r="AG1984" i="2"/>
  <c r="AG1983" i="2"/>
  <c r="AG1988" i="2" s="1"/>
  <c r="AG1995" i="2"/>
  <c r="AI2005" i="2"/>
  <c r="AG2007" i="2"/>
  <c r="AG1996" i="2"/>
  <c r="AG1958" i="2"/>
  <c r="AG1959" i="2" s="1"/>
  <c r="AG1962" i="2" s="1"/>
  <c r="AH1963" i="2" s="1"/>
  <c r="AG1997" i="2" l="1"/>
  <c r="AG2002" i="2" s="1"/>
  <c r="AG1998" i="2"/>
  <c r="AG1972" i="2"/>
  <c r="AG1973" i="2" s="1"/>
  <c r="AG1976" i="2" s="1"/>
  <c r="AH1977" i="2" s="1"/>
  <c r="AG2021" i="2"/>
  <c r="AG2009" i="2"/>
  <c r="AG2010" i="2"/>
  <c r="AI2019" i="2"/>
  <c r="AG1985" i="2"/>
  <c r="AG1986" i="2" s="1"/>
  <c r="AG1987" i="2" s="1"/>
  <c r="AG1990" i="2" s="1"/>
  <c r="AH1991" i="2" s="1"/>
  <c r="AG2023" i="2" l="1"/>
  <c r="AG2035" i="2"/>
  <c r="AI2033" i="2"/>
  <c r="AG2024" i="2"/>
  <c r="AG2012" i="2"/>
  <c r="AG2011" i="2"/>
  <c r="AG2016" i="2" s="1"/>
  <c r="AG1999" i="2"/>
  <c r="AG2000" i="2" s="1"/>
  <c r="AG2001" i="2" s="1"/>
  <c r="AG2004" i="2" s="1"/>
  <c r="AH2005" i="2" s="1"/>
  <c r="AG2013" i="2" l="1"/>
  <c r="AG2014" i="2" s="1"/>
  <c r="AG2015" i="2" s="1"/>
  <c r="AG2018" i="2" s="1"/>
  <c r="AH2019" i="2" s="1"/>
  <c r="AG2025" i="2"/>
  <c r="AG2030" i="2" s="1"/>
  <c r="AG2026" i="2"/>
  <c r="AG2037" i="2"/>
  <c r="AI2047" i="2"/>
  <c r="AG2049" i="2"/>
  <c r="AG2038" i="2"/>
  <c r="AG2040" i="2" l="1"/>
  <c r="AG2039" i="2"/>
  <c r="AG2044" i="2" s="1"/>
  <c r="AG2052" i="2"/>
  <c r="AG2051" i="2"/>
  <c r="AG2063" i="2"/>
  <c r="AI2061" i="2"/>
  <c r="AG2027" i="2"/>
  <c r="AG2028" i="2" s="1"/>
  <c r="AG2029" i="2" s="1"/>
  <c r="AG2032" i="2" s="1"/>
  <c r="AH2033" i="2" s="1"/>
  <c r="AG2065" i="2" l="1"/>
  <c r="AG2077" i="2"/>
  <c r="AI2075" i="2"/>
  <c r="AG2066" i="2"/>
  <c r="AG2041" i="2"/>
  <c r="AG2042" i="2" s="1"/>
  <c r="AG2043" i="2" s="1"/>
  <c r="AG2046" i="2" s="1"/>
  <c r="AH2047" i="2" s="1"/>
  <c r="AG2054" i="2"/>
  <c r="AG2053" i="2"/>
  <c r="AG2058" i="2" s="1"/>
  <c r="AG2068" i="2" l="1"/>
  <c r="AG2067" i="2"/>
  <c r="AG2072" i="2" s="1"/>
  <c r="AG2079" i="2"/>
  <c r="AG2080" i="2"/>
  <c r="AG2091" i="2"/>
  <c r="AI2089" i="2"/>
  <c r="AG2055" i="2"/>
  <c r="AG2056" i="2" s="1"/>
  <c r="AG2057" i="2" s="1"/>
  <c r="AG2060" i="2" s="1"/>
  <c r="AH2061" i="2" s="1"/>
  <c r="AI2103" i="2" l="1"/>
  <c r="AG2094" i="2"/>
  <c r="AG2093" i="2"/>
  <c r="AG2105" i="2"/>
  <c r="AG2069" i="2"/>
  <c r="AG2070" i="2" s="1"/>
  <c r="AG2071" i="2" s="1"/>
  <c r="AG2074" i="2" s="1"/>
  <c r="AH2075" i="2" s="1"/>
  <c r="AG2081" i="2"/>
  <c r="AG2086" i="2" s="1"/>
  <c r="AG2082" i="2"/>
  <c r="AG2095" i="2" l="1"/>
  <c r="AG2100" i="2" s="1"/>
  <c r="AG2096" i="2"/>
  <c r="AG2083" i="2"/>
  <c r="AG2084" i="2" s="1"/>
  <c r="AG2085" i="2" s="1"/>
  <c r="AG2088" i="2" s="1"/>
  <c r="AH2089" i="2" s="1"/>
  <c r="AI2117" i="2"/>
  <c r="AG2119" i="2"/>
  <c r="AG2108" i="2"/>
  <c r="AG2107" i="2"/>
  <c r="AI2131" i="2" l="1"/>
  <c r="AG2133" i="2"/>
  <c r="AG2122" i="2"/>
  <c r="AG2121" i="2"/>
  <c r="AG2097" i="2"/>
  <c r="AG2109" i="2"/>
  <c r="AG2114" i="2" s="1"/>
  <c r="AG2110" i="2"/>
  <c r="AG2111" i="2" l="1"/>
  <c r="AG2098" i="2"/>
  <c r="AG2099" i="2" s="1"/>
  <c r="AG2102" i="2" s="1"/>
  <c r="AH2103" i="2" s="1"/>
  <c r="AG2136" i="2"/>
  <c r="AG2147" i="2"/>
  <c r="AI2145" i="2"/>
  <c r="AG2135" i="2"/>
  <c r="AG2123" i="2"/>
  <c r="AG2128" i="2" s="1"/>
  <c r="AG2124" i="2"/>
  <c r="AG2112" i="2" l="1"/>
  <c r="AG2113" i="2" s="1"/>
  <c r="AG2116" i="2" s="1"/>
  <c r="AH2117" i="2" s="1"/>
  <c r="AG2150" i="2"/>
  <c r="AG2161" i="2"/>
  <c r="AI2159" i="2"/>
  <c r="AG2149" i="2"/>
  <c r="AG2125" i="2"/>
  <c r="AG2138" i="2"/>
  <c r="AG2137" i="2"/>
  <c r="AG2142" i="2" s="1"/>
  <c r="AG2139" i="2" l="1"/>
  <c r="AG2151" i="2"/>
  <c r="AG2156" i="2" s="1"/>
  <c r="AG2152" i="2"/>
  <c r="AG2126" i="2"/>
  <c r="AG2127" i="2" s="1"/>
  <c r="AG2130" i="2" s="1"/>
  <c r="AH2131" i="2" s="1"/>
  <c r="AG2164" i="2"/>
  <c r="AG2163" i="2"/>
  <c r="AG2175" i="2"/>
  <c r="AI2173" i="2"/>
  <c r="AG2189" i="2" l="1"/>
  <c r="AG2177" i="2"/>
  <c r="AI2187" i="2"/>
  <c r="AG2178" i="2"/>
  <c r="AG2140" i="2"/>
  <c r="AG2141" i="2" s="1"/>
  <c r="AG2144" i="2" s="1"/>
  <c r="AH2145" i="2" s="1"/>
  <c r="AG2165" i="2"/>
  <c r="AG2170" i="2" s="1"/>
  <c r="AG2166" i="2"/>
  <c r="AG2153" i="2"/>
  <c r="AG2192" i="2" l="1"/>
  <c r="AI2201" i="2"/>
  <c r="AG2203" i="2"/>
  <c r="AG2191" i="2"/>
  <c r="AG2154" i="2"/>
  <c r="AG2155" i="2" s="1"/>
  <c r="AG2158" i="2" s="1"/>
  <c r="AH2159" i="2" s="1"/>
  <c r="AG2180" i="2"/>
  <c r="AG2179" i="2"/>
  <c r="AG2184" i="2" s="1"/>
  <c r="AG2167" i="2"/>
  <c r="AG2168" i="2" l="1"/>
  <c r="AG2169" i="2" s="1"/>
  <c r="AG2172" i="2" s="1"/>
  <c r="AH2173" i="2" s="1"/>
  <c r="AI2215" i="2"/>
  <c r="AG2206" i="2"/>
  <c r="AG2205" i="2"/>
  <c r="AG2217" i="2"/>
  <c r="AG2181" i="2"/>
  <c r="AG2193" i="2"/>
  <c r="AG2198" i="2" s="1"/>
  <c r="AG2194" i="2"/>
  <c r="AG2208" i="2" l="1"/>
  <c r="AG2207" i="2"/>
  <c r="AG2212" i="2" s="1"/>
  <c r="AG2195" i="2"/>
  <c r="AG2219" i="2"/>
  <c r="AG2231" i="2"/>
  <c r="AG2220" i="2"/>
  <c r="AI2229" i="2"/>
  <c r="AG2182" i="2"/>
  <c r="AG2183" i="2" s="1"/>
  <c r="AG2186" i="2" s="1"/>
  <c r="AH2187" i="2" s="1"/>
  <c r="AG2209" i="2" l="1"/>
  <c r="AG2222" i="2"/>
  <c r="AG2221" i="2"/>
  <c r="AG2226" i="2" s="1"/>
  <c r="AG2234" i="2"/>
  <c r="AI2243" i="2"/>
  <c r="AG2233" i="2"/>
  <c r="AG2245" i="2"/>
  <c r="AG2196" i="2"/>
  <c r="AG2197" i="2" s="1"/>
  <c r="AG2200" i="2" s="1"/>
  <c r="AH2201" i="2" s="1"/>
  <c r="AG2210" i="2" l="1"/>
  <c r="AG2211" i="2" s="1"/>
  <c r="AG2214" i="2" s="1"/>
  <c r="AH2215" i="2" s="1"/>
  <c r="AG2236" i="2"/>
  <c r="AG2235" i="2"/>
  <c r="AG2240" i="2" s="1"/>
  <c r="AG2223" i="2"/>
  <c r="AG2259" i="2"/>
  <c r="AI2257" i="2"/>
  <c r="AG2248" i="2"/>
  <c r="AG2247" i="2"/>
  <c r="AG2224" i="2" l="1"/>
  <c r="AG2225" i="2" s="1"/>
  <c r="AG2228" i="2" s="1"/>
  <c r="AH2229" i="2" s="1"/>
  <c r="AG2261" i="2"/>
  <c r="AG2273" i="2"/>
  <c r="AI2271" i="2"/>
  <c r="AG2262" i="2"/>
  <c r="AG2237" i="2"/>
  <c r="AG2249" i="2"/>
  <c r="AG2254" i="2" s="1"/>
  <c r="AG2250" i="2"/>
  <c r="AG2251" i="2" l="1"/>
  <c r="AG2238" i="2"/>
  <c r="AG2239" i="2" s="1"/>
  <c r="AG2242" i="2" s="1"/>
  <c r="AH2243" i="2" s="1"/>
  <c r="AG2263" i="2"/>
  <c r="AG2268" i="2" s="1"/>
  <c r="AG2264" i="2"/>
  <c r="AG2276" i="2"/>
  <c r="AG2275" i="2"/>
  <c r="AG2287" i="2"/>
  <c r="AI2285" i="2"/>
  <c r="AG2252" i="2" l="1"/>
  <c r="AG2253" i="2" s="1"/>
  <c r="AG2256" i="2" s="1"/>
  <c r="AH2257" i="2" s="1"/>
  <c r="AG2277" i="2"/>
  <c r="AG2282" i="2" s="1"/>
  <c r="AG2278" i="2"/>
  <c r="AG2301" i="2"/>
  <c r="AG2290" i="2"/>
  <c r="AG2289" i="2"/>
  <c r="AI2299" i="2"/>
  <c r="AG2265" i="2"/>
  <c r="AG2304" i="2" l="1"/>
  <c r="AG2315" i="2"/>
  <c r="AI2313" i="2"/>
  <c r="AG2303" i="2"/>
  <c r="AG2266" i="2"/>
  <c r="AG2267" i="2" s="1"/>
  <c r="AG2270" i="2" s="1"/>
  <c r="AH2271" i="2" s="1"/>
  <c r="AG2292" i="2"/>
  <c r="AG2291" i="2"/>
  <c r="AG2296" i="2" s="1"/>
  <c r="AG2279" i="2"/>
  <c r="AG2318" i="2" l="1"/>
  <c r="AG2317" i="2"/>
  <c r="AG2329" i="2"/>
  <c r="AI2327" i="2"/>
  <c r="AG2280" i="2"/>
  <c r="AG2281" i="2" s="1"/>
  <c r="AG2284" i="2" s="1"/>
  <c r="AH2285" i="2" s="1"/>
  <c r="AG2293" i="2"/>
  <c r="AG2305" i="2"/>
  <c r="AG2310" i="2" s="1"/>
  <c r="AG2306" i="2"/>
  <c r="AG2307" i="2" l="1"/>
  <c r="AI2341" i="2"/>
  <c r="AG2343" i="2"/>
  <c r="AG2332" i="2"/>
  <c r="AG2331" i="2"/>
  <c r="AG2319" i="2"/>
  <c r="AG2324" i="2" s="1"/>
  <c r="AG2320" i="2"/>
  <c r="AG2294" i="2"/>
  <c r="AG2295" i="2" s="1"/>
  <c r="AG2298" i="2" s="1"/>
  <c r="AH2299" i="2" s="1"/>
  <c r="AG2321" i="2" l="1"/>
  <c r="AG2308" i="2"/>
  <c r="AG2309" i="2" s="1"/>
  <c r="AG2312" i="2" s="1"/>
  <c r="AH2313" i="2" s="1"/>
  <c r="AG2333" i="2"/>
  <c r="AG2338" i="2" s="1"/>
  <c r="AG2334" i="2"/>
  <c r="AG2345" i="2"/>
  <c r="AI2355" i="2"/>
  <c r="AG2346" i="2"/>
  <c r="AG2357" i="2"/>
  <c r="AG2371" i="2" l="1"/>
  <c r="AI2369" i="2"/>
  <c r="AG2359" i="2"/>
  <c r="AG2360" i="2"/>
  <c r="AG2335" i="2"/>
  <c r="AG2322" i="2"/>
  <c r="AG2323" i="2" s="1"/>
  <c r="AG2326" i="2" s="1"/>
  <c r="AH2327" i="2" s="1"/>
  <c r="AG2347" i="2"/>
  <c r="AG2352" i="2" s="1"/>
  <c r="AG2348" i="2"/>
  <c r="AI2383" i="2" l="1"/>
  <c r="AG2373" i="2"/>
  <c r="AG2374" i="2"/>
  <c r="AG2385" i="2"/>
  <c r="AG2349" i="2"/>
  <c r="AG2336" i="2"/>
  <c r="AG2337" i="2" s="1"/>
  <c r="AG2340" i="2" s="1"/>
  <c r="AH2341" i="2" s="1"/>
  <c r="AG2362" i="2"/>
  <c r="AG2361" i="2"/>
  <c r="AG2366" i="2" s="1"/>
  <c r="AG2350" i="2" l="1"/>
  <c r="AG2351" i="2" s="1"/>
  <c r="AG2354" i="2" s="1"/>
  <c r="AH2355" i="2" s="1"/>
  <c r="AG2363" i="2"/>
  <c r="AG2375" i="2"/>
  <c r="AG2380" i="2" s="1"/>
  <c r="AG2376" i="2"/>
  <c r="AG2399" i="2"/>
  <c r="AG2388" i="2"/>
  <c r="AI2397" i="2"/>
  <c r="AG2387" i="2"/>
  <c r="AG2413" i="2" l="1"/>
  <c r="AG2402" i="2"/>
  <c r="AG2401" i="2"/>
  <c r="AI2411" i="2"/>
  <c r="AG2364" i="2"/>
  <c r="AG2365" i="2" s="1"/>
  <c r="AG2368" i="2" s="1"/>
  <c r="AH2369" i="2" s="1"/>
  <c r="AG2389" i="2"/>
  <c r="AG2394" i="2" s="1"/>
  <c r="AG2390" i="2"/>
  <c r="AG2377" i="2"/>
  <c r="AG2378" i="2" l="1"/>
  <c r="AG2379" i="2" s="1"/>
  <c r="AG2382" i="2" s="1"/>
  <c r="AH2383" i="2" s="1"/>
  <c r="AI2425" i="2"/>
  <c r="AG2416" i="2"/>
  <c r="AG2415" i="2"/>
  <c r="AG2427" i="2"/>
  <c r="AG2403" i="2"/>
  <c r="AG2408" i="2" s="1"/>
  <c r="AG2404" i="2"/>
  <c r="AG2391" i="2"/>
  <c r="AI2439" i="2" l="1"/>
  <c r="AG2441" i="2"/>
  <c r="AG2430" i="2"/>
  <c r="AG2429" i="2"/>
  <c r="AG2405" i="2"/>
  <c r="AG2418" i="2"/>
  <c r="AG2417" i="2"/>
  <c r="AG2422" i="2" s="1"/>
  <c r="AG2392" i="2"/>
  <c r="AG2393" i="2" s="1"/>
  <c r="AG2396" i="2" s="1"/>
  <c r="AH2397" i="2" s="1"/>
  <c r="AG2406" i="2" l="1"/>
  <c r="AG2407" i="2" s="1"/>
  <c r="AG2410" i="2" s="1"/>
  <c r="AH2411" i="2" s="1"/>
  <c r="AG2419" i="2"/>
  <c r="AI2453" i="2"/>
  <c r="AG2444" i="2"/>
  <c r="AG2443" i="2"/>
  <c r="AG2455" i="2"/>
  <c r="AG2431" i="2"/>
  <c r="AG2436" i="2" s="1"/>
  <c r="AG2432" i="2"/>
  <c r="AG2433" i="2" l="1"/>
  <c r="AG2446" i="2"/>
  <c r="AG2445" i="2"/>
  <c r="AG2450" i="2" s="1"/>
  <c r="AG2457" i="2"/>
  <c r="AI2467" i="2"/>
  <c r="AG2469" i="2"/>
  <c r="AG2458" i="2"/>
  <c r="AG2420" i="2"/>
  <c r="AG2421" i="2" s="1"/>
  <c r="AG2424" i="2" s="1"/>
  <c r="AH2425" i="2" s="1"/>
  <c r="AG2460" i="2" l="1"/>
  <c r="AG2459" i="2"/>
  <c r="AG2464" i="2" s="1"/>
  <c r="AG2434" i="2"/>
  <c r="AG2435" i="2" s="1"/>
  <c r="AG2438" i="2" s="1"/>
  <c r="AH2439" i="2" s="1"/>
  <c r="AG2471" i="2"/>
  <c r="AI2481" i="2"/>
  <c r="AG2472" i="2"/>
  <c r="AG2483" i="2"/>
  <c r="AG2447" i="2"/>
  <c r="AG2474" i="2" l="1"/>
  <c r="AG2473" i="2"/>
  <c r="AG2478" i="2" s="1"/>
  <c r="AG2461" i="2"/>
  <c r="AG2448" i="2"/>
  <c r="AG2449" i="2" s="1"/>
  <c r="AG2452" i="2" s="1"/>
  <c r="AH2453" i="2" s="1"/>
  <c r="AG2486" i="2"/>
  <c r="AG2485" i="2"/>
  <c r="AG2497" i="2"/>
  <c r="AI2495" i="2"/>
  <c r="AG2475" i="2" l="1"/>
  <c r="AI2509" i="2"/>
  <c r="AG2499" i="2"/>
  <c r="AG2511" i="2"/>
  <c r="AG2500" i="2"/>
  <c r="AG2487" i="2"/>
  <c r="AG2492" i="2" s="1"/>
  <c r="AG2488" i="2"/>
  <c r="AG2462" i="2"/>
  <c r="AG2463" i="2" s="1"/>
  <c r="AG2466" i="2" s="1"/>
  <c r="AH2467" i="2" s="1"/>
  <c r="AG2489" i="2" l="1"/>
  <c r="AI2523" i="2"/>
  <c r="AG2513" i="2"/>
  <c r="AG2525" i="2"/>
  <c r="AG2514" i="2"/>
  <c r="AG2476" i="2"/>
  <c r="AG2477" i="2" s="1"/>
  <c r="AG2480" i="2" s="1"/>
  <c r="AH2481" i="2" s="1"/>
  <c r="AG2501" i="2"/>
  <c r="AG2506" i="2" s="1"/>
  <c r="AG2502" i="2"/>
  <c r="AG2528" i="2" l="1"/>
  <c r="AI2537" i="2"/>
  <c r="AG2539" i="2"/>
  <c r="AG2527" i="2"/>
  <c r="AG2503" i="2"/>
  <c r="AG2490" i="2"/>
  <c r="AG2491" i="2" s="1"/>
  <c r="AG2494" i="2" s="1"/>
  <c r="AH2495" i="2" s="1"/>
  <c r="AG2516" i="2"/>
  <c r="AG2515" i="2"/>
  <c r="AG2520" i="2" s="1"/>
  <c r="AG2517" i="2" l="1"/>
  <c r="AG2541" i="2"/>
  <c r="AG2542" i="2"/>
  <c r="AG2553" i="2"/>
  <c r="AI2551" i="2"/>
  <c r="AG2504" i="2"/>
  <c r="AG2505" i="2" s="1"/>
  <c r="AG2508" i="2" s="1"/>
  <c r="AH2509" i="2" s="1"/>
  <c r="AG2530" i="2"/>
  <c r="AG2529" i="2"/>
  <c r="AG2534" i="2" s="1"/>
  <c r="AG2531" i="2" l="1"/>
  <c r="AG2556" i="2"/>
  <c r="AG2555" i="2"/>
  <c r="AG2567" i="2"/>
  <c r="AI2565" i="2"/>
  <c r="AG2518" i="2"/>
  <c r="AG2519" i="2" s="1"/>
  <c r="AG2522" i="2" s="1"/>
  <c r="AH2523" i="2" s="1"/>
  <c r="AG2543" i="2"/>
  <c r="AG2548" i="2" s="1"/>
  <c r="AG2544" i="2"/>
  <c r="AG2570" i="2" l="1"/>
  <c r="AG2581" i="2"/>
  <c r="AG2569" i="2"/>
  <c r="AI2579" i="2"/>
  <c r="AG2532" i="2"/>
  <c r="AG2533" i="2" s="1"/>
  <c r="AG2536" i="2" s="1"/>
  <c r="AH2537" i="2" s="1"/>
  <c r="AG2545" i="2"/>
  <c r="AG2557" i="2"/>
  <c r="AG2562" i="2" s="1"/>
  <c r="AG2558" i="2"/>
  <c r="AG2583" i="2" l="1"/>
  <c r="AI2593" i="2"/>
  <c r="AG2584" i="2"/>
  <c r="AG2595" i="2"/>
  <c r="AG2572" i="2"/>
  <c r="AG2571" i="2"/>
  <c r="AG2576" i="2" s="1"/>
  <c r="AG2559" i="2"/>
  <c r="AG2546" i="2"/>
  <c r="AG2547" i="2" s="1"/>
  <c r="AG2550" i="2" s="1"/>
  <c r="AH2551" i="2" s="1"/>
  <c r="AG2586" i="2" l="1"/>
  <c r="AG2585" i="2"/>
  <c r="AG2590" i="2" s="1"/>
  <c r="AG2560" i="2"/>
  <c r="AG2561" i="2" s="1"/>
  <c r="AG2564" i="2" s="1"/>
  <c r="AH2565" i="2" s="1"/>
  <c r="AG2573" i="2"/>
  <c r="AG2597" i="2"/>
  <c r="AI2607" i="2"/>
  <c r="AG2598" i="2"/>
  <c r="AG2609" i="2"/>
  <c r="AG2574" i="2" l="1"/>
  <c r="AG2575" i="2" s="1"/>
  <c r="AG2578" i="2" s="1"/>
  <c r="AH2579" i="2" s="1"/>
  <c r="AG2623" i="2"/>
  <c r="AG2612" i="2"/>
  <c r="AG2611" i="2"/>
  <c r="AI2621" i="2"/>
  <c r="AG2599" i="2"/>
  <c r="AG2604" i="2" s="1"/>
  <c r="AG2600" i="2"/>
  <c r="AG2587" i="2"/>
  <c r="AG2588" i="2" l="1"/>
  <c r="AG2589" i="2" s="1"/>
  <c r="AG2592" i="2" s="1"/>
  <c r="AH2593" i="2" s="1"/>
  <c r="AG2613" i="2"/>
  <c r="AG2618" i="2" s="1"/>
  <c r="AG2614" i="2"/>
  <c r="AG2625" i="2"/>
  <c r="AI2635" i="2"/>
  <c r="AG2626" i="2"/>
  <c r="AG2637" i="2"/>
  <c r="AG2601" i="2"/>
  <c r="AG2627" i="2" l="1"/>
  <c r="AG2632" i="2" s="1"/>
  <c r="AG2628" i="2"/>
  <c r="AG2602" i="2"/>
  <c r="AG2603" i="2" s="1"/>
  <c r="AG2606" i="2" s="1"/>
  <c r="AH2607" i="2" s="1"/>
  <c r="AG2651" i="2"/>
  <c r="AI2649" i="2"/>
  <c r="AG2639" i="2"/>
  <c r="AG2640" i="2"/>
  <c r="AG2615" i="2"/>
  <c r="AG2653" i="2" l="1"/>
  <c r="AG2654" i="2"/>
  <c r="AG2665" i="2"/>
  <c r="AI2663" i="2"/>
  <c r="AG2616" i="2"/>
  <c r="AG2617" i="2" s="1"/>
  <c r="AG2620" i="2" s="1"/>
  <c r="AH2621" i="2" s="1"/>
  <c r="AG2629" i="2"/>
  <c r="AG2642" i="2"/>
  <c r="AG2641" i="2"/>
  <c r="AG2646" i="2" s="1"/>
  <c r="AG2643" i="2" l="1"/>
  <c r="AG2655" i="2"/>
  <c r="AG2660" i="2" s="1"/>
  <c r="AG2656" i="2"/>
  <c r="AG2668" i="2"/>
  <c r="AI2677" i="2"/>
  <c r="AG2667" i="2"/>
  <c r="AG2679" i="2"/>
  <c r="AG2630" i="2"/>
  <c r="AG2631" i="2" s="1"/>
  <c r="AG2634" i="2" s="1"/>
  <c r="AH2635" i="2" s="1"/>
  <c r="AG2644" i="2" l="1"/>
  <c r="AG2645" i="2" s="1"/>
  <c r="AG2648" i="2" s="1"/>
  <c r="AH2649" i="2" s="1"/>
  <c r="AG2669" i="2"/>
  <c r="AG2674" i="2" s="1"/>
  <c r="AG2670" i="2"/>
  <c r="AG2682" i="2"/>
  <c r="AG2681" i="2"/>
  <c r="AG2693" i="2"/>
  <c r="AI2691" i="2"/>
  <c r="AG2657" i="2"/>
  <c r="AG2658" i="2" l="1"/>
  <c r="AG2659" i="2" s="1"/>
  <c r="AG2662" i="2" s="1"/>
  <c r="AH2663" i="2" s="1"/>
  <c r="AG2684" i="2"/>
  <c r="AG2683" i="2"/>
  <c r="AG2688" i="2" s="1"/>
  <c r="AI2705" i="2"/>
  <c r="AG2696" i="2"/>
  <c r="AG2707" i="2"/>
  <c r="AG2695" i="2"/>
  <c r="AG2671" i="2"/>
  <c r="AG2672" i="2" l="1"/>
  <c r="AG2673" i="2" s="1"/>
  <c r="AG2676" i="2" s="1"/>
  <c r="AH2677" i="2" s="1"/>
  <c r="AG2709" i="2"/>
  <c r="AG2721" i="2"/>
  <c r="AI2719" i="2"/>
  <c r="AG2710" i="2"/>
  <c r="AG2685" i="2"/>
  <c r="AG2698" i="2"/>
  <c r="AG2697" i="2"/>
  <c r="AG2702" i="2" s="1"/>
  <c r="AG2699" i="2" l="1"/>
  <c r="AG2686" i="2"/>
  <c r="AG2687" i="2" s="1"/>
  <c r="AG2690" i="2" s="1"/>
  <c r="AH2691" i="2" s="1"/>
  <c r="AG2712" i="2"/>
  <c r="AG2711" i="2"/>
  <c r="AG2716" i="2" s="1"/>
  <c r="AI2733" i="2"/>
  <c r="AG2724" i="2"/>
  <c r="AG2723" i="2"/>
  <c r="AG2735" i="2"/>
  <c r="AG2725" i="2" l="1"/>
  <c r="AG2730" i="2" s="1"/>
  <c r="AG2726" i="2"/>
  <c r="AG2713" i="2"/>
  <c r="AG2700" i="2"/>
  <c r="AG2701" i="2" s="1"/>
  <c r="AG2704" i="2" s="1"/>
  <c r="AH2705" i="2" s="1"/>
  <c r="AI2747" i="2"/>
  <c r="AG2738" i="2"/>
  <c r="AG2749" i="2"/>
  <c r="AG2737" i="2"/>
  <c r="AG2752" i="2" l="1"/>
  <c r="AG2763" i="2"/>
  <c r="AI2761" i="2"/>
  <c r="AG2751" i="2"/>
  <c r="AG2727" i="2"/>
  <c r="AG2739" i="2"/>
  <c r="AG2744" i="2" s="1"/>
  <c r="AG2740" i="2"/>
  <c r="AG2714" i="2"/>
  <c r="AG2715" i="2" s="1"/>
  <c r="AG2718" i="2" s="1"/>
  <c r="AH2719" i="2" s="1"/>
  <c r="AG2766" i="2" l="1"/>
  <c r="AG2765" i="2"/>
  <c r="AG2777" i="2"/>
  <c r="AI2775" i="2"/>
  <c r="AG2728" i="2"/>
  <c r="AG2729" i="2" s="1"/>
  <c r="AG2732" i="2" s="1"/>
  <c r="AH2733" i="2" s="1"/>
  <c r="AG2741" i="2"/>
  <c r="AG2754" i="2"/>
  <c r="AG2753" i="2"/>
  <c r="AG2758" i="2" s="1"/>
  <c r="AG2767" i="2" l="1"/>
  <c r="AG2772" i="2" s="1"/>
  <c r="AG2768" i="2"/>
  <c r="AG2742" i="2"/>
  <c r="AG2743" i="2" s="1"/>
  <c r="AG2746" i="2" s="1"/>
  <c r="AH2747" i="2" s="1"/>
  <c r="AG2791" i="2"/>
  <c r="AI2789" i="2"/>
  <c r="AG2780" i="2"/>
  <c r="AG2779" i="2"/>
  <c r="AG2755" i="2"/>
  <c r="AG2794" i="2" l="1"/>
  <c r="AG2805" i="2"/>
  <c r="AG2793" i="2"/>
  <c r="AI2803" i="2"/>
  <c r="AG2769" i="2"/>
  <c r="AG2756" i="2"/>
  <c r="AG2757" i="2" s="1"/>
  <c r="AG2760" i="2" s="1"/>
  <c r="AH2761" i="2" s="1"/>
  <c r="AG2781" i="2"/>
  <c r="AG2786" i="2" s="1"/>
  <c r="AG2782" i="2"/>
  <c r="AG2783" i="2" l="1"/>
  <c r="AG2770" i="2"/>
  <c r="AG2771" i="2" s="1"/>
  <c r="AG2774" i="2" s="1"/>
  <c r="AH2775" i="2" s="1"/>
  <c r="AG2819" i="2"/>
  <c r="AI2817" i="2"/>
  <c r="AG2807" i="2"/>
  <c r="AG2808" i="2"/>
  <c r="AG2796" i="2"/>
  <c r="AG2795" i="2"/>
  <c r="AG2800" i="2" s="1"/>
  <c r="AG2784" i="2" l="1"/>
  <c r="AG2785" i="2" s="1"/>
  <c r="AG2788" i="2" s="1"/>
  <c r="AH2789" i="2" s="1"/>
  <c r="AG2822" i="2"/>
  <c r="AG2821" i="2"/>
  <c r="AG2833" i="2"/>
  <c r="AI2831" i="2"/>
  <c r="AG2797" i="2"/>
  <c r="AG2809" i="2"/>
  <c r="AG2814" i="2" s="1"/>
  <c r="AG2810" i="2"/>
  <c r="AG2836" i="2" l="1"/>
  <c r="AG2835" i="2"/>
  <c r="AG2847" i="2"/>
  <c r="AI2845" i="2"/>
  <c r="AG2811" i="2"/>
  <c r="AG2798" i="2"/>
  <c r="AG2799" i="2" s="1"/>
  <c r="AG2802" i="2" s="1"/>
  <c r="AH2803" i="2" s="1"/>
  <c r="AG2823" i="2"/>
  <c r="AG2828" i="2" s="1"/>
  <c r="AG2824" i="2"/>
  <c r="AG2812" i="2" l="1"/>
  <c r="AG2813" i="2" s="1"/>
  <c r="AG2816" i="2" s="1"/>
  <c r="AH2817" i="2" s="1"/>
  <c r="AG2850" i="2"/>
  <c r="AG2861" i="2"/>
  <c r="AG2849" i="2"/>
  <c r="AI2859" i="2"/>
  <c r="AG2837" i="2"/>
  <c r="AG2842" i="2" s="1"/>
  <c r="AG2838" i="2"/>
  <c r="AG2825" i="2"/>
  <c r="AG2852" i="2" l="1"/>
  <c r="AG2851" i="2"/>
  <c r="AG2856" i="2" s="1"/>
  <c r="AG2826" i="2"/>
  <c r="AG2827" i="2" s="1"/>
  <c r="AG2830" i="2" s="1"/>
  <c r="AH2831" i="2" s="1"/>
  <c r="AG2839" i="2"/>
  <c r="AG2864" i="2"/>
  <c r="AG2875" i="2"/>
  <c r="AI2873" i="2"/>
  <c r="AG2863" i="2"/>
  <c r="AG2853" i="2" l="1"/>
  <c r="AG2840" i="2"/>
  <c r="AG2841" i="2" s="1"/>
  <c r="AG2844" i="2" s="1"/>
  <c r="AH2845" i="2" s="1"/>
  <c r="AG2866" i="2"/>
  <c r="AG2865" i="2"/>
  <c r="AG2870" i="2" s="1"/>
  <c r="AG2878" i="2"/>
  <c r="AG2889" i="2"/>
  <c r="AI2887" i="2"/>
  <c r="AG2877" i="2"/>
  <c r="AG2891" i="2" l="1"/>
  <c r="AG2903" i="2"/>
  <c r="AI2901" i="2"/>
  <c r="AG2892" i="2"/>
  <c r="AG2867" i="2"/>
  <c r="AG2854" i="2"/>
  <c r="AG2855" i="2" s="1"/>
  <c r="AG2858" i="2" s="1"/>
  <c r="AH2859" i="2" s="1"/>
  <c r="AG2880" i="2"/>
  <c r="AG2879" i="2"/>
  <c r="AG2884" i="2" s="1"/>
  <c r="AG2893" i="2" l="1"/>
  <c r="AG2898" i="2" s="1"/>
  <c r="AG2894" i="2"/>
  <c r="AG2868" i="2"/>
  <c r="AG2869" i="2" s="1"/>
  <c r="AG2872" i="2" s="1"/>
  <c r="AH2873" i="2" s="1"/>
  <c r="AG2881" i="2"/>
  <c r="AG2905" i="2"/>
  <c r="AI2915" i="2"/>
  <c r="AG2906" i="2"/>
  <c r="AG2917" i="2"/>
  <c r="AG2920" i="2" l="1"/>
  <c r="AG2931" i="2"/>
  <c r="AI2929" i="2"/>
  <c r="AG2919" i="2"/>
  <c r="AG2882" i="2"/>
  <c r="AG2883" i="2" s="1"/>
  <c r="AG2886" i="2" s="1"/>
  <c r="AH2887" i="2" s="1"/>
  <c r="AG2895" i="2"/>
  <c r="AG2908" i="2"/>
  <c r="AG2907" i="2"/>
  <c r="AG2912" i="2" s="1"/>
  <c r="AG2909" i="2" l="1"/>
  <c r="AG2896" i="2"/>
  <c r="AG2897" i="2" s="1"/>
  <c r="AG2900" i="2" s="1"/>
  <c r="AH2901" i="2" s="1"/>
  <c r="AG2933" i="2"/>
  <c r="AG2945" i="2"/>
  <c r="AI2943" i="2"/>
  <c r="AG2934" i="2"/>
  <c r="AG2922" i="2"/>
  <c r="AG2921" i="2"/>
  <c r="AG2926" i="2" s="1"/>
  <c r="AI2957" i="2" l="1"/>
  <c r="AG2948" i="2"/>
  <c r="AG2947" i="2"/>
  <c r="AG2959" i="2"/>
  <c r="AG2923" i="2"/>
  <c r="AG2935" i="2"/>
  <c r="AG2940" i="2" s="1"/>
  <c r="AG2936" i="2"/>
  <c r="AG2910" i="2"/>
  <c r="AG2911" i="2" s="1"/>
  <c r="AG2914" i="2" s="1"/>
  <c r="AH2915" i="2" s="1"/>
  <c r="AG2924" i="2" l="1"/>
  <c r="AG2925" i="2" s="1"/>
  <c r="AG2928" i="2" s="1"/>
  <c r="AH2929" i="2" s="1"/>
  <c r="AG2949" i="2"/>
  <c r="AG2954" i="2" s="1"/>
  <c r="AG2950" i="2"/>
  <c r="AG2937" i="2"/>
  <c r="AG2961" i="2"/>
  <c r="AI2971" i="2"/>
  <c r="AG2962" i="2"/>
  <c r="AG2973" i="2"/>
  <c r="AG2938" i="2" l="1"/>
  <c r="AG2939" i="2" s="1"/>
  <c r="AG2942" i="2" s="1"/>
  <c r="AH2943" i="2" s="1"/>
  <c r="AG2975" i="2"/>
  <c r="AG2976" i="2"/>
  <c r="AG2987" i="2"/>
  <c r="AI2985" i="2"/>
  <c r="AG2964" i="2"/>
  <c r="AG2963" i="2"/>
  <c r="AG2968" i="2" s="1"/>
  <c r="AG2951" i="2"/>
  <c r="AG2990" i="2" l="1"/>
  <c r="AG2989" i="2"/>
  <c r="AG3001" i="2"/>
  <c r="AI2999" i="2"/>
  <c r="AG2952" i="2"/>
  <c r="AG2953" i="2" s="1"/>
  <c r="AG2956" i="2" s="1"/>
  <c r="AH2957" i="2" s="1"/>
  <c r="AG2965" i="2"/>
  <c r="AG2977" i="2"/>
  <c r="AG2982" i="2" s="1"/>
  <c r="AG2978" i="2"/>
  <c r="AG2966" i="2" l="1"/>
  <c r="AG2967" i="2" s="1"/>
  <c r="AG2970" i="2" s="1"/>
  <c r="AH2971" i="2" s="1"/>
  <c r="AG3015" i="2"/>
  <c r="AI3013" i="2"/>
  <c r="AG3004" i="2"/>
  <c r="AG3003" i="2"/>
  <c r="AG2979" i="2"/>
  <c r="AG2991" i="2"/>
  <c r="AG2996" i="2" s="1"/>
  <c r="AG2992" i="2"/>
  <c r="AG2980" i="2" l="1"/>
  <c r="AG2981" i="2" s="1"/>
  <c r="AG2984" i="2" s="1"/>
  <c r="AH2985" i="2" s="1"/>
  <c r="AG3017" i="2"/>
  <c r="AI3027" i="2"/>
  <c r="AG3018" i="2"/>
  <c r="AG3029" i="2"/>
  <c r="AG2993" i="2"/>
  <c r="AG3005" i="2"/>
  <c r="AG3010" i="2" s="1"/>
  <c r="AG3006" i="2"/>
  <c r="AG3007" i="2" l="1"/>
  <c r="AG3020" i="2"/>
  <c r="AG3019" i="2"/>
  <c r="AG3024" i="2" s="1"/>
  <c r="AG3043" i="2"/>
  <c r="AI3041" i="2"/>
  <c r="AG3031" i="2"/>
  <c r="AG3032" i="2"/>
  <c r="AG2994" i="2"/>
  <c r="AG2995" i="2" s="1"/>
  <c r="AG2998" i="2" s="1"/>
  <c r="AH2999" i="2" s="1"/>
  <c r="AI3055" i="2" l="1"/>
  <c r="AG3046" i="2"/>
  <c r="AG3045" i="2"/>
  <c r="AG3057" i="2"/>
  <c r="AG3008" i="2"/>
  <c r="AG3009" i="2" s="1"/>
  <c r="AG3012" i="2" s="1"/>
  <c r="AH3013" i="2" s="1"/>
  <c r="AG3034" i="2"/>
  <c r="AG3033" i="2"/>
  <c r="AG3038" i="2" s="1"/>
  <c r="AG3021" i="2"/>
  <c r="AG3022" i="2" l="1"/>
  <c r="AG3023" i="2" s="1"/>
  <c r="AG3026" i="2" s="1"/>
  <c r="AH3027" i="2" s="1"/>
  <c r="AG3035" i="2"/>
  <c r="AG3047" i="2"/>
  <c r="AG3052" i="2" s="1"/>
  <c r="AG3048" i="2"/>
  <c r="AG3060" i="2"/>
  <c r="AG3059" i="2"/>
  <c r="AG3071" i="2"/>
  <c r="AI3069" i="2"/>
  <c r="AG3073" i="2" l="1"/>
  <c r="AI3083" i="2"/>
  <c r="AG3074" i="2"/>
  <c r="AG3085" i="2"/>
  <c r="AG3049" i="2"/>
  <c r="AG3036" i="2"/>
  <c r="AG3037" i="2" s="1"/>
  <c r="AG3040" i="2" s="1"/>
  <c r="AH3041" i="2" s="1"/>
  <c r="AG3061" i="2"/>
  <c r="AG3066" i="2" s="1"/>
  <c r="AG3062" i="2"/>
  <c r="AG3076" i="2" l="1"/>
  <c r="AG3075" i="2"/>
  <c r="AG3080" i="2" s="1"/>
  <c r="AG3063" i="2"/>
  <c r="AG3050" i="2"/>
  <c r="AG3051" i="2" s="1"/>
  <c r="AG3054" i="2" s="1"/>
  <c r="AH3055" i="2" s="1"/>
  <c r="AG3088" i="2"/>
  <c r="AG3099" i="2"/>
  <c r="AI3097" i="2"/>
  <c r="AG3087" i="2"/>
  <c r="AG3077" i="2" l="1"/>
  <c r="AG3090" i="2"/>
  <c r="AG3089" i="2"/>
  <c r="AG3094" i="2" s="1"/>
  <c r="AG3102" i="2"/>
  <c r="AG3101" i="2"/>
  <c r="AG3113" i="2"/>
  <c r="AI3111" i="2"/>
  <c r="AG3064" i="2"/>
  <c r="AG3065" i="2" s="1"/>
  <c r="AG3068" i="2" s="1"/>
  <c r="AH3069" i="2" s="1"/>
  <c r="AG3103" i="2" l="1"/>
  <c r="AG3108" i="2" s="1"/>
  <c r="AG3104" i="2"/>
  <c r="AG3078" i="2"/>
  <c r="AG3079" i="2" s="1"/>
  <c r="AG3082" i="2" s="1"/>
  <c r="AH3083" i="2" s="1"/>
  <c r="AG3116" i="2"/>
  <c r="AG3115" i="2"/>
  <c r="AG3127" i="2"/>
  <c r="AI3125" i="2"/>
  <c r="AG3091" i="2"/>
  <c r="AG3129" i="2" l="1"/>
  <c r="AI3139" i="2"/>
  <c r="AG3130" i="2"/>
  <c r="AG3141" i="2"/>
  <c r="AG3092" i="2"/>
  <c r="AG3093" i="2" s="1"/>
  <c r="AG3096" i="2" s="1"/>
  <c r="AH3097" i="2" s="1"/>
  <c r="AG3117" i="2"/>
  <c r="AG3122" i="2" s="1"/>
  <c r="AG3118" i="2"/>
  <c r="AG3105" i="2"/>
  <c r="AG3106" i="2" l="1"/>
  <c r="AG3107" i="2" s="1"/>
  <c r="AG3110" i="2" s="1"/>
  <c r="AH3111" i="2" s="1"/>
  <c r="AG3155" i="2"/>
  <c r="AI3153" i="2"/>
  <c r="AG3144" i="2"/>
  <c r="AG3143" i="2"/>
  <c r="AG3119" i="2"/>
  <c r="AG3131" i="2"/>
  <c r="AG3136" i="2" s="1"/>
  <c r="AG3132" i="2"/>
  <c r="AG3133" i="2" l="1"/>
  <c r="AG3145" i="2"/>
  <c r="AG3150" i="2" s="1"/>
  <c r="AG3146" i="2"/>
  <c r="AG3120" i="2"/>
  <c r="AG3121" i="2" s="1"/>
  <c r="AG3124" i="2" s="1"/>
  <c r="AH3125" i="2" s="1"/>
  <c r="AG3158" i="2"/>
  <c r="AG3157" i="2"/>
  <c r="AG3169" i="2"/>
  <c r="AI3167" i="2"/>
  <c r="AG3172" i="2" l="1"/>
  <c r="AG3183" i="2"/>
  <c r="AG3171" i="2"/>
  <c r="AI3181" i="2"/>
  <c r="AG3134" i="2"/>
  <c r="AG3135" i="2" s="1"/>
  <c r="AG3138" i="2" s="1"/>
  <c r="AH3139" i="2" s="1"/>
  <c r="AG3159" i="2"/>
  <c r="AG3164" i="2" s="1"/>
  <c r="AG3160" i="2"/>
  <c r="AG3147" i="2"/>
  <c r="AG3148" i="2" l="1"/>
  <c r="AG3149" i="2" s="1"/>
  <c r="AG3152" i="2" s="1"/>
  <c r="AH3153" i="2" s="1"/>
  <c r="AG3174" i="2"/>
  <c r="AG3173" i="2"/>
  <c r="AG3178" i="2" s="1"/>
  <c r="AG3185" i="2"/>
  <c r="AG3186" i="2"/>
  <c r="AG3197" i="2"/>
  <c r="AI3195" i="2"/>
  <c r="AG3161" i="2"/>
  <c r="AG3211" i="2" l="1"/>
  <c r="AI3209" i="2"/>
  <c r="AG3200" i="2"/>
  <c r="AG3199" i="2"/>
  <c r="AG3175" i="2"/>
  <c r="AG3187" i="2"/>
  <c r="AG3192" i="2" s="1"/>
  <c r="AG3188" i="2"/>
  <c r="AG3162" i="2"/>
  <c r="AG3163" i="2" s="1"/>
  <c r="AG3166" i="2" s="1"/>
  <c r="AH3167" i="2" s="1"/>
  <c r="AG3213" i="2" l="1"/>
  <c r="AG3225" i="2"/>
  <c r="AI3223" i="2"/>
  <c r="AG3214" i="2"/>
  <c r="AG3176" i="2"/>
  <c r="AG3177" i="2" s="1"/>
  <c r="AG3180" i="2" s="1"/>
  <c r="AH3181" i="2" s="1"/>
  <c r="AG3189" i="2"/>
  <c r="AG3201" i="2"/>
  <c r="AG3206" i="2" s="1"/>
  <c r="AG3202" i="2"/>
  <c r="AG3190" i="2" l="1"/>
  <c r="AG3191" i="2" s="1"/>
  <c r="AG3194" i="2" s="1"/>
  <c r="AH3195" i="2" s="1"/>
  <c r="AG3215" i="2"/>
  <c r="AG3220" i="2" s="1"/>
  <c r="AG3216" i="2"/>
  <c r="AG3203" i="2"/>
  <c r="AI3237" i="2"/>
  <c r="AG3228" i="2"/>
  <c r="AG3239" i="2"/>
  <c r="AG3227" i="2"/>
  <c r="AG3229" i="2" l="1"/>
  <c r="AG3234" i="2" s="1"/>
  <c r="AG3230" i="2"/>
  <c r="AG3242" i="2"/>
  <c r="AG3253" i="2"/>
  <c r="AI3251" i="2"/>
  <c r="AG3241" i="2"/>
  <c r="AG3204" i="2"/>
  <c r="AG3205" i="2" s="1"/>
  <c r="AG3208" i="2" s="1"/>
  <c r="AH3209" i="2" s="1"/>
  <c r="AG3217" i="2"/>
  <c r="AG3243" i="2" l="1"/>
  <c r="AG3248" i="2" s="1"/>
  <c r="AG3244" i="2"/>
  <c r="AG3231" i="2"/>
  <c r="AG3218" i="2"/>
  <c r="AG3219" i="2" s="1"/>
  <c r="AG3222" i="2" s="1"/>
  <c r="AH3223" i="2" s="1"/>
  <c r="AI3265" i="2"/>
  <c r="AG3256" i="2"/>
  <c r="AG3255" i="2"/>
  <c r="AG3267" i="2"/>
  <c r="AG3258" i="2" l="1"/>
  <c r="AG3257" i="2"/>
  <c r="AG3262" i="2" s="1"/>
  <c r="AG3245" i="2"/>
  <c r="AG3232" i="2"/>
  <c r="AG3233" i="2" s="1"/>
  <c r="AG3236" i="2" s="1"/>
  <c r="AH3237" i="2" s="1"/>
  <c r="AG3269" i="2"/>
  <c r="AG3281" i="2"/>
  <c r="AI3279" i="2"/>
  <c r="AG3270" i="2"/>
  <c r="AG3259" i="2" l="1"/>
  <c r="AG3271" i="2"/>
  <c r="AG3276" i="2" s="1"/>
  <c r="AG3272" i="2"/>
  <c r="AG3246" i="2"/>
  <c r="AG3247" i="2" s="1"/>
  <c r="AG3250" i="2" s="1"/>
  <c r="AH3251" i="2" s="1"/>
  <c r="AG3283" i="2"/>
  <c r="AI3293" i="2"/>
  <c r="AG3284" i="2"/>
  <c r="AG3295" i="2"/>
  <c r="AG3309" i="2" l="1"/>
  <c r="AI3307" i="2"/>
  <c r="AG3297" i="2"/>
  <c r="AG3298" i="2"/>
  <c r="AG3260" i="2"/>
  <c r="AG3261" i="2" s="1"/>
  <c r="AG3264" i="2" s="1"/>
  <c r="AH3265" i="2" s="1"/>
  <c r="AG3286" i="2"/>
  <c r="AG3285" i="2"/>
  <c r="AG3290" i="2" s="1"/>
  <c r="AG3273" i="2"/>
  <c r="AG3312" i="2" l="1"/>
  <c r="AG3311" i="2"/>
  <c r="AG3323" i="2"/>
  <c r="AI3321" i="2"/>
  <c r="AG3299" i="2"/>
  <c r="AG3304" i="2" s="1"/>
  <c r="AG3300" i="2"/>
  <c r="AG3274" i="2"/>
  <c r="AG3275" i="2" s="1"/>
  <c r="AG3278" i="2" s="1"/>
  <c r="AH3279" i="2" s="1"/>
  <c r="AG3287" i="2"/>
  <c r="AG3313" i="2" l="1"/>
  <c r="AG3318" i="2" s="1"/>
  <c r="AG3314" i="2"/>
  <c r="AG3288" i="2"/>
  <c r="AG3289" i="2" s="1"/>
  <c r="AG3292" i="2" s="1"/>
  <c r="AH3293" i="2" s="1"/>
  <c r="AG3301" i="2"/>
  <c r="AG3326" i="2"/>
  <c r="AG3325" i="2"/>
  <c r="AG3337" i="2"/>
  <c r="AI3335" i="2"/>
  <c r="AG3302" i="2" l="1"/>
  <c r="AG3303" i="2" s="1"/>
  <c r="AG3306" i="2" s="1"/>
  <c r="AH3307" i="2" s="1"/>
  <c r="AG3351" i="2"/>
  <c r="AG3339" i="2"/>
  <c r="AI3349" i="2"/>
  <c r="AG3340" i="2"/>
  <c r="AG3315" i="2"/>
  <c r="AG3327" i="2"/>
  <c r="AG3332" i="2" s="1"/>
  <c r="AG3328" i="2"/>
  <c r="AG3316" i="2" l="1"/>
  <c r="AG3317" i="2" s="1"/>
  <c r="AG3320" i="2" s="1"/>
  <c r="AH3321" i="2" s="1"/>
  <c r="AG3341" i="2"/>
  <c r="AG3346" i="2" s="1"/>
  <c r="AG3342" i="2"/>
  <c r="AG3329" i="2"/>
  <c r="AG3354" i="2"/>
  <c r="AG3365" i="2"/>
  <c r="AI3363" i="2"/>
  <c r="AG3353" i="2"/>
  <c r="AG3330" i="2" l="1"/>
  <c r="AG3331" i="2" s="1"/>
  <c r="AG3334" i="2" s="1"/>
  <c r="AH3335" i="2" s="1"/>
  <c r="AG3356" i="2"/>
  <c r="AG3355" i="2"/>
  <c r="AG3360" i="2" s="1"/>
  <c r="AI3377" i="2"/>
  <c r="AG3368" i="2"/>
  <c r="AG3367" i="2"/>
  <c r="AG3379" i="2"/>
  <c r="AG3343" i="2"/>
  <c r="AG3344" i="2" l="1"/>
  <c r="AG3345" i="2" s="1"/>
  <c r="AG3348" i="2" s="1"/>
  <c r="AH3349" i="2" s="1"/>
  <c r="AG3370" i="2"/>
  <c r="AG3369" i="2"/>
  <c r="AG3374" i="2" s="1"/>
  <c r="AG3357" i="2"/>
  <c r="AG3381" i="2"/>
  <c r="AG3393" i="2"/>
  <c r="AI3391" i="2"/>
  <c r="AG3382" i="2"/>
  <c r="AG3383" i="2" l="1"/>
  <c r="AG3388" i="2" s="1"/>
  <c r="AG3384" i="2"/>
  <c r="AG3358" i="2"/>
  <c r="AG3359" i="2" s="1"/>
  <c r="AG3362" i="2" s="1"/>
  <c r="AH3363" i="2" s="1"/>
  <c r="AG3371" i="2"/>
  <c r="AI3405" i="2"/>
  <c r="AG3396" i="2"/>
  <c r="AG3407" i="2"/>
  <c r="AG3395" i="2"/>
  <c r="AG3421" i="2" l="1"/>
  <c r="AI3419" i="2"/>
  <c r="AG3409" i="2"/>
  <c r="AG3410" i="2"/>
  <c r="AG3398" i="2"/>
  <c r="AG3397" i="2"/>
  <c r="AG3402" i="2" s="1"/>
  <c r="AG3372" i="2"/>
  <c r="AG3373" i="2" s="1"/>
  <c r="AG3376" i="2" s="1"/>
  <c r="AH3377" i="2" s="1"/>
  <c r="AG3385" i="2"/>
  <c r="AG3399" i="2" l="1"/>
  <c r="AI3433" i="2"/>
  <c r="AG3424" i="2"/>
  <c r="AG3423" i="2"/>
  <c r="AG3435" i="2"/>
  <c r="AG3386" i="2"/>
  <c r="AG3387" i="2" s="1"/>
  <c r="AG3390" i="2" s="1"/>
  <c r="AH3391" i="2" s="1"/>
  <c r="AG3412" i="2"/>
  <c r="AG3411" i="2"/>
  <c r="AG3416" i="2" s="1"/>
  <c r="AG3425" i="2" l="1"/>
  <c r="AG3430" i="2" s="1"/>
  <c r="AG3426" i="2"/>
  <c r="AG3400" i="2"/>
  <c r="AG3401" i="2" s="1"/>
  <c r="AG3404" i="2" s="1"/>
  <c r="AH3405" i="2" s="1"/>
  <c r="AG3413" i="2"/>
  <c r="AG3449" i="2"/>
  <c r="AI3447" i="2"/>
  <c r="AG3438" i="2"/>
  <c r="AG3437" i="2"/>
  <c r="AG3439" i="2" l="1"/>
  <c r="AG3444" i="2" s="1"/>
  <c r="AG3440" i="2"/>
  <c r="AG3427" i="2"/>
  <c r="AG3451" i="2"/>
  <c r="AI3461" i="2"/>
  <c r="AG3452" i="2"/>
  <c r="AG3463" i="2"/>
  <c r="AG3414" i="2"/>
  <c r="AG3415" i="2" s="1"/>
  <c r="AG3418" i="2" s="1"/>
  <c r="AH3419" i="2" s="1"/>
  <c r="AG3454" i="2" l="1"/>
  <c r="AG3453" i="2"/>
  <c r="AG3458" i="2" s="1"/>
  <c r="AG3441" i="2"/>
  <c r="AG3477" i="2"/>
  <c r="AI3475" i="2"/>
  <c r="AG3465" i="2"/>
  <c r="AG3466" i="2"/>
  <c r="AG3428" i="2"/>
  <c r="AG3429" i="2" s="1"/>
  <c r="AG3432" i="2" s="1"/>
  <c r="AH3433" i="2" s="1"/>
  <c r="AG3491" i="2" l="1"/>
  <c r="AI3489" i="2"/>
  <c r="AG3480" i="2"/>
  <c r="AG3479" i="2"/>
  <c r="AG3468" i="2"/>
  <c r="AG3467" i="2"/>
  <c r="AG3472" i="2" s="1"/>
  <c r="AG3455" i="2"/>
  <c r="AG3442" i="2"/>
  <c r="AG3443" i="2" s="1"/>
  <c r="AG3446" i="2" s="1"/>
  <c r="AH3447" i="2" s="1"/>
  <c r="AG3469" i="2" l="1"/>
  <c r="AG3494" i="2"/>
  <c r="AG3493" i="2"/>
  <c r="AG3505" i="2"/>
  <c r="AI3503" i="2"/>
  <c r="AG3456" i="2"/>
  <c r="AG3457" i="2" s="1"/>
  <c r="AG3460" i="2" s="1"/>
  <c r="AH3461" i="2" s="1"/>
  <c r="AG3481" i="2"/>
  <c r="AG3486" i="2" s="1"/>
  <c r="AG3482" i="2"/>
  <c r="AI3517" i="2" l="1"/>
  <c r="AG3519" i="2"/>
  <c r="AG3508" i="2"/>
  <c r="AG3507" i="2"/>
  <c r="AG3470" i="2"/>
  <c r="AG3471" i="2" s="1"/>
  <c r="AG3474" i="2" s="1"/>
  <c r="AH3475" i="2" s="1"/>
  <c r="AG3483" i="2"/>
  <c r="AG3495" i="2"/>
  <c r="AG3500" i="2" s="1"/>
  <c r="AG3496" i="2"/>
  <c r="AG3497" i="2" l="1"/>
  <c r="AI3531" i="2"/>
  <c r="AG3521" i="2"/>
  <c r="AG3522" i="2"/>
  <c r="AG3533" i="2"/>
  <c r="AG3484" i="2"/>
  <c r="AG3485" i="2" s="1"/>
  <c r="AG3488" i="2" s="1"/>
  <c r="AH3489" i="2" s="1"/>
  <c r="AG3509" i="2"/>
  <c r="AG3514" i="2" s="1"/>
  <c r="AG3510" i="2"/>
  <c r="AG3498" i="2" l="1"/>
  <c r="AG3499" i="2" s="1"/>
  <c r="AG3502" i="2" s="1"/>
  <c r="AH3503" i="2" s="1"/>
  <c r="AG3536" i="2"/>
  <c r="AG3535" i="2"/>
  <c r="AG3547" i="2"/>
  <c r="AI3545" i="2"/>
  <c r="AG3511" i="2"/>
  <c r="AG3524" i="2"/>
  <c r="AG3523" i="2"/>
  <c r="AG3528" i="2" s="1"/>
  <c r="AG3525" i="2" l="1"/>
  <c r="AI3559" i="2"/>
  <c r="AG3550" i="2"/>
  <c r="AG3549" i="2"/>
  <c r="AG3561" i="2"/>
  <c r="AG3512" i="2"/>
  <c r="AG3513" i="2" s="1"/>
  <c r="AG3516" i="2" s="1"/>
  <c r="AH3517" i="2" s="1"/>
  <c r="AG3537" i="2"/>
  <c r="AG3542" i="2" s="1"/>
  <c r="AG3538" i="2"/>
  <c r="AG3526" i="2" l="1"/>
  <c r="AG3527" i="2" s="1"/>
  <c r="AG3530" i="2" s="1"/>
  <c r="AH3531" i="2" s="1"/>
  <c r="AG3563" i="2"/>
  <c r="AI3573" i="2"/>
  <c r="AG3564" i="2"/>
  <c r="AG3575" i="2"/>
  <c r="AG3551" i="2"/>
  <c r="AG3556" i="2" s="1"/>
  <c r="AG3552" i="2"/>
  <c r="AG3539" i="2"/>
  <c r="AG3540" i="2" l="1"/>
  <c r="AG3541" i="2" s="1"/>
  <c r="AG3544" i="2" s="1"/>
  <c r="AH3545" i="2" s="1"/>
  <c r="AG3577" i="2"/>
  <c r="AG3578" i="2"/>
  <c r="AG3589" i="2"/>
  <c r="AI3587" i="2"/>
  <c r="AG3566" i="2"/>
  <c r="AG3565" i="2"/>
  <c r="AG3570" i="2" s="1"/>
  <c r="AG3553" i="2"/>
  <c r="AG3554" i="2" l="1"/>
  <c r="AG3555" i="2" s="1"/>
  <c r="AG3558" i="2" s="1"/>
  <c r="AH3559" i="2" s="1"/>
  <c r="AG3567" i="2"/>
  <c r="AG3580" i="2"/>
  <c r="AG3579" i="2"/>
  <c r="AG3584" i="2" s="1"/>
  <c r="AI3601" i="2"/>
  <c r="AG3592" i="2"/>
  <c r="AG3591" i="2"/>
  <c r="AG3603" i="2"/>
  <c r="AG3593" i="2" l="1"/>
  <c r="AG3598" i="2" s="1"/>
  <c r="AG3594" i="2"/>
  <c r="AG3568" i="2"/>
  <c r="AG3569" i="2" s="1"/>
  <c r="AG3572" i="2" s="1"/>
  <c r="AH3573" i="2" s="1"/>
  <c r="AG3581" i="2"/>
  <c r="AG3617" i="2"/>
  <c r="AI3615" i="2"/>
  <c r="AG3606" i="2"/>
  <c r="AG3605" i="2"/>
  <c r="AG3582" i="2" l="1"/>
  <c r="AG3583" i="2" s="1"/>
  <c r="AG3586" i="2" s="1"/>
  <c r="AH3587" i="2" s="1"/>
  <c r="AG3607" i="2"/>
  <c r="AG3612" i="2" s="1"/>
  <c r="AG3608" i="2"/>
  <c r="AG3595" i="2"/>
  <c r="AI3629" i="2"/>
  <c r="AG3620" i="2"/>
  <c r="AG3631" i="2"/>
  <c r="AG3619" i="2"/>
  <c r="AG3622" i="2" l="1"/>
  <c r="AG3621" i="2"/>
  <c r="AG3626" i="2" s="1"/>
  <c r="AI3643" i="2"/>
  <c r="AG3633" i="2"/>
  <c r="AG3634" i="2"/>
  <c r="AG3645" i="2"/>
  <c r="AG3596" i="2"/>
  <c r="AG3597" i="2" s="1"/>
  <c r="AG3600" i="2" s="1"/>
  <c r="AH3601" i="2" s="1"/>
  <c r="AG3609" i="2"/>
  <c r="AG3623" i="2" l="1"/>
  <c r="AG3610" i="2"/>
  <c r="AG3611" i="2" s="1"/>
  <c r="AG3614" i="2" s="1"/>
  <c r="AH3615" i="2" s="1"/>
  <c r="AG3659" i="2"/>
  <c r="AI3657" i="2"/>
  <c r="AG3648" i="2"/>
  <c r="AG3647" i="2"/>
  <c r="AG3636" i="2"/>
  <c r="AG3635" i="2"/>
  <c r="AG3640" i="2" s="1"/>
  <c r="AG3650" i="2" l="1"/>
  <c r="AG3649" i="2"/>
  <c r="AG3654" i="2" s="1"/>
  <c r="AG3661" i="2"/>
  <c r="AG3673" i="2"/>
  <c r="AI3671" i="2"/>
  <c r="AG3662" i="2"/>
  <c r="AG3624" i="2"/>
  <c r="AG3625" i="2" s="1"/>
  <c r="AG3628" i="2" s="1"/>
  <c r="AH3629" i="2" s="1"/>
  <c r="AG3637" i="2"/>
  <c r="AG3638" i="2" l="1"/>
  <c r="AG3639" i="2" s="1"/>
  <c r="AG3642" i="2" s="1"/>
  <c r="AH3643" i="2" s="1"/>
  <c r="AG3651" i="2"/>
  <c r="AG3664" i="2"/>
  <c r="AG3663" i="2"/>
  <c r="AG3668" i="2" s="1"/>
  <c r="AG3687" i="2"/>
  <c r="AG3675" i="2"/>
  <c r="AI3685" i="2"/>
  <c r="AG3676" i="2"/>
  <c r="AG3665" i="2" l="1"/>
  <c r="AG3690" i="2"/>
  <c r="AG3701" i="2"/>
  <c r="AI3699" i="2"/>
  <c r="AG3689" i="2"/>
  <c r="AG3677" i="2"/>
  <c r="AG3682" i="2" s="1"/>
  <c r="AG3678" i="2"/>
  <c r="AG3652" i="2"/>
  <c r="AG3653" i="2" s="1"/>
  <c r="AG3656" i="2" s="1"/>
  <c r="AH3657" i="2" s="1"/>
  <c r="AG3691" i="2" l="1"/>
  <c r="AG3696" i="2" s="1"/>
  <c r="AG3692" i="2"/>
  <c r="AG3666" i="2"/>
  <c r="AG3667" i="2" s="1"/>
  <c r="AG3670" i="2" s="1"/>
  <c r="AH3671" i="2" s="1"/>
  <c r="AG3679" i="2"/>
  <c r="AG3704" i="2"/>
  <c r="AG3703" i="2"/>
  <c r="AG3715" i="2"/>
  <c r="AI3713" i="2"/>
  <c r="AG3717" i="2" l="1"/>
  <c r="AG3729" i="2"/>
  <c r="AI3727" i="2"/>
  <c r="AG3718" i="2"/>
  <c r="AG3680" i="2"/>
  <c r="AG3681" i="2" s="1"/>
  <c r="AG3684" i="2" s="1"/>
  <c r="AH3685" i="2" s="1"/>
  <c r="AG3693" i="2"/>
  <c r="AG3706" i="2"/>
  <c r="AG3705" i="2"/>
  <c r="AG3710" i="2" s="1"/>
  <c r="AG3720" i="2" l="1"/>
  <c r="AG3719" i="2"/>
  <c r="AG3724" i="2" s="1"/>
  <c r="AG3732" i="2"/>
  <c r="AG3731" i="2"/>
  <c r="AI3741" i="2"/>
  <c r="AG3743" i="2"/>
  <c r="AG3694" i="2"/>
  <c r="AG3695" i="2" s="1"/>
  <c r="AG3698" i="2" s="1"/>
  <c r="AH3699" i="2" s="1"/>
  <c r="AG3707" i="2"/>
  <c r="AG3745" i="2" l="1"/>
  <c r="AG3746" i="2"/>
  <c r="AG3757" i="2"/>
  <c r="AI3755" i="2"/>
  <c r="AG3721" i="2"/>
  <c r="AG3708" i="2"/>
  <c r="AG3709" i="2" s="1"/>
  <c r="AG3712" i="2" s="1"/>
  <c r="AH3713" i="2" s="1"/>
  <c r="AG3734" i="2"/>
  <c r="AG3733" i="2"/>
  <c r="AG3738" i="2" s="1"/>
  <c r="AG3735" i="2" l="1"/>
  <c r="AG3747" i="2"/>
  <c r="AG3752" i="2" s="1"/>
  <c r="AG3748" i="2"/>
  <c r="AG3760" i="2"/>
  <c r="AG3759" i="2"/>
  <c r="AG3771" i="2"/>
  <c r="AI3769" i="2"/>
  <c r="AG3722" i="2"/>
  <c r="AG3723" i="2" s="1"/>
  <c r="AG3726" i="2" s="1"/>
  <c r="AH3727" i="2" s="1"/>
  <c r="AG3736" i="2" l="1"/>
  <c r="AG3737" i="2" s="1"/>
  <c r="AG3740" i="2" s="1"/>
  <c r="AH3741" i="2" s="1"/>
  <c r="AG3761" i="2"/>
  <c r="AG3766" i="2" s="1"/>
  <c r="AG3762" i="2"/>
  <c r="AG3785" i="2"/>
  <c r="AI3783" i="2"/>
  <c r="AG3774" i="2"/>
  <c r="AG3773" i="2"/>
  <c r="AG3749" i="2"/>
  <c r="AG3750" i="2" l="1"/>
  <c r="AG3751" i="2" s="1"/>
  <c r="AG3754" i="2" s="1"/>
  <c r="AH3755" i="2" s="1"/>
  <c r="AI3797" i="2"/>
  <c r="AG3788" i="2"/>
  <c r="AG3799" i="2"/>
  <c r="AG3787" i="2"/>
  <c r="AG3776" i="2"/>
  <c r="AG3775" i="2"/>
  <c r="AG3780" i="2" s="1"/>
  <c r="AG3763" i="2"/>
  <c r="AG3790" i="2" l="1"/>
  <c r="AG3789" i="2"/>
  <c r="AG3794" i="2" s="1"/>
  <c r="AG3764" i="2"/>
  <c r="AG3765" i="2" s="1"/>
  <c r="AG3768" i="2" s="1"/>
  <c r="AH3769" i="2" s="1"/>
  <c r="AG3801" i="2"/>
  <c r="AG3802" i="2"/>
  <c r="AG3813" i="2"/>
  <c r="AI3811" i="2"/>
  <c r="AG3777" i="2"/>
  <c r="AG3803" i="2" l="1"/>
  <c r="AG3808" i="2" s="1"/>
  <c r="AG3804" i="2"/>
  <c r="AG3778" i="2"/>
  <c r="AG3779" i="2" s="1"/>
  <c r="AG3782" i="2" s="1"/>
  <c r="AH3783" i="2" s="1"/>
  <c r="AG3791" i="2"/>
  <c r="AG3816" i="2"/>
  <c r="AG3815" i="2"/>
  <c r="AG3827" i="2"/>
  <c r="AI3825" i="2"/>
  <c r="AG3830" i="2" l="1"/>
  <c r="AG3829" i="2"/>
  <c r="AG3841" i="2"/>
  <c r="AI3839" i="2"/>
  <c r="AG3805" i="2"/>
  <c r="AG3792" i="2"/>
  <c r="AG3793" i="2" s="1"/>
  <c r="AG3796" i="2" s="1"/>
  <c r="AH3797" i="2" s="1"/>
  <c r="AG3817" i="2"/>
  <c r="AG3822" i="2" s="1"/>
  <c r="AG3818" i="2"/>
  <c r="AG3806" i="2" l="1"/>
  <c r="AG3807" i="2" s="1"/>
  <c r="AG3810" i="2" s="1"/>
  <c r="AH3811" i="2" s="1"/>
  <c r="AG3831" i="2"/>
  <c r="AG3836" i="2" s="1"/>
  <c r="AG3832" i="2"/>
  <c r="AG3819" i="2"/>
  <c r="AI3853" i="2"/>
  <c r="AG3855" i="2"/>
  <c r="AG3844" i="2"/>
  <c r="AG3843" i="2"/>
  <c r="AG3820" i="2" l="1"/>
  <c r="AG3821" i="2" s="1"/>
  <c r="AG3824" i="2" s="1"/>
  <c r="AH3825" i="2" s="1"/>
  <c r="AG3846" i="2"/>
  <c r="AG3845" i="2"/>
  <c r="AG3857" i="2"/>
  <c r="AG3869" i="2"/>
  <c r="AI3867" i="2"/>
  <c r="AG3858" i="2"/>
  <c r="AG3833" i="2"/>
  <c r="AG3850" i="2"/>
  <c r="AG3860" i="2" l="1"/>
  <c r="AG3859" i="2"/>
  <c r="AG3864" i="2" s="1"/>
  <c r="AG3883" i="2"/>
  <c r="AI3881" i="2"/>
  <c r="AG3872" i="2"/>
  <c r="AG3871" i="2"/>
  <c r="AG3834" i="2"/>
  <c r="AG3835" i="2" s="1"/>
  <c r="AG3838" i="2" s="1"/>
  <c r="AH3839" i="2" s="1"/>
  <c r="AG3847" i="2"/>
  <c r="AG3848" i="2" l="1"/>
  <c r="AG3849" i="2" s="1"/>
  <c r="AG3852" i="2" s="1"/>
  <c r="AH3853" i="2" s="1"/>
  <c r="AG3861" i="2"/>
  <c r="AG3874" i="2"/>
  <c r="AG3873" i="2"/>
  <c r="AG3878" i="2" s="1"/>
  <c r="AG3897" i="2"/>
  <c r="AG3886" i="2"/>
  <c r="AI3895" i="2"/>
  <c r="AG3885" i="2"/>
  <c r="AG3875" i="2" l="1"/>
  <c r="AG3887" i="2"/>
  <c r="AG3892" i="2" s="1"/>
  <c r="AG3888" i="2"/>
  <c r="AG3900" i="2"/>
  <c r="AG3899" i="2"/>
  <c r="AI3909" i="2"/>
  <c r="AG3911" i="2"/>
  <c r="AG3862" i="2"/>
  <c r="AG3863" i="2" s="1"/>
  <c r="AG3866" i="2" s="1"/>
  <c r="AH3867" i="2" s="1"/>
  <c r="AG3876" i="2" l="1"/>
  <c r="AG3877" i="2" s="1"/>
  <c r="AG3880" i="2" s="1"/>
  <c r="AH3881" i="2" s="1"/>
  <c r="AG3902" i="2"/>
  <c r="AG3901" i="2"/>
  <c r="AG3906" i="2" s="1"/>
  <c r="AG3925" i="2"/>
  <c r="AI3923" i="2"/>
  <c r="AG3914" i="2"/>
  <c r="AG3913" i="2"/>
  <c r="AG3889" i="2"/>
  <c r="AG3890" i="2" l="1"/>
  <c r="AG3891" i="2" s="1"/>
  <c r="AG3894" i="2" s="1"/>
  <c r="AH3895" i="2" s="1"/>
  <c r="AG3916" i="2"/>
  <c r="AG3915" i="2"/>
  <c r="AG3920" i="2" s="1"/>
  <c r="AG3928" i="2"/>
  <c r="AG3927" i="2"/>
  <c r="AG3939" i="2"/>
  <c r="AI3937" i="2"/>
  <c r="AG3903" i="2"/>
  <c r="AG3904" i="2" l="1"/>
  <c r="AG3905" i="2" s="1"/>
  <c r="AG3908" i="2" s="1"/>
  <c r="AH3909" i="2" s="1"/>
  <c r="AG3929" i="2"/>
  <c r="AG3934" i="2" s="1"/>
  <c r="AG3930" i="2"/>
  <c r="AG3941" i="2"/>
  <c r="AG3953" i="2"/>
  <c r="AG3942" i="2"/>
  <c r="AI3951" i="2"/>
  <c r="AG3917" i="2"/>
  <c r="AG3918" i="2" l="1"/>
  <c r="AG3919" i="2" s="1"/>
  <c r="AG3922" i="2" s="1"/>
  <c r="AH3923" i="2" s="1"/>
  <c r="AG3955" i="2"/>
  <c r="AI3965" i="2"/>
  <c r="AG3967" i="2"/>
  <c r="AG3956" i="2"/>
  <c r="AG3944" i="2"/>
  <c r="AG3943" i="2"/>
  <c r="AG3948" i="2" s="1"/>
  <c r="AG3931" i="2"/>
  <c r="AG3932" i="2" l="1"/>
  <c r="AG3933" i="2" s="1"/>
  <c r="AG3936" i="2" s="1"/>
  <c r="AH3937" i="2" s="1"/>
  <c r="AG3945" i="2"/>
  <c r="AG3957" i="2"/>
  <c r="AG3962" i="2" s="1"/>
  <c r="AG3958" i="2"/>
  <c r="AG3970" i="2"/>
  <c r="AG3969" i="2"/>
  <c r="AG3981" i="2"/>
  <c r="AI3979" i="2"/>
  <c r="AG3946" i="2" l="1"/>
  <c r="AG3947" i="2" s="1"/>
  <c r="AG3950" i="2" s="1"/>
  <c r="AH3951" i="2" s="1"/>
  <c r="AI3993" i="2"/>
  <c r="AG3984" i="2"/>
  <c r="AG3983" i="2"/>
  <c r="AG3995" i="2"/>
  <c r="AG3959" i="2"/>
  <c r="AG3972" i="2"/>
  <c r="AG3971" i="2"/>
  <c r="AG3976" i="2" s="1"/>
  <c r="AG3960" i="2" l="1"/>
  <c r="AG3961" i="2" s="1"/>
  <c r="AG3964" i="2" s="1"/>
  <c r="AH3965" i="2" s="1"/>
  <c r="AG3985" i="2"/>
  <c r="AG3990" i="2" s="1"/>
  <c r="AG3986" i="2"/>
  <c r="AG3973" i="2"/>
  <c r="AI4007" i="2"/>
  <c r="AG3997" i="2"/>
  <c r="AG4009" i="2"/>
  <c r="AG3998" i="2"/>
  <c r="AG3987" i="2" l="1"/>
  <c r="AG3999" i="2"/>
  <c r="AG4004" i="2" s="1"/>
  <c r="AG4000" i="2"/>
  <c r="AG3974" i="2"/>
  <c r="AG3975" i="2" s="1"/>
  <c r="AG3978" i="2" s="1"/>
  <c r="AH3979" i="2" s="1"/>
  <c r="AG4012" i="2"/>
  <c r="AG4011" i="2"/>
  <c r="AI4021" i="2"/>
  <c r="AG4023" i="2"/>
  <c r="AG4026" i="2" l="1"/>
  <c r="AG4025" i="2"/>
  <c r="AG4037" i="2"/>
  <c r="AI4035" i="2"/>
  <c r="AG3988" i="2"/>
  <c r="AG3989" i="2" s="1"/>
  <c r="AG3992" i="2" s="1"/>
  <c r="AH3993" i="2" s="1"/>
  <c r="AG4013" i="2"/>
  <c r="AG4018" i="2" s="1"/>
  <c r="AG4014" i="2"/>
  <c r="AG4001" i="2"/>
  <c r="AG4028" i="2" l="1"/>
  <c r="AG4027" i="2"/>
  <c r="AG4032" i="2" s="1"/>
  <c r="AG4040" i="2"/>
  <c r="AG4039" i="2"/>
  <c r="AG4051" i="2"/>
  <c r="AI4049" i="2"/>
  <c r="AG4015" i="2"/>
  <c r="AG4002" i="2"/>
  <c r="AG4003" i="2" s="1"/>
  <c r="AG4006" i="2" s="1"/>
  <c r="AH4007" i="2" s="1"/>
  <c r="AG4065" i="2" l="1"/>
  <c r="AG4054" i="2"/>
  <c r="AI4063" i="2"/>
  <c r="AG4053" i="2"/>
  <c r="AG4029" i="2"/>
  <c r="AG4016" i="2"/>
  <c r="AG4017" i="2" s="1"/>
  <c r="AG4020" i="2" s="1"/>
  <c r="AH4021" i="2" s="1"/>
  <c r="AG4042" i="2"/>
  <c r="AG4041" i="2"/>
  <c r="AG4046" i="2" s="1"/>
  <c r="AG4079" i="2" l="1"/>
  <c r="AG4068" i="2"/>
  <c r="AG4067" i="2"/>
  <c r="AI4077" i="2"/>
  <c r="AG4043" i="2"/>
  <c r="AG4030" i="2"/>
  <c r="AG4031" i="2" s="1"/>
  <c r="AG4034" i="2" s="1"/>
  <c r="AH4035" i="2" s="1"/>
  <c r="AG4056" i="2"/>
  <c r="AG4055" i="2"/>
  <c r="AG4060" i="2" s="1"/>
  <c r="AG4057" i="2" l="1"/>
  <c r="AG4093" i="2"/>
  <c r="AI4091" i="2"/>
  <c r="AG4082" i="2"/>
  <c r="AG4081" i="2"/>
  <c r="AG4070" i="2"/>
  <c r="AG4069" i="2"/>
  <c r="AG4074" i="2" s="1"/>
  <c r="AG4044" i="2"/>
  <c r="AG4045" i="2" s="1"/>
  <c r="AG4048" i="2" s="1"/>
  <c r="AH4049" i="2" s="1"/>
  <c r="AG4084" i="2" l="1"/>
  <c r="AG4083" i="2"/>
  <c r="AG4088" i="2" s="1"/>
  <c r="AG4058" i="2"/>
  <c r="AG4059" i="2" s="1"/>
  <c r="AG4062" i="2" s="1"/>
  <c r="AH4063" i="2" s="1"/>
  <c r="AG4096" i="2"/>
  <c r="AG4095" i="2"/>
  <c r="AG4107" i="2"/>
  <c r="AI4105" i="2"/>
  <c r="AG4071" i="2"/>
  <c r="AG4072" i="2" l="1"/>
  <c r="AG4073" i="2" s="1"/>
  <c r="AG4076" i="2" s="1"/>
  <c r="AH4077" i="2" s="1"/>
  <c r="AG4085" i="2"/>
  <c r="AG4098" i="2"/>
  <c r="AG4097" i="2"/>
  <c r="AG4102" i="2" s="1"/>
  <c r="AI4119" i="2"/>
  <c r="AG4109" i="2"/>
  <c r="AG4121" i="2"/>
  <c r="AG4110" i="2"/>
  <c r="AG4086" i="2" l="1"/>
  <c r="AG4087" i="2" s="1"/>
  <c r="AG4090" i="2" s="1"/>
  <c r="AH4091" i="2" s="1"/>
  <c r="AI4133" i="2"/>
  <c r="AG4135" i="2"/>
  <c r="AG4124" i="2"/>
  <c r="AG4123" i="2"/>
  <c r="AG4099" i="2"/>
  <c r="AG4111" i="2"/>
  <c r="AG4116" i="2" s="1"/>
  <c r="AG4112" i="2"/>
  <c r="AG4100" i="2" l="1"/>
  <c r="AG4101" i="2" s="1"/>
  <c r="AG4104" i="2" s="1"/>
  <c r="AH4105" i="2" s="1"/>
  <c r="AG4126" i="2"/>
  <c r="AG4125" i="2"/>
  <c r="AG4130" i="2" s="1"/>
  <c r="AG4113" i="2"/>
  <c r="AG4138" i="2"/>
  <c r="AG4137" i="2"/>
  <c r="AG4149" i="2"/>
  <c r="AI4147" i="2"/>
  <c r="AG4152" i="2" l="1"/>
  <c r="AG4151" i="2"/>
  <c r="AG4163" i="2"/>
  <c r="AI4161" i="2"/>
  <c r="AG4140" i="2"/>
  <c r="AG4139" i="2"/>
  <c r="AG4144" i="2" s="1"/>
  <c r="AG4114" i="2"/>
  <c r="AG4115" i="2" s="1"/>
  <c r="AG4118" i="2" s="1"/>
  <c r="AH4119" i="2" s="1"/>
  <c r="AG4127" i="2"/>
  <c r="AG4141" i="2" l="1"/>
  <c r="AG4154" i="2"/>
  <c r="AG4153" i="2"/>
  <c r="AG4158" i="2" s="1"/>
  <c r="AI4175" i="2"/>
  <c r="AG4165" i="2"/>
  <c r="AG4177" i="2"/>
  <c r="AG4166" i="2"/>
  <c r="AG4128" i="2"/>
  <c r="AG4129" i="2" s="1"/>
  <c r="AG4132" i="2" s="1"/>
  <c r="AH4133" i="2" s="1"/>
  <c r="AG4142" i="2" l="1"/>
  <c r="AG4143" i="2" s="1"/>
  <c r="AG4146" i="2" s="1"/>
  <c r="AH4147" i="2" s="1"/>
  <c r="AG4167" i="2"/>
  <c r="AG4172" i="2" s="1"/>
  <c r="AG4168" i="2"/>
  <c r="AG4180" i="2"/>
  <c r="AG4179" i="2"/>
  <c r="AI4189" i="2"/>
  <c r="AG4191" i="2"/>
  <c r="AG4155" i="2"/>
  <c r="AG4156" i="2" l="1"/>
  <c r="AG4157" i="2" s="1"/>
  <c r="AG4160" i="2" s="1"/>
  <c r="AH4161" i="2" s="1"/>
  <c r="AG4182" i="2"/>
  <c r="AG4181" i="2"/>
  <c r="AG4186" i="2" s="1"/>
  <c r="AI4203" i="2"/>
  <c r="AG4194" i="2"/>
  <c r="AG4193" i="2"/>
  <c r="AG4205" i="2"/>
  <c r="AG4169" i="2"/>
  <c r="AG4170" i="2" l="1"/>
  <c r="AG4171" i="2" s="1"/>
  <c r="AG4174" i="2" s="1"/>
  <c r="AH4175" i="2" s="1"/>
  <c r="AG4196" i="2"/>
  <c r="AG4195" i="2"/>
  <c r="AG4200" i="2" s="1"/>
  <c r="AG4183" i="2"/>
  <c r="AG4208" i="2"/>
  <c r="AG4207" i="2"/>
  <c r="AG4219" i="2"/>
  <c r="AI4217" i="2"/>
  <c r="AI4231" i="2" l="1"/>
  <c r="AG4221" i="2"/>
  <c r="AG4233" i="2"/>
  <c r="AG4222" i="2"/>
  <c r="AG4184" i="2"/>
  <c r="AG4185" i="2" s="1"/>
  <c r="AG4188" i="2" s="1"/>
  <c r="AH4189" i="2" s="1"/>
  <c r="AG4197" i="2"/>
  <c r="AG4209" i="2"/>
  <c r="AG4214" i="2" s="1"/>
  <c r="AG4210" i="2"/>
  <c r="AG4235" i="2" l="1"/>
  <c r="AI4245" i="2"/>
  <c r="AG4247" i="2"/>
  <c r="AG4236" i="2"/>
  <c r="AG4224" i="2"/>
  <c r="AG4223" i="2"/>
  <c r="AG4228" i="2" s="1"/>
  <c r="AG4211" i="2"/>
  <c r="AG4198" i="2"/>
  <c r="AG4199" i="2" s="1"/>
  <c r="AG4202" i="2" s="1"/>
  <c r="AH4203" i="2" s="1"/>
  <c r="AG4238" i="2" l="1"/>
  <c r="AG4237" i="2"/>
  <c r="AG4242" i="2" s="1"/>
  <c r="AG4225" i="2"/>
  <c r="AG4249" i="2"/>
  <c r="AG4261" i="2"/>
  <c r="AI4259" i="2"/>
  <c r="AG4250" i="2"/>
  <c r="AG4212" i="2"/>
  <c r="AG4213" i="2" s="1"/>
  <c r="AG4216" i="2" s="1"/>
  <c r="AH4217" i="2" s="1"/>
  <c r="AG4252" i="2" l="1"/>
  <c r="AG4251" i="2"/>
  <c r="AG4256" i="2" s="1"/>
  <c r="AG4239" i="2"/>
  <c r="AI4273" i="2"/>
  <c r="AG4264" i="2"/>
  <c r="AG4263" i="2"/>
  <c r="AG4275" i="2"/>
  <c r="AG4226" i="2"/>
  <c r="AG4227" i="2" s="1"/>
  <c r="AG4230" i="2" s="1"/>
  <c r="AH4231" i="2" s="1"/>
  <c r="AG4253" i="2" l="1"/>
  <c r="AG4265" i="2"/>
  <c r="AG4270" i="2" s="1"/>
  <c r="AG4266" i="2"/>
  <c r="AG4278" i="2"/>
  <c r="AI4287" i="2"/>
  <c r="AG4277" i="2"/>
  <c r="AG4289" i="2"/>
  <c r="AG4240" i="2"/>
  <c r="AG4241" i="2" s="1"/>
  <c r="AG4244" i="2" s="1"/>
  <c r="AH4245" i="2" s="1"/>
  <c r="AG4254" i="2" l="1"/>
  <c r="AG4255" i="2" s="1"/>
  <c r="AG4258" i="2" s="1"/>
  <c r="AH4259" i="2" s="1"/>
  <c r="AG4280" i="2"/>
  <c r="AG4279" i="2"/>
  <c r="AG4284" i="2" s="1"/>
  <c r="AI4301" i="2"/>
  <c r="AG4303" i="2"/>
  <c r="AG4292" i="2"/>
  <c r="AG4291" i="2"/>
  <c r="AG4267" i="2"/>
  <c r="AG4281" i="2" l="1"/>
  <c r="AG4268" i="2"/>
  <c r="AG4269" i="2" s="1"/>
  <c r="AG4272" i="2" s="1"/>
  <c r="AH4273" i="2" s="1"/>
  <c r="AG4306" i="2"/>
  <c r="AG4305" i="2"/>
  <c r="AG4317" i="2"/>
  <c r="AI4315" i="2"/>
  <c r="AG4294" i="2"/>
  <c r="AG4293" i="2"/>
  <c r="AG4298" i="2" s="1"/>
  <c r="AG4308" i="2" l="1"/>
  <c r="AG4307" i="2"/>
  <c r="AG4312" i="2" s="1"/>
  <c r="AG4282" i="2"/>
  <c r="AG4283" i="2" s="1"/>
  <c r="AG4286" i="2" s="1"/>
  <c r="AH4287" i="2" s="1"/>
  <c r="AG4295" i="2"/>
  <c r="AG4331" i="2"/>
  <c r="AI4329" i="2"/>
  <c r="AG4320" i="2"/>
  <c r="AG4319" i="2"/>
  <c r="AG4334" i="2" l="1"/>
  <c r="AI4343" i="2"/>
  <c r="AG4333" i="2"/>
  <c r="AG4345" i="2"/>
  <c r="AG4296" i="2"/>
  <c r="AG4297" i="2" s="1"/>
  <c r="AG4300" i="2" s="1"/>
  <c r="AH4301" i="2" s="1"/>
  <c r="AG4309" i="2"/>
  <c r="AG4321" i="2"/>
  <c r="AG4326" i="2" s="1"/>
  <c r="AG4322" i="2"/>
  <c r="AG4310" i="2" l="1"/>
  <c r="AG4311" i="2" s="1"/>
  <c r="AG4314" i="2" s="1"/>
  <c r="AH4315" i="2" s="1"/>
  <c r="AG4323" i="2"/>
  <c r="AG4335" i="2"/>
  <c r="AG4340" i="2" s="1"/>
  <c r="AG4336" i="2"/>
  <c r="AI4357" i="2"/>
  <c r="AG4359" i="2"/>
  <c r="AG4348" i="2"/>
  <c r="AG4347" i="2"/>
  <c r="AG4324" i="2" l="1"/>
  <c r="AG4325" i="2" s="1"/>
  <c r="AG4328" i="2" s="1"/>
  <c r="AH4329" i="2" s="1"/>
  <c r="AG4350" i="2"/>
  <c r="AG4349" i="2"/>
  <c r="AG4354" i="2" s="1"/>
  <c r="AG4337" i="2"/>
  <c r="AI4371" i="2"/>
  <c r="AG4362" i="2"/>
  <c r="AG4361" i="2"/>
  <c r="AG4373" i="2"/>
  <c r="AG4338" i="2" l="1"/>
  <c r="AG4339" i="2" s="1"/>
  <c r="AG4342" i="2" s="1"/>
  <c r="AH4343" i="2" s="1"/>
  <c r="AG4364" i="2"/>
  <c r="AG4363" i="2"/>
  <c r="AG4368" i="2" s="1"/>
  <c r="AG4376" i="2"/>
  <c r="AG4375" i="2"/>
  <c r="AG4387" i="2"/>
  <c r="AI4385" i="2"/>
  <c r="AG4351" i="2"/>
  <c r="AG4378" i="2" l="1"/>
  <c r="AG4377" i="2"/>
  <c r="AG4382" i="2" s="1"/>
  <c r="AG4352" i="2"/>
  <c r="AG4353" i="2" s="1"/>
  <c r="AG4356" i="2" s="1"/>
  <c r="AH4357" i="2" s="1"/>
  <c r="AG4401" i="2"/>
  <c r="AG4390" i="2"/>
  <c r="AI4399" i="2"/>
  <c r="AG4389" i="2"/>
  <c r="AG4365" i="2"/>
  <c r="AG4392" i="2" l="1"/>
  <c r="AG4391" i="2"/>
  <c r="AG4396" i="2" s="1"/>
  <c r="AG4403" i="2"/>
  <c r="AI4413" i="2"/>
  <c r="AG4415" i="2"/>
  <c r="AG4404" i="2"/>
  <c r="AG4379" i="2"/>
  <c r="AG4366" i="2"/>
  <c r="AG4367" i="2" s="1"/>
  <c r="AG4370" i="2" s="1"/>
  <c r="AH4371" i="2" s="1"/>
  <c r="AI4427" i="2" l="1"/>
  <c r="AG4418" i="2"/>
  <c r="AG4417" i="2"/>
  <c r="AG4429" i="2"/>
  <c r="AG4393" i="2"/>
  <c r="AG4406" i="2"/>
  <c r="AG4405" i="2"/>
  <c r="AG4410" i="2" s="1"/>
  <c r="AG4380" i="2"/>
  <c r="AG4381" i="2" s="1"/>
  <c r="AG4384" i="2" s="1"/>
  <c r="AH4385" i="2" s="1"/>
  <c r="AG4394" i="2" l="1"/>
  <c r="AG4395" i="2" s="1"/>
  <c r="AG4398" i="2" s="1"/>
  <c r="AH4399" i="2" s="1"/>
  <c r="AG4407" i="2"/>
  <c r="AG4420" i="2"/>
  <c r="AG4419" i="2"/>
  <c r="AG4424" i="2" s="1"/>
  <c r="AG4443" i="2"/>
  <c r="AG4432" i="2"/>
  <c r="AG4431" i="2"/>
  <c r="AI4441" i="2"/>
  <c r="AG4433" i="2" l="1"/>
  <c r="AG4438" i="2" s="1"/>
  <c r="AG4434" i="2"/>
  <c r="AG4421" i="2"/>
  <c r="AG4445" i="2"/>
  <c r="AG4457" i="2"/>
  <c r="AG4446" i="2"/>
  <c r="AI4455" i="2"/>
  <c r="AG4408" i="2"/>
  <c r="AG4409" i="2" s="1"/>
  <c r="AG4412" i="2" s="1"/>
  <c r="AH4413" i="2" s="1"/>
  <c r="AG4435" i="2" l="1"/>
  <c r="AG4447" i="2"/>
  <c r="AG4452" i="2" s="1"/>
  <c r="AG4448" i="2"/>
  <c r="AG4460" i="2"/>
  <c r="AG4459" i="2"/>
  <c r="AI4469" i="2"/>
  <c r="AG4471" i="2"/>
  <c r="AG4422" i="2"/>
  <c r="AG4423" i="2" s="1"/>
  <c r="AG4426" i="2" s="1"/>
  <c r="AH4427" i="2" s="1"/>
  <c r="AG4436" i="2" l="1"/>
  <c r="AG4437" i="2" s="1"/>
  <c r="AG4440" i="2" s="1"/>
  <c r="AH4441" i="2" s="1"/>
  <c r="AG4461" i="2"/>
  <c r="AG4466" i="2" s="1"/>
  <c r="AG4462" i="2"/>
  <c r="AG4473" i="2"/>
  <c r="AG4485" i="2"/>
  <c r="AI4483" i="2"/>
  <c r="AG4474" i="2"/>
  <c r="AG4449" i="2"/>
  <c r="AG4487" i="2" l="1"/>
  <c r="AG4499" i="2"/>
  <c r="AG4488" i="2"/>
  <c r="AI4497" i="2"/>
  <c r="AG4475" i="2"/>
  <c r="AG4480" i="2" s="1"/>
  <c r="AG4476" i="2"/>
  <c r="AG4450" i="2"/>
  <c r="AG4451" i="2" s="1"/>
  <c r="AG4454" i="2" s="1"/>
  <c r="AH4455" i="2" s="1"/>
  <c r="AG4463" i="2"/>
  <c r="AG4489" i="2" l="1"/>
  <c r="AG4494" i="2" s="1"/>
  <c r="AG4490" i="2"/>
  <c r="AG4501" i="2"/>
  <c r="AG4513" i="2"/>
  <c r="AG4502" i="2"/>
  <c r="AI4511" i="2"/>
  <c r="AG4477" i="2"/>
  <c r="AG4464" i="2"/>
  <c r="AG4465" i="2" s="1"/>
  <c r="AG4468" i="2" s="1"/>
  <c r="AH4469" i="2" s="1"/>
  <c r="AG4491" i="2" l="1"/>
  <c r="AG4504" i="2"/>
  <c r="AG4503" i="2"/>
  <c r="AG4508" i="2" s="1"/>
  <c r="AG4478" i="2"/>
  <c r="AG4479" i="2" s="1"/>
  <c r="AG4482" i="2" s="1"/>
  <c r="AH4483" i="2" s="1"/>
  <c r="AG4516" i="2"/>
  <c r="AG4515" i="2"/>
  <c r="AI4525" i="2"/>
  <c r="AG4527" i="2"/>
  <c r="AG4492" i="2" l="1"/>
  <c r="AG4493" i="2" s="1"/>
  <c r="AG4496" i="2" s="1"/>
  <c r="AH4497" i="2" s="1"/>
  <c r="AG4529" i="2"/>
  <c r="AG4541" i="2"/>
  <c r="AI4539" i="2"/>
  <c r="AG4530" i="2"/>
  <c r="AG4505" i="2"/>
  <c r="AG4517" i="2"/>
  <c r="AG4522" i="2" s="1"/>
  <c r="AG4518" i="2"/>
  <c r="AG4506" i="2" l="1"/>
  <c r="AG4507" i="2" s="1"/>
  <c r="AG4510" i="2" s="1"/>
  <c r="AH4511" i="2" s="1"/>
  <c r="AG4544" i="2"/>
  <c r="AI4553" i="2"/>
  <c r="AG4543" i="2"/>
  <c r="AG4555" i="2"/>
  <c r="AG4519" i="2"/>
  <c r="AG4531" i="2"/>
  <c r="AG4536" i="2" s="1"/>
  <c r="AG4532" i="2"/>
  <c r="AG4546" i="2" l="1"/>
  <c r="AG4545" i="2"/>
  <c r="AG4550" i="2" s="1"/>
  <c r="AG4533" i="2"/>
  <c r="AG4569" i="2"/>
  <c r="AG4558" i="2"/>
  <c r="AI4567" i="2"/>
  <c r="AG4557" i="2"/>
  <c r="AG4520" i="2"/>
  <c r="AG4521" i="2" s="1"/>
  <c r="AG4524" i="2" s="1"/>
  <c r="AH4525" i="2" s="1"/>
  <c r="AI4581" i="2" l="1"/>
  <c r="AG4583" i="2"/>
  <c r="AG4572" i="2"/>
  <c r="AG4571" i="2"/>
  <c r="AG4547" i="2"/>
  <c r="AG4534" i="2"/>
  <c r="AG4535" i="2" s="1"/>
  <c r="AG4538" i="2" s="1"/>
  <c r="AH4539" i="2" s="1"/>
  <c r="AG4560" i="2"/>
  <c r="AG4559" i="2"/>
  <c r="AG4564" i="2" s="1"/>
  <c r="AI4595" i="2" l="1"/>
  <c r="AG4586" i="2"/>
  <c r="AG4585" i="2"/>
  <c r="AG4597" i="2"/>
  <c r="AG4561" i="2"/>
  <c r="AG4548" i="2"/>
  <c r="AG4549" i="2" s="1"/>
  <c r="AG4552" i="2" s="1"/>
  <c r="AH4553" i="2" s="1"/>
  <c r="AG4573" i="2"/>
  <c r="AG4578" i="2" s="1"/>
  <c r="AG4574" i="2"/>
  <c r="AG4575" i="2" l="1"/>
  <c r="AG4562" i="2"/>
  <c r="AG4563" i="2" s="1"/>
  <c r="AG4566" i="2" s="1"/>
  <c r="AH4567" i="2" s="1"/>
  <c r="AG4588" i="2"/>
  <c r="AG4587" i="2"/>
  <c r="AG4592" i="2" s="1"/>
  <c r="AG4611" i="2"/>
  <c r="AG4600" i="2"/>
  <c r="AI4609" i="2"/>
  <c r="AG4599" i="2"/>
  <c r="AG4614" i="2" l="1"/>
  <c r="AI4623" i="2"/>
  <c r="AG4613" i="2"/>
  <c r="AG4625" i="2"/>
  <c r="AG4589" i="2"/>
  <c r="AG4576" i="2"/>
  <c r="AG4577" i="2" s="1"/>
  <c r="AG4580" i="2" s="1"/>
  <c r="AH4581" i="2" s="1"/>
  <c r="AG4601" i="2"/>
  <c r="AG4606" i="2" s="1"/>
  <c r="AG4602" i="2"/>
  <c r="AG4590" i="2" l="1"/>
  <c r="AG4591" i="2" s="1"/>
  <c r="AG4594" i="2" s="1"/>
  <c r="AH4595" i="2" s="1"/>
  <c r="AG4603" i="2"/>
  <c r="AG4615" i="2"/>
  <c r="AG4620" i="2" s="1"/>
  <c r="AG4616" i="2"/>
  <c r="AG4627" i="2"/>
  <c r="AI4637" i="2"/>
  <c r="AG4639" i="2"/>
  <c r="AG4628" i="2"/>
  <c r="AG4641" i="2" l="1"/>
  <c r="AG4653" i="2"/>
  <c r="AI4651" i="2"/>
  <c r="AG4642" i="2"/>
  <c r="AG4617" i="2"/>
  <c r="AG4629" i="2"/>
  <c r="AG4634" i="2" s="1"/>
  <c r="AG4630" i="2"/>
  <c r="AG4604" i="2"/>
  <c r="AG4605" i="2" s="1"/>
  <c r="AG4608" i="2" s="1"/>
  <c r="AH4609" i="2" s="1"/>
  <c r="AG4631" i="2" l="1"/>
  <c r="AG4644" i="2"/>
  <c r="AG4643" i="2"/>
  <c r="AG4648" i="2" s="1"/>
  <c r="AG4667" i="2"/>
  <c r="AG4656" i="2"/>
  <c r="AI4665" i="2"/>
  <c r="AG4655" i="2"/>
  <c r="AG4618" i="2"/>
  <c r="AG4619" i="2" s="1"/>
  <c r="AG4622" i="2" s="1"/>
  <c r="AH4623" i="2" s="1"/>
  <c r="AG4657" i="2" l="1"/>
  <c r="AG4662" i="2" s="1"/>
  <c r="AG4658" i="2"/>
  <c r="AI4679" i="2"/>
  <c r="AG4669" i="2"/>
  <c r="AG4681" i="2"/>
  <c r="AG4670" i="2"/>
  <c r="AG4632" i="2"/>
  <c r="AG4633" i="2" s="1"/>
  <c r="AG4636" i="2" s="1"/>
  <c r="AH4637" i="2" s="1"/>
  <c r="AG4645" i="2"/>
  <c r="AG4646" i="2" l="1"/>
  <c r="AG4647" i="2" s="1"/>
  <c r="AG4650" i="2" s="1"/>
  <c r="AH4651" i="2" s="1"/>
  <c r="AG4683" i="2"/>
  <c r="AI4693" i="2"/>
  <c r="AG4695" i="2"/>
  <c r="AG4684" i="2"/>
  <c r="AG4659" i="2"/>
  <c r="AG4671" i="2"/>
  <c r="AG4676" i="2" s="1"/>
  <c r="AG4672" i="2"/>
  <c r="AG4660" i="2" l="1"/>
  <c r="AG4661" i="2" s="1"/>
  <c r="AG4664" i="2" s="1"/>
  <c r="AH4665" i="2" s="1"/>
  <c r="AG4697" i="2"/>
  <c r="AG4709" i="2"/>
  <c r="AI4707" i="2"/>
  <c r="AG4698" i="2"/>
  <c r="AG4673" i="2"/>
  <c r="AG4685" i="2"/>
  <c r="AG4690" i="2" s="1"/>
  <c r="AG4686" i="2"/>
  <c r="AG4699" i="2" l="1"/>
  <c r="AG4704" i="2" s="1"/>
  <c r="AG4700" i="2"/>
  <c r="AG4687" i="2"/>
  <c r="AG4674" i="2"/>
  <c r="AG4675" i="2" s="1"/>
  <c r="AG4678" i="2" s="1"/>
  <c r="AH4679" i="2" s="1"/>
  <c r="AG4711" i="2"/>
  <c r="AG4723" i="2"/>
  <c r="AG4712" i="2"/>
  <c r="AI4721" i="2"/>
  <c r="AG4713" i="2" l="1"/>
  <c r="AG4718" i="2" s="1"/>
  <c r="AG4714" i="2"/>
  <c r="AG4701" i="2"/>
  <c r="AG4725" i="2"/>
  <c r="AG4737" i="2"/>
  <c r="AG4726" i="2"/>
  <c r="AI4735" i="2"/>
  <c r="AG4688" i="2"/>
  <c r="AG4689" i="2" s="1"/>
  <c r="AG4692" i="2" s="1"/>
  <c r="AH4693" i="2" s="1"/>
  <c r="AG4727" i="2" l="1"/>
  <c r="AG4732" i="2" s="1"/>
  <c r="AG4728" i="2"/>
  <c r="AG4715" i="2"/>
  <c r="AI4749" i="2"/>
  <c r="AG4751" i="2"/>
  <c r="AG4740" i="2"/>
  <c r="AG4739" i="2"/>
  <c r="AG4702" i="2"/>
  <c r="AG4703" i="2" s="1"/>
  <c r="AG4706" i="2" s="1"/>
  <c r="AH4707" i="2" s="1"/>
  <c r="AG4729" i="2" l="1"/>
  <c r="AG4716" i="2"/>
  <c r="AG4717" i="2" s="1"/>
  <c r="AG4720" i="2" s="1"/>
  <c r="AH4721" i="2" s="1"/>
  <c r="AG4765" i="2"/>
  <c r="AI4763" i="2"/>
  <c r="AG4754" i="2"/>
  <c r="AG4753" i="2"/>
  <c r="AG4742" i="2"/>
  <c r="AG4741" i="2"/>
  <c r="AG4746" i="2" s="1"/>
  <c r="AG4779" i="2" l="1"/>
  <c r="AG4768" i="2"/>
  <c r="AI4777" i="2"/>
  <c r="AG4767" i="2"/>
  <c r="AG4730" i="2"/>
  <c r="AG4731" i="2" s="1"/>
  <c r="AG4734" i="2" s="1"/>
  <c r="AH4735" i="2" s="1"/>
  <c r="AG4743" i="2"/>
  <c r="AG4756" i="2"/>
  <c r="AG4755" i="2"/>
  <c r="AG4760" i="2" s="1"/>
  <c r="AG4757" i="2" l="1"/>
  <c r="AG4781" i="2"/>
  <c r="AG4793" i="2"/>
  <c r="AG4782" i="2"/>
  <c r="AI4791" i="2"/>
  <c r="AG4744" i="2"/>
  <c r="AG4745" i="2" s="1"/>
  <c r="AG4748" i="2" s="1"/>
  <c r="AH4749" i="2" s="1"/>
  <c r="AG4769" i="2"/>
  <c r="AG4774" i="2" s="1"/>
  <c r="AG4770" i="2"/>
  <c r="AG4758" i="2" l="1"/>
  <c r="AG4759" i="2" s="1"/>
  <c r="AG4762" i="2" s="1"/>
  <c r="AH4763" i="2" s="1"/>
  <c r="AG4771" i="2"/>
  <c r="AG4784" i="2"/>
  <c r="AG4783" i="2"/>
  <c r="AG4788" i="2" s="1"/>
  <c r="AI4805" i="2"/>
  <c r="AG4796" i="2"/>
  <c r="AG4795" i="2"/>
  <c r="AG4807" i="2"/>
  <c r="AG4797" i="2" l="1"/>
  <c r="AG4802" i="2" s="1"/>
  <c r="AG4798" i="2"/>
  <c r="AG4785" i="2"/>
  <c r="AG4810" i="2"/>
  <c r="AG4809" i="2"/>
  <c r="AG4821" i="2"/>
  <c r="AI4819" i="2"/>
  <c r="AG4772" i="2"/>
  <c r="AG4773" i="2" s="1"/>
  <c r="AG4776" i="2" s="1"/>
  <c r="AH4777" i="2" s="1"/>
  <c r="AG4812" i="2" l="1"/>
  <c r="AG4811" i="2"/>
  <c r="AG4816" i="2" s="1"/>
  <c r="AG4799" i="2"/>
  <c r="AG4824" i="2"/>
  <c r="AI4833" i="2"/>
  <c r="AG4823" i="2"/>
  <c r="AG4835" i="2"/>
  <c r="AG4786" i="2"/>
  <c r="AG4787" i="2" s="1"/>
  <c r="AG4790" i="2" s="1"/>
  <c r="AH4791" i="2" s="1"/>
  <c r="AG4813" i="2" l="1"/>
  <c r="AG4825" i="2"/>
  <c r="AG4830" i="2" s="1"/>
  <c r="AG4826" i="2"/>
  <c r="AI4847" i="2"/>
  <c r="AG4837" i="2"/>
  <c r="AG4849" i="2"/>
  <c r="AG4838" i="2"/>
  <c r="AG4800" i="2"/>
  <c r="AG4801" i="2" s="1"/>
  <c r="AG4804" i="2" s="1"/>
  <c r="AH4805" i="2" s="1"/>
  <c r="AG4839" i="2" l="1"/>
  <c r="AG4844" i="2" s="1"/>
  <c r="AG4840" i="2"/>
  <c r="AG4814" i="2"/>
  <c r="AG4815" i="2" s="1"/>
  <c r="AG4818" i="2" s="1"/>
  <c r="AH4819" i="2" s="1"/>
  <c r="AG4852" i="2"/>
  <c r="AG4851" i="2"/>
  <c r="AI4861" i="2"/>
  <c r="AG4863" i="2"/>
  <c r="AG4827" i="2"/>
  <c r="AG4853" i="2" l="1"/>
  <c r="AG4858" i="2" s="1"/>
  <c r="AG4854" i="2"/>
  <c r="AG4841" i="2"/>
  <c r="AG4828" i="2"/>
  <c r="AG4829" i="2" s="1"/>
  <c r="AG4832" i="2" s="1"/>
  <c r="AH4833" i="2" s="1"/>
  <c r="AG4865" i="2"/>
  <c r="AI4875" i="2"/>
  <c r="AG4866" i="2"/>
  <c r="AG4877" i="2"/>
  <c r="AG4855" i="2" l="1"/>
  <c r="AG4867" i="2"/>
  <c r="AG4872" i="2" s="1"/>
  <c r="AG4868" i="2"/>
  <c r="AG4880" i="2"/>
  <c r="AI4889" i="2"/>
  <c r="AG4879" i="2"/>
  <c r="AG4891" i="2"/>
  <c r="AG4842" i="2"/>
  <c r="AG4843" i="2" s="1"/>
  <c r="AG4846" i="2" s="1"/>
  <c r="AH4847" i="2" s="1"/>
  <c r="AG4856" i="2" l="1"/>
  <c r="AG4857" i="2" s="1"/>
  <c r="AG4860" i="2" s="1"/>
  <c r="AH4861" i="2" s="1"/>
  <c r="AG4881" i="2"/>
  <c r="AG4886" i="2" s="1"/>
  <c r="AG4882" i="2"/>
  <c r="AG4893" i="2"/>
  <c r="AG4905" i="2"/>
  <c r="AG4894" i="2"/>
  <c r="AI4903" i="2"/>
  <c r="AG4869" i="2"/>
  <c r="AG4895" i="2" l="1"/>
  <c r="AG4900" i="2" s="1"/>
  <c r="AG4896" i="2"/>
  <c r="AG4870" i="2"/>
  <c r="AG4871" i="2" s="1"/>
  <c r="AG4874" i="2" s="1"/>
  <c r="AH4875" i="2" s="1"/>
  <c r="AG4908" i="2"/>
  <c r="AG4907" i="2"/>
  <c r="AI4917" i="2"/>
  <c r="AG4919" i="2"/>
  <c r="AG4883" i="2"/>
  <c r="AG4909" i="2" l="1"/>
  <c r="AG4914" i="2" s="1"/>
  <c r="AG4910" i="2"/>
  <c r="AG4897" i="2"/>
  <c r="AG4884" i="2"/>
  <c r="AG4885" i="2" s="1"/>
  <c r="AG4888" i="2" s="1"/>
  <c r="AH4889" i="2" s="1"/>
  <c r="AG4922" i="2"/>
  <c r="AG4921" i="2"/>
  <c r="AG4933" i="2"/>
  <c r="AI4931" i="2"/>
  <c r="AG4911" i="2" l="1"/>
  <c r="AG4936" i="2"/>
  <c r="AI4945" i="2"/>
  <c r="AG4935" i="2"/>
  <c r="AG4947" i="2"/>
  <c r="AG4898" i="2"/>
  <c r="AG4899" i="2" s="1"/>
  <c r="AG4902" i="2" s="1"/>
  <c r="AH4903" i="2" s="1"/>
  <c r="AG4924" i="2"/>
  <c r="AG4923" i="2"/>
  <c r="AG4928" i="2" s="1"/>
  <c r="AG4937" i="2" l="1"/>
  <c r="AG4942" i="2" s="1"/>
  <c r="AG4938" i="2"/>
  <c r="AG4925" i="2"/>
  <c r="AG4912" i="2"/>
  <c r="AG4913" i="2" s="1"/>
  <c r="AG4916" i="2" s="1"/>
  <c r="AH4917" i="2" s="1"/>
  <c r="AI4959" i="2"/>
  <c r="AG4949" i="2"/>
  <c r="AG4961" i="2"/>
  <c r="AG4950" i="2"/>
  <c r="AG4964" i="2" l="1"/>
  <c r="AG4963" i="2"/>
  <c r="AI4973" i="2"/>
  <c r="AG4975" i="2"/>
  <c r="AG4939" i="2"/>
  <c r="AG4951" i="2"/>
  <c r="AG4956" i="2" s="1"/>
  <c r="AG4952" i="2"/>
  <c r="AG4926" i="2"/>
  <c r="AG4927" i="2" s="1"/>
  <c r="AG4930" i="2" s="1"/>
  <c r="AH4931" i="2" s="1"/>
  <c r="AG4940" i="2" l="1"/>
  <c r="AG4941" i="2" s="1"/>
  <c r="AG4944" i="2" s="1"/>
  <c r="AH4945" i="2" s="1"/>
  <c r="AG4965" i="2"/>
  <c r="AG4970" i="2" s="1"/>
  <c r="AG4966" i="2"/>
  <c r="AG4953" i="2"/>
  <c r="AG4978" i="2"/>
  <c r="AG4977" i="2"/>
  <c r="AG4989" i="2"/>
  <c r="AI4987" i="2"/>
  <c r="AI5001" i="2" l="1"/>
  <c r="AG5003" i="2"/>
  <c r="AG4992" i="2"/>
  <c r="AG4991" i="2"/>
  <c r="AG4954" i="2"/>
  <c r="AG4955" i="2" s="1"/>
  <c r="AG4958" i="2" s="1"/>
  <c r="AH4959" i="2" s="1"/>
  <c r="AG4980" i="2"/>
  <c r="AG4979" i="2"/>
  <c r="AG4984" i="2" s="1"/>
  <c r="AG4967" i="2"/>
  <c r="AG4968" i="2" l="1"/>
  <c r="AG4969" i="2" s="1"/>
  <c r="AG4972" i="2" s="1"/>
  <c r="AH4973" i="2" s="1"/>
  <c r="AI5015" i="2"/>
  <c r="AG5005" i="2"/>
  <c r="AG5017" i="2"/>
  <c r="AG5006" i="2"/>
  <c r="AG4981" i="2"/>
  <c r="AG4993" i="2"/>
  <c r="AG4998" i="2" s="1"/>
  <c r="AG4994" i="2"/>
  <c r="AI5029" i="2" l="1"/>
  <c r="AG5031" i="2"/>
  <c r="AG5020" i="2"/>
  <c r="AG5019" i="2"/>
  <c r="AG4995" i="2"/>
  <c r="AG4982" i="2"/>
  <c r="AG4983" i="2" s="1"/>
  <c r="AG4986" i="2" s="1"/>
  <c r="AH4987" i="2" s="1"/>
  <c r="AG5008" i="2"/>
  <c r="AG5007" i="2"/>
  <c r="AG5012" i="2" s="1"/>
  <c r="AG5009" i="2" l="1"/>
  <c r="AG4996" i="2"/>
  <c r="AG4997" i="2" s="1"/>
  <c r="AG5000" i="2" s="1"/>
  <c r="AH5001" i="2" s="1"/>
  <c r="AG5034" i="2"/>
  <c r="AG5033" i="2"/>
  <c r="AG5045" i="2"/>
  <c r="AI5043" i="2"/>
  <c r="AG5021" i="2"/>
  <c r="AG5026" i="2" s="1"/>
  <c r="AG5022" i="2"/>
  <c r="AG5036" i="2" l="1"/>
  <c r="AG5035" i="2"/>
  <c r="AG5040" i="2" s="1"/>
  <c r="AG5010" i="2"/>
  <c r="AG5011" i="2" s="1"/>
  <c r="AG5014" i="2" s="1"/>
  <c r="AH5015" i="2" s="1"/>
  <c r="AG5023" i="2"/>
  <c r="AG5059" i="2"/>
  <c r="AG5048" i="2"/>
  <c r="AI5057" i="2"/>
  <c r="AG5047" i="2"/>
  <c r="AG5024" i="2" l="1"/>
  <c r="AG5025" i="2" s="1"/>
  <c r="AG5028" i="2" s="1"/>
  <c r="AH5029" i="2" s="1"/>
  <c r="AG5037" i="2"/>
  <c r="AG5049" i="2"/>
  <c r="AG5054" i="2" s="1"/>
  <c r="AG5050" i="2"/>
  <c r="AI5071" i="2"/>
  <c r="AG5061" i="2"/>
  <c r="AG5073" i="2"/>
  <c r="AG5062" i="2"/>
  <c r="AG5076" i="2" l="1"/>
  <c r="AG5075" i="2"/>
  <c r="AI5085" i="2"/>
  <c r="AG5087" i="2"/>
  <c r="AG5051" i="2"/>
  <c r="AG5063" i="2"/>
  <c r="AG5068" i="2" s="1"/>
  <c r="AG5064" i="2"/>
  <c r="AG5038" i="2"/>
  <c r="AG5039" i="2" s="1"/>
  <c r="AG5042" i="2" s="1"/>
  <c r="AH5043" i="2" s="1"/>
  <c r="AG5052" i="2" l="1"/>
  <c r="AG5053" i="2" s="1"/>
  <c r="AG5056" i="2" s="1"/>
  <c r="AH5057" i="2" s="1"/>
  <c r="AG5077" i="2"/>
  <c r="AG5082" i="2" s="1"/>
  <c r="AG5078" i="2"/>
  <c r="AG5065" i="2"/>
  <c r="AI5099" i="2"/>
  <c r="AG5090" i="2"/>
  <c r="AG5089" i="2"/>
  <c r="AG5101" i="2"/>
  <c r="AG5092" i="2" l="1"/>
  <c r="AG5091" i="2"/>
  <c r="AG5096" i="2" s="1"/>
  <c r="AI5113" i="2"/>
  <c r="AG5103" i="2"/>
  <c r="AG5115" i="2"/>
  <c r="AG5104" i="2"/>
  <c r="AG5066" i="2"/>
  <c r="AG5067" i="2" s="1"/>
  <c r="AG5070" i="2" s="1"/>
  <c r="AH5071" i="2" s="1"/>
  <c r="AG5079" i="2"/>
  <c r="AG5105" i="2" l="1"/>
  <c r="AG5110" i="2" s="1"/>
  <c r="AG5106" i="2"/>
  <c r="AG5080" i="2"/>
  <c r="AG5081" i="2" s="1"/>
  <c r="AG5084" i="2" s="1"/>
  <c r="AH5085" i="2" s="1"/>
  <c r="AG5117" i="2"/>
  <c r="AG5129" i="2"/>
  <c r="AG5118" i="2"/>
  <c r="AI5127" i="2"/>
  <c r="AG5093" i="2"/>
  <c r="AG5094" i="2" l="1"/>
  <c r="AG5095" i="2" s="1"/>
  <c r="AG5098" i="2" s="1"/>
  <c r="AH5099" i="2" s="1"/>
  <c r="AG5119" i="2"/>
  <c r="AG5124" i="2" s="1"/>
  <c r="AG5120" i="2"/>
  <c r="AG5132" i="2"/>
  <c r="AG5131" i="2"/>
  <c r="AI5141" i="2"/>
  <c r="AG5143" i="2"/>
  <c r="AG5107" i="2"/>
  <c r="AG5157" i="2" l="1"/>
  <c r="AI5155" i="2"/>
  <c r="AG5146" i="2"/>
  <c r="AG5145" i="2"/>
  <c r="AG5121" i="2"/>
  <c r="AG5108" i="2"/>
  <c r="AG5109" i="2" s="1"/>
  <c r="AG5112" i="2" s="1"/>
  <c r="AH5113" i="2" s="1"/>
  <c r="AG5134" i="2"/>
  <c r="AG5133" i="2"/>
  <c r="AG5138" i="2" s="1"/>
  <c r="AG5171" i="2" l="1"/>
  <c r="AG5160" i="2"/>
  <c r="AI5169" i="2"/>
  <c r="AG5159" i="2"/>
  <c r="AG5135" i="2"/>
  <c r="AG5148" i="2"/>
  <c r="AG5147" i="2"/>
  <c r="AG5152" i="2" s="1"/>
  <c r="AG5122" i="2"/>
  <c r="AG5123" i="2" s="1"/>
  <c r="AG5126" i="2" s="1"/>
  <c r="AH5127" i="2" s="1"/>
  <c r="AG5136" i="2" l="1"/>
  <c r="AG5137" i="2" s="1"/>
  <c r="AG5140" i="2" s="1"/>
  <c r="AH5141" i="2" s="1"/>
  <c r="AG5173" i="2"/>
  <c r="AG5185" i="2"/>
  <c r="AG5174" i="2"/>
  <c r="AI5183" i="2"/>
  <c r="AG5149" i="2"/>
  <c r="AG5161" i="2"/>
  <c r="AG5166" i="2" s="1"/>
  <c r="AG5162" i="2"/>
  <c r="AG5175" i="2" l="1"/>
  <c r="AG5180" i="2" s="1"/>
  <c r="AG5176" i="2"/>
  <c r="AG5163" i="2"/>
  <c r="AG5150" i="2"/>
  <c r="AG5151" i="2" s="1"/>
  <c r="AG5154" i="2" s="1"/>
  <c r="AH5155" i="2" s="1"/>
  <c r="AG5199" i="2"/>
  <c r="AG5188" i="2"/>
  <c r="AG5187" i="2"/>
  <c r="AI5197" i="2"/>
  <c r="AG5177" i="2" l="1"/>
  <c r="AG5189" i="2"/>
  <c r="AG5194" i="2" s="1"/>
  <c r="AG5190" i="2"/>
  <c r="AG5201" i="2"/>
  <c r="AG5213" i="2"/>
  <c r="AI5211" i="2"/>
  <c r="AG5202" i="2"/>
  <c r="AG5164" i="2"/>
  <c r="AG5165" i="2" s="1"/>
  <c r="AG5168" i="2" s="1"/>
  <c r="AH5169" i="2" s="1"/>
  <c r="AG5216" i="2" l="1"/>
  <c r="AI5225" i="2"/>
  <c r="AG5215" i="2"/>
  <c r="AG5227" i="2"/>
  <c r="AG5178" i="2"/>
  <c r="AG5179" i="2" s="1"/>
  <c r="AG5182" i="2" s="1"/>
  <c r="AH5183" i="2" s="1"/>
  <c r="AG5203" i="2"/>
  <c r="AG5208" i="2" s="1"/>
  <c r="AG5204" i="2"/>
  <c r="AG5191" i="2"/>
  <c r="AG5205" i="2" l="1"/>
  <c r="AG5217" i="2"/>
  <c r="AG5222" i="2" s="1"/>
  <c r="AG5218" i="2"/>
  <c r="AG5192" i="2"/>
  <c r="AG5193" i="2" s="1"/>
  <c r="AG5196" i="2" s="1"/>
  <c r="AH5197" i="2" s="1"/>
  <c r="AG5229" i="2"/>
  <c r="AG5241" i="2"/>
  <c r="AG5230" i="2"/>
  <c r="AI5239" i="2"/>
  <c r="AG5206" i="2" l="1"/>
  <c r="AG5207" i="2" s="1"/>
  <c r="AG5210" i="2" s="1"/>
  <c r="AH5211" i="2" s="1"/>
  <c r="AG5231" i="2"/>
  <c r="AG5236" i="2" s="1"/>
  <c r="AG5232" i="2"/>
  <c r="AG5255" i="2"/>
  <c r="AG5244" i="2"/>
  <c r="AG5243" i="2"/>
  <c r="AI5253" i="2"/>
  <c r="AG5219" i="2"/>
  <c r="AG5220" i="2" l="1"/>
  <c r="AG5221" i="2" s="1"/>
  <c r="AG5224" i="2" s="1"/>
  <c r="AH5225" i="2" s="1"/>
  <c r="AG5269" i="2"/>
  <c r="AI5267" i="2"/>
  <c r="AG5258" i="2"/>
  <c r="AG5257" i="2"/>
  <c r="AG5246" i="2"/>
  <c r="AG5245" i="2"/>
  <c r="AG5250" i="2" s="1"/>
  <c r="AG5233" i="2"/>
  <c r="AG5247" i="2" l="1"/>
  <c r="AG5271" i="2"/>
  <c r="AG5283" i="2"/>
  <c r="AG5272" i="2"/>
  <c r="AI5281" i="2"/>
  <c r="AG5234" i="2"/>
  <c r="AG5235" i="2" s="1"/>
  <c r="AG5238" i="2" s="1"/>
  <c r="AH5239" i="2" s="1"/>
  <c r="AG5259" i="2"/>
  <c r="AG5264" i="2" s="1"/>
  <c r="AG5260" i="2"/>
  <c r="AG5248" i="2" l="1"/>
  <c r="AG5249" i="2" s="1"/>
  <c r="AG5252" i="2" s="1"/>
  <c r="AH5253" i="2" s="1"/>
  <c r="AG5261" i="2"/>
  <c r="AG5273" i="2"/>
  <c r="AG5278" i="2" s="1"/>
  <c r="AG5274" i="2"/>
  <c r="AG5285" i="2"/>
  <c r="AG5297" i="2"/>
  <c r="AG5286" i="2"/>
  <c r="AI5295" i="2"/>
  <c r="AG5262" i="2" l="1"/>
  <c r="AG5263" i="2" s="1"/>
  <c r="AG5266" i="2" s="1"/>
  <c r="AH5267" i="2" s="1"/>
  <c r="AG5275" i="2"/>
  <c r="AG5287" i="2"/>
  <c r="AG5292" i="2" s="1"/>
  <c r="AG5288" i="2"/>
  <c r="AG5311" i="2"/>
  <c r="AG5300" i="2"/>
  <c r="AG5299" i="2"/>
  <c r="AI5309" i="2"/>
  <c r="AG5289" i="2" l="1"/>
  <c r="AG5302" i="2"/>
  <c r="AG5301" i="2"/>
  <c r="AG5306" i="2" s="1"/>
  <c r="AG5325" i="2"/>
  <c r="AI5323" i="2"/>
  <c r="AG5314" i="2"/>
  <c r="AG5313" i="2"/>
  <c r="AG5276" i="2"/>
  <c r="AG5277" i="2" s="1"/>
  <c r="AG5280" i="2" s="1"/>
  <c r="AH5281" i="2" s="1"/>
  <c r="AI5337" i="2" l="1"/>
  <c r="AG5327" i="2"/>
  <c r="AG5339" i="2"/>
  <c r="AG5328" i="2"/>
  <c r="AG5290" i="2"/>
  <c r="AG5291" i="2" s="1"/>
  <c r="AG5294" i="2" s="1"/>
  <c r="AH5295" i="2" s="1"/>
  <c r="AG5303" i="2"/>
  <c r="AG5316" i="2"/>
  <c r="AG5315" i="2"/>
  <c r="AG5320" i="2" s="1"/>
  <c r="AG5330" i="2" l="1"/>
  <c r="AG5329" i="2"/>
  <c r="AG5334" i="2" s="1"/>
  <c r="AI5351" i="2"/>
  <c r="AG5341" i="2"/>
  <c r="AG5353" i="2"/>
  <c r="AG5342" i="2"/>
  <c r="AG5317" i="2"/>
  <c r="AG5304" i="2"/>
  <c r="AG5305" i="2" s="1"/>
  <c r="AG5308" i="2" s="1"/>
  <c r="AH5309" i="2" s="1"/>
  <c r="AG5318" i="2" l="1"/>
  <c r="AG5319" i="2" s="1"/>
  <c r="AG5322" i="2" s="1"/>
  <c r="AH5323" i="2" s="1"/>
  <c r="AI5365" i="2"/>
  <c r="AG5367" i="2"/>
  <c r="AG5356" i="2"/>
  <c r="AG5355" i="2"/>
  <c r="AG5331" i="2"/>
  <c r="AG5344" i="2"/>
  <c r="AG5343" i="2"/>
  <c r="AG5348" i="2" s="1"/>
  <c r="AG5345" i="2" l="1"/>
  <c r="AG5357" i="2"/>
  <c r="AG5362" i="2" s="1"/>
  <c r="AG5358" i="2"/>
  <c r="AG5332" i="2"/>
  <c r="AG5333" i="2" s="1"/>
  <c r="AG5336" i="2" s="1"/>
  <c r="AH5337" i="2" s="1"/>
  <c r="AG5369" i="2"/>
  <c r="AG5381" i="2"/>
  <c r="AI5379" i="2"/>
  <c r="AG5370" i="2"/>
  <c r="AG5371" i="2" l="1"/>
  <c r="AG5376" i="2" s="1"/>
  <c r="AG5372" i="2"/>
  <c r="AG5384" i="2"/>
  <c r="AI5393" i="2"/>
  <c r="AG5383" i="2"/>
  <c r="AG5395" i="2"/>
  <c r="AG5346" i="2"/>
  <c r="AG5347" i="2" s="1"/>
  <c r="AG5350" i="2" s="1"/>
  <c r="AH5351" i="2" s="1"/>
  <c r="AG5359" i="2"/>
  <c r="AG5360" i="2" l="1"/>
  <c r="AG5361" i="2" s="1"/>
  <c r="AG5364" i="2" s="1"/>
  <c r="AH5365" i="2" s="1"/>
  <c r="AG5409" i="2"/>
  <c r="AG5398" i="2"/>
  <c r="AI5407" i="2"/>
  <c r="AG5397" i="2"/>
  <c r="AG5373" i="2"/>
  <c r="AG5385" i="2"/>
  <c r="AG5390" i="2" s="1"/>
  <c r="AG5386" i="2"/>
  <c r="AG5374" i="2" l="1"/>
  <c r="AG5375" i="2" s="1"/>
  <c r="AG5378" i="2" s="1"/>
  <c r="AH5379" i="2" s="1"/>
  <c r="AG5399" i="2"/>
  <c r="AG5404" i="2" s="1"/>
  <c r="AG5400" i="2"/>
  <c r="AG5387" i="2"/>
  <c r="AG5423" i="2"/>
  <c r="AG5412" i="2"/>
  <c r="AG5411" i="2"/>
  <c r="AI5421" i="2"/>
  <c r="AG5414" i="2" l="1"/>
  <c r="AG5413" i="2"/>
  <c r="AG5418" i="2" s="1"/>
  <c r="AG5388" i="2"/>
  <c r="AG5389" i="2" s="1"/>
  <c r="AG5392" i="2" s="1"/>
  <c r="AH5393" i="2" s="1"/>
  <c r="AG5437" i="2"/>
  <c r="AI5435" i="2"/>
  <c r="AG5426" i="2"/>
  <c r="AG5425" i="2"/>
  <c r="AG5401" i="2"/>
  <c r="AG5440" i="2" l="1"/>
  <c r="AG5439" i="2"/>
  <c r="AG5451" i="2"/>
  <c r="AI5449" i="2"/>
  <c r="AG5415" i="2"/>
  <c r="AG5402" i="2"/>
  <c r="AG5403" i="2" s="1"/>
  <c r="AG5406" i="2" s="1"/>
  <c r="AH5407" i="2" s="1"/>
  <c r="AG5427" i="2"/>
  <c r="AG5432" i="2" s="1"/>
  <c r="AG5428" i="2"/>
  <c r="AG5416" i="2" l="1"/>
  <c r="AG5417" i="2" s="1"/>
  <c r="AG5420" i="2" s="1"/>
  <c r="AH5421" i="2" s="1"/>
  <c r="AG5441" i="2"/>
  <c r="AG5446" i="2" s="1"/>
  <c r="AG5442" i="2"/>
  <c r="AG5453" i="2"/>
  <c r="AG5465" i="2"/>
  <c r="AG5454" i="2"/>
  <c r="AI5463" i="2"/>
  <c r="AG5429" i="2"/>
  <c r="AG5456" i="2" l="1"/>
  <c r="AG5455" i="2"/>
  <c r="AG5460" i="2" s="1"/>
  <c r="AG5430" i="2"/>
  <c r="AG5431" i="2" s="1"/>
  <c r="AG5434" i="2" s="1"/>
  <c r="AH5435" i="2" s="1"/>
  <c r="AI5477" i="2"/>
  <c r="AG5467" i="2"/>
  <c r="AG5479" i="2"/>
  <c r="AG5468" i="2"/>
  <c r="AG5443" i="2"/>
  <c r="AG5444" i="2" l="1"/>
  <c r="AG5445" i="2" s="1"/>
  <c r="AG5448" i="2" s="1"/>
  <c r="AH5449" i="2" s="1"/>
  <c r="AG5469" i="2"/>
  <c r="AG5474" i="2" s="1"/>
  <c r="AG5470" i="2"/>
  <c r="AG5457" i="2"/>
  <c r="AI5491" i="2"/>
  <c r="AG5493" i="2"/>
  <c r="AG5482" i="2"/>
  <c r="AG5481" i="2"/>
  <c r="AG5458" i="2" l="1"/>
  <c r="AG5459" i="2" s="1"/>
  <c r="AG5462" i="2" s="1"/>
  <c r="AH5463" i="2" s="1"/>
  <c r="AG5484" i="2"/>
  <c r="AG5483" i="2"/>
  <c r="AG5488" i="2" s="1"/>
  <c r="AG5496" i="2"/>
  <c r="AG5495" i="2"/>
  <c r="AG5507" i="2"/>
  <c r="AI5505" i="2"/>
  <c r="AG5471" i="2"/>
  <c r="AG5497" i="2" l="1"/>
  <c r="AG5502" i="2" s="1"/>
  <c r="AG5498" i="2"/>
  <c r="AG5472" i="2"/>
  <c r="AG5473" i="2" s="1"/>
  <c r="AG5476" i="2" s="1"/>
  <c r="AH5477" i="2" s="1"/>
  <c r="AG5510" i="2"/>
  <c r="AI5519" i="2"/>
  <c r="AG5521" i="2"/>
  <c r="AG5509" i="2"/>
  <c r="AG5485" i="2"/>
  <c r="AG5486" i="2" l="1"/>
  <c r="AG5487" i="2" s="1"/>
  <c r="AG5490" i="2" s="1"/>
  <c r="AH5491" i="2" s="1"/>
  <c r="AG5499" i="2"/>
  <c r="AG5535" i="2"/>
  <c r="AG5524" i="2"/>
  <c r="AG5523" i="2"/>
  <c r="AI5533" i="2"/>
  <c r="AG5511" i="2"/>
  <c r="AG5516" i="2" s="1"/>
  <c r="AG5512" i="2"/>
  <c r="AG5526" i="2" l="1"/>
  <c r="AG5525" i="2"/>
  <c r="AG5530" i="2" s="1"/>
  <c r="AG5549" i="2"/>
  <c r="AG5537" i="2"/>
  <c r="AI5547" i="2"/>
  <c r="AG5538" i="2"/>
  <c r="AG5513" i="2"/>
  <c r="AG5500" i="2"/>
  <c r="AG5501" i="2" s="1"/>
  <c r="AG5504" i="2" s="1"/>
  <c r="AH5505" i="2" s="1"/>
  <c r="AG5527" i="2" l="1"/>
  <c r="AG5514" i="2"/>
  <c r="AG5515" i="2" s="1"/>
  <c r="AG5518" i="2" s="1"/>
  <c r="AH5519" i="2" s="1"/>
  <c r="AG5551" i="2"/>
  <c r="AG5563" i="2"/>
  <c r="AG5552" i="2"/>
  <c r="AI5561" i="2"/>
  <c r="AG5539" i="2"/>
  <c r="AG5544" i="2" s="1"/>
  <c r="AG5540" i="2"/>
  <c r="AG5553" i="2" l="1"/>
  <c r="AG5558" i="2" s="1"/>
  <c r="AG5554" i="2"/>
  <c r="AG5566" i="2"/>
  <c r="AG5565" i="2"/>
  <c r="AG5577" i="2"/>
  <c r="AI5575" i="2"/>
  <c r="AG5528" i="2"/>
  <c r="AG5529" i="2" s="1"/>
  <c r="AG5532" i="2" s="1"/>
  <c r="AH5533" i="2" s="1"/>
  <c r="AG5541" i="2"/>
  <c r="AG5542" i="2" l="1"/>
  <c r="AG5543" i="2" s="1"/>
  <c r="AG5546" i="2" s="1"/>
  <c r="AH5547" i="2" s="1"/>
  <c r="AG5591" i="2"/>
  <c r="AG5580" i="2"/>
  <c r="AI5589" i="2"/>
  <c r="AG5579" i="2"/>
  <c r="AG5555" i="2"/>
  <c r="AG5568" i="2"/>
  <c r="AG5567" i="2"/>
  <c r="AG5572" i="2" s="1"/>
  <c r="AG5569" i="2" l="1"/>
  <c r="AG5582" i="2"/>
  <c r="AG5581" i="2"/>
  <c r="AG5586" i="2" s="1"/>
  <c r="AG5594" i="2"/>
  <c r="AI5603" i="2"/>
  <c r="AG5593" i="2"/>
  <c r="AG5605" i="2"/>
  <c r="AG5556" i="2"/>
  <c r="AG5557" i="2" s="1"/>
  <c r="AG5560" i="2" s="1"/>
  <c r="AH5561" i="2" s="1"/>
  <c r="AG5595" i="2" l="1"/>
  <c r="AG5600" i="2" s="1"/>
  <c r="AG5596" i="2"/>
  <c r="AG5583" i="2"/>
  <c r="AG5570" i="2"/>
  <c r="AG5571" i="2" s="1"/>
  <c r="AG5574" i="2" s="1"/>
  <c r="AH5575" i="2" s="1"/>
  <c r="AG5608" i="2"/>
  <c r="AI5617" i="2"/>
  <c r="AG5607" i="2"/>
  <c r="AG5619" i="2"/>
  <c r="AG5610" i="2" l="1"/>
  <c r="AG5609" i="2"/>
  <c r="AG5614" i="2" s="1"/>
  <c r="AG5597" i="2"/>
  <c r="AG5584" i="2"/>
  <c r="AG5585" i="2" s="1"/>
  <c r="AG5588" i="2" s="1"/>
  <c r="AH5589" i="2" s="1"/>
  <c r="AG5622" i="2"/>
  <c r="AI5631" i="2"/>
  <c r="AG5621" i="2"/>
  <c r="AG5624" i="2" l="1"/>
  <c r="AG5623" i="2"/>
  <c r="AG5628" i="2" s="1"/>
  <c r="AG5611" i="2"/>
  <c r="AG5598" i="2"/>
  <c r="AG5599" i="2" s="1"/>
  <c r="AG5602" i="2" s="1"/>
  <c r="AH5603" i="2" s="1"/>
  <c r="AG5625" i="2" l="1"/>
  <c r="AG5612" i="2"/>
  <c r="AG5613" i="2" s="1"/>
  <c r="AG5616" i="2" s="1"/>
  <c r="AH5617" i="2" s="1"/>
  <c r="AG5626" i="2" l="1"/>
  <c r="AG5627" i="2" s="1"/>
  <c r="AG5630" i="2" s="1"/>
  <c r="AH5631" i="2" s="1"/>
  <c r="AI18" i="2" s="1"/>
  <c r="AI20" i="2" s="1"/>
  <c r="AI19" i="2" l="1"/>
  <c r="N40" i="3" s="1"/>
  <c r="M44" i="3" l="1"/>
  <c r="M41" i="3" s="1"/>
  <c r="M40" i="3"/>
  <c r="L44" i="3" s="1"/>
  <c r="L41" i="3" s="1"/>
  <c r="AJ33" i="2"/>
  <c r="AJ36" i="2" s="1"/>
  <c r="AJ47" i="2" l="1"/>
  <c r="AL59" i="2" s="1"/>
  <c r="AL45" i="2"/>
  <c r="AJ35" i="2"/>
  <c r="AJ38" i="2" s="1"/>
  <c r="AJ39" i="2" s="1"/>
  <c r="AJ40" i="2" s="1"/>
  <c r="AJ50" i="2" l="1"/>
  <c r="AJ49" i="2"/>
  <c r="AJ51" i="2" s="1"/>
  <c r="AJ56" i="2" s="1"/>
  <c r="AJ61" i="2"/>
  <c r="AJ64" i="2" s="1"/>
  <c r="AJ37" i="2"/>
  <c r="AJ42" i="2" s="1"/>
  <c r="AJ75" i="2" l="1"/>
  <c r="AL87" i="2" s="1"/>
  <c r="AJ63" i="2"/>
  <c r="AJ65" i="2" s="1"/>
  <c r="AJ70" i="2" s="1"/>
  <c r="AJ52" i="2"/>
  <c r="AJ53" i="2" s="1"/>
  <c r="AJ54" i="2" s="1"/>
  <c r="AJ55" i="2" s="1"/>
  <c r="AJ58" i="2" s="1"/>
  <c r="AK59" i="2" s="1"/>
  <c r="AL73" i="2"/>
  <c r="AJ41" i="2"/>
  <c r="AJ44" i="2" s="1"/>
  <c r="AK45" i="2" s="1"/>
  <c r="AJ78" i="2" l="1"/>
  <c r="AJ89" i="2"/>
  <c r="AJ91" i="2" s="1"/>
  <c r="AJ77" i="2"/>
  <c r="AJ79" i="2" s="1"/>
  <c r="AJ84" i="2" s="1"/>
  <c r="AJ66" i="2"/>
  <c r="AJ67" i="2" s="1"/>
  <c r="AJ68" i="2" s="1"/>
  <c r="AJ69" i="2" s="1"/>
  <c r="AJ72" i="2" s="1"/>
  <c r="AK73" i="2" s="1"/>
  <c r="AJ103" i="2" l="1"/>
  <c r="AJ105" i="2" s="1"/>
  <c r="AJ80" i="2"/>
  <c r="AJ81" i="2" s="1"/>
  <c r="AJ82" i="2" s="1"/>
  <c r="AJ83" i="2" s="1"/>
  <c r="AJ86" i="2" s="1"/>
  <c r="AK87" i="2" s="1"/>
  <c r="AL101" i="2"/>
  <c r="AJ92" i="2"/>
  <c r="AJ94" i="2" s="1"/>
  <c r="AJ95" i="2" s="1"/>
  <c r="AJ93" i="2"/>
  <c r="AJ98" i="2" s="1"/>
  <c r="AL115" i="2" l="1"/>
  <c r="AJ117" i="2"/>
  <c r="AJ120" i="2" s="1"/>
  <c r="AJ106" i="2"/>
  <c r="AJ108" i="2" s="1"/>
  <c r="AJ109" i="2" s="1"/>
  <c r="AJ107" i="2"/>
  <c r="AJ112" i="2" s="1"/>
  <c r="AJ96" i="2"/>
  <c r="AJ97" i="2" s="1"/>
  <c r="AJ100" i="2" s="1"/>
  <c r="AK101" i="2" s="1"/>
  <c r="AL129" i="2"/>
  <c r="AJ119" i="2" l="1"/>
  <c r="AJ122" i="2" s="1"/>
  <c r="AJ123" i="2" s="1"/>
  <c r="AJ124" i="2" s="1"/>
  <c r="AJ131" i="2"/>
  <c r="AJ133" i="2" s="1"/>
  <c r="AJ110" i="2"/>
  <c r="AJ111" i="2" s="1"/>
  <c r="AJ114" i="2" s="1"/>
  <c r="AK115" i="2" s="1"/>
  <c r="AJ134" i="2" l="1"/>
  <c r="AJ136" i="2" s="1"/>
  <c r="AJ137" i="2" s="1"/>
  <c r="AJ145" i="2"/>
  <c r="AL157" i="2" s="1"/>
  <c r="AJ121" i="2"/>
  <c r="AJ126" i="2" s="1"/>
  <c r="AL143" i="2"/>
  <c r="AJ135" i="2"/>
  <c r="AJ140" i="2" s="1"/>
  <c r="AJ159" i="2"/>
  <c r="AJ125" i="2" l="1"/>
  <c r="AJ128" i="2" s="1"/>
  <c r="AK129" i="2" s="1"/>
  <c r="AJ147" i="2"/>
  <c r="AJ149" i="2" s="1"/>
  <c r="AJ154" i="2" s="1"/>
  <c r="AJ148" i="2"/>
  <c r="AJ138" i="2"/>
  <c r="AJ139" i="2" s="1"/>
  <c r="AJ142" i="2" s="1"/>
  <c r="AK143" i="2" s="1"/>
  <c r="AJ162" i="2"/>
  <c r="AJ161" i="2"/>
  <c r="AJ173" i="2"/>
  <c r="AL171" i="2"/>
  <c r="AJ150" i="2" l="1"/>
  <c r="AJ151" i="2" s="1"/>
  <c r="AJ152" i="2" s="1"/>
  <c r="AJ153" i="2" s="1"/>
  <c r="AJ156" i="2" s="1"/>
  <c r="AK157" i="2" s="1"/>
  <c r="AJ176" i="2"/>
  <c r="AL185" i="2"/>
  <c r="AJ187" i="2"/>
  <c r="AJ175" i="2"/>
  <c r="AJ164" i="2"/>
  <c r="AJ165" i="2" s="1"/>
  <c r="AJ166" i="2" s="1"/>
  <c r="AJ163" i="2"/>
  <c r="AJ168" i="2" s="1"/>
  <c r="AJ167" i="2" l="1"/>
  <c r="AJ170" i="2" s="1"/>
  <c r="AK171" i="2" s="1"/>
  <c r="AJ189" i="2"/>
  <c r="AL199" i="2"/>
  <c r="AJ201" i="2"/>
  <c r="AJ190" i="2"/>
  <c r="AJ177" i="2"/>
  <c r="AJ182" i="2" s="1"/>
  <c r="AJ178" i="2"/>
  <c r="AJ179" i="2" s="1"/>
  <c r="AJ180" i="2" s="1"/>
  <c r="AJ181" i="2" l="1"/>
  <c r="AJ184" i="2" s="1"/>
  <c r="AK185" i="2" s="1"/>
  <c r="AJ191" i="2"/>
  <c r="AJ196" i="2" s="1"/>
  <c r="AJ192" i="2"/>
  <c r="AJ193" i="2" s="1"/>
  <c r="AJ203" i="2"/>
  <c r="AL213" i="2"/>
  <c r="AJ215" i="2"/>
  <c r="AJ204" i="2"/>
  <c r="AL227" i="2" l="1"/>
  <c r="AJ218" i="2"/>
  <c r="AJ217" i="2"/>
  <c r="AJ229" i="2"/>
  <c r="AJ205" i="2"/>
  <c r="AJ210" i="2" s="1"/>
  <c r="AJ206" i="2"/>
  <c r="AJ207" i="2" s="1"/>
  <c r="AJ208" i="2" s="1"/>
  <c r="AJ194" i="2"/>
  <c r="AJ195" i="2" s="1"/>
  <c r="AJ198" i="2" s="1"/>
  <c r="AK199" i="2" s="1"/>
  <c r="AJ209" i="2" l="1"/>
  <c r="AJ212" i="2" s="1"/>
  <c r="AK213" i="2" s="1"/>
  <c r="AJ220" i="2"/>
  <c r="AJ221" i="2" s="1"/>
  <c r="AJ219" i="2"/>
  <c r="AJ224" i="2" s="1"/>
  <c r="AJ243" i="2"/>
  <c r="AL241" i="2"/>
  <c r="AJ231" i="2"/>
  <c r="AJ232" i="2"/>
  <c r="AJ234" i="2" l="1"/>
  <c r="AJ235" i="2" s="1"/>
  <c r="AJ233" i="2"/>
  <c r="AJ238" i="2" s="1"/>
  <c r="AJ222" i="2"/>
  <c r="AJ223" i="2" s="1"/>
  <c r="AJ226" i="2" s="1"/>
  <c r="AK227" i="2" s="1"/>
  <c r="AJ257" i="2"/>
  <c r="AL255" i="2"/>
  <c r="AJ245" i="2"/>
  <c r="AJ246" i="2"/>
  <c r="AJ271" i="2" l="1"/>
  <c r="AL269" i="2"/>
  <c r="AJ259" i="2"/>
  <c r="AJ260" i="2"/>
  <c r="AJ236" i="2"/>
  <c r="AJ237" i="2" s="1"/>
  <c r="AJ240" i="2" s="1"/>
  <c r="AK241" i="2" s="1"/>
  <c r="AJ247" i="2"/>
  <c r="AJ252" i="2" s="1"/>
  <c r="AJ248" i="2"/>
  <c r="AJ249" i="2" s="1"/>
  <c r="AJ250" i="2" s="1"/>
  <c r="AJ251" i="2" l="1"/>
  <c r="AJ254" i="2" s="1"/>
  <c r="AK255" i="2" s="1"/>
  <c r="AL283" i="2"/>
  <c r="AJ273" i="2"/>
  <c r="AJ274" i="2"/>
  <c r="AJ285" i="2"/>
  <c r="AJ262" i="2"/>
  <c r="AJ263" i="2" s="1"/>
  <c r="AJ261" i="2"/>
  <c r="AJ266" i="2" s="1"/>
  <c r="AJ264" i="2" l="1"/>
  <c r="AJ265" i="2" s="1"/>
  <c r="AJ268" i="2" s="1"/>
  <c r="AK269" i="2" s="1"/>
  <c r="AJ276" i="2"/>
  <c r="AJ277" i="2" s="1"/>
  <c r="AJ275" i="2"/>
  <c r="AJ280" i="2" s="1"/>
  <c r="AL297" i="2"/>
  <c r="AJ288" i="2"/>
  <c r="AJ287" i="2"/>
  <c r="AJ299" i="2"/>
  <c r="AJ290" i="2" l="1"/>
  <c r="AJ291" i="2" s="1"/>
  <c r="AJ289" i="2"/>
  <c r="AJ294" i="2" s="1"/>
  <c r="AJ278" i="2"/>
  <c r="AJ279" i="2" s="1"/>
  <c r="AJ282" i="2" s="1"/>
  <c r="AK283" i="2" s="1"/>
  <c r="AJ313" i="2"/>
  <c r="AL311" i="2"/>
  <c r="AJ302" i="2"/>
  <c r="AJ301" i="2"/>
  <c r="AL325" i="2" l="1"/>
  <c r="AJ315" i="2"/>
  <c r="AJ316" i="2"/>
  <c r="AJ327" i="2"/>
  <c r="AJ292" i="2"/>
  <c r="AJ293" i="2" s="1"/>
  <c r="AJ296" i="2" s="1"/>
  <c r="AK297" i="2" s="1"/>
  <c r="AJ304" i="2"/>
  <c r="AJ305" i="2" s="1"/>
  <c r="AJ303" i="2"/>
  <c r="AJ308" i="2" s="1"/>
  <c r="AJ317" i="2" l="1"/>
  <c r="AJ322" i="2" s="1"/>
  <c r="AJ318" i="2"/>
  <c r="AJ319" i="2" s="1"/>
  <c r="AJ306" i="2"/>
  <c r="AJ307" i="2" s="1"/>
  <c r="AJ310" i="2" s="1"/>
  <c r="AK311" i="2" s="1"/>
  <c r="AJ330" i="2"/>
  <c r="AJ329" i="2"/>
  <c r="AJ341" i="2"/>
  <c r="AL339" i="2"/>
  <c r="AJ331" i="2" l="1"/>
  <c r="AJ336" i="2" s="1"/>
  <c r="AJ332" i="2"/>
  <c r="AJ333" i="2" s="1"/>
  <c r="AJ334" i="2" s="1"/>
  <c r="AJ320" i="2"/>
  <c r="AJ321" i="2" s="1"/>
  <c r="AJ324" i="2" s="1"/>
  <c r="AK325" i="2" s="1"/>
  <c r="AJ343" i="2"/>
  <c r="AJ344" i="2"/>
  <c r="AJ355" i="2"/>
  <c r="AL353" i="2"/>
  <c r="AJ335" i="2" l="1"/>
  <c r="AJ338" i="2" s="1"/>
  <c r="AK339" i="2" s="1"/>
  <c r="AJ346" i="2"/>
  <c r="AJ347" i="2" s="1"/>
  <c r="AJ345" i="2"/>
  <c r="AJ350" i="2" s="1"/>
  <c r="AL367" i="2"/>
  <c r="AJ369" i="2"/>
  <c r="AJ358" i="2"/>
  <c r="AJ357" i="2"/>
  <c r="AJ348" i="2" l="1"/>
  <c r="AJ349" i="2" s="1"/>
  <c r="AJ352" i="2" s="1"/>
  <c r="AK353" i="2" s="1"/>
  <c r="AJ360" i="2"/>
  <c r="AJ361" i="2" s="1"/>
  <c r="AJ359" i="2"/>
  <c r="AJ364" i="2" s="1"/>
  <c r="AL381" i="2"/>
  <c r="AJ371" i="2"/>
  <c r="AJ372" i="2"/>
  <c r="AJ383" i="2"/>
  <c r="AJ373" i="2" l="1"/>
  <c r="AJ378" i="2" s="1"/>
  <c r="AJ374" i="2"/>
  <c r="AJ375" i="2" s="1"/>
  <c r="AJ362" i="2"/>
  <c r="AJ363" i="2" s="1"/>
  <c r="AJ366" i="2" s="1"/>
  <c r="AK367" i="2" s="1"/>
  <c r="AJ397" i="2"/>
  <c r="AJ386" i="2"/>
  <c r="AL395" i="2"/>
  <c r="AJ385" i="2"/>
  <c r="AJ411" i="2" l="1"/>
  <c r="AJ399" i="2"/>
  <c r="AJ400" i="2"/>
  <c r="AL409" i="2"/>
  <c r="AJ376" i="2"/>
  <c r="AJ377" i="2" s="1"/>
  <c r="AJ380" i="2" s="1"/>
  <c r="AK381" i="2" s="1"/>
  <c r="AJ388" i="2"/>
  <c r="AJ389" i="2" s="1"/>
  <c r="AJ387" i="2"/>
  <c r="AJ392" i="2" s="1"/>
  <c r="AJ390" i="2" l="1"/>
  <c r="AJ391" i="2" s="1"/>
  <c r="AJ394" i="2" s="1"/>
  <c r="AK395" i="2" s="1"/>
  <c r="AJ401" i="2"/>
  <c r="AJ406" i="2" s="1"/>
  <c r="AJ402" i="2"/>
  <c r="AJ403" i="2" s="1"/>
  <c r="AJ414" i="2"/>
  <c r="AL423" i="2"/>
  <c r="AJ413" i="2"/>
  <c r="AJ425" i="2"/>
  <c r="AJ416" i="2" l="1"/>
  <c r="AJ417" i="2" s="1"/>
  <c r="AJ415" i="2"/>
  <c r="AJ420" i="2" s="1"/>
  <c r="AJ427" i="2"/>
  <c r="AL437" i="2"/>
  <c r="AJ439" i="2"/>
  <c r="AJ428" i="2"/>
  <c r="AJ404" i="2"/>
  <c r="AJ405" i="2" s="1"/>
  <c r="AJ408" i="2" s="1"/>
  <c r="AK409" i="2" s="1"/>
  <c r="AJ442" i="2" l="1"/>
  <c r="AJ441" i="2"/>
  <c r="AJ453" i="2"/>
  <c r="AL451" i="2"/>
  <c r="AJ418" i="2"/>
  <c r="AJ419" i="2" s="1"/>
  <c r="AJ422" i="2" s="1"/>
  <c r="AK423" i="2" s="1"/>
  <c r="AJ430" i="2"/>
  <c r="AJ431" i="2" s="1"/>
  <c r="AJ429" i="2"/>
  <c r="AJ434" i="2" s="1"/>
  <c r="AL465" i="2" l="1"/>
  <c r="AJ467" i="2"/>
  <c r="AJ455" i="2"/>
  <c r="AJ456" i="2"/>
  <c r="AJ444" i="2"/>
  <c r="AJ445" i="2" s="1"/>
  <c r="AJ443" i="2"/>
  <c r="AJ448" i="2" s="1"/>
  <c r="AJ432" i="2"/>
  <c r="AJ433" i="2" s="1"/>
  <c r="AJ436" i="2" s="1"/>
  <c r="AK437" i="2" s="1"/>
  <c r="AJ446" i="2" l="1"/>
  <c r="AJ447" i="2" s="1"/>
  <c r="AJ450" i="2" s="1"/>
  <c r="AK451" i="2" s="1"/>
  <c r="AJ481" i="2"/>
  <c r="AJ470" i="2"/>
  <c r="AL479" i="2"/>
  <c r="AJ469" i="2"/>
  <c r="AJ458" i="2"/>
  <c r="AJ459" i="2" s="1"/>
  <c r="AJ457" i="2"/>
  <c r="AJ462" i="2" s="1"/>
  <c r="AJ472" i="2" l="1"/>
  <c r="AJ473" i="2" s="1"/>
  <c r="AJ471" i="2"/>
  <c r="AJ476" i="2" s="1"/>
  <c r="AL493" i="2"/>
  <c r="AJ483" i="2"/>
  <c r="AJ484" i="2"/>
  <c r="AJ495" i="2"/>
  <c r="AJ460" i="2"/>
  <c r="AJ461" i="2" s="1"/>
  <c r="AJ464" i="2" s="1"/>
  <c r="AK465" i="2" s="1"/>
  <c r="AJ474" i="2" l="1"/>
  <c r="AJ475" i="2" s="1"/>
  <c r="AJ478" i="2" s="1"/>
  <c r="AK479" i="2" s="1"/>
  <c r="AJ497" i="2"/>
  <c r="AJ509" i="2"/>
  <c r="AL507" i="2"/>
  <c r="AJ498" i="2"/>
  <c r="AJ486" i="2"/>
  <c r="AJ487" i="2" s="1"/>
  <c r="AJ485" i="2"/>
  <c r="AJ490" i="2" s="1"/>
  <c r="AJ488" i="2" l="1"/>
  <c r="AJ489" i="2" s="1"/>
  <c r="AJ492" i="2" s="1"/>
  <c r="AK493" i="2" s="1"/>
  <c r="AJ500" i="2"/>
  <c r="AJ501" i="2" s="1"/>
  <c r="AJ502" i="2" s="1"/>
  <c r="AJ499" i="2"/>
  <c r="AJ504" i="2" s="1"/>
  <c r="AJ523" i="2"/>
  <c r="AJ511" i="2"/>
  <c r="AJ512" i="2"/>
  <c r="AL521" i="2"/>
  <c r="AJ503" i="2" l="1"/>
  <c r="AJ506" i="2" s="1"/>
  <c r="AK507" i="2" s="1"/>
  <c r="AJ514" i="2"/>
  <c r="AJ515" i="2" s="1"/>
  <c r="AJ513" i="2"/>
  <c r="AJ518" i="2" s="1"/>
  <c r="AL535" i="2"/>
  <c r="AJ525" i="2"/>
  <c r="AJ537" i="2"/>
  <c r="AJ526" i="2"/>
  <c r="AJ516" i="2" l="1"/>
  <c r="AJ517" i="2" s="1"/>
  <c r="AJ520" i="2" s="1"/>
  <c r="AK521" i="2" s="1"/>
  <c r="AL549" i="2"/>
  <c r="AJ540" i="2"/>
  <c r="AJ539" i="2"/>
  <c r="AJ551" i="2"/>
  <c r="AJ528" i="2"/>
  <c r="AJ529" i="2" s="1"/>
  <c r="AJ527" i="2"/>
  <c r="AJ532" i="2" s="1"/>
  <c r="AJ553" i="2" l="1"/>
  <c r="AL563" i="2"/>
  <c r="AJ554" i="2"/>
  <c r="AJ565" i="2"/>
  <c r="AJ542" i="2"/>
  <c r="AJ543" i="2" s="1"/>
  <c r="AJ544" i="2" s="1"/>
  <c r="AJ545" i="2" s="1"/>
  <c r="AJ548" i="2" s="1"/>
  <c r="AK549" i="2" s="1"/>
  <c r="AJ541" i="2"/>
  <c r="AJ546" i="2" s="1"/>
  <c r="AJ530" i="2"/>
  <c r="AJ531" i="2" s="1"/>
  <c r="AJ534" i="2" s="1"/>
  <c r="AK535" i="2" s="1"/>
  <c r="AJ555" i="2" l="1"/>
  <c r="AJ560" i="2" s="1"/>
  <c r="AJ556" i="2"/>
  <c r="AJ557" i="2" s="1"/>
  <c r="AJ579" i="2"/>
  <c r="AL577" i="2"/>
  <c r="AJ568" i="2"/>
  <c r="AJ567" i="2"/>
  <c r="AJ558" i="2" l="1"/>
  <c r="AJ559" i="2" s="1"/>
  <c r="AJ562" i="2" s="1"/>
  <c r="AK563" i="2" s="1"/>
  <c r="AJ570" i="2"/>
  <c r="AJ571" i="2" s="1"/>
  <c r="AJ569" i="2"/>
  <c r="AJ574" i="2" s="1"/>
  <c r="AJ593" i="2"/>
  <c r="AJ581" i="2"/>
  <c r="AJ582" i="2"/>
  <c r="AL591" i="2"/>
  <c r="AJ595" i="2" l="1"/>
  <c r="AL605" i="2"/>
  <c r="AJ607" i="2"/>
  <c r="AJ596" i="2"/>
  <c r="AJ583" i="2"/>
  <c r="AJ588" i="2" s="1"/>
  <c r="AJ584" i="2"/>
  <c r="AJ585" i="2" s="1"/>
  <c r="AJ572" i="2"/>
  <c r="AJ573" i="2" s="1"/>
  <c r="AJ576" i="2" s="1"/>
  <c r="AK577" i="2" s="1"/>
  <c r="AJ597" i="2" l="1"/>
  <c r="AJ602" i="2" s="1"/>
  <c r="AJ598" i="2"/>
  <c r="AJ599" i="2" s="1"/>
  <c r="AJ586" i="2"/>
  <c r="AJ587" i="2" s="1"/>
  <c r="AJ590" i="2" s="1"/>
  <c r="AK591" i="2" s="1"/>
  <c r="AJ609" i="2"/>
  <c r="AL619" i="2"/>
  <c r="AJ610" i="2"/>
  <c r="AJ621" i="2"/>
  <c r="AJ611" i="2" l="1"/>
  <c r="AJ616" i="2" s="1"/>
  <c r="AJ612" i="2"/>
  <c r="AJ613" i="2" s="1"/>
  <c r="AJ614" i="2" s="1"/>
  <c r="AJ600" i="2"/>
  <c r="AJ601" i="2" s="1"/>
  <c r="AJ604" i="2" s="1"/>
  <c r="AK605" i="2" s="1"/>
  <c r="AL633" i="2"/>
  <c r="AJ624" i="2"/>
  <c r="AJ623" i="2"/>
  <c r="AJ635" i="2"/>
  <c r="AJ615" i="2" l="1"/>
  <c r="AJ618" i="2" s="1"/>
  <c r="AK619" i="2" s="1"/>
  <c r="AJ626" i="2"/>
  <c r="AJ627" i="2" s="1"/>
  <c r="AJ625" i="2"/>
  <c r="AJ630" i="2" s="1"/>
  <c r="AJ649" i="2"/>
  <c r="AJ638" i="2"/>
  <c r="AJ637" i="2"/>
  <c r="AL647" i="2"/>
  <c r="AJ628" i="2" l="1"/>
  <c r="AJ629" i="2" s="1"/>
  <c r="AJ632" i="2" s="1"/>
  <c r="AK633" i="2" s="1"/>
  <c r="AJ639" i="2"/>
  <c r="AJ644" i="2" s="1"/>
  <c r="AJ640" i="2"/>
  <c r="AJ641" i="2" s="1"/>
  <c r="AJ642" i="2" s="1"/>
  <c r="AJ651" i="2"/>
  <c r="AL661" i="2"/>
  <c r="AJ652" i="2"/>
  <c r="AJ663" i="2"/>
  <c r="AJ643" i="2" l="1"/>
  <c r="AJ646" i="2" s="1"/>
  <c r="AK647" i="2" s="1"/>
  <c r="AJ653" i="2"/>
  <c r="AJ658" i="2" s="1"/>
  <c r="AJ654" i="2"/>
  <c r="AJ655" i="2" s="1"/>
  <c r="AJ677" i="2"/>
  <c r="AJ666" i="2"/>
  <c r="AJ665" i="2"/>
  <c r="AL675" i="2"/>
  <c r="AJ656" i="2" l="1"/>
  <c r="AJ657" i="2" s="1"/>
  <c r="AJ660" i="2" s="1"/>
  <c r="AK661" i="2" s="1"/>
  <c r="AJ679" i="2"/>
  <c r="AJ680" i="2"/>
  <c r="AL689" i="2"/>
  <c r="AJ691" i="2"/>
  <c r="AJ667" i="2"/>
  <c r="AJ672" i="2" s="1"/>
  <c r="AJ668" i="2"/>
  <c r="AJ669" i="2" s="1"/>
  <c r="AJ682" i="2" l="1"/>
  <c r="AJ683" i="2" s="1"/>
  <c r="AJ684" i="2" s="1"/>
  <c r="AJ681" i="2"/>
  <c r="AJ686" i="2" s="1"/>
  <c r="AJ705" i="2"/>
  <c r="AL703" i="2"/>
  <c r="AJ693" i="2"/>
  <c r="AJ694" i="2"/>
  <c r="AJ670" i="2"/>
  <c r="AJ671" i="2" s="1"/>
  <c r="AJ674" i="2" s="1"/>
  <c r="AK675" i="2" s="1"/>
  <c r="AJ685" i="2" l="1"/>
  <c r="AJ688" i="2" s="1"/>
  <c r="AK689" i="2" s="1"/>
  <c r="AJ708" i="2"/>
  <c r="AJ719" i="2"/>
  <c r="AJ707" i="2"/>
  <c r="AL717" i="2"/>
  <c r="AJ695" i="2"/>
  <c r="AJ700" i="2" s="1"/>
  <c r="AJ696" i="2"/>
  <c r="AJ697" i="2" s="1"/>
  <c r="AJ721" i="2" l="1"/>
  <c r="AJ733" i="2"/>
  <c r="AL731" i="2"/>
  <c r="AJ722" i="2"/>
  <c r="AJ698" i="2"/>
  <c r="AJ699" i="2" s="1"/>
  <c r="AJ702" i="2" s="1"/>
  <c r="AK703" i="2" s="1"/>
  <c r="AJ710" i="2"/>
  <c r="AJ711" i="2" s="1"/>
  <c r="AJ709" i="2"/>
  <c r="AJ714" i="2" s="1"/>
  <c r="AJ723" i="2" l="1"/>
  <c r="AJ728" i="2" s="1"/>
  <c r="AJ724" i="2"/>
  <c r="AJ725" i="2" s="1"/>
  <c r="AJ736" i="2"/>
  <c r="AL745" i="2"/>
  <c r="AJ747" i="2"/>
  <c r="AJ735" i="2"/>
  <c r="AJ712" i="2"/>
  <c r="AJ713" i="2" s="1"/>
  <c r="AJ716" i="2" s="1"/>
  <c r="AK717" i="2" s="1"/>
  <c r="AJ761" i="2" l="1"/>
  <c r="AJ750" i="2"/>
  <c r="AL759" i="2"/>
  <c r="AJ749" i="2"/>
  <c r="AJ738" i="2"/>
  <c r="AJ739" i="2" s="1"/>
  <c r="AJ740" i="2" s="1"/>
  <c r="AJ737" i="2"/>
  <c r="AJ742" i="2" s="1"/>
  <c r="AJ726" i="2"/>
  <c r="AJ727" i="2" s="1"/>
  <c r="AJ730" i="2" s="1"/>
  <c r="AK731" i="2" s="1"/>
  <c r="AJ741" i="2" l="1"/>
  <c r="AJ744" i="2" s="1"/>
  <c r="AK745" i="2" s="1"/>
  <c r="AJ763" i="2"/>
  <c r="AJ764" i="2"/>
  <c r="AJ775" i="2"/>
  <c r="AL773" i="2"/>
  <c r="AJ752" i="2"/>
  <c r="AJ753" i="2" s="1"/>
  <c r="AJ751" i="2"/>
  <c r="AJ756" i="2" s="1"/>
  <c r="AJ765" i="2" l="1"/>
  <c r="AJ770" i="2" s="1"/>
  <c r="AJ766" i="2"/>
  <c r="AJ767" i="2" s="1"/>
  <c r="AJ754" i="2"/>
  <c r="AJ755" i="2" s="1"/>
  <c r="AJ758" i="2" s="1"/>
  <c r="AK759" i="2" s="1"/>
  <c r="AJ777" i="2"/>
  <c r="AJ789" i="2"/>
  <c r="AL787" i="2"/>
  <c r="AJ778" i="2"/>
  <c r="AJ779" i="2" l="1"/>
  <c r="AJ784" i="2" s="1"/>
  <c r="AJ780" i="2"/>
  <c r="AJ781" i="2" s="1"/>
  <c r="AJ782" i="2" s="1"/>
  <c r="AJ803" i="2"/>
  <c r="AJ792" i="2"/>
  <c r="AL801" i="2"/>
  <c r="AJ791" i="2"/>
  <c r="AJ768" i="2"/>
  <c r="AJ769" i="2" s="1"/>
  <c r="AJ772" i="2" s="1"/>
  <c r="AK773" i="2" s="1"/>
  <c r="AJ783" i="2" l="1"/>
  <c r="AJ786" i="2" s="1"/>
  <c r="AK787" i="2" s="1"/>
  <c r="AJ806" i="2"/>
  <c r="AL815" i="2"/>
  <c r="AJ805" i="2"/>
  <c r="AJ817" i="2"/>
  <c r="AJ794" i="2"/>
  <c r="AJ795" i="2" s="1"/>
  <c r="AJ793" i="2"/>
  <c r="AJ798" i="2" s="1"/>
  <c r="AJ796" i="2" l="1"/>
  <c r="AJ797" i="2" s="1"/>
  <c r="AJ800" i="2" s="1"/>
  <c r="AK801" i="2" s="1"/>
  <c r="AJ831" i="2"/>
  <c r="AL829" i="2"/>
  <c r="AJ820" i="2"/>
  <c r="AJ819" i="2"/>
  <c r="AJ808" i="2"/>
  <c r="AJ809" i="2" s="1"/>
  <c r="AJ807" i="2"/>
  <c r="AJ812" i="2" s="1"/>
  <c r="AJ810" i="2" l="1"/>
  <c r="AJ811" i="2" s="1"/>
  <c r="AJ814" i="2" s="1"/>
  <c r="AK815" i="2" s="1"/>
  <c r="AL843" i="2"/>
  <c r="AJ845" i="2"/>
  <c r="AJ834" i="2"/>
  <c r="AJ833" i="2"/>
  <c r="AJ821" i="2"/>
  <c r="AJ826" i="2" s="1"/>
  <c r="AJ822" i="2"/>
  <c r="AJ835" i="2" l="1"/>
  <c r="AJ840" i="2" s="1"/>
  <c r="AJ836" i="2"/>
  <c r="AJ823" i="2"/>
  <c r="AJ848" i="2"/>
  <c r="AL857" i="2"/>
  <c r="AJ847" i="2"/>
  <c r="AJ859" i="2"/>
  <c r="AJ862" i="2" l="1"/>
  <c r="AJ861" i="2"/>
  <c r="AL871" i="2"/>
  <c r="AJ873" i="2"/>
  <c r="AJ824" i="2"/>
  <c r="AJ825" i="2" s="1"/>
  <c r="AJ828" i="2" s="1"/>
  <c r="AK829" i="2" s="1"/>
  <c r="AJ837" i="2"/>
  <c r="AJ838" i="2" s="1"/>
  <c r="AJ839" i="2" s="1"/>
  <c r="AJ842" i="2" s="1"/>
  <c r="AK843" i="2" s="1"/>
  <c r="AJ850" i="2"/>
  <c r="AJ849" i="2"/>
  <c r="AJ854" i="2" s="1"/>
  <c r="AJ863" i="2" l="1"/>
  <c r="AJ868" i="2" s="1"/>
  <c r="AJ864" i="2"/>
  <c r="AJ851" i="2"/>
  <c r="AJ852" i="2" s="1"/>
  <c r="AJ853" i="2" s="1"/>
  <c r="AJ856" i="2" s="1"/>
  <c r="AK857" i="2" s="1"/>
  <c r="AJ887" i="2"/>
  <c r="AL885" i="2"/>
  <c r="AJ876" i="2"/>
  <c r="AJ875" i="2"/>
  <c r="AJ890" i="2" l="1"/>
  <c r="AJ889" i="2"/>
  <c r="AJ901" i="2"/>
  <c r="AL899" i="2"/>
  <c r="AJ878" i="2"/>
  <c r="AJ877" i="2"/>
  <c r="AJ882" i="2" s="1"/>
  <c r="AJ865" i="2"/>
  <c r="AJ879" i="2" l="1"/>
  <c r="AJ892" i="2"/>
  <c r="AJ891" i="2"/>
  <c r="AJ896" i="2" s="1"/>
  <c r="AJ866" i="2"/>
  <c r="AJ867" i="2" s="1"/>
  <c r="AJ870" i="2" s="1"/>
  <c r="AK871" i="2" s="1"/>
  <c r="AL913" i="2"/>
  <c r="AJ904" i="2"/>
  <c r="AJ903" i="2"/>
  <c r="AJ915" i="2"/>
  <c r="AJ906" i="2" l="1"/>
  <c r="AJ905" i="2"/>
  <c r="AJ910" i="2" s="1"/>
  <c r="AJ880" i="2"/>
  <c r="AJ881" i="2" s="1"/>
  <c r="AJ884" i="2" s="1"/>
  <c r="AK885" i="2" s="1"/>
  <c r="AJ893" i="2"/>
  <c r="AJ894" i="2" s="1"/>
  <c r="AJ895" i="2" s="1"/>
  <c r="AJ898" i="2" s="1"/>
  <c r="AK899" i="2" s="1"/>
  <c r="AJ918" i="2"/>
  <c r="AJ917" i="2"/>
  <c r="AJ929" i="2"/>
  <c r="AL927" i="2"/>
  <c r="AJ920" i="2" l="1"/>
  <c r="AJ919" i="2"/>
  <c r="AJ924" i="2" s="1"/>
  <c r="AJ932" i="2"/>
  <c r="AJ931" i="2"/>
  <c r="AJ943" i="2"/>
  <c r="AL941" i="2"/>
  <c r="AJ907" i="2"/>
  <c r="AJ908" i="2" s="1"/>
  <c r="AJ909" i="2" s="1"/>
  <c r="AJ912" i="2" s="1"/>
  <c r="AK913" i="2" s="1"/>
  <c r="AL955" i="2" l="1"/>
  <c r="AJ945" i="2"/>
  <c r="AJ957" i="2"/>
  <c r="AJ946" i="2"/>
  <c r="AJ921" i="2"/>
  <c r="AJ934" i="2"/>
  <c r="AJ933" i="2"/>
  <c r="AJ938" i="2" s="1"/>
  <c r="AJ935" i="2" l="1"/>
  <c r="AJ959" i="2"/>
  <c r="AL969" i="2"/>
  <c r="AJ971" i="2"/>
  <c r="AJ960" i="2"/>
  <c r="AJ922" i="2"/>
  <c r="AJ923" i="2" s="1"/>
  <c r="AJ926" i="2" s="1"/>
  <c r="AK927" i="2" s="1"/>
  <c r="AJ947" i="2"/>
  <c r="AJ952" i="2" s="1"/>
  <c r="AJ948" i="2"/>
  <c r="AJ973" i="2" l="1"/>
  <c r="AJ974" i="2"/>
  <c r="AL983" i="2"/>
  <c r="AJ985" i="2"/>
  <c r="AJ949" i="2"/>
  <c r="AJ950" i="2" s="1"/>
  <c r="AJ951" i="2" s="1"/>
  <c r="AJ954" i="2" s="1"/>
  <c r="AK955" i="2" s="1"/>
  <c r="AJ936" i="2"/>
  <c r="AJ937" i="2" s="1"/>
  <c r="AJ940" i="2" s="1"/>
  <c r="AK941" i="2" s="1"/>
  <c r="AJ962" i="2"/>
  <c r="AJ961" i="2"/>
  <c r="AJ966" i="2" s="1"/>
  <c r="AJ976" i="2" l="1"/>
  <c r="AJ975" i="2"/>
  <c r="AJ980" i="2" s="1"/>
  <c r="AJ963" i="2"/>
  <c r="AJ964" i="2" s="1"/>
  <c r="AJ965" i="2" s="1"/>
  <c r="AJ968" i="2" s="1"/>
  <c r="AK969" i="2" s="1"/>
  <c r="AJ988" i="2"/>
  <c r="AJ999" i="2"/>
  <c r="AJ987" i="2"/>
  <c r="AL997" i="2"/>
  <c r="AJ977" i="2" l="1"/>
  <c r="AL1011" i="2"/>
  <c r="AJ1001" i="2"/>
  <c r="AJ1002" i="2"/>
  <c r="AJ1013" i="2"/>
  <c r="AJ990" i="2"/>
  <c r="AJ989" i="2"/>
  <c r="AJ994" i="2" s="1"/>
  <c r="AJ1016" i="2" l="1"/>
  <c r="AJ1015" i="2"/>
  <c r="AL1025" i="2"/>
  <c r="AJ1027" i="2"/>
  <c r="AJ978" i="2"/>
  <c r="AJ979" i="2" s="1"/>
  <c r="AJ982" i="2" s="1"/>
  <c r="AK983" i="2" s="1"/>
  <c r="AJ991" i="2"/>
  <c r="AJ992" i="2" s="1"/>
  <c r="AJ993" i="2" s="1"/>
  <c r="AJ996" i="2" s="1"/>
  <c r="AK997" i="2" s="1"/>
  <c r="AJ1003" i="2"/>
  <c r="AJ1008" i="2" s="1"/>
  <c r="AJ1004" i="2"/>
  <c r="AJ1005" i="2" l="1"/>
  <c r="AJ1006" i="2" s="1"/>
  <c r="AJ1007" i="2" s="1"/>
  <c r="AJ1010" i="2" s="1"/>
  <c r="AK1011" i="2" s="1"/>
  <c r="AJ1018" i="2"/>
  <c r="AJ1017" i="2"/>
  <c r="AJ1022" i="2" s="1"/>
  <c r="AJ1030" i="2"/>
  <c r="AJ1029" i="2"/>
  <c r="AJ1041" i="2"/>
  <c r="AL1039" i="2"/>
  <c r="AJ1031" i="2" l="1"/>
  <c r="AJ1036" i="2" s="1"/>
  <c r="AJ1032" i="2"/>
  <c r="AJ1044" i="2"/>
  <c r="AJ1055" i="2"/>
  <c r="AJ1043" i="2"/>
  <c r="AL1053" i="2"/>
  <c r="AJ1019" i="2"/>
  <c r="AJ1020" i="2" s="1"/>
  <c r="AJ1021" i="2" s="1"/>
  <c r="AJ1024" i="2" s="1"/>
  <c r="AK1025" i="2" s="1"/>
  <c r="AJ1033" i="2" l="1"/>
  <c r="AJ1045" i="2"/>
  <c r="AJ1050" i="2" s="1"/>
  <c r="AJ1046" i="2"/>
  <c r="AJ1069" i="2"/>
  <c r="AL1067" i="2"/>
  <c r="AJ1057" i="2"/>
  <c r="AJ1058" i="2"/>
  <c r="AJ1034" i="2" l="1"/>
  <c r="AJ1035" i="2" s="1"/>
  <c r="AJ1038" i="2" s="1"/>
  <c r="AK1039" i="2" s="1"/>
  <c r="AJ1072" i="2"/>
  <c r="AJ1083" i="2"/>
  <c r="AL1081" i="2"/>
  <c r="AJ1071" i="2"/>
  <c r="AJ1059" i="2"/>
  <c r="AJ1064" i="2" s="1"/>
  <c r="AJ1060" i="2"/>
  <c r="AJ1047" i="2"/>
  <c r="AJ1048" i="2" s="1"/>
  <c r="AJ1049" i="2" s="1"/>
  <c r="AJ1052" i="2" s="1"/>
  <c r="AK1053" i="2" s="1"/>
  <c r="AJ1074" i="2" l="1"/>
  <c r="AJ1073" i="2"/>
  <c r="AJ1078" i="2" s="1"/>
  <c r="AJ1061" i="2"/>
  <c r="AJ1062" i="2" s="1"/>
  <c r="AJ1063" i="2" s="1"/>
  <c r="AJ1066" i="2" s="1"/>
  <c r="AK1067" i="2" s="1"/>
  <c r="AJ1085" i="2"/>
  <c r="AJ1097" i="2"/>
  <c r="AJ1086" i="2"/>
  <c r="AL1095" i="2"/>
  <c r="AL1109" i="2" l="1"/>
  <c r="AJ1099" i="2"/>
  <c r="AJ1100" i="2"/>
  <c r="AJ1111" i="2"/>
  <c r="AJ1087" i="2"/>
  <c r="AJ1092" i="2" s="1"/>
  <c r="AJ1088" i="2"/>
  <c r="AJ1075" i="2"/>
  <c r="AJ1076" i="2" l="1"/>
  <c r="AJ1077" i="2" s="1"/>
  <c r="AJ1080" i="2" s="1"/>
  <c r="AK1081" i="2" s="1"/>
  <c r="AJ1101" i="2"/>
  <c r="AJ1106" i="2" s="1"/>
  <c r="AJ1102" i="2"/>
  <c r="AJ1089" i="2"/>
  <c r="AJ1114" i="2"/>
  <c r="AJ1113" i="2"/>
  <c r="AJ1125" i="2"/>
  <c r="AL1123" i="2"/>
  <c r="AJ1090" i="2" l="1"/>
  <c r="AJ1091" i="2" s="1"/>
  <c r="AJ1094" i="2" s="1"/>
  <c r="AK1095" i="2" s="1"/>
  <c r="AL1137" i="2"/>
  <c r="AJ1127" i="2"/>
  <c r="AJ1139" i="2"/>
  <c r="AJ1128" i="2"/>
  <c r="AJ1116" i="2"/>
  <c r="AJ1115" i="2"/>
  <c r="AJ1120" i="2" s="1"/>
  <c r="AJ1103" i="2"/>
  <c r="AJ1104" i="2" l="1"/>
  <c r="AJ1105" i="2" s="1"/>
  <c r="AJ1108" i="2" s="1"/>
  <c r="AK1109" i="2" s="1"/>
  <c r="AL1151" i="2"/>
  <c r="AJ1141" i="2"/>
  <c r="AJ1153" i="2"/>
  <c r="AJ1142" i="2"/>
  <c r="AJ1117" i="2"/>
  <c r="AJ1118" i="2" s="1"/>
  <c r="AJ1119" i="2" s="1"/>
  <c r="AJ1122" i="2" s="1"/>
  <c r="AK1123" i="2" s="1"/>
  <c r="AJ1130" i="2"/>
  <c r="AJ1129" i="2"/>
  <c r="AJ1134" i="2" s="1"/>
  <c r="AJ1131" i="2" l="1"/>
  <c r="AJ1156" i="2"/>
  <c r="AJ1155" i="2"/>
  <c r="AJ1167" i="2"/>
  <c r="AL1165" i="2"/>
  <c r="AJ1144" i="2"/>
  <c r="AJ1143" i="2"/>
  <c r="AJ1148" i="2" s="1"/>
  <c r="AL1179" i="2" l="1"/>
  <c r="AJ1170" i="2"/>
  <c r="AJ1181" i="2"/>
  <c r="AJ1169" i="2"/>
  <c r="AJ1132" i="2"/>
  <c r="AJ1133" i="2" s="1"/>
  <c r="AJ1136" i="2" s="1"/>
  <c r="AK1137" i="2" s="1"/>
  <c r="AJ1145" i="2"/>
  <c r="AJ1146" i="2" s="1"/>
  <c r="AJ1147" i="2" s="1"/>
  <c r="AJ1150" i="2" s="1"/>
  <c r="AK1151" i="2" s="1"/>
  <c r="AJ1158" i="2"/>
  <c r="AJ1157" i="2"/>
  <c r="AJ1162" i="2" s="1"/>
  <c r="AJ1159" i="2" l="1"/>
  <c r="AJ1160" i="2" s="1"/>
  <c r="AJ1161" i="2" s="1"/>
  <c r="AJ1164" i="2" s="1"/>
  <c r="AK1165" i="2" s="1"/>
  <c r="AJ1183" i="2"/>
  <c r="AJ1195" i="2"/>
  <c r="AJ1184" i="2"/>
  <c r="AL1193" i="2"/>
  <c r="AJ1172" i="2"/>
  <c r="AJ1171" i="2"/>
  <c r="AJ1176" i="2" s="1"/>
  <c r="AJ1173" i="2" l="1"/>
  <c r="AJ1174" i="2" s="1"/>
  <c r="AJ1175" i="2" s="1"/>
  <c r="AJ1178" i="2" s="1"/>
  <c r="AK1179" i="2" s="1"/>
  <c r="AJ1186" i="2"/>
  <c r="AJ1185" i="2"/>
  <c r="AJ1190" i="2" s="1"/>
  <c r="AJ1198" i="2"/>
  <c r="AJ1197" i="2"/>
  <c r="AL1207" i="2"/>
  <c r="AJ1209" i="2"/>
  <c r="AJ1200" i="2" l="1"/>
  <c r="AJ1199" i="2"/>
  <c r="AJ1204" i="2" s="1"/>
  <c r="AJ1187" i="2"/>
  <c r="AJ1188" i="2" s="1"/>
  <c r="AJ1189" i="2" s="1"/>
  <c r="AJ1192" i="2" s="1"/>
  <c r="AK1193" i="2" s="1"/>
  <c r="AJ1212" i="2"/>
  <c r="AJ1211" i="2"/>
  <c r="AJ1223" i="2"/>
  <c r="AL1221" i="2"/>
  <c r="AJ1201" i="2" l="1"/>
  <c r="AJ1213" i="2"/>
  <c r="AJ1218" i="2" s="1"/>
  <c r="AJ1214" i="2"/>
  <c r="AL1235" i="2"/>
  <c r="AJ1226" i="2"/>
  <c r="AJ1225" i="2"/>
  <c r="AJ1237" i="2"/>
  <c r="AJ1202" i="2" l="1"/>
  <c r="AJ1203" i="2" s="1"/>
  <c r="AJ1206" i="2" s="1"/>
  <c r="AK1207" i="2" s="1"/>
  <c r="AJ1228" i="2"/>
  <c r="AJ1227" i="2"/>
  <c r="AJ1232" i="2" s="1"/>
  <c r="AJ1251" i="2"/>
  <c r="AJ1240" i="2"/>
  <c r="AL1249" i="2"/>
  <c r="AJ1239" i="2"/>
  <c r="AJ1215" i="2"/>
  <c r="AJ1254" i="2" l="1"/>
  <c r="AL1263" i="2"/>
  <c r="AJ1253" i="2"/>
  <c r="AJ1265" i="2"/>
  <c r="AJ1229" i="2"/>
  <c r="AJ1216" i="2"/>
  <c r="AJ1217" i="2" s="1"/>
  <c r="AJ1220" i="2" s="1"/>
  <c r="AK1221" i="2" s="1"/>
  <c r="AJ1241" i="2"/>
  <c r="AJ1246" i="2" s="1"/>
  <c r="AJ1242" i="2"/>
  <c r="AJ1255" i="2" l="1"/>
  <c r="AJ1260" i="2" s="1"/>
  <c r="AJ1256" i="2"/>
  <c r="AJ1230" i="2"/>
  <c r="AJ1231" i="2" s="1"/>
  <c r="AJ1234" i="2" s="1"/>
  <c r="AK1235" i="2" s="1"/>
  <c r="AJ1243" i="2"/>
  <c r="AL1277" i="2"/>
  <c r="AJ1267" i="2"/>
  <c r="AJ1268" i="2"/>
  <c r="AJ1279" i="2"/>
  <c r="AJ1281" i="2" l="1"/>
  <c r="AJ1293" i="2"/>
  <c r="AL1291" i="2"/>
  <c r="AJ1282" i="2"/>
  <c r="AJ1257" i="2"/>
  <c r="AJ1258" i="2" s="1"/>
  <c r="AJ1259" i="2" s="1"/>
  <c r="AJ1262" i="2" s="1"/>
  <c r="AK1263" i="2" s="1"/>
  <c r="AJ1244" i="2"/>
  <c r="AJ1245" i="2" s="1"/>
  <c r="AJ1248" i="2" s="1"/>
  <c r="AK1249" i="2" s="1"/>
  <c r="AJ1270" i="2"/>
  <c r="AJ1269" i="2"/>
  <c r="AJ1274" i="2" s="1"/>
  <c r="AJ1283" i="2" l="1"/>
  <c r="AJ1288" i="2" s="1"/>
  <c r="AJ1284" i="2"/>
  <c r="AJ1271" i="2"/>
  <c r="AJ1296" i="2"/>
  <c r="AL1305" i="2"/>
  <c r="AJ1295" i="2"/>
  <c r="AJ1307" i="2"/>
  <c r="AJ1298" i="2" l="1"/>
  <c r="AJ1297" i="2"/>
  <c r="AJ1302" i="2" s="1"/>
  <c r="AJ1285" i="2"/>
  <c r="AJ1286" i="2" s="1"/>
  <c r="AJ1287" i="2" s="1"/>
  <c r="AJ1290" i="2" s="1"/>
  <c r="AK1291" i="2" s="1"/>
  <c r="AJ1321" i="2"/>
  <c r="AJ1310" i="2"/>
  <c r="AL1319" i="2"/>
  <c r="AJ1309" i="2"/>
  <c r="AJ1272" i="2"/>
  <c r="AJ1273" i="2" s="1"/>
  <c r="AJ1276" i="2" s="1"/>
  <c r="AK1277" i="2" s="1"/>
  <c r="AL1333" i="2" l="1"/>
  <c r="AJ1335" i="2"/>
  <c r="AJ1324" i="2"/>
  <c r="AJ1323" i="2"/>
  <c r="AJ1299" i="2"/>
  <c r="AJ1300" i="2" s="1"/>
  <c r="AJ1301" i="2" s="1"/>
  <c r="AJ1304" i="2" s="1"/>
  <c r="AK1305" i="2" s="1"/>
  <c r="AJ1312" i="2"/>
  <c r="AJ1311" i="2"/>
  <c r="AJ1316" i="2" s="1"/>
  <c r="AJ1337" i="2" l="1"/>
  <c r="AL1347" i="2"/>
  <c r="AJ1349" i="2"/>
  <c r="AJ1338" i="2"/>
  <c r="AJ1313" i="2"/>
  <c r="AJ1314" i="2" s="1"/>
  <c r="AJ1315" i="2" s="1"/>
  <c r="AJ1318" i="2" s="1"/>
  <c r="AK1319" i="2" s="1"/>
  <c r="AJ1326" i="2"/>
  <c r="AJ1325" i="2"/>
  <c r="AJ1330" i="2" s="1"/>
  <c r="AJ1339" i="2" l="1"/>
  <c r="AJ1344" i="2" s="1"/>
  <c r="AJ1340" i="2"/>
  <c r="AJ1352" i="2"/>
  <c r="AL1361" i="2"/>
  <c r="AJ1363" i="2"/>
  <c r="AJ1351" i="2"/>
  <c r="AJ1327" i="2"/>
  <c r="AJ1354" i="2" l="1"/>
  <c r="AJ1353" i="2"/>
  <c r="AJ1358" i="2" s="1"/>
  <c r="AJ1341" i="2"/>
  <c r="AJ1342" i="2" s="1"/>
  <c r="AJ1343" i="2" s="1"/>
  <c r="AJ1346" i="2" s="1"/>
  <c r="AK1347" i="2" s="1"/>
  <c r="AJ1328" i="2"/>
  <c r="AJ1329" i="2" s="1"/>
  <c r="AJ1332" i="2" s="1"/>
  <c r="AK1333" i="2" s="1"/>
  <c r="AL1375" i="2"/>
  <c r="AJ1365" i="2"/>
  <c r="AJ1377" i="2"/>
  <c r="AJ1366" i="2"/>
  <c r="AL1389" i="2" l="1"/>
  <c r="AJ1391" i="2"/>
  <c r="AJ1380" i="2"/>
  <c r="AJ1379" i="2"/>
  <c r="AJ1355" i="2"/>
  <c r="AJ1356" i="2" s="1"/>
  <c r="AJ1357" i="2" s="1"/>
  <c r="AJ1360" i="2" s="1"/>
  <c r="AK1361" i="2" s="1"/>
  <c r="AJ1368" i="2"/>
  <c r="AJ1367" i="2"/>
  <c r="AJ1372" i="2" s="1"/>
  <c r="AJ1382" i="2" l="1"/>
  <c r="AJ1381" i="2"/>
  <c r="AJ1386" i="2" s="1"/>
  <c r="AL1403" i="2"/>
  <c r="AJ1394" i="2"/>
  <c r="AJ1405" i="2"/>
  <c r="AJ1393" i="2"/>
  <c r="AJ1369" i="2"/>
  <c r="AJ1395" i="2" l="1"/>
  <c r="AJ1400" i="2" s="1"/>
  <c r="AJ1396" i="2"/>
  <c r="AJ1408" i="2"/>
  <c r="AJ1407" i="2"/>
  <c r="AL1417" i="2"/>
  <c r="AJ1419" i="2"/>
  <c r="AJ1383" i="2"/>
  <c r="AJ1384" i="2" s="1"/>
  <c r="AJ1385" i="2" s="1"/>
  <c r="AJ1388" i="2" s="1"/>
  <c r="AK1389" i="2" s="1"/>
  <c r="AJ1370" i="2"/>
  <c r="AJ1371" i="2" s="1"/>
  <c r="AJ1374" i="2" s="1"/>
  <c r="AK1375" i="2" s="1"/>
  <c r="AJ1397" i="2" l="1"/>
  <c r="AJ1398" i="2" s="1"/>
  <c r="AJ1399" i="2" s="1"/>
  <c r="AJ1402" i="2" s="1"/>
  <c r="AK1403" i="2" s="1"/>
  <c r="AJ1421" i="2"/>
  <c r="AJ1422" i="2"/>
  <c r="AJ1433" i="2"/>
  <c r="AL1431" i="2"/>
  <c r="AJ1410" i="2"/>
  <c r="AJ1409" i="2"/>
  <c r="AJ1414" i="2" s="1"/>
  <c r="AJ1435" i="2" l="1"/>
  <c r="AJ1436" i="2"/>
  <c r="AJ1447" i="2"/>
  <c r="AL1445" i="2"/>
  <c r="AJ1411" i="2"/>
  <c r="AJ1412" i="2" s="1"/>
  <c r="AJ1413" i="2" s="1"/>
  <c r="AJ1416" i="2" s="1"/>
  <c r="AK1417" i="2" s="1"/>
  <c r="AJ1423" i="2"/>
  <c r="AJ1428" i="2" s="1"/>
  <c r="AJ1424" i="2"/>
  <c r="AJ1437" i="2" l="1"/>
  <c r="AJ1442" i="2" s="1"/>
  <c r="AJ1438" i="2"/>
  <c r="AJ1461" i="2"/>
  <c r="AJ1450" i="2"/>
  <c r="AJ1449" i="2"/>
  <c r="AL1459" i="2"/>
  <c r="AJ1425" i="2"/>
  <c r="AJ1426" i="2" s="1"/>
  <c r="AJ1427" i="2" s="1"/>
  <c r="AJ1430" i="2" s="1"/>
  <c r="AK1431" i="2" s="1"/>
  <c r="AJ1439" i="2" l="1"/>
  <c r="AJ1440" i="2" s="1"/>
  <c r="AJ1441" i="2" s="1"/>
  <c r="AJ1444" i="2" s="1"/>
  <c r="AK1445" i="2" s="1"/>
  <c r="AJ1475" i="2"/>
  <c r="AL1473" i="2"/>
  <c r="AJ1463" i="2"/>
  <c r="AJ1464" i="2"/>
  <c r="AJ1451" i="2"/>
  <c r="AJ1456" i="2" s="1"/>
  <c r="AJ1452" i="2"/>
  <c r="AJ1466" i="2" l="1"/>
  <c r="AJ1465" i="2"/>
  <c r="AJ1470" i="2" s="1"/>
  <c r="AJ1453" i="2"/>
  <c r="AJ1489" i="2"/>
  <c r="AL1487" i="2"/>
  <c r="AJ1477" i="2"/>
  <c r="AJ1478" i="2"/>
  <c r="AJ1467" i="2" l="1"/>
  <c r="AJ1468" i="2" s="1"/>
  <c r="AJ1469" i="2" s="1"/>
  <c r="AJ1472" i="2" s="1"/>
  <c r="AK1473" i="2" s="1"/>
  <c r="AJ1480" i="2"/>
  <c r="AJ1479" i="2"/>
  <c r="AJ1484" i="2" s="1"/>
  <c r="AJ1454" i="2"/>
  <c r="AJ1455" i="2" s="1"/>
  <c r="AJ1458" i="2" s="1"/>
  <c r="AK1459" i="2" s="1"/>
  <c r="AL1501" i="2"/>
  <c r="AJ1492" i="2"/>
  <c r="AJ1491" i="2"/>
  <c r="AJ1503" i="2"/>
  <c r="AJ1494" i="2" l="1"/>
  <c r="AJ1493" i="2"/>
  <c r="AJ1498" i="2" s="1"/>
  <c r="AJ1505" i="2"/>
  <c r="AJ1517" i="2"/>
  <c r="AL1515" i="2"/>
  <c r="AJ1506" i="2"/>
  <c r="AJ1481" i="2"/>
  <c r="AJ1482" i="2" s="1"/>
  <c r="AJ1483" i="2" s="1"/>
  <c r="AJ1486" i="2" s="1"/>
  <c r="AK1487" i="2" s="1"/>
  <c r="AJ1495" i="2" l="1"/>
  <c r="AJ1507" i="2"/>
  <c r="AJ1512" i="2" s="1"/>
  <c r="AJ1508" i="2"/>
  <c r="AJ1531" i="2"/>
  <c r="AJ1520" i="2"/>
  <c r="AL1529" i="2"/>
  <c r="AJ1519" i="2"/>
  <c r="AJ1533" i="2" l="1"/>
  <c r="AL1543" i="2"/>
  <c r="AJ1545" i="2"/>
  <c r="AJ1534" i="2"/>
  <c r="AJ1496" i="2"/>
  <c r="AJ1497" i="2" s="1"/>
  <c r="AJ1500" i="2" s="1"/>
  <c r="AK1501" i="2" s="1"/>
  <c r="AJ1521" i="2"/>
  <c r="AJ1526" i="2" s="1"/>
  <c r="AJ1522" i="2"/>
  <c r="AJ1509" i="2"/>
  <c r="AJ1510" i="2" s="1"/>
  <c r="AJ1511" i="2" s="1"/>
  <c r="AJ1514" i="2" s="1"/>
  <c r="AK1515" i="2" s="1"/>
  <c r="AJ1523" i="2" l="1"/>
  <c r="AJ1536" i="2"/>
  <c r="AJ1535" i="2"/>
  <c r="AJ1540" i="2" s="1"/>
  <c r="AJ1547" i="2"/>
  <c r="AJ1559" i="2"/>
  <c r="AJ1548" i="2"/>
  <c r="AL1557" i="2"/>
  <c r="AJ1549" i="2" l="1"/>
  <c r="AJ1554" i="2" s="1"/>
  <c r="AJ1550" i="2"/>
  <c r="AL1571" i="2"/>
  <c r="AJ1573" i="2"/>
  <c r="AJ1562" i="2"/>
  <c r="AJ1561" i="2"/>
  <c r="AJ1524" i="2"/>
  <c r="AJ1525" i="2" s="1"/>
  <c r="AJ1528" i="2" s="1"/>
  <c r="AK1529" i="2" s="1"/>
  <c r="AJ1537" i="2"/>
  <c r="AJ1538" i="2" l="1"/>
  <c r="AJ1539" i="2" s="1"/>
  <c r="AJ1542" i="2" s="1"/>
  <c r="AK1543" i="2" s="1"/>
  <c r="AJ1564" i="2"/>
  <c r="AJ1563" i="2"/>
  <c r="AJ1568" i="2" s="1"/>
  <c r="AJ1551" i="2"/>
  <c r="AJ1552" i="2" s="1"/>
  <c r="AJ1553" i="2" s="1"/>
  <c r="AJ1556" i="2" s="1"/>
  <c r="AK1557" i="2" s="1"/>
  <c r="AJ1575" i="2"/>
  <c r="AJ1587" i="2"/>
  <c r="AJ1576" i="2"/>
  <c r="AL1585" i="2"/>
  <c r="AJ1577" i="2" l="1"/>
  <c r="AJ1582" i="2" s="1"/>
  <c r="AJ1578" i="2"/>
  <c r="AJ1565" i="2"/>
  <c r="AJ1566" i="2" s="1"/>
  <c r="AJ1567" i="2" s="1"/>
  <c r="AJ1570" i="2" s="1"/>
  <c r="AK1571" i="2" s="1"/>
  <c r="AL1599" i="2"/>
  <c r="AJ1589" i="2"/>
  <c r="AJ1590" i="2"/>
  <c r="AJ1601" i="2"/>
  <c r="AJ1615" i="2" l="1"/>
  <c r="AL1613" i="2"/>
  <c r="AJ1603" i="2"/>
  <c r="AJ1604" i="2"/>
  <c r="AJ1592" i="2"/>
  <c r="AJ1591" i="2"/>
  <c r="AJ1596" i="2" s="1"/>
  <c r="AJ1579" i="2"/>
  <c r="AJ1580" i="2" s="1"/>
  <c r="AJ1581" i="2" s="1"/>
  <c r="AJ1584" i="2" s="1"/>
  <c r="AK1585" i="2" s="1"/>
  <c r="AL1627" i="2" l="1"/>
  <c r="AJ1617" i="2"/>
  <c r="AJ1618" i="2"/>
  <c r="AJ1629" i="2"/>
  <c r="AJ1605" i="2"/>
  <c r="AJ1610" i="2" s="1"/>
  <c r="AJ1606" i="2"/>
  <c r="AJ1593" i="2"/>
  <c r="AJ1619" i="2" l="1"/>
  <c r="AJ1624" i="2" s="1"/>
  <c r="AJ1620" i="2"/>
  <c r="AJ1607" i="2"/>
  <c r="AJ1594" i="2"/>
  <c r="AJ1595" i="2" s="1"/>
  <c r="AJ1598" i="2" s="1"/>
  <c r="AK1599" i="2" s="1"/>
  <c r="AJ1631" i="2"/>
  <c r="AJ1643" i="2"/>
  <c r="AJ1632" i="2"/>
  <c r="AL1641" i="2"/>
  <c r="AJ1621" i="2" l="1"/>
  <c r="AJ1622" i="2" s="1"/>
  <c r="AJ1623" i="2" s="1"/>
  <c r="AJ1626" i="2" s="1"/>
  <c r="AK1627" i="2" s="1"/>
  <c r="AJ1633" i="2"/>
  <c r="AJ1638" i="2" s="1"/>
  <c r="AJ1634" i="2"/>
  <c r="AJ1646" i="2"/>
  <c r="AJ1645" i="2"/>
  <c r="AL1655" i="2"/>
  <c r="AJ1657" i="2"/>
  <c r="AJ1608" i="2"/>
  <c r="AJ1609" i="2" s="1"/>
  <c r="AJ1612" i="2" s="1"/>
  <c r="AK1613" i="2" s="1"/>
  <c r="AJ1648" i="2" l="1"/>
  <c r="AJ1647" i="2"/>
  <c r="AJ1652" i="2" s="1"/>
  <c r="AL1669" i="2"/>
  <c r="AJ1659" i="2"/>
  <c r="AJ1660" i="2"/>
  <c r="AJ1671" i="2"/>
  <c r="AJ1635" i="2"/>
  <c r="AJ1636" i="2" s="1"/>
  <c r="AJ1637" i="2" s="1"/>
  <c r="AJ1640" i="2" s="1"/>
  <c r="AK1641" i="2" s="1"/>
  <c r="AJ1685" i="2" l="1"/>
  <c r="AJ1674" i="2"/>
  <c r="AL1683" i="2"/>
  <c r="AJ1673" i="2"/>
  <c r="AJ1649" i="2"/>
  <c r="AJ1661" i="2"/>
  <c r="AJ1666" i="2" s="1"/>
  <c r="AJ1662" i="2"/>
  <c r="AL1697" i="2" l="1"/>
  <c r="AJ1699" i="2"/>
  <c r="AJ1688" i="2"/>
  <c r="AJ1687" i="2"/>
  <c r="AJ1650" i="2"/>
  <c r="AJ1651" i="2" s="1"/>
  <c r="AJ1654" i="2" s="1"/>
  <c r="AK1655" i="2" s="1"/>
  <c r="AJ1663" i="2"/>
  <c r="AJ1664" i="2" s="1"/>
  <c r="AJ1665" i="2" s="1"/>
  <c r="AJ1668" i="2" s="1"/>
  <c r="AK1669" i="2" s="1"/>
  <c r="AJ1676" i="2"/>
  <c r="AJ1675" i="2"/>
  <c r="AJ1680" i="2" s="1"/>
  <c r="AL1711" i="2" l="1"/>
  <c r="AJ1701" i="2"/>
  <c r="AJ1713" i="2"/>
  <c r="AJ1702" i="2"/>
  <c r="AJ1677" i="2"/>
  <c r="AJ1678" i="2" s="1"/>
  <c r="AJ1679" i="2" s="1"/>
  <c r="AJ1682" i="2" s="1"/>
  <c r="AK1683" i="2" s="1"/>
  <c r="AJ1690" i="2"/>
  <c r="AJ1689" i="2"/>
  <c r="AJ1694" i="2" s="1"/>
  <c r="AJ1703" i="2" l="1"/>
  <c r="AJ1708" i="2" s="1"/>
  <c r="AJ1704" i="2"/>
  <c r="AJ1691" i="2"/>
  <c r="AL1725" i="2"/>
  <c r="AJ1727" i="2"/>
  <c r="AJ1716" i="2"/>
  <c r="AJ1715" i="2"/>
  <c r="AJ1730" i="2" l="1"/>
  <c r="AJ1729" i="2"/>
  <c r="AJ1741" i="2"/>
  <c r="AL1739" i="2"/>
  <c r="AJ1692" i="2"/>
  <c r="AJ1693" i="2" s="1"/>
  <c r="AJ1696" i="2" s="1"/>
  <c r="AK1697" i="2" s="1"/>
  <c r="AJ1705" i="2"/>
  <c r="AJ1706" i="2" s="1"/>
  <c r="AJ1707" i="2" s="1"/>
  <c r="AJ1710" i="2" s="1"/>
  <c r="AK1711" i="2" s="1"/>
  <c r="AJ1717" i="2"/>
  <c r="AJ1722" i="2" s="1"/>
  <c r="AJ1718" i="2"/>
  <c r="AJ1719" i="2" l="1"/>
  <c r="AJ1743" i="2"/>
  <c r="AL1753" i="2"/>
  <c r="AJ1755" i="2"/>
  <c r="AJ1744" i="2"/>
  <c r="AJ1731" i="2"/>
  <c r="AJ1736" i="2" s="1"/>
  <c r="AJ1732" i="2"/>
  <c r="AJ1733" i="2" l="1"/>
  <c r="AL1767" i="2"/>
  <c r="AJ1769" i="2"/>
  <c r="AJ1758" i="2"/>
  <c r="AJ1757" i="2"/>
  <c r="AJ1720" i="2"/>
  <c r="AJ1721" i="2" s="1"/>
  <c r="AJ1724" i="2" s="1"/>
  <c r="AK1725" i="2" s="1"/>
  <c r="AJ1746" i="2"/>
  <c r="AJ1745" i="2"/>
  <c r="AJ1750" i="2" s="1"/>
  <c r="AJ1734" i="2" l="1"/>
  <c r="AJ1735" i="2" s="1"/>
  <c r="AJ1738" i="2" s="1"/>
  <c r="AK1739" i="2" s="1"/>
  <c r="AJ1747" i="2"/>
  <c r="AJ1759" i="2"/>
  <c r="AJ1764" i="2" s="1"/>
  <c r="AJ1760" i="2"/>
  <c r="AJ1772" i="2"/>
  <c r="AJ1771" i="2"/>
  <c r="AL1781" i="2"/>
  <c r="AJ1783" i="2"/>
  <c r="AJ1773" i="2" l="1"/>
  <c r="AJ1778" i="2" s="1"/>
  <c r="AJ1774" i="2"/>
  <c r="AJ1748" i="2"/>
  <c r="AJ1749" i="2" s="1"/>
  <c r="AJ1752" i="2" s="1"/>
  <c r="AK1753" i="2" s="1"/>
  <c r="AJ1761" i="2"/>
  <c r="AJ1797" i="2"/>
  <c r="AJ1786" i="2"/>
  <c r="AL1795" i="2"/>
  <c r="AJ1785" i="2"/>
  <c r="AJ1787" i="2" l="1"/>
  <c r="AJ1792" i="2" s="1"/>
  <c r="AJ1788" i="2"/>
  <c r="AJ1762" i="2"/>
  <c r="AJ1763" i="2" s="1"/>
  <c r="AJ1766" i="2" s="1"/>
  <c r="AK1767" i="2" s="1"/>
  <c r="AJ1775" i="2"/>
  <c r="AJ1799" i="2"/>
  <c r="AJ1800" i="2"/>
  <c r="AL1809" i="2"/>
  <c r="AJ1811" i="2"/>
  <c r="AJ1825" i="2" l="1"/>
  <c r="AL1823" i="2"/>
  <c r="AJ1814" i="2"/>
  <c r="AJ1813" i="2"/>
  <c r="AJ1776" i="2"/>
  <c r="AJ1777" i="2" s="1"/>
  <c r="AJ1780" i="2" s="1"/>
  <c r="AK1781" i="2" s="1"/>
  <c r="AJ1789" i="2"/>
  <c r="AJ1801" i="2"/>
  <c r="AJ1806" i="2" s="1"/>
  <c r="AJ1802" i="2"/>
  <c r="AJ1803" i="2" l="1"/>
  <c r="AL1837" i="2"/>
  <c r="AJ1828" i="2"/>
  <c r="AJ1839" i="2"/>
  <c r="AJ1827" i="2"/>
  <c r="AJ1790" i="2"/>
  <c r="AJ1791" i="2" s="1"/>
  <c r="AJ1794" i="2" s="1"/>
  <c r="AK1795" i="2" s="1"/>
  <c r="AJ1816" i="2"/>
  <c r="AJ1815" i="2"/>
  <c r="AJ1820" i="2" s="1"/>
  <c r="AJ1817" i="2" l="1"/>
  <c r="AJ1841" i="2"/>
  <c r="AJ1842" i="2"/>
  <c r="AJ1853" i="2"/>
  <c r="AL1851" i="2"/>
  <c r="AJ1804" i="2"/>
  <c r="AJ1805" i="2" s="1"/>
  <c r="AJ1808" i="2" s="1"/>
  <c r="AK1809" i="2" s="1"/>
  <c r="AJ1829" i="2"/>
  <c r="AJ1834" i="2" s="1"/>
  <c r="AJ1830" i="2"/>
  <c r="AJ1856" i="2" l="1"/>
  <c r="AJ1867" i="2"/>
  <c r="AL1865" i="2"/>
  <c r="AJ1855" i="2"/>
  <c r="AJ1818" i="2"/>
  <c r="AJ1819" i="2" s="1"/>
  <c r="AJ1822" i="2" s="1"/>
  <c r="AK1823" i="2" s="1"/>
  <c r="AJ1844" i="2"/>
  <c r="AJ1843" i="2"/>
  <c r="AJ1848" i="2" s="1"/>
  <c r="AJ1831" i="2"/>
  <c r="AJ1832" i="2" l="1"/>
  <c r="AJ1833" i="2" s="1"/>
  <c r="AJ1836" i="2" s="1"/>
  <c r="AK1837" i="2" s="1"/>
  <c r="AJ1869" i="2"/>
  <c r="AJ1881" i="2"/>
  <c r="AL1879" i="2"/>
  <c r="AJ1870" i="2"/>
  <c r="AJ1845" i="2"/>
  <c r="AJ1857" i="2"/>
  <c r="AJ1862" i="2" s="1"/>
  <c r="AJ1858" i="2"/>
  <c r="AJ1859" i="2" l="1"/>
  <c r="AJ1872" i="2"/>
  <c r="AJ1871" i="2"/>
  <c r="AJ1876" i="2" s="1"/>
  <c r="AJ1846" i="2"/>
  <c r="AJ1847" i="2" s="1"/>
  <c r="AJ1850" i="2" s="1"/>
  <c r="AK1851" i="2" s="1"/>
  <c r="AL1893" i="2"/>
  <c r="AJ1883" i="2"/>
  <c r="AJ1884" i="2"/>
  <c r="AJ1895" i="2"/>
  <c r="AJ1898" i="2" l="1"/>
  <c r="AL1907" i="2"/>
  <c r="AJ1909" i="2"/>
  <c r="AJ1897" i="2"/>
  <c r="AJ1860" i="2"/>
  <c r="AJ1861" i="2" s="1"/>
  <c r="AJ1864" i="2" s="1"/>
  <c r="AK1865" i="2" s="1"/>
  <c r="AJ1873" i="2"/>
  <c r="AJ1885" i="2"/>
  <c r="AJ1890" i="2" s="1"/>
  <c r="AJ1886" i="2"/>
  <c r="AJ1887" i="2" l="1"/>
  <c r="AJ1874" i="2"/>
  <c r="AJ1875" i="2" s="1"/>
  <c r="AJ1878" i="2" s="1"/>
  <c r="AK1879" i="2" s="1"/>
  <c r="AJ1911" i="2"/>
  <c r="AJ1923" i="2"/>
  <c r="AL1921" i="2"/>
  <c r="AJ1912" i="2"/>
  <c r="AJ1899" i="2"/>
  <c r="AJ1904" i="2" s="1"/>
  <c r="AJ1900" i="2"/>
  <c r="AJ1937" i="2" l="1"/>
  <c r="AL1935" i="2"/>
  <c r="AJ1926" i="2"/>
  <c r="AJ1925" i="2"/>
  <c r="AJ1901" i="2"/>
  <c r="AJ1914" i="2"/>
  <c r="AJ1913" i="2"/>
  <c r="AJ1918" i="2" s="1"/>
  <c r="AJ1888" i="2"/>
  <c r="AJ1889" i="2" s="1"/>
  <c r="AJ1892" i="2" s="1"/>
  <c r="AK1893" i="2" s="1"/>
  <c r="AJ1940" i="2" l="1"/>
  <c r="AJ1939" i="2"/>
  <c r="AJ1951" i="2"/>
  <c r="AL1949" i="2"/>
  <c r="AJ1915" i="2"/>
  <c r="AJ1902" i="2"/>
  <c r="AJ1903" i="2" s="1"/>
  <c r="AJ1906" i="2" s="1"/>
  <c r="AK1907" i="2" s="1"/>
  <c r="AJ1927" i="2"/>
  <c r="AJ1932" i="2" s="1"/>
  <c r="AJ1928" i="2"/>
  <c r="AJ1929" i="2" l="1"/>
  <c r="AJ1916" i="2"/>
  <c r="AJ1917" i="2" s="1"/>
  <c r="AJ1920" i="2" s="1"/>
  <c r="AK1921" i="2" s="1"/>
  <c r="AL1963" i="2"/>
  <c r="AJ1953" i="2"/>
  <c r="AJ1954" i="2"/>
  <c r="AJ1965" i="2"/>
  <c r="AJ1941" i="2"/>
  <c r="AJ1946" i="2" s="1"/>
  <c r="AJ1942" i="2"/>
  <c r="AJ1943" i="2" l="1"/>
  <c r="AJ1955" i="2"/>
  <c r="AJ1960" i="2" s="1"/>
  <c r="AJ1956" i="2"/>
  <c r="AJ1930" i="2"/>
  <c r="AJ1931" i="2" s="1"/>
  <c r="AJ1934" i="2" s="1"/>
  <c r="AK1935" i="2" s="1"/>
  <c r="AJ1967" i="2"/>
  <c r="AL1977" i="2"/>
  <c r="AJ1968" i="2"/>
  <c r="AJ1979" i="2"/>
  <c r="AJ1944" i="2" l="1"/>
  <c r="AJ1945" i="2" s="1"/>
  <c r="AJ1948" i="2" s="1"/>
  <c r="AK1949" i="2" s="1"/>
  <c r="AJ1993" i="2"/>
  <c r="AL1991" i="2"/>
  <c r="AJ1982" i="2"/>
  <c r="AJ1981" i="2"/>
  <c r="AJ1969" i="2"/>
  <c r="AJ1974" i="2" s="1"/>
  <c r="AJ1970" i="2"/>
  <c r="AJ1957" i="2"/>
  <c r="AJ1958" i="2" l="1"/>
  <c r="AJ1959" i="2" s="1"/>
  <c r="AJ1962" i="2" s="1"/>
  <c r="AK1963" i="2" s="1"/>
  <c r="AJ1984" i="2"/>
  <c r="AJ1983" i="2"/>
  <c r="AJ1988" i="2" s="1"/>
  <c r="AL2005" i="2"/>
  <c r="AJ2007" i="2"/>
  <c r="AJ1995" i="2"/>
  <c r="AJ1996" i="2"/>
  <c r="AJ1971" i="2"/>
  <c r="AJ1972" i="2" l="1"/>
  <c r="AJ1973" i="2" s="1"/>
  <c r="AJ1976" i="2" s="1"/>
  <c r="AK1977" i="2" s="1"/>
  <c r="AJ1998" i="2"/>
  <c r="AJ1997" i="2"/>
  <c r="AJ2002" i="2" s="1"/>
  <c r="AJ1985" i="2"/>
  <c r="AJ2009" i="2"/>
  <c r="AJ2010" i="2"/>
  <c r="AL2019" i="2"/>
  <c r="AJ2021" i="2"/>
  <c r="AJ2035" i="2" l="1"/>
  <c r="AL2033" i="2"/>
  <c r="AJ2024" i="2"/>
  <c r="AJ2023" i="2"/>
  <c r="AJ1986" i="2"/>
  <c r="AJ1987" i="2" s="1"/>
  <c r="AJ1990" i="2" s="1"/>
  <c r="AK1991" i="2" s="1"/>
  <c r="AJ2012" i="2"/>
  <c r="AJ2011" i="2"/>
  <c r="AJ2016" i="2" s="1"/>
  <c r="AJ1999" i="2"/>
  <c r="AJ2038" i="2" l="1"/>
  <c r="AJ2049" i="2"/>
  <c r="AL2047" i="2"/>
  <c r="AJ2037" i="2"/>
  <c r="AJ2000" i="2"/>
  <c r="AJ2001" i="2" s="1"/>
  <c r="AJ2004" i="2" s="1"/>
  <c r="AK2005" i="2" s="1"/>
  <c r="AJ2013" i="2"/>
  <c r="AJ2026" i="2"/>
  <c r="AJ2025" i="2"/>
  <c r="AJ2030" i="2" s="1"/>
  <c r="AL2061" i="2" l="1"/>
  <c r="AJ2052" i="2"/>
  <c r="AJ2051" i="2"/>
  <c r="AJ2063" i="2"/>
  <c r="AJ2027" i="2"/>
  <c r="AJ2014" i="2"/>
  <c r="AJ2015" i="2" s="1"/>
  <c r="AJ2018" i="2" s="1"/>
  <c r="AK2019" i="2" s="1"/>
  <c r="AJ2040" i="2"/>
  <c r="AJ2039" i="2"/>
  <c r="AJ2044" i="2" s="1"/>
  <c r="AJ2041" i="2" l="1"/>
  <c r="AJ2028" i="2"/>
  <c r="AJ2029" i="2" s="1"/>
  <c r="AJ2032" i="2" s="1"/>
  <c r="AK2033" i="2" s="1"/>
  <c r="AJ2053" i="2"/>
  <c r="AJ2058" i="2" s="1"/>
  <c r="AJ2054" i="2"/>
  <c r="AJ2066" i="2"/>
  <c r="AL2075" i="2"/>
  <c r="AJ2077" i="2"/>
  <c r="AJ2065" i="2"/>
  <c r="AL2089" i="2" l="1"/>
  <c r="AJ2080" i="2"/>
  <c r="AJ2091" i="2"/>
  <c r="AJ2079" i="2"/>
  <c r="AJ2067" i="2"/>
  <c r="AJ2072" i="2" s="1"/>
  <c r="AJ2068" i="2"/>
  <c r="AJ2055" i="2"/>
  <c r="AJ2042" i="2"/>
  <c r="AJ2043" i="2" s="1"/>
  <c r="AJ2046" i="2" s="1"/>
  <c r="AK2047" i="2" s="1"/>
  <c r="AJ2069" i="2" l="1"/>
  <c r="AJ2056" i="2"/>
  <c r="AJ2057" i="2" s="1"/>
  <c r="AJ2060" i="2" s="1"/>
  <c r="AK2061" i="2" s="1"/>
  <c r="AJ2093" i="2"/>
  <c r="AJ2105" i="2"/>
  <c r="AJ2094" i="2"/>
  <c r="AL2103" i="2"/>
  <c r="AJ2082" i="2"/>
  <c r="AJ2081" i="2"/>
  <c r="AJ2086" i="2" s="1"/>
  <c r="AJ2083" i="2" l="1"/>
  <c r="AJ2070" i="2"/>
  <c r="AJ2071" i="2" s="1"/>
  <c r="AJ2074" i="2" s="1"/>
  <c r="AK2075" i="2" s="1"/>
  <c r="AJ2096" i="2"/>
  <c r="AJ2095" i="2"/>
  <c r="AJ2100" i="2" s="1"/>
  <c r="AJ2107" i="2"/>
  <c r="AJ2108" i="2"/>
  <c r="AJ2119" i="2"/>
  <c r="AL2117" i="2"/>
  <c r="AL2131" i="2" l="1"/>
  <c r="AJ2133" i="2"/>
  <c r="AJ2122" i="2"/>
  <c r="AJ2121" i="2"/>
  <c r="AJ2097" i="2"/>
  <c r="AJ2084" i="2"/>
  <c r="AJ2085" i="2" s="1"/>
  <c r="AJ2088" i="2" s="1"/>
  <c r="AK2089" i="2" s="1"/>
  <c r="AJ2110" i="2"/>
  <c r="AJ2109" i="2"/>
  <c r="AJ2114" i="2" s="1"/>
  <c r="AJ2098" i="2" l="1"/>
  <c r="AJ2099" i="2" s="1"/>
  <c r="AJ2102" i="2" s="1"/>
  <c r="AK2103" i="2" s="1"/>
  <c r="AJ2111" i="2"/>
  <c r="AJ2136" i="2"/>
  <c r="AJ2135" i="2"/>
  <c r="AL2145" i="2"/>
  <c r="AJ2147" i="2"/>
  <c r="AJ2123" i="2"/>
  <c r="AJ2128" i="2" s="1"/>
  <c r="AJ2124" i="2"/>
  <c r="AJ2137" i="2" l="1"/>
  <c r="AJ2142" i="2" s="1"/>
  <c r="AJ2138" i="2"/>
  <c r="AJ2112" i="2"/>
  <c r="AJ2113" i="2" s="1"/>
  <c r="AJ2116" i="2" s="1"/>
  <c r="AK2117" i="2" s="1"/>
  <c r="AJ2125" i="2"/>
  <c r="AJ2161" i="2"/>
  <c r="AL2159" i="2"/>
  <c r="AJ2149" i="2"/>
  <c r="AJ2150" i="2"/>
  <c r="AJ2152" i="2" l="1"/>
  <c r="AJ2151" i="2"/>
  <c r="AJ2156" i="2" s="1"/>
  <c r="AJ2126" i="2"/>
  <c r="AJ2127" i="2" s="1"/>
  <c r="AJ2130" i="2" s="1"/>
  <c r="AK2131" i="2" s="1"/>
  <c r="AJ2139" i="2"/>
  <c r="AJ2164" i="2"/>
  <c r="AL2173" i="2"/>
  <c r="AJ2175" i="2"/>
  <c r="AJ2163" i="2"/>
  <c r="AJ2140" i="2" l="1"/>
  <c r="AJ2141" i="2" s="1"/>
  <c r="AJ2144" i="2" s="1"/>
  <c r="AK2145" i="2" s="1"/>
  <c r="AJ2178" i="2"/>
  <c r="AJ2177" i="2"/>
  <c r="AJ2189" i="2"/>
  <c r="AL2187" i="2"/>
  <c r="AJ2153" i="2"/>
  <c r="AJ2165" i="2"/>
  <c r="AJ2170" i="2" s="1"/>
  <c r="AJ2166" i="2"/>
  <c r="AJ2154" i="2" l="1"/>
  <c r="AJ2155" i="2" s="1"/>
  <c r="AJ2158" i="2" s="1"/>
  <c r="AK2159" i="2" s="1"/>
  <c r="AJ2192" i="2"/>
  <c r="AJ2203" i="2"/>
  <c r="AL2201" i="2"/>
  <c r="AJ2191" i="2"/>
  <c r="AJ2167" i="2"/>
  <c r="AJ2180" i="2"/>
  <c r="AJ2179" i="2"/>
  <c r="AJ2184" i="2" s="1"/>
  <c r="AJ2168" i="2" l="1"/>
  <c r="AJ2169" i="2" s="1"/>
  <c r="AJ2172" i="2" s="1"/>
  <c r="AK2173" i="2" s="1"/>
  <c r="AJ2193" i="2"/>
  <c r="AJ2198" i="2" s="1"/>
  <c r="AJ2194" i="2"/>
  <c r="AJ2181" i="2"/>
  <c r="AJ2205" i="2"/>
  <c r="AJ2206" i="2"/>
  <c r="AL2215" i="2"/>
  <c r="AJ2217" i="2"/>
  <c r="AL2229" i="2" l="1"/>
  <c r="AJ2231" i="2"/>
  <c r="AJ2220" i="2"/>
  <c r="AJ2219" i="2"/>
  <c r="AJ2182" i="2"/>
  <c r="AJ2183" i="2" s="1"/>
  <c r="AJ2186" i="2" s="1"/>
  <c r="AK2187" i="2" s="1"/>
  <c r="AJ2207" i="2"/>
  <c r="AJ2212" i="2" s="1"/>
  <c r="AJ2208" i="2"/>
  <c r="AJ2195" i="2"/>
  <c r="AJ2233" i="2" l="1"/>
  <c r="AJ2245" i="2"/>
  <c r="AJ2234" i="2"/>
  <c r="AL2243" i="2"/>
  <c r="AJ2196" i="2"/>
  <c r="AJ2197" i="2" s="1"/>
  <c r="AJ2200" i="2" s="1"/>
  <c r="AK2201" i="2" s="1"/>
  <c r="AJ2209" i="2"/>
  <c r="AJ2221" i="2"/>
  <c r="AJ2226" i="2" s="1"/>
  <c r="AJ2222" i="2"/>
  <c r="AJ2223" i="2" l="1"/>
  <c r="AJ2210" i="2"/>
  <c r="AJ2211" i="2" s="1"/>
  <c r="AJ2214" i="2" s="1"/>
  <c r="AK2215" i="2" s="1"/>
  <c r="AJ2235" i="2"/>
  <c r="AJ2240" i="2" s="1"/>
  <c r="AJ2236" i="2"/>
  <c r="AJ2259" i="2"/>
  <c r="AJ2247" i="2"/>
  <c r="AJ2248" i="2"/>
  <c r="AL2257" i="2"/>
  <c r="AJ2237" i="2" l="1"/>
  <c r="AJ2224" i="2"/>
  <c r="AJ2225" i="2" s="1"/>
  <c r="AJ2228" i="2" s="1"/>
  <c r="AK2229" i="2" s="1"/>
  <c r="AL2271" i="2"/>
  <c r="AJ2261" i="2"/>
  <c r="AJ2273" i="2"/>
  <c r="AJ2262" i="2"/>
  <c r="AJ2250" i="2"/>
  <c r="AJ2249" i="2"/>
  <c r="AJ2254" i="2" s="1"/>
  <c r="AJ2238" i="2" l="1"/>
  <c r="AJ2239" i="2" s="1"/>
  <c r="AJ2242" i="2" s="1"/>
  <c r="AK2243" i="2" s="1"/>
  <c r="AJ2264" i="2"/>
  <c r="AJ2263" i="2"/>
  <c r="AJ2268" i="2" s="1"/>
  <c r="AJ2251" i="2"/>
  <c r="AL2285" i="2"/>
  <c r="AJ2287" i="2"/>
  <c r="AJ2275" i="2"/>
  <c r="AJ2276" i="2"/>
  <c r="AJ2278" i="2" l="1"/>
  <c r="AJ2277" i="2"/>
  <c r="AJ2282" i="2" s="1"/>
  <c r="AJ2252" i="2"/>
  <c r="AJ2253" i="2" s="1"/>
  <c r="AJ2256" i="2" s="1"/>
  <c r="AK2257" i="2" s="1"/>
  <c r="AJ2265" i="2"/>
  <c r="AL2299" i="2"/>
  <c r="AJ2301" i="2"/>
  <c r="AJ2290" i="2"/>
  <c r="AJ2289" i="2"/>
  <c r="AJ2291" i="2" l="1"/>
  <c r="AJ2296" i="2" s="1"/>
  <c r="AJ2292" i="2"/>
  <c r="AL2313" i="2"/>
  <c r="AJ2304" i="2"/>
  <c r="AJ2303" i="2"/>
  <c r="AJ2315" i="2"/>
  <c r="AJ2266" i="2"/>
  <c r="AJ2267" i="2" s="1"/>
  <c r="AJ2270" i="2" s="1"/>
  <c r="AK2271" i="2" s="1"/>
  <c r="AJ2279" i="2"/>
  <c r="AJ2280" i="2" l="1"/>
  <c r="AJ2281" i="2" s="1"/>
  <c r="AJ2284" i="2" s="1"/>
  <c r="AK2285" i="2" s="1"/>
  <c r="AJ2305" i="2"/>
  <c r="AJ2310" i="2" s="1"/>
  <c r="AJ2306" i="2"/>
  <c r="AJ2318" i="2"/>
  <c r="AJ2329" i="2"/>
  <c r="AL2327" i="2"/>
  <c r="AJ2317" i="2"/>
  <c r="AJ2293" i="2"/>
  <c r="AJ2332" i="2" l="1"/>
  <c r="AJ2331" i="2"/>
  <c r="AL2341" i="2"/>
  <c r="AJ2343" i="2"/>
  <c r="AJ2294" i="2"/>
  <c r="AJ2295" i="2" s="1"/>
  <c r="AJ2298" i="2" s="1"/>
  <c r="AK2299" i="2" s="1"/>
  <c r="AJ2319" i="2"/>
  <c r="AJ2324" i="2" s="1"/>
  <c r="AJ2320" i="2"/>
  <c r="AJ2307" i="2"/>
  <c r="AJ2308" i="2" l="1"/>
  <c r="AJ2309" i="2" s="1"/>
  <c r="AJ2312" i="2" s="1"/>
  <c r="AK2313" i="2" s="1"/>
  <c r="AJ2334" i="2"/>
  <c r="AJ2333" i="2"/>
  <c r="AJ2338" i="2" s="1"/>
  <c r="AJ2321" i="2"/>
  <c r="AJ2357" i="2"/>
  <c r="AJ2345" i="2"/>
  <c r="AJ2346" i="2"/>
  <c r="AL2355" i="2"/>
  <c r="AJ2371" i="2" l="1"/>
  <c r="AJ2360" i="2"/>
  <c r="AL2369" i="2"/>
  <c r="AJ2359" i="2"/>
  <c r="AJ2335" i="2"/>
  <c r="AJ2322" i="2"/>
  <c r="AJ2323" i="2" s="1"/>
  <c r="AJ2326" i="2" s="1"/>
  <c r="AK2327" i="2" s="1"/>
  <c r="AJ2347" i="2"/>
  <c r="AJ2352" i="2" s="1"/>
  <c r="AJ2348" i="2"/>
  <c r="AL2383" i="2" l="1"/>
  <c r="AJ2373" i="2"/>
  <c r="AJ2374" i="2"/>
  <c r="AJ2385" i="2"/>
  <c r="AJ2361" i="2"/>
  <c r="AJ2366" i="2" s="1"/>
  <c r="AJ2362" i="2"/>
  <c r="AJ2349" i="2"/>
  <c r="AJ2336" i="2"/>
  <c r="AJ2337" i="2" s="1"/>
  <c r="AJ2340" i="2" s="1"/>
  <c r="AK2341" i="2" s="1"/>
  <c r="AJ2375" i="2" l="1"/>
  <c r="AJ2380" i="2" s="1"/>
  <c r="AJ2376" i="2"/>
  <c r="AJ2363" i="2"/>
  <c r="AJ2350" i="2"/>
  <c r="AJ2351" i="2" s="1"/>
  <c r="AJ2354" i="2" s="1"/>
  <c r="AK2355" i="2" s="1"/>
  <c r="AJ2387" i="2"/>
  <c r="AJ2399" i="2"/>
  <c r="AJ2388" i="2"/>
  <c r="AL2397" i="2"/>
  <c r="AJ2401" i="2" l="1"/>
  <c r="AJ2413" i="2"/>
  <c r="AL2411" i="2"/>
  <c r="AJ2402" i="2"/>
  <c r="AJ2364" i="2"/>
  <c r="AJ2365" i="2" s="1"/>
  <c r="AJ2368" i="2" s="1"/>
  <c r="AK2369" i="2" s="1"/>
  <c r="AJ2377" i="2"/>
  <c r="AJ2389" i="2"/>
  <c r="AJ2394" i="2" s="1"/>
  <c r="AJ2390" i="2"/>
  <c r="AJ2404" i="2" l="1"/>
  <c r="AJ2403" i="2"/>
  <c r="AJ2408" i="2" s="1"/>
  <c r="AJ2391" i="2"/>
  <c r="AL2425" i="2"/>
  <c r="AJ2416" i="2"/>
  <c r="AJ2415" i="2"/>
  <c r="AJ2427" i="2"/>
  <c r="AJ2378" i="2"/>
  <c r="AJ2379" i="2" s="1"/>
  <c r="AJ2382" i="2" s="1"/>
  <c r="AK2383" i="2" s="1"/>
  <c r="AJ2405" i="2" l="1"/>
  <c r="AJ2417" i="2"/>
  <c r="AJ2422" i="2" s="1"/>
  <c r="AJ2418" i="2"/>
  <c r="AJ2430" i="2"/>
  <c r="AL2439" i="2"/>
  <c r="AJ2429" i="2"/>
  <c r="AJ2441" i="2"/>
  <c r="AJ2392" i="2"/>
  <c r="AJ2393" i="2" s="1"/>
  <c r="AJ2396" i="2" s="1"/>
  <c r="AK2397" i="2" s="1"/>
  <c r="AJ2406" i="2" l="1"/>
  <c r="AJ2407" i="2" s="1"/>
  <c r="AJ2410" i="2" s="1"/>
  <c r="AK2411" i="2" s="1"/>
  <c r="AJ2432" i="2"/>
  <c r="AJ2431" i="2"/>
  <c r="AJ2436" i="2" s="1"/>
  <c r="AJ2444" i="2"/>
  <c r="AJ2443" i="2"/>
  <c r="AL2453" i="2"/>
  <c r="AJ2455" i="2"/>
  <c r="AJ2419" i="2"/>
  <c r="AJ2420" i="2" l="1"/>
  <c r="AJ2421" i="2" s="1"/>
  <c r="AJ2424" i="2" s="1"/>
  <c r="AK2425" i="2" s="1"/>
  <c r="AJ2446" i="2"/>
  <c r="AJ2445" i="2"/>
  <c r="AJ2450" i="2" s="1"/>
  <c r="AJ2433" i="2"/>
  <c r="AJ2469" i="2"/>
  <c r="AJ2457" i="2"/>
  <c r="AJ2458" i="2"/>
  <c r="AL2467" i="2"/>
  <c r="AJ2459" i="2" l="1"/>
  <c r="AJ2464" i="2" s="1"/>
  <c r="AJ2460" i="2"/>
  <c r="AJ2434" i="2"/>
  <c r="AJ2435" i="2" s="1"/>
  <c r="AJ2438" i="2" s="1"/>
  <c r="AK2439" i="2" s="1"/>
  <c r="AJ2483" i="2"/>
  <c r="AL2481" i="2"/>
  <c r="AJ2471" i="2"/>
  <c r="AJ2472" i="2"/>
  <c r="AJ2447" i="2"/>
  <c r="AJ2448" i="2" l="1"/>
  <c r="AJ2449" i="2" s="1"/>
  <c r="AJ2452" i="2" s="1"/>
  <c r="AK2453" i="2" s="1"/>
  <c r="AJ2497" i="2"/>
  <c r="AJ2486" i="2"/>
  <c r="AL2495" i="2"/>
  <c r="AJ2485" i="2"/>
  <c r="AJ2461" i="2"/>
  <c r="AJ2474" i="2"/>
  <c r="AJ2473" i="2"/>
  <c r="AJ2478" i="2" s="1"/>
  <c r="AJ2462" i="2" l="1"/>
  <c r="AJ2463" i="2" s="1"/>
  <c r="AJ2466" i="2" s="1"/>
  <c r="AK2467" i="2" s="1"/>
  <c r="AJ2511" i="2"/>
  <c r="AJ2499" i="2"/>
  <c r="AL2509" i="2"/>
  <c r="AJ2500" i="2"/>
  <c r="AJ2475" i="2"/>
  <c r="AJ2487" i="2"/>
  <c r="AJ2492" i="2" s="1"/>
  <c r="AJ2488" i="2"/>
  <c r="AJ2502" i="2" l="1"/>
  <c r="AJ2501" i="2"/>
  <c r="AJ2506" i="2" s="1"/>
  <c r="AJ2476" i="2"/>
  <c r="AJ2477" i="2" s="1"/>
  <c r="AJ2480" i="2" s="1"/>
  <c r="AK2481" i="2" s="1"/>
  <c r="AJ2489" i="2"/>
  <c r="AJ2525" i="2"/>
  <c r="AL2523" i="2"/>
  <c r="AJ2513" i="2"/>
  <c r="AJ2514" i="2"/>
  <c r="AJ2515" i="2" l="1"/>
  <c r="AJ2520" i="2" s="1"/>
  <c r="AJ2516" i="2"/>
  <c r="AJ2539" i="2"/>
  <c r="AJ2527" i="2"/>
  <c r="AJ2528" i="2"/>
  <c r="AL2537" i="2"/>
  <c r="AJ2490" i="2"/>
  <c r="AJ2491" i="2" s="1"/>
  <c r="AJ2494" i="2" s="1"/>
  <c r="AK2495" i="2" s="1"/>
  <c r="AJ2503" i="2"/>
  <c r="AL2551" i="2" l="1"/>
  <c r="AJ2541" i="2"/>
  <c r="AJ2542" i="2"/>
  <c r="AJ2553" i="2"/>
  <c r="AJ2517" i="2"/>
  <c r="AJ2504" i="2"/>
  <c r="AJ2505" i="2" s="1"/>
  <c r="AJ2508" i="2" s="1"/>
  <c r="AK2509" i="2" s="1"/>
  <c r="AJ2530" i="2"/>
  <c r="AJ2529" i="2"/>
  <c r="AJ2534" i="2" s="1"/>
  <c r="AJ2544" i="2" l="1"/>
  <c r="AJ2543" i="2"/>
  <c r="AJ2548" i="2" s="1"/>
  <c r="AJ2518" i="2"/>
  <c r="AJ2519" i="2" s="1"/>
  <c r="AJ2522" i="2" s="1"/>
  <c r="AK2523" i="2" s="1"/>
  <c r="AJ2531" i="2"/>
  <c r="AJ2556" i="2"/>
  <c r="AJ2567" i="2"/>
  <c r="AJ2555" i="2"/>
  <c r="AL2565" i="2"/>
  <c r="AJ2532" i="2" l="1"/>
  <c r="AJ2533" i="2" s="1"/>
  <c r="AJ2536" i="2" s="1"/>
  <c r="AK2537" i="2" s="1"/>
  <c r="AJ2569" i="2"/>
  <c r="AL2579" i="2"/>
  <c r="AJ2581" i="2"/>
  <c r="AJ2570" i="2"/>
  <c r="AJ2545" i="2"/>
  <c r="AJ2557" i="2"/>
  <c r="AJ2562" i="2" s="1"/>
  <c r="AJ2558" i="2"/>
  <c r="AJ2546" i="2" l="1"/>
  <c r="AJ2547" i="2" s="1"/>
  <c r="AJ2550" i="2" s="1"/>
  <c r="AK2551" i="2" s="1"/>
  <c r="AL2593" i="2"/>
  <c r="AJ2595" i="2"/>
  <c r="AJ2583" i="2"/>
  <c r="AJ2584" i="2"/>
  <c r="AJ2571" i="2"/>
  <c r="AJ2576" i="2" s="1"/>
  <c r="AJ2572" i="2"/>
  <c r="AJ2559" i="2"/>
  <c r="AJ2585" i="2" l="1"/>
  <c r="AJ2590" i="2" s="1"/>
  <c r="AJ2586" i="2"/>
  <c r="AJ2560" i="2"/>
  <c r="AJ2561" i="2" s="1"/>
  <c r="AJ2564" i="2" s="1"/>
  <c r="AK2565" i="2" s="1"/>
  <c r="AJ2573" i="2"/>
  <c r="AJ2597" i="2"/>
  <c r="AL2607" i="2"/>
  <c r="AJ2609" i="2"/>
  <c r="AJ2598" i="2"/>
  <c r="AJ2612" i="2" l="1"/>
  <c r="AJ2623" i="2"/>
  <c r="AJ2611" i="2"/>
  <c r="AL2621" i="2"/>
  <c r="AJ2600" i="2"/>
  <c r="AJ2599" i="2"/>
  <c r="AJ2604" i="2" s="1"/>
  <c r="AJ2574" i="2"/>
  <c r="AJ2575" i="2" s="1"/>
  <c r="AJ2578" i="2" s="1"/>
  <c r="AK2579" i="2" s="1"/>
  <c r="AJ2587" i="2"/>
  <c r="AJ2588" i="2" l="1"/>
  <c r="AJ2589" i="2" s="1"/>
  <c r="AJ2592" i="2" s="1"/>
  <c r="AK2593" i="2" s="1"/>
  <c r="AJ2601" i="2"/>
  <c r="AJ2625" i="2"/>
  <c r="AJ2626" i="2"/>
  <c r="AL2635" i="2"/>
  <c r="AJ2637" i="2"/>
  <c r="AJ2614" i="2"/>
  <c r="AJ2613" i="2"/>
  <c r="AJ2618" i="2" s="1"/>
  <c r="AJ2627" i="2" l="1"/>
  <c r="AJ2632" i="2" s="1"/>
  <c r="AJ2628" i="2"/>
  <c r="AJ2615" i="2"/>
  <c r="AJ2651" i="2"/>
  <c r="AL2649" i="2"/>
  <c r="AJ2639" i="2"/>
  <c r="AJ2640" i="2"/>
  <c r="AJ2602" i="2"/>
  <c r="AJ2603" i="2" s="1"/>
  <c r="AJ2606" i="2" s="1"/>
  <c r="AK2607" i="2" s="1"/>
  <c r="AJ2665" i="2" l="1"/>
  <c r="AJ2653" i="2"/>
  <c r="AJ2654" i="2"/>
  <c r="AL2663" i="2"/>
  <c r="AJ2642" i="2"/>
  <c r="AJ2641" i="2"/>
  <c r="AJ2646" i="2" s="1"/>
  <c r="AJ2629" i="2"/>
  <c r="AJ2616" i="2"/>
  <c r="AJ2617" i="2" s="1"/>
  <c r="AJ2620" i="2" s="1"/>
  <c r="AK2621" i="2" s="1"/>
  <c r="AJ2668" i="2" l="1"/>
  <c r="AJ2679" i="2"/>
  <c r="AJ2667" i="2"/>
  <c r="AL2677" i="2"/>
  <c r="AJ2643" i="2"/>
  <c r="AJ2656" i="2"/>
  <c r="AJ2655" i="2"/>
  <c r="AJ2660" i="2" s="1"/>
  <c r="AJ2630" i="2"/>
  <c r="AJ2631" i="2" s="1"/>
  <c r="AJ2634" i="2" s="1"/>
  <c r="AK2635" i="2" s="1"/>
  <c r="AJ2644" i="2" l="1"/>
  <c r="AJ2645" i="2" s="1"/>
  <c r="AJ2648" i="2" s="1"/>
  <c r="AK2649" i="2" s="1"/>
  <c r="AJ2693" i="2"/>
  <c r="AL2691" i="2"/>
  <c r="AJ2681" i="2"/>
  <c r="AJ2682" i="2"/>
  <c r="AJ2670" i="2"/>
  <c r="AJ2669" i="2"/>
  <c r="AJ2674" i="2" s="1"/>
  <c r="AJ2657" i="2"/>
  <c r="AJ2658" i="2" l="1"/>
  <c r="AJ2659" i="2" s="1"/>
  <c r="AJ2662" i="2" s="1"/>
  <c r="AK2663" i="2" s="1"/>
  <c r="AL2705" i="2"/>
  <c r="AJ2695" i="2"/>
  <c r="AJ2707" i="2"/>
  <c r="AJ2696" i="2"/>
  <c r="AJ2684" i="2"/>
  <c r="AJ2683" i="2"/>
  <c r="AJ2688" i="2" s="1"/>
  <c r="AJ2671" i="2"/>
  <c r="AJ2672" i="2" l="1"/>
  <c r="AJ2673" i="2" s="1"/>
  <c r="AJ2676" i="2" s="1"/>
  <c r="AK2677" i="2" s="1"/>
  <c r="AJ2721" i="2"/>
  <c r="AJ2710" i="2"/>
  <c r="AL2719" i="2"/>
  <c r="AJ2709" i="2"/>
  <c r="AJ2685" i="2"/>
  <c r="AJ2697" i="2"/>
  <c r="AJ2702" i="2" s="1"/>
  <c r="AJ2698" i="2"/>
  <c r="AJ2711" i="2" l="1"/>
  <c r="AJ2716" i="2" s="1"/>
  <c r="AJ2712" i="2"/>
  <c r="AJ2735" i="2"/>
  <c r="AJ2724" i="2"/>
  <c r="AJ2723" i="2"/>
  <c r="AL2733" i="2"/>
  <c r="AJ2699" i="2"/>
  <c r="AJ2686" i="2"/>
  <c r="AJ2687" i="2" s="1"/>
  <c r="AJ2690" i="2" s="1"/>
  <c r="AK2691" i="2" s="1"/>
  <c r="AJ2700" i="2" l="1"/>
  <c r="AJ2701" i="2" s="1"/>
  <c r="AJ2704" i="2" s="1"/>
  <c r="AK2705" i="2" s="1"/>
  <c r="AJ2725" i="2"/>
  <c r="AJ2730" i="2" s="1"/>
  <c r="AJ2726" i="2"/>
  <c r="AJ2738" i="2"/>
  <c r="AL2747" i="2"/>
  <c r="AJ2737" i="2"/>
  <c r="AJ2749" i="2"/>
  <c r="AJ2713" i="2"/>
  <c r="AJ2714" i="2" l="1"/>
  <c r="AJ2715" i="2" s="1"/>
  <c r="AJ2718" i="2" s="1"/>
  <c r="AK2719" i="2" s="1"/>
  <c r="AJ2740" i="2"/>
  <c r="AJ2739" i="2"/>
  <c r="AJ2744" i="2" s="1"/>
  <c r="AJ2763" i="2"/>
  <c r="AJ2752" i="2"/>
  <c r="AL2761" i="2"/>
  <c r="AJ2751" i="2"/>
  <c r="AJ2727" i="2"/>
  <c r="AL2775" i="2" l="1"/>
  <c r="AJ2765" i="2"/>
  <c r="AJ2777" i="2"/>
  <c r="AJ2766" i="2"/>
  <c r="AJ2728" i="2"/>
  <c r="AJ2729" i="2" s="1"/>
  <c r="AJ2732" i="2" s="1"/>
  <c r="AK2733" i="2" s="1"/>
  <c r="AJ2741" i="2"/>
  <c r="AJ2754" i="2"/>
  <c r="AJ2753" i="2"/>
  <c r="AJ2758" i="2" s="1"/>
  <c r="AJ2742" i="2" l="1"/>
  <c r="AJ2743" i="2" s="1"/>
  <c r="AJ2746" i="2" s="1"/>
  <c r="AK2747" i="2" s="1"/>
  <c r="AJ2779" i="2"/>
  <c r="AL2789" i="2"/>
  <c r="AJ2791" i="2"/>
  <c r="AJ2780" i="2"/>
  <c r="AJ2755" i="2"/>
  <c r="AJ2767" i="2"/>
  <c r="AJ2772" i="2" s="1"/>
  <c r="AJ2768" i="2"/>
  <c r="AJ2805" i="2" l="1"/>
  <c r="AJ2794" i="2"/>
  <c r="AL2803" i="2"/>
  <c r="AJ2793" i="2"/>
  <c r="AJ2782" i="2"/>
  <c r="AJ2781" i="2"/>
  <c r="AJ2786" i="2" s="1"/>
  <c r="AJ2769" i="2"/>
  <c r="AJ2756" i="2"/>
  <c r="AJ2757" i="2" s="1"/>
  <c r="AJ2760" i="2" s="1"/>
  <c r="AK2761" i="2" s="1"/>
  <c r="AJ2783" i="2" l="1"/>
  <c r="AJ2807" i="2"/>
  <c r="AJ2819" i="2"/>
  <c r="AJ2808" i="2"/>
  <c r="AL2817" i="2"/>
  <c r="AJ2770" i="2"/>
  <c r="AJ2771" i="2" s="1"/>
  <c r="AJ2774" i="2" s="1"/>
  <c r="AK2775" i="2" s="1"/>
  <c r="AJ2796" i="2"/>
  <c r="AJ2795" i="2"/>
  <c r="AJ2800" i="2" s="1"/>
  <c r="AJ2797" i="2" l="1"/>
  <c r="AJ2784" i="2"/>
  <c r="AJ2785" i="2" s="1"/>
  <c r="AJ2788" i="2" s="1"/>
  <c r="AK2789" i="2" s="1"/>
  <c r="AJ2809" i="2"/>
  <c r="AJ2814" i="2" s="1"/>
  <c r="AJ2810" i="2"/>
  <c r="AJ2821" i="2"/>
  <c r="AJ2833" i="2"/>
  <c r="AJ2822" i="2"/>
  <c r="AL2831" i="2"/>
  <c r="AJ2811" i="2" l="1"/>
  <c r="AJ2798" i="2"/>
  <c r="AJ2799" i="2" s="1"/>
  <c r="AJ2802" i="2" s="1"/>
  <c r="AK2803" i="2" s="1"/>
  <c r="AJ2823" i="2"/>
  <c r="AJ2828" i="2" s="1"/>
  <c r="AJ2824" i="2"/>
  <c r="AJ2835" i="2"/>
  <c r="AL2845" i="2"/>
  <c r="AJ2847" i="2"/>
  <c r="AJ2836" i="2"/>
  <c r="AL2859" i="2" l="1"/>
  <c r="AJ2849" i="2"/>
  <c r="AJ2861" i="2"/>
  <c r="AJ2850" i="2"/>
  <c r="AJ2825" i="2"/>
  <c r="AJ2812" i="2"/>
  <c r="AJ2813" i="2" s="1"/>
  <c r="AJ2816" i="2" s="1"/>
  <c r="AK2817" i="2" s="1"/>
  <c r="AJ2838" i="2"/>
  <c r="AJ2837" i="2"/>
  <c r="AJ2842" i="2" s="1"/>
  <c r="AJ2852" i="2" l="1"/>
  <c r="AJ2851" i="2"/>
  <c r="AJ2856" i="2" s="1"/>
  <c r="AJ2863" i="2"/>
  <c r="AJ2875" i="2"/>
  <c r="AJ2864" i="2"/>
  <c r="AL2873" i="2"/>
  <c r="AJ2839" i="2"/>
  <c r="AJ2826" i="2"/>
  <c r="AJ2827" i="2" s="1"/>
  <c r="AJ2830" i="2" s="1"/>
  <c r="AK2831" i="2" s="1"/>
  <c r="AJ2878" i="2" l="1"/>
  <c r="AL2887" i="2"/>
  <c r="AJ2877" i="2"/>
  <c r="AJ2889" i="2"/>
  <c r="AJ2853" i="2"/>
  <c r="AJ2840" i="2"/>
  <c r="AJ2841" i="2" s="1"/>
  <c r="AJ2844" i="2" s="1"/>
  <c r="AK2845" i="2" s="1"/>
  <c r="AJ2865" i="2"/>
  <c r="AJ2870" i="2" s="1"/>
  <c r="AJ2866" i="2"/>
  <c r="AJ2867" i="2" l="1"/>
  <c r="AJ2854" i="2"/>
  <c r="AJ2855" i="2" s="1"/>
  <c r="AJ2858" i="2" s="1"/>
  <c r="AK2859" i="2" s="1"/>
  <c r="AJ2879" i="2"/>
  <c r="AJ2884" i="2" s="1"/>
  <c r="AJ2880" i="2"/>
  <c r="AJ2891" i="2"/>
  <c r="AL2901" i="2"/>
  <c r="AJ2903" i="2"/>
  <c r="AJ2892" i="2"/>
  <c r="AJ2906" i="2" l="1"/>
  <c r="AL2915" i="2"/>
  <c r="AJ2905" i="2"/>
  <c r="AJ2917" i="2"/>
  <c r="AJ2881" i="2"/>
  <c r="AJ2868" i="2"/>
  <c r="AJ2869" i="2" s="1"/>
  <c r="AJ2872" i="2" s="1"/>
  <c r="AK2873" i="2" s="1"/>
  <c r="AJ2893" i="2"/>
  <c r="AJ2898" i="2" s="1"/>
  <c r="AJ2894" i="2"/>
  <c r="AJ2895" i="2" l="1"/>
  <c r="AJ2882" i="2"/>
  <c r="AJ2883" i="2" s="1"/>
  <c r="AJ2886" i="2" s="1"/>
  <c r="AK2887" i="2" s="1"/>
  <c r="AJ2908" i="2"/>
  <c r="AJ2907" i="2"/>
  <c r="AJ2912" i="2" s="1"/>
  <c r="AJ2920" i="2"/>
  <c r="AL2929" i="2"/>
  <c r="AJ2919" i="2"/>
  <c r="AJ2931" i="2"/>
  <c r="AJ2922" i="2" l="1"/>
  <c r="AJ2921" i="2"/>
  <c r="AJ2926" i="2" s="1"/>
  <c r="AJ2909" i="2"/>
  <c r="AJ2896" i="2"/>
  <c r="AJ2897" i="2" s="1"/>
  <c r="AJ2900" i="2" s="1"/>
  <c r="AK2901" i="2" s="1"/>
  <c r="AL2943" i="2"/>
  <c r="AJ2933" i="2"/>
  <c r="AJ2945" i="2"/>
  <c r="AJ2934" i="2"/>
  <c r="AJ2947" i="2" l="1"/>
  <c r="AL2957" i="2"/>
  <c r="AJ2959" i="2"/>
  <c r="AJ2948" i="2"/>
  <c r="AJ2923" i="2"/>
  <c r="AJ2910" i="2"/>
  <c r="AJ2911" i="2" s="1"/>
  <c r="AJ2914" i="2" s="1"/>
  <c r="AK2915" i="2" s="1"/>
  <c r="AJ2935" i="2"/>
  <c r="AJ2940" i="2" s="1"/>
  <c r="AJ2936" i="2"/>
  <c r="AJ2949" i="2" l="1"/>
  <c r="AJ2954" i="2" s="1"/>
  <c r="AJ2950" i="2"/>
  <c r="AJ2937" i="2"/>
  <c r="AJ2924" i="2"/>
  <c r="AJ2925" i="2" s="1"/>
  <c r="AJ2928" i="2" s="1"/>
  <c r="AK2929" i="2" s="1"/>
  <c r="AJ2962" i="2"/>
  <c r="AL2971" i="2"/>
  <c r="AJ2961" i="2"/>
  <c r="AJ2973" i="2"/>
  <c r="AJ2951" i="2" l="1"/>
  <c r="AJ2938" i="2"/>
  <c r="AJ2939" i="2" s="1"/>
  <c r="AJ2942" i="2" s="1"/>
  <c r="AK2943" i="2" s="1"/>
  <c r="AJ2964" i="2"/>
  <c r="AJ2963" i="2"/>
  <c r="AJ2968" i="2" s="1"/>
  <c r="AJ2987" i="2"/>
  <c r="AJ2976" i="2"/>
  <c r="AL2985" i="2"/>
  <c r="AJ2975" i="2"/>
  <c r="AJ2952" i="2" l="1"/>
  <c r="AJ2953" i="2" s="1"/>
  <c r="AJ2956" i="2" s="1"/>
  <c r="AK2957" i="2" s="1"/>
  <c r="AL2999" i="2"/>
  <c r="AJ2989" i="2"/>
  <c r="AJ3001" i="2"/>
  <c r="AJ2990" i="2"/>
  <c r="AJ2965" i="2"/>
  <c r="AJ2978" i="2"/>
  <c r="AJ2977" i="2"/>
  <c r="AJ2982" i="2" s="1"/>
  <c r="AJ2992" i="2" l="1"/>
  <c r="AJ2991" i="2"/>
  <c r="AJ2996" i="2" s="1"/>
  <c r="AJ2979" i="2"/>
  <c r="AJ2966" i="2"/>
  <c r="AJ2967" i="2" s="1"/>
  <c r="AJ2970" i="2" s="1"/>
  <c r="AK2971" i="2" s="1"/>
  <c r="AJ3004" i="2"/>
  <c r="AJ3003" i="2"/>
  <c r="AL3013" i="2"/>
  <c r="AJ3015" i="2"/>
  <c r="AJ2993" i="2" l="1"/>
  <c r="AJ3029" i="2"/>
  <c r="AJ3018" i="2"/>
  <c r="AL3027" i="2"/>
  <c r="AJ3017" i="2"/>
  <c r="AJ2980" i="2"/>
  <c r="AJ2981" i="2" s="1"/>
  <c r="AJ2984" i="2" s="1"/>
  <c r="AK2985" i="2" s="1"/>
  <c r="AJ3006" i="2"/>
  <c r="AJ3005" i="2"/>
  <c r="AJ3010" i="2" s="1"/>
  <c r="AJ3007" i="2" l="1"/>
  <c r="AJ3020" i="2"/>
  <c r="AJ3019" i="2"/>
  <c r="AJ3024" i="2" s="1"/>
  <c r="AJ2994" i="2"/>
  <c r="AJ2995" i="2" s="1"/>
  <c r="AJ2998" i="2" s="1"/>
  <c r="AK2999" i="2" s="1"/>
  <c r="AJ3043" i="2"/>
  <c r="AJ3032" i="2"/>
  <c r="AL3041" i="2"/>
  <c r="AJ3031" i="2"/>
  <c r="AJ3033" i="2" l="1"/>
  <c r="AJ3038" i="2" s="1"/>
  <c r="AJ3034" i="2"/>
  <c r="AJ3008" i="2"/>
  <c r="AJ3009" i="2" s="1"/>
  <c r="AJ3012" i="2" s="1"/>
  <c r="AK3013" i="2" s="1"/>
  <c r="AL3055" i="2"/>
  <c r="AJ3045" i="2"/>
  <c r="AJ3057" i="2"/>
  <c r="AJ3046" i="2"/>
  <c r="AJ3021" i="2"/>
  <c r="AJ3048" i="2" l="1"/>
  <c r="AJ3047" i="2"/>
  <c r="AJ3052" i="2" s="1"/>
  <c r="AJ3022" i="2"/>
  <c r="AJ3023" i="2" s="1"/>
  <c r="AJ3026" i="2" s="1"/>
  <c r="AK3027" i="2" s="1"/>
  <c r="AJ3060" i="2"/>
  <c r="AJ3059" i="2"/>
  <c r="AL3069" i="2"/>
  <c r="AJ3071" i="2"/>
  <c r="AJ3035" i="2"/>
  <c r="AJ3049" i="2" l="1"/>
  <c r="AJ3036" i="2"/>
  <c r="AJ3037" i="2" s="1"/>
  <c r="AJ3040" i="2" s="1"/>
  <c r="AK3041" i="2" s="1"/>
  <c r="AJ3061" i="2"/>
  <c r="AJ3066" i="2" s="1"/>
  <c r="AJ3062" i="2"/>
  <c r="AJ3074" i="2"/>
  <c r="AL3083" i="2"/>
  <c r="AJ3073" i="2"/>
  <c r="AJ3085" i="2"/>
  <c r="AJ3050" i="2" l="1"/>
  <c r="AJ3051" i="2" s="1"/>
  <c r="AJ3054" i="2" s="1"/>
  <c r="AK3055" i="2" s="1"/>
  <c r="AJ3063" i="2"/>
  <c r="AJ3075" i="2"/>
  <c r="AJ3080" i="2" s="1"/>
  <c r="AJ3076" i="2"/>
  <c r="AL3097" i="2"/>
  <c r="AJ3087" i="2"/>
  <c r="AJ3099" i="2"/>
  <c r="AJ3088" i="2"/>
  <c r="AJ3089" i="2" l="1"/>
  <c r="AJ3094" i="2" s="1"/>
  <c r="AJ3090" i="2"/>
  <c r="AJ3101" i="2"/>
  <c r="AJ3113" i="2"/>
  <c r="AJ3102" i="2"/>
  <c r="AL3111" i="2"/>
  <c r="AJ3077" i="2"/>
  <c r="AJ3064" i="2"/>
  <c r="AJ3065" i="2" s="1"/>
  <c r="AJ3068" i="2" s="1"/>
  <c r="AK3069" i="2" s="1"/>
  <c r="AJ3091" i="2" l="1"/>
  <c r="AJ3103" i="2"/>
  <c r="AJ3108" i="2" s="1"/>
  <c r="AJ3104" i="2"/>
  <c r="AJ3078" i="2"/>
  <c r="AJ3079" i="2" s="1"/>
  <c r="AJ3082" i="2" s="1"/>
  <c r="AK3083" i="2" s="1"/>
  <c r="AJ3115" i="2"/>
  <c r="AL3125" i="2"/>
  <c r="AJ3127" i="2"/>
  <c r="AJ3116" i="2"/>
  <c r="AL3139" i="2" l="1"/>
  <c r="AJ3129" i="2"/>
  <c r="AJ3141" i="2"/>
  <c r="AJ3130" i="2"/>
  <c r="AJ3092" i="2"/>
  <c r="AJ3093" i="2" s="1"/>
  <c r="AJ3096" i="2" s="1"/>
  <c r="AK3097" i="2" s="1"/>
  <c r="AJ3118" i="2"/>
  <c r="AJ3117" i="2"/>
  <c r="AJ3122" i="2" s="1"/>
  <c r="AJ3105" i="2"/>
  <c r="AJ3106" i="2" l="1"/>
  <c r="AJ3107" i="2" s="1"/>
  <c r="AJ3110" i="2" s="1"/>
  <c r="AK3111" i="2" s="1"/>
  <c r="AJ3131" i="2"/>
  <c r="AJ3136" i="2" s="1"/>
  <c r="AJ3132" i="2"/>
  <c r="AJ3155" i="2"/>
  <c r="AJ3144" i="2"/>
  <c r="AL3153" i="2"/>
  <c r="AJ3143" i="2"/>
  <c r="AJ3119" i="2"/>
  <c r="AJ3120" i="2" l="1"/>
  <c r="AJ3121" i="2" s="1"/>
  <c r="AJ3124" i="2" s="1"/>
  <c r="AK3125" i="2" s="1"/>
  <c r="AL3167" i="2"/>
  <c r="AJ3157" i="2"/>
  <c r="AJ3169" i="2"/>
  <c r="AJ3158" i="2"/>
  <c r="AJ3145" i="2"/>
  <c r="AJ3150" i="2" s="1"/>
  <c r="AJ3146" i="2"/>
  <c r="AJ3133" i="2"/>
  <c r="AJ3134" i="2" l="1"/>
  <c r="AJ3135" i="2" s="1"/>
  <c r="AJ3138" i="2" s="1"/>
  <c r="AK3139" i="2" s="1"/>
  <c r="AL3181" i="2"/>
  <c r="AJ3183" i="2"/>
  <c r="AJ3172" i="2"/>
  <c r="AJ3171" i="2"/>
  <c r="AJ3147" i="2"/>
  <c r="AJ3159" i="2"/>
  <c r="AJ3164" i="2" s="1"/>
  <c r="AJ3160" i="2"/>
  <c r="AJ3161" i="2" l="1"/>
  <c r="AJ3174" i="2"/>
  <c r="AJ3173" i="2"/>
  <c r="AJ3178" i="2" s="1"/>
  <c r="AJ3148" i="2"/>
  <c r="AJ3149" i="2" s="1"/>
  <c r="AJ3152" i="2" s="1"/>
  <c r="AK3153" i="2" s="1"/>
  <c r="AJ3185" i="2"/>
  <c r="AJ3197" i="2"/>
  <c r="AJ3186" i="2"/>
  <c r="AL3195" i="2"/>
  <c r="AJ3162" i="2" l="1"/>
  <c r="AJ3163" i="2" s="1"/>
  <c r="AJ3166" i="2" s="1"/>
  <c r="AK3167" i="2" s="1"/>
  <c r="AJ3188" i="2"/>
  <c r="AJ3187" i="2"/>
  <c r="AJ3192" i="2" s="1"/>
  <c r="AJ3175" i="2"/>
  <c r="AJ3211" i="2"/>
  <c r="AJ3200" i="2"/>
  <c r="AL3209" i="2"/>
  <c r="AJ3199" i="2"/>
  <c r="AJ3201" i="2" l="1"/>
  <c r="AJ3206" i="2" s="1"/>
  <c r="AJ3202" i="2"/>
  <c r="AJ3176" i="2"/>
  <c r="AJ3177" i="2" s="1"/>
  <c r="AJ3180" i="2" s="1"/>
  <c r="AK3181" i="2" s="1"/>
  <c r="AJ3225" i="2"/>
  <c r="AJ3214" i="2"/>
  <c r="AL3223" i="2"/>
  <c r="AJ3213" i="2"/>
  <c r="AJ3189" i="2"/>
  <c r="AJ3190" i="2" l="1"/>
  <c r="AJ3191" i="2" s="1"/>
  <c r="AJ3194" i="2" s="1"/>
  <c r="AK3195" i="2" s="1"/>
  <c r="AJ3203" i="2"/>
  <c r="AJ3227" i="2"/>
  <c r="AL3237" i="2"/>
  <c r="AJ3239" i="2"/>
  <c r="AJ3228" i="2"/>
  <c r="AJ3215" i="2"/>
  <c r="AJ3220" i="2" s="1"/>
  <c r="AJ3216" i="2"/>
  <c r="AJ3230" i="2" l="1"/>
  <c r="AJ3229" i="2"/>
  <c r="AJ3234" i="2" s="1"/>
  <c r="AJ3217" i="2"/>
  <c r="AL3251" i="2"/>
  <c r="AJ3241" i="2"/>
  <c r="AJ3253" i="2"/>
  <c r="AJ3242" i="2"/>
  <c r="AJ3204" i="2"/>
  <c r="AJ3205" i="2" s="1"/>
  <c r="AJ3208" i="2" s="1"/>
  <c r="AK3209" i="2" s="1"/>
  <c r="AJ3231" i="2" l="1"/>
  <c r="AJ3244" i="2"/>
  <c r="AJ3243" i="2"/>
  <c r="AJ3248" i="2" s="1"/>
  <c r="AJ3267" i="2"/>
  <c r="AJ3256" i="2"/>
  <c r="AL3265" i="2"/>
  <c r="AJ3255" i="2"/>
  <c r="AJ3218" i="2"/>
  <c r="AJ3219" i="2" s="1"/>
  <c r="AJ3222" i="2" s="1"/>
  <c r="AK3223" i="2" s="1"/>
  <c r="AJ3269" i="2" l="1"/>
  <c r="AJ3281" i="2"/>
  <c r="AJ3270" i="2"/>
  <c r="AL3279" i="2"/>
  <c r="AJ3245" i="2"/>
  <c r="AJ3232" i="2"/>
  <c r="AJ3233" i="2" s="1"/>
  <c r="AJ3236" i="2" s="1"/>
  <c r="AK3237" i="2" s="1"/>
  <c r="AJ3257" i="2"/>
  <c r="AJ3262" i="2" s="1"/>
  <c r="AJ3258" i="2"/>
  <c r="AJ3271" i="2" l="1"/>
  <c r="AJ3276" i="2" s="1"/>
  <c r="AJ3272" i="2"/>
  <c r="AJ3283" i="2"/>
  <c r="AL3293" i="2"/>
  <c r="AJ3295" i="2"/>
  <c r="AJ3284" i="2"/>
  <c r="AJ3259" i="2"/>
  <c r="AJ3246" i="2"/>
  <c r="AJ3247" i="2" s="1"/>
  <c r="AJ3250" i="2" s="1"/>
  <c r="AK3251" i="2" s="1"/>
  <c r="AJ3273" i="2" l="1"/>
  <c r="AJ3286" i="2"/>
  <c r="AJ3285" i="2"/>
  <c r="AJ3290" i="2" s="1"/>
  <c r="AJ3260" i="2"/>
  <c r="AJ3261" i="2" s="1"/>
  <c r="AJ3264" i="2" s="1"/>
  <c r="AK3265" i="2" s="1"/>
  <c r="AJ3297" i="2"/>
  <c r="AJ3309" i="2"/>
  <c r="AJ3298" i="2"/>
  <c r="AL3307" i="2"/>
  <c r="AJ3300" i="2" l="1"/>
  <c r="AJ3299" i="2"/>
  <c r="AJ3304" i="2" s="1"/>
  <c r="AJ3287" i="2"/>
  <c r="AJ3274" i="2"/>
  <c r="AJ3275" i="2" s="1"/>
  <c r="AJ3278" i="2" s="1"/>
  <c r="AK3279" i="2" s="1"/>
  <c r="AJ3311" i="2"/>
  <c r="AJ3323" i="2"/>
  <c r="AJ3312" i="2"/>
  <c r="AL3321" i="2"/>
  <c r="AJ3301" i="2" l="1"/>
  <c r="AJ3313" i="2"/>
  <c r="AJ3318" i="2" s="1"/>
  <c r="AJ3314" i="2"/>
  <c r="AJ3288" i="2"/>
  <c r="AJ3289" i="2" s="1"/>
  <c r="AJ3292" i="2" s="1"/>
  <c r="AK3293" i="2" s="1"/>
  <c r="AL3335" i="2"/>
  <c r="AJ3325" i="2"/>
  <c r="AJ3337" i="2"/>
  <c r="AJ3326" i="2"/>
  <c r="AJ3339" i="2" l="1"/>
  <c r="AL3349" i="2"/>
  <c r="AJ3351" i="2"/>
  <c r="AJ3340" i="2"/>
  <c r="AJ3302" i="2"/>
  <c r="AJ3303" i="2" s="1"/>
  <c r="AJ3306" i="2" s="1"/>
  <c r="AK3307" i="2" s="1"/>
  <c r="AJ3327" i="2"/>
  <c r="AJ3332" i="2" s="1"/>
  <c r="AJ3328" i="2"/>
  <c r="AJ3315" i="2"/>
  <c r="AJ3341" i="2" l="1"/>
  <c r="AJ3346" i="2" s="1"/>
  <c r="AJ3342" i="2"/>
  <c r="AJ3354" i="2"/>
  <c r="AL3363" i="2"/>
  <c r="AJ3353" i="2"/>
  <c r="AJ3365" i="2"/>
  <c r="AJ3316" i="2"/>
  <c r="AJ3317" i="2" s="1"/>
  <c r="AJ3320" i="2" s="1"/>
  <c r="AK3321" i="2" s="1"/>
  <c r="AJ3329" i="2"/>
  <c r="AJ3356" i="2" l="1"/>
  <c r="AJ3355" i="2"/>
  <c r="AJ3360" i="2" s="1"/>
  <c r="AJ3330" i="2"/>
  <c r="AJ3331" i="2" s="1"/>
  <c r="AJ3334" i="2" s="1"/>
  <c r="AK3335" i="2" s="1"/>
  <c r="AJ3367" i="2"/>
  <c r="AJ3379" i="2"/>
  <c r="AJ3368" i="2"/>
  <c r="AL3377" i="2"/>
  <c r="AJ3343" i="2"/>
  <c r="AJ3370" i="2" l="1"/>
  <c r="AJ3369" i="2"/>
  <c r="AJ3374" i="2" s="1"/>
  <c r="AJ3357" i="2"/>
  <c r="AJ3344" i="2"/>
  <c r="AJ3345" i="2" s="1"/>
  <c r="AJ3348" i="2" s="1"/>
  <c r="AK3349" i="2" s="1"/>
  <c r="AL3391" i="2"/>
  <c r="AJ3381" i="2"/>
  <c r="AJ3393" i="2"/>
  <c r="AJ3382" i="2"/>
  <c r="AJ3395" i="2" l="1"/>
  <c r="AL3405" i="2"/>
  <c r="AJ3407" i="2"/>
  <c r="AJ3396" i="2"/>
  <c r="AJ3371" i="2"/>
  <c r="AJ3383" i="2"/>
  <c r="AJ3388" i="2" s="1"/>
  <c r="AJ3384" i="2"/>
  <c r="AJ3358" i="2"/>
  <c r="AJ3359" i="2" s="1"/>
  <c r="AJ3362" i="2" s="1"/>
  <c r="AK3363" i="2" s="1"/>
  <c r="AJ3398" i="2" l="1"/>
  <c r="AJ3397" i="2"/>
  <c r="AJ3402" i="2" s="1"/>
  <c r="AJ3372" i="2"/>
  <c r="AJ3373" i="2" s="1"/>
  <c r="AJ3376" i="2" s="1"/>
  <c r="AK3377" i="2" s="1"/>
  <c r="AL3419" i="2"/>
  <c r="AJ3409" i="2"/>
  <c r="AJ3421" i="2"/>
  <c r="AJ3410" i="2"/>
  <c r="AJ3385" i="2"/>
  <c r="AJ3399" i="2" l="1"/>
  <c r="AJ3386" i="2"/>
  <c r="AJ3387" i="2" s="1"/>
  <c r="AJ3390" i="2" s="1"/>
  <c r="AK3391" i="2" s="1"/>
  <c r="AJ3411" i="2"/>
  <c r="AJ3416" i="2" s="1"/>
  <c r="AJ3412" i="2"/>
  <c r="AL3433" i="2"/>
  <c r="AJ3423" i="2"/>
  <c r="AJ3435" i="2"/>
  <c r="AJ3424" i="2"/>
  <c r="AJ3449" i="2" l="1"/>
  <c r="AJ3438" i="2"/>
  <c r="AL3447" i="2"/>
  <c r="AJ3437" i="2"/>
  <c r="AJ3400" i="2"/>
  <c r="AJ3401" i="2" s="1"/>
  <c r="AJ3404" i="2" s="1"/>
  <c r="AK3405" i="2" s="1"/>
  <c r="AJ3413" i="2"/>
  <c r="AJ3425" i="2"/>
  <c r="AJ3430" i="2" s="1"/>
  <c r="AJ3426" i="2"/>
  <c r="AJ3463" i="2" l="1"/>
  <c r="AJ3452" i="2"/>
  <c r="AJ3451" i="2"/>
  <c r="AL3461" i="2"/>
  <c r="AJ3427" i="2"/>
  <c r="AJ3414" i="2"/>
  <c r="AJ3415" i="2" s="1"/>
  <c r="AJ3418" i="2" s="1"/>
  <c r="AK3419" i="2" s="1"/>
  <c r="AJ3439" i="2"/>
  <c r="AJ3444" i="2" s="1"/>
  <c r="AJ3440" i="2"/>
  <c r="AJ3466" i="2" l="1"/>
  <c r="AL3475" i="2"/>
  <c r="AJ3465" i="2"/>
  <c r="AJ3477" i="2"/>
  <c r="AJ3441" i="2"/>
  <c r="AJ3428" i="2"/>
  <c r="AJ3429" i="2" s="1"/>
  <c r="AJ3432" i="2" s="1"/>
  <c r="AK3433" i="2" s="1"/>
  <c r="AJ3453" i="2"/>
  <c r="AJ3458" i="2" s="1"/>
  <c r="AJ3454" i="2"/>
  <c r="AJ3442" i="2" l="1"/>
  <c r="AJ3443" i="2" s="1"/>
  <c r="AJ3446" i="2" s="1"/>
  <c r="AK3447" i="2" s="1"/>
  <c r="AJ3455" i="2"/>
  <c r="AJ3468" i="2"/>
  <c r="AJ3467" i="2"/>
  <c r="AJ3472" i="2" s="1"/>
  <c r="AJ3479" i="2"/>
  <c r="AJ3491" i="2"/>
  <c r="AJ3480" i="2"/>
  <c r="AL3489" i="2"/>
  <c r="AJ3469" i="2" l="1"/>
  <c r="AJ3481" i="2"/>
  <c r="AJ3486" i="2" s="1"/>
  <c r="AJ3482" i="2"/>
  <c r="AJ3456" i="2"/>
  <c r="AJ3457" i="2" s="1"/>
  <c r="AJ3460" i="2" s="1"/>
  <c r="AK3461" i="2" s="1"/>
  <c r="AJ3493" i="2"/>
  <c r="AJ3505" i="2"/>
  <c r="AJ3494" i="2"/>
  <c r="AL3503" i="2"/>
  <c r="AJ3470" i="2" l="1"/>
  <c r="AJ3471" i="2" s="1"/>
  <c r="AJ3474" i="2" s="1"/>
  <c r="AK3475" i="2" s="1"/>
  <c r="AJ3495" i="2"/>
  <c r="AJ3500" i="2" s="1"/>
  <c r="AJ3496" i="2"/>
  <c r="AJ3519" i="2"/>
  <c r="AJ3508" i="2"/>
  <c r="AJ3507" i="2"/>
  <c r="AL3517" i="2"/>
  <c r="AJ3483" i="2"/>
  <c r="AJ3522" i="2" l="1"/>
  <c r="AL3531" i="2"/>
  <c r="AJ3521" i="2"/>
  <c r="AJ3533" i="2"/>
  <c r="AJ3484" i="2"/>
  <c r="AJ3485" i="2" s="1"/>
  <c r="AJ3488" i="2" s="1"/>
  <c r="AK3489" i="2" s="1"/>
  <c r="AJ3509" i="2"/>
  <c r="AJ3514" i="2" s="1"/>
  <c r="AJ3510" i="2"/>
  <c r="AJ3497" i="2"/>
  <c r="AJ3498" i="2" l="1"/>
  <c r="AJ3499" i="2" s="1"/>
  <c r="AJ3502" i="2" s="1"/>
  <c r="AK3503" i="2" s="1"/>
  <c r="AJ3524" i="2"/>
  <c r="AJ3523" i="2"/>
  <c r="AJ3528" i="2" s="1"/>
  <c r="AJ3511" i="2"/>
  <c r="AJ3535" i="2"/>
  <c r="AJ3547" i="2"/>
  <c r="AJ3536" i="2"/>
  <c r="AL3545" i="2"/>
  <c r="AJ3538" i="2" l="1"/>
  <c r="AJ3537" i="2"/>
  <c r="AJ3542" i="2" s="1"/>
  <c r="AJ3525" i="2"/>
  <c r="AJ3512" i="2"/>
  <c r="AJ3513" i="2" s="1"/>
  <c r="AJ3516" i="2" s="1"/>
  <c r="AK3517" i="2" s="1"/>
  <c r="AJ3561" i="2"/>
  <c r="AJ3550" i="2"/>
  <c r="AL3559" i="2"/>
  <c r="AJ3549" i="2"/>
  <c r="AJ3539" i="2" l="1"/>
  <c r="AJ3551" i="2"/>
  <c r="AJ3556" i="2" s="1"/>
  <c r="AJ3552" i="2"/>
  <c r="AJ3564" i="2"/>
  <c r="AJ3563" i="2"/>
  <c r="AL3573" i="2"/>
  <c r="AJ3575" i="2"/>
  <c r="AJ3526" i="2"/>
  <c r="AJ3527" i="2" s="1"/>
  <c r="AJ3530" i="2" s="1"/>
  <c r="AK3531" i="2" s="1"/>
  <c r="AJ3540" i="2" l="1"/>
  <c r="AJ3541" i="2" s="1"/>
  <c r="AJ3544" i="2" s="1"/>
  <c r="AK3545" i="2" s="1"/>
  <c r="AJ3566" i="2"/>
  <c r="AJ3565" i="2"/>
  <c r="AJ3570" i="2" s="1"/>
  <c r="AL3587" i="2"/>
  <c r="AJ3577" i="2"/>
  <c r="AJ3589" i="2"/>
  <c r="AJ3578" i="2"/>
  <c r="AJ3553" i="2"/>
  <c r="AJ3580" i="2" l="1"/>
  <c r="AJ3579" i="2"/>
  <c r="AJ3584" i="2" s="1"/>
  <c r="AJ3591" i="2"/>
  <c r="AJ3603" i="2"/>
  <c r="AJ3592" i="2"/>
  <c r="AL3601" i="2"/>
  <c r="AJ3567" i="2"/>
  <c r="AJ3554" i="2"/>
  <c r="AJ3555" i="2" s="1"/>
  <c r="AJ3558" i="2" s="1"/>
  <c r="AK3559" i="2" s="1"/>
  <c r="AJ3581" i="2" l="1"/>
  <c r="AJ3593" i="2"/>
  <c r="AJ3598" i="2" s="1"/>
  <c r="AJ3594" i="2"/>
  <c r="AJ3568" i="2"/>
  <c r="AJ3569" i="2" s="1"/>
  <c r="AJ3572" i="2" s="1"/>
  <c r="AK3573" i="2" s="1"/>
  <c r="AJ3605" i="2"/>
  <c r="AJ3617" i="2"/>
  <c r="AJ3606" i="2"/>
  <c r="AL3615" i="2"/>
  <c r="AJ3582" i="2" l="1"/>
  <c r="AJ3583" i="2" s="1"/>
  <c r="AJ3586" i="2" s="1"/>
  <c r="AK3587" i="2" s="1"/>
  <c r="AJ3607" i="2"/>
  <c r="AJ3612" i="2" s="1"/>
  <c r="AJ3608" i="2"/>
  <c r="AJ3619" i="2"/>
  <c r="AL3629" i="2"/>
  <c r="AJ3631" i="2"/>
  <c r="AJ3620" i="2"/>
  <c r="AJ3595" i="2"/>
  <c r="AJ3596" i="2" l="1"/>
  <c r="AJ3597" i="2" s="1"/>
  <c r="AJ3600" i="2" s="1"/>
  <c r="AK3601" i="2" s="1"/>
  <c r="AJ3622" i="2"/>
  <c r="AJ3621" i="2"/>
  <c r="AJ3626" i="2" s="1"/>
  <c r="AJ3633" i="2"/>
  <c r="AJ3645" i="2"/>
  <c r="AJ3634" i="2"/>
  <c r="AL3643" i="2"/>
  <c r="AJ3609" i="2"/>
  <c r="AJ3610" i="2" l="1"/>
  <c r="AJ3611" i="2" s="1"/>
  <c r="AJ3614" i="2" s="1"/>
  <c r="AK3615" i="2" s="1"/>
  <c r="AJ3623" i="2"/>
  <c r="AJ3636" i="2"/>
  <c r="AJ3635" i="2"/>
  <c r="AJ3640" i="2" s="1"/>
  <c r="AJ3647" i="2"/>
  <c r="AJ3659" i="2"/>
  <c r="AJ3648" i="2"/>
  <c r="AL3657" i="2"/>
  <c r="AJ3637" i="2" l="1"/>
  <c r="AJ3624" i="2"/>
  <c r="AJ3625" i="2" s="1"/>
  <c r="AJ3628" i="2" s="1"/>
  <c r="AK3629" i="2" s="1"/>
  <c r="AJ3649" i="2"/>
  <c r="AJ3654" i="2" s="1"/>
  <c r="AJ3650" i="2"/>
  <c r="AJ3661" i="2"/>
  <c r="AJ3673" i="2"/>
  <c r="AJ3662" i="2"/>
  <c r="AL3671" i="2"/>
  <c r="AJ3651" i="2" l="1"/>
  <c r="AJ3638" i="2"/>
  <c r="AJ3639" i="2" s="1"/>
  <c r="AJ3642" i="2" s="1"/>
  <c r="AK3643" i="2" s="1"/>
  <c r="AJ3664" i="2"/>
  <c r="AJ3663" i="2"/>
  <c r="AJ3668" i="2" s="1"/>
  <c r="AJ3676" i="2"/>
  <c r="AJ3675" i="2"/>
  <c r="AL3685" i="2"/>
  <c r="AJ3687" i="2"/>
  <c r="AJ3665" i="2" l="1"/>
  <c r="AJ3690" i="2"/>
  <c r="AL3699" i="2"/>
  <c r="AJ3689" i="2"/>
  <c r="AJ3701" i="2"/>
  <c r="AJ3652" i="2"/>
  <c r="AJ3653" i="2" s="1"/>
  <c r="AJ3656" i="2" s="1"/>
  <c r="AK3657" i="2" s="1"/>
  <c r="AJ3677" i="2"/>
  <c r="AJ3682" i="2" s="1"/>
  <c r="AJ3678" i="2"/>
  <c r="AJ3692" i="2" l="1"/>
  <c r="AJ3691" i="2"/>
  <c r="AJ3696" i="2" s="1"/>
  <c r="AJ3666" i="2"/>
  <c r="AJ3667" i="2" s="1"/>
  <c r="AJ3670" i="2" s="1"/>
  <c r="AK3671" i="2" s="1"/>
  <c r="AJ3715" i="2"/>
  <c r="AJ3704" i="2"/>
  <c r="AL3713" i="2"/>
  <c r="AJ3703" i="2"/>
  <c r="AJ3679" i="2"/>
  <c r="AJ3717" i="2" l="1"/>
  <c r="AJ3729" i="2"/>
  <c r="AJ3718" i="2"/>
  <c r="AL3727" i="2"/>
  <c r="AJ3693" i="2"/>
  <c r="AJ3680" i="2"/>
  <c r="AJ3681" i="2" s="1"/>
  <c r="AJ3684" i="2" s="1"/>
  <c r="AK3685" i="2" s="1"/>
  <c r="AJ3705" i="2"/>
  <c r="AJ3710" i="2" s="1"/>
  <c r="AJ3706" i="2"/>
  <c r="AJ3720" i="2" l="1"/>
  <c r="AJ3719" i="2"/>
  <c r="AJ3724" i="2" s="1"/>
  <c r="AJ3707" i="2"/>
  <c r="AJ3694" i="2"/>
  <c r="AJ3695" i="2" s="1"/>
  <c r="AJ3698" i="2" s="1"/>
  <c r="AK3699" i="2" s="1"/>
  <c r="AJ3732" i="2"/>
  <c r="AJ3731" i="2"/>
  <c r="AL3741" i="2"/>
  <c r="AJ3743" i="2"/>
  <c r="AJ3721" i="2" l="1"/>
  <c r="AL3755" i="2"/>
  <c r="AJ3745" i="2"/>
  <c r="AJ3757" i="2"/>
  <c r="AJ3746" i="2"/>
  <c r="AJ3734" i="2"/>
  <c r="AJ3733" i="2"/>
  <c r="AJ3738" i="2" s="1"/>
  <c r="AJ3708" i="2"/>
  <c r="AJ3709" i="2" s="1"/>
  <c r="AJ3712" i="2" s="1"/>
  <c r="AK3713" i="2" s="1"/>
  <c r="AJ3760" i="2" l="1"/>
  <c r="AL3769" i="2"/>
  <c r="AJ3759" i="2"/>
  <c r="AJ3771" i="2"/>
  <c r="AJ3722" i="2"/>
  <c r="AJ3723" i="2" s="1"/>
  <c r="AJ3726" i="2" s="1"/>
  <c r="AK3727" i="2" s="1"/>
  <c r="AJ3735" i="2"/>
  <c r="AJ3748" i="2"/>
  <c r="AJ3747" i="2"/>
  <c r="AJ3752" i="2" s="1"/>
  <c r="AJ3749" i="2" l="1"/>
  <c r="AJ3761" i="2"/>
  <c r="AJ3766" i="2" s="1"/>
  <c r="AJ3762" i="2"/>
  <c r="AJ3736" i="2"/>
  <c r="AJ3737" i="2" s="1"/>
  <c r="AJ3740" i="2" s="1"/>
  <c r="AK3741" i="2" s="1"/>
  <c r="AL3783" i="2"/>
  <c r="AJ3773" i="2"/>
  <c r="AJ3785" i="2"/>
  <c r="AJ3774" i="2"/>
  <c r="AJ3788" i="2" l="1"/>
  <c r="AJ3787" i="2"/>
  <c r="AL3797" i="2"/>
  <c r="AJ3799" i="2"/>
  <c r="AJ3750" i="2"/>
  <c r="AJ3751" i="2" s="1"/>
  <c r="AJ3754" i="2" s="1"/>
  <c r="AK3755" i="2" s="1"/>
  <c r="AJ3776" i="2"/>
  <c r="AJ3775" i="2"/>
  <c r="AJ3780" i="2" s="1"/>
  <c r="AJ3763" i="2"/>
  <c r="AJ3790" i="2" l="1"/>
  <c r="AJ3789" i="2"/>
  <c r="AJ3794" i="2" s="1"/>
  <c r="AJ3764" i="2"/>
  <c r="AJ3765" i="2" s="1"/>
  <c r="AJ3768" i="2" s="1"/>
  <c r="AK3769" i="2" s="1"/>
  <c r="AJ3777" i="2"/>
  <c r="AJ3813" i="2"/>
  <c r="AJ3802" i="2"/>
  <c r="AL3811" i="2"/>
  <c r="AJ3801" i="2"/>
  <c r="AJ3778" i="2" l="1"/>
  <c r="AJ3779" i="2" s="1"/>
  <c r="AJ3782" i="2" s="1"/>
  <c r="AK3783" i="2" s="1"/>
  <c r="AJ3791" i="2"/>
  <c r="AJ3803" i="2"/>
  <c r="AJ3808" i="2" s="1"/>
  <c r="AJ3804" i="2"/>
  <c r="AL3825" i="2"/>
  <c r="AJ3815" i="2"/>
  <c r="AJ3827" i="2"/>
  <c r="AJ3816" i="2"/>
  <c r="AJ3830" i="2" l="1"/>
  <c r="AL3839" i="2"/>
  <c r="AJ3829" i="2"/>
  <c r="AJ3841" i="2"/>
  <c r="AJ3805" i="2"/>
  <c r="AJ3817" i="2"/>
  <c r="AJ3822" i="2" s="1"/>
  <c r="AJ3818" i="2"/>
  <c r="AJ3792" i="2"/>
  <c r="AJ3793" i="2" s="1"/>
  <c r="AJ3796" i="2" s="1"/>
  <c r="AK3797" i="2" s="1"/>
  <c r="AJ3819" i="2" l="1"/>
  <c r="AJ3806" i="2"/>
  <c r="AJ3807" i="2" s="1"/>
  <c r="AJ3810" i="2" s="1"/>
  <c r="AK3811" i="2" s="1"/>
  <c r="AJ3832" i="2"/>
  <c r="AJ3831" i="2"/>
  <c r="AJ3836" i="2" s="1"/>
  <c r="AL3853" i="2"/>
  <c r="AJ3855" i="2"/>
  <c r="AJ3844" i="2"/>
  <c r="AJ3843" i="2"/>
  <c r="AJ3833" i="2" l="1"/>
  <c r="AJ3820" i="2"/>
  <c r="AJ3821" i="2" s="1"/>
  <c r="AJ3824" i="2" s="1"/>
  <c r="AK3825" i="2" s="1"/>
  <c r="AJ3846" i="2"/>
  <c r="AJ3845" i="2"/>
  <c r="AJ3850" i="2" s="1"/>
  <c r="AL3867" i="2"/>
  <c r="AJ3858" i="2"/>
  <c r="AJ3857" i="2"/>
  <c r="AJ3869" i="2"/>
  <c r="AJ3860" i="2" l="1"/>
  <c r="AJ3859" i="2"/>
  <c r="AJ3864" i="2" s="1"/>
  <c r="AJ3847" i="2"/>
  <c r="AJ3834" i="2"/>
  <c r="AJ3835" i="2" s="1"/>
  <c r="AJ3838" i="2" s="1"/>
  <c r="AK3839" i="2" s="1"/>
  <c r="AJ3872" i="2"/>
  <c r="AJ3871" i="2"/>
  <c r="AJ3883" i="2"/>
  <c r="AL3881" i="2"/>
  <c r="AL3895" i="2" l="1"/>
  <c r="AJ3897" i="2"/>
  <c r="AJ3885" i="2"/>
  <c r="AJ3886" i="2"/>
  <c r="AJ3861" i="2"/>
  <c r="AJ3848" i="2"/>
  <c r="AJ3849" i="2" s="1"/>
  <c r="AJ3852" i="2" s="1"/>
  <c r="AK3853" i="2" s="1"/>
  <c r="AJ3873" i="2"/>
  <c r="AJ3878" i="2" s="1"/>
  <c r="AJ3874" i="2"/>
  <c r="AJ3911" i="2" l="1"/>
  <c r="AJ3900" i="2"/>
  <c r="AJ3899" i="2"/>
  <c r="AL3909" i="2"/>
  <c r="AJ3875" i="2"/>
  <c r="AJ3887" i="2"/>
  <c r="AJ3892" i="2" s="1"/>
  <c r="AJ3888" i="2"/>
  <c r="AJ3862" i="2"/>
  <c r="AJ3863" i="2" s="1"/>
  <c r="AJ3866" i="2" s="1"/>
  <c r="AK3867" i="2" s="1"/>
  <c r="AJ3925" i="2" l="1"/>
  <c r="AL3923" i="2"/>
  <c r="AJ3914" i="2"/>
  <c r="AJ3913" i="2"/>
  <c r="AJ3876" i="2"/>
  <c r="AJ3877" i="2" s="1"/>
  <c r="AJ3880" i="2" s="1"/>
  <c r="AK3881" i="2" s="1"/>
  <c r="AJ3902" i="2"/>
  <c r="AJ3901" i="2"/>
  <c r="AJ3906" i="2" s="1"/>
  <c r="AJ3889" i="2"/>
  <c r="AL3937" i="2" l="1"/>
  <c r="AJ3928" i="2"/>
  <c r="AJ3927" i="2"/>
  <c r="AJ3939" i="2"/>
  <c r="AJ3890" i="2"/>
  <c r="AJ3891" i="2" s="1"/>
  <c r="AJ3894" i="2" s="1"/>
  <c r="AK3895" i="2" s="1"/>
  <c r="AJ3903" i="2"/>
  <c r="AJ3916" i="2"/>
  <c r="AJ3915" i="2"/>
  <c r="AJ3920" i="2" s="1"/>
  <c r="AJ3929" i="2" l="1"/>
  <c r="AJ3934" i="2" s="1"/>
  <c r="AJ3930" i="2"/>
  <c r="AJ3917" i="2"/>
  <c r="AJ3904" i="2"/>
  <c r="AJ3905" i="2" s="1"/>
  <c r="AJ3908" i="2" s="1"/>
  <c r="AK3909" i="2" s="1"/>
  <c r="AJ3941" i="2"/>
  <c r="AJ3942" i="2"/>
  <c r="AL3951" i="2"/>
  <c r="AJ3953" i="2"/>
  <c r="AJ3931" i="2" l="1"/>
  <c r="AJ3943" i="2"/>
  <c r="AJ3948" i="2" s="1"/>
  <c r="AJ3944" i="2"/>
  <c r="AL3965" i="2"/>
  <c r="AJ3967" i="2"/>
  <c r="AJ3956" i="2"/>
  <c r="AJ3955" i="2"/>
  <c r="AJ3918" i="2"/>
  <c r="AJ3919" i="2" s="1"/>
  <c r="AJ3922" i="2" s="1"/>
  <c r="AK3923" i="2" s="1"/>
  <c r="AJ3970" i="2" l="1"/>
  <c r="AJ3969" i="2"/>
  <c r="AJ3981" i="2"/>
  <c r="AL3979" i="2"/>
  <c r="AJ3932" i="2"/>
  <c r="AJ3933" i="2" s="1"/>
  <c r="AJ3936" i="2" s="1"/>
  <c r="AK3937" i="2" s="1"/>
  <c r="AJ3958" i="2"/>
  <c r="AJ3957" i="2"/>
  <c r="AJ3962" i="2" s="1"/>
  <c r="AJ3945" i="2"/>
  <c r="AL3993" i="2" l="1"/>
  <c r="AJ3984" i="2"/>
  <c r="AJ3983" i="2"/>
  <c r="AJ3995" i="2"/>
  <c r="AJ3946" i="2"/>
  <c r="AJ3947" i="2" s="1"/>
  <c r="AJ3950" i="2" s="1"/>
  <c r="AK3951" i="2" s="1"/>
  <c r="AJ3971" i="2"/>
  <c r="AJ3976" i="2" s="1"/>
  <c r="AJ3972" i="2"/>
  <c r="AJ3959" i="2"/>
  <c r="AJ3960" i="2" l="1"/>
  <c r="AJ3961" i="2" s="1"/>
  <c r="AJ3964" i="2" s="1"/>
  <c r="AK3965" i="2" s="1"/>
  <c r="AJ3986" i="2"/>
  <c r="AJ3985" i="2"/>
  <c r="AJ3990" i="2" s="1"/>
  <c r="AJ3973" i="2"/>
  <c r="AL4007" i="2"/>
  <c r="AJ4009" i="2"/>
  <c r="AJ3997" i="2"/>
  <c r="AJ3998" i="2"/>
  <c r="AJ4000" i="2" l="1"/>
  <c r="AJ3999" i="2"/>
  <c r="AJ4004" i="2" s="1"/>
  <c r="AJ3974" i="2"/>
  <c r="AJ3975" i="2" s="1"/>
  <c r="AJ3978" i="2" s="1"/>
  <c r="AK3979" i="2" s="1"/>
  <c r="AJ3987" i="2"/>
  <c r="AJ4023" i="2"/>
  <c r="AJ4012" i="2"/>
  <c r="AJ4011" i="2"/>
  <c r="AL4021" i="2"/>
  <c r="AJ3988" i="2" l="1"/>
  <c r="AJ3989" i="2" s="1"/>
  <c r="AJ3992" i="2" s="1"/>
  <c r="AK3993" i="2" s="1"/>
  <c r="AJ4014" i="2"/>
  <c r="AJ4013" i="2"/>
  <c r="AJ4018" i="2" s="1"/>
  <c r="AJ4001" i="2"/>
  <c r="AL4035" i="2"/>
  <c r="AJ4026" i="2"/>
  <c r="AJ4025" i="2"/>
  <c r="AJ4037" i="2"/>
  <c r="AJ4028" i="2" l="1"/>
  <c r="AJ4027" i="2"/>
  <c r="AJ4032" i="2" s="1"/>
  <c r="AJ4002" i="2"/>
  <c r="AJ4003" i="2" s="1"/>
  <c r="AJ4006" i="2" s="1"/>
  <c r="AK4007" i="2" s="1"/>
  <c r="AJ4039" i="2"/>
  <c r="AJ4051" i="2"/>
  <c r="AL4049" i="2"/>
  <c r="AJ4040" i="2"/>
  <c r="AJ4015" i="2"/>
  <c r="AJ4041" i="2" l="1"/>
  <c r="AJ4046" i="2" s="1"/>
  <c r="AJ4042" i="2"/>
  <c r="AJ4029" i="2"/>
  <c r="AJ4016" i="2"/>
  <c r="AJ4017" i="2" s="1"/>
  <c r="AJ4020" i="2" s="1"/>
  <c r="AK4021" i="2" s="1"/>
  <c r="AJ4065" i="2"/>
  <c r="AJ4053" i="2"/>
  <c r="AJ4054" i="2"/>
  <c r="AL4063" i="2"/>
  <c r="AJ4043" i="2" l="1"/>
  <c r="AJ4067" i="2"/>
  <c r="AL4077" i="2"/>
  <c r="AJ4079" i="2"/>
  <c r="AJ4068" i="2"/>
  <c r="AJ4056" i="2"/>
  <c r="AJ4055" i="2"/>
  <c r="AJ4060" i="2" s="1"/>
  <c r="AJ4030" i="2"/>
  <c r="AJ4031" i="2" s="1"/>
  <c r="AJ4034" i="2" s="1"/>
  <c r="AK4035" i="2" s="1"/>
  <c r="AJ4082" i="2" l="1"/>
  <c r="AJ4081" i="2"/>
  <c r="AJ4093" i="2"/>
  <c r="AL4091" i="2"/>
  <c r="AJ4044" i="2"/>
  <c r="AJ4045" i="2" s="1"/>
  <c r="AJ4048" i="2" s="1"/>
  <c r="AK4049" i="2" s="1"/>
  <c r="AJ4057" i="2"/>
  <c r="AJ4070" i="2"/>
  <c r="AJ4069" i="2"/>
  <c r="AJ4074" i="2" s="1"/>
  <c r="AJ4071" i="2" l="1"/>
  <c r="AJ4084" i="2"/>
  <c r="AJ4083" i="2"/>
  <c r="AJ4088" i="2" s="1"/>
  <c r="AJ4096" i="2"/>
  <c r="AJ4095" i="2"/>
  <c r="AJ4107" i="2"/>
  <c r="AL4105" i="2"/>
  <c r="AJ4058" i="2"/>
  <c r="AJ4059" i="2" s="1"/>
  <c r="AJ4062" i="2" s="1"/>
  <c r="AK4063" i="2" s="1"/>
  <c r="AJ4072" i="2" l="1"/>
  <c r="AJ4073" i="2" s="1"/>
  <c r="AJ4076" i="2" s="1"/>
  <c r="AK4077" i="2" s="1"/>
  <c r="AJ4097" i="2"/>
  <c r="AJ4102" i="2" s="1"/>
  <c r="AJ4098" i="2"/>
  <c r="AJ4085" i="2"/>
  <c r="AJ4110" i="2"/>
  <c r="AL4119" i="2"/>
  <c r="AJ4121" i="2"/>
  <c r="AJ4109" i="2"/>
  <c r="AJ4135" i="2" l="1"/>
  <c r="AJ4124" i="2"/>
  <c r="AJ4123" i="2"/>
  <c r="AL4133" i="2"/>
  <c r="AJ4086" i="2"/>
  <c r="AJ4087" i="2" s="1"/>
  <c r="AJ4090" i="2" s="1"/>
  <c r="AK4091" i="2" s="1"/>
  <c r="AJ4111" i="2"/>
  <c r="AJ4116" i="2" s="1"/>
  <c r="AJ4112" i="2"/>
  <c r="AJ4099" i="2"/>
  <c r="AJ4113" i="2" l="1"/>
  <c r="AJ4137" i="2"/>
  <c r="AJ4149" i="2"/>
  <c r="AL4147" i="2"/>
  <c r="AJ4138" i="2"/>
  <c r="AJ4100" i="2"/>
  <c r="AJ4101" i="2" s="1"/>
  <c r="AJ4104" i="2" s="1"/>
  <c r="AK4105" i="2" s="1"/>
  <c r="AJ4126" i="2"/>
  <c r="AJ4125" i="2"/>
  <c r="AJ4130" i="2" s="1"/>
  <c r="AJ4140" i="2" l="1"/>
  <c r="AJ4139" i="2"/>
  <c r="AJ4144" i="2" s="1"/>
  <c r="AJ4127" i="2"/>
  <c r="AJ4114" i="2"/>
  <c r="AJ4115" i="2" s="1"/>
  <c r="AJ4118" i="2" s="1"/>
  <c r="AK4119" i="2" s="1"/>
  <c r="AJ4152" i="2"/>
  <c r="AJ4151" i="2"/>
  <c r="AJ4163" i="2"/>
  <c r="AL4161" i="2"/>
  <c r="AJ4177" i="2" l="1"/>
  <c r="AJ4165" i="2"/>
  <c r="AJ4166" i="2"/>
  <c r="AL4175" i="2"/>
  <c r="AJ4141" i="2"/>
  <c r="AJ4128" i="2"/>
  <c r="AJ4129" i="2" s="1"/>
  <c r="AJ4132" i="2" s="1"/>
  <c r="AK4133" i="2" s="1"/>
  <c r="AJ4153" i="2"/>
  <c r="AJ4158" i="2" s="1"/>
  <c r="AJ4154" i="2"/>
  <c r="AJ4191" i="2" l="1"/>
  <c r="AJ4180" i="2"/>
  <c r="AJ4179" i="2"/>
  <c r="AL4189" i="2"/>
  <c r="AJ4168" i="2"/>
  <c r="AJ4167" i="2"/>
  <c r="AJ4172" i="2" s="1"/>
  <c r="AJ4155" i="2"/>
  <c r="AJ4142" i="2"/>
  <c r="AJ4143" i="2" s="1"/>
  <c r="AJ4146" i="2" s="1"/>
  <c r="AK4147" i="2" s="1"/>
  <c r="AJ4169" i="2" l="1"/>
  <c r="AJ4194" i="2"/>
  <c r="AJ4193" i="2"/>
  <c r="AJ4205" i="2"/>
  <c r="AL4203" i="2"/>
  <c r="AJ4181" i="2"/>
  <c r="AJ4186" i="2" s="1"/>
  <c r="AJ4182" i="2"/>
  <c r="AJ4156" i="2"/>
  <c r="AJ4157" i="2" s="1"/>
  <c r="AJ4160" i="2" s="1"/>
  <c r="AK4161" i="2" s="1"/>
  <c r="AJ4183" i="2" l="1"/>
  <c r="AL4217" i="2"/>
  <c r="AJ4208" i="2"/>
  <c r="AJ4207" i="2"/>
  <c r="AJ4219" i="2"/>
  <c r="AJ4170" i="2"/>
  <c r="AJ4171" i="2" s="1"/>
  <c r="AJ4174" i="2" s="1"/>
  <c r="AK4175" i="2" s="1"/>
  <c r="AJ4196" i="2"/>
  <c r="AJ4195" i="2"/>
  <c r="AJ4200" i="2" s="1"/>
  <c r="AJ4209" i="2" l="1"/>
  <c r="AJ4214" i="2" s="1"/>
  <c r="AJ4210" i="2"/>
  <c r="AJ4197" i="2"/>
  <c r="AJ4233" i="2"/>
  <c r="AJ4221" i="2"/>
  <c r="AJ4222" i="2"/>
  <c r="AL4231" i="2"/>
  <c r="AJ4184" i="2"/>
  <c r="AJ4185" i="2" s="1"/>
  <c r="AJ4188" i="2" s="1"/>
  <c r="AK4189" i="2" s="1"/>
  <c r="AJ4211" i="2" l="1"/>
  <c r="AL4245" i="2"/>
  <c r="AJ4247" i="2"/>
  <c r="AJ4236" i="2"/>
  <c r="AJ4235" i="2"/>
  <c r="AJ4223" i="2"/>
  <c r="AJ4228" i="2" s="1"/>
  <c r="AJ4224" i="2"/>
  <c r="AJ4198" i="2"/>
  <c r="AJ4199" i="2" s="1"/>
  <c r="AJ4202" i="2" s="1"/>
  <c r="AK4203" i="2" s="1"/>
  <c r="AJ4212" i="2" l="1"/>
  <c r="AJ4213" i="2" s="1"/>
  <c r="AJ4216" i="2" s="1"/>
  <c r="AK4217" i="2" s="1"/>
  <c r="AJ4238" i="2"/>
  <c r="AJ4237" i="2"/>
  <c r="AJ4242" i="2" s="1"/>
  <c r="AJ4225" i="2"/>
  <c r="AL4259" i="2"/>
  <c r="AJ4250" i="2"/>
  <c r="AJ4249" i="2"/>
  <c r="AJ4261" i="2"/>
  <c r="AL4273" i="2" l="1"/>
  <c r="AJ4264" i="2"/>
  <c r="AJ4263" i="2"/>
  <c r="AJ4275" i="2"/>
  <c r="AJ4226" i="2"/>
  <c r="AJ4227" i="2" s="1"/>
  <c r="AJ4230" i="2" s="1"/>
  <c r="AK4231" i="2" s="1"/>
  <c r="AJ4239" i="2"/>
  <c r="AJ4251" i="2"/>
  <c r="AJ4256" i="2" s="1"/>
  <c r="AJ4252" i="2"/>
  <c r="AJ4240" i="2" l="1"/>
  <c r="AJ4241" i="2" s="1"/>
  <c r="AJ4244" i="2" s="1"/>
  <c r="AK4245" i="2" s="1"/>
  <c r="AJ4289" i="2"/>
  <c r="AJ4277" i="2"/>
  <c r="AJ4278" i="2"/>
  <c r="AL4287" i="2"/>
  <c r="AJ4253" i="2"/>
  <c r="AJ4265" i="2"/>
  <c r="AJ4270" i="2" s="1"/>
  <c r="AJ4266" i="2"/>
  <c r="AJ4267" i="2" l="1"/>
  <c r="AJ4303" i="2"/>
  <c r="AJ4292" i="2"/>
  <c r="AJ4291" i="2"/>
  <c r="AL4301" i="2"/>
  <c r="AJ4254" i="2"/>
  <c r="AJ4255" i="2" s="1"/>
  <c r="AJ4258" i="2" s="1"/>
  <c r="AK4259" i="2" s="1"/>
  <c r="AJ4280" i="2"/>
  <c r="AJ4279" i="2"/>
  <c r="AJ4284" i="2" s="1"/>
  <c r="AJ4281" i="2" l="1"/>
  <c r="AJ4294" i="2"/>
  <c r="AJ4293" i="2"/>
  <c r="AJ4298" i="2" s="1"/>
  <c r="AJ4268" i="2"/>
  <c r="AJ4269" i="2" s="1"/>
  <c r="AJ4272" i="2" s="1"/>
  <c r="AK4273" i="2" s="1"/>
  <c r="AL4315" i="2"/>
  <c r="AJ4306" i="2"/>
  <c r="AJ4305" i="2"/>
  <c r="AJ4317" i="2"/>
  <c r="AJ4282" i="2" l="1"/>
  <c r="AJ4283" i="2" s="1"/>
  <c r="AJ4286" i="2" s="1"/>
  <c r="AK4287" i="2" s="1"/>
  <c r="AJ4319" i="2"/>
  <c r="AJ4331" i="2"/>
  <c r="AL4329" i="2"/>
  <c r="AJ4320" i="2"/>
  <c r="AJ4295" i="2"/>
  <c r="AJ4307" i="2"/>
  <c r="AJ4312" i="2" s="1"/>
  <c r="AJ4308" i="2"/>
  <c r="AJ4296" i="2" l="1"/>
  <c r="AJ4297" i="2" s="1"/>
  <c r="AJ4300" i="2" s="1"/>
  <c r="AK4301" i="2" s="1"/>
  <c r="AJ4334" i="2"/>
  <c r="AL4343" i="2"/>
  <c r="AJ4345" i="2"/>
  <c r="AJ4333" i="2"/>
  <c r="AJ4309" i="2"/>
  <c r="AJ4321" i="2"/>
  <c r="AJ4326" i="2" s="1"/>
  <c r="AJ4322" i="2"/>
  <c r="AJ4347" i="2" l="1"/>
  <c r="AL4357" i="2"/>
  <c r="AJ4359" i="2"/>
  <c r="AJ4348" i="2"/>
  <c r="AJ4336" i="2"/>
  <c r="AJ4335" i="2"/>
  <c r="AJ4340" i="2" s="1"/>
  <c r="AJ4323" i="2"/>
  <c r="AJ4310" i="2"/>
  <c r="AJ4311" i="2" s="1"/>
  <c r="AJ4314" i="2" s="1"/>
  <c r="AK4315" i="2" s="1"/>
  <c r="AJ4324" i="2" l="1"/>
  <c r="AJ4325" i="2" s="1"/>
  <c r="AJ4328" i="2" s="1"/>
  <c r="AK4329" i="2" s="1"/>
  <c r="AJ4350" i="2"/>
  <c r="AJ4349" i="2"/>
  <c r="AJ4354" i="2" s="1"/>
  <c r="AJ4337" i="2"/>
  <c r="AL4371" i="2"/>
  <c r="AJ4362" i="2"/>
  <c r="AJ4361" i="2"/>
  <c r="AJ4373" i="2"/>
  <c r="AJ4338" i="2" l="1"/>
  <c r="AJ4339" i="2" s="1"/>
  <c r="AJ4342" i="2" s="1"/>
  <c r="AK4343" i="2" s="1"/>
  <c r="AJ4351" i="2"/>
  <c r="AJ4364" i="2"/>
  <c r="AJ4363" i="2"/>
  <c r="AJ4368" i="2" s="1"/>
  <c r="AL4385" i="2"/>
  <c r="AJ4376" i="2"/>
  <c r="AJ4375" i="2"/>
  <c r="AJ4387" i="2"/>
  <c r="AJ4352" i="2" l="1"/>
  <c r="AJ4353" i="2" s="1"/>
  <c r="AJ4356" i="2" s="1"/>
  <c r="AK4357" i="2" s="1"/>
  <c r="AJ4365" i="2"/>
  <c r="AJ4377" i="2"/>
  <c r="AJ4382" i="2" s="1"/>
  <c r="AJ4378" i="2"/>
  <c r="AJ4390" i="2"/>
  <c r="AL4399" i="2"/>
  <c r="AJ4401" i="2"/>
  <c r="AJ4389" i="2"/>
  <c r="AJ4379" i="2" l="1"/>
  <c r="AL4413" i="2"/>
  <c r="AJ4415" i="2"/>
  <c r="AJ4404" i="2"/>
  <c r="AJ4403" i="2"/>
  <c r="AJ4392" i="2"/>
  <c r="AJ4391" i="2"/>
  <c r="AJ4396" i="2" s="1"/>
  <c r="AJ4366" i="2"/>
  <c r="AJ4367" i="2" s="1"/>
  <c r="AJ4370" i="2" s="1"/>
  <c r="AK4371" i="2" s="1"/>
  <c r="AJ4380" i="2" l="1"/>
  <c r="AJ4381" i="2" s="1"/>
  <c r="AJ4384" i="2" s="1"/>
  <c r="AK4385" i="2" s="1"/>
  <c r="AJ4405" i="2"/>
  <c r="AJ4410" i="2" s="1"/>
  <c r="AJ4406" i="2"/>
  <c r="AJ4393" i="2"/>
  <c r="AJ4418" i="2"/>
  <c r="AJ4429" i="2"/>
  <c r="AL4427" i="2"/>
  <c r="AJ4417" i="2"/>
  <c r="AJ4419" i="2" l="1"/>
  <c r="AJ4424" i="2" s="1"/>
  <c r="AJ4420" i="2"/>
  <c r="AJ4394" i="2"/>
  <c r="AJ4395" i="2" s="1"/>
  <c r="AJ4398" i="2" s="1"/>
  <c r="AK4399" i="2" s="1"/>
  <c r="AJ4431" i="2"/>
  <c r="AL4441" i="2"/>
  <c r="AJ4443" i="2"/>
  <c r="AJ4432" i="2"/>
  <c r="AJ4407" i="2"/>
  <c r="AJ4433" i="2" l="1"/>
  <c r="AJ4438" i="2" s="1"/>
  <c r="AJ4434" i="2"/>
  <c r="AJ4408" i="2"/>
  <c r="AJ4409" i="2" s="1"/>
  <c r="AJ4412" i="2" s="1"/>
  <c r="AK4413" i="2" s="1"/>
  <c r="AJ4421" i="2"/>
  <c r="AJ4446" i="2"/>
  <c r="AJ4445" i="2"/>
  <c r="AJ4457" i="2"/>
  <c r="AL4455" i="2"/>
  <c r="AJ4460" i="2" l="1"/>
  <c r="AJ4459" i="2"/>
  <c r="AL4469" i="2"/>
  <c r="AJ4471" i="2"/>
  <c r="AJ4435" i="2"/>
  <c r="AJ4422" i="2"/>
  <c r="AJ4423" i="2" s="1"/>
  <c r="AJ4426" i="2" s="1"/>
  <c r="AK4427" i="2" s="1"/>
  <c r="AJ4447" i="2"/>
  <c r="AJ4452" i="2" s="1"/>
  <c r="AJ4448" i="2"/>
  <c r="AJ4449" i="2" l="1"/>
  <c r="AJ4436" i="2"/>
  <c r="AJ4437" i="2" s="1"/>
  <c r="AJ4440" i="2" s="1"/>
  <c r="AK4441" i="2" s="1"/>
  <c r="AJ4461" i="2"/>
  <c r="AJ4466" i="2" s="1"/>
  <c r="AJ4462" i="2"/>
  <c r="AL4483" i="2"/>
  <c r="AJ4474" i="2"/>
  <c r="AJ4473" i="2"/>
  <c r="AJ4485" i="2"/>
  <c r="AJ4476" i="2" l="1"/>
  <c r="AJ4475" i="2"/>
  <c r="AJ4480" i="2" s="1"/>
  <c r="AJ4488" i="2"/>
  <c r="AL4497" i="2"/>
  <c r="AJ4487" i="2"/>
  <c r="AJ4499" i="2"/>
  <c r="AJ4463" i="2"/>
  <c r="AJ4450" i="2"/>
  <c r="AJ4451" i="2" s="1"/>
  <c r="AJ4454" i="2" s="1"/>
  <c r="AK4455" i="2" s="1"/>
  <c r="AJ4489" i="2" l="1"/>
  <c r="AJ4494" i="2" s="1"/>
  <c r="AJ4490" i="2"/>
  <c r="AJ4477" i="2"/>
  <c r="AJ4502" i="2"/>
  <c r="AL4511" i="2"/>
  <c r="AJ4501" i="2"/>
  <c r="AJ4513" i="2"/>
  <c r="AJ4464" i="2"/>
  <c r="AJ4465" i="2" s="1"/>
  <c r="AJ4468" i="2" s="1"/>
  <c r="AK4469" i="2" s="1"/>
  <c r="AJ4503" i="2" l="1"/>
  <c r="AJ4508" i="2" s="1"/>
  <c r="AJ4504" i="2"/>
  <c r="AJ4478" i="2"/>
  <c r="AJ4479" i="2" s="1"/>
  <c r="AJ4482" i="2" s="1"/>
  <c r="AK4483" i="2" s="1"/>
  <c r="AJ4491" i="2"/>
  <c r="AJ4527" i="2"/>
  <c r="AJ4516" i="2"/>
  <c r="AJ4515" i="2"/>
  <c r="AL4525" i="2"/>
  <c r="AJ4492" i="2" l="1"/>
  <c r="AJ4493" i="2" s="1"/>
  <c r="AJ4496" i="2" s="1"/>
  <c r="AK4497" i="2" s="1"/>
  <c r="AJ4505" i="2"/>
  <c r="AJ4517" i="2"/>
  <c r="AJ4522" i="2" s="1"/>
  <c r="AJ4518" i="2"/>
  <c r="AJ4530" i="2"/>
  <c r="AJ4529" i="2"/>
  <c r="AJ4541" i="2"/>
  <c r="AL4539" i="2"/>
  <c r="AJ4544" i="2" l="1"/>
  <c r="AL4553" i="2"/>
  <c r="AJ4543" i="2"/>
  <c r="AJ4555" i="2"/>
  <c r="AJ4506" i="2"/>
  <c r="AJ4507" i="2" s="1"/>
  <c r="AJ4510" i="2" s="1"/>
  <c r="AK4511" i="2" s="1"/>
  <c r="AJ4519" i="2"/>
  <c r="AJ4531" i="2"/>
  <c r="AJ4536" i="2" s="1"/>
  <c r="AJ4532" i="2"/>
  <c r="AJ4533" i="2" l="1"/>
  <c r="AJ4545" i="2"/>
  <c r="AJ4550" i="2" s="1"/>
  <c r="AJ4546" i="2"/>
  <c r="AJ4520" i="2"/>
  <c r="AJ4521" i="2" s="1"/>
  <c r="AJ4524" i="2" s="1"/>
  <c r="AK4525" i="2" s="1"/>
  <c r="AJ4558" i="2"/>
  <c r="AL4567" i="2"/>
  <c r="AJ4557" i="2"/>
  <c r="AJ4569" i="2"/>
  <c r="AJ4534" i="2" l="1"/>
  <c r="AJ4535" i="2" s="1"/>
  <c r="AJ4538" i="2" s="1"/>
  <c r="AK4539" i="2" s="1"/>
  <c r="AJ4559" i="2"/>
  <c r="AJ4564" i="2" s="1"/>
  <c r="AJ4560" i="2"/>
  <c r="AJ4583" i="2"/>
  <c r="AJ4572" i="2"/>
  <c r="AJ4571" i="2"/>
  <c r="AL4581" i="2"/>
  <c r="AJ4547" i="2"/>
  <c r="AL4595" i="2" l="1"/>
  <c r="AJ4586" i="2"/>
  <c r="AJ4585" i="2"/>
  <c r="AJ4597" i="2"/>
  <c r="AJ4573" i="2"/>
  <c r="AJ4578" i="2" s="1"/>
  <c r="AJ4574" i="2"/>
  <c r="AJ4548" i="2"/>
  <c r="AJ4549" i="2" s="1"/>
  <c r="AJ4552" i="2" s="1"/>
  <c r="AK4553" i="2" s="1"/>
  <c r="AJ4561" i="2"/>
  <c r="AJ4562" i="2" l="1"/>
  <c r="AJ4563" i="2" s="1"/>
  <c r="AJ4566" i="2" s="1"/>
  <c r="AK4567" i="2" s="1"/>
  <c r="AJ4575" i="2"/>
  <c r="AJ4588" i="2"/>
  <c r="AJ4587" i="2"/>
  <c r="AJ4592" i="2" s="1"/>
  <c r="AJ4611" i="2"/>
  <c r="AJ4600" i="2"/>
  <c r="AL4609" i="2"/>
  <c r="AJ4599" i="2"/>
  <c r="AJ4601" i="2" l="1"/>
  <c r="AJ4606" i="2" s="1"/>
  <c r="AJ4602" i="2"/>
  <c r="AJ4613" i="2"/>
  <c r="AJ4625" i="2"/>
  <c r="AJ4614" i="2"/>
  <c r="AL4623" i="2"/>
  <c r="AJ4576" i="2"/>
  <c r="AJ4577" i="2" s="1"/>
  <c r="AJ4580" i="2" s="1"/>
  <c r="AK4581" i="2" s="1"/>
  <c r="AJ4589" i="2"/>
  <c r="AJ4590" i="2" l="1"/>
  <c r="AJ4591" i="2" s="1"/>
  <c r="AJ4594" i="2" s="1"/>
  <c r="AK4595" i="2" s="1"/>
  <c r="AJ4603" i="2"/>
  <c r="AJ4615" i="2"/>
  <c r="AJ4620" i="2" s="1"/>
  <c r="AJ4616" i="2"/>
  <c r="AL4637" i="2"/>
  <c r="AJ4639" i="2"/>
  <c r="AJ4628" i="2"/>
  <c r="AJ4627" i="2"/>
  <c r="AJ4604" i="2" l="1"/>
  <c r="AJ4605" i="2" s="1"/>
  <c r="AJ4608" i="2" s="1"/>
  <c r="AK4609" i="2" s="1"/>
  <c r="AJ4630" i="2"/>
  <c r="AJ4629" i="2"/>
  <c r="AJ4634" i="2" s="1"/>
  <c r="AJ4617" i="2"/>
  <c r="AJ4642" i="2"/>
  <c r="AJ4641" i="2"/>
  <c r="AJ4653" i="2"/>
  <c r="AL4651" i="2"/>
  <c r="AJ4655" i="2" l="1"/>
  <c r="AJ4667" i="2"/>
  <c r="AJ4656" i="2"/>
  <c r="AL4665" i="2"/>
  <c r="AJ4631" i="2"/>
  <c r="AJ4618" i="2"/>
  <c r="AJ4619" i="2" s="1"/>
  <c r="AJ4622" i="2" s="1"/>
  <c r="AK4623" i="2" s="1"/>
  <c r="AJ4643" i="2"/>
  <c r="AJ4648" i="2" s="1"/>
  <c r="AJ4644" i="2"/>
  <c r="AL4679" i="2" l="1"/>
  <c r="AJ4669" i="2"/>
  <c r="AJ4681" i="2"/>
  <c r="AJ4670" i="2"/>
  <c r="AJ4658" i="2"/>
  <c r="AJ4657" i="2"/>
  <c r="AJ4662" i="2" s="1"/>
  <c r="AJ4645" i="2"/>
  <c r="AJ4632" i="2"/>
  <c r="AJ4633" i="2" s="1"/>
  <c r="AJ4636" i="2" s="1"/>
  <c r="AK4637" i="2" s="1"/>
  <c r="AJ4659" i="2" l="1"/>
  <c r="AJ4671" i="2"/>
  <c r="AJ4676" i="2" s="1"/>
  <c r="AJ4672" i="2"/>
  <c r="AJ4684" i="2"/>
  <c r="AJ4683" i="2"/>
  <c r="AL4693" i="2"/>
  <c r="AJ4695" i="2"/>
  <c r="AJ4646" i="2"/>
  <c r="AJ4647" i="2" s="1"/>
  <c r="AJ4650" i="2" s="1"/>
  <c r="AK4651" i="2" s="1"/>
  <c r="AJ4685" i="2" l="1"/>
  <c r="AJ4690" i="2" s="1"/>
  <c r="AJ4686" i="2"/>
  <c r="AJ4660" i="2"/>
  <c r="AJ4661" i="2" s="1"/>
  <c r="AJ4664" i="2" s="1"/>
  <c r="AK4665" i="2" s="1"/>
  <c r="AL4707" i="2"/>
  <c r="AJ4698" i="2"/>
  <c r="AJ4697" i="2"/>
  <c r="AJ4709" i="2"/>
  <c r="AJ4673" i="2"/>
  <c r="AJ4674" i="2" l="1"/>
  <c r="AJ4675" i="2" s="1"/>
  <c r="AJ4678" i="2" s="1"/>
  <c r="AK4679" i="2" s="1"/>
  <c r="AJ4687" i="2"/>
  <c r="AJ4699" i="2"/>
  <c r="AJ4704" i="2" s="1"/>
  <c r="AJ4700" i="2"/>
  <c r="AJ4711" i="2"/>
  <c r="AJ4723" i="2"/>
  <c r="AJ4712" i="2"/>
  <c r="AL4721" i="2"/>
  <c r="AJ4701" i="2" l="1"/>
  <c r="AJ4713" i="2"/>
  <c r="AJ4718" i="2" s="1"/>
  <c r="AJ4714" i="2"/>
  <c r="AJ4688" i="2"/>
  <c r="AJ4689" i="2" s="1"/>
  <c r="AJ4692" i="2" s="1"/>
  <c r="AK4693" i="2" s="1"/>
  <c r="AJ4737" i="2"/>
  <c r="AJ4726" i="2"/>
  <c r="AL4735" i="2"/>
  <c r="AJ4725" i="2"/>
  <c r="AJ4727" i="2" l="1"/>
  <c r="AJ4732" i="2" s="1"/>
  <c r="AJ4728" i="2"/>
  <c r="AJ4702" i="2"/>
  <c r="AJ4703" i="2" s="1"/>
  <c r="AJ4706" i="2" s="1"/>
  <c r="AK4707" i="2" s="1"/>
  <c r="AJ4739" i="2"/>
  <c r="AL4749" i="2"/>
  <c r="AJ4751" i="2"/>
  <c r="AJ4740" i="2"/>
  <c r="AJ4715" i="2"/>
  <c r="AJ4729" i="2" l="1"/>
  <c r="AJ4742" i="2"/>
  <c r="AJ4741" i="2"/>
  <c r="AJ4746" i="2" s="1"/>
  <c r="AJ4716" i="2"/>
  <c r="AJ4717" i="2" s="1"/>
  <c r="AJ4720" i="2" s="1"/>
  <c r="AK4721" i="2" s="1"/>
  <c r="AJ4765" i="2"/>
  <c r="AL4763" i="2"/>
  <c r="AJ4754" i="2"/>
  <c r="AJ4753" i="2"/>
  <c r="AJ4756" i="2" l="1"/>
  <c r="AJ4755" i="2"/>
  <c r="AJ4760" i="2" s="1"/>
  <c r="AJ4730" i="2"/>
  <c r="AJ4731" i="2" s="1"/>
  <c r="AJ4734" i="2" s="1"/>
  <c r="AK4735" i="2" s="1"/>
  <c r="AL4777" i="2"/>
  <c r="AJ4767" i="2"/>
  <c r="AJ4779" i="2"/>
  <c r="AJ4768" i="2"/>
  <c r="AJ4743" i="2"/>
  <c r="AJ4769" i="2" l="1"/>
  <c r="AJ4774" i="2" s="1"/>
  <c r="AJ4770" i="2"/>
  <c r="AJ4757" i="2"/>
  <c r="AJ4744" i="2"/>
  <c r="AJ4745" i="2" s="1"/>
  <c r="AJ4748" i="2" s="1"/>
  <c r="AK4749" i="2" s="1"/>
  <c r="AJ4781" i="2"/>
  <c r="AJ4793" i="2"/>
  <c r="AJ4782" i="2"/>
  <c r="AL4791" i="2"/>
  <c r="AJ4784" i="2" l="1"/>
  <c r="AJ4783" i="2"/>
  <c r="AJ4788" i="2" s="1"/>
  <c r="AJ4758" i="2"/>
  <c r="AJ4759" i="2" s="1"/>
  <c r="AJ4762" i="2" s="1"/>
  <c r="AK4763" i="2" s="1"/>
  <c r="AJ4771" i="2"/>
  <c r="AJ4796" i="2"/>
  <c r="AJ4795" i="2"/>
  <c r="AL4805" i="2"/>
  <c r="AJ4807" i="2"/>
  <c r="AJ4772" i="2" l="1"/>
  <c r="AJ4773" i="2" s="1"/>
  <c r="AJ4776" i="2" s="1"/>
  <c r="AK4777" i="2" s="1"/>
  <c r="AJ4785" i="2"/>
  <c r="AJ4810" i="2"/>
  <c r="AJ4809" i="2"/>
  <c r="AJ4821" i="2"/>
  <c r="AL4819" i="2"/>
  <c r="AJ4798" i="2"/>
  <c r="AJ4797" i="2"/>
  <c r="AJ4802" i="2" s="1"/>
  <c r="AJ4812" i="2" l="1"/>
  <c r="AJ4811" i="2"/>
  <c r="AJ4816" i="2" s="1"/>
  <c r="AJ4786" i="2"/>
  <c r="AJ4787" i="2" s="1"/>
  <c r="AJ4790" i="2" s="1"/>
  <c r="AK4791" i="2" s="1"/>
  <c r="AJ4799" i="2"/>
  <c r="AJ4835" i="2"/>
  <c r="AJ4824" i="2"/>
  <c r="AL4833" i="2"/>
  <c r="AJ4823" i="2"/>
  <c r="AJ4825" i="2" l="1"/>
  <c r="AJ4830" i="2" s="1"/>
  <c r="AJ4826" i="2"/>
  <c r="AJ4800" i="2"/>
  <c r="AJ4801" i="2" s="1"/>
  <c r="AJ4804" i="2" s="1"/>
  <c r="AK4805" i="2" s="1"/>
  <c r="AJ4813" i="2"/>
  <c r="AL4847" i="2"/>
  <c r="AJ4849" i="2"/>
  <c r="AJ4838" i="2"/>
  <c r="AJ4837" i="2"/>
  <c r="AJ4863" i="2" l="1"/>
  <c r="AJ4851" i="2"/>
  <c r="AL4861" i="2"/>
  <c r="AJ4852" i="2"/>
  <c r="AJ4814" i="2"/>
  <c r="AJ4815" i="2" s="1"/>
  <c r="AJ4818" i="2" s="1"/>
  <c r="AK4819" i="2" s="1"/>
  <c r="AJ4839" i="2"/>
  <c r="AJ4844" i="2" s="1"/>
  <c r="AJ4840" i="2"/>
  <c r="AJ4827" i="2"/>
  <c r="AJ4865" i="2" l="1"/>
  <c r="AJ4877" i="2"/>
  <c r="AL4875" i="2"/>
  <c r="AJ4866" i="2"/>
  <c r="AJ4828" i="2"/>
  <c r="AJ4829" i="2" s="1"/>
  <c r="AJ4832" i="2" s="1"/>
  <c r="AK4833" i="2" s="1"/>
  <c r="AJ4853" i="2"/>
  <c r="AJ4858" i="2" s="1"/>
  <c r="AJ4854" i="2"/>
  <c r="AJ4841" i="2"/>
  <c r="AJ4868" i="2" l="1"/>
  <c r="AJ4867" i="2"/>
  <c r="AJ4872" i="2" s="1"/>
  <c r="AJ4891" i="2"/>
  <c r="AJ4880" i="2"/>
  <c r="AL4889" i="2"/>
  <c r="AJ4879" i="2"/>
  <c r="AJ4842" i="2"/>
  <c r="AJ4843" i="2" s="1"/>
  <c r="AJ4846" i="2" s="1"/>
  <c r="AK4847" i="2" s="1"/>
  <c r="AJ4855" i="2"/>
  <c r="AJ4869" i="2" l="1"/>
  <c r="AJ4856" i="2"/>
  <c r="AJ4857" i="2" s="1"/>
  <c r="AJ4860" i="2" s="1"/>
  <c r="AK4861" i="2" s="1"/>
  <c r="AJ4881" i="2"/>
  <c r="AJ4886" i="2" s="1"/>
  <c r="AJ4882" i="2"/>
  <c r="AJ4894" i="2"/>
  <c r="AL4903" i="2"/>
  <c r="AJ4893" i="2"/>
  <c r="AJ4905" i="2"/>
  <c r="AJ4883" i="2" l="1"/>
  <c r="AJ4895" i="2"/>
  <c r="AJ4900" i="2" s="1"/>
  <c r="AJ4896" i="2"/>
  <c r="AJ4870" i="2"/>
  <c r="AJ4871" i="2" s="1"/>
  <c r="AJ4874" i="2" s="1"/>
  <c r="AK4875" i="2" s="1"/>
  <c r="AJ4919" i="2"/>
  <c r="AJ4908" i="2"/>
  <c r="AJ4907" i="2"/>
  <c r="AL4917" i="2"/>
  <c r="AJ4910" i="2" l="1"/>
  <c r="AJ4909" i="2"/>
  <c r="AJ4914" i="2" s="1"/>
  <c r="AJ4933" i="2"/>
  <c r="AL4931" i="2"/>
  <c r="AJ4922" i="2"/>
  <c r="AJ4921" i="2"/>
  <c r="AJ4884" i="2"/>
  <c r="AJ4885" i="2" s="1"/>
  <c r="AJ4888" i="2" s="1"/>
  <c r="AK4889" i="2" s="1"/>
  <c r="AJ4897" i="2"/>
  <c r="AJ4911" i="2" l="1"/>
  <c r="AJ4898" i="2"/>
  <c r="AJ4899" i="2" s="1"/>
  <c r="AJ4902" i="2" s="1"/>
  <c r="AK4903" i="2" s="1"/>
  <c r="AL4945" i="2"/>
  <c r="AJ4935" i="2"/>
  <c r="AJ4947" i="2"/>
  <c r="AJ4936" i="2"/>
  <c r="AJ4924" i="2"/>
  <c r="AJ4923" i="2"/>
  <c r="AJ4928" i="2" s="1"/>
  <c r="AJ4925" i="2" l="1"/>
  <c r="AJ4912" i="2"/>
  <c r="AJ4913" i="2" s="1"/>
  <c r="AJ4916" i="2" s="1"/>
  <c r="AK4917" i="2" s="1"/>
  <c r="AL4959" i="2"/>
  <c r="AJ4949" i="2"/>
  <c r="AJ4961" i="2"/>
  <c r="AJ4950" i="2"/>
  <c r="AJ4937" i="2"/>
  <c r="AJ4942" i="2" s="1"/>
  <c r="AJ4938" i="2"/>
  <c r="AJ4952" i="2" l="1"/>
  <c r="AJ4951" i="2"/>
  <c r="AJ4956" i="2" s="1"/>
  <c r="AJ4926" i="2"/>
  <c r="AJ4927" i="2" s="1"/>
  <c r="AJ4930" i="2" s="1"/>
  <c r="AK4931" i="2" s="1"/>
  <c r="AJ4939" i="2"/>
  <c r="AJ4964" i="2"/>
  <c r="AJ4963" i="2"/>
  <c r="AL4973" i="2"/>
  <c r="AJ4975" i="2"/>
  <c r="AJ4978" i="2" l="1"/>
  <c r="AJ4977" i="2"/>
  <c r="AJ4989" i="2"/>
  <c r="AL4987" i="2"/>
  <c r="AJ4940" i="2"/>
  <c r="AJ4941" i="2" s="1"/>
  <c r="AJ4944" i="2" s="1"/>
  <c r="AK4945" i="2" s="1"/>
  <c r="AJ4953" i="2"/>
  <c r="AJ4966" i="2"/>
  <c r="AJ4965" i="2"/>
  <c r="AJ4970" i="2" s="1"/>
  <c r="AJ4967" i="2" l="1"/>
  <c r="AJ4991" i="2"/>
  <c r="AJ5003" i="2"/>
  <c r="AJ4992" i="2"/>
  <c r="AL5001" i="2"/>
  <c r="AJ4980" i="2"/>
  <c r="AJ4979" i="2"/>
  <c r="AJ4984" i="2" s="1"/>
  <c r="AJ4954" i="2"/>
  <c r="AJ4955" i="2" s="1"/>
  <c r="AJ4958" i="2" s="1"/>
  <c r="AK4959" i="2" s="1"/>
  <c r="AJ4968" i="2" l="1"/>
  <c r="AJ4969" i="2" s="1"/>
  <c r="AJ4972" i="2" s="1"/>
  <c r="AK4973" i="2" s="1"/>
  <c r="AJ4981" i="2"/>
  <c r="AJ4993" i="2"/>
  <c r="AJ4998" i="2" s="1"/>
  <c r="AJ4994" i="2"/>
  <c r="AL5015" i="2"/>
  <c r="AJ5005" i="2"/>
  <c r="AJ5017" i="2"/>
  <c r="AJ5006" i="2"/>
  <c r="AL5029" i="2" l="1"/>
  <c r="AJ5031" i="2"/>
  <c r="AJ5020" i="2"/>
  <c r="AJ5019" i="2"/>
  <c r="AJ4995" i="2"/>
  <c r="AJ4982" i="2"/>
  <c r="AJ4983" i="2" s="1"/>
  <c r="AJ4986" i="2" s="1"/>
  <c r="AK4987" i="2" s="1"/>
  <c r="AJ5008" i="2"/>
  <c r="AJ5007" i="2"/>
  <c r="AJ5012" i="2" s="1"/>
  <c r="AJ4996" i="2" l="1"/>
  <c r="AJ4997" i="2" s="1"/>
  <c r="AJ5000" i="2" s="1"/>
  <c r="AK5001" i="2" s="1"/>
  <c r="AJ5009" i="2"/>
  <c r="AJ5045" i="2"/>
  <c r="AL5043" i="2"/>
  <c r="AJ5034" i="2"/>
  <c r="AJ5033" i="2"/>
  <c r="AJ5022" i="2"/>
  <c r="AJ5021" i="2"/>
  <c r="AJ5026" i="2" s="1"/>
  <c r="AJ5010" i="2" l="1"/>
  <c r="AJ5011" i="2" s="1"/>
  <c r="AJ5014" i="2" s="1"/>
  <c r="AK5015" i="2" s="1"/>
  <c r="AJ5059" i="2"/>
  <c r="AJ5048" i="2"/>
  <c r="AL5057" i="2"/>
  <c r="AJ5047" i="2"/>
  <c r="AJ5023" i="2"/>
  <c r="AJ5036" i="2"/>
  <c r="AJ5035" i="2"/>
  <c r="AJ5040" i="2" s="1"/>
  <c r="AJ5037" i="2" l="1"/>
  <c r="AJ5050" i="2"/>
  <c r="AJ5049" i="2"/>
  <c r="AJ5054" i="2" s="1"/>
  <c r="AJ5073" i="2"/>
  <c r="AJ5062" i="2"/>
  <c r="AL5071" i="2"/>
  <c r="AJ5061" i="2"/>
  <c r="AJ5024" i="2"/>
  <c r="AJ5025" i="2" s="1"/>
  <c r="AJ5028" i="2" s="1"/>
  <c r="AK5029" i="2" s="1"/>
  <c r="AJ5076" i="2" l="1"/>
  <c r="AJ5075" i="2"/>
  <c r="AL5085" i="2"/>
  <c r="AJ5087" i="2"/>
  <c r="AJ5038" i="2"/>
  <c r="AJ5039" i="2" s="1"/>
  <c r="AJ5042" i="2" s="1"/>
  <c r="AK5043" i="2" s="1"/>
  <c r="AJ5051" i="2"/>
  <c r="AJ5064" i="2"/>
  <c r="AJ5063" i="2"/>
  <c r="AJ5068" i="2" s="1"/>
  <c r="AJ5065" i="2" l="1"/>
  <c r="AJ5077" i="2"/>
  <c r="AJ5082" i="2" s="1"/>
  <c r="AJ5078" i="2"/>
  <c r="AJ5052" i="2"/>
  <c r="AJ5053" i="2" s="1"/>
  <c r="AJ5056" i="2" s="1"/>
  <c r="AK5057" i="2" s="1"/>
  <c r="AJ5089" i="2"/>
  <c r="AJ5101" i="2"/>
  <c r="AL5099" i="2"/>
  <c r="AJ5090" i="2"/>
  <c r="AJ5066" i="2" l="1"/>
  <c r="AJ5067" i="2" s="1"/>
  <c r="AJ5070" i="2" s="1"/>
  <c r="AK5071" i="2" s="1"/>
  <c r="AJ5092" i="2"/>
  <c r="AJ5091" i="2"/>
  <c r="AJ5096" i="2" s="1"/>
  <c r="AJ5115" i="2"/>
  <c r="AJ5104" i="2"/>
  <c r="AL5113" i="2"/>
  <c r="AJ5103" i="2"/>
  <c r="AJ5079" i="2"/>
  <c r="AJ5118" i="2" l="1"/>
  <c r="AL5127" i="2"/>
  <c r="AJ5117" i="2"/>
  <c r="AJ5129" i="2"/>
  <c r="AJ5080" i="2"/>
  <c r="AJ5081" i="2" s="1"/>
  <c r="AJ5084" i="2" s="1"/>
  <c r="AK5085" i="2" s="1"/>
  <c r="AJ5093" i="2"/>
  <c r="AJ5105" i="2"/>
  <c r="AJ5110" i="2" s="1"/>
  <c r="AJ5106" i="2"/>
  <c r="AJ5094" i="2" l="1"/>
  <c r="AJ5095" i="2" s="1"/>
  <c r="AJ5098" i="2" s="1"/>
  <c r="AK5099" i="2" s="1"/>
  <c r="AJ5107" i="2"/>
  <c r="AJ5119" i="2"/>
  <c r="AJ5124" i="2" s="1"/>
  <c r="AJ5120" i="2"/>
  <c r="AJ5131" i="2"/>
  <c r="AL5141" i="2"/>
  <c r="AJ5143" i="2"/>
  <c r="AJ5132" i="2"/>
  <c r="AJ5157" i="2" l="1"/>
  <c r="AL5155" i="2"/>
  <c r="AJ5146" i="2"/>
  <c r="AJ5145" i="2"/>
  <c r="AJ5121" i="2"/>
  <c r="AJ5134" i="2"/>
  <c r="AJ5133" i="2"/>
  <c r="AJ5138" i="2" s="1"/>
  <c r="AJ5108" i="2"/>
  <c r="AJ5109" i="2" s="1"/>
  <c r="AJ5112" i="2" s="1"/>
  <c r="AK5113" i="2" s="1"/>
  <c r="AJ5159" i="2" l="1"/>
  <c r="AJ5171" i="2"/>
  <c r="AJ5160" i="2"/>
  <c r="AL5169" i="2"/>
  <c r="AJ5122" i="2"/>
  <c r="AJ5123" i="2" s="1"/>
  <c r="AJ5126" i="2" s="1"/>
  <c r="AK5127" i="2" s="1"/>
  <c r="AJ5135" i="2"/>
  <c r="AJ5147" i="2"/>
  <c r="AJ5152" i="2" s="1"/>
  <c r="AJ5148" i="2"/>
  <c r="AJ5161" i="2" l="1"/>
  <c r="AJ5166" i="2" s="1"/>
  <c r="AJ5162" i="2"/>
  <c r="AL5183" i="2"/>
  <c r="AJ5173" i="2"/>
  <c r="AJ5185" i="2"/>
  <c r="AJ5174" i="2"/>
  <c r="AJ5149" i="2"/>
  <c r="AJ5136" i="2"/>
  <c r="AJ5137" i="2" s="1"/>
  <c r="AJ5140" i="2" s="1"/>
  <c r="AK5141" i="2" s="1"/>
  <c r="AL5197" i="2" l="1"/>
  <c r="AJ5199" i="2"/>
  <c r="AJ5188" i="2"/>
  <c r="AJ5187" i="2"/>
  <c r="AJ5163" i="2"/>
  <c r="AJ5150" i="2"/>
  <c r="AJ5151" i="2" s="1"/>
  <c r="AJ5154" i="2" s="1"/>
  <c r="AK5155" i="2" s="1"/>
  <c r="AJ5176" i="2"/>
  <c r="AJ5175" i="2"/>
  <c r="AJ5180" i="2" s="1"/>
  <c r="AJ5177" i="2" l="1"/>
  <c r="AJ5164" i="2"/>
  <c r="AJ5165" i="2" s="1"/>
  <c r="AJ5168" i="2" s="1"/>
  <c r="AK5169" i="2" s="1"/>
  <c r="AL5211" i="2"/>
  <c r="AJ5202" i="2"/>
  <c r="AJ5201" i="2"/>
  <c r="AJ5213" i="2"/>
  <c r="AJ5189" i="2"/>
  <c r="AJ5194" i="2" s="1"/>
  <c r="AJ5190" i="2"/>
  <c r="AJ5191" i="2" l="1"/>
  <c r="AJ5178" i="2"/>
  <c r="AJ5179" i="2" s="1"/>
  <c r="AJ5182" i="2" s="1"/>
  <c r="AK5183" i="2" s="1"/>
  <c r="AJ5204" i="2"/>
  <c r="AJ5203" i="2"/>
  <c r="AJ5208" i="2" s="1"/>
  <c r="AL5225" i="2"/>
  <c r="AJ5215" i="2"/>
  <c r="AJ5227" i="2"/>
  <c r="AJ5216" i="2"/>
  <c r="AJ5229" i="2" l="1"/>
  <c r="AJ5241" i="2"/>
  <c r="AJ5230" i="2"/>
  <c r="AL5239" i="2"/>
  <c r="AJ5205" i="2"/>
  <c r="AJ5192" i="2"/>
  <c r="AJ5193" i="2" s="1"/>
  <c r="AJ5196" i="2" s="1"/>
  <c r="AK5197" i="2" s="1"/>
  <c r="AJ5217" i="2"/>
  <c r="AJ5222" i="2" s="1"/>
  <c r="AJ5218" i="2"/>
  <c r="AJ5231" i="2" l="1"/>
  <c r="AJ5236" i="2" s="1"/>
  <c r="AJ5232" i="2"/>
  <c r="AJ5206" i="2"/>
  <c r="AJ5207" i="2" s="1"/>
  <c r="AJ5210" i="2" s="1"/>
  <c r="AK5211" i="2" s="1"/>
  <c r="AJ5219" i="2"/>
  <c r="AL5253" i="2"/>
  <c r="AJ5255" i="2"/>
  <c r="AJ5244" i="2"/>
  <c r="AJ5243" i="2"/>
  <c r="AJ5220" i="2" l="1"/>
  <c r="AJ5221" i="2" s="1"/>
  <c r="AJ5224" i="2" s="1"/>
  <c r="AK5225" i="2" s="1"/>
  <c r="AJ5245" i="2"/>
  <c r="AJ5250" i="2" s="1"/>
  <c r="AJ5246" i="2"/>
  <c r="AJ5233" i="2"/>
  <c r="AJ5269" i="2"/>
  <c r="AL5267" i="2"/>
  <c r="AJ5258" i="2"/>
  <c r="AJ5257" i="2"/>
  <c r="AJ5234" i="2" l="1"/>
  <c r="AJ5235" i="2" s="1"/>
  <c r="AJ5238" i="2" s="1"/>
  <c r="AK5239" i="2" s="1"/>
  <c r="AJ5272" i="2"/>
  <c r="AL5281" i="2"/>
  <c r="AJ5271" i="2"/>
  <c r="AJ5283" i="2"/>
  <c r="AJ5260" i="2"/>
  <c r="AJ5259" i="2"/>
  <c r="AJ5264" i="2" s="1"/>
  <c r="AJ5247" i="2"/>
  <c r="AJ5274" i="2" l="1"/>
  <c r="AJ5273" i="2"/>
  <c r="AJ5278" i="2" s="1"/>
  <c r="AJ5248" i="2"/>
  <c r="AJ5249" i="2" s="1"/>
  <c r="AJ5252" i="2" s="1"/>
  <c r="AK5253" i="2" s="1"/>
  <c r="AJ5297" i="2"/>
  <c r="AJ5286" i="2"/>
  <c r="AL5295" i="2"/>
  <c r="AJ5285" i="2"/>
  <c r="AJ5261" i="2"/>
  <c r="AJ5262" i="2" l="1"/>
  <c r="AJ5263" i="2" s="1"/>
  <c r="AJ5266" i="2" s="1"/>
  <c r="AK5267" i="2" s="1"/>
  <c r="AJ5299" i="2"/>
  <c r="AL5309" i="2"/>
  <c r="AJ5311" i="2"/>
  <c r="AJ5300" i="2"/>
  <c r="AJ5275" i="2"/>
  <c r="AJ5287" i="2"/>
  <c r="AJ5292" i="2" s="1"/>
  <c r="AJ5288" i="2"/>
  <c r="AJ5276" i="2" l="1"/>
  <c r="AJ5277" i="2" s="1"/>
  <c r="AJ5280" i="2" s="1"/>
  <c r="AK5281" i="2" s="1"/>
  <c r="AL5323" i="2"/>
  <c r="AJ5314" i="2"/>
  <c r="AJ5313" i="2"/>
  <c r="AJ5325" i="2"/>
  <c r="AJ5301" i="2"/>
  <c r="AJ5306" i="2" s="1"/>
  <c r="AJ5302" i="2"/>
  <c r="AJ5289" i="2"/>
  <c r="AJ5303" i="2" l="1"/>
  <c r="AJ5316" i="2"/>
  <c r="AJ5315" i="2"/>
  <c r="AJ5320" i="2" s="1"/>
  <c r="AL5337" i="2"/>
  <c r="AJ5327" i="2"/>
  <c r="AJ5339" i="2"/>
  <c r="AJ5328" i="2"/>
  <c r="AJ5290" i="2"/>
  <c r="AJ5291" i="2" s="1"/>
  <c r="AJ5294" i="2" s="1"/>
  <c r="AK5295" i="2" s="1"/>
  <c r="AJ5304" i="2" l="1"/>
  <c r="AJ5305" i="2" s="1"/>
  <c r="AJ5308" i="2" s="1"/>
  <c r="AK5309" i="2" s="1"/>
  <c r="AJ5329" i="2"/>
  <c r="AJ5334" i="2" s="1"/>
  <c r="AJ5330" i="2"/>
  <c r="AJ5341" i="2"/>
  <c r="AJ5353" i="2"/>
  <c r="AJ5342" i="2"/>
  <c r="AL5351" i="2"/>
  <c r="AJ5317" i="2"/>
  <c r="AJ5318" i="2" l="1"/>
  <c r="AJ5319" i="2" s="1"/>
  <c r="AJ5322" i="2" s="1"/>
  <c r="AK5323" i="2" s="1"/>
  <c r="AJ5356" i="2"/>
  <c r="AJ5355" i="2"/>
  <c r="AL5365" i="2"/>
  <c r="AJ5367" i="2"/>
  <c r="AJ5343" i="2"/>
  <c r="AJ5348" i="2" s="1"/>
  <c r="AJ5344" i="2"/>
  <c r="AJ5331" i="2"/>
  <c r="AJ5370" i="2" l="1"/>
  <c r="AJ5369" i="2"/>
  <c r="AJ5381" i="2"/>
  <c r="AL5379" i="2"/>
  <c r="AJ5332" i="2"/>
  <c r="AJ5333" i="2" s="1"/>
  <c r="AJ5336" i="2" s="1"/>
  <c r="AK5337" i="2" s="1"/>
  <c r="AJ5345" i="2"/>
  <c r="AJ5357" i="2"/>
  <c r="AJ5362" i="2" s="1"/>
  <c r="AJ5358" i="2"/>
  <c r="AJ5384" i="2" l="1"/>
  <c r="AL5393" i="2"/>
  <c r="AJ5383" i="2"/>
  <c r="AJ5395" i="2"/>
  <c r="AJ5372" i="2"/>
  <c r="AJ5371" i="2"/>
  <c r="AJ5376" i="2" s="1"/>
  <c r="AJ5359" i="2"/>
  <c r="AJ5346" i="2"/>
  <c r="AJ5347" i="2" s="1"/>
  <c r="AJ5350" i="2" s="1"/>
  <c r="AK5351" i="2" s="1"/>
  <c r="AJ5360" i="2" l="1"/>
  <c r="AJ5361" i="2" s="1"/>
  <c r="AJ5364" i="2" s="1"/>
  <c r="AK5365" i="2" s="1"/>
  <c r="AL5407" i="2"/>
  <c r="AJ5398" i="2"/>
  <c r="AJ5397" i="2"/>
  <c r="AJ5409" i="2"/>
  <c r="AJ5373" i="2"/>
  <c r="AJ5385" i="2"/>
  <c r="AJ5390" i="2" s="1"/>
  <c r="AJ5386" i="2"/>
  <c r="AJ5387" i="2" l="1"/>
  <c r="AJ5400" i="2"/>
  <c r="AJ5399" i="2"/>
  <c r="AJ5404" i="2" s="1"/>
  <c r="AL5421" i="2"/>
  <c r="AJ5423" i="2"/>
  <c r="AJ5412" i="2"/>
  <c r="AJ5411" i="2"/>
  <c r="AJ5374" i="2"/>
  <c r="AJ5375" i="2" s="1"/>
  <c r="AJ5378" i="2" s="1"/>
  <c r="AK5379" i="2" s="1"/>
  <c r="AJ5388" i="2" l="1"/>
  <c r="AJ5389" i="2" s="1"/>
  <c r="AJ5392" i="2" s="1"/>
  <c r="AK5393" i="2" s="1"/>
  <c r="AJ5425" i="2"/>
  <c r="AJ5437" i="2"/>
  <c r="AL5435" i="2"/>
  <c r="AJ5426" i="2"/>
  <c r="AJ5401" i="2"/>
  <c r="AJ5413" i="2"/>
  <c r="AJ5418" i="2" s="1"/>
  <c r="AJ5414" i="2"/>
  <c r="AJ5415" i="2" l="1"/>
  <c r="AJ5427" i="2"/>
  <c r="AJ5432" i="2" s="1"/>
  <c r="AJ5428" i="2"/>
  <c r="AJ5402" i="2"/>
  <c r="AJ5403" i="2" s="1"/>
  <c r="AJ5406" i="2" s="1"/>
  <c r="AK5407" i="2" s="1"/>
  <c r="AJ5439" i="2"/>
  <c r="AJ5451" i="2"/>
  <c r="AJ5440" i="2"/>
  <c r="AL5449" i="2"/>
  <c r="AJ5416" i="2" l="1"/>
  <c r="AJ5417" i="2" s="1"/>
  <c r="AJ5420" i="2" s="1"/>
  <c r="AK5421" i="2" s="1"/>
  <c r="AJ5441" i="2"/>
  <c r="AJ5446" i="2" s="1"/>
  <c r="AJ5442" i="2"/>
  <c r="AJ5453" i="2"/>
  <c r="AJ5465" i="2"/>
  <c r="AL5463" i="2"/>
  <c r="AJ5454" i="2"/>
  <c r="AJ5429" i="2"/>
  <c r="AJ5430" i="2" l="1"/>
  <c r="AJ5431" i="2" s="1"/>
  <c r="AJ5434" i="2" s="1"/>
  <c r="AK5435" i="2" s="1"/>
  <c r="AL5477" i="2"/>
  <c r="AJ5467" i="2"/>
  <c r="AJ5479" i="2"/>
  <c r="AJ5468" i="2"/>
  <c r="AJ5456" i="2"/>
  <c r="AJ5455" i="2"/>
  <c r="AJ5460" i="2" s="1"/>
  <c r="AJ5443" i="2"/>
  <c r="AJ5481" i="2" l="1"/>
  <c r="AJ5482" i="2"/>
  <c r="AJ5493" i="2"/>
  <c r="AL5491" i="2"/>
  <c r="AJ5457" i="2"/>
  <c r="AJ5444" i="2"/>
  <c r="AJ5445" i="2" s="1"/>
  <c r="AJ5448" i="2" s="1"/>
  <c r="AK5449" i="2" s="1"/>
  <c r="AJ5470" i="2"/>
  <c r="AJ5469" i="2"/>
  <c r="AJ5474" i="2" s="1"/>
  <c r="AJ5484" i="2" l="1"/>
  <c r="AJ5483" i="2"/>
  <c r="AJ5488" i="2" s="1"/>
  <c r="AJ5471" i="2"/>
  <c r="AJ5458" i="2"/>
  <c r="AJ5459" i="2" s="1"/>
  <c r="AJ5462" i="2" s="1"/>
  <c r="AK5463" i="2" s="1"/>
  <c r="AJ5507" i="2"/>
  <c r="AJ5496" i="2"/>
  <c r="AJ5495" i="2"/>
  <c r="AL5505" i="2"/>
  <c r="AJ5498" i="2" l="1"/>
  <c r="AJ5497" i="2"/>
  <c r="AJ5502" i="2" s="1"/>
  <c r="AJ5485" i="2"/>
  <c r="AL5519" i="2"/>
  <c r="AJ5509" i="2"/>
  <c r="AJ5521" i="2"/>
  <c r="AJ5510" i="2"/>
  <c r="AJ5472" i="2"/>
  <c r="AJ5473" i="2" s="1"/>
  <c r="AJ5476" i="2" s="1"/>
  <c r="AK5477" i="2" s="1"/>
  <c r="AJ5499" i="2" l="1"/>
  <c r="AJ5511" i="2"/>
  <c r="AJ5516" i="2" s="1"/>
  <c r="AJ5512" i="2"/>
  <c r="AJ5535" i="2"/>
  <c r="AJ5524" i="2"/>
  <c r="AJ5523" i="2"/>
  <c r="AL5533" i="2"/>
  <c r="AJ5486" i="2"/>
  <c r="AJ5487" i="2" s="1"/>
  <c r="AJ5490" i="2" s="1"/>
  <c r="AK5491" i="2" s="1"/>
  <c r="AJ5537" i="2" l="1"/>
  <c r="AL5547" i="2"/>
  <c r="AJ5549" i="2"/>
  <c r="AJ5538" i="2"/>
  <c r="AJ5500" i="2"/>
  <c r="AJ5501" i="2" s="1"/>
  <c r="AJ5504" i="2" s="1"/>
  <c r="AK5505" i="2" s="1"/>
  <c r="AJ5525" i="2"/>
  <c r="AJ5530" i="2" s="1"/>
  <c r="AJ5526" i="2"/>
  <c r="AJ5513" i="2"/>
  <c r="AJ5527" i="2" l="1"/>
  <c r="AJ5540" i="2"/>
  <c r="AJ5539" i="2"/>
  <c r="AJ5544" i="2" s="1"/>
  <c r="AJ5514" i="2"/>
  <c r="AJ5515" i="2" s="1"/>
  <c r="AJ5518" i="2" s="1"/>
  <c r="AK5519" i="2" s="1"/>
  <c r="AJ5552" i="2"/>
  <c r="AJ5563" i="2"/>
  <c r="AL5561" i="2"/>
  <c r="AJ5551" i="2"/>
  <c r="AJ5528" i="2" l="1"/>
  <c r="AJ5529" i="2" s="1"/>
  <c r="AJ5532" i="2" s="1"/>
  <c r="AK5533" i="2" s="1"/>
  <c r="AJ5541" i="2"/>
  <c r="AJ5553" i="2"/>
  <c r="AJ5558" i="2" s="1"/>
  <c r="AJ5554" i="2"/>
  <c r="AJ5566" i="2"/>
  <c r="AJ5577" i="2"/>
  <c r="AL5575" i="2"/>
  <c r="AJ5565" i="2"/>
  <c r="AL5589" i="2" l="1"/>
  <c r="AJ5579" i="2"/>
  <c r="AJ5591" i="2"/>
  <c r="AJ5580" i="2"/>
  <c r="AJ5567" i="2"/>
  <c r="AJ5572" i="2" s="1"/>
  <c r="AJ5568" i="2"/>
  <c r="AJ5555" i="2"/>
  <c r="AJ5542" i="2"/>
  <c r="AJ5543" i="2" s="1"/>
  <c r="AJ5546" i="2" s="1"/>
  <c r="AK5547" i="2" s="1"/>
  <c r="AJ5594" i="2" l="1"/>
  <c r="AJ5593" i="2"/>
  <c r="AJ5605" i="2"/>
  <c r="AL5603" i="2"/>
  <c r="AJ5582" i="2"/>
  <c r="AJ5581" i="2"/>
  <c r="AJ5586" i="2" s="1"/>
  <c r="AJ5569" i="2"/>
  <c r="AJ5556" i="2"/>
  <c r="AJ5557" i="2" s="1"/>
  <c r="AJ5560" i="2" s="1"/>
  <c r="AK5561" i="2" s="1"/>
  <c r="AJ5596" i="2" l="1"/>
  <c r="AJ5595" i="2"/>
  <c r="AJ5600" i="2" s="1"/>
  <c r="AJ5570" i="2"/>
  <c r="AJ5571" i="2" s="1"/>
  <c r="AJ5574" i="2" s="1"/>
  <c r="AK5575" i="2" s="1"/>
  <c r="AJ5583" i="2"/>
  <c r="AL5617" i="2"/>
  <c r="AJ5607" i="2"/>
  <c r="AJ5619" i="2"/>
  <c r="AJ5608" i="2"/>
  <c r="AJ5621" i="2" l="1"/>
  <c r="AJ5622" i="2"/>
  <c r="AL5631" i="2"/>
  <c r="AJ5584" i="2"/>
  <c r="AJ5585" i="2" s="1"/>
  <c r="AJ5588" i="2" s="1"/>
  <c r="AK5589" i="2" s="1"/>
  <c r="AJ5597" i="2"/>
  <c r="AJ5609" i="2"/>
  <c r="AJ5614" i="2" s="1"/>
  <c r="AJ5610" i="2"/>
  <c r="AJ5611" i="2" l="1"/>
  <c r="AJ5623" i="2"/>
  <c r="AJ5628" i="2" s="1"/>
  <c r="AJ5624" i="2"/>
  <c r="AJ5598" i="2"/>
  <c r="AJ5599" i="2" s="1"/>
  <c r="AJ5602" i="2" s="1"/>
  <c r="AK5603" i="2" s="1"/>
  <c r="AJ5612" i="2" l="1"/>
  <c r="AJ5613" i="2" s="1"/>
  <c r="AJ5616" i="2" s="1"/>
  <c r="AK5617" i="2" s="1"/>
  <c r="AJ5625" i="2"/>
  <c r="AJ5626" i="2" l="1"/>
  <c r="AJ5627" i="2" s="1"/>
  <c r="AJ5630" i="2" s="1"/>
  <c r="AK5631" i="2" s="1"/>
  <c r="AL18" i="2" s="1"/>
  <c r="AL20" i="2" s="1"/>
  <c r="AL19" i="2" l="1"/>
  <c r="P40" i="3" s="1"/>
  <c r="O44" i="3" l="1"/>
  <c r="O41" i="3" s="1"/>
  <c r="O40" i="3"/>
  <c r="N44" i="3" s="1"/>
  <c r="N41" i="3" s="1"/>
  <c r="AM33" i="2"/>
  <c r="AM35" i="2" s="1"/>
  <c r="AM37" i="2" s="1"/>
  <c r="AM42" i="2" s="1"/>
  <c r="AO45" i="2" l="1"/>
  <c r="AM47" i="2"/>
  <c r="AO59" i="2" s="1"/>
  <c r="AM36" i="2"/>
  <c r="AM38" i="2" s="1"/>
  <c r="AM39" i="2" s="1"/>
  <c r="AM61" i="2" l="1"/>
  <c r="AO73" i="2" s="1"/>
  <c r="AM50" i="2"/>
  <c r="AM49" i="2"/>
  <c r="AM51" i="2" s="1"/>
  <c r="AM56" i="2" s="1"/>
  <c r="AM40" i="2"/>
  <c r="AM41" i="2" s="1"/>
  <c r="AM44" i="2" s="1"/>
  <c r="AN45" i="2" s="1"/>
  <c r="AM64" i="2" l="1"/>
  <c r="AM52" i="2"/>
  <c r="AM53" i="2" s="1"/>
  <c r="AM54" i="2" s="1"/>
  <c r="AM55" i="2" s="1"/>
  <c r="AM58" i="2" s="1"/>
  <c r="AN59" i="2" s="1"/>
  <c r="AM75" i="2"/>
  <c r="AM78" i="2" s="1"/>
  <c r="AM63" i="2"/>
  <c r="AM65" i="2" s="1"/>
  <c r="AM70" i="2" s="1"/>
  <c r="AM77" i="2" l="1"/>
  <c r="AM79" i="2" s="1"/>
  <c r="AM84" i="2" s="1"/>
  <c r="AM89" i="2"/>
  <c r="AM91" i="2" s="1"/>
  <c r="AO87" i="2"/>
  <c r="AM66" i="2"/>
  <c r="AM67" i="2" s="1"/>
  <c r="AM68" i="2" s="1"/>
  <c r="AM69" i="2" s="1"/>
  <c r="AM72" i="2" s="1"/>
  <c r="AN73" i="2" s="1"/>
  <c r="AM92" i="2" l="1"/>
  <c r="AM94" i="2" s="1"/>
  <c r="AM95" i="2" s="1"/>
  <c r="AM80" i="2"/>
  <c r="AM81" i="2" s="1"/>
  <c r="AM82" i="2" s="1"/>
  <c r="AM83" i="2" s="1"/>
  <c r="AM86" i="2" s="1"/>
  <c r="AN87" i="2" s="1"/>
  <c r="AM103" i="2"/>
  <c r="AM106" i="2" s="1"/>
  <c r="AO101" i="2"/>
  <c r="AM93" i="2"/>
  <c r="AM98" i="2" s="1"/>
  <c r="AM105" i="2" l="1"/>
  <c r="AM107" i="2" s="1"/>
  <c r="AM112" i="2" s="1"/>
  <c r="AO115" i="2"/>
  <c r="AM117" i="2"/>
  <c r="AO129" i="2" s="1"/>
  <c r="AM96" i="2"/>
  <c r="AM97" i="2" s="1"/>
  <c r="AM100" i="2" s="1"/>
  <c r="AN101" i="2" s="1"/>
  <c r="AM131" i="2" l="1"/>
  <c r="AM145" i="2" s="1"/>
  <c r="AM108" i="2"/>
  <c r="AM109" i="2" s="1"/>
  <c r="AM110" i="2" s="1"/>
  <c r="AM111" i="2" s="1"/>
  <c r="AM114" i="2" s="1"/>
  <c r="AN115" i="2" s="1"/>
  <c r="AM119" i="2"/>
  <c r="AM121" i="2" s="1"/>
  <c r="AM126" i="2" s="1"/>
  <c r="AM120" i="2"/>
  <c r="AM134" i="2" l="1"/>
  <c r="AO143" i="2"/>
  <c r="AM133" i="2"/>
  <c r="AM135" i="2" s="1"/>
  <c r="AM140" i="2" s="1"/>
  <c r="AM122" i="2"/>
  <c r="AM123" i="2" s="1"/>
  <c r="AM124" i="2" s="1"/>
  <c r="AM125" i="2" s="1"/>
  <c r="AM128" i="2" s="1"/>
  <c r="AN129" i="2" s="1"/>
  <c r="AM159" i="2"/>
  <c r="AO157" i="2"/>
  <c r="AM148" i="2"/>
  <c r="AM147" i="2"/>
  <c r="AM136" i="2" l="1"/>
  <c r="AM137" i="2" s="1"/>
  <c r="AM138" i="2" s="1"/>
  <c r="AM139" i="2" s="1"/>
  <c r="AM142" i="2" s="1"/>
  <c r="AN143" i="2" s="1"/>
  <c r="AM150" i="2"/>
  <c r="AM151" i="2" s="1"/>
  <c r="AM152" i="2" s="1"/>
  <c r="AM149" i="2"/>
  <c r="AM154" i="2" s="1"/>
  <c r="AM173" i="2"/>
  <c r="AM161" i="2"/>
  <c r="AM162" i="2"/>
  <c r="AO171" i="2"/>
  <c r="AM153" i="2" l="1"/>
  <c r="AM156" i="2" s="1"/>
  <c r="AN157" i="2" s="1"/>
  <c r="AM163" i="2"/>
  <c r="AM168" i="2" s="1"/>
  <c r="AM164" i="2"/>
  <c r="AM165" i="2" s="1"/>
  <c r="AM166" i="2" s="1"/>
  <c r="AO185" i="2"/>
  <c r="AM176" i="2"/>
  <c r="AM175" i="2"/>
  <c r="AM187" i="2"/>
  <c r="AM167" i="2" l="1"/>
  <c r="AM170" i="2" s="1"/>
  <c r="AN171" i="2" s="1"/>
  <c r="AM178" i="2"/>
  <c r="AM179" i="2" s="1"/>
  <c r="AM177" i="2"/>
  <c r="AM182" i="2" s="1"/>
  <c r="AO199" i="2"/>
  <c r="AM190" i="2"/>
  <c r="AM189" i="2"/>
  <c r="AM201" i="2"/>
  <c r="AM192" i="2" l="1"/>
  <c r="AM193" i="2" s="1"/>
  <c r="AM191" i="2"/>
  <c r="AM196" i="2" s="1"/>
  <c r="AM180" i="2"/>
  <c r="AM181" i="2" s="1"/>
  <c r="AM184" i="2" s="1"/>
  <c r="AN185" i="2" s="1"/>
  <c r="AM204" i="2"/>
  <c r="AM203" i="2"/>
  <c r="AM215" i="2"/>
  <c r="AO213" i="2"/>
  <c r="AM194" i="2" l="1"/>
  <c r="AM195" i="2" s="1"/>
  <c r="AM198" i="2" s="1"/>
  <c r="AN199" i="2" s="1"/>
  <c r="AM205" i="2"/>
  <c r="AM210" i="2" s="1"/>
  <c r="AM206" i="2"/>
  <c r="AM207" i="2" s="1"/>
  <c r="AM208" i="2" s="1"/>
  <c r="AM218" i="2"/>
  <c r="AM229" i="2"/>
  <c r="AO227" i="2"/>
  <c r="AM217" i="2"/>
  <c r="AM209" i="2" l="1"/>
  <c r="AM212" i="2" s="1"/>
  <c r="AN213" i="2" s="1"/>
  <c r="AM231" i="2"/>
  <c r="AM243" i="2"/>
  <c r="AM232" i="2"/>
  <c r="AO241" i="2"/>
  <c r="AM220" i="2"/>
  <c r="AM221" i="2" s="1"/>
  <c r="AM222" i="2" s="1"/>
  <c r="AM219" i="2"/>
  <c r="AM224" i="2" s="1"/>
  <c r="AM223" i="2" l="1"/>
  <c r="AM226" i="2" s="1"/>
  <c r="AN227" i="2" s="1"/>
  <c r="AM234" i="2"/>
  <c r="AM235" i="2" s="1"/>
  <c r="AM233" i="2"/>
  <c r="AM238" i="2" s="1"/>
  <c r="AM257" i="2"/>
  <c r="AO255" i="2"/>
  <c r="AM246" i="2"/>
  <c r="AM245" i="2"/>
  <c r="AM236" i="2" l="1"/>
  <c r="AM237" i="2" s="1"/>
  <c r="AM240" i="2" s="1"/>
  <c r="AN241" i="2" s="1"/>
  <c r="AM271" i="2"/>
  <c r="AO269" i="2"/>
  <c r="AM259" i="2"/>
  <c r="AM260" i="2"/>
  <c r="AM248" i="2"/>
  <c r="AM249" i="2" s="1"/>
  <c r="AM247" i="2"/>
  <c r="AM252" i="2" s="1"/>
  <c r="AM261" i="2" l="1"/>
  <c r="AM266" i="2" s="1"/>
  <c r="AM262" i="2"/>
  <c r="AM263" i="2" s="1"/>
  <c r="AM264" i="2" s="1"/>
  <c r="AM274" i="2"/>
  <c r="AM273" i="2"/>
  <c r="AM285" i="2"/>
  <c r="AO283" i="2"/>
  <c r="AM250" i="2"/>
  <c r="AM251" i="2" s="1"/>
  <c r="AM254" i="2" s="1"/>
  <c r="AN255" i="2" s="1"/>
  <c r="AM265" i="2" l="1"/>
  <c r="AM268" i="2" s="1"/>
  <c r="AN269" i="2" s="1"/>
  <c r="AM287" i="2"/>
  <c r="AM299" i="2"/>
  <c r="AO297" i="2"/>
  <c r="AM288" i="2"/>
  <c r="AM276" i="2"/>
  <c r="AM277" i="2" s="1"/>
  <c r="AM275" i="2"/>
  <c r="AM280" i="2" s="1"/>
  <c r="AM289" i="2" l="1"/>
  <c r="AM294" i="2" s="1"/>
  <c r="AM290" i="2"/>
  <c r="AM291" i="2" s="1"/>
  <c r="AM313" i="2"/>
  <c r="AM302" i="2"/>
  <c r="AO311" i="2"/>
  <c r="AM301" i="2"/>
  <c r="AM278" i="2"/>
  <c r="AM279" i="2" s="1"/>
  <c r="AM282" i="2" s="1"/>
  <c r="AN283" i="2" s="1"/>
  <c r="AM304" i="2" l="1"/>
  <c r="AM305" i="2" s="1"/>
  <c r="AM303" i="2"/>
  <c r="AM308" i="2" s="1"/>
  <c r="AM292" i="2"/>
  <c r="AM293" i="2" s="1"/>
  <c r="AM296" i="2" s="1"/>
  <c r="AN297" i="2" s="1"/>
  <c r="AO325" i="2"/>
  <c r="AM316" i="2"/>
  <c r="AM327" i="2"/>
  <c r="AM315" i="2"/>
  <c r="AM306" i="2" l="1"/>
  <c r="AM307" i="2" s="1"/>
  <c r="AM310" i="2" s="1"/>
  <c r="AN311" i="2" s="1"/>
  <c r="AM329" i="2"/>
  <c r="AO339" i="2"/>
  <c r="AM330" i="2"/>
  <c r="AM341" i="2"/>
  <c r="AM317" i="2"/>
  <c r="AM322" i="2" s="1"/>
  <c r="AM318" i="2"/>
  <c r="AM319" i="2" s="1"/>
  <c r="AM320" i="2" s="1"/>
  <c r="AM321" i="2" l="1"/>
  <c r="AM324" i="2" s="1"/>
  <c r="AN325" i="2" s="1"/>
  <c r="AM332" i="2"/>
  <c r="AM333" i="2" s="1"/>
  <c r="AM331" i="2"/>
  <c r="AM336" i="2" s="1"/>
  <c r="AO353" i="2"/>
  <c r="AM355" i="2"/>
  <c r="AM344" i="2"/>
  <c r="AM343" i="2"/>
  <c r="AM345" i="2" l="1"/>
  <c r="AM350" i="2" s="1"/>
  <c r="AM346" i="2"/>
  <c r="AM347" i="2" s="1"/>
  <c r="AM334" i="2"/>
  <c r="AM335" i="2" s="1"/>
  <c r="AM338" i="2" s="1"/>
  <c r="AN339" i="2" s="1"/>
  <c r="AM357" i="2"/>
  <c r="AM358" i="2"/>
  <c r="AM369" i="2"/>
  <c r="AO367" i="2"/>
  <c r="AM359" i="2" l="1"/>
  <c r="AM364" i="2" s="1"/>
  <c r="AM360" i="2"/>
  <c r="AM361" i="2" s="1"/>
  <c r="AM348" i="2"/>
  <c r="AM349" i="2" s="1"/>
  <c r="AM352" i="2" s="1"/>
  <c r="AN353" i="2" s="1"/>
  <c r="AM371" i="2"/>
  <c r="AM383" i="2"/>
  <c r="AM372" i="2"/>
  <c r="AO381" i="2"/>
  <c r="AM374" i="2" l="1"/>
  <c r="AM375" i="2" s="1"/>
  <c r="AM376" i="2" s="1"/>
  <c r="AM373" i="2"/>
  <c r="AM378" i="2" s="1"/>
  <c r="AM397" i="2"/>
  <c r="AO395" i="2"/>
  <c r="AM385" i="2"/>
  <c r="AM386" i="2"/>
  <c r="AM362" i="2"/>
  <c r="AM363" i="2" s="1"/>
  <c r="AM366" i="2" s="1"/>
  <c r="AN367" i="2" s="1"/>
  <c r="AM377" i="2" l="1"/>
  <c r="AM380" i="2" s="1"/>
  <c r="AN381" i="2" s="1"/>
  <c r="AM411" i="2"/>
  <c r="AO409" i="2"/>
  <c r="AM399" i="2"/>
  <c r="AM400" i="2"/>
  <c r="AM387" i="2"/>
  <c r="AM392" i="2" s="1"/>
  <c r="AM388" i="2"/>
  <c r="AM389" i="2" s="1"/>
  <c r="AM425" i="2" l="1"/>
  <c r="AM414" i="2"/>
  <c r="AO423" i="2"/>
  <c r="AM413" i="2"/>
  <c r="AM390" i="2"/>
  <c r="AM391" i="2" s="1"/>
  <c r="AM394" i="2" s="1"/>
  <c r="AN395" i="2" s="1"/>
  <c r="AM401" i="2"/>
  <c r="AM406" i="2" s="1"/>
  <c r="AM402" i="2"/>
  <c r="AM403" i="2" s="1"/>
  <c r="AM404" i="2" s="1"/>
  <c r="AM405" i="2" l="1"/>
  <c r="AM408" i="2" s="1"/>
  <c r="AN409" i="2" s="1"/>
  <c r="AO437" i="2"/>
  <c r="AM439" i="2"/>
  <c r="AM428" i="2"/>
  <c r="AM427" i="2"/>
  <c r="AM416" i="2"/>
  <c r="AM417" i="2" s="1"/>
  <c r="AM415" i="2"/>
  <c r="AM420" i="2" s="1"/>
  <c r="AM418" i="2" l="1"/>
  <c r="AM419" i="2" s="1"/>
  <c r="AM422" i="2" s="1"/>
  <c r="AN423" i="2" s="1"/>
  <c r="AM441" i="2"/>
  <c r="AM453" i="2"/>
  <c r="AO451" i="2"/>
  <c r="AM442" i="2"/>
  <c r="AM430" i="2"/>
  <c r="AM431" i="2" s="1"/>
  <c r="AM432" i="2" s="1"/>
  <c r="AM429" i="2"/>
  <c r="AM434" i="2" s="1"/>
  <c r="AM433" i="2" l="1"/>
  <c r="AM436" i="2" s="1"/>
  <c r="AN437" i="2" s="1"/>
  <c r="AM444" i="2"/>
  <c r="AM445" i="2" s="1"/>
  <c r="AM443" i="2"/>
  <c r="AM448" i="2" s="1"/>
  <c r="AO465" i="2"/>
  <c r="AM456" i="2"/>
  <c r="AM467" i="2"/>
  <c r="AM455" i="2"/>
  <c r="AM446" i="2" l="1"/>
  <c r="AM447" i="2" s="1"/>
  <c r="AM450" i="2" s="1"/>
  <c r="AN451" i="2" s="1"/>
  <c r="AM481" i="2"/>
  <c r="AM470" i="2"/>
  <c r="AO479" i="2"/>
  <c r="AM469" i="2"/>
  <c r="AM458" i="2"/>
  <c r="AM459" i="2" s="1"/>
  <c r="AM457" i="2"/>
  <c r="AM462" i="2" s="1"/>
  <c r="AM471" i="2" l="1"/>
  <c r="AM476" i="2" s="1"/>
  <c r="AM472" i="2"/>
  <c r="AM473" i="2" s="1"/>
  <c r="AM484" i="2"/>
  <c r="AM483" i="2"/>
  <c r="AO493" i="2"/>
  <c r="AM495" i="2"/>
  <c r="AM460" i="2"/>
  <c r="AM461" i="2" s="1"/>
  <c r="AM464" i="2" s="1"/>
  <c r="AN465" i="2" s="1"/>
  <c r="AM474" i="2" l="1"/>
  <c r="AM475" i="2" s="1"/>
  <c r="AM478" i="2" s="1"/>
  <c r="AN479" i="2" s="1"/>
  <c r="AM509" i="2"/>
  <c r="AO507" i="2"/>
  <c r="AM498" i="2"/>
  <c r="AM497" i="2"/>
  <c r="AM486" i="2"/>
  <c r="AM487" i="2" s="1"/>
  <c r="AM488" i="2" s="1"/>
  <c r="AM489" i="2" s="1"/>
  <c r="AM492" i="2" s="1"/>
  <c r="AN493" i="2" s="1"/>
  <c r="AM485" i="2"/>
  <c r="AM490" i="2" s="1"/>
  <c r="AM500" i="2" l="1"/>
  <c r="AM501" i="2" s="1"/>
  <c r="AM502" i="2" s="1"/>
  <c r="AM499" i="2"/>
  <c r="AM504" i="2" s="1"/>
  <c r="AM511" i="2"/>
  <c r="AM512" i="2"/>
  <c r="AO521" i="2"/>
  <c r="AM523" i="2"/>
  <c r="AM503" i="2" l="1"/>
  <c r="AM506" i="2" s="1"/>
  <c r="AN507" i="2" s="1"/>
  <c r="AM514" i="2"/>
  <c r="AM515" i="2" s="1"/>
  <c r="AM513" i="2"/>
  <c r="AM518" i="2" s="1"/>
  <c r="AM525" i="2"/>
  <c r="AM537" i="2"/>
  <c r="AO535" i="2"/>
  <c r="AM526" i="2"/>
  <c r="AM516" i="2" l="1"/>
  <c r="AM517" i="2" s="1"/>
  <c r="AM520" i="2" s="1"/>
  <c r="AN521" i="2" s="1"/>
  <c r="AM527" i="2"/>
  <c r="AM532" i="2" s="1"/>
  <c r="AM528" i="2"/>
  <c r="AM529" i="2" s="1"/>
  <c r="AM540" i="2"/>
  <c r="AM539" i="2"/>
  <c r="AO549" i="2"/>
  <c r="AM551" i="2"/>
  <c r="AM542" i="2" l="1"/>
  <c r="AM543" i="2" s="1"/>
  <c r="AM544" i="2" s="1"/>
  <c r="AM541" i="2"/>
  <c r="AM546" i="2" s="1"/>
  <c r="AM554" i="2"/>
  <c r="AM565" i="2"/>
  <c r="AM553" i="2"/>
  <c r="AO563" i="2"/>
  <c r="AM530" i="2"/>
  <c r="AM531" i="2" s="1"/>
  <c r="AM534" i="2" s="1"/>
  <c r="AN535" i="2" s="1"/>
  <c r="AM545" i="2" l="1"/>
  <c r="AM548" i="2" s="1"/>
  <c r="AN549" i="2" s="1"/>
  <c r="AM556" i="2"/>
  <c r="AM557" i="2" s="1"/>
  <c r="AM555" i="2"/>
  <c r="AM560" i="2" s="1"/>
  <c r="AM579" i="2"/>
  <c r="AM568" i="2"/>
  <c r="AM567" i="2"/>
  <c r="AO577" i="2"/>
  <c r="AM569" i="2" l="1"/>
  <c r="AM574" i="2" s="1"/>
  <c r="AM570" i="2"/>
  <c r="AM571" i="2" s="1"/>
  <c r="AM558" i="2"/>
  <c r="AM559" i="2" s="1"/>
  <c r="AM562" i="2" s="1"/>
  <c r="AN563" i="2" s="1"/>
  <c r="AM581" i="2"/>
  <c r="AM593" i="2"/>
  <c r="AO591" i="2"/>
  <c r="AM582" i="2"/>
  <c r="AM595" i="2" l="1"/>
  <c r="AM607" i="2"/>
  <c r="AM596" i="2"/>
  <c r="AO605" i="2"/>
  <c r="AM584" i="2"/>
  <c r="AM583" i="2"/>
  <c r="AM588" i="2" s="1"/>
  <c r="AM572" i="2"/>
  <c r="AM573" i="2" s="1"/>
  <c r="AM576" i="2" s="1"/>
  <c r="AN577" i="2" s="1"/>
  <c r="AM585" i="2" l="1"/>
  <c r="AM586" i="2" s="1"/>
  <c r="AM587" i="2" s="1"/>
  <c r="AM590" i="2" s="1"/>
  <c r="AN591" i="2" s="1"/>
  <c r="AM597" i="2"/>
  <c r="AM602" i="2" s="1"/>
  <c r="AM598" i="2"/>
  <c r="AO619" i="2"/>
  <c r="AM610" i="2"/>
  <c r="AM609" i="2"/>
  <c r="AM621" i="2"/>
  <c r="AM611" i="2" l="1"/>
  <c r="AM616" i="2" s="1"/>
  <c r="AM612" i="2"/>
  <c r="AM624" i="2"/>
  <c r="AM623" i="2"/>
  <c r="AM635" i="2"/>
  <c r="AO633" i="2"/>
  <c r="AM599" i="2"/>
  <c r="AM600" i="2" s="1"/>
  <c r="AM601" i="2" s="1"/>
  <c r="AM604" i="2" s="1"/>
  <c r="AN605" i="2" s="1"/>
  <c r="AM613" i="2" l="1"/>
  <c r="AM638" i="2"/>
  <c r="AO647" i="2"/>
  <c r="AM637" i="2"/>
  <c r="AM649" i="2"/>
  <c r="AM625" i="2"/>
  <c r="AM630" i="2" s="1"/>
  <c r="AM626" i="2"/>
  <c r="AM627" i="2" l="1"/>
  <c r="AM614" i="2"/>
  <c r="AM615" i="2" s="1"/>
  <c r="AM618" i="2" s="1"/>
  <c r="AN619" i="2" s="1"/>
  <c r="AM652" i="2"/>
  <c r="AM663" i="2"/>
  <c r="AM651" i="2"/>
  <c r="AO661" i="2"/>
  <c r="AM640" i="2"/>
  <c r="AM639" i="2"/>
  <c r="AM644" i="2" s="1"/>
  <c r="AM641" i="2" l="1"/>
  <c r="AM642" i="2" s="1"/>
  <c r="AM643" i="2" s="1"/>
  <c r="AM646" i="2" s="1"/>
  <c r="AN647" i="2" s="1"/>
  <c r="AM666" i="2"/>
  <c r="AM677" i="2"/>
  <c r="AM665" i="2"/>
  <c r="AO675" i="2"/>
  <c r="AM628" i="2"/>
  <c r="AM629" i="2" s="1"/>
  <c r="AM632" i="2" s="1"/>
  <c r="AN633" i="2" s="1"/>
  <c r="AM653" i="2"/>
  <c r="AM658" i="2" s="1"/>
  <c r="AM654" i="2"/>
  <c r="AM668" i="2" l="1"/>
  <c r="AM667" i="2"/>
  <c r="AM672" i="2" s="1"/>
  <c r="AM655" i="2"/>
  <c r="AM656" i="2" s="1"/>
  <c r="AM657" i="2" s="1"/>
  <c r="AM660" i="2" s="1"/>
  <c r="AN661" i="2" s="1"/>
  <c r="AO689" i="2"/>
  <c r="AM680" i="2"/>
  <c r="AM691" i="2"/>
  <c r="AM679" i="2"/>
  <c r="AM669" i="2" l="1"/>
  <c r="AM694" i="2"/>
  <c r="AM705" i="2"/>
  <c r="AM693" i="2"/>
  <c r="AO703" i="2"/>
  <c r="AM682" i="2"/>
  <c r="AM681" i="2"/>
  <c r="AM686" i="2" s="1"/>
  <c r="AM695" i="2" l="1"/>
  <c r="AM700" i="2" s="1"/>
  <c r="AM696" i="2"/>
  <c r="AM670" i="2"/>
  <c r="AM671" i="2" s="1"/>
  <c r="AM674" i="2" s="1"/>
  <c r="AN675" i="2" s="1"/>
  <c r="AM683" i="2"/>
  <c r="AM684" i="2" s="1"/>
  <c r="AM685" i="2" s="1"/>
  <c r="AM688" i="2" s="1"/>
  <c r="AN689" i="2" s="1"/>
  <c r="AM708" i="2"/>
  <c r="AO717" i="2"/>
  <c r="AM707" i="2"/>
  <c r="AM719" i="2"/>
  <c r="AM710" i="2" l="1"/>
  <c r="AM709" i="2"/>
  <c r="AM714" i="2" s="1"/>
  <c r="AM697" i="2"/>
  <c r="AM698" i="2" s="1"/>
  <c r="AM699" i="2" s="1"/>
  <c r="AM702" i="2" s="1"/>
  <c r="AN703" i="2" s="1"/>
  <c r="AM722" i="2"/>
  <c r="AM733" i="2"/>
  <c r="AO731" i="2"/>
  <c r="AM721" i="2"/>
  <c r="AM711" i="2" l="1"/>
  <c r="AM712" i="2" s="1"/>
  <c r="AM713" i="2" s="1"/>
  <c r="AM716" i="2" s="1"/>
  <c r="AN717" i="2" s="1"/>
  <c r="AM724" i="2"/>
  <c r="AM723" i="2"/>
  <c r="AM728" i="2" s="1"/>
  <c r="AO745" i="2"/>
  <c r="AM736" i="2"/>
  <c r="AM735" i="2"/>
  <c r="AM747" i="2"/>
  <c r="AM750" i="2" l="1"/>
  <c r="AM761" i="2"/>
  <c r="AO759" i="2"/>
  <c r="AM749" i="2"/>
  <c r="AM737" i="2"/>
  <c r="AM742" i="2" s="1"/>
  <c r="AM738" i="2"/>
  <c r="AM725" i="2"/>
  <c r="AO773" i="2" l="1"/>
  <c r="AM763" i="2"/>
  <c r="AM775" i="2"/>
  <c r="AM764" i="2"/>
  <c r="AM726" i="2"/>
  <c r="AM727" i="2" s="1"/>
  <c r="AM730" i="2" s="1"/>
  <c r="AN731" i="2" s="1"/>
  <c r="AM739" i="2"/>
  <c r="AM752" i="2"/>
  <c r="AM751" i="2"/>
  <c r="AM756" i="2" s="1"/>
  <c r="AM766" i="2" l="1"/>
  <c r="AM765" i="2"/>
  <c r="AM770" i="2" s="1"/>
  <c r="AM753" i="2"/>
  <c r="AM754" i="2" s="1"/>
  <c r="AM755" i="2" s="1"/>
  <c r="AM758" i="2" s="1"/>
  <c r="AN759" i="2" s="1"/>
  <c r="AM740" i="2"/>
  <c r="AM741" i="2" s="1"/>
  <c r="AM744" i="2" s="1"/>
  <c r="AN745" i="2" s="1"/>
  <c r="AM777" i="2"/>
  <c r="AM789" i="2"/>
  <c r="AM778" i="2"/>
  <c r="AO787" i="2"/>
  <c r="AM803" i="2" l="1"/>
  <c r="AM792" i="2"/>
  <c r="AO801" i="2"/>
  <c r="AM791" i="2"/>
  <c r="AM767" i="2"/>
  <c r="AM779" i="2"/>
  <c r="AM784" i="2" s="1"/>
  <c r="AM780" i="2"/>
  <c r="AM768" i="2" l="1"/>
  <c r="AM769" i="2" s="1"/>
  <c r="AM772" i="2" s="1"/>
  <c r="AN773" i="2" s="1"/>
  <c r="AM806" i="2"/>
  <c r="AM805" i="2"/>
  <c r="AM817" i="2"/>
  <c r="AO815" i="2"/>
  <c r="AM781" i="2"/>
  <c r="AM782" i="2" s="1"/>
  <c r="AM783" i="2" s="1"/>
  <c r="AM786" i="2" s="1"/>
  <c r="AN787" i="2" s="1"/>
  <c r="AM794" i="2"/>
  <c r="AM793" i="2"/>
  <c r="AM798" i="2" s="1"/>
  <c r="AM795" i="2" l="1"/>
  <c r="AM796" i="2" s="1"/>
  <c r="AM797" i="2" s="1"/>
  <c r="AM800" i="2" s="1"/>
  <c r="AN801" i="2" s="1"/>
  <c r="AM831" i="2"/>
  <c r="AO829" i="2"/>
  <c r="AM820" i="2"/>
  <c r="AM819" i="2"/>
  <c r="AM807" i="2"/>
  <c r="AM812" i="2" s="1"/>
  <c r="AM808" i="2"/>
  <c r="AM809" i="2" l="1"/>
  <c r="AM810" i="2" s="1"/>
  <c r="AM811" i="2" s="1"/>
  <c r="AM814" i="2" s="1"/>
  <c r="AN815" i="2" s="1"/>
  <c r="AM822" i="2"/>
  <c r="AM821" i="2"/>
  <c r="AM826" i="2" s="1"/>
  <c r="AM845" i="2"/>
  <c r="AM833" i="2"/>
  <c r="AM834" i="2"/>
  <c r="AO843" i="2"/>
  <c r="AO857" i="2" l="1"/>
  <c r="AM848" i="2"/>
  <c r="AM847" i="2"/>
  <c r="AM859" i="2"/>
  <c r="AM823" i="2"/>
  <c r="AM824" i="2" s="1"/>
  <c r="AM825" i="2" s="1"/>
  <c r="AM828" i="2" s="1"/>
  <c r="AN829" i="2" s="1"/>
  <c r="AM836" i="2"/>
  <c r="AM835" i="2"/>
  <c r="AM840" i="2" s="1"/>
  <c r="AM837" i="2" l="1"/>
  <c r="AM849" i="2"/>
  <c r="AM854" i="2" s="1"/>
  <c r="AM850" i="2"/>
  <c r="AM873" i="2"/>
  <c r="AO871" i="2"/>
  <c r="AM862" i="2"/>
  <c r="AM861" i="2"/>
  <c r="AM838" i="2" l="1"/>
  <c r="AM839" i="2" s="1"/>
  <c r="AM842" i="2" s="1"/>
  <c r="AN843" i="2" s="1"/>
  <c r="AO885" i="2"/>
  <c r="AM887" i="2"/>
  <c r="AM876" i="2"/>
  <c r="AM875" i="2"/>
  <c r="AM864" i="2"/>
  <c r="AM863" i="2"/>
  <c r="AM868" i="2" s="1"/>
  <c r="AM851" i="2"/>
  <c r="AM852" i="2" l="1"/>
  <c r="AM853" i="2" s="1"/>
  <c r="AM856" i="2" s="1"/>
  <c r="AN857" i="2" s="1"/>
  <c r="AM877" i="2"/>
  <c r="AM882" i="2" s="1"/>
  <c r="AM878" i="2"/>
  <c r="AM865" i="2"/>
  <c r="AM866" i="2" s="1"/>
  <c r="AM867" i="2" s="1"/>
  <c r="AM870" i="2" s="1"/>
  <c r="AN871" i="2" s="1"/>
  <c r="AM889" i="2"/>
  <c r="AM901" i="2"/>
  <c r="AM890" i="2"/>
  <c r="AO899" i="2"/>
  <c r="AM892" i="2" l="1"/>
  <c r="AM891" i="2"/>
  <c r="AM896" i="2" s="1"/>
  <c r="AM915" i="2"/>
  <c r="AO913" i="2"/>
  <c r="AM904" i="2"/>
  <c r="AM903" i="2"/>
  <c r="AM879" i="2"/>
  <c r="AM880" i="2" s="1"/>
  <c r="AM881" i="2" s="1"/>
  <c r="AM884" i="2" s="1"/>
  <c r="AN885" i="2" s="1"/>
  <c r="AM893" i="2" l="1"/>
  <c r="AM929" i="2"/>
  <c r="AM918" i="2"/>
  <c r="AM917" i="2"/>
  <c r="AO927" i="2"/>
  <c r="AM905" i="2"/>
  <c r="AM910" i="2" s="1"/>
  <c r="AM906" i="2"/>
  <c r="AM920" i="2" l="1"/>
  <c r="AM919" i="2"/>
  <c r="AM924" i="2" s="1"/>
  <c r="AM894" i="2"/>
  <c r="AM895" i="2" s="1"/>
  <c r="AM898" i="2" s="1"/>
  <c r="AN899" i="2" s="1"/>
  <c r="AM931" i="2"/>
  <c r="AM943" i="2"/>
  <c r="AO941" i="2"/>
  <c r="AM932" i="2"/>
  <c r="AM907" i="2"/>
  <c r="AM946" i="2" l="1"/>
  <c r="AO955" i="2"/>
  <c r="AM957" i="2"/>
  <c r="AM945" i="2"/>
  <c r="AM908" i="2"/>
  <c r="AM909" i="2" s="1"/>
  <c r="AM912" i="2" s="1"/>
  <c r="AN913" i="2" s="1"/>
  <c r="AM933" i="2"/>
  <c r="AM938" i="2" s="1"/>
  <c r="AM934" i="2"/>
  <c r="AM921" i="2"/>
  <c r="AM922" i="2" s="1"/>
  <c r="AM923" i="2" s="1"/>
  <c r="AM926" i="2" s="1"/>
  <c r="AN927" i="2" s="1"/>
  <c r="AM960" i="2" l="1"/>
  <c r="AM971" i="2"/>
  <c r="AM959" i="2"/>
  <c r="AO969" i="2"/>
  <c r="AM935" i="2"/>
  <c r="AM936" i="2" s="1"/>
  <c r="AM937" i="2" s="1"/>
  <c r="AM940" i="2" s="1"/>
  <c r="AN941" i="2" s="1"/>
  <c r="AM947" i="2"/>
  <c r="AM952" i="2" s="1"/>
  <c r="AM948" i="2"/>
  <c r="AM962" i="2" l="1"/>
  <c r="AM961" i="2"/>
  <c r="AM966" i="2" s="1"/>
  <c r="AM973" i="2"/>
  <c r="AM985" i="2"/>
  <c r="AO983" i="2"/>
  <c r="AM974" i="2"/>
  <c r="AM949" i="2"/>
  <c r="AM963" i="2" l="1"/>
  <c r="AM976" i="2"/>
  <c r="AM975" i="2"/>
  <c r="AM980" i="2" s="1"/>
  <c r="AM950" i="2"/>
  <c r="AM951" i="2" s="1"/>
  <c r="AM954" i="2" s="1"/>
  <c r="AN955" i="2" s="1"/>
  <c r="AM987" i="2"/>
  <c r="AM999" i="2"/>
  <c r="AO997" i="2"/>
  <c r="AM988" i="2"/>
  <c r="AM990" i="2" l="1"/>
  <c r="AM989" i="2"/>
  <c r="AM994" i="2" s="1"/>
  <c r="AM977" i="2"/>
  <c r="AM978" i="2" s="1"/>
  <c r="AM979" i="2" s="1"/>
  <c r="AM982" i="2" s="1"/>
  <c r="AN983" i="2" s="1"/>
  <c r="AM964" i="2"/>
  <c r="AM965" i="2" s="1"/>
  <c r="AM968" i="2" s="1"/>
  <c r="AN969" i="2" s="1"/>
  <c r="AM1013" i="2"/>
  <c r="AM1002" i="2"/>
  <c r="AM1001" i="2"/>
  <c r="AO1011" i="2"/>
  <c r="AM1003" i="2" l="1"/>
  <c r="AM1008" i="2" s="1"/>
  <c r="AM1004" i="2"/>
  <c r="AM991" i="2"/>
  <c r="AM992" i="2" s="1"/>
  <c r="AM993" i="2" s="1"/>
  <c r="AM996" i="2" s="1"/>
  <c r="AN997" i="2" s="1"/>
  <c r="AM1016" i="2"/>
  <c r="AO1025" i="2"/>
  <c r="AM1015" i="2"/>
  <c r="AM1027" i="2"/>
  <c r="AM1005" i="2" l="1"/>
  <c r="AM1006" i="2" s="1"/>
  <c r="AM1007" i="2" s="1"/>
  <c r="AM1010" i="2" s="1"/>
  <c r="AN1011" i="2" s="1"/>
  <c r="AM1018" i="2"/>
  <c r="AM1017" i="2"/>
  <c r="AM1022" i="2" s="1"/>
  <c r="AM1029" i="2"/>
  <c r="AM1030" i="2"/>
  <c r="AM1041" i="2"/>
  <c r="AO1039" i="2"/>
  <c r="AM1031" i="2" l="1"/>
  <c r="AM1036" i="2" s="1"/>
  <c r="AM1032" i="2"/>
  <c r="AM1043" i="2"/>
  <c r="AO1053" i="2"/>
  <c r="AM1055" i="2"/>
  <c r="AM1044" i="2"/>
  <c r="AM1019" i="2"/>
  <c r="AO1067" i="2" l="1"/>
  <c r="AM1058" i="2"/>
  <c r="AM1069" i="2"/>
  <c r="AM1057" i="2"/>
  <c r="AM1033" i="2"/>
  <c r="AM1034" i="2" s="1"/>
  <c r="AM1035" i="2" s="1"/>
  <c r="AM1038" i="2" s="1"/>
  <c r="AN1039" i="2" s="1"/>
  <c r="AM1046" i="2"/>
  <c r="AM1045" i="2"/>
  <c r="AM1050" i="2" s="1"/>
  <c r="AM1020" i="2"/>
  <c r="AM1021" i="2" s="1"/>
  <c r="AM1024" i="2" s="1"/>
  <c r="AN1025" i="2" s="1"/>
  <c r="AM1047" i="2" l="1"/>
  <c r="AM1048" i="2" s="1"/>
  <c r="AM1049" i="2" s="1"/>
  <c r="AM1052" i="2" s="1"/>
  <c r="AN1053" i="2" s="1"/>
  <c r="AO1081" i="2"/>
  <c r="AM1071" i="2"/>
  <c r="AM1083" i="2"/>
  <c r="AM1072" i="2"/>
  <c r="AM1060" i="2"/>
  <c r="AM1059" i="2"/>
  <c r="AM1064" i="2" s="1"/>
  <c r="AM1085" i="2" l="1"/>
  <c r="AM1097" i="2"/>
  <c r="AO1095" i="2"/>
  <c r="AM1086" i="2"/>
  <c r="AM1061" i="2"/>
  <c r="AM1074" i="2"/>
  <c r="AM1073" i="2"/>
  <c r="AM1078" i="2" s="1"/>
  <c r="AM1062" i="2" l="1"/>
  <c r="AM1063" i="2" s="1"/>
  <c r="AM1066" i="2" s="1"/>
  <c r="AN1067" i="2" s="1"/>
  <c r="AM1088" i="2"/>
  <c r="AM1087" i="2"/>
  <c r="AM1092" i="2" s="1"/>
  <c r="AO1109" i="2"/>
  <c r="AM1100" i="2"/>
  <c r="AM1111" i="2"/>
  <c r="AM1099" i="2"/>
  <c r="AM1075" i="2"/>
  <c r="AM1076" i="2" l="1"/>
  <c r="AM1077" i="2" s="1"/>
  <c r="AM1080" i="2" s="1"/>
  <c r="AN1081" i="2" s="1"/>
  <c r="AO1123" i="2"/>
  <c r="AM1125" i="2"/>
  <c r="AM1113" i="2"/>
  <c r="AM1114" i="2"/>
  <c r="AM1089" i="2"/>
  <c r="AM1090" i="2" s="1"/>
  <c r="AM1091" i="2" s="1"/>
  <c r="AM1094" i="2" s="1"/>
  <c r="AN1095" i="2" s="1"/>
  <c r="AM1102" i="2"/>
  <c r="AM1101" i="2"/>
  <c r="AM1106" i="2" s="1"/>
  <c r="AM1103" i="2" l="1"/>
  <c r="AM1104" i="2" s="1"/>
  <c r="AM1105" i="2" s="1"/>
  <c r="AM1108" i="2" s="1"/>
  <c r="AN1109" i="2" s="1"/>
  <c r="AM1116" i="2"/>
  <c r="AM1115" i="2"/>
  <c r="AM1120" i="2" s="1"/>
  <c r="AM1128" i="2"/>
  <c r="AO1137" i="2"/>
  <c r="AM1127" i="2"/>
  <c r="AM1139" i="2"/>
  <c r="AO1151" i="2" l="1"/>
  <c r="AM1141" i="2"/>
  <c r="AM1153" i="2"/>
  <c r="AM1142" i="2"/>
  <c r="AM1130" i="2"/>
  <c r="AM1129" i="2"/>
  <c r="AM1134" i="2" s="1"/>
  <c r="AM1117" i="2"/>
  <c r="AM1131" i="2" l="1"/>
  <c r="AM1143" i="2"/>
  <c r="AM1148" i="2" s="1"/>
  <c r="AM1144" i="2"/>
  <c r="AM1118" i="2"/>
  <c r="AM1119" i="2" s="1"/>
  <c r="AM1122" i="2" s="1"/>
  <c r="AN1123" i="2" s="1"/>
  <c r="AM1156" i="2"/>
  <c r="AM1155" i="2"/>
  <c r="AM1167" i="2"/>
  <c r="AO1165" i="2"/>
  <c r="AM1181" i="2" l="1"/>
  <c r="AO1179" i="2"/>
  <c r="AM1169" i="2"/>
  <c r="AM1170" i="2"/>
  <c r="AM1132" i="2"/>
  <c r="AM1133" i="2" s="1"/>
  <c r="AM1136" i="2" s="1"/>
  <c r="AN1137" i="2" s="1"/>
  <c r="AM1157" i="2"/>
  <c r="AM1162" i="2" s="1"/>
  <c r="AM1158" i="2"/>
  <c r="AM1145" i="2"/>
  <c r="AM1146" i="2" s="1"/>
  <c r="AM1147" i="2" s="1"/>
  <c r="AM1150" i="2" s="1"/>
  <c r="AN1151" i="2" s="1"/>
  <c r="AM1195" i="2" l="1"/>
  <c r="AM1183" i="2"/>
  <c r="AO1193" i="2"/>
  <c r="AM1184" i="2"/>
  <c r="AM1172" i="2"/>
  <c r="AM1171" i="2"/>
  <c r="AM1176" i="2" s="1"/>
  <c r="AM1159" i="2"/>
  <c r="AM1160" i="2" s="1"/>
  <c r="AM1161" i="2" s="1"/>
  <c r="AM1164" i="2" s="1"/>
  <c r="AN1165" i="2" s="1"/>
  <c r="AM1173" i="2" l="1"/>
  <c r="AM1209" i="2"/>
  <c r="AO1207" i="2"/>
  <c r="AM1198" i="2"/>
  <c r="AM1197" i="2"/>
  <c r="AM1186" i="2"/>
  <c r="AM1185" i="2"/>
  <c r="AM1190" i="2" s="1"/>
  <c r="AM1200" i="2" l="1"/>
  <c r="AM1199" i="2"/>
  <c r="AM1204" i="2" s="1"/>
  <c r="AM1174" i="2"/>
  <c r="AM1175" i="2" s="1"/>
  <c r="AM1178" i="2" s="1"/>
  <c r="AN1179" i="2" s="1"/>
  <c r="AM1223" i="2"/>
  <c r="AO1221" i="2"/>
  <c r="AM1212" i="2"/>
  <c r="AM1211" i="2"/>
  <c r="AM1187" i="2"/>
  <c r="AM1225" i="2" l="1"/>
  <c r="AM1226" i="2"/>
  <c r="AO1235" i="2"/>
  <c r="AM1237" i="2"/>
  <c r="AM1201" i="2"/>
  <c r="AM1202" i="2" s="1"/>
  <c r="AM1203" i="2" s="1"/>
  <c r="AM1206" i="2" s="1"/>
  <c r="AN1207" i="2" s="1"/>
  <c r="AM1188" i="2"/>
  <c r="AM1189" i="2" s="1"/>
  <c r="AM1192" i="2" s="1"/>
  <c r="AN1193" i="2" s="1"/>
  <c r="AM1214" i="2"/>
  <c r="AM1213" i="2"/>
  <c r="AM1218" i="2" s="1"/>
  <c r="AM1227" i="2" l="1"/>
  <c r="AM1232" i="2" s="1"/>
  <c r="AM1228" i="2"/>
  <c r="AM1215" i="2"/>
  <c r="AM1216" i="2" s="1"/>
  <c r="AM1217" i="2" s="1"/>
  <c r="AM1220" i="2" s="1"/>
  <c r="AN1221" i="2" s="1"/>
  <c r="AM1240" i="2"/>
  <c r="AM1239" i="2"/>
  <c r="AM1251" i="2"/>
  <c r="AO1249" i="2"/>
  <c r="AM1242" i="2" l="1"/>
  <c r="AM1241" i="2"/>
  <c r="AM1246" i="2" s="1"/>
  <c r="AM1229" i="2"/>
  <c r="AM1253" i="2"/>
  <c r="AO1263" i="2"/>
  <c r="AM1265" i="2"/>
  <c r="AM1254" i="2"/>
  <c r="AM1243" i="2" l="1"/>
  <c r="AM1244" i="2" s="1"/>
  <c r="AM1245" i="2" s="1"/>
  <c r="AM1248" i="2" s="1"/>
  <c r="AN1249" i="2" s="1"/>
  <c r="AM1267" i="2"/>
  <c r="AM1279" i="2"/>
  <c r="AM1268" i="2"/>
  <c r="AO1277" i="2"/>
  <c r="AM1255" i="2"/>
  <c r="AM1260" i="2" s="1"/>
  <c r="AM1256" i="2"/>
  <c r="AM1230" i="2"/>
  <c r="AM1231" i="2" s="1"/>
  <c r="AM1234" i="2" s="1"/>
  <c r="AN1235" i="2" s="1"/>
  <c r="AM1269" i="2" l="1"/>
  <c r="AM1274" i="2" s="1"/>
  <c r="AM1270" i="2"/>
  <c r="AM1257" i="2"/>
  <c r="AM1258" i="2" s="1"/>
  <c r="AM1259" i="2" s="1"/>
  <c r="AM1262" i="2" s="1"/>
  <c r="AN1263" i="2" s="1"/>
  <c r="AM1293" i="2"/>
  <c r="AM1282" i="2"/>
  <c r="AM1281" i="2"/>
  <c r="AO1291" i="2"/>
  <c r="AO1305" i="2" l="1"/>
  <c r="AM1295" i="2"/>
  <c r="AM1296" i="2"/>
  <c r="AM1307" i="2"/>
  <c r="AM1271" i="2"/>
  <c r="AM1272" i="2" s="1"/>
  <c r="AM1273" i="2" s="1"/>
  <c r="AM1276" i="2" s="1"/>
  <c r="AN1277" i="2" s="1"/>
  <c r="AM1283" i="2"/>
  <c r="AM1288" i="2" s="1"/>
  <c r="AM1284" i="2"/>
  <c r="AM1298" i="2" l="1"/>
  <c r="AM1297" i="2"/>
  <c r="AM1302" i="2" s="1"/>
  <c r="AM1285" i="2"/>
  <c r="AO1319" i="2"/>
  <c r="AM1321" i="2"/>
  <c r="AM1310" i="2"/>
  <c r="AM1309" i="2"/>
  <c r="AM1299" i="2" l="1"/>
  <c r="AM1324" i="2"/>
  <c r="AM1323" i="2"/>
  <c r="AO1333" i="2"/>
  <c r="AM1335" i="2"/>
  <c r="AM1311" i="2"/>
  <c r="AM1316" i="2" s="1"/>
  <c r="AM1312" i="2"/>
  <c r="AM1286" i="2"/>
  <c r="AM1287" i="2" s="1"/>
  <c r="AM1290" i="2" s="1"/>
  <c r="AN1291" i="2" s="1"/>
  <c r="AO1347" i="2" l="1"/>
  <c r="AM1349" i="2"/>
  <c r="AM1337" i="2"/>
  <c r="AM1338" i="2"/>
  <c r="AM1300" i="2"/>
  <c r="AM1301" i="2" s="1"/>
  <c r="AM1304" i="2" s="1"/>
  <c r="AN1305" i="2" s="1"/>
  <c r="AM1313" i="2"/>
  <c r="AM1314" i="2" s="1"/>
  <c r="AM1315" i="2" s="1"/>
  <c r="AM1318" i="2" s="1"/>
  <c r="AN1319" i="2" s="1"/>
  <c r="AM1326" i="2"/>
  <c r="AM1325" i="2"/>
  <c r="AM1330" i="2" s="1"/>
  <c r="AM1327" i="2" l="1"/>
  <c r="AM1328" i="2" s="1"/>
  <c r="AM1329" i="2" s="1"/>
  <c r="AM1332" i="2" s="1"/>
  <c r="AN1333" i="2" s="1"/>
  <c r="AM1339" i="2"/>
  <c r="AM1344" i="2" s="1"/>
  <c r="AM1340" i="2"/>
  <c r="AM1363" i="2"/>
  <c r="AO1361" i="2"/>
  <c r="AM1352" i="2"/>
  <c r="AM1351" i="2"/>
  <c r="AM1365" i="2" l="1"/>
  <c r="AO1375" i="2"/>
  <c r="AM1377" i="2"/>
  <c r="AM1366" i="2"/>
  <c r="AM1354" i="2"/>
  <c r="AM1353" i="2"/>
  <c r="AM1358" i="2" s="1"/>
  <c r="AM1341" i="2"/>
  <c r="AM1380" i="2" l="1"/>
  <c r="AO1389" i="2"/>
  <c r="AM1379" i="2"/>
  <c r="AM1391" i="2"/>
  <c r="AM1368" i="2"/>
  <c r="AM1367" i="2"/>
  <c r="AM1372" i="2" s="1"/>
  <c r="AM1355" i="2"/>
  <c r="AM1356" i="2" s="1"/>
  <c r="AM1357" i="2" s="1"/>
  <c r="AM1360" i="2" s="1"/>
  <c r="AN1361" i="2" s="1"/>
  <c r="AM1342" i="2"/>
  <c r="AM1343" i="2" s="1"/>
  <c r="AM1346" i="2" s="1"/>
  <c r="AN1347" i="2" s="1"/>
  <c r="AM1382" i="2" l="1"/>
  <c r="AM1381" i="2"/>
  <c r="AM1386" i="2" s="1"/>
  <c r="AM1369" i="2"/>
  <c r="AM1370" i="2" s="1"/>
  <c r="AM1371" i="2" s="1"/>
  <c r="AM1374" i="2" s="1"/>
  <c r="AN1375" i="2" s="1"/>
  <c r="AO1403" i="2"/>
  <c r="AM1405" i="2"/>
  <c r="AM1393" i="2"/>
  <c r="AM1394" i="2"/>
  <c r="AM1408" i="2" l="1"/>
  <c r="AM1419" i="2"/>
  <c r="AM1407" i="2"/>
  <c r="AO1417" i="2"/>
  <c r="AM1383" i="2"/>
  <c r="AM1384" i="2" s="1"/>
  <c r="AM1385" i="2" s="1"/>
  <c r="AM1388" i="2" s="1"/>
  <c r="AN1389" i="2" s="1"/>
  <c r="AM1395" i="2"/>
  <c r="AM1400" i="2" s="1"/>
  <c r="AM1396" i="2"/>
  <c r="AM1433" i="2" l="1"/>
  <c r="AM1421" i="2"/>
  <c r="AO1431" i="2"/>
  <c r="AM1422" i="2"/>
  <c r="AM1409" i="2"/>
  <c r="AM1414" i="2" s="1"/>
  <c r="AM1410" i="2"/>
  <c r="AM1397" i="2"/>
  <c r="AO1445" i="2" l="1"/>
  <c r="AM1436" i="2"/>
  <c r="AM1447" i="2"/>
  <c r="AM1435" i="2"/>
  <c r="AM1423" i="2"/>
  <c r="AM1428" i="2" s="1"/>
  <c r="AM1424" i="2"/>
  <c r="AM1411" i="2"/>
  <c r="AM1412" i="2" s="1"/>
  <c r="AM1413" i="2" s="1"/>
  <c r="AM1416" i="2" s="1"/>
  <c r="AN1417" i="2" s="1"/>
  <c r="AM1398" i="2"/>
  <c r="AM1399" i="2" s="1"/>
  <c r="AM1402" i="2" s="1"/>
  <c r="AN1403" i="2" s="1"/>
  <c r="AM1425" i="2" l="1"/>
  <c r="AM1426" i="2" s="1"/>
  <c r="AM1427" i="2" s="1"/>
  <c r="AM1430" i="2" s="1"/>
  <c r="AN1431" i="2" s="1"/>
  <c r="AM1461" i="2"/>
  <c r="AO1459" i="2"/>
  <c r="AM1449" i="2"/>
  <c r="AM1450" i="2"/>
  <c r="AM1437" i="2"/>
  <c r="AM1442" i="2" s="1"/>
  <c r="AM1438" i="2"/>
  <c r="AM1452" i="2" l="1"/>
  <c r="AM1451" i="2"/>
  <c r="AM1456" i="2" s="1"/>
  <c r="AM1464" i="2"/>
  <c r="AM1475" i="2"/>
  <c r="AM1463" i="2"/>
  <c r="AO1473" i="2"/>
  <c r="AM1439" i="2"/>
  <c r="AM1440" i="2" s="1"/>
  <c r="AM1441" i="2" s="1"/>
  <c r="AM1444" i="2" s="1"/>
  <c r="AN1445" i="2" s="1"/>
  <c r="AM1466" i="2" l="1"/>
  <c r="AM1465" i="2"/>
  <c r="AM1470" i="2" s="1"/>
  <c r="AM1453" i="2"/>
  <c r="AM1478" i="2"/>
  <c r="AO1487" i="2"/>
  <c r="AM1477" i="2"/>
  <c r="AM1489" i="2"/>
  <c r="AM1467" i="2" l="1"/>
  <c r="AM1468" i="2" s="1"/>
  <c r="AM1469" i="2" s="1"/>
  <c r="AM1472" i="2" s="1"/>
  <c r="AN1473" i="2" s="1"/>
  <c r="AM1479" i="2"/>
  <c r="AM1484" i="2" s="1"/>
  <c r="AM1480" i="2"/>
  <c r="AM1491" i="2"/>
  <c r="AM1503" i="2"/>
  <c r="AO1501" i="2"/>
  <c r="AM1492" i="2"/>
  <c r="AM1454" i="2"/>
  <c r="AM1455" i="2" s="1"/>
  <c r="AM1458" i="2" s="1"/>
  <c r="AN1459" i="2" s="1"/>
  <c r="AM1493" i="2" l="1"/>
  <c r="AM1498" i="2" s="1"/>
  <c r="AM1494" i="2"/>
  <c r="AM1517" i="2"/>
  <c r="AM1505" i="2"/>
  <c r="AM1506" i="2"/>
  <c r="AO1515" i="2"/>
  <c r="AM1481" i="2"/>
  <c r="AM1495" i="2" l="1"/>
  <c r="AM1482" i="2"/>
  <c r="AM1483" i="2" s="1"/>
  <c r="AM1486" i="2" s="1"/>
  <c r="AN1487" i="2" s="1"/>
  <c r="AM1520" i="2"/>
  <c r="AO1529" i="2"/>
  <c r="AM1519" i="2"/>
  <c r="AM1531" i="2"/>
  <c r="AM1507" i="2"/>
  <c r="AM1512" i="2" s="1"/>
  <c r="AM1508" i="2"/>
  <c r="AM1509" i="2" l="1"/>
  <c r="AM1496" i="2"/>
  <c r="AM1497" i="2" s="1"/>
  <c r="AM1500" i="2" s="1"/>
  <c r="AN1501" i="2" s="1"/>
  <c r="AM1521" i="2"/>
  <c r="AM1526" i="2" s="1"/>
  <c r="AM1522" i="2"/>
  <c r="AM1534" i="2"/>
  <c r="AM1545" i="2"/>
  <c r="AM1533" i="2"/>
  <c r="AO1543" i="2"/>
  <c r="AM1510" i="2" l="1"/>
  <c r="AM1511" i="2" s="1"/>
  <c r="AM1514" i="2" s="1"/>
  <c r="AN1515" i="2" s="1"/>
  <c r="AM1535" i="2"/>
  <c r="AM1540" i="2" s="1"/>
  <c r="AM1536" i="2"/>
  <c r="AM1523" i="2"/>
  <c r="AM1547" i="2"/>
  <c r="AM1548" i="2"/>
  <c r="AO1557" i="2"/>
  <c r="AM1559" i="2"/>
  <c r="AM1524" i="2" l="1"/>
  <c r="AM1525" i="2" s="1"/>
  <c r="AM1528" i="2" s="1"/>
  <c r="AN1529" i="2" s="1"/>
  <c r="AO1571" i="2"/>
  <c r="AM1561" i="2"/>
  <c r="AM1573" i="2"/>
  <c r="AM1562" i="2"/>
  <c r="AM1549" i="2"/>
  <c r="AM1554" i="2" s="1"/>
  <c r="AM1550" i="2"/>
  <c r="AM1537" i="2"/>
  <c r="AM1538" i="2" l="1"/>
  <c r="AM1539" i="2" s="1"/>
  <c r="AM1542" i="2" s="1"/>
  <c r="AN1543" i="2" s="1"/>
  <c r="AM1551" i="2"/>
  <c r="AM1576" i="2"/>
  <c r="AM1587" i="2"/>
  <c r="AO1585" i="2"/>
  <c r="AM1575" i="2"/>
  <c r="AM1563" i="2"/>
  <c r="AM1568" i="2" s="1"/>
  <c r="AM1564" i="2"/>
  <c r="AM1565" i="2" l="1"/>
  <c r="AM1552" i="2"/>
  <c r="AM1553" i="2" s="1"/>
  <c r="AM1556" i="2" s="1"/>
  <c r="AN1557" i="2" s="1"/>
  <c r="AM1589" i="2"/>
  <c r="AO1599" i="2"/>
  <c r="AM1590" i="2"/>
  <c r="AM1601" i="2"/>
  <c r="AM1578" i="2"/>
  <c r="AM1577" i="2"/>
  <c r="AM1582" i="2" s="1"/>
  <c r="AM1592" i="2" l="1"/>
  <c r="AM1591" i="2"/>
  <c r="AM1596" i="2" s="1"/>
  <c r="AM1579" i="2"/>
  <c r="AM1566" i="2"/>
  <c r="AM1567" i="2" s="1"/>
  <c r="AM1570" i="2" s="1"/>
  <c r="AN1571" i="2" s="1"/>
  <c r="AO1613" i="2"/>
  <c r="AM1615" i="2"/>
  <c r="AM1603" i="2"/>
  <c r="AM1604" i="2"/>
  <c r="AM1593" i="2" l="1"/>
  <c r="AM1605" i="2"/>
  <c r="AM1610" i="2" s="1"/>
  <c r="AM1606" i="2"/>
  <c r="AM1629" i="2"/>
  <c r="AM1618" i="2"/>
  <c r="AM1617" i="2"/>
  <c r="AO1627" i="2"/>
  <c r="AM1580" i="2"/>
  <c r="AM1581" i="2" s="1"/>
  <c r="AM1584" i="2" s="1"/>
  <c r="AN1585" i="2" s="1"/>
  <c r="AM1631" i="2" l="1"/>
  <c r="AM1643" i="2"/>
  <c r="AO1641" i="2"/>
  <c r="AM1632" i="2"/>
  <c r="AM1594" i="2"/>
  <c r="AM1595" i="2" s="1"/>
  <c r="AM1598" i="2" s="1"/>
  <c r="AN1599" i="2" s="1"/>
  <c r="AM1619" i="2"/>
  <c r="AM1624" i="2" s="1"/>
  <c r="AM1620" i="2"/>
  <c r="AM1607" i="2"/>
  <c r="AM1608" i="2" l="1"/>
  <c r="AM1609" i="2" s="1"/>
  <c r="AM1612" i="2" s="1"/>
  <c r="AN1613" i="2" s="1"/>
  <c r="AM1621" i="2"/>
  <c r="AM1633" i="2"/>
  <c r="AM1638" i="2" s="1"/>
  <c r="AM1634" i="2"/>
  <c r="AM1646" i="2"/>
  <c r="AM1645" i="2"/>
  <c r="AM1657" i="2"/>
  <c r="AO1655" i="2"/>
  <c r="AM1659" i="2" l="1"/>
  <c r="AM1671" i="2"/>
  <c r="AM1660" i="2"/>
  <c r="AO1669" i="2"/>
  <c r="AM1635" i="2"/>
  <c r="AM1647" i="2"/>
  <c r="AM1652" i="2" s="1"/>
  <c r="AM1648" i="2"/>
  <c r="AM1622" i="2"/>
  <c r="AM1623" i="2" s="1"/>
  <c r="AM1626" i="2" s="1"/>
  <c r="AN1627" i="2" s="1"/>
  <c r="AM1685" i="2" l="1"/>
  <c r="AM1674" i="2"/>
  <c r="AO1683" i="2"/>
  <c r="AM1673" i="2"/>
  <c r="AM1649" i="2"/>
  <c r="AM1661" i="2"/>
  <c r="AM1666" i="2" s="1"/>
  <c r="AM1662" i="2"/>
  <c r="AM1636" i="2"/>
  <c r="AM1637" i="2" s="1"/>
  <c r="AM1640" i="2" s="1"/>
  <c r="AN1641" i="2" s="1"/>
  <c r="AM1687" i="2" l="1"/>
  <c r="AM1699" i="2"/>
  <c r="AO1697" i="2"/>
  <c r="AM1688" i="2"/>
  <c r="AM1650" i="2"/>
  <c r="AM1651" i="2" s="1"/>
  <c r="AM1654" i="2" s="1"/>
  <c r="AN1655" i="2" s="1"/>
  <c r="AM1663" i="2"/>
  <c r="AM1676" i="2"/>
  <c r="AM1675" i="2"/>
  <c r="AM1680" i="2" s="1"/>
  <c r="AM1689" i="2" l="1"/>
  <c r="AM1694" i="2" s="1"/>
  <c r="AM1690" i="2"/>
  <c r="AM1677" i="2"/>
  <c r="AM1702" i="2"/>
  <c r="AO1711" i="2"/>
  <c r="AM1701" i="2"/>
  <c r="AM1713" i="2"/>
  <c r="AM1664" i="2"/>
  <c r="AM1665" i="2" s="1"/>
  <c r="AM1668" i="2" s="1"/>
  <c r="AN1669" i="2" s="1"/>
  <c r="AM1691" i="2" l="1"/>
  <c r="AM1678" i="2"/>
  <c r="AM1679" i="2" s="1"/>
  <c r="AM1682" i="2" s="1"/>
  <c r="AN1683" i="2" s="1"/>
  <c r="AM1703" i="2"/>
  <c r="AM1708" i="2" s="1"/>
  <c r="AM1704" i="2"/>
  <c r="AM1715" i="2"/>
  <c r="AM1727" i="2"/>
  <c r="AM1716" i="2"/>
  <c r="AO1725" i="2"/>
  <c r="AM1692" i="2" l="1"/>
  <c r="AM1693" i="2" s="1"/>
  <c r="AM1696" i="2" s="1"/>
  <c r="AN1697" i="2" s="1"/>
  <c r="AM1705" i="2"/>
  <c r="AM1717" i="2"/>
  <c r="AM1722" i="2" s="1"/>
  <c r="AM1718" i="2"/>
  <c r="AM1741" i="2"/>
  <c r="AM1729" i="2"/>
  <c r="AM1730" i="2"/>
  <c r="AO1739" i="2"/>
  <c r="AM1719" i="2" l="1"/>
  <c r="AM1743" i="2"/>
  <c r="AO1753" i="2"/>
  <c r="AM1744" i="2"/>
  <c r="AM1755" i="2"/>
  <c r="AM1732" i="2"/>
  <c r="AM1731" i="2"/>
  <c r="AM1736" i="2" s="1"/>
  <c r="AM1706" i="2"/>
  <c r="AM1707" i="2" s="1"/>
  <c r="AM1710" i="2" s="1"/>
  <c r="AN1711" i="2" s="1"/>
  <c r="AM1757" i="2" l="1"/>
  <c r="AM1769" i="2"/>
  <c r="AM1758" i="2"/>
  <c r="AO1767" i="2"/>
  <c r="AM1720" i="2"/>
  <c r="AM1721" i="2" s="1"/>
  <c r="AM1724" i="2" s="1"/>
  <c r="AN1725" i="2" s="1"/>
  <c r="AM1745" i="2"/>
  <c r="AM1750" i="2" s="1"/>
  <c r="AM1746" i="2"/>
  <c r="AM1733" i="2"/>
  <c r="AM1759" i="2" l="1"/>
  <c r="AM1764" i="2" s="1"/>
  <c r="AM1760" i="2"/>
  <c r="AM1734" i="2"/>
  <c r="AM1735" i="2" s="1"/>
  <c r="AM1738" i="2" s="1"/>
  <c r="AN1739" i="2" s="1"/>
  <c r="AM1771" i="2"/>
  <c r="AO1781" i="2"/>
  <c r="AM1783" i="2"/>
  <c r="AM1772" i="2"/>
  <c r="AM1747" i="2"/>
  <c r="AM1774" i="2" l="1"/>
  <c r="AM1773" i="2"/>
  <c r="AM1778" i="2" s="1"/>
  <c r="AM1748" i="2"/>
  <c r="AM1749" i="2" s="1"/>
  <c r="AM1752" i="2" s="1"/>
  <c r="AN1753" i="2" s="1"/>
  <c r="AM1761" i="2"/>
  <c r="AO1795" i="2"/>
  <c r="AM1786" i="2"/>
  <c r="AM1785" i="2"/>
  <c r="AM1797" i="2"/>
  <c r="AM1788" i="2" l="1"/>
  <c r="AM1787" i="2"/>
  <c r="AM1792" i="2" s="1"/>
  <c r="AM1762" i="2"/>
  <c r="AM1763" i="2" s="1"/>
  <c r="AM1766" i="2" s="1"/>
  <c r="AN1767" i="2" s="1"/>
  <c r="AM1775" i="2"/>
  <c r="AM1799" i="2"/>
  <c r="AM1811" i="2"/>
  <c r="AO1809" i="2"/>
  <c r="AM1800" i="2"/>
  <c r="AM1789" i="2" l="1"/>
  <c r="AM1776" i="2"/>
  <c r="AM1777" i="2" s="1"/>
  <c r="AM1780" i="2" s="1"/>
  <c r="AN1781" i="2" s="1"/>
  <c r="AM1801" i="2"/>
  <c r="AM1806" i="2" s="1"/>
  <c r="AM1802" i="2"/>
  <c r="AM1813" i="2"/>
  <c r="AO1823" i="2"/>
  <c r="AM1814" i="2"/>
  <c r="AM1825" i="2"/>
  <c r="AM1839" i="2" l="1"/>
  <c r="AM1828" i="2"/>
  <c r="AO1837" i="2"/>
  <c r="AM1827" i="2"/>
  <c r="AM1803" i="2"/>
  <c r="AM1790" i="2"/>
  <c r="AM1791" i="2" s="1"/>
  <c r="AM1794" i="2" s="1"/>
  <c r="AN1795" i="2" s="1"/>
  <c r="AM1816" i="2"/>
  <c r="AM1815" i="2"/>
  <c r="AM1820" i="2" s="1"/>
  <c r="AM1853" i="2" l="1"/>
  <c r="AM1842" i="2"/>
  <c r="AO1851" i="2"/>
  <c r="AM1841" i="2"/>
  <c r="AM1817" i="2"/>
  <c r="AM1804" i="2"/>
  <c r="AM1805" i="2" s="1"/>
  <c r="AM1808" i="2" s="1"/>
  <c r="AN1809" i="2" s="1"/>
  <c r="AM1829" i="2"/>
  <c r="AM1834" i="2" s="1"/>
  <c r="AM1830" i="2"/>
  <c r="AO1865" i="2" l="1"/>
  <c r="AM1856" i="2"/>
  <c r="AM1855" i="2"/>
  <c r="AM1867" i="2"/>
  <c r="AM1831" i="2"/>
  <c r="AM1818" i="2"/>
  <c r="AM1819" i="2" s="1"/>
  <c r="AM1822" i="2" s="1"/>
  <c r="AN1823" i="2" s="1"/>
  <c r="AM1844" i="2"/>
  <c r="AM1843" i="2"/>
  <c r="AM1848" i="2" s="1"/>
  <c r="AM1845" i="2" l="1"/>
  <c r="AM1832" i="2"/>
  <c r="AM1833" i="2" s="1"/>
  <c r="AM1836" i="2" s="1"/>
  <c r="AN1837" i="2" s="1"/>
  <c r="AM1858" i="2"/>
  <c r="AM1857" i="2"/>
  <c r="AM1862" i="2" s="1"/>
  <c r="AM1870" i="2"/>
  <c r="AM1881" i="2"/>
  <c r="AO1879" i="2"/>
  <c r="AM1869" i="2"/>
  <c r="AM1859" i="2" l="1"/>
  <c r="AM1872" i="2"/>
  <c r="AM1871" i="2"/>
  <c r="AM1876" i="2" s="1"/>
  <c r="AM1846" i="2"/>
  <c r="AM1847" i="2" s="1"/>
  <c r="AM1850" i="2" s="1"/>
  <c r="AN1851" i="2" s="1"/>
  <c r="AM1895" i="2"/>
  <c r="AM1883" i="2"/>
  <c r="AM1884" i="2"/>
  <c r="AO1893" i="2"/>
  <c r="AM1860" i="2" l="1"/>
  <c r="AM1861" i="2" s="1"/>
  <c r="AM1864" i="2" s="1"/>
  <c r="AN1865" i="2" s="1"/>
  <c r="AM1909" i="2"/>
  <c r="AM1897" i="2"/>
  <c r="AM1898" i="2"/>
  <c r="AO1907" i="2"/>
  <c r="AM1873" i="2"/>
  <c r="AM1885" i="2"/>
  <c r="AM1890" i="2" s="1"/>
  <c r="AM1886" i="2"/>
  <c r="AM1899" i="2" l="1"/>
  <c r="AM1904" i="2" s="1"/>
  <c r="AM1900" i="2"/>
  <c r="AM1874" i="2"/>
  <c r="AM1875" i="2" s="1"/>
  <c r="AM1878" i="2" s="1"/>
  <c r="AN1879" i="2" s="1"/>
  <c r="AM1887" i="2"/>
  <c r="AM1912" i="2"/>
  <c r="AM1911" i="2"/>
  <c r="AM1923" i="2"/>
  <c r="AO1921" i="2"/>
  <c r="AM1901" i="2" l="1"/>
  <c r="AM1926" i="2"/>
  <c r="AM1937" i="2"/>
  <c r="AO1935" i="2"/>
  <c r="AM1925" i="2"/>
  <c r="AM1888" i="2"/>
  <c r="AM1889" i="2" s="1"/>
  <c r="AM1892" i="2" s="1"/>
  <c r="AN1893" i="2" s="1"/>
  <c r="AM1914" i="2"/>
  <c r="AM1913" i="2"/>
  <c r="AM1918" i="2" s="1"/>
  <c r="AM1915" i="2" l="1"/>
  <c r="AM1902" i="2"/>
  <c r="AM1903" i="2" s="1"/>
  <c r="AM1906" i="2" s="1"/>
  <c r="AN1907" i="2" s="1"/>
  <c r="AM1928" i="2"/>
  <c r="AM1927" i="2"/>
  <c r="AM1932" i="2" s="1"/>
  <c r="AM1940" i="2"/>
  <c r="AO1949" i="2"/>
  <c r="AM1951" i="2"/>
  <c r="AM1939" i="2"/>
  <c r="AM1941" i="2" l="1"/>
  <c r="AM1946" i="2" s="1"/>
  <c r="AM1942" i="2"/>
  <c r="AM1965" i="2"/>
  <c r="AM1954" i="2"/>
  <c r="AO1963" i="2"/>
  <c r="AM1953" i="2"/>
  <c r="AM1929" i="2"/>
  <c r="AM1916" i="2"/>
  <c r="AM1917" i="2" s="1"/>
  <c r="AM1920" i="2" s="1"/>
  <c r="AN1921" i="2" s="1"/>
  <c r="AM1956" i="2" l="1"/>
  <c r="AM1955" i="2"/>
  <c r="AM1960" i="2" s="1"/>
  <c r="AM1930" i="2"/>
  <c r="AM1931" i="2" s="1"/>
  <c r="AM1934" i="2" s="1"/>
  <c r="AN1935" i="2" s="1"/>
  <c r="AO1977" i="2"/>
  <c r="AM1968" i="2"/>
  <c r="AM1979" i="2"/>
  <c r="AM1967" i="2"/>
  <c r="AM1943" i="2"/>
  <c r="AM1944" i="2" l="1"/>
  <c r="AM1945" i="2" s="1"/>
  <c r="AM1948" i="2" s="1"/>
  <c r="AN1949" i="2" s="1"/>
  <c r="AM1957" i="2"/>
  <c r="AM1981" i="2"/>
  <c r="AM1993" i="2"/>
  <c r="AM1982" i="2"/>
  <c r="AO1991" i="2"/>
  <c r="AM1969" i="2"/>
  <c r="AM1974" i="2" s="1"/>
  <c r="AM1970" i="2"/>
  <c r="AM1958" i="2" l="1"/>
  <c r="AM1959" i="2" s="1"/>
  <c r="AM1962" i="2" s="1"/>
  <c r="AN1963" i="2" s="1"/>
  <c r="AM1984" i="2"/>
  <c r="AM1983" i="2"/>
  <c r="AM1988" i="2" s="1"/>
  <c r="AM1971" i="2"/>
  <c r="AM2007" i="2"/>
  <c r="AO2005" i="2"/>
  <c r="AM1996" i="2"/>
  <c r="AM1995" i="2"/>
  <c r="AM1972" i="2" l="1"/>
  <c r="AM1973" i="2" s="1"/>
  <c r="AM1976" i="2" s="1"/>
  <c r="AN1977" i="2" s="1"/>
  <c r="AM1997" i="2"/>
  <c r="AM2002" i="2" s="1"/>
  <c r="AM1998" i="2"/>
  <c r="AM2021" i="2"/>
  <c r="AO2019" i="2"/>
  <c r="AM2009" i="2"/>
  <c r="AM2010" i="2"/>
  <c r="AM1985" i="2"/>
  <c r="AO2033" i="2" l="1"/>
  <c r="AM2023" i="2"/>
  <c r="AM2035" i="2"/>
  <c r="AM2024" i="2"/>
  <c r="AM2012" i="2"/>
  <c r="AM2011" i="2"/>
  <c r="AM2016" i="2" s="1"/>
  <c r="AM1986" i="2"/>
  <c r="AM1987" i="2" s="1"/>
  <c r="AM1990" i="2" s="1"/>
  <c r="AN1991" i="2" s="1"/>
  <c r="AM1999" i="2"/>
  <c r="AM2000" i="2" l="1"/>
  <c r="AM2001" i="2" s="1"/>
  <c r="AM2004" i="2" s="1"/>
  <c r="AN2005" i="2" s="1"/>
  <c r="AM2013" i="2"/>
  <c r="AM2025" i="2"/>
  <c r="AM2030" i="2" s="1"/>
  <c r="AM2026" i="2"/>
  <c r="AO2047" i="2"/>
  <c r="AM2037" i="2"/>
  <c r="AM2038" i="2"/>
  <c r="AM2049" i="2"/>
  <c r="AM2027" i="2" l="1"/>
  <c r="AM2052" i="2"/>
  <c r="AO2061" i="2"/>
  <c r="AM2051" i="2"/>
  <c r="AM2063" i="2"/>
  <c r="AM2039" i="2"/>
  <c r="AM2044" i="2" s="1"/>
  <c r="AM2040" i="2"/>
  <c r="AM2014" i="2"/>
  <c r="AM2015" i="2" s="1"/>
  <c r="AM2018" i="2" s="1"/>
  <c r="AN2019" i="2" s="1"/>
  <c r="AM2077" i="2" l="1"/>
  <c r="AO2075" i="2"/>
  <c r="AM2065" i="2"/>
  <c r="AM2066" i="2"/>
  <c r="AM2028" i="2"/>
  <c r="AM2029" i="2" s="1"/>
  <c r="AM2032" i="2" s="1"/>
  <c r="AN2033" i="2" s="1"/>
  <c r="AM2041" i="2"/>
  <c r="AM2053" i="2"/>
  <c r="AM2058" i="2" s="1"/>
  <c r="AM2054" i="2"/>
  <c r="AO2089" i="2" l="1"/>
  <c r="AM2079" i="2"/>
  <c r="AM2080" i="2"/>
  <c r="AM2091" i="2"/>
  <c r="AM2055" i="2"/>
  <c r="AM2042" i="2"/>
  <c r="AM2043" i="2" s="1"/>
  <c r="AM2046" i="2" s="1"/>
  <c r="AN2047" i="2" s="1"/>
  <c r="AM2067" i="2"/>
  <c r="AM2072" i="2" s="1"/>
  <c r="AM2068" i="2"/>
  <c r="AM2056" i="2" l="1"/>
  <c r="AM2057" i="2" s="1"/>
  <c r="AM2060" i="2" s="1"/>
  <c r="AN2061" i="2" s="1"/>
  <c r="AM2069" i="2"/>
  <c r="AM2082" i="2"/>
  <c r="AM2081" i="2"/>
  <c r="AM2086" i="2" s="1"/>
  <c r="AM2093" i="2"/>
  <c r="AM2094" i="2"/>
  <c r="AM2105" i="2"/>
  <c r="AO2103" i="2"/>
  <c r="AM2119" i="2" l="1"/>
  <c r="AM2108" i="2"/>
  <c r="AM2107" i="2"/>
  <c r="AO2117" i="2"/>
  <c r="AM2083" i="2"/>
  <c r="AM2096" i="2"/>
  <c r="AM2095" i="2"/>
  <c r="AM2100" i="2" s="1"/>
  <c r="AM2070" i="2"/>
  <c r="AM2071" i="2" s="1"/>
  <c r="AM2074" i="2" s="1"/>
  <c r="AN2075" i="2" s="1"/>
  <c r="AM2122" i="2" l="1"/>
  <c r="AM2121" i="2"/>
  <c r="AO2131" i="2"/>
  <c r="AM2133" i="2"/>
  <c r="AM2084" i="2"/>
  <c r="AM2085" i="2" s="1"/>
  <c r="AM2088" i="2" s="1"/>
  <c r="AN2089" i="2" s="1"/>
  <c r="AM2109" i="2"/>
  <c r="AM2114" i="2" s="1"/>
  <c r="AM2110" i="2"/>
  <c r="AM2097" i="2"/>
  <c r="AM2124" i="2" l="1"/>
  <c r="AM2123" i="2"/>
  <c r="AM2128" i="2" s="1"/>
  <c r="AM2111" i="2"/>
  <c r="AM2098" i="2"/>
  <c r="AM2099" i="2" s="1"/>
  <c r="AM2102" i="2" s="1"/>
  <c r="AN2103" i="2" s="1"/>
  <c r="AO2145" i="2"/>
  <c r="AM2136" i="2"/>
  <c r="AM2147" i="2"/>
  <c r="AM2135" i="2"/>
  <c r="AM2149" i="2" l="1"/>
  <c r="AM2161" i="2"/>
  <c r="AM2150" i="2"/>
  <c r="AO2159" i="2"/>
  <c r="AM2137" i="2"/>
  <c r="AM2142" i="2" s="1"/>
  <c r="AM2138" i="2"/>
  <c r="AM2125" i="2"/>
  <c r="AM2112" i="2"/>
  <c r="AM2113" i="2" s="1"/>
  <c r="AM2116" i="2" s="1"/>
  <c r="AN2117" i="2" s="1"/>
  <c r="AM2126" i="2" l="1"/>
  <c r="AM2127" i="2" s="1"/>
  <c r="AM2130" i="2" s="1"/>
  <c r="AN2131" i="2" s="1"/>
  <c r="AM2151" i="2"/>
  <c r="AM2156" i="2" s="1"/>
  <c r="AM2152" i="2"/>
  <c r="AM2139" i="2"/>
  <c r="AM2164" i="2"/>
  <c r="AM2163" i="2"/>
  <c r="AO2173" i="2"/>
  <c r="AM2175" i="2"/>
  <c r="AM2140" i="2" l="1"/>
  <c r="AM2141" i="2" s="1"/>
  <c r="AM2144" i="2" s="1"/>
  <c r="AN2145" i="2" s="1"/>
  <c r="AM2178" i="2"/>
  <c r="AM2177" i="2"/>
  <c r="AO2187" i="2"/>
  <c r="AM2189" i="2"/>
  <c r="AM2166" i="2"/>
  <c r="AM2165" i="2"/>
  <c r="AM2170" i="2" s="1"/>
  <c r="AM2153" i="2"/>
  <c r="AM2154" i="2" l="1"/>
  <c r="AM2155" i="2" s="1"/>
  <c r="AM2158" i="2" s="1"/>
  <c r="AN2159" i="2" s="1"/>
  <c r="AM2192" i="2"/>
  <c r="AM2191" i="2"/>
  <c r="AM2203" i="2"/>
  <c r="AO2201" i="2"/>
  <c r="AM2167" i="2"/>
  <c r="AM2179" i="2"/>
  <c r="AM2184" i="2" s="1"/>
  <c r="AM2180" i="2"/>
  <c r="AM2168" i="2" l="1"/>
  <c r="AM2169" i="2" s="1"/>
  <c r="AM2172" i="2" s="1"/>
  <c r="AN2173" i="2" s="1"/>
  <c r="AM2206" i="2"/>
  <c r="AO2215" i="2"/>
  <c r="AM2217" i="2"/>
  <c r="AM2205" i="2"/>
  <c r="AM2181" i="2"/>
  <c r="AM2193" i="2"/>
  <c r="AM2198" i="2" s="1"/>
  <c r="AM2194" i="2"/>
  <c r="AM2220" i="2" l="1"/>
  <c r="AM2219" i="2"/>
  <c r="AO2229" i="2"/>
  <c r="AM2231" i="2"/>
  <c r="AM2195" i="2"/>
  <c r="AM2207" i="2"/>
  <c r="AM2212" i="2" s="1"/>
  <c r="AM2208" i="2"/>
  <c r="AM2182" i="2"/>
  <c r="AM2183" i="2" s="1"/>
  <c r="AM2186" i="2" s="1"/>
  <c r="AN2187" i="2" s="1"/>
  <c r="AM2209" i="2" l="1"/>
  <c r="AM2222" i="2"/>
  <c r="AM2221" i="2"/>
  <c r="AM2226" i="2" s="1"/>
  <c r="AM2196" i="2"/>
  <c r="AM2197" i="2" s="1"/>
  <c r="AM2200" i="2" s="1"/>
  <c r="AN2201" i="2" s="1"/>
  <c r="AM2245" i="2"/>
  <c r="AO2243" i="2"/>
  <c r="AM2234" i="2"/>
  <c r="AM2233" i="2"/>
  <c r="AM2236" i="2" l="1"/>
  <c r="AM2235" i="2"/>
  <c r="AM2240" i="2" s="1"/>
  <c r="AM2210" i="2"/>
  <c r="AM2211" i="2" s="1"/>
  <c r="AM2214" i="2" s="1"/>
  <c r="AN2215" i="2" s="1"/>
  <c r="AM2259" i="2"/>
  <c r="AM2248" i="2"/>
  <c r="AO2257" i="2"/>
  <c r="AM2247" i="2"/>
  <c r="AM2223" i="2"/>
  <c r="AM2273" i="2" l="1"/>
  <c r="AO2271" i="2"/>
  <c r="AM2261" i="2"/>
  <c r="AM2262" i="2"/>
  <c r="AM2237" i="2"/>
  <c r="AM2224" i="2"/>
  <c r="AM2225" i="2" s="1"/>
  <c r="AM2228" i="2" s="1"/>
  <c r="AN2229" i="2" s="1"/>
  <c r="AM2249" i="2"/>
  <c r="AM2254" i="2" s="1"/>
  <c r="AM2250" i="2"/>
  <c r="AM2276" i="2" l="1"/>
  <c r="AO2285" i="2"/>
  <c r="AM2287" i="2"/>
  <c r="AM2275" i="2"/>
  <c r="AM2251" i="2"/>
  <c r="AM2238" i="2"/>
  <c r="AM2239" i="2" s="1"/>
  <c r="AM2242" i="2" s="1"/>
  <c r="AN2243" i="2" s="1"/>
  <c r="AM2264" i="2"/>
  <c r="AM2263" i="2"/>
  <c r="AM2268" i="2" s="1"/>
  <c r="AM2252" i="2" l="1"/>
  <c r="AM2253" i="2" s="1"/>
  <c r="AM2256" i="2" s="1"/>
  <c r="AN2257" i="2" s="1"/>
  <c r="AM2301" i="2"/>
  <c r="AO2299" i="2"/>
  <c r="AM2289" i="2"/>
  <c r="AM2290" i="2"/>
  <c r="AM2265" i="2"/>
  <c r="AM2278" i="2"/>
  <c r="AM2277" i="2"/>
  <c r="AM2282" i="2" s="1"/>
  <c r="AM2279" i="2" l="1"/>
  <c r="AM2292" i="2"/>
  <c r="AM2291" i="2"/>
  <c r="AM2296" i="2" s="1"/>
  <c r="AM2266" i="2"/>
  <c r="AM2267" i="2" s="1"/>
  <c r="AM2270" i="2" s="1"/>
  <c r="AN2271" i="2" s="1"/>
  <c r="AM2303" i="2"/>
  <c r="AO2313" i="2"/>
  <c r="AM2304" i="2"/>
  <c r="AM2315" i="2"/>
  <c r="AO2327" i="2" l="1"/>
  <c r="AM2317" i="2"/>
  <c r="AM2318" i="2"/>
  <c r="AM2329" i="2"/>
  <c r="AM2280" i="2"/>
  <c r="AM2281" i="2" s="1"/>
  <c r="AM2284" i="2" s="1"/>
  <c r="AN2285" i="2" s="1"/>
  <c r="AM2305" i="2"/>
  <c r="AM2310" i="2" s="1"/>
  <c r="AM2306" i="2"/>
  <c r="AM2293" i="2"/>
  <c r="AM2294" i="2" l="1"/>
  <c r="AM2295" i="2" s="1"/>
  <c r="AM2298" i="2" s="1"/>
  <c r="AN2299" i="2" s="1"/>
  <c r="AM2320" i="2"/>
  <c r="AM2319" i="2"/>
  <c r="AM2324" i="2" s="1"/>
  <c r="AM2307" i="2"/>
  <c r="AM2331" i="2"/>
  <c r="AM2332" i="2"/>
  <c r="AO2341" i="2"/>
  <c r="AM2343" i="2"/>
  <c r="AM2346" i="2" l="1"/>
  <c r="AO2355" i="2"/>
  <c r="AM2357" i="2"/>
  <c r="AM2345" i="2"/>
  <c r="AM2334" i="2"/>
  <c r="AM2333" i="2"/>
  <c r="AM2338" i="2" s="1"/>
  <c r="AM2321" i="2"/>
  <c r="AM2308" i="2"/>
  <c r="AM2309" i="2" s="1"/>
  <c r="AM2312" i="2" s="1"/>
  <c r="AN2313" i="2" s="1"/>
  <c r="AM2335" i="2" l="1"/>
  <c r="AM2359" i="2"/>
  <c r="AM2360" i="2"/>
  <c r="AM2371" i="2"/>
  <c r="AO2369" i="2"/>
  <c r="AM2322" i="2"/>
  <c r="AM2323" i="2" s="1"/>
  <c r="AM2326" i="2" s="1"/>
  <c r="AN2327" i="2" s="1"/>
  <c r="AM2348" i="2"/>
  <c r="AM2347" i="2"/>
  <c r="AM2352" i="2" s="1"/>
  <c r="AO2383" i="2" l="1"/>
  <c r="AM2385" i="2"/>
  <c r="AM2373" i="2"/>
  <c r="AM2374" i="2"/>
  <c r="AM2349" i="2"/>
  <c r="AM2336" i="2"/>
  <c r="AM2337" i="2" s="1"/>
  <c r="AM2340" i="2" s="1"/>
  <c r="AN2341" i="2" s="1"/>
  <c r="AM2361" i="2"/>
  <c r="AM2366" i="2" s="1"/>
  <c r="AM2362" i="2"/>
  <c r="AM2350" i="2" l="1"/>
  <c r="AM2351" i="2" s="1"/>
  <c r="AM2354" i="2" s="1"/>
  <c r="AN2355" i="2" s="1"/>
  <c r="AM2363" i="2"/>
  <c r="AO2397" i="2"/>
  <c r="AM2388" i="2"/>
  <c r="AM2387" i="2"/>
  <c r="AM2399" i="2"/>
  <c r="AM2376" i="2"/>
  <c r="AM2375" i="2"/>
  <c r="AM2380" i="2" s="1"/>
  <c r="AM2377" i="2" l="1"/>
  <c r="AM2390" i="2"/>
  <c r="AM2389" i="2"/>
  <c r="AM2394" i="2" s="1"/>
  <c r="AM2364" i="2"/>
  <c r="AM2365" i="2" s="1"/>
  <c r="AM2368" i="2" s="1"/>
  <c r="AN2369" i="2" s="1"/>
  <c r="AM2401" i="2"/>
  <c r="AM2402" i="2"/>
  <c r="AO2411" i="2"/>
  <c r="AM2413" i="2"/>
  <c r="AM2378" i="2" l="1"/>
  <c r="AM2379" i="2" s="1"/>
  <c r="AM2382" i="2" s="1"/>
  <c r="AN2383" i="2" s="1"/>
  <c r="AM2403" i="2"/>
  <c r="AM2408" i="2" s="1"/>
  <c r="AM2404" i="2"/>
  <c r="AM2391" i="2"/>
  <c r="AM2415" i="2"/>
  <c r="AM2427" i="2"/>
  <c r="AM2416" i="2"/>
  <c r="AO2425" i="2"/>
  <c r="AM2417" i="2" l="1"/>
  <c r="AM2422" i="2" s="1"/>
  <c r="AM2418" i="2"/>
  <c r="AM2392" i="2"/>
  <c r="AM2393" i="2" s="1"/>
  <c r="AM2396" i="2" s="1"/>
  <c r="AN2397" i="2" s="1"/>
  <c r="AM2441" i="2"/>
  <c r="AO2439" i="2"/>
  <c r="AM2429" i="2"/>
  <c r="AM2430" i="2"/>
  <c r="AM2405" i="2"/>
  <c r="AM2443" i="2" l="1"/>
  <c r="AM2455" i="2"/>
  <c r="AM2444" i="2"/>
  <c r="AO2453" i="2"/>
  <c r="AM2406" i="2"/>
  <c r="AM2407" i="2" s="1"/>
  <c r="AM2410" i="2" s="1"/>
  <c r="AN2411" i="2" s="1"/>
  <c r="AM2419" i="2"/>
  <c r="AM2431" i="2"/>
  <c r="AM2436" i="2" s="1"/>
  <c r="AM2432" i="2"/>
  <c r="AM2446" i="2" l="1"/>
  <c r="AM2445" i="2"/>
  <c r="AM2450" i="2" s="1"/>
  <c r="AM2433" i="2"/>
  <c r="AM2457" i="2"/>
  <c r="AO2467" i="2"/>
  <c r="AM2469" i="2"/>
  <c r="AM2458" i="2"/>
  <c r="AM2420" i="2"/>
  <c r="AM2421" i="2" s="1"/>
  <c r="AM2424" i="2" s="1"/>
  <c r="AN2425" i="2" s="1"/>
  <c r="AM2459" i="2" l="1"/>
  <c r="AM2464" i="2" s="1"/>
  <c r="AM2460" i="2"/>
  <c r="AM2447" i="2"/>
  <c r="AM2483" i="2"/>
  <c r="AO2481" i="2"/>
  <c r="AM2472" i="2"/>
  <c r="AM2471" i="2"/>
  <c r="AM2434" i="2"/>
  <c r="AM2435" i="2" s="1"/>
  <c r="AM2438" i="2" s="1"/>
  <c r="AN2439" i="2" s="1"/>
  <c r="AM2485" i="2" l="1"/>
  <c r="AM2486" i="2"/>
  <c r="AM2497" i="2"/>
  <c r="AO2495" i="2"/>
  <c r="AM2461" i="2"/>
  <c r="AM2474" i="2"/>
  <c r="AM2473" i="2"/>
  <c r="AM2478" i="2" s="1"/>
  <c r="AM2448" i="2"/>
  <c r="AM2449" i="2" s="1"/>
  <c r="AM2452" i="2" s="1"/>
  <c r="AN2453" i="2" s="1"/>
  <c r="AM2462" i="2" l="1"/>
  <c r="AM2463" i="2" s="1"/>
  <c r="AM2466" i="2" s="1"/>
  <c r="AN2467" i="2" s="1"/>
  <c r="AM2487" i="2"/>
  <c r="AM2492" i="2" s="1"/>
  <c r="AM2488" i="2"/>
  <c r="AM2475" i="2"/>
  <c r="AO2509" i="2"/>
  <c r="AM2500" i="2"/>
  <c r="AM2499" i="2"/>
  <c r="AM2511" i="2"/>
  <c r="AM2501" i="2" l="1"/>
  <c r="AM2506" i="2" s="1"/>
  <c r="AM2502" i="2"/>
  <c r="AM2476" i="2"/>
  <c r="AM2477" i="2" s="1"/>
  <c r="AM2480" i="2" s="1"/>
  <c r="AN2481" i="2" s="1"/>
  <c r="AO2523" i="2"/>
  <c r="AM2514" i="2"/>
  <c r="AM2513" i="2"/>
  <c r="AM2525" i="2"/>
  <c r="AM2489" i="2"/>
  <c r="AM2490" i="2" l="1"/>
  <c r="AM2491" i="2" s="1"/>
  <c r="AM2494" i="2" s="1"/>
  <c r="AN2495" i="2" s="1"/>
  <c r="AM2503" i="2"/>
  <c r="AM2516" i="2"/>
  <c r="AM2515" i="2"/>
  <c r="AM2520" i="2" s="1"/>
  <c r="AM2527" i="2"/>
  <c r="AM2539" i="2"/>
  <c r="AO2537" i="2"/>
  <c r="AM2528" i="2"/>
  <c r="AM2529" i="2" l="1"/>
  <c r="AM2534" i="2" s="1"/>
  <c r="AM2530" i="2"/>
  <c r="AM2517" i="2"/>
  <c r="AM2504" i="2"/>
  <c r="AM2505" i="2" s="1"/>
  <c r="AM2508" i="2" s="1"/>
  <c r="AN2509" i="2" s="1"/>
  <c r="AM2541" i="2"/>
  <c r="AM2542" i="2"/>
  <c r="AM2553" i="2"/>
  <c r="AO2551" i="2"/>
  <c r="AM2531" i="2" l="1"/>
  <c r="AO2565" i="2"/>
  <c r="AM2556" i="2"/>
  <c r="AM2555" i="2"/>
  <c r="AM2567" i="2"/>
  <c r="AM2544" i="2"/>
  <c r="AM2543" i="2"/>
  <c r="AM2548" i="2" s="1"/>
  <c r="AM2518" i="2"/>
  <c r="AM2519" i="2" s="1"/>
  <c r="AM2522" i="2" s="1"/>
  <c r="AN2523" i="2" s="1"/>
  <c r="AM2558" i="2" l="1"/>
  <c r="AM2557" i="2"/>
  <c r="AM2562" i="2" s="1"/>
  <c r="AM2532" i="2"/>
  <c r="AM2533" i="2" s="1"/>
  <c r="AM2536" i="2" s="1"/>
  <c r="AN2537" i="2" s="1"/>
  <c r="AM2570" i="2"/>
  <c r="AO2579" i="2"/>
  <c r="AM2569" i="2"/>
  <c r="AM2581" i="2"/>
  <c r="AM2545" i="2"/>
  <c r="AM2559" i="2" l="1"/>
  <c r="AM2595" i="2"/>
  <c r="AO2593" i="2"/>
  <c r="AM2584" i="2"/>
  <c r="AM2583" i="2"/>
  <c r="AM2546" i="2"/>
  <c r="AM2547" i="2" s="1"/>
  <c r="AM2550" i="2" s="1"/>
  <c r="AN2551" i="2" s="1"/>
  <c r="AM2572" i="2"/>
  <c r="AM2571" i="2"/>
  <c r="AM2576" i="2" s="1"/>
  <c r="AM2573" i="2" l="1"/>
  <c r="AM2586" i="2"/>
  <c r="AM2585" i="2"/>
  <c r="AM2590" i="2" s="1"/>
  <c r="AM2560" i="2"/>
  <c r="AM2561" i="2" s="1"/>
  <c r="AM2564" i="2" s="1"/>
  <c r="AN2565" i="2" s="1"/>
  <c r="AM2597" i="2"/>
  <c r="AM2598" i="2"/>
  <c r="AO2607" i="2"/>
  <c r="AM2609" i="2"/>
  <c r="AM2611" i="2" l="1"/>
  <c r="AM2612" i="2"/>
  <c r="AM2623" i="2"/>
  <c r="AO2621" i="2"/>
  <c r="AM2574" i="2"/>
  <c r="AM2575" i="2" s="1"/>
  <c r="AM2578" i="2" s="1"/>
  <c r="AN2579" i="2" s="1"/>
  <c r="AM2599" i="2"/>
  <c r="AM2604" i="2" s="1"/>
  <c r="AM2600" i="2"/>
  <c r="AM2587" i="2"/>
  <c r="AM2601" i="2" l="1"/>
  <c r="AM2588" i="2"/>
  <c r="AM2589" i="2" s="1"/>
  <c r="AM2592" i="2" s="1"/>
  <c r="AN2593" i="2" s="1"/>
  <c r="AM2625" i="2"/>
  <c r="AM2626" i="2"/>
  <c r="AO2635" i="2"/>
  <c r="AM2637" i="2"/>
  <c r="AM2614" i="2"/>
  <c r="AM2613" i="2"/>
  <c r="AM2618" i="2" s="1"/>
  <c r="AM2651" i="2" l="1"/>
  <c r="AM2639" i="2"/>
  <c r="AO2649" i="2"/>
  <c r="AM2640" i="2"/>
  <c r="AM2615" i="2"/>
  <c r="AM2627" i="2"/>
  <c r="AM2632" i="2" s="1"/>
  <c r="AM2628" i="2"/>
  <c r="AM2602" i="2"/>
  <c r="AM2603" i="2" s="1"/>
  <c r="AM2606" i="2" s="1"/>
  <c r="AN2607" i="2" s="1"/>
  <c r="AM2653" i="2" l="1"/>
  <c r="AM2665" i="2"/>
  <c r="AO2663" i="2"/>
  <c r="AM2654" i="2"/>
  <c r="AM2641" i="2"/>
  <c r="AM2646" i="2" s="1"/>
  <c r="AM2642" i="2"/>
  <c r="AM2616" i="2"/>
  <c r="AM2617" i="2" s="1"/>
  <c r="AM2620" i="2" s="1"/>
  <c r="AN2621" i="2" s="1"/>
  <c r="AM2629" i="2"/>
  <c r="AM2656" i="2" l="1"/>
  <c r="AM2655" i="2"/>
  <c r="AM2660" i="2" s="1"/>
  <c r="AM2630" i="2"/>
  <c r="AM2631" i="2" s="1"/>
  <c r="AM2634" i="2" s="1"/>
  <c r="AN2635" i="2" s="1"/>
  <c r="AM2643" i="2"/>
  <c r="AM2668" i="2"/>
  <c r="AM2667" i="2"/>
  <c r="AO2677" i="2"/>
  <c r="AM2679" i="2"/>
  <c r="AM2657" i="2" l="1"/>
  <c r="AM2682" i="2"/>
  <c r="AM2693" i="2"/>
  <c r="AO2691" i="2"/>
  <c r="AM2681" i="2"/>
  <c r="AM2644" i="2"/>
  <c r="AM2645" i="2" s="1"/>
  <c r="AM2648" i="2" s="1"/>
  <c r="AN2649" i="2" s="1"/>
  <c r="AM2670" i="2"/>
  <c r="AM2669" i="2"/>
  <c r="AM2674" i="2" s="1"/>
  <c r="AM2658" i="2" l="1"/>
  <c r="AM2659" i="2" s="1"/>
  <c r="AM2662" i="2" s="1"/>
  <c r="AN2663" i="2" s="1"/>
  <c r="AM2671" i="2"/>
  <c r="AM2683" i="2"/>
  <c r="AM2688" i="2" s="1"/>
  <c r="AM2684" i="2"/>
  <c r="AM2707" i="2"/>
  <c r="AO2705" i="2"/>
  <c r="AM2696" i="2"/>
  <c r="AM2695" i="2"/>
  <c r="AM2697" i="2" l="1"/>
  <c r="AM2702" i="2" s="1"/>
  <c r="AM2698" i="2"/>
  <c r="AM2685" i="2"/>
  <c r="AM2710" i="2"/>
  <c r="AO2719" i="2"/>
  <c r="AM2721" i="2"/>
  <c r="AM2709" i="2"/>
  <c r="AM2672" i="2"/>
  <c r="AM2673" i="2" s="1"/>
  <c r="AM2676" i="2" s="1"/>
  <c r="AN2677" i="2" s="1"/>
  <c r="AM2711" i="2" l="1"/>
  <c r="AM2716" i="2" s="1"/>
  <c r="AM2712" i="2"/>
  <c r="AM2699" i="2"/>
  <c r="AM2723" i="2"/>
  <c r="AO2733" i="2"/>
  <c r="AM2735" i="2"/>
  <c r="AM2724" i="2"/>
  <c r="AM2686" i="2"/>
  <c r="AM2687" i="2" s="1"/>
  <c r="AM2690" i="2" s="1"/>
  <c r="AN2691" i="2" s="1"/>
  <c r="AM2749" i="2" l="1"/>
  <c r="AM2738" i="2"/>
  <c r="AO2747" i="2"/>
  <c r="AM2737" i="2"/>
  <c r="AM2700" i="2"/>
  <c r="AM2701" i="2" s="1"/>
  <c r="AM2704" i="2" s="1"/>
  <c r="AN2705" i="2" s="1"/>
  <c r="AM2725" i="2"/>
  <c r="AM2730" i="2" s="1"/>
  <c r="AM2726" i="2"/>
  <c r="AM2713" i="2"/>
  <c r="AM2714" i="2" l="1"/>
  <c r="AM2715" i="2" s="1"/>
  <c r="AM2718" i="2" s="1"/>
  <c r="AN2719" i="2" s="1"/>
  <c r="AM2751" i="2"/>
  <c r="AM2763" i="2"/>
  <c r="AO2761" i="2"/>
  <c r="AM2752" i="2"/>
  <c r="AM2727" i="2"/>
  <c r="AM2739" i="2"/>
  <c r="AM2744" i="2" s="1"/>
  <c r="AM2740" i="2"/>
  <c r="AM2728" i="2" l="1"/>
  <c r="AM2729" i="2" s="1"/>
  <c r="AM2732" i="2" s="1"/>
  <c r="AN2733" i="2" s="1"/>
  <c r="AM2753" i="2"/>
  <c r="AM2758" i="2" s="1"/>
  <c r="AM2754" i="2"/>
  <c r="AM2741" i="2"/>
  <c r="AM2777" i="2"/>
  <c r="AO2775" i="2"/>
  <c r="AM2765" i="2"/>
  <c r="AM2766" i="2"/>
  <c r="AM2742" i="2" l="1"/>
  <c r="AM2743" i="2" s="1"/>
  <c r="AM2746" i="2" s="1"/>
  <c r="AN2747" i="2" s="1"/>
  <c r="AM2767" i="2"/>
  <c r="AM2772" i="2" s="1"/>
  <c r="AM2768" i="2"/>
  <c r="AM2779" i="2"/>
  <c r="AM2791" i="2"/>
  <c r="AM2780" i="2"/>
  <c r="AO2789" i="2"/>
  <c r="AM2755" i="2"/>
  <c r="AM2782" i="2" l="1"/>
  <c r="AM2781" i="2"/>
  <c r="AM2786" i="2" s="1"/>
  <c r="AM2756" i="2"/>
  <c r="AM2757" i="2" s="1"/>
  <c r="AM2760" i="2" s="1"/>
  <c r="AN2761" i="2" s="1"/>
  <c r="AM2793" i="2"/>
  <c r="AM2805" i="2"/>
  <c r="AM2794" i="2"/>
  <c r="AO2803" i="2"/>
  <c r="AM2769" i="2"/>
  <c r="AM2770" i="2" l="1"/>
  <c r="AM2771" i="2" s="1"/>
  <c r="AM2774" i="2" s="1"/>
  <c r="AN2775" i="2" s="1"/>
  <c r="AO2817" i="2"/>
  <c r="AM2808" i="2"/>
  <c r="AM2807" i="2"/>
  <c r="AM2819" i="2"/>
  <c r="AM2795" i="2"/>
  <c r="AM2800" i="2" s="1"/>
  <c r="AM2796" i="2"/>
  <c r="AM2783" i="2"/>
  <c r="AM2797" i="2" l="1"/>
  <c r="AM2822" i="2"/>
  <c r="AM2833" i="2"/>
  <c r="AO2831" i="2"/>
  <c r="AM2821" i="2"/>
  <c r="AM2784" i="2"/>
  <c r="AM2785" i="2" s="1"/>
  <c r="AM2788" i="2" s="1"/>
  <c r="AN2789" i="2" s="1"/>
  <c r="AM2809" i="2"/>
  <c r="AM2814" i="2" s="1"/>
  <c r="AM2810" i="2"/>
  <c r="AO2845" i="2" l="1"/>
  <c r="AM2835" i="2"/>
  <c r="AM2847" i="2"/>
  <c r="AM2836" i="2"/>
  <c r="AM2798" i="2"/>
  <c r="AM2799" i="2" s="1"/>
  <c r="AM2802" i="2" s="1"/>
  <c r="AN2803" i="2" s="1"/>
  <c r="AM2811" i="2"/>
  <c r="AM2824" i="2"/>
  <c r="AM2823" i="2"/>
  <c r="AM2828" i="2" s="1"/>
  <c r="AM2837" i="2" l="1"/>
  <c r="AM2842" i="2" s="1"/>
  <c r="AM2838" i="2"/>
  <c r="AM2861" i="2"/>
  <c r="AM2850" i="2"/>
  <c r="AO2859" i="2"/>
  <c r="AM2849" i="2"/>
  <c r="AM2825" i="2"/>
  <c r="AM2812" i="2"/>
  <c r="AM2813" i="2" s="1"/>
  <c r="AM2816" i="2" s="1"/>
  <c r="AN2817" i="2" s="1"/>
  <c r="AM2851" i="2" l="1"/>
  <c r="AM2856" i="2" s="1"/>
  <c r="AM2852" i="2"/>
  <c r="AM2839" i="2"/>
  <c r="AM2875" i="2"/>
  <c r="AO2873" i="2"/>
  <c r="AM2864" i="2"/>
  <c r="AM2863" i="2"/>
  <c r="AM2826" i="2"/>
  <c r="AM2827" i="2" s="1"/>
  <c r="AM2830" i="2" s="1"/>
  <c r="AN2831" i="2" s="1"/>
  <c r="AM2877" i="2" l="1"/>
  <c r="AM2878" i="2"/>
  <c r="AM2889" i="2"/>
  <c r="AO2887" i="2"/>
  <c r="AM2853" i="2"/>
  <c r="AM2865" i="2"/>
  <c r="AM2870" i="2" s="1"/>
  <c r="AM2866" i="2"/>
  <c r="AM2840" i="2"/>
  <c r="AM2841" i="2" s="1"/>
  <c r="AM2844" i="2" s="1"/>
  <c r="AN2845" i="2" s="1"/>
  <c r="AM2880" i="2" l="1"/>
  <c r="AM2879" i="2"/>
  <c r="AM2884" i="2" s="1"/>
  <c r="AO2901" i="2"/>
  <c r="AM2891" i="2"/>
  <c r="AM2903" i="2"/>
  <c r="AM2892" i="2"/>
  <c r="AM2854" i="2"/>
  <c r="AM2855" i="2" s="1"/>
  <c r="AM2858" i="2" s="1"/>
  <c r="AN2859" i="2" s="1"/>
  <c r="AM2867" i="2"/>
  <c r="AM2905" i="2" l="1"/>
  <c r="AM2917" i="2"/>
  <c r="AM2906" i="2"/>
  <c r="AO2915" i="2"/>
  <c r="AM2881" i="2"/>
  <c r="AM2868" i="2"/>
  <c r="AM2869" i="2" s="1"/>
  <c r="AM2872" i="2" s="1"/>
  <c r="AN2873" i="2" s="1"/>
  <c r="AM2894" i="2"/>
  <c r="AM2893" i="2"/>
  <c r="AM2898" i="2" s="1"/>
  <c r="AM2895" i="2" l="1"/>
  <c r="AM2882" i="2"/>
  <c r="AM2883" i="2" s="1"/>
  <c r="AM2886" i="2" s="1"/>
  <c r="AN2887" i="2" s="1"/>
  <c r="AM2907" i="2"/>
  <c r="AM2912" i="2" s="1"/>
  <c r="AM2908" i="2"/>
  <c r="AM2931" i="2"/>
  <c r="AO2929" i="2"/>
  <c r="AM2920" i="2"/>
  <c r="AM2919" i="2"/>
  <c r="AM2909" i="2" l="1"/>
  <c r="AM2896" i="2"/>
  <c r="AM2897" i="2" s="1"/>
  <c r="AM2900" i="2" s="1"/>
  <c r="AN2901" i="2" s="1"/>
  <c r="AM2921" i="2"/>
  <c r="AM2926" i="2" s="1"/>
  <c r="AM2922" i="2"/>
  <c r="AM2945" i="2"/>
  <c r="AO2943" i="2"/>
  <c r="AM2933" i="2"/>
  <c r="AM2934" i="2"/>
  <c r="AM2923" i="2" l="1"/>
  <c r="AM2936" i="2"/>
  <c r="AM2935" i="2"/>
  <c r="AM2940" i="2" s="1"/>
  <c r="AM2910" i="2"/>
  <c r="AM2911" i="2" s="1"/>
  <c r="AM2914" i="2" s="1"/>
  <c r="AN2915" i="2" s="1"/>
  <c r="AM2948" i="2"/>
  <c r="AO2957" i="2"/>
  <c r="AM2947" i="2"/>
  <c r="AM2959" i="2"/>
  <c r="AM2962" i="2" l="1"/>
  <c r="AO2971" i="2"/>
  <c r="AM2961" i="2"/>
  <c r="AM2973" i="2"/>
  <c r="AM2937" i="2"/>
  <c r="AM2950" i="2"/>
  <c r="AM2949" i="2"/>
  <c r="AM2954" i="2" s="1"/>
  <c r="AM2924" i="2"/>
  <c r="AM2925" i="2" s="1"/>
  <c r="AM2928" i="2" s="1"/>
  <c r="AN2929" i="2" s="1"/>
  <c r="AM2951" i="2" l="1"/>
  <c r="AO2985" i="2"/>
  <c r="AM2976" i="2"/>
  <c r="AM2975" i="2"/>
  <c r="AM2987" i="2"/>
  <c r="AM2938" i="2"/>
  <c r="AM2939" i="2" s="1"/>
  <c r="AM2942" i="2" s="1"/>
  <c r="AN2943" i="2" s="1"/>
  <c r="AM2963" i="2"/>
  <c r="AM2968" i="2" s="1"/>
  <c r="AM2964" i="2"/>
  <c r="AM2977" i="2" l="1"/>
  <c r="AM2982" i="2" s="1"/>
  <c r="AM2978" i="2"/>
  <c r="AM2965" i="2"/>
  <c r="AM3001" i="2"/>
  <c r="AO2999" i="2"/>
  <c r="AM2989" i="2"/>
  <c r="AM2990" i="2"/>
  <c r="AM2952" i="2"/>
  <c r="AM2953" i="2" s="1"/>
  <c r="AM2956" i="2" s="1"/>
  <c r="AN2957" i="2" s="1"/>
  <c r="AM3004" i="2" l="1"/>
  <c r="AO3013" i="2"/>
  <c r="AM3003" i="2"/>
  <c r="AM3015" i="2"/>
  <c r="AM2979" i="2"/>
  <c r="AM2992" i="2"/>
  <c r="AM2991" i="2"/>
  <c r="AM2996" i="2" s="1"/>
  <c r="AM2966" i="2"/>
  <c r="AM2967" i="2" s="1"/>
  <c r="AM2970" i="2" s="1"/>
  <c r="AN2971" i="2" s="1"/>
  <c r="AM2980" i="2" l="1"/>
  <c r="AM2981" i="2" s="1"/>
  <c r="AM2984" i="2" s="1"/>
  <c r="AN2985" i="2" s="1"/>
  <c r="AM3005" i="2"/>
  <c r="AM3010" i="2" s="1"/>
  <c r="AM3006" i="2"/>
  <c r="AM2993" i="2"/>
  <c r="AM3029" i="2"/>
  <c r="AM3018" i="2"/>
  <c r="AO3027" i="2"/>
  <c r="AM3017" i="2"/>
  <c r="AM2994" i="2" l="1"/>
  <c r="AM2995" i="2" s="1"/>
  <c r="AM2998" i="2" s="1"/>
  <c r="AN2999" i="2" s="1"/>
  <c r="AM3019" i="2"/>
  <c r="AM3024" i="2" s="1"/>
  <c r="AM3020" i="2"/>
  <c r="AM3032" i="2"/>
  <c r="AM3031" i="2"/>
  <c r="AM3043" i="2"/>
  <c r="AO3041" i="2"/>
  <c r="AM3007" i="2"/>
  <c r="AM3045" i="2" l="1"/>
  <c r="AM3046" i="2"/>
  <c r="AM3057" i="2"/>
  <c r="AO3055" i="2"/>
  <c r="AM3033" i="2"/>
  <c r="AM3038" i="2" s="1"/>
  <c r="AM3034" i="2"/>
  <c r="AM3008" i="2"/>
  <c r="AM3009" i="2" s="1"/>
  <c r="AM3012" i="2" s="1"/>
  <c r="AN3013" i="2" s="1"/>
  <c r="AM3021" i="2"/>
  <c r="AM3048" i="2" l="1"/>
  <c r="AM3047" i="2"/>
  <c r="AM3052" i="2" s="1"/>
  <c r="AM3071" i="2"/>
  <c r="AM3060" i="2"/>
  <c r="AO3069" i="2"/>
  <c r="AM3059" i="2"/>
  <c r="AM3022" i="2"/>
  <c r="AM3023" i="2" s="1"/>
  <c r="AM3026" i="2" s="1"/>
  <c r="AN3027" i="2" s="1"/>
  <c r="AM3035" i="2"/>
  <c r="AM3036" i="2" l="1"/>
  <c r="AM3037" i="2" s="1"/>
  <c r="AM3040" i="2" s="1"/>
  <c r="AN3041" i="2" s="1"/>
  <c r="AM3049" i="2"/>
  <c r="AM3085" i="2"/>
  <c r="AM3074" i="2"/>
  <c r="AO3083" i="2"/>
  <c r="AM3073" i="2"/>
  <c r="AM3061" i="2"/>
  <c r="AM3066" i="2" s="1"/>
  <c r="AM3062" i="2"/>
  <c r="AM3075" i="2" l="1"/>
  <c r="AM3080" i="2" s="1"/>
  <c r="AM3076" i="2"/>
  <c r="AO3097" i="2"/>
  <c r="AM3088" i="2"/>
  <c r="AM3087" i="2"/>
  <c r="AM3099" i="2"/>
  <c r="AM3063" i="2"/>
  <c r="AM3050" i="2"/>
  <c r="AM3051" i="2" s="1"/>
  <c r="AM3054" i="2" s="1"/>
  <c r="AN3055" i="2" s="1"/>
  <c r="AM3089" i="2" l="1"/>
  <c r="AM3094" i="2" s="1"/>
  <c r="AM3090" i="2"/>
  <c r="AM3077" i="2"/>
  <c r="AM3064" i="2"/>
  <c r="AM3065" i="2" s="1"/>
  <c r="AM3068" i="2" s="1"/>
  <c r="AN3069" i="2" s="1"/>
  <c r="AM3102" i="2"/>
  <c r="AM3113" i="2"/>
  <c r="AO3111" i="2"/>
  <c r="AM3101" i="2"/>
  <c r="AM3104" i="2" l="1"/>
  <c r="AM3103" i="2"/>
  <c r="AM3108" i="2" s="1"/>
  <c r="AM3091" i="2"/>
  <c r="AM3116" i="2"/>
  <c r="AO3125" i="2"/>
  <c r="AM3115" i="2"/>
  <c r="AM3127" i="2"/>
  <c r="AM3078" i="2"/>
  <c r="AM3079" i="2" s="1"/>
  <c r="AM3082" i="2" s="1"/>
  <c r="AN3083" i="2" s="1"/>
  <c r="AM3105" i="2" l="1"/>
  <c r="AM3117" i="2"/>
  <c r="AM3122" i="2" s="1"/>
  <c r="AM3118" i="2"/>
  <c r="AM3092" i="2"/>
  <c r="AM3093" i="2" s="1"/>
  <c r="AM3096" i="2" s="1"/>
  <c r="AN3097" i="2" s="1"/>
  <c r="AM3141" i="2"/>
  <c r="AM3130" i="2"/>
  <c r="AO3139" i="2"/>
  <c r="AM3129" i="2"/>
  <c r="AM3131" i="2" l="1"/>
  <c r="AM3136" i="2" s="1"/>
  <c r="AM3132" i="2"/>
  <c r="AM3106" i="2"/>
  <c r="AM3107" i="2" s="1"/>
  <c r="AM3110" i="2" s="1"/>
  <c r="AN3111" i="2" s="1"/>
  <c r="AM3144" i="2"/>
  <c r="AM3143" i="2"/>
  <c r="AM3155" i="2"/>
  <c r="AO3153" i="2"/>
  <c r="AM3119" i="2"/>
  <c r="AM3146" i="2" l="1"/>
  <c r="AM3145" i="2"/>
  <c r="AM3150" i="2" s="1"/>
  <c r="AM3133" i="2"/>
  <c r="AM3120" i="2"/>
  <c r="AM3121" i="2" s="1"/>
  <c r="AM3124" i="2" s="1"/>
  <c r="AN3125" i="2" s="1"/>
  <c r="AM3158" i="2"/>
  <c r="AM3169" i="2"/>
  <c r="AO3167" i="2"/>
  <c r="AM3157" i="2"/>
  <c r="AM3147" i="2" l="1"/>
  <c r="AM3160" i="2"/>
  <c r="AM3159" i="2"/>
  <c r="AM3164" i="2" s="1"/>
  <c r="AM3183" i="2"/>
  <c r="AM3172" i="2"/>
  <c r="AO3181" i="2"/>
  <c r="AM3171" i="2"/>
  <c r="AM3134" i="2"/>
  <c r="AM3135" i="2" s="1"/>
  <c r="AM3138" i="2" s="1"/>
  <c r="AN3139" i="2" s="1"/>
  <c r="AM3186" i="2" l="1"/>
  <c r="AO3195" i="2"/>
  <c r="AM3185" i="2"/>
  <c r="AM3197" i="2"/>
  <c r="AM3148" i="2"/>
  <c r="AM3149" i="2" s="1"/>
  <c r="AM3152" i="2" s="1"/>
  <c r="AN3153" i="2" s="1"/>
  <c r="AM3161" i="2"/>
  <c r="AM3174" i="2"/>
  <c r="AM3173" i="2"/>
  <c r="AM3178" i="2" s="1"/>
  <c r="AM3175" i="2" l="1"/>
  <c r="AM3187" i="2"/>
  <c r="AM3192" i="2" s="1"/>
  <c r="AM3188" i="2"/>
  <c r="AM3162" i="2"/>
  <c r="AM3163" i="2" s="1"/>
  <c r="AM3166" i="2" s="1"/>
  <c r="AN3167" i="2" s="1"/>
  <c r="AM3211" i="2"/>
  <c r="AO3209" i="2"/>
  <c r="AM3200" i="2"/>
  <c r="AM3199" i="2"/>
  <c r="AM3201" i="2" l="1"/>
  <c r="AM3206" i="2" s="1"/>
  <c r="AM3202" i="2"/>
  <c r="AM3176" i="2"/>
  <c r="AM3177" i="2" s="1"/>
  <c r="AM3180" i="2" s="1"/>
  <c r="AN3181" i="2" s="1"/>
  <c r="AM3214" i="2"/>
  <c r="AO3223" i="2"/>
  <c r="AM3213" i="2"/>
  <c r="AM3225" i="2"/>
  <c r="AM3189" i="2"/>
  <c r="AM3190" i="2" l="1"/>
  <c r="AM3191" i="2" s="1"/>
  <c r="AM3194" i="2" s="1"/>
  <c r="AN3195" i="2" s="1"/>
  <c r="AM3203" i="2"/>
  <c r="AM3215" i="2"/>
  <c r="AM3220" i="2" s="1"/>
  <c r="AM3216" i="2"/>
  <c r="AM3239" i="2"/>
  <c r="AM3227" i="2"/>
  <c r="AO3237" i="2"/>
  <c r="AM3228" i="2"/>
  <c r="AO3251" i="2" l="1"/>
  <c r="AM3241" i="2"/>
  <c r="AM3242" i="2"/>
  <c r="AM3253" i="2"/>
  <c r="AM3217" i="2"/>
  <c r="AM3229" i="2"/>
  <c r="AM3234" i="2" s="1"/>
  <c r="AM3230" i="2"/>
  <c r="AM3204" i="2"/>
  <c r="AM3205" i="2" s="1"/>
  <c r="AM3208" i="2" s="1"/>
  <c r="AN3209" i="2" s="1"/>
  <c r="AM3218" i="2" l="1"/>
  <c r="AM3219" i="2" s="1"/>
  <c r="AM3222" i="2" s="1"/>
  <c r="AN3223" i="2" s="1"/>
  <c r="AM3244" i="2"/>
  <c r="AM3243" i="2"/>
  <c r="AM3248" i="2" s="1"/>
  <c r="AM3231" i="2"/>
  <c r="AM3256" i="2"/>
  <c r="AM3267" i="2"/>
  <c r="AM3255" i="2"/>
  <c r="AO3265" i="2"/>
  <c r="AM3258" i="2" l="1"/>
  <c r="AM3257" i="2"/>
  <c r="AM3262" i="2" s="1"/>
  <c r="AM3232" i="2"/>
  <c r="AM3233" i="2" s="1"/>
  <c r="AM3236" i="2" s="1"/>
  <c r="AN3237" i="2" s="1"/>
  <c r="AM3245" i="2"/>
  <c r="AO3279" i="2"/>
  <c r="AM3269" i="2"/>
  <c r="AM3281" i="2"/>
  <c r="AM3270" i="2"/>
  <c r="AM3271" i="2" l="1"/>
  <c r="AM3276" i="2" s="1"/>
  <c r="AM3272" i="2"/>
  <c r="AM3246" i="2"/>
  <c r="AM3247" i="2" s="1"/>
  <c r="AM3250" i="2" s="1"/>
  <c r="AN3251" i="2" s="1"/>
  <c r="AM3259" i="2"/>
  <c r="AO3293" i="2"/>
  <c r="AM3284" i="2"/>
  <c r="AM3295" i="2"/>
  <c r="AM3283" i="2"/>
  <c r="AM3260" i="2" l="1"/>
  <c r="AM3261" i="2" s="1"/>
  <c r="AM3264" i="2" s="1"/>
  <c r="AN3265" i="2" s="1"/>
  <c r="AM3298" i="2"/>
  <c r="AM3309" i="2"/>
  <c r="AM3297" i="2"/>
  <c r="AO3307" i="2"/>
  <c r="AM3285" i="2"/>
  <c r="AM3290" i="2" s="1"/>
  <c r="AM3286" i="2"/>
  <c r="AM3273" i="2"/>
  <c r="AM3274" i="2" l="1"/>
  <c r="AM3275" i="2" s="1"/>
  <c r="AM3278" i="2" s="1"/>
  <c r="AN3279" i="2" s="1"/>
  <c r="AM3300" i="2"/>
  <c r="AM3299" i="2"/>
  <c r="AM3304" i="2" s="1"/>
  <c r="AM3287" i="2"/>
  <c r="AO3321" i="2"/>
  <c r="AM3312" i="2"/>
  <c r="AM3323" i="2"/>
  <c r="AM3311" i="2"/>
  <c r="AO3335" i="2" l="1"/>
  <c r="AM3325" i="2"/>
  <c r="AM3337" i="2"/>
  <c r="AM3326" i="2"/>
  <c r="AM3288" i="2"/>
  <c r="AM3289" i="2" s="1"/>
  <c r="AM3292" i="2" s="1"/>
  <c r="AN3293" i="2" s="1"/>
  <c r="AM3301" i="2"/>
  <c r="AM3314" i="2"/>
  <c r="AM3313" i="2"/>
  <c r="AM3318" i="2" s="1"/>
  <c r="AM3302" i="2" l="1"/>
  <c r="AM3303" i="2" s="1"/>
  <c r="AM3306" i="2" s="1"/>
  <c r="AN3307" i="2" s="1"/>
  <c r="AM3328" i="2"/>
  <c r="AM3327" i="2"/>
  <c r="AM3332" i="2" s="1"/>
  <c r="AM3315" i="2"/>
  <c r="AM3340" i="2"/>
  <c r="AM3339" i="2"/>
  <c r="AO3349" i="2"/>
  <c r="AM3351" i="2"/>
  <c r="AM3316" i="2" l="1"/>
  <c r="AM3317" i="2" s="1"/>
  <c r="AM3320" i="2" s="1"/>
  <c r="AN3321" i="2" s="1"/>
  <c r="AM3329" i="2"/>
  <c r="AO3363" i="2"/>
  <c r="AM3353" i="2"/>
  <c r="AM3354" i="2"/>
  <c r="AM3365" i="2"/>
  <c r="AM3341" i="2"/>
  <c r="AM3346" i="2" s="1"/>
  <c r="AM3342" i="2"/>
  <c r="AM3355" i="2" l="1"/>
  <c r="AM3360" i="2" s="1"/>
  <c r="AM3356" i="2"/>
  <c r="AM3343" i="2"/>
  <c r="AM3368" i="2"/>
  <c r="AM3379" i="2"/>
  <c r="AM3367" i="2"/>
  <c r="AO3377" i="2"/>
  <c r="AM3330" i="2"/>
  <c r="AM3331" i="2" s="1"/>
  <c r="AM3334" i="2" s="1"/>
  <c r="AN3335" i="2" s="1"/>
  <c r="AM3357" i="2" l="1"/>
  <c r="AM3369" i="2"/>
  <c r="AM3374" i="2" s="1"/>
  <c r="AM3370" i="2"/>
  <c r="AM3344" i="2"/>
  <c r="AM3345" i="2" s="1"/>
  <c r="AM3348" i="2" s="1"/>
  <c r="AN3349" i="2" s="1"/>
  <c r="AO3391" i="2"/>
  <c r="AM3381" i="2"/>
  <c r="AM3393" i="2"/>
  <c r="AM3382" i="2"/>
  <c r="AM3358" i="2" l="1"/>
  <c r="AM3359" i="2" s="1"/>
  <c r="AM3362" i="2" s="1"/>
  <c r="AN3363" i="2" s="1"/>
  <c r="AM3395" i="2"/>
  <c r="AO3405" i="2"/>
  <c r="AM3396" i="2"/>
  <c r="AM3407" i="2"/>
  <c r="AM3383" i="2"/>
  <c r="AM3388" i="2" s="1"/>
  <c r="AM3384" i="2"/>
  <c r="AM3371" i="2"/>
  <c r="AM3372" i="2" l="1"/>
  <c r="AM3373" i="2" s="1"/>
  <c r="AM3376" i="2" s="1"/>
  <c r="AN3377" i="2" s="1"/>
  <c r="AM3397" i="2"/>
  <c r="AM3402" i="2" s="1"/>
  <c r="AM3398" i="2"/>
  <c r="AM3421" i="2"/>
  <c r="AO3419" i="2"/>
  <c r="AM3409" i="2"/>
  <c r="AM3410" i="2"/>
  <c r="AM3385" i="2"/>
  <c r="AM3411" i="2" l="1"/>
  <c r="AM3416" i="2" s="1"/>
  <c r="AM3412" i="2"/>
  <c r="AM3435" i="2"/>
  <c r="AM3424" i="2"/>
  <c r="AM3423" i="2"/>
  <c r="AO3433" i="2"/>
  <c r="AM3386" i="2"/>
  <c r="AM3387" i="2" s="1"/>
  <c r="AM3390" i="2" s="1"/>
  <c r="AN3391" i="2" s="1"/>
  <c r="AM3399" i="2"/>
  <c r="AM3400" i="2" l="1"/>
  <c r="AM3401" i="2" s="1"/>
  <c r="AM3404" i="2" s="1"/>
  <c r="AN3405" i="2" s="1"/>
  <c r="AM3426" i="2"/>
  <c r="AM3425" i="2"/>
  <c r="AM3430" i="2" s="1"/>
  <c r="AM3413" i="2"/>
  <c r="AM3449" i="2"/>
  <c r="AM3438" i="2"/>
  <c r="AO3447" i="2"/>
  <c r="AM3437" i="2"/>
  <c r="AM3440" i="2" l="1"/>
  <c r="AM3439" i="2"/>
  <c r="AM3444" i="2" s="1"/>
  <c r="AM3414" i="2"/>
  <c r="AM3415" i="2" s="1"/>
  <c r="AM3418" i="2" s="1"/>
  <c r="AN3419" i="2" s="1"/>
  <c r="AO3461" i="2"/>
  <c r="AM3451" i="2"/>
  <c r="AM3463" i="2"/>
  <c r="AM3452" i="2"/>
  <c r="AM3427" i="2"/>
  <c r="AM3441" i="2" l="1"/>
  <c r="AM3428" i="2"/>
  <c r="AM3429" i="2" s="1"/>
  <c r="AM3432" i="2" s="1"/>
  <c r="AN3433" i="2" s="1"/>
  <c r="AM3453" i="2"/>
  <c r="AM3458" i="2" s="1"/>
  <c r="AM3454" i="2"/>
  <c r="AM3477" i="2"/>
  <c r="AO3475" i="2"/>
  <c r="AM3465" i="2"/>
  <c r="AM3466" i="2"/>
  <c r="AM3455" i="2" l="1"/>
  <c r="AM3442" i="2"/>
  <c r="AM3443" i="2" s="1"/>
  <c r="AM3446" i="2" s="1"/>
  <c r="AN3447" i="2" s="1"/>
  <c r="AM3467" i="2"/>
  <c r="AM3472" i="2" s="1"/>
  <c r="AM3468" i="2"/>
  <c r="AM3491" i="2"/>
  <c r="AM3480" i="2"/>
  <c r="AM3479" i="2"/>
  <c r="AO3489" i="2"/>
  <c r="AM3482" i="2" l="1"/>
  <c r="AM3481" i="2"/>
  <c r="AM3486" i="2" s="1"/>
  <c r="AM3469" i="2"/>
  <c r="AM3456" i="2"/>
  <c r="AM3457" i="2" s="1"/>
  <c r="AM3460" i="2" s="1"/>
  <c r="AN3461" i="2" s="1"/>
  <c r="AM3505" i="2"/>
  <c r="AM3494" i="2"/>
  <c r="AO3503" i="2"/>
  <c r="AM3493" i="2"/>
  <c r="AM3483" i="2" l="1"/>
  <c r="AM3495" i="2"/>
  <c r="AM3500" i="2" s="1"/>
  <c r="AM3496" i="2"/>
  <c r="AM3470" i="2"/>
  <c r="AM3471" i="2" s="1"/>
  <c r="AM3474" i="2" s="1"/>
  <c r="AN3475" i="2" s="1"/>
  <c r="AM3519" i="2"/>
  <c r="AM3508" i="2"/>
  <c r="AO3517" i="2"/>
  <c r="AM3507" i="2"/>
  <c r="AM3484" i="2" l="1"/>
  <c r="AM3485" i="2" s="1"/>
  <c r="AM3488" i="2" s="1"/>
  <c r="AN3489" i="2" s="1"/>
  <c r="AM3509" i="2"/>
  <c r="AM3514" i="2" s="1"/>
  <c r="AM3510" i="2"/>
  <c r="AM3533" i="2"/>
  <c r="AO3531" i="2"/>
  <c r="AM3521" i="2"/>
  <c r="AM3522" i="2"/>
  <c r="AM3497" i="2"/>
  <c r="AO3545" i="2" l="1"/>
  <c r="AM3547" i="2"/>
  <c r="AM3536" i="2"/>
  <c r="AM3535" i="2"/>
  <c r="AM3498" i="2"/>
  <c r="AM3499" i="2" s="1"/>
  <c r="AM3502" i="2" s="1"/>
  <c r="AN3503" i="2" s="1"/>
  <c r="AM3523" i="2"/>
  <c r="AM3528" i="2" s="1"/>
  <c r="AM3524" i="2"/>
  <c r="AM3511" i="2"/>
  <c r="AO3559" i="2" l="1"/>
  <c r="AM3549" i="2"/>
  <c r="AM3561" i="2"/>
  <c r="AM3550" i="2"/>
  <c r="AM3525" i="2"/>
  <c r="AM3512" i="2"/>
  <c r="AM3513" i="2" s="1"/>
  <c r="AM3516" i="2" s="1"/>
  <c r="AN3517" i="2" s="1"/>
  <c r="AM3538" i="2"/>
  <c r="AM3537" i="2"/>
  <c r="AM3542" i="2" s="1"/>
  <c r="AM3539" i="2" l="1"/>
  <c r="AM3526" i="2"/>
  <c r="AM3527" i="2" s="1"/>
  <c r="AM3530" i="2" s="1"/>
  <c r="AN3531" i="2" s="1"/>
  <c r="AM3575" i="2"/>
  <c r="AM3564" i="2"/>
  <c r="AO3573" i="2"/>
  <c r="AM3563" i="2"/>
  <c r="AM3552" i="2"/>
  <c r="AM3551" i="2"/>
  <c r="AM3556" i="2" s="1"/>
  <c r="AM3540" i="2" l="1"/>
  <c r="AM3541" i="2" s="1"/>
  <c r="AM3544" i="2" s="1"/>
  <c r="AN3545" i="2" s="1"/>
  <c r="AM3553" i="2"/>
  <c r="AM3577" i="2"/>
  <c r="AM3578" i="2"/>
  <c r="AM3589" i="2"/>
  <c r="AO3587" i="2"/>
  <c r="AM3565" i="2"/>
  <c r="AM3570" i="2" s="1"/>
  <c r="AM3566" i="2"/>
  <c r="AM3580" i="2" l="1"/>
  <c r="AM3579" i="2"/>
  <c r="AM3584" i="2" s="1"/>
  <c r="AO3601" i="2"/>
  <c r="AM3603" i="2"/>
  <c r="AM3592" i="2"/>
  <c r="AM3591" i="2"/>
  <c r="AM3567" i="2"/>
  <c r="AM3554" i="2"/>
  <c r="AM3555" i="2" s="1"/>
  <c r="AM3558" i="2" s="1"/>
  <c r="AN3559" i="2" s="1"/>
  <c r="AM3568" i="2" l="1"/>
  <c r="AM3569" i="2" s="1"/>
  <c r="AM3572" i="2" s="1"/>
  <c r="AN3573" i="2" s="1"/>
  <c r="AM3581" i="2"/>
  <c r="AM3594" i="2"/>
  <c r="AM3593" i="2"/>
  <c r="AM3598" i="2" s="1"/>
  <c r="AM3617" i="2"/>
  <c r="AM3606" i="2"/>
  <c r="AO3615" i="2"/>
  <c r="AM3605" i="2"/>
  <c r="AM3595" i="2" l="1"/>
  <c r="AM3582" i="2"/>
  <c r="AM3583" i="2" s="1"/>
  <c r="AM3586" i="2" s="1"/>
  <c r="AN3587" i="2" s="1"/>
  <c r="AM3607" i="2"/>
  <c r="AM3612" i="2" s="1"/>
  <c r="AM3608" i="2"/>
  <c r="AM3631" i="2"/>
  <c r="AM3620" i="2"/>
  <c r="AO3629" i="2"/>
  <c r="AM3619" i="2"/>
  <c r="AM3596" i="2" l="1"/>
  <c r="AM3597" i="2" s="1"/>
  <c r="AM3600" i="2" s="1"/>
  <c r="AN3601" i="2" s="1"/>
  <c r="AM3621" i="2"/>
  <c r="AM3626" i="2" s="1"/>
  <c r="AM3622" i="2"/>
  <c r="AM3609" i="2"/>
  <c r="AM3633" i="2"/>
  <c r="AM3634" i="2"/>
  <c r="AM3645" i="2"/>
  <c r="AO3643" i="2"/>
  <c r="AM3647" i="2" l="1"/>
  <c r="AO3657" i="2"/>
  <c r="AM3659" i="2"/>
  <c r="AM3648" i="2"/>
  <c r="AM3610" i="2"/>
  <c r="AM3611" i="2" s="1"/>
  <c r="AM3614" i="2" s="1"/>
  <c r="AN3615" i="2" s="1"/>
  <c r="AM3635" i="2"/>
  <c r="AM3640" i="2" s="1"/>
  <c r="AM3636" i="2"/>
  <c r="AM3623" i="2"/>
  <c r="AM3637" i="2" l="1"/>
  <c r="AM3650" i="2"/>
  <c r="AM3649" i="2"/>
  <c r="AM3654" i="2" s="1"/>
  <c r="AM3624" i="2"/>
  <c r="AM3625" i="2" s="1"/>
  <c r="AM3628" i="2" s="1"/>
  <c r="AN3629" i="2" s="1"/>
  <c r="AO3671" i="2"/>
  <c r="AM3661" i="2"/>
  <c r="AM3673" i="2"/>
  <c r="AM3662" i="2"/>
  <c r="AM3638" i="2" l="1"/>
  <c r="AM3639" i="2" s="1"/>
  <c r="AM3642" i="2" s="1"/>
  <c r="AN3643" i="2" s="1"/>
  <c r="AM3651" i="2"/>
  <c r="AM3687" i="2"/>
  <c r="AM3676" i="2"/>
  <c r="AO3685" i="2"/>
  <c r="AM3675" i="2"/>
  <c r="AM3663" i="2"/>
  <c r="AM3668" i="2" s="1"/>
  <c r="AM3664" i="2"/>
  <c r="AM3665" i="2" l="1"/>
  <c r="AM3677" i="2"/>
  <c r="AM3682" i="2" s="1"/>
  <c r="AM3678" i="2"/>
  <c r="AM3652" i="2"/>
  <c r="AM3653" i="2" s="1"/>
  <c r="AM3656" i="2" s="1"/>
  <c r="AN3657" i="2" s="1"/>
  <c r="AM3701" i="2"/>
  <c r="AO3699" i="2"/>
  <c r="AM3689" i="2"/>
  <c r="AM3690" i="2"/>
  <c r="AM3691" i="2" l="1"/>
  <c r="AM3696" i="2" s="1"/>
  <c r="AM3692" i="2"/>
  <c r="AM3666" i="2"/>
  <c r="AM3667" i="2" s="1"/>
  <c r="AM3670" i="2" s="1"/>
  <c r="AN3671" i="2" s="1"/>
  <c r="AM3704" i="2"/>
  <c r="AM3703" i="2"/>
  <c r="AO3713" i="2"/>
  <c r="AM3715" i="2"/>
  <c r="AM3679" i="2"/>
  <c r="AM3706" i="2" l="1"/>
  <c r="AM3705" i="2"/>
  <c r="AM3710" i="2" s="1"/>
  <c r="AM3680" i="2"/>
  <c r="AM3681" i="2" s="1"/>
  <c r="AM3684" i="2" s="1"/>
  <c r="AN3685" i="2" s="1"/>
  <c r="AM3693" i="2"/>
  <c r="AM3717" i="2"/>
  <c r="AM3729" i="2"/>
  <c r="AM3718" i="2"/>
  <c r="AO3727" i="2"/>
  <c r="AM3720" i="2" l="1"/>
  <c r="AM3719" i="2"/>
  <c r="AM3724" i="2" s="1"/>
  <c r="AM3694" i="2"/>
  <c r="AM3695" i="2" s="1"/>
  <c r="AM3698" i="2" s="1"/>
  <c r="AN3699" i="2" s="1"/>
  <c r="AM3707" i="2"/>
  <c r="AM3732" i="2"/>
  <c r="AO3741" i="2"/>
  <c r="AM3731" i="2"/>
  <c r="AM3743" i="2"/>
  <c r="AM3733" i="2" l="1"/>
  <c r="AM3738" i="2" s="1"/>
  <c r="AM3734" i="2"/>
  <c r="AM3708" i="2"/>
  <c r="AM3709" i="2" s="1"/>
  <c r="AM3712" i="2" s="1"/>
  <c r="AN3713" i="2" s="1"/>
  <c r="AM3721" i="2"/>
  <c r="AM3745" i="2"/>
  <c r="AM3746" i="2"/>
  <c r="AM3757" i="2"/>
  <c r="AO3755" i="2"/>
  <c r="AM3760" i="2" l="1"/>
  <c r="AM3759" i="2"/>
  <c r="AO3769" i="2"/>
  <c r="AM3771" i="2"/>
  <c r="AM3722" i="2"/>
  <c r="AM3723" i="2" s="1"/>
  <c r="AM3726" i="2" s="1"/>
  <c r="AN3727" i="2" s="1"/>
  <c r="AM3735" i="2"/>
  <c r="AM3747" i="2"/>
  <c r="AM3752" i="2" s="1"/>
  <c r="AM3748" i="2"/>
  <c r="AM3749" i="2" l="1"/>
  <c r="AM3762" i="2"/>
  <c r="AM3761" i="2"/>
  <c r="AM3766" i="2" s="1"/>
  <c r="AM3736" i="2"/>
  <c r="AM3737" i="2" s="1"/>
  <c r="AM3740" i="2" s="1"/>
  <c r="AN3741" i="2" s="1"/>
  <c r="AM3773" i="2"/>
  <c r="AM3785" i="2"/>
  <c r="AM3774" i="2"/>
  <c r="AO3783" i="2"/>
  <c r="AM3750" i="2" l="1"/>
  <c r="AM3751" i="2" s="1"/>
  <c r="AM3754" i="2" s="1"/>
  <c r="AN3755" i="2" s="1"/>
  <c r="AM3775" i="2"/>
  <c r="AM3780" i="2" s="1"/>
  <c r="AM3776" i="2"/>
  <c r="AM3763" i="2"/>
  <c r="AO3797" i="2"/>
  <c r="AM3787" i="2"/>
  <c r="AM3799" i="2"/>
  <c r="AM3788" i="2"/>
  <c r="AM3802" i="2" l="1"/>
  <c r="AM3813" i="2"/>
  <c r="AO3811" i="2"/>
  <c r="AM3801" i="2"/>
  <c r="AM3764" i="2"/>
  <c r="AM3765" i="2" s="1"/>
  <c r="AM3768" i="2" s="1"/>
  <c r="AN3769" i="2" s="1"/>
  <c r="AM3789" i="2"/>
  <c r="AM3794" i="2" s="1"/>
  <c r="AM3790" i="2"/>
  <c r="AM3777" i="2"/>
  <c r="AM3816" i="2" l="1"/>
  <c r="AM3815" i="2"/>
  <c r="AO3825" i="2"/>
  <c r="AM3827" i="2"/>
  <c r="AM3791" i="2"/>
  <c r="AM3778" i="2"/>
  <c r="AM3779" i="2" s="1"/>
  <c r="AM3782" i="2" s="1"/>
  <c r="AN3783" i="2" s="1"/>
  <c r="AM3803" i="2"/>
  <c r="AM3808" i="2" s="1"/>
  <c r="AM3804" i="2"/>
  <c r="AM3817" i="2" l="1"/>
  <c r="AM3822" i="2" s="1"/>
  <c r="AM3818" i="2"/>
  <c r="AM3805" i="2"/>
  <c r="AM3792" i="2"/>
  <c r="AM3793" i="2" s="1"/>
  <c r="AM3796" i="2" s="1"/>
  <c r="AN3797" i="2" s="1"/>
  <c r="AM3830" i="2"/>
  <c r="AO3839" i="2"/>
  <c r="AM3829" i="2"/>
  <c r="AM3841" i="2"/>
  <c r="AM3832" i="2" l="1"/>
  <c r="AM3831" i="2"/>
  <c r="AM3836" i="2" s="1"/>
  <c r="AM3819" i="2"/>
  <c r="AM3843" i="2"/>
  <c r="AM3855" i="2"/>
  <c r="AM3844" i="2"/>
  <c r="AO3853" i="2"/>
  <c r="AM3806" i="2"/>
  <c r="AM3807" i="2" s="1"/>
  <c r="AM3810" i="2" s="1"/>
  <c r="AN3811" i="2" s="1"/>
  <c r="AM3845" i="2" l="1"/>
  <c r="AM3850" i="2" s="1"/>
  <c r="AM3846" i="2"/>
  <c r="AM3833" i="2"/>
  <c r="AO3867" i="2"/>
  <c r="AM3857" i="2"/>
  <c r="AM3858" i="2"/>
  <c r="AM3869" i="2"/>
  <c r="AM3820" i="2"/>
  <c r="AM3821" i="2" s="1"/>
  <c r="AM3824" i="2" s="1"/>
  <c r="AN3825" i="2" s="1"/>
  <c r="AM3859" i="2" l="1"/>
  <c r="AM3864" i="2" s="1"/>
  <c r="AM3860" i="2"/>
  <c r="AM3847" i="2"/>
  <c r="AO3881" i="2"/>
  <c r="AM3871" i="2"/>
  <c r="AM3883" i="2"/>
  <c r="AM3872" i="2"/>
  <c r="AM3834" i="2"/>
  <c r="AM3835" i="2" s="1"/>
  <c r="AM3838" i="2" s="1"/>
  <c r="AN3839" i="2" s="1"/>
  <c r="AM3874" i="2" l="1"/>
  <c r="AM3873" i="2"/>
  <c r="AM3878" i="2" s="1"/>
  <c r="AM3861" i="2"/>
  <c r="AM3897" i="2"/>
  <c r="AM3885" i="2"/>
  <c r="AO3895" i="2"/>
  <c r="AM3886" i="2"/>
  <c r="AM3848" i="2"/>
  <c r="AM3849" i="2" s="1"/>
  <c r="AM3852" i="2" s="1"/>
  <c r="AN3853" i="2" s="1"/>
  <c r="AM3862" i="2" l="1"/>
  <c r="AM3863" i="2" s="1"/>
  <c r="AM3866" i="2" s="1"/>
  <c r="AN3867" i="2" s="1"/>
  <c r="AM3911" i="2"/>
  <c r="AM3899" i="2"/>
  <c r="AO3909" i="2"/>
  <c r="AM3900" i="2"/>
  <c r="AM3875" i="2"/>
  <c r="AM3888" i="2"/>
  <c r="AM3887" i="2"/>
  <c r="AM3892" i="2" s="1"/>
  <c r="AM3913" i="2" l="1"/>
  <c r="AM3925" i="2"/>
  <c r="AM3914" i="2"/>
  <c r="AO3923" i="2"/>
  <c r="AM3889" i="2"/>
  <c r="AM3876" i="2"/>
  <c r="AM3877" i="2" s="1"/>
  <c r="AM3880" i="2" s="1"/>
  <c r="AN3881" i="2" s="1"/>
  <c r="AM3901" i="2"/>
  <c r="AM3906" i="2" s="1"/>
  <c r="AM3902" i="2"/>
  <c r="AM3916" i="2" l="1"/>
  <c r="AM3915" i="2"/>
  <c r="AM3920" i="2" s="1"/>
  <c r="AM3903" i="2"/>
  <c r="AM3890" i="2"/>
  <c r="AM3891" i="2" s="1"/>
  <c r="AM3894" i="2" s="1"/>
  <c r="AN3895" i="2" s="1"/>
  <c r="AM3939" i="2"/>
  <c r="AM3927" i="2"/>
  <c r="AO3937" i="2"/>
  <c r="AM3928" i="2"/>
  <c r="AM3917" i="2" l="1"/>
  <c r="AM3953" i="2"/>
  <c r="AM3941" i="2"/>
  <c r="AO3951" i="2"/>
  <c r="AM3942" i="2"/>
  <c r="AM3904" i="2"/>
  <c r="AM3905" i="2" s="1"/>
  <c r="AM3908" i="2" s="1"/>
  <c r="AN3909" i="2" s="1"/>
  <c r="AM3930" i="2"/>
  <c r="AM3929" i="2"/>
  <c r="AM3934" i="2" s="1"/>
  <c r="AM3931" i="2" l="1"/>
  <c r="AM3956" i="2"/>
  <c r="AM3967" i="2"/>
  <c r="AM3955" i="2"/>
  <c r="AO3965" i="2"/>
  <c r="AM3918" i="2"/>
  <c r="AM3919" i="2" s="1"/>
  <c r="AM3922" i="2" s="1"/>
  <c r="AN3923" i="2" s="1"/>
  <c r="AM3944" i="2"/>
  <c r="AM3943" i="2"/>
  <c r="AM3948" i="2" s="1"/>
  <c r="AM3957" i="2" l="1"/>
  <c r="AM3962" i="2" s="1"/>
  <c r="AM3958" i="2"/>
  <c r="AM3932" i="2"/>
  <c r="AM3933" i="2" s="1"/>
  <c r="AM3936" i="2" s="1"/>
  <c r="AN3937" i="2" s="1"/>
  <c r="AM3945" i="2"/>
  <c r="AM3970" i="2"/>
  <c r="AO3979" i="2"/>
  <c r="AM3969" i="2"/>
  <c r="AM3981" i="2"/>
  <c r="AM3971" i="2" l="1"/>
  <c r="AM3976" i="2" s="1"/>
  <c r="AM3972" i="2"/>
  <c r="AM3946" i="2"/>
  <c r="AM3947" i="2" s="1"/>
  <c r="AM3950" i="2" s="1"/>
  <c r="AN3951" i="2" s="1"/>
  <c r="AM3983" i="2"/>
  <c r="AO3993" i="2"/>
  <c r="AM3995" i="2"/>
  <c r="AM3984" i="2"/>
  <c r="AM3959" i="2"/>
  <c r="AM3960" i="2" l="1"/>
  <c r="AM3961" i="2" s="1"/>
  <c r="AM3964" i="2" s="1"/>
  <c r="AN3965" i="2" s="1"/>
  <c r="AM3986" i="2"/>
  <c r="AM3985" i="2"/>
  <c r="AM3990" i="2" s="1"/>
  <c r="AM3973" i="2"/>
  <c r="AO4007" i="2"/>
  <c r="AM3998" i="2"/>
  <c r="AM4009" i="2"/>
  <c r="AM3997" i="2"/>
  <c r="AM4011" i="2" l="1"/>
  <c r="AO4021" i="2"/>
  <c r="AM4012" i="2"/>
  <c r="AM4023" i="2"/>
  <c r="AM4000" i="2"/>
  <c r="AM3999" i="2"/>
  <c r="AM4004" i="2" s="1"/>
  <c r="AM3974" i="2"/>
  <c r="AM3975" i="2" s="1"/>
  <c r="AM3978" i="2" s="1"/>
  <c r="AN3979" i="2" s="1"/>
  <c r="AM3987" i="2"/>
  <c r="AM4001" i="2" l="1"/>
  <c r="AM4013" i="2"/>
  <c r="AM4018" i="2" s="1"/>
  <c r="AM4014" i="2"/>
  <c r="AM3988" i="2"/>
  <c r="AM3989" i="2" s="1"/>
  <c r="AM3992" i="2" s="1"/>
  <c r="AN3993" i="2" s="1"/>
  <c r="AM4037" i="2"/>
  <c r="AM4026" i="2"/>
  <c r="AO4035" i="2"/>
  <c r="AM4025" i="2"/>
  <c r="AM4002" i="2" l="1"/>
  <c r="AM4003" i="2" s="1"/>
  <c r="AM4006" i="2" s="1"/>
  <c r="AN4007" i="2" s="1"/>
  <c r="AM4028" i="2"/>
  <c r="AM4027" i="2"/>
  <c r="AM4032" i="2" s="1"/>
  <c r="AM4051" i="2"/>
  <c r="AM4039" i="2"/>
  <c r="AO4049" i="2"/>
  <c r="AM4040" i="2"/>
  <c r="AM4015" i="2"/>
  <c r="AM4016" i="2" l="1"/>
  <c r="AM4017" i="2" s="1"/>
  <c r="AM4020" i="2" s="1"/>
  <c r="AN4021" i="2" s="1"/>
  <c r="AM4042" i="2"/>
  <c r="AM4041" i="2"/>
  <c r="AM4046" i="2" s="1"/>
  <c r="AM4029" i="2"/>
  <c r="AM4065" i="2"/>
  <c r="AO4063" i="2"/>
  <c r="AM4053" i="2"/>
  <c r="AM4054" i="2"/>
  <c r="AM4030" i="2" l="1"/>
  <c r="AM4031" i="2" s="1"/>
  <c r="AM4034" i="2" s="1"/>
  <c r="AN4035" i="2" s="1"/>
  <c r="AO4077" i="2"/>
  <c r="AM4068" i="2"/>
  <c r="AM4079" i="2"/>
  <c r="AM4067" i="2"/>
  <c r="AM4043" i="2"/>
  <c r="AM4056" i="2"/>
  <c r="AM4055" i="2"/>
  <c r="AM4060" i="2" s="1"/>
  <c r="AM4057" i="2" l="1"/>
  <c r="AM4082" i="2"/>
  <c r="AO4091" i="2"/>
  <c r="AM4081" i="2"/>
  <c r="AM4093" i="2"/>
  <c r="AM4069" i="2"/>
  <c r="AM4074" i="2" s="1"/>
  <c r="AM4070" i="2"/>
  <c r="AM4044" i="2"/>
  <c r="AM4045" i="2" s="1"/>
  <c r="AM4048" i="2" s="1"/>
  <c r="AN4049" i="2" s="1"/>
  <c r="AM4084" i="2" l="1"/>
  <c r="AM4083" i="2"/>
  <c r="AM4088" i="2" s="1"/>
  <c r="AM4071" i="2"/>
  <c r="AM4058" i="2"/>
  <c r="AM4059" i="2" s="1"/>
  <c r="AM4062" i="2" s="1"/>
  <c r="AN4063" i="2" s="1"/>
  <c r="AM4107" i="2"/>
  <c r="AM4095" i="2"/>
  <c r="AO4105" i="2"/>
  <c r="AM4096" i="2"/>
  <c r="AM4085" i="2" l="1"/>
  <c r="AM4109" i="2"/>
  <c r="AM4121" i="2"/>
  <c r="AM4110" i="2"/>
  <c r="AO4119" i="2"/>
  <c r="AM4072" i="2"/>
  <c r="AM4073" i="2" s="1"/>
  <c r="AM4076" i="2" s="1"/>
  <c r="AN4077" i="2" s="1"/>
  <c r="AM4097" i="2"/>
  <c r="AM4102" i="2" s="1"/>
  <c r="AM4098" i="2"/>
  <c r="AM4086" i="2" l="1"/>
  <c r="AM4087" i="2" s="1"/>
  <c r="AM4090" i="2" s="1"/>
  <c r="AN4091" i="2" s="1"/>
  <c r="AM4099" i="2"/>
  <c r="AM4111" i="2"/>
  <c r="AM4116" i="2" s="1"/>
  <c r="AM4112" i="2"/>
  <c r="AM4124" i="2"/>
  <c r="AM4123" i="2"/>
  <c r="AO4133" i="2"/>
  <c r="AM4135" i="2"/>
  <c r="AO4147" i="2" l="1"/>
  <c r="AM4137" i="2"/>
  <c r="AM4149" i="2"/>
  <c r="AM4138" i="2"/>
  <c r="AM4113" i="2"/>
  <c r="AM4126" i="2"/>
  <c r="AM4125" i="2"/>
  <c r="AM4130" i="2" s="1"/>
  <c r="AM4100" i="2"/>
  <c r="AM4101" i="2" s="1"/>
  <c r="AM4104" i="2" s="1"/>
  <c r="AN4105" i="2" s="1"/>
  <c r="AM4114" i="2" l="1"/>
  <c r="AM4115" i="2" s="1"/>
  <c r="AM4118" i="2" s="1"/>
  <c r="AN4119" i="2" s="1"/>
  <c r="AM4139" i="2"/>
  <c r="AM4144" i="2" s="1"/>
  <c r="AM4140" i="2"/>
  <c r="AM4127" i="2"/>
  <c r="AM4151" i="2"/>
  <c r="AM4163" i="2"/>
  <c r="AM4152" i="2"/>
  <c r="AO4161" i="2"/>
  <c r="AM4154" i="2" l="1"/>
  <c r="AM4153" i="2"/>
  <c r="AM4158" i="2" s="1"/>
  <c r="AM4128" i="2"/>
  <c r="AM4129" i="2" s="1"/>
  <c r="AM4132" i="2" s="1"/>
  <c r="AN4133" i="2" s="1"/>
  <c r="AO4175" i="2"/>
  <c r="AM4177" i="2"/>
  <c r="AM4165" i="2"/>
  <c r="AM4166" i="2"/>
  <c r="AM4141" i="2"/>
  <c r="AM4142" i="2" l="1"/>
  <c r="AM4143" i="2" s="1"/>
  <c r="AM4146" i="2" s="1"/>
  <c r="AN4147" i="2" s="1"/>
  <c r="AM4191" i="2"/>
  <c r="AM4180" i="2"/>
  <c r="AM4179" i="2"/>
  <c r="AO4189" i="2"/>
  <c r="AM4167" i="2"/>
  <c r="AM4172" i="2" s="1"/>
  <c r="AM4168" i="2"/>
  <c r="AM4155" i="2"/>
  <c r="AM4182" i="2" l="1"/>
  <c r="AM4181" i="2"/>
  <c r="AM4186" i="2" s="1"/>
  <c r="AM4156" i="2"/>
  <c r="AM4157" i="2" s="1"/>
  <c r="AM4160" i="2" s="1"/>
  <c r="AN4161" i="2" s="1"/>
  <c r="AM4193" i="2"/>
  <c r="AM4205" i="2"/>
  <c r="AM4194" i="2"/>
  <c r="AO4203" i="2"/>
  <c r="AM4169" i="2"/>
  <c r="AM4196" i="2" l="1"/>
  <c r="AM4195" i="2"/>
  <c r="AM4200" i="2" s="1"/>
  <c r="AM4183" i="2"/>
  <c r="AO4217" i="2"/>
  <c r="AM4207" i="2"/>
  <c r="AM4219" i="2"/>
  <c r="AM4208" i="2"/>
  <c r="AM4170" i="2"/>
  <c r="AM4171" i="2" s="1"/>
  <c r="AM4174" i="2" s="1"/>
  <c r="AN4175" i="2" s="1"/>
  <c r="AM4197" i="2" l="1"/>
  <c r="AM4184" i="2"/>
  <c r="AM4185" i="2" s="1"/>
  <c r="AM4188" i="2" s="1"/>
  <c r="AN4189" i="2" s="1"/>
  <c r="AM4209" i="2"/>
  <c r="AM4214" i="2" s="1"/>
  <c r="AM4210" i="2"/>
  <c r="AM4233" i="2"/>
  <c r="AM4221" i="2"/>
  <c r="AM4222" i="2"/>
  <c r="AO4231" i="2"/>
  <c r="AM4211" i="2" l="1"/>
  <c r="AM4198" i="2"/>
  <c r="AM4199" i="2" s="1"/>
  <c r="AM4202" i="2" s="1"/>
  <c r="AN4203" i="2" s="1"/>
  <c r="AM4235" i="2"/>
  <c r="AO4245" i="2"/>
  <c r="AM4247" i="2"/>
  <c r="AM4236" i="2"/>
  <c r="AM4223" i="2"/>
  <c r="AM4228" i="2" s="1"/>
  <c r="AM4224" i="2"/>
  <c r="AM4238" i="2" l="1"/>
  <c r="AM4237" i="2"/>
  <c r="AM4242" i="2" s="1"/>
  <c r="AM4212" i="2"/>
  <c r="AM4213" i="2" s="1"/>
  <c r="AM4216" i="2" s="1"/>
  <c r="AN4217" i="2" s="1"/>
  <c r="AM4225" i="2"/>
  <c r="AO4259" i="2"/>
  <c r="AM4249" i="2"/>
  <c r="AM4261" i="2"/>
  <c r="AM4250" i="2"/>
  <c r="AO4273" i="2" l="1"/>
  <c r="AM4263" i="2"/>
  <c r="AM4275" i="2"/>
  <c r="AM4264" i="2"/>
  <c r="AM4226" i="2"/>
  <c r="AM4227" i="2" s="1"/>
  <c r="AM4230" i="2" s="1"/>
  <c r="AN4231" i="2" s="1"/>
  <c r="AM4239" i="2"/>
  <c r="AM4251" i="2"/>
  <c r="AM4256" i="2" s="1"/>
  <c r="AM4252" i="2"/>
  <c r="AM4240" i="2" l="1"/>
  <c r="AM4241" i="2" s="1"/>
  <c r="AM4244" i="2" s="1"/>
  <c r="AN4245" i="2" s="1"/>
  <c r="AM4265" i="2"/>
  <c r="AM4270" i="2" s="1"/>
  <c r="AM4266" i="2"/>
  <c r="AM4253" i="2"/>
  <c r="AM4289" i="2"/>
  <c r="AM4277" i="2"/>
  <c r="AM4278" i="2"/>
  <c r="AO4287" i="2"/>
  <c r="AM4254" i="2" l="1"/>
  <c r="AM4255" i="2" s="1"/>
  <c r="AM4258" i="2" s="1"/>
  <c r="AN4259" i="2" s="1"/>
  <c r="AO4301" i="2"/>
  <c r="AM4303" i="2"/>
  <c r="AM4292" i="2"/>
  <c r="AM4291" i="2"/>
  <c r="AM4280" i="2"/>
  <c r="AM4279" i="2"/>
  <c r="AM4284" i="2" s="1"/>
  <c r="AM4267" i="2"/>
  <c r="AM4294" i="2" l="1"/>
  <c r="AM4293" i="2"/>
  <c r="AM4298" i="2" s="1"/>
  <c r="AM4268" i="2"/>
  <c r="AM4269" i="2" s="1"/>
  <c r="AM4272" i="2" s="1"/>
  <c r="AN4273" i="2" s="1"/>
  <c r="AM4281" i="2"/>
  <c r="AO4315" i="2"/>
  <c r="AM4305" i="2"/>
  <c r="AM4317" i="2"/>
  <c r="AM4306" i="2"/>
  <c r="AM4295" i="2" l="1"/>
  <c r="AM4308" i="2"/>
  <c r="AM4307" i="2"/>
  <c r="AM4312" i="2" s="1"/>
  <c r="AM4282" i="2"/>
  <c r="AM4283" i="2" s="1"/>
  <c r="AM4286" i="2" s="1"/>
  <c r="AN4287" i="2" s="1"/>
  <c r="AM4331" i="2"/>
  <c r="AM4320" i="2"/>
  <c r="AO4329" i="2"/>
  <c r="AM4319" i="2"/>
  <c r="AM4321" i="2" l="1"/>
  <c r="AM4326" i="2" s="1"/>
  <c r="AM4322" i="2"/>
  <c r="AM4334" i="2"/>
  <c r="AO4343" i="2"/>
  <c r="AM4345" i="2"/>
  <c r="AM4333" i="2"/>
  <c r="AM4309" i="2"/>
  <c r="AM4296" i="2"/>
  <c r="AM4297" i="2" s="1"/>
  <c r="AM4300" i="2" s="1"/>
  <c r="AN4301" i="2" s="1"/>
  <c r="AM4348" i="2" l="1"/>
  <c r="AM4347" i="2"/>
  <c r="AO4357" i="2"/>
  <c r="AM4359" i="2"/>
  <c r="AM4310" i="2"/>
  <c r="AM4311" i="2" s="1"/>
  <c r="AM4314" i="2" s="1"/>
  <c r="AN4315" i="2" s="1"/>
  <c r="AM4336" i="2"/>
  <c r="AM4335" i="2"/>
  <c r="AM4340" i="2" s="1"/>
  <c r="AM4323" i="2"/>
  <c r="AM4350" i="2" l="1"/>
  <c r="AM4349" i="2"/>
  <c r="AM4354" i="2" s="1"/>
  <c r="AM4324" i="2"/>
  <c r="AM4325" i="2" s="1"/>
  <c r="AM4328" i="2" s="1"/>
  <c r="AN4329" i="2" s="1"/>
  <c r="AM4337" i="2"/>
  <c r="AO4371" i="2"/>
  <c r="AM4361" i="2"/>
  <c r="AM4373" i="2"/>
  <c r="AM4362" i="2"/>
  <c r="AM4387" i="2" l="1"/>
  <c r="AM4376" i="2"/>
  <c r="AO4385" i="2"/>
  <c r="AM4375" i="2"/>
  <c r="AM4338" i="2"/>
  <c r="AM4339" i="2" s="1"/>
  <c r="AM4342" i="2" s="1"/>
  <c r="AN4343" i="2" s="1"/>
  <c r="AM4351" i="2"/>
  <c r="AM4364" i="2"/>
  <c r="AM4363" i="2"/>
  <c r="AM4368" i="2" s="1"/>
  <c r="AM4401" i="2" l="1"/>
  <c r="AM4389" i="2"/>
  <c r="AM4390" i="2"/>
  <c r="AO4399" i="2"/>
  <c r="AM4352" i="2"/>
  <c r="AM4353" i="2" s="1"/>
  <c r="AM4356" i="2" s="1"/>
  <c r="AN4357" i="2" s="1"/>
  <c r="AM4365" i="2"/>
  <c r="AM4377" i="2"/>
  <c r="AM4382" i="2" s="1"/>
  <c r="AM4378" i="2"/>
  <c r="AM4366" i="2" l="1"/>
  <c r="AM4367" i="2" s="1"/>
  <c r="AM4370" i="2" s="1"/>
  <c r="AN4371" i="2" s="1"/>
  <c r="AO4413" i="2"/>
  <c r="AM4415" i="2"/>
  <c r="AM4404" i="2"/>
  <c r="AM4403" i="2"/>
  <c r="AM4391" i="2"/>
  <c r="AM4396" i="2" s="1"/>
  <c r="AM4392" i="2"/>
  <c r="AM4379" i="2"/>
  <c r="AM4393" i="2" l="1"/>
  <c r="AM4380" i="2"/>
  <c r="AM4381" i="2" s="1"/>
  <c r="AM4384" i="2" s="1"/>
  <c r="AN4385" i="2" s="1"/>
  <c r="AM4405" i="2"/>
  <c r="AM4410" i="2" s="1"/>
  <c r="AM4406" i="2"/>
  <c r="AM4418" i="2"/>
  <c r="AO4427" i="2"/>
  <c r="AM4417" i="2"/>
  <c r="AM4429" i="2"/>
  <c r="AM4420" i="2" l="1"/>
  <c r="AM4419" i="2"/>
  <c r="AM4424" i="2" s="1"/>
  <c r="AM4394" i="2"/>
  <c r="AM4395" i="2" s="1"/>
  <c r="AM4398" i="2" s="1"/>
  <c r="AN4399" i="2" s="1"/>
  <c r="AO4441" i="2"/>
  <c r="AM4432" i="2"/>
  <c r="AM4443" i="2"/>
  <c r="AM4431" i="2"/>
  <c r="AM4407" i="2"/>
  <c r="AM4408" i="2" l="1"/>
  <c r="AM4409" i="2" s="1"/>
  <c r="AM4412" i="2" s="1"/>
  <c r="AN4413" i="2" s="1"/>
  <c r="AM4421" i="2"/>
  <c r="AM4446" i="2"/>
  <c r="AM4457" i="2"/>
  <c r="AM4445" i="2"/>
  <c r="AO4455" i="2"/>
  <c r="AM4433" i="2"/>
  <c r="AM4438" i="2" s="1"/>
  <c r="AM4434" i="2"/>
  <c r="AM4459" i="2" l="1"/>
  <c r="AM4471" i="2"/>
  <c r="AM4460" i="2"/>
  <c r="AO4469" i="2"/>
  <c r="AM4435" i="2"/>
  <c r="AM4447" i="2"/>
  <c r="AM4452" i="2" s="1"/>
  <c r="AM4448" i="2"/>
  <c r="AM4422" i="2"/>
  <c r="AM4423" i="2" s="1"/>
  <c r="AM4426" i="2" s="1"/>
  <c r="AN4427" i="2" s="1"/>
  <c r="AM4436" i="2" l="1"/>
  <c r="AM4437" i="2" s="1"/>
  <c r="AM4440" i="2" s="1"/>
  <c r="AN4441" i="2" s="1"/>
  <c r="AM4461" i="2"/>
  <c r="AM4466" i="2" s="1"/>
  <c r="AM4462" i="2"/>
  <c r="AM4485" i="2"/>
  <c r="AM4473" i="2"/>
  <c r="AO4483" i="2"/>
  <c r="AM4474" i="2"/>
  <c r="AM4449" i="2"/>
  <c r="AM4450" i="2" l="1"/>
  <c r="AM4451" i="2" s="1"/>
  <c r="AM4454" i="2" s="1"/>
  <c r="AN4455" i="2" s="1"/>
  <c r="AM4487" i="2"/>
  <c r="AO4497" i="2"/>
  <c r="AM4488" i="2"/>
  <c r="AM4499" i="2"/>
  <c r="AM4475" i="2"/>
  <c r="AM4480" i="2" s="1"/>
  <c r="AM4476" i="2"/>
  <c r="AM4463" i="2"/>
  <c r="AM4477" i="2" l="1"/>
  <c r="AM4501" i="2"/>
  <c r="AO4511" i="2"/>
  <c r="AM4502" i="2"/>
  <c r="AM4513" i="2"/>
  <c r="AM4464" i="2"/>
  <c r="AM4465" i="2" s="1"/>
  <c r="AM4468" i="2" s="1"/>
  <c r="AN4469" i="2" s="1"/>
  <c r="AM4490" i="2"/>
  <c r="AM4489" i="2"/>
  <c r="AM4494" i="2" s="1"/>
  <c r="AM4491" i="2" l="1"/>
  <c r="AM4503" i="2"/>
  <c r="AM4508" i="2" s="1"/>
  <c r="AM4504" i="2"/>
  <c r="AM4516" i="2"/>
  <c r="AO4525" i="2"/>
  <c r="AM4515" i="2"/>
  <c r="AM4527" i="2"/>
  <c r="AM4478" i="2"/>
  <c r="AM4479" i="2" s="1"/>
  <c r="AM4482" i="2" s="1"/>
  <c r="AN4483" i="2" s="1"/>
  <c r="AM4492" i="2" l="1"/>
  <c r="AM4493" i="2" s="1"/>
  <c r="AM4496" i="2" s="1"/>
  <c r="AN4497" i="2" s="1"/>
  <c r="AM4518" i="2"/>
  <c r="AM4517" i="2"/>
  <c r="AM4522" i="2" s="1"/>
  <c r="AO4539" i="2"/>
  <c r="AM4530" i="2"/>
  <c r="AM4541" i="2"/>
  <c r="AM4529" i="2"/>
  <c r="AM4505" i="2"/>
  <c r="AM4544" i="2" l="1"/>
  <c r="AM4543" i="2"/>
  <c r="AO4553" i="2"/>
  <c r="AM4555" i="2"/>
  <c r="AM4519" i="2"/>
  <c r="AM4506" i="2"/>
  <c r="AM4507" i="2" s="1"/>
  <c r="AM4510" i="2" s="1"/>
  <c r="AN4511" i="2" s="1"/>
  <c r="AM4531" i="2"/>
  <c r="AM4536" i="2" s="1"/>
  <c r="AM4532" i="2"/>
  <c r="AM4533" i="2" l="1"/>
  <c r="AM4520" i="2"/>
  <c r="AM4521" i="2" s="1"/>
  <c r="AM4524" i="2" s="1"/>
  <c r="AN4525" i="2" s="1"/>
  <c r="AM4546" i="2"/>
  <c r="AM4545" i="2"/>
  <c r="AM4550" i="2" s="1"/>
  <c r="AM4557" i="2"/>
  <c r="AM4569" i="2"/>
  <c r="AO4567" i="2"/>
  <c r="AM4558" i="2"/>
  <c r="AM4583" i="2" l="1"/>
  <c r="AO4581" i="2"/>
  <c r="AM4572" i="2"/>
  <c r="AM4571" i="2"/>
  <c r="AM4547" i="2"/>
  <c r="AM4534" i="2"/>
  <c r="AM4535" i="2" s="1"/>
  <c r="AM4538" i="2" s="1"/>
  <c r="AN4539" i="2" s="1"/>
  <c r="AM4560" i="2"/>
  <c r="AM4559" i="2"/>
  <c r="AM4564" i="2" s="1"/>
  <c r="AM4561" i="2" l="1"/>
  <c r="AM4548" i="2"/>
  <c r="AM4549" i="2" s="1"/>
  <c r="AM4552" i="2" s="1"/>
  <c r="AN4553" i="2" s="1"/>
  <c r="AO4595" i="2"/>
  <c r="AM4597" i="2"/>
  <c r="AM4585" i="2"/>
  <c r="AM4586" i="2"/>
  <c r="AM4573" i="2"/>
  <c r="AM4578" i="2" s="1"/>
  <c r="AM4574" i="2"/>
  <c r="AM4562" i="2" l="1"/>
  <c r="AM4563" i="2" s="1"/>
  <c r="AM4566" i="2" s="1"/>
  <c r="AN4567" i="2" s="1"/>
  <c r="AM4599" i="2"/>
  <c r="AO4609" i="2"/>
  <c r="AM4611" i="2"/>
  <c r="AM4600" i="2"/>
  <c r="AM4575" i="2"/>
  <c r="AM4588" i="2"/>
  <c r="AM4587" i="2"/>
  <c r="AM4592" i="2" s="1"/>
  <c r="AM4589" i="2" l="1"/>
  <c r="AO4623" i="2"/>
  <c r="AM4614" i="2"/>
  <c r="AM4613" i="2"/>
  <c r="AM4625" i="2"/>
  <c r="AM4602" i="2"/>
  <c r="AM4601" i="2"/>
  <c r="AM4606" i="2" s="1"/>
  <c r="AM4576" i="2"/>
  <c r="AM4577" i="2" s="1"/>
  <c r="AM4580" i="2" s="1"/>
  <c r="AN4581" i="2" s="1"/>
  <c r="AM4616" i="2" l="1"/>
  <c r="AM4615" i="2"/>
  <c r="AM4620" i="2" s="1"/>
  <c r="AM4590" i="2"/>
  <c r="AM4591" i="2" s="1"/>
  <c r="AM4594" i="2" s="1"/>
  <c r="AN4595" i="2" s="1"/>
  <c r="AM4628" i="2"/>
  <c r="AM4627" i="2"/>
  <c r="AM4639" i="2"/>
  <c r="AO4637" i="2"/>
  <c r="AM4603" i="2"/>
  <c r="AM4641" i="2" l="1"/>
  <c r="AM4642" i="2"/>
  <c r="AO4651" i="2"/>
  <c r="AM4653" i="2"/>
  <c r="AM4604" i="2"/>
  <c r="AM4605" i="2" s="1"/>
  <c r="AM4608" i="2" s="1"/>
  <c r="AN4609" i="2" s="1"/>
  <c r="AM4617" i="2"/>
  <c r="AM4629" i="2"/>
  <c r="AM4634" i="2" s="1"/>
  <c r="AM4630" i="2"/>
  <c r="AM4644" i="2" l="1"/>
  <c r="AM4643" i="2"/>
  <c r="AM4648" i="2" s="1"/>
  <c r="AM4631" i="2"/>
  <c r="AM4618" i="2"/>
  <c r="AM4619" i="2" s="1"/>
  <c r="AM4622" i="2" s="1"/>
  <c r="AN4623" i="2" s="1"/>
  <c r="AM4667" i="2"/>
  <c r="AM4656" i="2"/>
  <c r="AM4655" i="2"/>
  <c r="AO4665" i="2"/>
  <c r="AM4658" i="2" l="1"/>
  <c r="AM4657" i="2"/>
  <c r="AM4662" i="2" s="1"/>
  <c r="AM4645" i="2"/>
  <c r="AM4670" i="2"/>
  <c r="AM4669" i="2"/>
  <c r="AM4681" i="2"/>
  <c r="AO4679" i="2"/>
  <c r="AM4632" i="2"/>
  <c r="AM4633" i="2" s="1"/>
  <c r="AM4636" i="2" s="1"/>
  <c r="AN4637" i="2" s="1"/>
  <c r="AM4659" i="2" l="1"/>
  <c r="AM4684" i="2"/>
  <c r="AM4683" i="2"/>
  <c r="AM4695" i="2"/>
  <c r="AO4693" i="2"/>
  <c r="AM4646" i="2"/>
  <c r="AM4647" i="2" s="1"/>
  <c r="AM4650" i="2" s="1"/>
  <c r="AN4651" i="2" s="1"/>
  <c r="AM4672" i="2"/>
  <c r="AM4671" i="2"/>
  <c r="AM4676" i="2" s="1"/>
  <c r="AM4673" i="2" l="1"/>
  <c r="AM4697" i="2"/>
  <c r="AM4698" i="2"/>
  <c r="AO4707" i="2"/>
  <c r="AM4709" i="2"/>
  <c r="AM4660" i="2"/>
  <c r="AM4661" i="2" s="1"/>
  <c r="AM4664" i="2" s="1"/>
  <c r="AN4665" i="2" s="1"/>
  <c r="AM4685" i="2"/>
  <c r="AM4690" i="2" s="1"/>
  <c r="AM4686" i="2"/>
  <c r="AM4674" i="2" l="1"/>
  <c r="AM4675" i="2" s="1"/>
  <c r="AM4678" i="2" s="1"/>
  <c r="AN4679" i="2" s="1"/>
  <c r="AM4712" i="2"/>
  <c r="AM4711" i="2"/>
  <c r="AO4721" i="2"/>
  <c r="AM4723" i="2"/>
  <c r="AM4687" i="2"/>
  <c r="AM4700" i="2"/>
  <c r="AM4699" i="2"/>
  <c r="AM4704" i="2" s="1"/>
  <c r="AM4688" i="2" l="1"/>
  <c r="AM4689" i="2" s="1"/>
  <c r="AM4692" i="2" s="1"/>
  <c r="AN4693" i="2" s="1"/>
  <c r="AM4701" i="2"/>
  <c r="AO4735" i="2"/>
  <c r="AM4726" i="2"/>
  <c r="AM4725" i="2"/>
  <c r="AM4737" i="2"/>
  <c r="AM4714" i="2"/>
  <c r="AM4713" i="2"/>
  <c r="AM4718" i="2" s="1"/>
  <c r="AM4728" i="2" l="1"/>
  <c r="AM4727" i="2"/>
  <c r="AM4732" i="2" s="1"/>
  <c r="AM4702" i="2"/>
  <c r="AM4703" i="2" s="1"/>
  <c r="AM4706" i="2" s="1"/>
  <c r="AN4707" i="2" s="1"/>
  <c r="AM4715" i="2"/>
  <c r="AM4740" i="2"/>
  <c r="AM4739" i="2"/>
  <c r="AM4751" i="2"/>
  <c r="AO4749" i="2"/>
  <c r="AM4753" i="2" l="1"/>
  <c r="AM4754" i="2"/>
  <c r="AO4763" i="2"/>
  <c r="AM4765" i="2"/>
  <c r="AM4716" i="2"/>
  <c r="AM4717" i="2" s="1"/>
  <c r="AM4720" i="2" s="1"/>
  <c r="AN4721" i="2" s="1"/>
  <c r="AM4729" i="2"/>
  <c r="AM4742" i="2"/>
  <c r="AM4741" i="2"/>
  <c r="AM4746" i="2" s="1"/>
  <c r="AM4743" i="2" l="1"/>
  <c r="AM4730" i="2"/>
  <c r="AM4731" i="2" s="1"/>
  <c r="AM4734" i="2" s="1"/>
  <c r="AN4735" i="2" s="1"/>
  <c r="AM4756" i="2"/>
  <c r="AM4755" i="2"/>
  <c r="AM4760" i="2" s="1"/>
  <c r="AM4768" i="2"/>
  <c r="AM4767" i="2"/>
  <c r="AO4777" i="2"/>
  <c r="AM4779" i="2"/>
  <c r="AM4757" i="2" l="1"/>
  <c r="AM4782" i="2"/>
  <c r="AM4781" i="2"/>
  <c r="AM4793" i="2"/>
  <c r="AO4791" i="2"/>
  <c r="AM4744" i="2"/>
  <c r="AM4745" i="2" s="1"/>
  <c r="AM4748" i="2" s="1"/>
  <c r="AN4749" i="2" s="1"/>
  <c r="AM4769" i="2"/>
  <c r="AM4774" i="2" s="1"/>
  <c r="AM4770" i="2"/>
  <c r="AM4771" i="2" l="1"/>
  <c r="AM4796" i="2"/>
  <c r="AM4795" i="2"/>
  <c r="AM4807" i="2"/>
  <c r="AO4805" i="2"/>
  <c r="AM4758" i="2"/>
  <c r="AM4759" i="2" s="1"/>
  <c r="AM4762" i="2" s="1"/>
  <c r="AN4763" i="2" s="1"/>
  <c r="AM4784" i="2"/>
  <c r="AM4783" i="2"/>
  <c r="AM4788" i="2" s="1"/>
  <c r="AM4785" i="2" l="1"/>
  <c r="AM4821" i="2"/>
  <c r="AM4809" i="2"/>
  <c r="AM4810" i="2"/>
  <c r="AO4819" i="2"/>
  <c r="AM4772" i="2"/>
  <c r="AM4773" i="2" s="1"/>
  <c r="AM4776" i="2" s="1"/>
  <c r="AN4777" i="2" s="1"/>
  <c r="AM4797" i="2"/>
  <c r="AM4802" i="2" s="1"/>
  <c r="AM4798" i="2"/>
  <c r="AM4799" i="2" l="1"/>
  <c r="AM4823" i="2"/>
  <c r="AO4833" i="2"/>
  <c r="AM4835" i="2"/>
  <c r="AM4824" i="2"/>
  <c r="AM4786" i="2"/>
  <c r="AM4787" i="2" s="1"/>
  <c r="AM4790" i="2" s="1"/>
  <c r="AN4791" i="2" s="1"/>
  <c r="AM4812" i="2"/>
  <c r="AM4811" i="2"/>
  <c r="AM4816" i="2" s="1"/>
  <c r="AM4837" i="2" l="1"/>
  <c r="AM4849" i="2"/>
  <c r="AO4847" i="2"/>
  <c r="AM4838" i="2"/>
  <c r="AM4813" i="2"/>
  <c r="AM4800" i="2"/>
  <c r="AM4801" i="2" s="1"/>
  <c r="AM4804" i="2" s="1"/>
  <c r="AN4805" i="2" s="1"/>
  <c r="AM4826" i="2"/>
  <c r="AM4825" i="2"/>
  <c r="AM4830" i="2" s="1"/>
  <c r="AM4840" i="2" l="1"/>
  <c r="AM4839" i="2"/>
  <c r="AM4844" i="2" s="1"/>
  <c r="AM4827" i="2"/>
  <c r="AM4814" i="2"/>
  <c r="AM4815" i="2" s="1"/>
  <c r="AM4818" i="2" s="1"/>
  <c r="AN4819" i="2" s="1"/>
  <c r="AM4852" i="2"/>
  <c r="AM4851" i="2"/>
  <c r="AM4863" i="2"/>
  <c r="AO4861" i="2"/>
  <c r="AM4866" i="2" l="1"/>
  <c r="AO4875" i="2"/>
  <c r="AM4877" i="2"/>
  <c r="AM4865" i="2"/>
  <c r="AM4841" i="2"/>
  <c r="AM4828" i="2"/>
  <c r="AM4829" i="2" s="1"/>
  <c r="AM4832" i="2" s="1"/>
  <c r="AN4833" i="2" s="1"/>
  <c r="AM4853" i="2"/>
  <c r="AM4858" i="2" s="1"/>
  <c r="AM4854" i="2"/>
  <c r="AM4855" i="2" l="1"/>
  <c r="AM4842" i="2"/>
  <c r="AM4843" i="2" s="1"/>
  <c r="AM4846" i="2" s="1"/>
  <c r="AN4847" i="2" s="1"/>
  <c r="AM4880" i="2"/>
  <c r="AM4879" i="2"/>
  <c r="AO4889" i="2"/>
  <c r="AM4891" i="2"/>
  <c r="AM4867" i="2"/>
  <c r="AM4872" i="2" s="1"/>
  <c r="AM4868" i="2"/>
  <c r="AM4856" i="2" l="1"/>
  <c r="AM4857" i="2" s="1"/>
  <c r="AM4860" i="2" s="1"/>
  <c r="AN4861" i="2" s="1"/>
  <c r="AM4881" i="2"/>
  <c r="AM4886" i="2" s="1"/>
  <c r="AM4882" i="2"/>
  <c r="AM4869" i="2"/>
  <c r="AO4903" i="2"/>
  <c r="AM4894" i="2"/>
  <c r="AM4893" i="2"/>
  <c r="AM4905" i="2"/>
  <c r="AM4870" i="2" l="1"/>
  <c r="AM4871" i="2" s="1"/>
  <c r="AM4874" i="2" s="1"/>
  <c r="AN4875" i="2" s="1"/>
  <c r="AM4919" i="2"/>
  <c r="AO4917" i="2"/>
  <c r="AM4908" i="2"/>
  <c r="AM4907" i="2"/>
  <c r="AM4896" i="2"/>
  <c r="AM4895" i="2"/>
  <c r="AM4900" i="2" s="1"/>
  <c r="AM4883" i="2"/>
  <c r="AM4897" i="2" l="1"/>
  <c r="AM4884" i="2"/>
  <c r="AM4885" i="2" s="1"/>
  <c r="AM4888" i="2" s="1"/>
  <c r="AN4889" i="2" s="1"/>
  <c r="AM4909" i="2"/>
  <c r="AM4914" i="2" s="1"/>
  <c r="AM4910" i="2"/>
  <c r="AM4933" i="2"/>
  <c r="AM4921" i="2"/>
  <c r="AM4922" i="2"/>
  <c r="AO4931" i="2"/>
  <c r="AM4911" i="2" l="1"/>
  <c r="AM4898" i="2"/>
  <c r="AM4899" i="2" s="1"/>
  <c r="AM4902" i="2" s="1"/>
  <c r="AN4903" i="2" s="1"/>
  <c r="AM4947" i="2"/>
  <c r="AM4936" i="2"/>
  <c r="AM4935" i="2"/>
  <c r="AO4945" i="2"/>
  <c r="AM4924" i="2"/>
  <c r="AM4923" i="2"/>
  <c r="AM4928" i="2" s="1"/>
  <c r="AM4925" i="2" l="1"/>
  <c r="AO4959" i="2"/>
  <c r="AM4950" i="2"/>
  <c r="AM4949" i="2"/>
  <c r="AM4961" i="2"/>
  <c r="AM4912" i="2"/>
  <c r="AM4913" i="2" s="1"/>
  <c r="AM4916" i="2" s="1"/>
  <c r="AN4917" i="2" s="1"/>
  <c r="AM4938" i="2"/>
  <c r="AM4937" i="2"/>
  <c r="AM4942" i="2" s="1"/>
  <c r="AM4963" i="2" l="1"/>
  <c r="AM4975" i="2"/>
  <c r="AO4973" i="2"/>
  <c r="AM4964" i="2"/>
  <c r="AM4939" i="2"/>
  <c r="AM4952" i="2"/>
  <c r="AM4951" i="2"/>
  <c r="AM4956" i="2" s="1"/>
  <c r="AM4926" i="2"/>
  <c r="AM4927" i="2" s="1"/>
  <c r="AM4930" i="2" s="1"/>
  <c r="AN4931" i="2" s="1"/>
  <c r="AM4965" i="2" l="1"/>
  <c r="AM4970" i="2" s="1"/>
  <c r="AM4966" i="2"/>
  <c r="AM4940" i="2"/>
  <c r="AM4941" i="2" s="1"/>
  <c r="AM4944" i="2" s="1"/>
  <c r="AN4945" i="2" s="1"/>
  <c r="AM4978" i="2"/>
  <c r="AO4987" i="2"/>
  <c r="AM4989" i="2"/>
  <c r="AM4977" i="2"/>
  <c r="AM4953" i="2"/>
  <c r="AM4967" i="2" l="1"/>
  <c r="AM4954" i="2"/>
  <c r="AM4955" i="2" s="1"/>
  <c r="AM4958" i="2" s="1"/>
  <c r="AN4959" i="2" s="1"/>
  <c r="AO5001" i="2"/>
  <c r="AM5003" i="2"/>
  <c r="AM4992" i="2"/>
  <c r="AM4991" i="2"/>
  <c r="AM4979" i="2"/>
  <c r="AM4984" i="2" s="1"/>
  <c r="AM4980" i="2"/>
  <c r="AM4968" i="2" l="1"/>
  <c r="AM4969" i="2" s="1"/>
  <c r="AM4972" i="2" s="1"/>
  <c r="AN4973" i="2" s="1"/>
  <c r="AM5005" i="2"/>
  <c r="AM5017" i="2"/>
  <c r="AO5015" i="2"/>
  <c r="AM5006" i="2"/>
  <c r="AM4981" i="2"/>
  <c r="AM4994" i="2"/>
  <c r="AM4993" i="2"/>
  <c r="AM4998" i="2" s="1"/>
  <c r="AM5008" i="2" l="1"/>
  <c r="AM5007" i="2"/>
  <c r="AM5012" i="2" s="1"/>
  <c r="AM4995" i="2"/>
  <c r="AM4982" i="2"/>
  <c r="AM4983" i="2" s="1"/>
  <c r="AM4986" i="2" s="1"/>
  <c r="AN4987" i="2" s="1"/>
  <c r="AM5020" i="2"/>
  <c r="AM5019" i="2"/>
  <c r="AM5031" i="2"/>
  <c r="AO5029" i="2"/>
  <c r="AM4996" i="2" l="1"/>
  <c r="AM4997" i="2" s="1"/>
  <c r="AM5000" i="2" s="1"/>
  <c r="AN5001" i="2" s="1"/>
  <c r="AM5045" i="2"/>
  <c r="AM5033" i="2"/>
  <c r="AM5034" i="2"/>
  <c r="AO5043" i="2"/>
  <c r="AM5009" i="2"/>
  <c r="AM5021" i="2"/>
  <c r="AM5026" i="2" s="1"/>
  <c r="AM5022" i="2"/>
  <c r="AM5010" i="2" l="1"/>
  <c r="AM5011" i="2" s="1"/>
  <c r="AM5014" i="2" s="1"/>
  <c r="AN5015" i="2" s="1"/>
  <c r="AM5047" i="2"/>
  <c r="AO5057" i="2"/>
  <c r="AM5059" i="2"/>
  <c r="AM5048" i="2"/>
  <c r="AM5023" i="2"/>
  <c r="AM5036" i="2"/>
  <c r="AM5035" i="2"/>
  <c r="AM5040" i="2" s="1"/>
  <c r="AM5050" i="2" l="1"/>
  <c r="AM5049" i="2"/>
  <c r="AM5054" i="2" s="1"/>
  <c r="AM5037" i="2"/>
  <c r="AM5073" i="2"/>
  <c r="AO5071" i="2"/>
  <c r="AM5062" i="2"/>
  <c r="AM5061" i="2"/>
  <c r="AM5024" i="2"/>
  <c r="AM5025" i="2" s="1"/>
  <c r="AM5028" i="2" s="1"/>
  <c r="AN5029" i="2" s="1"/>
  <c r="AM5075" i="2" l="1"/>
  <c r="AM5087" i="2"/>
  <c r="AO5085" i="2"/>
  <c r="AM5076" i="2"/>
  <c r="AM5051" i="2"/>
  <c r="AM5064" i="2"/>
  <c r="AM5063" i="2"/>
  <c r="AM5068" i="2" s="1"/>
  <c r="AM5038" i="2"/>
  <c r="AM5039" i="2" s="1"/>
  <c r="AM5042" i="2" s="1"/>
  <c r="AN5043" i="2" s="1"/>
  <c r="AM5077" i="2" l="1"/>
  <c r="AM5082" i="2" s="1"/>
  <c r="AM5078" i="2"/>
  <c r="AM5052" i="2"/>
  <c r="AM5053" i="2" s="1"/>
  <c r="AM5056" i="2" s="1"/>
  <c r="AN5057" i="2" s="1"/>
  <c r="AM5101" i="2"/>
  <c r="AM5089" i="2"/>
  <c r="AM5090" i="2"/>
  <c r="AO5099" i="2"/>
  <c r="AM5065" i="2"/>
  <c r="AM5104" i="2" l="1"/>
  <c r="AM5103" i="2"/>
  <c r="AO5113" i="2"/>
  <c r="AM5115" i="2"/>
  <c r="AM5066" i="2"/>
  <c r="AM5067" i="2" s="1"/>
  <c r="AM5070" i="2" s="1"/>
  <c r="AN5071" i="2" s="1"/>
  <c r="AM5092" i="2"/>
  <c r="AM5091" i="2"/>
  <c r="AM5096" i="2" s="1"/>
  <c r="AM5079" i="2"/>
  <c r="AM5080" i="2" l="1"/>
  <c r="AM5081" i="2" s="1"/>
  <c r="AM5084" i="2" s="1"/>
  <c r="AN5085" i="2" s="1"/>
  <c r="AM5106" i="2"/>
  <c r="AM5105" i="2"/>
  <c r="AM5110" i="2" s="1"/>
  <c r="AM5093" i="2"/>
  <c r="AM5117" i="2"/>
  <c r="AM5129" i="2"/>
  <c r="AO5127" i="2"/>
  <c r="AM5118" i="2"/>
  <c r="AM5094" i="2" l="1"/>
  <c r="AM5095" i="2" s="1"/>
  <c r="AM5098" i="2" s="1"/>
  <c r="AN5099" i="2" s="1"/>
  <c r="AM5120" i="2"/>
  <c r="AM5119" i="2"/>
  <c r="AM5124" i="2" s="1"/>
  <c r="AM5107" i="2"/>
  <c r="AO5141" i="2"/>
  <c r="AM5132" i="2"/>
  <c r="AM5131" i="2"/>
  <c r="AM5143" i="2"/>
  <c r="AO5155" i="2" l="1"/>
  <c r="AM5157" i="2"/>
  <c r="AM5145" i="2"/>
  <c r="AM5146" i="2"/>
  <c r="AM5134" i="2"/>
  <c r="AM5133" i="2"/>
  <c r="AM5138" i="2" s="1"/>
  <c r="AM5108" i="2"/>
  <c r="AM5109" i="2" s="1"/>
  <c r="AM5112" i="2" s="1"/>
  <c r="AN5113" i="2" s="1"/>
  <c r="AM5121" i="2"/>
  <c r="AM5135" i="2" l="1"/>
  <c r="AM5122" i="2"/>
  <c r="AM5123" i="2" s="1"/>
  <c r="AM5126" i="2" s="1"/>
  <c r="AN5127" i="2" s="1"/>
  <c r="AM5148" i="2"/>
  <c r="AM5147" i="2"/>
  <c r="AM5152" i="2" s="1"/>
  <c r="AM5171" i="2"/>
  <c r="AM5160" i="2"/>
  <c r="AM5159" i="2"/>
  <c r="AO5169" i="2"/>
  <c r="AM5162" i="2" l="1"/>
  <c r="AM5161" i="2"/>
  <c r="AM5166" i="2" s="1"/>
  <c r="AM5149" i="2"/>
  <c r="AM5136" i="2"/>
  <c r="AM5137" i="2" s="1"/>
  <c r="AM5140" i="2" s="1"/>
  <c r="AN5141" i="2" s="1"/>
  <c r="AM5173" i="2"/>
  <c r="AM5185" i="2"/>
  <c r="AO5183" i="2"/>
  <c r="AM5174" i="2"/>
  <c r="AM5163" i="2" l="1"/>
  <c r="AM5176" i="2"/>
  <c r="AM5175" i="2"/>
  <c r="AM5180" i="2" s="1"/>
  <c r="AM5150" i="2"/>
  <c r="AM5151" i="2" s="1"/>
  <c r="AM5154" i="2" s="1"/>
  <c r="AN5155" i="2" s="1"/>
  <c r="AM5188" i="2"/>
  <c r="AM5187" i="2"/>
  <c r="AM5199" i="2"/>
  <c r="AO5197" i="2"/>
  <c r="AM5164" i="2" l="1"/>
  <c r="AM5165" i="2" s="1"/>
  <c r="AM5168" i="2" s="1"/>
  <c r="AN5169" i="2" s="1"/>
  <c r="AM5177" i="2"/>
  <c r="AO5211" i="2"/>
  <c r="AM5213" i="2"/>
  <c r="AM5201" i="2"/>
  <c r="AM5202" i="2"/>
  <c r="AM5189" i="2"/>
  <c r="AM5194" i="2" s="1"/>
  <c r="AM5190" i="2"/>
  <c r="AM5203" i="2" l="1"/>
  <c r="AM5208" i="2" s="1"/>
  <c r="AM5204" i="2"/>
  <c r="AM5191" i="2"/>
  <c r="AM5216" i="2"/>
  <c r="AM5215" i="2"/>
  <c r="AO5225" i="2"/>
  <c r="AM5227" i="2"/>
  <c r="AM5178" i="2"/>
  <c r="AM5179" i="2" s="1"/>
  <c r="AM5182" i="2" s="1"/>
  <c r="AN5183" i="2" s="1"/>
  <c r="AM5205" i="2" l="1"/>
  <c r="AM5217" i="2"/>
  <c r="AM5222" i="2" s="1"/>
  <c r="AM5218" i="2"/>
  <c r="AM5241" i="2"/>
  <c r="AO5239" i="2"/>
  <c r="AM5230" i="2"/>
  <c r="AM5229" i="2"/>
  <c r="AM5192" i="2"/>
  <c r="AM5193" i="2" s="1"/>
  <c r="AM5196" i="2" s="1"/>
  <c r="AN5197" i="2" s="1"/>
  <c r="AM5244" i="2" l="1"/>
  <c r="AM5243" i="2"/>
  <c r="AM5255" i="2"/>
  <c r="AO5253" i="2"/>
  <c r="AM5206" i="2"/>
  <c r="AM5207" i="2" s="1"/>
  <c r="AM5210" i="2" s="1"/>
  <c r="AN5211" i="2" s="1"/>
  <c r="AM5232" i="2"/>
  <c r="AM5231" i="2"/>
  <c r="AM5236" i="2" s="1"/>
  <c r="AM5219" i="2"/>
  <c r="AM5220" i="2" l="1"/>
  <c r="AM5221" i="2" s="1"/>
  <c r="AM5224" i="2" s="1"/>
  <c r="AN5225" i="2" s="1"/>
  <c r="AM5245" i="2"/>
  <c r="AM5250" i="2" s="1"/>
  <c r="AM5246" i="2"/>
  <c r="AM5233" i="2"/>
  <c r="AM5269" i="2"/>
  <c r="AM5257" i="2"/>
  <c r="AM5258" i="2"/>
  <c r="AO5267" i="2"/>
  <c r="AM5234" i="2" l="1"/>
  <c r="AM5235" i="2" s="1"/>
  <c r="AM5238" i="2" s="1"/>
  <c r="AN5239" i="2" s="1"/>
  <c r="AM5271" i="2"/>
  <c r="AO5281" i="2"/>
  <c r="AM5283" i="2"/>
  <c r="AM5272" i="2"/>
  <c r="AM5260" i="2"/>
  <c r="AM5259" i="2"/>
  <c r="AM5264" i="2" s="1"/>
  <c r="AM5247" i="2"/>
  <c r="AM5248" i="2" l="1"/>
  <c r="AM5249" i="2" s="1"/>
  <c r="AM5252" i="2" s="1"/>
  <c r="AN5253" i="2" s="1"/>
  <c r="AM5274" i="2"/>
  <c r="AM5273" i="2"/>
  <c r="AM5278" i="2" s="1"/>
  <c r="AM5285" i="2"/>
  <c r="AM5297" i="2"/>
  <c r="AO5295" i="2"/>
  <c r="AM5286" i="2"/>
  <c r="AM5261" i="2"/>
  <c r="AM5288" i="2" l="1"/>
  <c r="AM5287" i="2"/>
  <c r="AM5292" i="2" s="1"/>
  <c r="AM5262" i="2"/>
  <c r="AM5263" i="2" s="1"/>
  <c r="AM5266" i="2" s="1"/>
  <c r="AN5267" i="2" s="1"/>
  <c r="AM5300" i="2"/>
  <c r="AM5299" i="2"/>
  <c r="AM5311" i="2"/>
  <c r="AO5309" i="2"/>
  <c r="AM5275" i="2"/>
  <c r="AM5276" i="2" l="1"/>
  <c r="AM5277" i="2" s="1"/>
  <c r="AM5280" i="2" s="1"/>
  <c r="AN5281" i="2" s="1"/>
  <c r="AM5289" i="2"/>
  <c r="AM5302" i="2"/>
  <c r="AM5301" i="2"/>
  <c r="AM5306" i="2" s="1"/>
  <c r="AM5313" i="2"/>
  <c r="AM5314" i="2"/>
  <c r="AO5323" i="2"/>
  <c r="AM5325" i="2"/>
  <c r="AM5315" i="2" l="1"/>
  <c r="AM5320" i="2" s="1"/>
  <c r="AM5316" i="2"/>
  <c r="AM5303" i="2"/>
  <c r="AO5337" i="2"/>
  <c r="AM5339" i="2"/>
  <c r="AM5328" i="2"/>
  <c r="AM5327" i="2"/>
  <c r="AM5290" i="2"/>
  <c r="AM5291" i="2" s="1"/>
  <c r="AM5294" i="2" s="1"/>
  <c r="AN5295" i="2" s="1"/>
  <c r="AM5317" i="2" l="1"/>
  <c r="AM5341" i="2"/>
  <c r="AM5353" i="2"/>
  <c r="AO5351" i="2"/>
  <c r="AM5342" i="2"/>
  <c r="AM5304" i="2"/>
  <c r="AM5305" i="2" s="1"/>
  <c r="AM5308" i="2" s="1"/>
  <c r="AN5309" i="2" s="1"/>
  <c r="AM5330" i="2"/>
  <c r="AM5329" i="2"/>
  <c r="AM5334" i="2" s="1"/>
  <c r="AM5318" i="2" l="1"/>
  <c r="AM5319" i="2" s="1"/>
  <c r="AM5322" i="2" s="1"/>
  <c r="AN5323" i="2" s="1"/>
  <c r="AM5331" i="2"/>
  <c r="AM5344" i="2"/>
  <c r="AM5343" i="2"/>
  <c r="AM5348" i="2" s="1"/>
  <c r="AM5355" i="2"/>
  <c r="AM5367" i="2"/>
  <c r="AO5365" i="2"/>
  <c r="AM5356" i="2"/>
  <c r="AM5357" i="2" l="1"/>
  <c r="AM5362" i="2" s="1"/>
  <c r="AM5358" i="2"/>
  <c r="AM5345" i="2"/>
  <c r="AM5381" i="2"/>
  <c r="AM5369" i="2"/>
  <c r="AM5370" i="2"/>
  <c r="AO5379" i="2"/>
  <c r="AM5332" i="2"/>
  <c r="AM5333" i="2" s="1"/>
  <c r="AM5336" i="2" s="1"/>
  <c r="AN5337" i="2" s="1"/>
  <c r="AM5372" i="2" l="1"/>
  <c r="AM5371" i="2"/>
  <c r="AM5376" i="2" s="1"/>
  <c r="AM5359" i="2"/>
  <c r="AM5395" i="2"/>
  <c r="AM5384" i="2"/>
  <c r="AM5383" i="2"/>
  <c r="AO5393" i="2"/>
  <c r="AM5346" i="2"/>
  <c r="AM5347" i="2" s="1"/>
  <c r="AM5350" i="2" s="1"/>
  <c r="AN5351" i="2" s="1"/>
  <c r="AM5373" i="2" l="1"/>
  <c r="AM5385" i="2"/>
  <c r="AM5390" i="2" s="1"/>
  <c r="AM5386" i="2"/>
  <c r="AM5409" i="2"/>
  <c r="AO5407" i="2"/>
  <c r="AM5398" i="2"/>
  <c r="AM5397" i="2"/>
  <c r="AM5360" i="2"/>
  <c r="AM5361" i="2" s="1"/>
  <c r="AM5364" i="2" s="1"/>
  <c r="AN5365" i="2" s="1"/>
  <c r="AO5421" i="2" l="1"/>
  <c r="AM5412" i="2"/>
  <c r="AM5411" i="2"/>
  <c r="AM5423" i="2"/>
  <c r="AM5374" i="2"/>
  <c r="AM5375" i="2" s="1"/>
  <c r="AM5378" i="2" s="1"/>
  <c r="AN5379" i="2" s="1"/>
  <c r="AM5399" i="2"/>
  <c r="AM5404" i="2" s="1"/>
  <c r="AM5400" i="2"/>
  <c r="AM5387" i="2"/>
  <c r="AM5388" i="2" l="1"/>
  <c r="AM5389" i="2" s="1"/>
  <c r="AM5392" i="2" s="1"/>
  <c r="AN5393" i="2" s="1"/>
  <c r="AM5413" i="2"/>
  <c r="AM5418" i="2" s="1"/>
  <c r="AM5414" i="2"/>
  <c r="AM5401" i="2"/>
  <c r="AM5437" i="2"/>
  <c r="AM5425" i="2"/>
  <c r="AM5426" i="2"/>
  <c r="AO5435" i="2"/>
  <c r="AM5402" i="2" l="1"/>
  <c r="AM5403" i="2" s="1"/>
  <c r="AM5406" i="2" s="1"/>
  <c r="AN5407" i="2" s="1"/>
  <c r="AO5449" i="2"/>
  <c r="AM5451" i="2"/>
  <c r="AM5440" i="2"/>
  <c r="AM5439" i="2"/>
  <c r="AM5428" i="2"/>
  <c r="AM5427" i="2"/>
  <c r="AM5432" i="2" s="1"/>
  <c r="AM5415" i="2"/>
  <c r="AM5442" i="2" l="1"/>
  <c r="AM5441" i="2"/>
  <c r="AM5446" i="2" s="1"/>
  <c r="AM5416" i="2"/>
  <c r="AM5417" i="2" s="1"/>
  <c r="AM5420" i="2" s="1"/>
  <c r="AN5421" i="2" s="1"/>
  <c r="AM5429" i="2"/>
  <c r="AM5453" i="2"/>
  <c r="AM5454" i="2"/>
  <c r="AM5465" i="2"/>
  <c r="AO5463" i="2"/>
  <c r="AO5477" i="2" l="1"/>
  <c r="AM5468" i="2"/>
  <c r="AM5467" i="2"/>
  <c r="AM5479" i="2"/>
  <c r="AM5430" i="2"/>
  <c r="AM5431" i="2" s="1"/>
  <c r="AM5434" i="2" s="1"/>
  <c r="AN5435" i="2" s="1"/>
  <c r="AM5443" i="2"/>
  <c r="AM5455" i="2"/>
  <c r="AM5460" i="2" s="1"/>
  <c r="AM5456" i="2"/>
  <c r="AM5457" i="2" l="1"/>
  <c r="AM5469" i="2"/>
  <c r="AM5474" i="2" s="1"/>
  <c r="AM5470" i="2"/>
  <c r="AM5444" i="2"/>
  <c r="AM5445" i="2" s="1"/>
  <c r="AM5448" i="2" s="1"/>
  <c r="AN5449" i="2" s="1"/>
  <c r="AM5482" i="2"/>
  <c r="AO5491" i="2"/>
  <c r="AM5493" i="2"/>
  <c r="AM5481" i="2"/>
  <c r="AM5496" i="2" l="1"/>
  <c r="AM5495" i="2"/>
  <c r="AM5507" i="2"/>
  <c r="AO5505" i="2"/>
  <c r="AM5484" i="2"/>
  <c r="AM5483" i="2"/>
  <c r="AM5488" i="2" s="1"/>
  <c r="AM5458" i="2"/>
  <c r="AM5459" i="2" s="1"/>
  <c r="AM5462" i="2" s="1"/>
  <c r="AN5463" i="2" s="1"/>
  <c r="AM5471" i="2"/>
  <c r="AM5485" i="2" l="1"/>
  <c r="AM5472" i="2"/>
  <c r="AM5473" i="2" s="1"/>
  <c r="AM5476" i="2" s="1"/>
  <c r="AN5477" i="2" s="1"/>
  <c r="AM5498" i="2"/>
  <c r="AM5497" i="2"/>
  <c r="AM5502" i="2" s="1"/>
  <c r="AM5521" i="2"/>
  <c r="AM5510" i="2"/>
  <c r="AM5509" i="2"/>
  <c r="AO5519" i="2"/>
  <c r="AM5512" i="2" l="1"/>
  <c r="AM5511" i="2"/>
  <c r="AM5516" i="2" s="1"/>
  <c r="AM5499" i="2"/>
  <c r="AM5486" i="2"/>
  <c r="AM5487" i="2" s="1"/>
  <c r="AM5490" i="2" s="1"/>
  <c r="AN5491" i="2" s="1"/>
  <c r="AM5535" i="2"/>
  <c r="AM5523" i="2"/>
  <c r="AO5533" i="2"/>
  <c r="AM5524" i="2"/>
  <c r="AM5513" i="2" l="1"/>
  <c r="AM5537" i="2"/>
  <c r="AM5538" i="2"/>
  <c r="AO5547" i="2"/>
  <c r="AM5549" i="2"/>
  <c r="AM5525" i="2"/>
  <c r="AM5530" i="2" s="1"/>
  <c r="AM5526" i="2"/>
  <c r="AM5500" i="2"/>
  <c r="AM5501" i="2" s="1"/>
  <c r="AM5504" i="2" s="1"/>
  <c r="AN5505" i="2" s="1"/>
  <c r="AM5527" i="2" l="1"/>
  <c r="AM5514" i="2"/>
  <c r="AM5515" i="2" s="1"/>
  <c r="AM5518" i="2" s="1"/>
  <c r="AN5519" i="2" s="1"/>
  <c r="AO5561" i="2"/>
  <c r="AM5563" i="2"/>
  <c r="AM5552" i="2"/>
  <c r="AM5551" i="2"/>
  <c r="AM5540" i="2"/>
  <c r="AM5539" i="2"/>
  <c r="AM5544" i="2" s="1"/>
  <c r="AM5541" i="2" l="1"/>
  <c r="AO5575" i="2"/>
  <c r="AM5565" i="2"/>
  <c r="AM5577" i="2"/>
  <c r="AM5566" i="2"/>
  <c r="AM5528" i="2"/>
  <c r="AM5529" i="2" s="1"/>
  <c r="AM5532" i="2" s="1"/>
  <c r="AN5533" i="2" s="1"/>
  <c r="AM5554" i="2"/>
  <c r="AM5553" i="2"/>
  <c r="AM5558" i="2" s="1"/>
  <c r="AM5555" i="2" l="1"/>
  <c r="AM5580" i="2"/>
  <c r="AM5579" i="2"/>
  <c r="AM5591" i="2"/>
  <c r="AO5589" i="2"/>
  <c r="AM5542" i="2"/>
  <c r="AM5543" i="2" s="1"/>
  <c r="AM5546" i="2" s="1"/>
  <c r="AN5547" i="2" s="1"/>
  <c r="AM5568" i="2"/>
  <c r="AM5567" i="2"/>
  <c r="AM5572" i="2" s="1"/>
  <c r="AM5594" i="2" l="1"/>
  <c r="AM5593" i="2"/>
  <c r="AO5603" i="2"/>
  <c r="AM5605" i="2"/>
  <c r="AM5556" i="2"/>
  <c r="AM5557" i="2" s="1"/>
  <c r="AM5560" i="2" s="1"/>
  <c r="AN5561" i="2" s="1"/>
  <c r="AM5569" i="2"/>
  <c r="AM5581" i="2"/>
  <c r="AM5586" i="2" s="1"/>
  <c r="AM5582" i="2"/>
  <c r="AM5596" i="2" l="1"/>
  <c r="AM5595" i="2"/>
  <c r="AM5600" i="2" s="1"/>
  <c r="AM5583" i="2"/>
  <c r="AM5570" i="2"/>
  <c r="AM5571" i="2" s="1"/>
  <c r="AM5574" i="2" s="1"/>
  <c r="AN5575" i="2" s="1"/>
  <c r="AM5619" i="2"/>
  <c r="AM5607" i="2"/>
  <c r="AO5617" i="2"/>
  <c r="AM5608" i="2"/>
  <c r="AM5597" i="2" l="1"/>
  <c r="AM5622" i="2"/>
  <c r="AM5621" i="2"/>
  <c r="AO5631" i="2"/>
  <c r="AM5609" i="2"/>
  <c r="AM5614" i="2" s="1"/>
  <c r="AM5610" i="2"/>
  <c r="AM5584" i="2"/>
  <c r="AM5585" i="2" s="1"/>
  <c r="AM5588" i="2" s="1"/>
  <c r="AN5589" i="2" s="1"/>
  <c r="AM5611" i="2" l="1"/>
  <c r="AM5598" i="2"/>
  <c r="AM5599" i="2" s="1"/>
  <c r="AM5602" i="2" s="1"/>
  <c r="AN5603" i="2" s="1"/>
  <c r="AM5623" i="2"/>
  <c r="AM5628" i="2" s="1"/>
  <c r="AM5624" i="2"/>
  <c r="AM5612" i="2" l="1"/>
  <c r="AM5613" i="2" s="1"/>
  <c r="AM5616" i="2" s="1"/>
  <c r="AN5617" i="2" s="1"/>
  <c r="AM5625" i="2"/>
  <c r="AM5626" i="2" l="1"/>
  <c r="AM5627" i="2" s="1"/>
  <c r="AM5630" i="2" s="1"/>
  <c r="AN5631" i="2" s="1"/>
  <c r="AO18" i="2" s="1"/>
  <c r="AO20" i="2" s="1"/>
  <c r="AO19" i="2" l="1"/>
  <c r="R40" i="3" s="1"/>
  <c r="Q44" i="3" l="1"/>
  <c r="Q41" i="3" s="1"/>
  <c r="Q40" i="3"/>
  <c r="P44" i="3" s="1"/>
  <c r="P41" i="3" s="1"/>
  <c r="AP33" i="2"/>
  <c r="AP36" i="2" s="1"/>
  <c r="AP47" i="2" l="1"/>
  <c r="AR59" i="2" s="1"/>
  <c r="AR45" i="2"/>
  <c r="AP35" i="2"/>
  <c r="AP38" i="2" s="1"/>
  <c r="AP39" i="2" s="1"/>
  <c r="AP61" i="2" l="1"/>
  <c r="AP63" i="2" s="1"/>
  <c r="AP50" i="2"/>
  <c r="AP49" i="2"/>
  <c r="AP51" i="2" s="1"/>
  <c r="AP56" i="2" s="1"/>
  <c r="AP37" i="2"/>
  <c r="AP42" i="2" s="1"/>
  <c r="AP40" i="2"/>
  <c r="AP75" i="2" l="1"/>
  <c r="AP89" i="2" s="1"/>
  <c r="AP41" i="2"/>
  <c r="AP44" i="2" s="1"/>
  <c r="AQ45" i="2" s="1"/>
  <c r="AR73" i="2"/>
  <c r="AP64" i="2"/>
  <c r="AP66" i="2" s="1"/>
  <c r="AP67" i="2" s="1"/>
  <c r="AP68" i="2" s="1"/>
  <c r="AP52" i="2"/>
  <c r="AP53" i="2" s="1"/>
  <c r="AP54" i="2" s="1"/>
  <c r="AP55" i="2" s="1"/>
  <c r="AP58" i="2" s="1"/>
  <c r="AQ59" i="2" s="1"/>
  <c r="AP65" i="2"/>
  <c r="AP70" i="2" s="1"/>
  <c r="AP78" i="2" l="1"/>
  <c r="AR87" i="2"/>
  <c r="AP77" i="2"/>
  <c r="AP79" i="2" s="1"/>
  <c r="AP84" i="2" s="1"/>
  <c r="AP69" i="2"/>
  <c r="AP72" i="2" s="1"/>
  <c r="AQ73" i="2" s="1"/>
  <c r="AP91" i="2"/>
  <c r="AP103" i="2"/>
  <c r="AP92" i="2"/>
  <c r="AR101" i="2"/>
  <c r="AP80" i="2" l="1"/>
  <c r="AP81" i="2" s="1"/>
  <c r="AP82" i="2" s="1"/>
  <c r="AP83" i="2" s="1"/>
  <c r="AP86" i="2" s="1"/>
  <c r="AQ87" i="2" s="1"/>
  <c r="AP94" i="2"/>
  <c r="AP95" i="2" s="1"/>
  <c r="AP93" i="2"/>
  <c r="AP98" i="2" s="1"/>
  <c r="AR115" i="2"/>
  <c r="AP106" i="2"/>
  <c r="AP105" i="2"/>
  <c r="AP117" i="2"/>
  <c r="AP108" i="2" l="1"/>
  <c r="AP109" i="2" s="1"/>
  <c r="AP110" i="2" s="1"/>
  <c r="AP107" i="2"/>
  <c r="AP112" i="2" s="1"/>
  <c r="AP96" i="2"/>
  <c r="AP97" i="2" s="1"/>
  <c r="AP100" i="2" s="1"/>
  <c r="AQ101" i="2" s="1"/>
  <c r="AP131" i="2"/>
  <c r="AR129" i="2"/>
  <c r="AP119" i="2"/>
  <c r="AP120" i="2"/>
  <c r="AP111" i="2" l="1"/>
  <c r="AP114" i="2" s="1"/>
  <c r="AQ115" i="2" s="1"/>
  <c r="AP134" i="2"/>
  <c r="AR143" i="2"/>
  <c r="AP133" i="2"/>
  <c r="AP145" i="2"/>
  <c r="AP122" i="2"/>
  <c r="AP123" i="2" s="1"/>
  <c r="AP121" i="2"/>
  <c r="AP126" i="2" s="1"/>
  <c r="AP124" i="2" l="1"/>
  <c r="AP125" i="2" s="1"/>
  <c r="AP128" i="2" s="1"/>
  <c r="AQ129" i="2" s="1"/>
  <c r="AP136" i="2"/>
  <c r="AP137" i="2" s="1"/>
  <c r="AP135" i="2"/>
  <c r="AP140" i="2" s="1"/>
  <c r="AP147" i="2"/>
  <c r="AR157" i="2"/>
  <c r="AP159" i="2"/>
  <c r="AP148" i="2"/>
  <c r="AP149" i="2" l="1"/>
  <c r="AP154" i="2" s="1"/>
  <c r="AP150" i="2"/>
  <c r="AP151" i="2" s="1"/>
  <c r="AP161" i="2"/>
  <c r="AP162" i="2"/>
  <c r="AP173" i="2"/>
  <c r="AR171" i="2"/>
  <c r="AP138" i="2"/>
  <c r="AP139" i="2" s="1"/>
  <c r="AP142" i="2" s="1"/>
  <c r="AQ143" i="2" s="1"/>
  <c r="AR185" i="2" l="1"/>
  <c r="AP175" i="2"/>
  <c r="AP187" i="2"/>
  <c r="AP176" i="2"/>
  <c r="AP152" i="2"/>
  <c r="AP153" i="2" s="1"/>
  <c r="AP156" i="2" s="1"/>
  <c r="AQ157" i="2" s="1"/>
  <c r="AP164" i="2"/>
  <c r="AP165" i="2" s="1"/>
  <c r="AP163" i="2"/>
  <c r="AP168" i="2" s="1"/>
  <c r="AP189" i="2" l="1"/>
  <c r="AR199" i="2"/>
  <c r="AP190" i="2"/>
  <c r="AP201" i="2"/>
  <c r="AP178" i="2"/>
  <c r="AP179" i="2" s="1"/>
  <c r="AP180" i="2" s="1"/>
  <c r="AP177" i="2"/>
  <c r="AP182" i="2" s="1"/>
  <c r="AP166" i="2"/>
  <c r="AP167" i="2" s="1"/>
  <c r="AP170" i="2" s="1"/>
  <c r="AQ171" i="2" s="1"/>
  <c r="AP181" i="2" l="1"/>
  <c r="AP184" i="2" s="1"/>
  <c r="AQ185" i="2" s="1"/>
  <c r="AP191" i="2"/>
  <c r="AP196" i="2" s="1"/>
  <c r="AP192" i="2"/>
  <c r="AP193" i="2" s="1"/>
  <c r="AP194" i="2" s="1"/>
  <c r="AR213" i="2"/>
  <c r="AP215" i="2"/>
  <c r="AP204" i="2"/>
  <c r="AP203" i="2"/>
  <c r="AP195" i="2" l="1"/>
  <c r="AP198" i="2" s="1"/>
  <c r="AQ199" i="2" s="1"/>
  <c r="AP205" i="2"/>
  <c r="AP210" i="2" s="1"/>
  <c r="AP206" i="2"/>
  <c r="AP207" i="2" s="1"/>
  <c r="AR227" i="2"/>
  <c r="AP218" i="2"/>
  <c r="AP217" i="2"/>
  <c r="AP229" i="2"/>
  <c r="AP220" i="2" l="1"/>
  <c r="AP221" i="2" s="1"/>
  <c r="AP222" i="2" s="1"/>
  <c r="AP219" i="2"/>
  <c r="AP224" i="2" s="1"/>
  <c r="AP208" i="2"/>
  <c r="AP209" i="2" s="1"/>
  <c r="AP212" i="2" s="1"/>
  <c r="AQ213" i="2" s="1"/>
  <c r="AR241" i="2"/>
  <c r="AP231" i="2"/>
  <c r="AP243" i="2"/>
  <c r="AP232" i="2"/>
  <c r="AP223" i="2" l="1"/>
  <c r="AP226" i="2" s="1"/>
  <c r="AQ227" i="2" s="1"/>
  <c r="AP234" i="2"/>
  <c r="AP235" i="2" s="1"/>
  <c r="AP233" i="2"/>
  <c r="AP238" i="2" s="1"/>
  <c r="AP257" i="2"/>
  <c r="AP245" i="2"/>
  <c r="AR255" i="2"/>
  <c r="AP246" i="2"/>
  <c r="AP236" i="2" l="1"/>
  <c r="AP237" i="2" s="1"/>
  <c r="AP240" i="2" s="1"/>
  <c r="AQ241" i="2" s="1"/>
  <c r="AP259" i="2"/>
  <c r="AP271" i="2"/>
  <c r="AR269" i="2"/>
  <c r="AP260" i="2"/>
  <c r="AP248" i="2"/>
  <c r="AP249" i="2" s="1"/>
  <c r="AP250" i="2" s="1"/>
  <c r="AP247" i="2"/>
  <c r="AP252" i="2" s="1"/>
  <c r="AP251" i="2" l="1"/>
  <c r="AP254" i="2" s="1"/>
  <c r="AQ255" i="2" s="1"/>
  <c r="AP262" i="2"/>
  <c r="AP263" i="2" s="1"/>
  <c r="AP261" i="2"/>
  <c r="AP266" i="2" s="1"/>
  <c r="AP274" i="2"/>
  <c r="AP285" i="2"/>
  <c r="AR283" i="2"/>
  <c r="AP273" i="2"/>
  <c r="AP264" i="2" l="1"/>
  <c r="AP265" i="2" s="1"/>
  <c r="AP268" i="2" s="1"/>
  <c r="AQ269" i="2" s="1"/>
  <c r="AP275" i="2"/>
  <c r="AP280" i="2" s="1"/>
  <c r="AP276" i="2"/>
  <c r="AP277" i="2" s="1"/>
  <c r="AP287" i="2"/>
  <c r="AP288" i="2"/>
  <c r="AP299" i="2"/>
  <c r="AR297" i="2"/>
  <c r="AP313" i="2" l="1"/>
  <c r="AP301" i="2"/>
  <c r="AR311" i="2"/>
  <c r="AP302" i="2"/>
  <c r="AP289" i="2"/>
  <c r="AP294" i="2" s="1"/>
  <c r="AP290" i="2"/>
  <c r="AP291" i="2" s="1"/>
  <c r="AP278" i="2"/>
  <c r="AP279" i="2" s="1"/>
  <c r="AP282" i="2" s="1"/>
  <c r="AQ283" i="2" s="1"/>
  <c r="AP316" i="2" l="1"/>
  <c r="AP315" i="2"/>
  <c r="AP327" i="2"/>
  <c r="AR325" i="2"/>
  <c r="AP292" i="2"/>
  <c r="AP293" i="2" s="1"/>
  <c r="AP296" i="2" s="1"/>
  <c r="AQ297" i="2" s="1"/>
  <c r="AP304" i="2"/>
  <c r="AP305" i="2" s="1"/>
  <c r="AP306" i="2" s="1"/>
  <c r="AP303" i="2"/>
  <c r="AP308" i="2" s="1"/>
  <c r="AP307" i="2" l="1"/>
  <c r="AP310" i="2" s="1"/>
  <c r="AQ311" i="2" s="1"/>
  <c r="AP341" i="2"/>
  <c r="AP330" i="2"/>
  <c r="AR339" i="2"/>
  <c r="AP329" i="2"/>
  <c r="AP317" i="2"/>
  <c r="AP322" i="2" s="1"/>
  <c r="AP318" i="2"/>
  <c r="AP319" i="2" s="1"/>
  <c r="AP344" i="2" l="1"/>
  <c r="AP343" i="2"/>
  <c r="AP355" i="2"/>
  <c r="AR353" i="2"/>
  <c r="AP320" i="2"/>
  <c r="AP321" i="2" s="1"/>
  <c r="AP324" i="2" s="1"/>
  <c r="AQ325" i="2" s="1"/>
  <c r="AP332" i="2"/>
  <c r="AP333" i="2" s="1"/>
  <c r="AP334" i="2" s="1"/>
  <c r="AP331" i="2"/>
  <c r="AP336" i="2" s="1"/>
  <c r="AP346" i="2" l="1"/>
  <c r="AP347" i="2" s="1"/>
  <c r="AP345" i="2"/>
  <c r="AP350" i="2" s="1"/>
  <c r="AP357" i="2"/>
  <c r="AR367" i="2"/>
  <c r="AP369" i="2"/>
  <c r="AP358" i="2"/>
  <c r="AP335" i="2"/>
  <c r="AP338" i="2" s="1"/>
  <c r="AQ339" i="2" s="1"/>
  <c r="AP371" i="2" l="1"/>
  <c r="AP372" i="2"/>
  <c r="AR381" i="2"/>
  <c r="AP383" i="2"/>
  <c r="AP348" i="2"/>
  <c r="AP349" i="2" s="1"/>
  <c r="AP352" i="2" s="1"/>
  <c r="AQ353" i="2" s="1"/>
  <c r="AP360" i="2"/>
  <c r="AP361" i="2" s="1"/>
  <c r="AP359" i="2"/>
  <c r="AP364" i="2" s="1"/>
  <c r="AP373" i="2" l="1"/>
  <c r="AP378" i="2" s="1"/>
  <c r="AP374" i="2"/>
  <c r="AP375" i="2" s="1"/>
  <c r="AP376" i="2" s="1"/>
  <c r="AP362" i="2"/>
  <c r="AP363" i="2" s="1"/>
  <c r="AP366" i="2" s="1"/>
  <c r="AQ367" i="2" s="1"/>
  <c r="AR395" i="2"/>
  <c r="AP386" i="2"/>
  <c r="AP397" i="2"/>
  <c r="AP385" i="2"/>
  <c r="AP377" i="2" l="1"/>
  <c r="AP380" i="2" s="1"/>
  <c r="AQ381" i="2" s="1"/>
  <c r="AR409" i="2"/>
  <c r="AP411" i="2"/>
  <c r="AP400" i="2"/>
  <c r="AP399" i="2"/>
  <c r="AP387" i="2"/>
  <c r="AP392" i="2" s="1"/>
  <c r="AP388" i="2"/>
  <c r="AP389" i="2" s="1"/>
  <c r="AP390" i="2" l="1"/>
  <c r="AP391" i="2" s="1"/>
  <c r="AP394" i="2" s="1"/>
  <c r="AQ395" i="2" s="1"/>
  <c r="AP425" i="2"/>
  <c r="AR423" i="2"/>
  <c r="AP414" i="2"/>
  <c r="AP413" i="2"/>
  <c r="AP401" i="2"/>
  <c r="AP406" i="2" s="1"/>
  <c r="AP402" i="2"/>
  <c r="AP415" i="2" l="1"/>
  <c r="AP420" i="2" s="1"/>
  <c r="AP416" i="2"/>
  <c r="AP439" i="2"/>
  <c r="AP428" i="2"/>
  <c r="AP427" i="2"/>
  <c r="AR437" i="2"/>
  <c r="AP403" i="2"/>
  <c r="AP404" i="2" s="1"/>
  <c r="AP405" i="2" s="1"/>
  <c r="AP408" i="2" s="1"/>
  <c r="AQ409" i="2" s="1"/>
  <c r="AP430" i="2" l="1"/>
  <c r="AP429" i="2"/>
  <c r="AP434" i="2" s="1"/>
  <c r="AP417" i="2"/>
  <c r="AP453" i="2"/>
  <c r="AP441" i="2"/>
  <c r="AR451" i="2"/>
  <c r="AP442" i="2"/>
  <c r="AR465" i="2" l="1"/>
  <c r="AP455" i="2"/>
  <c r="AP456" i="2"/>
  <c r="AP467" i="2"/>
  <c r="AP431" i="2"/>
  <c r="AP432" i="2" s="1"/>
  <c r="AP433" i="2" s="1"/>
  <c r="AP436" i="2" s="1"/>
  <c r="AQ437" i="2" s="1"/>
  <c r="AP418" i="2"/>
  <c r="AP419" i="2" s="1"/>
  <c r="AP422" i="2" s="1"/>
  <c r="AQ423" i="2" s="1"/>
  <c r="AP444" i="2"/>
  <c r="AP443" i="2"/>
  <c r="AP448" i="2" s="1"/>
  <c r="AP445" i="2" l="1"/>
  <c r="AP458" i="2"/>
  <c r="AP457" i="2"/>
  <c r="AP462" i="2" s="1"/>
  <c r="AP481" i="2"/>
  <c r="AP470" i="2"/>
  <c r="AP469" i="2"/>
  <c r="AR479" i="2"/>
  <c r="AP471" i="2" l="1"/>
  <c r="AP476" i="2" s="1"/>
  <c r="AP472" i="2"/>
  <c r="AP495" i="2"/>
  <c r="AP483" i="2"/>
  <c r="AR493" i="2"/>
  <c r="AP484" i="2"/>
  <c r="AP446" i="2"/>
  <c r="AP447" i="2" s="1"/>
  <c r="AP450" i="2" s="1"/>
  <c r="AQ451" i="2" s="1"/>
  <c r="AP459" i="2"/>
  <c r="AP460" i="2" s="1"/>
  <c r="AP461" i="2" s="1"/>
  <c r="AP464" i="2" s="1"/>
  <c r="AQ465" i="2" s="1"/>
  <c r="AP498" i="2" l="1"/>
  <c r="AP509" i="2"/>
  <c r="AP497" i="2"/>
  <c r="AR507" i="2"/>
  <c r="AP473" i="2"/>
  <c r="AP486" i="2"/>
  <c r="AP485" i="2"/>
  <c r="AP490" i="2" s="1"/>
  <c r="AP474" i="2" l="1"/>
  <c r="AP475" i="2" s="1"/>
  <c r="AP478" i="2" s="1"/>
  <c r="AQ479" i="2" s="1"/>
  <c r="AP500" i="2"/>
  <c r="AP499" i="2"/>
  <c r="AP504" i="2" s="1"/>
  <c r="AP512" i="2"/>
  <c r="AR521" i="2"/>
  <c r="AP523" i="2"/>
  <c r="AP511" i="2"/>
  <c r="AP487" i="2"/>
  <c r="AP488" i="2" s="1"/>
  <c r="AP489" i="2" s="1"/>
  <c r="AP492" i="2" s="1"/>
  <c r="AQ493" i="2" s="1"/>
  <c r="AP537" i="2" l="1"/>
  <c r="AP525" i="2"/>
  <c r="AR535" i="2"/>
  <c r="AP526" i="2"/>
  <c r="AP501" i="2"/>
  <c r="AP502" i="2" s="1"/>
  <c r="AP503" i="2" s="1"/>
  <c r="AP506" i="2" s="1"/>
  <c r="AQ507" i="2" s="1"/>
  <c r="AP513" i="2"/>
  <c r="AP518" i="2" s="1"/>
  <c r="AP514" i="2"/>
  <c r="AP551" i="2" l="1"/>
  <c r="AR549" i="2"/>
  <c r="AP539" i="2"/>
  <c r="AP540" i="2"/>
  <c r="AP528" i="2"/>
  <c r="AP527" i="2"/>
  <c r="AP532" i="2" s="1"/>
  <c r="AP515" i="2"/>
  <c r="AP529" i="2" l="1"/>
  <c r="AP530" i="2" s="1"/>
  <c r="AP531" i="2" s="1"/>
  <c r="AP534" i="2" s="1"/>
  <c r="AQ535" i="2" s="1"/>
  <c r="AR563" i="2"/>
  <c r="AP565" i="2"/>
  <c r="AP553" i="2"/>
  <c r="AP554" i="2"/>
  <c r="AP541" i="2"/>
  <c r="AP546" i="2" s="1"/>
  <c r="AP542" i="2"/>
  <c r="AP516" i="2"/>
  <c r="AP517" i="2" s="1"/>
  <c r="AP520" i="2" s="1"/>
  <c r="AQ521" i="2" s="1"/>
  <c r="AP555" i="2" l="1"/>
  <c r="AP560" i="2" s="1"/>
  <c r="AP556" i="2"/>
  <c r="AP543" i="2"/>
  <c r="AP544" i="2" s="1"/>
  <c r="AP545" i="2" s="1"/>
  <c r="AP548" i="2" s="1"/>
  <c r="AQ549" i="2" s="1"/>
  <c r="AP567" i="2"/>
  <c r="AR577" i="2"/>
  <c r="AP568" i="2"/>
  <c r="AP579" i="2"/>
  <c r="AP593" i="2" l="1"/>
  <c r="AP582" i="2"/>
  <c r="AR591" i="2"/>
  <c r="AP581" i="2"/>
  <c r="AP570" i="2"/>
  <c r="AP569" i="2"/>
  <c r="AP574" i="2" s="1"/>
  <c r="AP557" i="2"/>
  <c r="AP558" i="2" s="1"/>
  <c r="AP559" i="2" s="1"/>
  <c r="AP562" i="2" s="1"/>
  <c r="AQ563" i="2" s="1"/>
  <c r="AP571" i="2" l="1"/>
  <c r="AP596" i="2"/>
  <c r="AR605" i="2"/>
  <c r="AP607" i="2"/>
  <c r="AP595" i="2"/>
  <c r="AP583" i="2"/>
  <c r="AP588" i="2" s="1"/>
  <c r="AP584" i="2"/>
  <c r="AP597" i="2" l="1"/>
  <c r="AP602" i="2" s="1"/>
  <c r="AP598" i="2"/>
  <c r="AP572" i="2"/>
  <c r="AP573" i="2" s="1"/>
  <c r="AP576" i="2" s="1"/>
  <c r="AQ577" i="2" s="1"/>
  <c r="AP609" i="2"/>
  <c r="AP610" i="2"/>
  <c r="AR619" i="2"/>
  <c r="AP621" i="2"/>
  <c r="AP585" i="2"/>
  <c r="AP599" i="2" l="1"/>
  <c r="AP600" i="2" s="1"/>
  <c r="AP601" i="2" s="1"/>
  <c r="AP604" i="2" s="1"/>
  <c r="AQ605" i="2" s="1"/>
  <c r="AP612" i="2"/>
  <c r="AP611" i="2"/>
  <c r="AP616" i="2" s="1"/>
  <c r="AP586" i="2"/>
  <c r="AP587" i="2" s="1"/>
  <c r="AP590" i="2" s="1"/>
  <c r="AQ591" i="2" s="1"/>
  <c r="AP635" i="2"/>
  <c r="AP624" i="2"/>
  <c r="AP623" i="2"/>
  <c r="AR633" i="2"/>
  <c r="AP637" i="2" l="1"/>
  <c r="AP649" i="2"/>
  <c r="AR647" i="2"/>
  <c r="AP638" i="2"/>
  <c r="AP613" i="2"/>
  <c r="AP614" i="2" s="1"/>
  <c r="AP615" i="2" s="1"/>
  <c r="AP618" i="2" s="1"/>
  <c r="AQ619" i="2" s="1"/>
  <c r="AP626" i="2"/>
  <c r="AP625" i="2"/>
  <c r="AP630" i="2" s="1"/>
  <c r="AP639" i="2" l="1"/>
  <c r="AP644" i="2" s="1"/>
  <c r="AP640" i="2"/>
  <c r="AP652" i="2"/>
  <c r="AP651" i="2"/>
  <c r="AR661" i="2"/>
  <c r="AP663" i="2"/>
  <c r="AP627" i="2"/>
  <c r="AP628" i="2" l="1"/>
  <c r="AP629" i="2" s="1"/>
  <c r="AP632" i="2" s="1"/>
  <c r="AQ633" i="2" s="1"/>
  <c r="AR675" i="2"/>
  <c r="AP666" i="2"/>
  <c r="AP665" i="2"/>
  <c r="AP677" i="2"/>
  <c r="AP641" i="2"/>
  <c r="AP653" i="2"/>
  <c r="AP658" i="2" s="1"/>
  <c r="AP654" i="2"/>
  <c r="AP668" i="2" l="1"/>
  <c r="AP667" i="2"/>
  <c r="AP672" i="2" s="1"/>
  <c r="AP691" i="2"/>
  <c r="AP680" i="2"/>
  <c r="AP679" i="2"/>
  <c r="AR689" i="2"/>
  <c r="AP655" i="2"/>
  <c r="AP656" i="2" s="1"/>
  <c r="AP657" i="2" s="1"/>
  <c r="AP660" i="2" s="1"/>
  <c r="AQ661" i="2" s="1"/>
  <c r="AP642" i="2"/>
  <c r="AP643" i="2" s="1"/>
  <c r="AP646" i="2" s="1"/>
  <c r="AQ647" i="2" s="1"/>
  <c r="AP682" i="2" l="1"/>
  <c r="AP681" i="2"/>
  <c r="AP686" i="2" s="1"/>
  <c r="AP669" i="2"/>
  <c r="AP693" i="2"/>
  <c r="AP705" i="2"/>
  <c r="AP694" i="2"/>
  <c r="AR703" i="2"/>
  <c r="AP683" i="2" l="1"/>
  <c r="AP707" i="2"/>
  <c r="AP708" i="2"/>
  <c r="AP719" i="2"/>
  <c r="AR717" i="2"/>
  <c r="AP670" i="2"/>
  <c r="AP671" i="2" s="1"/>
  <c r="AP674" i="2" s="1"/>
  <c r="AQ675" i="2" s="1"/>
  <c r="AP695" i="2"/>
  <c r="AP700" i="2" s="1"/>
  <c r="AP696" i="2"/>
  <c r="AP722" i="2" l="1"/>
  <c r="AR731" i="2"/>
  <c r="AP721" i="2"/>
  <c r="AP733" i="2"/>
  <c r="AP697" i="2"/>
  <c r="AP698" i="2" s="1"/>
  <c r="AP699" i="2" s="1"/>
  <c r="AP702" i="2" s="1"/>
  <c r="AQ703" i="2" s="1"/>
  <c r="AP684" i="2"/>
  <c r="AP685" i="2" s="1"/>
  <c r="AP688" i="2" s="1"/>
  <c r="AQ689" i="2" s="1"/>
  <c r="AP710" i="2"/>
  <c r="AP709" i="2"/>
  <c r="AP714" i="2" s="1"/>
  <c r="AP711" i="2" l="1"/>
  <c r="AP712" i="2" s="1"/>
  <c r="AP713" i="2" s="1"/>
  <c r="AP716" i="2" s="1"/>
  <c r="AQ717" i="2" s="1"/>
  <c r="AP724" i="2"/>
  <c r="AP723" i="2"/>
  <c r="AP728" i="2" s="1"/>
  <c r="AP735" i="2"/>
  <c r="AP736" i="2"/>
  <c r="AP747" i="2"/>
  <c r="AR745" i="2"/>
  <c r="AP761" i="2" l="1"/>
  <c r="AR759" i="2"/>
  <c r="AP750" i="2"/>
  <c r="AP749" i="2"/>
  <c r="AP725" i="2"/>
  <c r="AP726" i="2" s="1"/>
  <c r="AP727" i="2" s="1"/>
  <c r="AP730" i="2" s="1"/>
  <c r="AQ731" i="2" s="1"/>
  <c r="AP738" i="2"/>
  <c r="AP737" i="2"/>
  <c r="AP742" i="2" s="1"/>
  <c r="AP763" i="2" l="1"/>
  <c r="AP764" i="2"/>
  <c r="AR773" i="2"/>
  <c r="AP775" i="2"/>
  <c r="AP739" i="2"/>
  <c r="AP752" i="2"/>
  <c r="AP751" i="2"/>
  <c r="AP756" i="2" s="1"/>
  <c r="AP766" i="2" l="1"/>
  <c r="AP765" i="2"/>
  <c r="AP770" i="2" s="1"/>
  <c r="AP740" i="2"/>
  <c r="AP741" i="2" s="1"/>
  <c r="AP744" i="2" s="1"/>
  <c r="AQ745" i="2" s="1"/>
  <c r="AP753" i="2"/>
  <c r="AP754" i="2" s="1"/>
  <c r="AP755" i="2" s="1"/>
  <c r="AP758" i="2" s="1"/>
  <c r="AQ759" i="2" s="1"/>
  <c r="AP789" i="2"/>
  <c r="AP778" i="2"/>
  <c r="AR787" i="2"/>
  <c r="AP777" i="2"/>
  <c r="AP779" i="2" l="1"/>
  <c r="AP784" i="2" s="1"/>
  <c r="AP780" i="2"/>
  <c r="AP767" i="2"/>
  <c r="AP768" i="2" s="1"/>
  <c r="AP769" i="2" s="1"/>
  <c r="AP772" i="2" s="1"/>
  <c r="AQ773" i="2" s="1"/>
  <c r="AP791" i="2"/>
  <c r="AP792" i="2"/>
  <c r="AP803" i="2"/>
  <c r="AR801" i="2"/>
  <c r="AP793" i="2" l="1"/>
  <c r="AP798" i="2" s="1"/>
  <c r="AP794" i="2"/>
  <c r="AP781" i="2"/>
  <c r="AR815" i="2"/>
  <c r="AP806" i="2"/>
  <c r="AP805" i="2"/>
  <c r="AP817" i="2"/>
  <c r="AP807" i="2" l="1"/>
  <c r="AP812" i="2" s="1"/>
  <c r="AP808" i="2"/>
  <c r="AP782" i="2"/>
  <c r="AP783" i="2" s="1"/>
  <c r="AP786" i="2" s="1"/>
  <c r="AQ787" i="2" s="1"/>
  <c r="AP795" i="2"/>
  <c r="AP796" i="2" s="1"/>
  <c r="AP797" i="2" s="1"/>
  <c r="AP800" i="2" s="1"/>
  <c r="AQ801" i="2" s="1"/>
  <c r="AP831" i="2"/>
  <c r="AP819" i="2"/>
  <c r="AP820" i="2"/>
  <c r="AR829" i="2"/>
  <c r="AP809" i="2" l="1"/>
  <c r="AP833" i="2"/>
  <c r="AP834" i="2"/>
  <c r="AR843" i="2"/>
  <c r="AP845" i="2"/>
  <c r="AP821" i="2"/>
  <c r="AP826" i="2" s="1"/>
  <c r="AP822" i="2"/>
  <c r="AP810" i="2" l="1"/>
  <c r="AP811" i="2" s="1"/>
  <c r="AP814" i="2" s="1"/>
  <c r="AQ815" i="2" s="1"/>
  <c r="AP836" i="2"/>
  <c r="AP835" i="2"/>
  <c r="AP840" i="2" s="1"/>
  <c r="AR857" i="2"/>
  <c r="AP859" i="2"/>
  <c r="AP848" i="2"/>
  <c r="AP847" i="2"/>
  <c r="AP823" i="2"/>
  <c r="AP824" i="2" s="1"/>
  <c r="AP825" i="2" s="1"/>
  <c r="AP828" i="2" s="1"/>
  <c r="AQ829" i="2" s="1"/>
  <c r="AP873" i="2" l="1"/>
  <c r="AR871" i="2"/>
  <c r="AP862" i="2"/>
  <c r="AP861" i="2"/>
  <c r="AP837" i="2"/>
  <c r="AP838" i="2" s="1"/>
  <c r="AP839" i="2" s="1"/>
  <c r="AP842" i="2" s="1"/>
  <c r="AQ843" i="2" s="1"/>
  <c r="AP850" i="2"/>
  <c r="AP849" i="2"/>
  <c r="AP854" i="2" s="1"/>
  <c r="AR885" i="2" l="1"/>
  <c r="AP887" i="2"/>
  <c r="AP876" i="2"/>
  <c r="AP875" i="2"/>
  <c r="AP851" i="2"/>
  <c r="AP852" i="2" s="1"/>
  <c r="AP853" i="2" s="1"/>
  <c r="AP856" i="2" s="1"/>
  <c r="AQ857" i="2" s="1"/>
  <c r="AP863" i="2"/>
  <c r="AP868" i="2" s="1"/>
  <c r="AP864" i="2"/>
  <c r="AP865" i="2" l="1"/>
  <c r="AP866" i="2" s="1"/>
  <c r="AP867" i="2" s="1"/>
  <c r="AP870" i="2" s="1"/>
  <c r="AQ871" i="2" s="1"/>
  <c r="AP889" i="2"/>
  <c r="AP901" i="2"/>
  <c r="AP890" i="2"/>
  <c r="AR899" i="2"/>
  <c r="AP877" i="2"/>
  <c r="AP882" i="2" s="1"/>
  <c r="AP878" i="2"/>
  <c r="AP891" i="2" l="1"/>
  <c r="AP896" i="2" s="1"/>
  <c r="AP892" i="2"/>
  <c r="AP879" i="2"/>
  <c r="AP880" i="2" s="1"/>
  <c r="AP881" i="2" s="1"/>
  <c r="AP884" i="2" s="1"/>
  <c r="AQ885" i="2" s="1"/>
  <c r="AP903" i="2"/>
  <c r="AP915" i="2"/>
  <c r="AR913" i="2"/>
  <c r="AP904" i="2"/>
  <c r="AP905" i="2" l="1"/>
  <c r="AP910" i="2" s="1"/>
  <c r="AP906" i="2"/>
  <c r="AP929" i="2"/>
  <c r="AR927" i="2"/>
  <c r="AP918" i="2"/>
  <c r="AP917" i="2"/>
  <c r="AP893" i="2"/>
  <c r="AP907" i="2" l="1"/>
  <c r="AP932" i="2"/>
  <c r="AP943" i="2"/>
  <c r="AR941" i="2"/>
  <c r="AP931" i="2"/>
  <c r="AP919" i="2"/>
  <c r="AP924" i="2" s="1"/>
  <c r="AP920" i="2"/>
  <c r="AP894" i="2"/>
  <c r="AP895" i="2" s="1"/>
  <c r="AP898" i="2" s="1"/>
  <c r="AQ899" i="2" s="1"/>
  <c r="AP933" i="2" l="1"/>
  <c r="AP938" i="2" s="1"/>
  <c r="AP934" i="2"/>
  <c r="AP908" i="2"/>
  <c r="AP909" i="2" s="1"/>
  <c r="AP912" i="2" s="1"/>
  <c r="AQ913" i="2" s="1"/>
  <c r="AP921" i="2"/>
  <c r="AP946" i="2"/>
  <c r="AP957" i="2"/>
  <c r="AR955" i="2"/>
  <c r="AP945" i="2"/>
  <c r="AP947" i="2" l="1"/>
  <c r="AP952" i="2" s="1"/>
  <c r="AP948" i="2"/>
  <c r="AP971" i="2"/>
  <c r="AP960" i="2"/>
  <c r="AR969" i="2"/>
  <c r="AP959" i="2"/>
  <c r="AP922" i="2"/>
  <c r="AP923" i="2" s="1"/>
  <c r="AP926" i="2" s="1"/>
  <c r="AQ927" i="2" s="1"/>
  <c r="AP935" i="2"/>
  <c r="AP936" i="2" s="1"/>
  <c r="AP937" i="2" s="1"/>
  <c r="AP940" i="2" s="1"/>
  <c r="AQ941" i="2" s="1"/>
  <c r="AR983" i="2" l="1"/>
  <c r="AP973" i="2"/>
  <c r="AP974" i="2"/>
  <c r="AP985" i="2"/>
  <c r="AP961" i="2"/>
  <c r="AP966" i="2" s="1"/>
  <c r="AP962" i="2"/>
  <c r="AP949" i="2"/>
  <c r="AP950" i="2" s="1"/>
  <c r="AP951" i="2" s="1"/>
  <c r="AP954" i="2" s="1"/>
  <c r="AQ955" i="2" s="1"/>
  <c r="AP963" i="2" l="1"/>
  <c r="AP975" i="2"/>
  <c r="AP980" i="2" s="1"/>
  <c r="AP976" i="2"/>
  <c r="AR997" i="2"/>
  <c r="AP987" i="2"/>
  <c r="AP988" i="2"/>
  <c r="AP999" i="2"/>
  <c r="AP964" i="2" l="1"/>
  <c r="AP965" i="2" s="1"/>
  <c r="AP968" i="2" s="1"/>
  <c r="AQ969" i="2" s="1"/>
  <c r="AP989" i="2"/>
  <c r="AP994" i="2" s="1"/>
  <c r="AP990" i="2"/>
  <c r="AP1001" i="2"/>
  <c r="AP1013" i="2"/>
  <c r="AP1002" i="2"/>
  <c r="AR1011" i="2"/>
  <c r="AP977" i="2"/>
  <c r="AP1016" i="2" l="1"/>
  <c r="AP1027" i="2"/>
  <c r="AR1025" i="2"/>
  <c r="AP1015" i="2"/>
  <c r="AP978" i="2"/>
  <c r="AP979" i="2" s="1"/>
  <c r="AP982" i="2" s="1"/>
  <c r="AQ983" i="2" s="1"/>
  <c r="AP1004" i="2"/>
  <c r="AP1003" i="2"/>
  <c r="AP1008" i="2" s="1"/>
  <c r="AP991" i="2"/>
  <c r="AR1039" i="2" l="1"/>
  <c r="AP1030" i="2"/>
  <c r="AP1029" i="2"/>
  <c r="AP1041" i="2"/>
  <c r="AP992" i="2"/>
  <c r="AP993" i="2" s="1"/>
  <c r="AP996" i="2" s="1"/>
  <c r="AQ997" i="2" s="1"/>
  <c r="AP1005" i="2"/>
  <c r="AP1006" i="2" s="1"/>
  <c r="AP1007" i="2" s="1"/>
  <c r="AP1010" i="2" s="1"/>
  <c r="AQ1011" i="2" s="1"/>
  <c r="AP1018" i="2"/>
  <c r="AP1017" i="2"/>
  <c r="AP1022" i="2" s="1"/>
  <c r="AP1019" i="2" l="1"/>
  <c r="AP1020" i="2" s="1"/>
  <c r="AP1021" i="2" s="1"/>
  <c r="AP1024" i="2" s="1"/>
  <c r="AQ1025" i="2" s="1"/>
  <c r="AP1032" i="2"/>
  <c r="AP1031" i="2"/>
  <c r="AP1036" i="2" s="1"/>
  <c r="AP1044" i="2"/>
  <c r="AP1043" i="2"/>
  <c r="AP1055" i="2"/>
  <c r="AR1053" i="2"/>
  <c r="AP1057" i="2" l="1"/>
  <c r="AR1067" i="2"/>
  <c r="AP1058" i="2"/>
  <c r="AP1069" i="2"/>
  <c r="AP1033" i="2"/>
  <c r="AP1034" i="2" s="1"/>
  <c r="AP1035" i="2" s="1"/>
  <c r="AP1038" i="2" s="1"/>
  <c r="AQ1039" i="2" s="1"/>
  <c r="AP1046" i="2"/>
  <c r="AP1045" i="2"/>
  <c r="AP1050" i="2" s="1"/>
  <c r="AP1059" i="2" l="1"/>
  <c r="AP1064" i="2" s="1"/>
  <c r="AP1060" i="2"/>
  <c r="AP1047" i="2"/>
  <c r="AP1048" i="2" s="1"/>
  <c r="AP1049" i="2" s="1"/>
  <c r="AP1052" i="2" s="1"/>
  <c r="AQ1053" i="2" s="1"/>
  <c r="AP1072" i="2"/>
  <c r="AP1071" i="2"/>
  <c r="AP1083" i="2"/>
  <c r="AR1081" i="2"/>
  <c r="AP1073" i="2" l="1"/>
  <c r="AP1078" i="2" s="1"/>
  <c r="AP1074" i="2"/>
  <c r="AP1061" i="2"/>
  <c r="AP1062" i="2" s="1"/>
  <c r="AP1063" i="2" s="1"/>
  <c r="AP1066" i="2" s="1"/>
  <c r="AQ1067" i="2" s="1"/>
  <c r="AR1095" i="2"/>
  <c r="AP1086" i="2"/>
  <c r="AP1085" i="2"/>
  <c r="AP1097" i="2"/>
  <c r="AP1075" i="2" l="1"/>
  <c r="AP1076" i="2" s="1"/>
  <c r="AP1077" i="2" s="1"/>
  <c r="AP1080" i="2" s="1"/>
  <c r="AQ1081" i="2" s="1"/>
  <c r="AP1088" i="2"/>
  <c r="AP1087" i="2"/>
  <c r="AP1092" i="2" s="1"/>
  <c r="AP1100" i="2"/>
  <c r="AP1111" i="2"/>
  <c r="AP1099" i="2"/>
  <c r="AR1109" i="2"/>
  <c r="AP1113" i="2" l="1"/>
  <c r="AP1125" i="2"/>
  <c r="AP1114" i="2"/>
  <c r="AR1123" i="2"/>
  <c r="AP1102" i="2"/>
  <c r="AP1101" i="2"/>
  <c r="AP1106" i="2" s="1"/>
  <c r="AP1089" i="2"/>
  <c r="AP1090" i="2" s="1"/>
  <c r="AP1091" i="2" s="1"/>
  <c r="AP1094" i="2" s="1"/>
  <c r="AQ1095" i="2" s="1"/>
  <c r="AP1103" i="2" l="1"/>
  <c r="AP1104" i="2" s="1"/>
  <c r="AP1105" i="2" s="1"/>
  <c r="AP1108" i="2" s="1"/>
  <c r="AQ1109" i="2" s="1"/>
  <c r="AP1116" i="2"/>
  <c r="AP1115" i="2"/>
  <c r="AP1120" i="2" s="1"/>
  <c r="AR1137" i="2"/>
  <c r="AP1128" i="2"/>
  <c r="AP1127" i="2"/>
  <c r="AP1139" i="2"/>
  <c r="AP1129" i="2" l="1"/>
  <c r="AP1134" i="2" s="1"/>
  <c r="AP1130" i="2"/>
  <c r="AP1117" i="2"/>
  <c r="AP1118" i="2" s="1"/>
  <c r="AP1119" i="2" s="1"/>
  <c r="AP1122" i="2" s="1"/>
  <c r="AQ1123" i="2" s="1"/>
  <c r="AP1141" i="2"/>
  <c r="AP1153" i="2"/>
  <c r="AR1151" i="2"/>
  <c r="AP1142" i="2"/>
  <c r="AP1144" i="2" l="1"/>
  <c r="AP1143" i="2"/>
  <c r="AP1148" i="2" s="1"/>
  <c r="AP1155" i="2"/>
  <c r="AP1167" i="2"/>
  <c r="AP1156" i="2"/>
  <c r="AR1165" i="2"/>
  <c r="AP1131" i="2"/>
  <c r="AP1132" i="2" s="1"/>
  <c r="AP1133" i="2" s="1"/>
  <c r="AP1136" i="2" s="1"/>
  <c r="AQ1137" i="2" s="1"/>
  <c r="AP1145" i="2" l="1"/>
  <c r="AP1158" i="2"/>
  <c r="AP1157" i="2"/>
  <c r="AP1162" i="2" s="1"/>
  <c r="AP1170" i="2"/>
  <c r="AR1179" i="2"/>
  <c r="AP1169" i="2"/>
  <c r="AP1181" i="2"/>
  <c r="AP1146" i="2" l="1"/>
  <c r="AP1147" i="2" s="1"/>
  <c r="AP1150" i="2" s="1"/>
  <c r="AQ1151" i="2" s="1"/>
  <c r="AR1193" i="2"/>
  <c r="AP1183" i="2"/>
  <c r="AP1195" i="2"/>
  <c r="AP1184" i="2"/>
  <c r="AP1172" i="2"/>
  <c r="AP1171" i="2"/>
  <c r="AP1176" i="2" s="1"/>
  <c r="AP1159" i="2"/>
  <c r="AP1160" i="2" s="1"/>
  <c r="AP1161" i="2" s="1"/>
  <c r="AP1164" i="2" s="1"/>
  <c r="AQ1165" i="2" s="1"/>
  <c r="AP1209" i="2" l="1"/>
  <c r="AP1198" i="2"/>
  <c r="AR1207" i="2"/>
  <c r="AP1197" i="2"/>
  <c r="AP1173" i="2"/>
  <c r="AP1186" i="2"/>
  <c r="AP1185" i="2"/>
  <c r="AP1190" i="2" s="1"/>
  <c r="AP1223" i="2" l="1"/>
  <c r="AP1211" i="2"/>
  <c r="AP1212" i="2"/>
  <c r="AR1221" i="2"/>
  <c r="AP1174" i="2"/>
  <c r="AP1175" i="2" s="1"/>
  <c r="AP1178" i="2" s="1"/>
  <c r="AQ1179" i="2" s="1"/>
  <c r="AP1187" i="2"/>
  <c r="AP1199" i="2"/>
  <c r="AP1204" i="2" s="1"/>
  <c r="AP1200" i="2"/>
  <c r="AR1235" i="2" l="1"/>
  <c r="AP1225" i="2"/>
  <c r="AP1237" i="2"/>
  <c r="AP1226" i="2"/>
  <c r="AP1201" i="2"/>
  <c r="AP1202" i="2" s="1"/>
  <c r="AP1203" i="2" s="1"/>
  <c r="AP1206" i="2" s="1"/>
  <c r="AQ1207" i="2" s="1"/>
  <c r="AP1214" i="2"/>
  <c r="AP1213" i="2"/>
  <c r="AP1218" i="2" s="1"/>
  <c r="AP1188" i="2"/>
  <c r="AP1189" i="2" s="1"/>
  <c r="AP1192" i="2" s="1"/>
  <c r="AQ1193" i="2" s="1"/>
  <c r="AP1239" i="2" l="1"/>
  <c r="AR1249" i="2"/>
  <c r="AP1251" i="2"/>
  <c r="AP1240" i="2"/>
  <c r="AP1227" i="2"/>
  <c r="AP1232" i="2" s="1"/>
  <c r="AP1228" i="2"/>
  <c r="AP1215" i="2"/>
  <c r="AP1216" i="2" s="1"/>
  <c r="AP1217" i="2" s="1"/>
  <c r="AP1220" i="2" s="1"/>
  <c r="AQ1221" i="2" s="1"/>
  <c r="AP1242" i="2" l="1"/>
  <c r="AP1241" i="2"/>
  <c r="AP1246" i="2" s="1"/>
  <c r="AP1265" i="2"/>
  <c r="AR1263" i="2"/>
  <c r="AP1254" i="2"/>
  <c r="AP1253" i="2"/>
  <c r="AP1229" i="2"/>
  <c r="AP1243" i="2" l="1"/>
  <c r="AP1230" i="2"/>
  <c r="AP1231" i="2" s="1"/>
  <c r="AP1234" i="2" s="1"/>
  <c r="AQ1235" i="2" s="1"/>
  <c r="AP1279" i="2"/>
  <c r="AP1268" i="2"/>
  <c r="AP1267" i="2"/>
  <c r="AR1277" i="2"/>
  <c r="AP1255" i="2"/>
  <c r="AP1260" i="2" s="1"/>
  <c r="AP1256" i="2"/>
  <c r="AP1281" i="2" l="1"/>
  <c r="AP1293" i="2"/>
  <c r="AP1282" i="2"/>
  <c r="AR1291" i="2"/>
  <c r="AP1257" i="2"/>
  <c r="AP1258" i="2" s="1"/>
  <c r="AP1259" i="2" s="1"/>
  <c r="AP1262" i="2" s="1"/>
  <c r="AQ1263" i="2" s="1"/>
  <c r="AP1244" i="2"/>
  <c r="AP1245" i="2" s="1"/>
  <c r="AP1248" i="2" s="1"/>
  <c r="AQ1249" i="2" s="1"/>
  <c r="AP1269" i="2"/>
  <c r="AP1274" i="2" s="1"/>
  <c r="AP1270" i="2"/>
  <c r="AP1284" i="2" l="1"/>
  <c r="AP1283" i="2"/>
  <c r="AP1288" i="2" s="1"/>
  <c r="AP1295" i="2"/>
  <c r="AP1307" i="2"/>
  <c r="AR1305" i="2"/>
  <c r="AP1296" i="2"/>
  <c r="AP1271" i="2"/>
  <c r="AP1285" i="2" l="1"/>
  <c r="AP1286" i="2" s="1"/>
  <c r="AP1287" i="2" s="1"/>
  <c r="AP1290" i="2" s="1"/>
  <c r="AQ1291" i="2" s="1"/>
  <c r="AP1297" i="2"/>
  <c r="AP1302" i="2" s="1"/>
  <c r="AP1298" i="2"/>
  <c r="AP1272" i="2"/>
  <c r="AP1273" i="2" s="1"/>
  <c r="AP1276" i="2" s="1"/>
  <c r="AQ1277" i="2" s="1"/>
  <c r="AP1310" i="2"/>
  <c r="AP1309" i="2"/>
  <c r="AP1321" i="2"/>
  <c r="AR1319" i="2"/>
  <c r="AP1324" i="2" l="1"/>
  <c r="AR1333" i="2"/>
  <c r="AP1323" i="2"/>
  <c r="AP1335" i="2"/>
  <c r="AP1311" i="2"/>
  <c r="AP1316" i="2" s="1"/>
  <c r="AP1312" i="2"/>
  <c r="AP1299" i="2"/>
  <c r="AP1325" i="2" l="1"/>
  <c r="AP1330" i="2" s="1"/>
  <c r="AP1326" i="2"/>
  <c r="AP1300" i="2"/>
  <c r="AP1301" i="2" s="1"/>
  <c r="AP1304" i="2" s="1"/>
  <c r="AQ1305" i="2" s="1"/>
  <c r="AP1313" i="2"/>
  <c r="AR1347" i="2"/>
  <c r="AP1349" i="2"/>
  <c r="AP1337" i="2"/>
  <c r="AP1338" i="2"/>
  <c r="AP1314" i="2" l="1"/>
  <c r="AP1315" i="2" s="1"/>
  <c r="AP1318" i="2" s="1"/>
  <c r="AQ1319" i="2" s="1"/>
  <c r="AP1327" i="2"/>
  <c r="AP1340" i="2"/>
  <c r="AP1339" i="2"/>
  <c r="AP1344" i="2" s="1"/>
  <c r="AR1361" i="2"/>
  <c r="AP1352" i="2"/>
  <c r="AP1363" i="2"/>
  <c r="AP1351" i="2"/>
  <c r="AP1366" i="2" l="1"/>
  <c r="AP1377" i="2"/>
  <c r="AP1365" i="2"/>
  <c r="AR1375" i="2"/>
  <c r="AP1341" i="2"/>
  <c r="AP1328" i="2"/>
  <c r="AP1329" i="2" s="1"/>
  <c r="AP1332" i="2" s="1"/>
  <c r="AQ1333" i="2" s="1"/>
  <c r="AP1354" i="2"/>
  <c r="AP1353" i="2"/>
  <c r="AP1358" i="2" s="1"/>
  <c r="AP1355" i="2" l="1"/>
  <c r="AP1342" i="2"/>
  <c r="AP1343" i="2" s="1"/>
  <c r="AP1346" i="2" s="1"/>
  <c r="AQ1347" i="2" s="1"/>
  <c r="AP1391" i="2"/>
  <c r="AP1379" i="2"/>
  <c r="AP1380" i="2"/>
  <c r="AR1389" i="2"/>
  <c r="AP1367" i="2"/>
  <c r="AP1372" i="2" s="1"/>
  <c r="AP1368" i="2"/>
  <c r="AP1393" i="2" l="1"/>
  <c r="AR1403" i="2"/>
  <c r="AP1405" i="2"/>
  <c r="AP1394" i="2"/>
  <c r="AP1369" i="2"/>
  <c r="AP1356" i="2"/>
  <c r="AP1357" i="2" s="1"/>
  <c r="AP1360" i="2" s="1"/>
  <c r="AQ1361" i="2" s="1"/>
  <c r="AP1381" i="2"/>
  <c r="AP1386" i="2" s="1"/>
  <c r="AP1382" i="2"/>
  <c r="AP1396" i="2" l="1"/>
  <c r="AP1395" i="2"/>
  <c r="AP1400" i="2" s="1"/>
  <c r="AP1370" i="2"/>
  <c r="AP1371" i="2" s="1"/>
  <c r="AP1374" i="2" s="1"/>
  <c r="AQ1375" i="2" s="1"/>
  <c r="AP1383" i="2"/>
  <c r="AP1419" i="2"/>
  <c r="AR1417" i="2"/>
  <c r="AP1408" i="2"/>
  <c r="AP1407" i="2"/>
  <c r="AP1397" i="2" l="1"/>
  <c r="AP1410" i="2"/>
  <c r="AP1409" i="2"/>
  <c r="AP1414" i="2" s="1"/>
  <c r="AP1384" i="2"/>
  <c r="AP1385" i="2" s="1"/>
  <c r="AP1388" i="2" s="1"/>
  <c r="AQ1389" i="2" s="1"/>
  <c r="AP1433" i="2"/>
  <c r="AP1422" i="2"/>
  <c r="AR1431" i="2"/>
  <c r="AP1421" i="2"/>
  <c r="AP1398" i="2" l="1"/>
  <c r="AP1399" i="2" s="1"/>
  <c r="AP1402" i="2" s="1"/>
  <c r="AQ1403" i="2" s="1"/>
  <c r="AP1423" i="2"/>
  <c r="AP1428" i="2" s="1"/>
  <c r="AP1424" i="2"/>
  <c r="AP1436" i="2"/>
  <c r="AP1447" i="2"/>
  <c r="AR1445" i="2"/>
  <c r="AP1435" i="2"/>
  <c r="AP1411" i="2"/>
  <c r="AP1412" i="2" l="1"/>
  <c r="AP1413" i="2" s="1"/>
  <c r="AP1416" i="2" s="1"/>
  <c r="AQ1417" i="2" s="1"/>
  <c r="AR1459" i="2"/>
  <c r="AP1449" i="2"/>
  <c r="AP1450" i="2"/>
  <c r="AP1461" i="2"/>
  <c r="AP1438" i="2"/>
  <c r="AP1437" i="2"/>
  <c r="AP1442" i="2" s="1"/>
  <c r="AP1425" i="2"/>
  <c r="AP1426" i="2" l="1"/>
  <c r="AP1427" i="2" s="1"/>
  <c r="AP1430" i="2" s="1"/>
  <c r="AQ1431" i="2" s="1"/>
  <c r="AP1463" i="2"/>
  <c r="AR1473" i="2"/>
  <c r="AP1475" i="2"/>
  <c r="AP1464" i="2"/>
  <c r="AP1439" i="2"/>
  <c r="AP1452" i="2"/>
  <c r="AP1451" i="2"/>
  <c r="AP1456" i="2" s="1"/>
  <c r="AP1489" i="2" l="1"/>
  <c r="AP1478" i="2"/>
  <c r="AP1477" i="2"/>
  <c r="AR1487" i="2"/>
  <c r="AP1453" i="2"/>
  <c r="AP1466" i="2"/>
  <c r="AP1465" i="2"/>
  <c r="AP1470" i="2" s="1"/>
  <c r="AP1440" i="2"/>
  <c r="AP1441" i="2" s="1"/>
  <c r="AP1444" i="2" s="1"/>
  <c r="AQ1445" i="2" s="1"/>
  <c r="AP1454" i="2" l="1"/>
  <c r="AP1455" i="2" s="1"/>
  <c r="AP1458" i="2" s="1"/>
  <c r="AQ1459" i="2" s="1"/>
  <c r="AP1492" i="2"/>
  <c r="AP1491" i="2"/>
  <c r="AR1501" i="2"/>
  <c r="AP1503" i="2"/>
  <c r="AP1467" i="2"/>
  <c r="AP1479" i="2"/>
  <c r="AP1484" i="2" s="1"/>
  <c r="AP1480" i="2"/>
  <c r="AR1515" i="2" l="1"/>
  <c r="AP1505" i="2"/>
  <c r="AP1506" i="2"/>
  <c r="AP1517" i="2"/>
  <c r="AP1481" i="2"/>
  <c r="AP1468" i="2"/>
  <c r="AP1469" i="2" s="1"/>
  <c r="AP1472" i="2" s="1"/>
  <c r="AQ1473" i="2" s="1"/>
  <c r="AP1493" i="2"/>
  <c r="AP1498" i="2" s="1"/>
  <c r="AP1494" i="2"/>
  <c r="AP1508" i="2" l="1"/>
  <c r="AP1507" i="2"/>
  <c r="AP1512" i="2" s="1"/>
  <c r="AP1495" i="2"/>
  <c r="AP1482" i="2"/>
  <c r="AP1483" i="2" s="1"/>
  <c r="AP1486" i="2" s="1"/>
  <c r="AQ1487" i="2" s="1"/>
  <c r="AP1520" i="2"/>
  <c r="AR1529" i="2"/>
  <c r="AP1519" i="2"/>
  <c r="AP1531" i="2"/>
  <c r="AP1509" i="2" l="1"/>
  <c r="AP1534" i="2"/>
  <c r="AP1545" i="2"/>
  <c r="AR1543" i="2"/>
  <c r="AP1533" i="2"/>
  <c r="AP1496" i="2"/>
  <c r="AP1497" i="2" s="1"/>
  <c r="AP1500" i="2" s="1"/>
  <c r="AQ1501" i="2" s="1"/>
  <c r="AP1522" i="2"/>
  <c r="AP1521" i="2"/>
  <c r="AP1526" i="2" s="1"/>
  <c r="AP1510" i="2" l="1"/>
  <c r="AP1511" i="2" s="1"/>
  <c r="AP1514" i="2" s="1"/>
  <c r="AQ1515" i="2" s="1"/>
  <c r="AP1523" i="2"/>
  <c r="AP1535" i="2"/>
  <c r="AP1540" i="2" s="1"/>
  <c r="AP1536" i="2"/>
  <c r="AP1547" i="2"/>
  <c r="AP1559" i="2"/>
  <c r="AP1548" i="2"/>
  <c r="AR1557" i="2"/>
  <c r="AR1571" i="2" l="1"/>
  <c r="AP1561" i="2"/>
  <c r="AP1573" i="2"/>
  <c r="AP1562" i="2"/>
  <c r="AP1537" i="2"/>
  <c r="AP1550" i="2"/>
  <c r="AP1549" i="2"/>
  <c r="AP1554" i="2" s="1"/>
  <c r="AP1524" i="2"/>
  <c r="AP1525" i="2" s="1"/>
  <c r="AP1528" i="2" s="1"/>
  <c r="AQ1529" i="2" s="1"/>
  <c r="AP1564" i="2" l="1"/>
  <c r="AP1563" i="2"/>
  <c r="AP1568" i="2" s="1"/>
  <c r="AP1576" i="2"/>
  <c r="AP1575" i="2"/>
  <c r="AP1587" i="2"/>
  <c r="AR1585" i="2"/>
  <c r="AP1538" i="2"/>
  <c r="AP1539" i="2" s="1"/>
  <c r="AP1542" i="2" s="1"/>
  <c r="AQ1543" i="2" s="1"/>
  <c r="AP1551" i="2"/>
  <c r="AR1599" i="2" l="1"/>
  <c r="AP1589" i="2"/>
  <c r="AP1590" i="2"/>
  <c r="AP1601" i="2"/>
  <c r="AP1565" i="2"/>
  <c r="AP1552" i="2"/>
  <c r="AP1553" i="2" s="1"/>
  <c r="AP1556" i="2" s="1"/>
  <c r="AQ1557" i="2" s="1"/>
  <c r="AP1577" i="2"/>
  <c r="AP1582" i="2" s="1"/>
  <c r="AP1578" i="2"/>
  <c r="AP1566" i="2" l="1"/>
  <c r="AP1567" i="2" s="1"/>
  <c r="AP1570" i="2" s="1"/>
  <c r="AQ1571" i="2" s="1"/>
  <c r="AP1592" i="2"/>
  <c r="AP1591" i="2"/>
  <c r="AP1596" i="2" s="1"/>
  <c r="AP1579" i="2"/>
  <c r="AP1604" i="2"/>
  <c r="AP1615" i="2"/>
  <c r="AP1603" i="2"/>
  <c r="AR1613" i="2"/>
  <c r="AP1606" i="2" l="1"/>
  <c r="AP1605" i="2"/>
  <c r="AP1610" i="2" s="1"/>
  <c r="AP1580" i="2"/>
  <c r="AP1581" i="2" s="1"/>
  <c r="AP1584" i="2" s="1"/>
  <c r="AQ1585" i="2" s="1"/>
  <c r="AP1593" i="2"/>
  <c r="AR1627" i="2"/>
  <c r="AP1618" i="2"/>
  <c r="AP1629" i="2"/>
  <c r="AP1617" i="2"/>
  <c r="AP1643" i="2" l="1"/>
  <c r="AP1632" i="2"/>
  <c r="AR1641" i="2"/>
  <c r="AP1631" i="2"/>
  <c r="AP1607" i="2"/>
  <c r="AP1620" i="2"/>
  <c r="AP1619" i="2"/>
  <c r="AP1624" i="2" s="1"/>
  <c r="AP1594" i="2"/>
  <c r="AP1595" i="2" s="1"/>
  <c r="AP1598" i="2" s="1"/>
  <c r="AQ1599" i="2" s="1"/>
  <c r="AP1608" i="2" l="1"/>
  <c r="AP1609" i="2" s="1"/>
  <c r="AP1612" i="2" s="1"/>
  <c r="AQ1613" i="2" s="1"/>
  <c r="AR1655" i="2"/>
  <c r="AP1657" i="2"/>
  <c r="AP1645" i="2"/>
  <c r="AP1646" i="2"/>
  <c r="AP1621" i="2"/>
  <c r="AP1634" i="2"/>
  <c r="AP1633" i="2"/>
  <c r="AP1638" i="2" s="1"/>
  <c r="AP1635" i="2" l="1"/>
  <c r="AP1647" i="2"/>
  <c r="AP1652" i="2" s="1"/>
  <c r="AP1648" i="2"/>
  <c r="AP1622" i="2"/>
  <c r="AP1623" i="2" s="1"/>
  <c r="AP1626" i="2" s="1"/>
  <c r="AQ1627" i="2" s="1"/>
  <c r="AP1660" i="2"/>
  <c r="AP1671" i="2"/>
  <c r="AP1659" i="2"/>
  <c r="AR1669" i="2"/>
  <c r="AP1661" i="2" l="1"/>
  <c r="AP1666" i="2" s="1"/>
  <c r="AP1662" i="2"/>
  <c r="AP1636" i="2"/>
  <c r="AP1637" i="2" s="1"/>
  <c r="AP1640" i="2" s="1"/>
  <c r="AQ1641" i="2" s="1"/>
  <c r="AP1685" i="2"/>
  <c r="AR1683" i="2"/>
  <c r="AP1674" i="2"/>
  <c r="AP1673" i="2"/>
  <c r="AP1649" i="2"/>
  <c r="AP1663" i="2" l="1"/>
  <c r="AR1697" i="2"/>
  <c r="AP1699" i="2"/>
  <c r="AP1687" i="2"/>
  <c r="AP1688" i="2"/>
  <c r="AP1650" i="2"/>
  <c r="AP1651" i="2" s="1"/>
  <c r="AP1654" i="2" s="1"/>
  <c r="AQ1655" i="2" s="1"/>
  <c r="AP1676" i="2"/>
  <c r="AP1675" i="2"/>
  <c r="AP1680" i="2" s="1"/>
  <c r="AP1689" i="2" l="1"/>
  <c r="AP1694" i="2" s="1"/>
  <c r="AP1690" i="2"/>
  <c r="AP1664" i="2"/>
  <c r="AP1665" i="2" s="1"/>
  <c r="AP1668" i="2" s="1"/>
  <c r="AQ1669" i="2" s="1"/>
  <c r="AP1677" i="2"/>
  <c r="AP1702" i="2"/>
  <c r="AR1711" i="2"/>
  <c r="AP1701" i="2"/>
  <c r="AP1713" i="2"/>
  <c r="AP1703" i="2" l="1"/>
  <c r="AP1708" i="2" s="1"/>
  <c r="AP1704" i="2"/>
  <c r="AP1678" i="2"/>
  <c r="AP1679" i="2" s="1"/>
  <c r="AP1682" i="2" s="1"/>
  <c r="AQ1683" i="2" s="1"/>
  <c r="AP1691" i="2"/>
  <c r="AP1716" i="2"/>
  <c r="AR1725" i="2"/>
  <c r="AP1727" i="2"/>
  <c r="AP1715" i="2"/>
  <c r="AP1717" i="2" l="1"/>
  <c r="AP1722" i="2" s="1"/>
  <c r="AP1718" i="2"/>
  <c r="AP1692" i="2"/>
  <c r="AP1693" i="2" s="1"/>
  <c r="AP1696" i="2" s="1"/>
  <c r="AQ1697" i="2" s="1"/>
  <c r="AP1705" i="2"/>
  <c r="AP1741" i="2"/>
  <c r="AR1739" i="2"/>
  <c r="AP1729" i="2"/>
  <c r="AP1730" i="2"/>
  <c r="AP1706" i="2" l="1"/>
  <c r="AP1707" i="2" s="1"/>
  <c r="AP1710" i="2" s="1"/>
  <c r="AQ1711" i="2" s="1"/>
  <c r="AP1719" i="2"/>
  <c r="AP1732" i="2"/>
  <c r="AP1731" i="2"/>
  <c r="AP1736" i="2" s="1"/>
  <c r="AR1753" i="2"/>
  <c r="AP1743" i="2"/>
  <c r="AP1744" i="2"/>
  <c r="AP1755" i="2"/>
  <c r="AP1758" i="2" l="1"/>
  <c r="AP1757" i="2"/>
  <c r="AP1769" i="2"/>
  <c r="AR1767" i="2"/>
  <c r="AP1733" i="2"/>
  <c r="AP1720" i="2"/>
  <c r="AP1721" i="2" s="1"/>
  <c r="AP1724" i="2" s="1"/>
  <c r="AQ1725" i="2" s="1"/>
  <c r="AP1745" i="2"/>
  <c r="AP1750" i="2" s="1"/>
  <c r="AP1746" i="2"/>
  <c r="AP1759" i="2" l="1"/>
  <c r="AP1764" i="2" s="1"/>
  <c r="AP1760" i="2"/>
  <c r="AP1734" i="2"/>
  <c r="AP1735" i="2" s="1"/>
  <c r="AP1738" i="2" s="1"/>
  <c r="AQ1739" i="2" s="1"/>
  <c r="AP1747" i="2"/>
  <c r="AP1771" i="2"/>
  <c r="AP1772" i="2"/>
  <c r="AR1781" i="2"/>
  <c r="AP1783" i="2"/>
  <c r="AP1785" i="2" l="1"/>
  <c r="AP1797" i="2"/>
  <c r="AR1795" i="2"/>
  <c r="AP1786" i="2"/>
  <c r="AP1748" i="2"/>
  <c r="AP1749" i="2" s="1"/>
  <c r="AP1752" i="2" s="1"/>
  <c r="AQ1753" i="2" s="1"/>
  <c r="AP1761" i="2"/>
  <c r="AP1773" i="2"/>
  <c r="AP1778" i="2" s="1"/>
  <c r="AP1774" i="2"/>
  <c r="AP1788" i="2" l="1"/>
  <c r="AP1787" i="2"/>
  <c r="AP1792" i="2" s="1"/>
  <c r="AP1811" i="2"/>
  <c r="AP1800" i="2"/>
  <c r="AR1809" i="2"/>
  <c r="AP1799" i="2"/>
  <c r="AP1775" i="2"/>
  <c r="AP1762" i="2"/>
  <c r="AP1763" i="2" s="1"/>
  <c r="AP1766" i="2" s="1"/>
  <c r="AQ1767" i="2" s="1"/>
  <c r="AP1789" i="2" l="1"/>
  <c r="AP1776" i="2"/>
  <c r="AP1777" i="2" s="1"/>
  <c r="AP1780" i="2" s="1"/>
  <c r="AQ1781" i="2" s="1"/>
  <c r="AP1813" i="2"/>
  <c r="AP1814" i="2"/>
  <c r="AR1823" i="2"/>
  <c r="AP1825" i="2"/>
  <c r="AP1801" i="2"/>
  <c r="AP1806" i="2" s="1"/>
  <c r="AP1802" i="2"/>
  <c r="AP1815" i="2" l="1"/>
  <c r="AP1820" i="2" s="1"/>
  <c r="AP1816" i="2"/>
  <c r="AP1790" i="2"/>
  <c r="AP1791" i="2" s="1"/>
  <c r="AP1794" i="2" s="1"/>
  <c r="AQ1795" i="2" s="1"/>
  <c r="AP1803" i="2"/>
  <c r="AP1827" i="2"/>
  <c r="AR1837" i="2"/>
  <c r="AP1828" i="2"/>
  <c r="AP1839" i="2"/>
  <c r="AP1804" i="2" l="1"/>
  <c r="AP1805" i="2" s="1"/>
  <c r="AP1808" i="2" s="1"/>
  <c r="AQ1809" i="2" s="1"/>
  <c r="AP1817" i="2"/>
  <c r="AP1841" i="2"/>
  <c r="AP1853" i="2"/>
  <c r="AP1842" i="2"/>
  <c r="AR1851" i="2"/>
  <c r="AP1829" i="2"/>
  <c r="AP1834" i="2" s="1"/>
  <c r="AP1830" i="2"/>
  <c r="AR1865" i="2" l="1"/>
  <c r="AP1856" i="2"/>
  <c r="AP1855" i="2"/>
  <c r="AP1867" i="2"/>
  <c r="AP1844" i="2"/>
  <c r="AP1843" i="2"/>
  <c r="AP1848" i="2" s="1"/>
  <c r="AP1831" i="2"/>
  <c r="AP1818" i="2"/>
  <c r="AP1819" i="2" s="1"/>
  <c r="AP1822" i="2" s="1"/>
  <c r="AQ1823" i="2" s="1"/>
  <c r="AP1845" i="2" l="1"/>
  <c r="AP1857" i="2"/>
  <c r="AP1862" i="2" s="1"/>
  <c r="AP1858" i="2"/>
  <c r="AP1832" i="2"/>
  <c r="AP1833" i="2" s="1"/>
  <c r="AP1836" i="2" s="1"/>
  <c r="AQ1837" i="2" s="1"/>
  <c r="AP1869" i="2"/>
  <c r="AP1881" i="2"/>
  <c r="AR1879" i="2"/>
  <c r="AP1870" i="2"/>
  <c r="AP1846" i="2" l="1"/>
  <c r="AP1847" i="2" s="1"/>
  <c r="AP1850" i="2" s="1"/>
  <c r="AQ1851" i="2" s="1"/>
  <c r="AP1872" i="2"/>
  <c r="AP1871" i="2"/>
  <c r="AP1876" i="2" s="1"/>
  <c r="AP1883" i="2"/>
  <c r="AP1884" i="2"/>
  <c r="AR1893" i="2"/>
  <c r="AP1895" i="2"/>
  <c r="AP1859" i="2"/>
  <c r="AP1860" i="2" l="1"/>
  <c r="AP1861" i="2" s="1"/>
  <c r="AP1864" i="2" s="1"/>
  <c r="AQ1865" i="2" s="1"/>
  <c r="AP1886" i="2"/>
  <c r="AP1885" i="2"/>
  <c r="AP1890" i="2" s="1"/>
  <c r="AP1873" i="2"/>
  <c r="AP1898" i="2"/>
  <c r="AP1909" i="2"/>
  <c r="AR1907" i="2"/>
  <c r="AP1897" i="2"/>
  <c r="AP1874" i="2" l="1"/>
  <c r="AP1875" i="2" s="1"/>
  <c r="AP1878" i="2" s="1"/>
  <c r="AQ1879" i="2" s="1"/>
  <c r="AP1900" i="2"/>
  <c r="AP1899" i="2"/>
  <c r="AP1904" i="2" s="1"/>
  <c r="AP1887" i="2"/>
  <c r="AP1923" i="2"/>
  <c r="AP1912" i="2"/>
  <c r="AR1921" i="2"/>
  <c r="AP1911" i="2"/>
  <c r="AP1888" i="2" l="1"/>
  <c r="AP1889" i="2" s="1"/>
  <c r="AP1892" i="2" s="1"/>
  <c r="AQ1893" i="2" s="1"/>
  <c r="AP1914" i="2"/>
  <c r="AP1913" i="2"/>
  <c r="AP1918" i="2" s="1"/>
  <c r="AR1935" i="2"/>
  <c r="AP1926" i="2"/>
  <c r="AP1925" i="2"/>
  <c r="AP1937" i="2"/>
  <c r="AP1901" i="2"/>
  <c r="AP1939" i="2" l="1"/>
  <c r="AP1940" i="2"/>
  <c r="AR1949" i="2"/>
  <c r="AP1951" i="2"/>
  <c r="AP1902" i="2"/>
  <c r="AP1903" i="2" s="1"/>
  <c r="AP1906" i="2" s="1"/>
  <c r="AQ1907" i="2" s="1"/>
  <c r="AP1927" i="2"/>
  <c r="AP1932" i="2" s="1"/>
  <c r="AP1928" i="2"/>
  <c r="AP1915" i="2"/>
  <c r="AP1941" i="2" l="1"/>
  <c r="AP1946" i="2" s="1"/>
  <c r="AP1942" i="2"/>
  <c r="AP1916" i="2"/>
  <c r="AP1917" i="2" s="1"/>
  <c r="AP1920" i="2" s="1"/>
  <c r="AQ1921" i="2" s="1"/>
  <c r="AP1929" i="2"/>
  <c r="AP1953" i="2"/>
  <c r="AP1965" i="2"/>
  <c r="AP1954" i="2"/>
  <c r="AR1963" i="2"/>
  <c r="AP1930" i="2" l="1"/>
  <c r="AP1931" i="2" s="1"/>
  <c r="AP1934" i="2" s="1"/>
  <c r="AQ1935" i="2" s="1"/>
  <c r="AP1943" i="2"/>
  <c r="AP1956" i="2"/>
  <c r="AP1955" i="2"/>
  <c r="AP1960" i="2" s="1"/>
  <c r="AR1977" i="2"/>
  <c r="AP1979" i="2"/>
  <c r="AP1967" i="2"/>
  <c r="AP1968" i="2"/>
  <c r="AP1969" i="2" l="1"/>
  <c r="AP1974" i="2" s="1"/>
  <c r="AP1970" i="2"/>
  <c r="AP1957" i="2"/>
  <c r="AP1944" i="2"/>
  <c r="AP1945" i="2" s="1"/>
  <c r="AP1948" i="2" s="1"/>
  <c r="AQ1949" i="2" s="1"/>
  <c r="AP1982" i="2"/>
  <c r="AP1981" i="2"/>
  <c r="AR1991" i="2"/>
  <c r="AP1993" i="2"/>
  <c r="AP1996" i="2" l="1"/>
  <c r="AP2007" i="2"/>
  <c r="AP1995" i="2"/>
  <c r="AR2005" i="2"/>
  <c r="AP1971" i="2"/>
  <c r="AP1958" i="2"/>
  <c r="AP1959" i="2" s="1"/>
  <c r="AP1962" i="2" s="1"/>
  <c r="AQ1963" i="2" s="1"/>
  <c r="AP1983" i="2"/>
  <c r="AP1988" i="2" s="1"/>
  <c r="AP1984" i="2"/>
  <c r="AP2021" i="2" l="1"/>
  <c r="AP2009" i="2"/>
  <c r="AP2010" i="2"/>
  <c r="AR2019" i="2"/>
  <c r="AP1985" i="2"/>
  <c r="AP1972" i="2"/>
  <c r="AP1973" i="2" s="1"/>
  <c r="AP1976" i="2" s="1"/>
  <c r="AQ1977" i="2" s="1"/>
  <c r="AP1997" i="2"/>
  <c r="AP2002" i="2" s="1"/>
  <c r="AP1998" i="2"/>
  <c r="AR2033" i="2" l="1"/>
  <c r="AP2023" i="2"/>
  <c r="AP2035" i="2"/>
  <c r="AP2024" i="2"/>
  <c r="AP2012" i="2"/>
  <c r="AP2011" i="2"/>
  <c r="AP2016" i="2" s="1"/>
  <c r="AP1999" i="2"/>
  <c r="AP1986" i="2"/>
  <c r="AP1987" i="2" s="1"/>
  <c r="AP1990" i="2" s="1"/>
  <c r="AQ1991" i="2" s="1"/>
  <c r="AP2013" i="2" l="1"/>
  <c r="AP2025" i="2"/>
  <c r="AP2030" i="2" s="1"/>
  <c r="AP2026" i="2"/>
  <c r="AP2038" i="2"/>
  <c r="AR2047" i="2"/>
  <c r="AP2037" i="2"/>
  <c r="AP2049" i="2"/>
  <c r="AP2000" i="2"/>
  <c r="AP2001" i="2" s="1"/>
  <c r="AP2004" i="2" s="1"/>
  <c r="AQ2005" i="2" s="1"/>
  <c r="AP2014" i="2" l="1"/>
  <c r="AP2015" i="2" s="1"/>
  <c r="AP2018" i="2" s="1"/>
  <c r="AQ2019" i="2" s="1"/>
  <c r="AP2039" i="2"/>
  <c r="AP2044" i="2" s="1"/>
  <c r="AP2040" i="2"/>
  <c r="AP2051" i="2"/>
  <c r="AR2061" i="2"/>
  <c r="AP2052" i="2"/>
  <c r="AP2063" i="2"/>
  <c r="AP2027" i="2"/>
  <c r="AP2053" i="2" l="1"/>
  <c r="AP2058" i="2" s="1"/>
  <c r="AP2054" i="2"/>
  <c r="AP2028" i="2"/>
  <c r="AP2029" i="2" s="1"/>
  <c r="AP2032" i="2" s="1"/>
  <c r="AQ2033" i="2" s="1"/>
  <c r="AP2065" i="2"/>
  <c r="AP2066" i="2"/>
  <c r="AP2077" i="2"/>
  <c r="AR2075" i="2"/>
  <c r="AP2041" i="2"/>
  <c r="AP2055" i="2" l="1"/>
  <c r="AP2068" i="2"/>
  <c r="AP2067" i="2"/>
  <c r="AP2072" i="2" s="1"/>
  <c r="AP2042" i="2"/>
  <c r="AP2043" i="2" s="1"/>
  <c r="AP2046" i="2" s="1"/>
  <c r="AQ2047" i="2" s="1"/>
  <c r="AR2089" i="2"/>
  <c r="AP2091" i="2"/>
  <c r="AP2079" i="2"/>
  <c r="AP2080" i="2"/>
  <c r="AP2081" i="2" l="1"/>
  <c r="AP2086" i="2" s="1"/>
  <c r="AP2082" i="2"/>
  <c r="AP2056" i="2"/>
  <c r="AP2057" i="2" s="1"/>
  <c r="AP2060" i="2" s="1"/>
  <c r="AQ2061" i="2" s="1"/>
  <c r="AP2069" i="2"/>
  <c r="AP2094" i="2"/>
  <c r="AP2105" i="2"/>
  <c r="AR2103" i="2"/>
  <c r="AP2093" i="2"/>
  <c r="AP2107" i="2" l="1"/>
  <c r="AR2117" i="2"/>
  <c r="AP2108" i="2"/>
  <c r="AP2119" i="2"/>
  <c r="AP2070" i="2"/>
  <c r="AP2071" i="2" s="1"/>
  <c r="AP2074" i="2" s="1"/>
  <c r="AQ2075" i="2" s="1"/>
  <c r="AP2083" i="2"/>
  <c r="AP2095" i="2"/>
  <c r="AP2100" i="2" s="1"/>
  <c r="AP2096" i="2"/>
  <c r="AP2110" i="2" l="1"/>
  <c r="AP2109" i="2"/>
  <c r="AP2114" i="2" s="1"/>
  <c r="AP2097" i="2"/>
  <c r="AP2084" i="2"/>
  <c r="AP2085" i="2" s="1"/>
  <c r="AP2088" i="2" s="1"/>
  <c r="AQ2089" i="2" s="1"/>
  <c r="AP2122" i="2"/>
  <c r="AP2133" i="2"/>
  <c r="AR2131" i="2"/>
  <c r="AP2121" i="2"/>
  <c r="AP2111" i="2" l="1"/>
  <c r="AP2124" i="2"/>
  <c r="AP2123" i="2"/>
  <c r="AP2128" i="2" s="1"/>
  <c r="AP2098" i="2"/>
  <c r="AP2099" i="2" s="1"/>
  <c r="AP2102" i="2" s="1"/>
  <c r="AQ2103" i="2" s="1"/>
  <c r="AP2147" i="2"/>
  <c r="AR2145" i="2"/>
  <c r="AP2136" i="2"/>
  <c r="AP2135" i="2"/>
  <c r="AP2112" i="2" l="1"/>
  <c r="AP2113" i="2" s="1"/>
  <c r="AP2116" i="2" s="1"/>
  <c r="AQ2117" i="2" s="1"/>
  <c r="AP2137" i="2"/>
  <c r="AP2142" i="2" s="1"/>
  <c r="AP2138" i="2"/>
  <c r="AP2150" i="2"/>
  <c r="AP2149" i="2"/>
  <c r="AP2161" i="2"/>
  <c r="AR2159" i="2"/>
  <c r="AP2125" i="2"/>
  <c r="AP2126" i="2" l="1"/>
  <c r="AP2127" i="2" s="1"/>
  <c r="AP2130" i="2" s="1"/>
  <c r="AQ2131" i="2" s="1"/>
  <c r="AP2151" i="2"/>
  <c r="AP2156" i="2" s="1"/>
  <c r="AP2152" i="2"/>
  <c r="AP2163" i="2"/>
  <c r="AP2164" i="2"/>
  <c r="AR2173" i="2"/>
  <c r="AP2175" i="2"/>
  <c r="AP2139" i="2"/>
  <c r="AP2140" i="2" l="1"/>
  <c r="AP2141" i="2" s="1"/>
  <c r="AP2144" i="2" s="1"/>
  <c r="AQ2145" i="2" s="1"/>
  <c r="AP2166" i="2"/>
  <c r="AP2165" i="2"/>
  <c r="AP2170" i="2" s="1"/>
  <c r="AP2178" i="2"/>
  <c r="AP2189" i="2"/>
  <c r="AR2187" i="2"/>
  <c r="AP2177" i="2"/>
  <c r="AP2153" i="2"/>
  <c r="AP2154" i="2" l="1"/>
  <c r="AP2155" i="2" s="1"/>
  <c r="AP2158" i="2" s="1"/>
  <c r="AQ2159" i="2" s="1"/>
  <c r="AP2192" i="2"/>
  <c r="AP2191" i="2"/>
  <c r="AP2203" i="2"/>
  <c r="AR2201" i="2"/>
  <c r="AP2167" i="2"/>
  <c r="AP2180" i="2"/>
  <c r="AP2179" i="2"/>
  <c r="AP2184" i="2" s="1"/>
  <c r="AP2181" i="2" l="1"/>
  <c r="AP2205" i="2"/>
  <c r="AR2215" i="2"/>
  <c r="AP2217" i="2"/>
  <c r="AP2206" i="2"/>
  <c r="AP2168" i="2"/>
  <c r="AP2169" i="2" s="1"/>
  <c r="AP2172" i="2" s="1"/>
  <c r="AQ2173" i="2" s="1"/>
  <c r="AP2193" i="2"/>
  <c r="AP2198" i="2" s="1"/>
  <c r="AP2194" i="2"/>
  <c r="AR2229" i="2" l="1"/>
  <c r="AP2220" i="2"/>
  <c r="AP2231" i="2"/>
  <c r="AP2219" i="2"/>
  <c r="AP2182" i="2"/>
  <c r="AP2183" i="2" s="1"/>
  <c r="AP2186" i="2" s="1"/>
  <c r="AQ2187" i="2" s="1"/>
  <c r="AP2208" i="2"/>
  <c r="AP2207" i="2"/>
  <c r="AP2212" i="2" s="1"/>
  <c r="AP2195" i="2"/>
  <c r="AP2196" i="2" l="1"/>
  <c r="AP2197" i="2" s="1"/>
  <c r="AP2200" i="2" s="1"/>
  <c r="AQ2201" i="2" s="1"/>
  <c r="AP2209" i="2"/>
  <c r="AP2234" i="2"/>
  <c r="AP2245" i="2"/>
  <c r="AP2233" i="2"/>
  <c r="AR2243" i="2"/>
  <c r="AP2222" i="2"/>
  <c r="AP2221" i="2"/>
  <c r="AP2226" i="2" s="1"/>
  <c r="AP2223" i="2" l="1"/>
  <c r="AP2236" i="2"/>
  <c r="AP2235" i="2"/>
  <c r="AP2240" i="2" s="1"/>
  <c r="AP2210" i="2"/>
  <c r="AP2211" i="2" s="1"/>
  <c r="AP2214" i="2" s="1"/>
  <c r="AQ2215" i="2" s="1"/>
  <c r="AP2259" i="2"/>
  <c r="AP2247" i="2"/>
  <c r="AP2248" i="2"/>
  <c r="AR2257" i="2"/>
  <c r="AP2224" i="2" l="1"/>
  <c r="AP2225" i="2" s="1"/>
  <c r="AP2228" i="2" s="1"/>
  <c r="AQ2229" i="2" s="1"/>
  <c r="AP2273" i="2"/>
  <c r="AR2271" i="2"/>
  <c r="AP2262" i="2"/>
  <c r="AP2261" i="2"/>
  <c r="AP2237" i="2"/>
  <c r="AP2250" i="2"/>
  <c r="AP2249" i="2"/>
  <c r="AP2254" i="2" s="1"/>
  <c r="AP2238" i="2" l="1"/>
  <c r="AP2239" i="2" s="1"/>
  <c r="AP2242" i="2" s="1"/>
  <c r="AQ2243" i="2" s="1"/>
  <c r="AP2263" i="2"/>
  <c r="AP2268" i="2" s="1"/>
  <c r="AP2264" i="2"/>
  <c r="AP2251" i="2"/>
  <c r="AP2275" i="2"/>
  <c r="AR2285" i="2"/>
  <c r="AP2276" i="2"/>
  <c r="AP2287" i="2"/>
  <c r="AP2290" i="2" l="1"/>
  <c r="AP2301" i="2"/>
  <c r="AR2299" i="2"/>
  <c r="AP2289" i="2"/>
  <c r="AP2252" i="2"/>
  <c r="AP2253" i="2" s="1"/>
  <c r="AP2256" i="2" s="1"/>
  <c r="AQ2257" i="2" s="1"/>
  <c r="AP2278" i="2"/>
  <c r="AP2277" i="2"/>
  <c r="AP2282" i="2" s="1"/>
  <c r="AP2265" i="2"/>
  <c r="AP2266" i="2" l="1"/>
  <c r="AP2267" i="2" s="1"/>
  <c r="AP2270" i="2" s="1"/>
  <c r="AQ2271" i="2" s="1"/>
  <c r="AR2313" i="2"/>
  <c r="AP2303" i="2"/>
  <c r="AP2315" i="2"/>
  <c r="AP2304" i="2"/>
  <c r="AP2279" i="2"/>
  <c r="AP2291" i="2"/>
  <c r="AP2296" i="2" s="1"/>
  <c r="AP2292" i="2"/>
  <c r="AP2317" i="2" l="1"/>
  <c r="AP2329" i="2"/>
  <c r="AR2327" i="2"/>
  <c r="AP2318" i="2"/>
  <c r="AP2293" i="2"/>
  <c r="AP2280" i="2"/>
  <c r="AP2281" i="2" s="1"/>
  <c r="AP2284" i="2" s="1"/>
  <c r="AQ2285" i="2" s="1"/>
  <c r="AP2305" i="2"/>
  <c r="AP2310" i="2" s="1"/>
  <c r="AP2306" i="2"/>
  <c r="AP2319" i="2" l="1"/>
  <c r="AP2324" i="2" s="1"/>
  <c r="AP2320" i="2"/>
  <c r="AP2294" i="2"/>
  <c r="AP2295" i="2" s="1"/>
  <c r="AP2298" i="2" s="1"/>
  <c r="AQ2299" i="2" s="1"/>
  <c r="AR2341" i="2"/>
  <c r="AP2332" i="2"/>
  <c r="AP2343" i="2"/>
  <c r="AP2331" i="2"/>
  <c r="AP2307" i="2"/>
  <c r="AP2333" i="2" l="1"/>
  <c r="AP2338" i="2" s="1"/>
  <c r="AP2334" i="2"/>
  <c r="AP2321" i="2"/>
  <c r="AP2308" i="2"/>
  <c r="AP2309" i="2" s="1"/>
  <c r="AP2312" i="2" s="1"/>
  <c r="AQ2313" i="2" s="1"/>
  <c r="AP2345" i="2"/>
  <c r="AP2357" i="2"/>
  <c r="AP2346" i="2"/>
  <c r="AR2355" i="2"/>
  <c r="AP2335" i="2" l="1"/>
  <c r="AP2348" i="2"/>
  <c r="AP2347" i="2"/>
  <c r="AP2352" i="2" s="1"/>
  <c r="AP2371" i="2"/>
  <c r="AR2369" i="2"/>
  <c r="AP2360" i="2"/>
  <c r="AP2359" i="2"/>
  <c r="AP2322" i="2"/>
  <c r="AP2323" i="2" s="1"/>
  <c r="AP2326" i="2" s="1"/>
  <c r="AQ2327" i="2" s="1"/>
  <c r="AP2385" i="2" l="1"/>
  <c r="AP2374" i="2"/>
  <c r="AP2373" i="2"/>
  <c r="AR2383" i="2"/>
  <c r="AP2336" i="2"/>
  <c r="AP2337" i="2" s="1"/>
  <c r="AP2340" i="2" s="1"/>
  <c r="AQ2341" i="2" s="1"/>
  <c r="AP2362" i="2"/>
  <c r="AP2361" i="2"/>
  <c r="AP2366" i="2" s="1"/>
  <c r="AP2349" i="2"/>
  <c r="AP2387" i="2" l="1"/>
  <c r="AP2388" i="2"/>
  <c r="AR2397" i="2"/>
  <c r="AP2399" i="2"/>
  <c r="AP2375" i="2"/>
  <c r="AP2380" i="2" s="1"/>
  <c r="AP2376" i="2"/>
  <c r="AP2350" i="2"/>
  <c r="AP2351" i="2" s="1"/>
  <c r="AP2354" i="2" s="1"/>
  <c r="AQ2355" i="2" s="1"/>
  <c r="AP2363" i="2"/>
  <c r="AP2364" i="2" l="1"/>
  <c r="AP2365" i="2" s="1"/>
  <c r="AP2368" i="2" s="1"/>
  <c r="AQ2369" i="2" s="1"/>
  <c r="AP2390" i="2"/>
  <c r="AP2389" i="2"/>
  <c r="AP2394" i="2" s="1"/>
  <c r="AP2377" i="2"/>
  <c r="AP2402" i="2"/>
  <c r="AP2413" i="2"/>
  <c r="AR2411" i="2"/>
  <c r="AP2401" i="2"/>
  <c r="AP2404" i="2" l="1"/>
  <c r="AP2403" i="2"/>
  <c r="AP2408" i="2" s="1"/>
  <c r="AP2378" i="2"/>
  <c r="AP2379" i="2" s="1"/>
  <c r="AP2382" i="2" s="1"/>
  <c r="AQ2383" i="2" s="1"/>
  <c r="AP2391" i="2"/>
  <c r="AR2425" i="2"/>
  <c r="AP2415" i="2"/>
  <c r="AP2416" i="2"/>
  <c r="AP2427" i="2"/>
  <c r="AP2418" i="2" l="1"/>
  <c r="AP2417" i="2"/>
  <c r="AP2422" i="2" s="1"/>
  <c r="AP2392" i="2"/>
  <c r="AP2393" i="2" s="1"/>
  <c r="AP2396" i="2" s="1"/>
  <c r="AQ2397" i="2" s="1"/>
  <c r="AP2405" i="2"/>
  <c r="AR2439" i="2"/>
  <c r="AP2429" i="2"/>
  <c r="AP2430" i="2"/>
  <c r="AP2441" i="2"/>
  <c r="AP2406" i="2" l="1"/>
  <c r="AP2407" i="2" s="1"/>
  <c r="AP2410" i="2" s="1"/>
  <c r="AQ2411" i="2" s="1"/>
  <c r="AP2419" i="2"/>
  <c r="AP2444" i="2"/>
  <c r="AP2455" i="2"/>
  <c r="AP2443" i="2"/>
  <c r="AR2453" i="2"/>
  <c r="AP2431" i="2"/>
  <c r="AP2436" i="2" s="1"/>
  <c r="AP2432" i="2"/>
  <c r="AP2458" i="2" l="1"/>
  <c r="AP2469" i="2"/>
  <c r="AP2457" i="2"/>
  <c r="AR2467" i="2"/>
  <c r="AP2446" i="2"/>
  <c r="AP2445" i="2"/>
  <c r="AP2450" i="2" s="1"/>
  <c r="AP2433" i="2"/>
  <c r="AP2420" i="2"/>
  <c r="AP2421" i="2" s="1"/>
  <c r="AP2424" i="2" s="1"/>
  <c r="AQ2425" i="2" s="1"/>
  <c r="AP2447" i="2" l="1"/>
  <c r="AP2483" i="2"/>
  <c r="AR2481" i="2"/>
  <c r="AP2472" i="2"/>
  <c r="AP2471" i="2"/>
  <c r="AP2434" i="2"/>
  <c r="AP2435" i="2" s="1"/>
  <c r="AP2438" i="2" s="1"/>
  <c r="AQ2439" i="2" s="1"/>
  <c r="AP2460" i="2"/>
  <c r="AP2459" i="2"/>
  <c r="AP2464" i="2" s="1"/>
  <c r="AP2461" i="2" l="1"/>
  <c r="AP2448" i="2"/>
  <c r="AP2449" i="2" s="1"/>
  <c r="AP2452" i="2" s="1"/>
  <c r="AQ2453" i="2" s="1"/>
  <c r="AR2495" i="2"/>
  <c r="AP2497" i="2"/>
  <c r="AP2486" i="2"/>
  <c r="AP2485" i="2"/>
  <c r="AP2474" i="2"/>
  <c r="AP2473" i="2"/>
  <c r="AP2478" i="2" s="1"/>
  <c r="AP2475" i="2" l="1"/>
  <c r="AP2462" i="2"/>
  <c r="AP2463" i="2" s="1"/>
  <c r="AP2466" i="2" s="1"/>
  <c r="AQ2467" i="2" s="1"/>
  <c r="AP2499" i="2"/>
  <c r="AP2500" i="2"/>
  <c r="AP2511" i="2"/>
  <c r="AR2509" i="2"/>
  <c r="AP2487" i="2"/>
  <c r="AP2492" i="2" s="1"/>
  <c r="AP2488" i="2"/>
  <c r="AP2502" i="2" l="1"/>
  <c r="AP2501" i="2"/>
  <c r="AP2506" i="2" s="1"/>
  <c r="AP2489" i="2"/>
  <c r="AP2476" i="2"/>
  <c r="AP2477" i="2" s="1"/>
  <c r="AP2480" i="2" s="1"/>
  <c r="AQ2481" i="2" s="1"/>
  <c r="AP2514" i="2"/>
  <c r="AP2513" i="2"/>
  <c r="AP2525" i="2"/>
  <c r="AR2523" i="2"/>
  <c r="AR2537" i="2" l="1"/>
  <c r="AP2539" i="2"/>
  <c r="AP2528" i="2"/>
  <c r="AP2527" i="2"/>
  <c r="AP2503" i="2"/>
  <c r="AP2490" i="2"/>
  <c r="AP2491" i="2" s="1"/>
  <c r="AP2494" i="2" s="1"/>
  <c r="AQ2495" i="2" s="1"/>
  <c r="AP2516" i="2"/>
  <c r="AP2515" i="2"/>
  <c r="AP2520" i="2" s="1"/>
  <c r="AP2504" i="2" l="1"/>
  <c r="AP2505" i="2" s="1"/>
  <c r="AP2508" i="2" s="1"/>
  <c r="AQ2509" i="2" s="1"/>
  <c r="AR2551" i="2"/>
  <c r="AP2542" i="2"/>
  <c r="AP2541" i="2"/>
  <c r="AP2553" i="2"/>
  <c r="AP2517" i="2"/>
  <c r="AP2529" i="2"/>
  <c r="AP2534" i="2" s="1"/>
  <c r="AP2530" i="2"/>
  <c r="AP2543" i="2" l="1"/>
  <c r="AP2548" i="2" s="1"/>
  <c r="AP2544" i="2"/>
  <c r="AP2555" i="2"/>
  <c r="AR2565" i="2"/>
  <c r="AP2556" i="2"/>
  <c r="AP2567" i="2"/>
  <c r="AP2531" i="2"/>
  <c r="AP2518" i="2"/>
  <c r="AP2519" i="2" s="1"/>
  <c r="AP2522" i="2" s="1"/>
  <c r="AQ2523" i="2" s="1"/>
  <c r="AP2545" i="2" l="1"/>
  <c r="AP2558" i="2"/>
  <c r="AP2557" i="2"/>
  <c r="AP2562" i="2" s="1"/>
  <c r="AP2570" i="2"/>
  <c r="AR2579" i="2"/>
  <c r="AP2581" i="2"/>
  <c r="AP2569" i="2"/>
  <c r="AP2532" i="2"/>
  <c r="AP2533" i="2" s="1"/>
  <c r="AP2536" i="2" s="1"/>
  <c r="AQ2537" i="2" s="1"/>
  <c r="AP2572" i="2" l="1"/>
  <c r="AP2571" i="2"/>
  <c r="AP2576" i="2" s="1"/>
  <c r="AP2546" i="2"/>
  <c r="AP2547" i="2" s="1"/>
  <c r="AP2550" i="2" s="1"/>
  <c r="AQ2551" i="2" s="1"/>
  <c r="AP2595" i="2"/>
  <c r="AP2583" i="2"/>
  <c r="AP2584" i="2"/>
  <c r="AR2593" i="2"/>
  <c r="AP2559" i="2"/>
  <c r="AP2560" i="2" l="1"/>
  <c r="AP2561" i="2" s="1"/>
  <c r="AP2564" i="2" s="1"/>
  <c r="AQ2565" i="2" s="1"/>
  <c r="AP2598" i="2"/>
  <c r="AP2597" i="2"/>
  <c r="AR2607" i="2"/>
  <c r="AP2609" i="2"/>
  <c r="AP2573" i="2"/>
  <c r="AP2585" i="2"/>
  <c r="AP2590" i="2" s="1"/>
  <c r="AP2586" i="2"/>
  <c r="AP2611" i="2" l="1"/>
  <c r="AR2621" i="2"/>
  <c r="AP2612" i="2"/>
  <c r="AP2623" i="2"/>
  <c r="AP2587" i="2"/>
  <c r="AP2574" i="2"/>
  <c r="AP2575" i="2" s="1"/>
  <c r="AP2578" i="2" s="1"/>
  <c r="AQ2579" i="2" s="1"/>
  <c r="AP2599" i="2"/>
  <c r="AP2604" i="2" s="1"/>
  <c r="AP2600" i="2"/>
  <c r="AP2614" i="2" l="1"/>
  <c r="AP2613" i="2"/>
  <c r="AP2618" i="2" s="1"/>
  <c r="AP2588" i="2"/>
  <c r="AP2589" i="2" s="1"/>
  <c r="AP2592" i="2" s="1"/>
  <c r="AQ2593" i="2" s="1"/>
  <c r="AP2601" i="2"/>
  <c r="AP2626" i="2"/>
  <c r="AR2635" i="2"/>
  <c r="AP2637" i="2"/>
  <c r="AP2625" i="2"/>
  <c r="AR2649" i="2" l="1"/>
  <c r="AP2651" i="2"/>
  <c r="AP2639" i="2"/>
  <c r="AP2640" i="2"/>
  <c r="AP2602" i="2"/>
  <c r="AP2603" i="2" s="1"/>
  <c r="AP2606" i="2" s="1"/>
  <c r="AQ2607" i="2" s="1"/>
  <c r="AP2615" i="2"/>
  <c r="AP2628" i="2"/>
  <c r="AP2627" i="2"/>
  <c r="AP2632" i="2" s="1"/>
  <c r="AP2616" i="2" l="1"/>
  <c r="AP2617" i="2" s="1"/>
  <c r="AP2620" i="2" s="1"/>
  <c r="AQ2621" i="2" s="1"/>
  <c r="AP2629" i="2"/>
  <c r="AR2663" i="2"/>
  <c r="AP2654" i="2"/>
  <c r="AP2653" i="2"/>
  <c r="AP2665" i="2"/>
  <c r="AP2642" i="2"/>
  <c r="AP2641" i="2"/>
  <c r="AP2646" i="2" s="1"/>
  <c r="AP2643" i="2" l="1"/>
  <c r="AP2655" i="2"/>
  <c r="AP2660" i="2" s="1"/>
  <c r="AP2656" i="2"/>
  <c r="AP2667" i="2"/>
  <c r="AR2677" i="2"/>
  <c r="AP2668" i="2"/>
  <c r="AP2679" i="2"/>
  <c r="AP2630" i="2"/>
  <c r="AP2631" i="2" s="1"/>
  <c r="AP2634" i="2" s="1"/>
  <c r="AQ2635" i="2" s="1"/>
  <c r="AP2670" i="2" l="1"/>
  <c r="AP2669" i="2"/>
  <c r="AP2674" i="2" s="1"/>
  <c r="AP2644" i="2"/>
  <c r="AP2645" i="2" s="1"/>
  <c r="AP2648" i="2" s="1"/>
  <c r="AQ2649" i="2" s="1"/>
  <c r="AR2691" i="2"/>
  <c r="AP2693" i="2"/>
  <c r="AP2681" i="2"/>
  <c r="AP2682" i="2"/>
  <c r="AP2657" i="2"/>
  <c r="AP2671" i="2" l="1"/>
  <c r="AP2658" i="2"/>
  <c r="AP2659" i="2" s="1"/>
  <c r="AP2662" i="2" s="1"/>
  <c r="AQ2663" i="2" s="1"/>
  <c r="AR2705" i="2"/>
  <c r="AP2695" i="2"/>
  <c r="AP2707" i="2"/>
  <c r="AP2696" i="2"/>
  <c r="AP2684" i="2"/>
  <c r="AP2683" i="2"/>
  <c r="AP2688" i="2" s="1"/>
  <c r="AP2672" i="2" l="1"/>
  <c r="AP2673" i="2" s="1"/>
  <c r="AP2676" i="2" s="1"/>
  <c r="AQ2677" i="2" s="1"/>
  <c r="AP2685" i="2"/>
  <c r="AP2697" i="2"/>
  <c r="AP2702" i="2" s="1"/>
  <c r="AP2698" i="2"/>
  <c r="AP2710" i="2"/>
  <c r="AR2719" i="2"/>
  <c r="AP2709" i="2"/>
  <c r="AP2721" i="2"/>
  <c r="AP2699" i="2" l="1"/>
  <c r="AP2686" i="2"/>
  <c r="AP2687" i="2" s="1"/>
  <c r="AP2690" i="2" s="1"/>
  <c r="AQ2691" i="2" s="1"/>
  <c r="AP2712" i="2"/>
  <c r="AP2711" i="2"/>
  <c r="AP2716" i="2" s="1"/>
  <c r="AR2733" i="2"/>
  <c r="AP2724" i="2"/>
  <c r="AP2735" i="2"/>
  <c r="AP2723" i="2"/>
  <c r="AP2738" i="2" l="1"/>
  <c r="AP2749" i="2"/>
  <c r="AR2747" i="2"/>
  <c r="AP2737" i="2"/>
  <c r="AP2713" i="2"/>
  <c r="AP2700" i="2"/>
  <c r="AP2701" i="2" s="1"/>
  <c r="AP2704" i="2" s="1"/>
  <c r="AQ2705" i="2" s="1"/>
  <c r="AP2726" i="2"/>
  <c r="AP2725" i="2"/>
  <c r="AP2730" i="2" s="1"/>
  <c r="AP2727" i="2" l="1"/>
  <c r="AP2714" i="2"/>
  <c r="AP2715" i="2" s="1"/>
  <c r="AP2718" i="2" s="1"/>
  <c r="AQ2719" i="2" s="1"/>
  <c r="AR2761" i="2"/>
  <c r="AP2751" i="2"/>
  <c r="AP2763" i="2"/>
  <c r="AP2752" i="2"/>
  <c r="AP2740" i="2"/>
  <c r="AP2739" i="2"/>
  <c r="AP2744" i="2" s="1"/>
  <c r="AP2728" i="2" l="1"/>
  <c r="AP2729" i="2" s="1"/>
  <c r="AP2732" i="2" s="1"/>
  <c r="AQ2733" i="2" s="1"/>
  <c r="AP2741" i="2"/>
  <c r="AP2753" i="2"/>
  <c r="AP2758" i="2" s="1"/>
  <c r="AP2754" i="2"/>
  <c r="AP2765" i="2"/>
  <c r="AP2777" i="2"/>
  <c r="AP2766" i="2"/>
  <c r="AR2775" i="2"/>
  <c r="AP2755" i="2" l="1"/>
  <c r="AP2767" i="2"/>
  <c r="AP2772" i="2" s="1"/>
  <c r="AP2768" i="2"/>
  <c r="AP2742" i="2"/>
  <c r="AP2743" i="2" s="1"/>
  <c r="AP2746" i="2" s="1"/>
  <c r="AQ2747" i="2" s="1"/>
  <c r="AP2780" i="2"/>
  <c r="AP2791" i="2"/>
  <c r="AP2779" i="2"/>
  <c r="AR2789" i="2"/>
  <c r="AP2756" i="2" l="1"/>
  <c r="AP2757" i="2" s="1"/>
  <c r="AP2760" i="2" s="1"/>
  <c r="AQ2761" i="2" s="1"/>
  <c r="AP2782" i="2"/>
  <c r="AP2781" i="2"/>
  <c r="AP2786" i="2" s="1"/>
  <c r="AP2794" i="2"/>
  <c r="AP2805" i="2"/>
  <c r="AR2803" i="2"/>
  <c r="AP2793" i="2"/>
  <c r="AP2769" i="2"/>
  <c r="AP2770" i="2" l="1"/>
  <c r="AP2771" i="2" s="1"/>
  <c r="AP2774" i="2" s="1"/>
  <c r="AQ2775" i="2" s="1"/>
  <c r="AP2819" i="2"/>
  <c r="AP2808" i="2"/>
  <c r="AR2817" i="2"/>
  <c r="AP2807" i="2"/>
  <c r="AP2783" i="2"/>
  <c r="AP2796" i="2"/>
  <c r="AP2795" i="2"/>
  <c r="AP2800" i="2" s="1"/>
  <c r="AP2797" i="2" l="1"/>
  <c r="AP2809" i="2"/>
  <c r="AP2814" i="2" s="1"/>
  <c r="AP2810" i="2"/>
  <c r="AP2784" i="2"/>
  <c r="AP2785" i="2" s="1"/>
  <c r="AP2788" i="2" s="1"/>
  <c r="AQ2789" i="2" s="1"/>
  <c r="AP2822" i="2"/>
  <c r="AR2831" i="2"/>
  <c r="AP2821" i="2"/>
  <c r="AP2833" i="2"/>
  <c r="AP2823" i="2" l="1"/>
  <c r="AP2828" i="2" s="1"/>
  <c r="AP2824" i="2"/>
  <c r="AP2798" i="2"/>
  <c r="AP2799" i="2" s="1"/>
  <c r="AP2802" i="2" s="1"/>
  <c r="AQ2803" i="2" s="1"/>
  <c r="AP2836" i="2"/>
  <c r="AP2847" i="2"/>
  <c r="AP2835" i="2"/>
  <c r="AR2845" i="2"/>
  <c r="AP2811" i="2"/>
  <c r="AR2859" i="2" l="1"/>
  <c r="AP2849" i="2"/>
  <c r="AP2850" i="2"/>
  <c r="AP2861" i="2"/>
  <c r="AP2825" i="2"/>
  <c r="AP2812" i="2"/>
  <c r="AP2813" i="2" s="1"/>
  <c r="AP2816" i="2" s="1"/>
  <c r="AQ2817" i="2" s="1"/>
  <c r="AP2838" i="2"/>
  <c r="AP2837" i="2"/>
  <c r="AP2842" i="2" s="1"/>
  <c r="AP2839" i="2" l="1"/>
  <c r="AP2826" i="2"/>
  <c r="AP2827" i="2" s="1"/>
  <c r="AP2830" i="2" s="1"/>
  <c r="AQ2831" i="2" s="1"/>
  <c r="AP2852" i="2"/>
  <c r="AP2851" i="2"/>
  <c r="AP2856" i="2" s="1"/>
  <c r="AP2875" i="2"/>
  <c r="AP2864" i="2"/>
  <c r="AR2873" i="2"/>
  <c r="AP2863" i="2"/>
  <c r="AP2853" i="2" l="1"/>
  <c r="AP2840" i="2"/>
  <c r="AP2841" i="2" s="1"/>
  <c r="AP2844" i="2" s="1"/>
  <c r="AQ2845" i="2" s="1"/>
  <c r="AP2865" i="2"/>
  <c r="AP2870" i="2" s="1"/>
  <c r="AP2866" i="2"/>
  <c r="AP2877" i="2"/>
  <c r="AP2889" i="2"/>
  <c r="AP2878" i="2"/>
  <c r="AR2887" i="2"/>
  <c r="AP2854" i="2" l="1"/>
  <c r="AP2855" i="2" s="1"/>
  <c r="AP2858" i="2" s="1"/>
  <c r="AQ2859" i="2" s="1"/>
  <c r="AP2867" i="2"/>
  <c r="AP2879" i="2"/>
  <c r="AP2884" i="2" s="1"/>
  <c r="AP2880" i="2"/>
  <c r="AP2903" i="2"/>
  <c r="AP2891" i="2"/>
  <c r="AR2901" i="2"/>
  <c r="AP2892" i="2"/>
  <c r="AP2881" i="2" l="1"/>
  <c r="AP2917" i="2"/>
  <c r="AR2915" i="2"/>
  <c r="AP2905" i="2"/>
  <c r="AP2906" i="2"/>
  <c r="AP2868" i="2"/>
  <c r="AP2869" i="2" s="1"/>
  <c r="AP2872" i="2" s="1"/>
  <c r="AQ2873" i="2" s="1"/>
  <c r="AP2893" i="2"/>
  <c r="AP2898" i="2" s="1"/>
  <c r="AP2894" i="2"/>
  <c r="AP2908" i="2" l="1"/>
  <c r="AP2907" i="2"/>
  <c r="AP2912" i="2" s="1"/>
  <c r="AP2882" i="2"/>
  <c r="AP2883" i="2" s="1"/>
  <c r="AP2886" i="2" s="1"/>
  <c r="AQ2887" i="2" s="1"/>
  <c r="AP2895" i="2"/>
  <c r="AP2931" i="2"/>
  <c r="AP2920" i="2"/>
  <c r="AR2929" i="2"/>
  <c r="AP2919" i="2"/>
  <c r="AP2896" i="2" l="1"/>
  <c r="AP2897" i="2" s="1"/>
  <c r="AP2900" i="2" s="1"/>
  <c r="AQ2901" i="2" s="1"/>
  <c r="AP2909" i="2"/>
  <c r="AP2921" i="2"/>
  <c r="AP2926" i="2" s="1"/>
  <c r="AP2922" i="2"/>
  <c r="AP2933" i="2"/>
  <c r="AP2945" i="2"/>
  <c r="AP2934" i="2"/>
  <c r="AR2943" i="2"/>
  <c r="AP2923" i="2" l="1"/>
  <c r="AP2936" i="2"/>
  <c r="AP2935" i="2"/>
  <c r="AP2940" i="2" s="1"/>
  <c r="AP2910" i="2"/>
  <c r="AP2911" i="2" s="1"/>
  <c r="AP2914" i="2" s="1"/>
  <c r="AQ2915" i="2" s="1"/>
  <c r="AR2957" i="2"/>
  <c r="AP2948" i="2"/>
  <c r="AP2959" i="2"/>
  <c r="AP2947" i="2"/>
  <c r="AP2962" i="2" l="1"/>
  <c r="AP2973" i="2"/>
  <c r="AR2971" i="2"/>
  <c r="AP2961" i="2"/>
  <c r="AP2950" i="2"/>
  <c r="AP2949" i="2"/>
  <c r="AP2954" i="2" s="1"/>
  <c r="AP2924" i="2"/>
  <c r="AP2925" i="2" s="1"/>
  <c r="AP2928" i="2" s="1"/>
  <c r="AQ2929" i="2" s="1"/>
  <c r="AP2937" i="2"/>
  <c r="AP2951" i="2" l="1"/>
  <c r="AP2938" i="2"/>
  <c r="AP2939" i="2" s="1"/>
  <c r="AP2942" i="2" s="1"/>
  <c r="AQ2943" i="2" s="1"/>
  <c r="AR2985" i="2"/>
  <c r="AP2975" i="2"/>
  <c r="AP2987" i="2"/>
  <c r="AP2976" i="2"/>
  <c r="AP2964" i="2"/>
  <c r="AP2963" i="2"/>
  <c r="AP2968" i="2" s="1"/>
  <c r="AP2952" i="2" l="1"/>
  <c r="AP2953" i="2" s="1"/>
  <c r="AP2956" i="2" s="1"/>
  <c r="AQ2957" i="2" s="1"/>
  <c r="AP2965" i="2"/>
  <c r="AP2978" i="2"/>
  <c r="AP2977" i="2"/>
  <c r="AP2982" i="2" s="1"/>
  <c r="AR2999" i="2"/>
  <c r="AP2989" i="2"/>
  <c r="AP3001" i="2"/>
  <c r="AP2990" i="2"/>
  <c r="AP2979" i="2" l="1"/>
  <c r="AP3003" i="2"/>
  <c r="AR3013" i="2"/>
  <c r="AP3004" i="2"/>
  <c r="AP3015" i="2"/>
  <c r="AP2991" i="2"/>
  <c r="AP2996" i="2" s="1"/>
  <c r="AP2992" i="2"/>
  <c r="AP2966" i="2"/>
  <c r="AP2967" i="2" s="1"/>
  <c r="AP2970" i="2" s="1"/>
  <c r="AQ2971" i="2" s="1"/>
  <c r="AP2980" i="2" l="1"/>
  <c r="AP2981" i="2" s="1"/>
  <c r="AP2984" i="2" s="1"/>
  <c r="AQ2985" i="2" s="1"/>
  <c r="AP3017" i="2"/>
  <c r="AP3018" i="2"/>
  <c r="AP3029" i="2"/>
  <c r="AR3027" i="2"/>
  <c r="AP3005" i="2"/>
  <c r="AP3010" i="2" s="1"/>
  <c r="AP3006" i="2"/>
  <c r="AP2993" i="2"/>
  <c r="AP3020" i="2" l="1"/>
  <c r="AP3019" i="2"/>
  <c r="AP3024" i="2" s="1"/>
  <c r="AR3041" i="2"/>
  <c r="AP3031" i="2"/>
  <c r="AP3043" i="2"/>
  <c r="AP3032" i="2"/>
  <c r="AP2994" i="2"/>
  <c r="AP2995" i="2" s="1"/>
  <c r="AP2998" i="2" s="1"/>
  <c r="AQ2999" i="2" s="1"/>
  <c r="AP3007" i="2"/>
  <c r="AP3046" i="2" l="1"/>
  <c r="AR3055" i="2"/>
  <c r="AP3045" i="2"/>
  <c r="AP3057" i="2"/>
  <c r="AP3021" i="2"/>
  <c r="AP3008" i="2"/>
  <c r="AP3009" i="2" s="1"/>
  <c r="AP3012" i="2" s="1"/>
  <c r="AQ3013" i="2" s="1"/>
  <c r="AP3033" i="2"/>
  <c r="AP3038" i="2" s="1"/>
  <c r="AP3034" i="2"/>
  <c r="AP3022" i="2" l="1"/>
  <c r="AP3023" i="2" s="1"/>
  <c r="AP3026" i="2" s="1"/>
  <c r="AQ3027" i="2" s="1"/>
  <c r="AP3035" i="2"/>
  <c r="AP3048" i="2"/>
  <c r="AP3047" i="2"/>
  <c r="AP3052" i="2" s="1"/>
  <c r="AR3069" i="2"/>
  <c r="AP3060" i="2"/>
  <c r="AP3071" i="2"/>
  <c r="AP3059" i="2"/>
  <c r="AP3049" i="2" l="1"/>
  <c r="AP3062" i="2"/>
  <c r="AP3061" i="2"/>
  <c r="AP3066" i="2" s="1"/>
  <c r="AP3036" i="2"/>
  <c r="AP3037" i="2" s="1"/>
  <c r="AP3040" i="2" s="1"/>
  <c r="AQ3041" i="2" s="1"/>
  <c r="AP3074" i="2"/>
  <c r="AP3085" i="2"/>
  <c r="AR3083" i="2"/>
  <c r="AP3073" i="2"/>
  <c r="AR3097" i="2" l="1"/>
  <c r="AP3087" i="2"/>
  <c r="AP3099" i="2"/>
  <c r="AP3088" i="2"/>
  <c r="AP3050" i="2"/>
  <c r="AP3051" i="2" s="1"/>
  <c r="AP3054" i="2" s="1"/>
  <c r="AQ3055" i="2" s="1"/>
  <c r="AP3076" i="2"/>
  <c r="AP3075" i="2"/>
  <c r="AP3080" i="2" s="1"/>
  <c r="AP3063" i="2"/>
  <c r="AP3064" i="2" l="1"/>
  <c r="AP3065" i="2" s="1"/>
  <c r="AP3068" i="2" s="1"/>
  <c r="AQ3069" i="2" s="1"/>
  <c r="AP3089" i="2"/>
  <c r="AP3094" i="2" s="1"/>
  <c r="AP3090" i="2"/>
  <c r="AR3111" i="2"/>
  <c r="AP3101" i="2"/>
  <c r="AP3113" i="2"/>
  <c r="AP3102" i="2"/>
  <c r="AP3077" i="2"/>
  <c r="AP3104" i="2" l="1"/>
  <c r="AP3103" i="2"/>
  <c r="AP3108" i="2" s="1"/>
  <c r="AP3078" i="2"/>
  <c r="AP3079" i="2" s="1"/>
  <c r="AP3082" i="2" s="1"/>
  <c r="AQ3083" i="2" s="1"/>
  <c r="AR3125" i="2"/>
  <c r="AP3116" i="2"/>
  <c r="AP3127" i="2"/>
  <c r="AP3115" i="2"/>
  <c r="AP3091" i="2"/>
  <c r="AP3092" i="2" l="1"/>
  <c r="AP3093" i="2" s="1"/>
  <c r="AP3096" i="2" s="1"/>
  <c r="AQ3097" i="2" s="1"/>
  <c r="AP3105" i="2"/>
  <c r="AP3129" i="2"/>
  <c r="AP3130" i="2"/>
  <c r="AP3141" i="2"/>
  <c r="AR3139" i="2"/>
  <c r="AP3117" i="2"/>
  <c r="AP3122" i="2" s="1"/>
  <c r="AP3118" i="2"/>
  <c r="AP3132" i="2" l="1"/>
  <c r="AP3131" i="2"/>
  <c r="AP3136" i="2" s="1"/>
  <c r="AP3119" i="2"/>
  <c r="AP3155" i="2"/>
  <c r="AP3144" i="2"/>
  <c r="AR3153" i="2"/>
  <c r="AP3143" i="2"/>
  <c r="AP3106" i="2"/>
  <c r="AP3107" i="2" s="1"/>
  <c r="AP3110" i="2" s="1"/>
  <c r="AQ3111" i="2" s="1"/>
  <c r="AP3157" i="2" l="1"/>
  <c r="AP3169" i="2"/>
  <c r="AP3158" i="2"/>
  <c r="AR3167" i="2"/>
  <c r="AP3133" i="2"/>
  <c r="AP3120" i="2"/>
  <c r="AP3121" i="2" s="1"/>
  <c r="AP3124" i="2" s="1"/>
  <c r="AQ3125" i="2" s="1"/>
  <c r="AP3145" i="2"/>
  <c r="AP3150" i="2" s="1"/>
  <c r="AP3146" i="2"/>
  <c r="AP3159" i="2" l="1"/>
  <c r="AP3164" i="2" s="1"/>
  <c r="AP3160" i="2"/>
  <c r="AR3181" i="2"/>
  <c r="AP3172" i="2"/>
  <c r="AP3183" i="2"/>
  <c r="AP3171" i="2"/>
  <c r="AP3147" i="2"/>
  <c r="AP3134" i="2"/>
  <c r="AP3135" i="2" s="1"/>
  <c r="AP3138" i="2" s="1"/>
  <c r="AQ3139" i="2" s="1"/>
  <c r="AP3161" i="2" l="1"/>
  <c r="AP3186" i="2"/>
  <c r="AP3197" i="2"/>
  <c r="AR3195" i="2"/>
  <c r="AP3185" i="2"/>
  <c r="AP3174" i="2"/>
  <c r="AP3173" i="2"/>
  <c r="AP3178" i="2" s="1"/>
  <c r="AP3148" i="2"/>
  <c r="AP3149" i="2" s="1"/>
  <c r="AP3152" i="2" s="1"/>
  <c r="AQ3153" i="2" s="1"/>
  <c r="AP3162" i="2" l="1"/>
  <c r="AP3163" i="2" s="1"/>
  <c r="AP3166" i="2" s="1"/>
  <c r="AQ3167" i="2" s="1"/>
  <c r="AP3188" i="2"/>
  <c r="AP3187" i="2"/>
  <c r="AP3192" i="2" s="1"/>
  <c r="AP3175" i="2"/>
  <c r="AP3211" i="2"/>
  <c r="AP3199" i="2"/>
  <c r="AP3200" i="2"/>
  <c r="AR3209" i="2"/>
  <c r="AP3176" i="2" l="1"/>
  <c r="AP3177" i="2" s="1"/>
  <c r="AP3180" i="2" s="1"/>
  <c r="AQ3181" i="2" s="1"/>
  <c r="AP3213" i="2"/>
  <c r="AP3214" i="2"/>
  <c r="AP3225" i="2"/>
  <c r="AR3223" i="2"/>
  <c r="AP3189" i="2"/>
  <c r="AP3202" i="2"/>
  <c r="AP3201" i="2"/>
  <c r="AP3206" i="2" s="1"/>
  <c r="AP3228" i="2" l="1"/>
  <c r="AP3239" i="2"/>
  <c r="AP3227" i="2"/>
  <c r="AR3237" i="2"/>
  <c r="AP3203" i="2"/>
  <c r="AP3216" i="2"/>
  <c r="AP3215" i="2"/>
  <c r="AP3220" i="2" s="1"/>
  <c r="AP3190" i="2"/>
  <c r="AP3191" i="2" s="1"/>
  <c r="AP3194" i="2" s="1"/>
  <c r="AQ3195" i="2" s="1"/>
  <c r="AP3204" i="2" l="1"/>
  <c r="AP3205" i="2" s="1"/>
  <c r="AP3208" i="2" s="1"/>
  <c r="AQ3209" i="2" s="1"/>
  <c r="AP3253" i="2"/>
  <c r="AP3242" i="2"/>
  <c r="AR3251" i="2"/>
  <c r="AP3241" i="2"/>
  <c r="AP3217" i="2"/>
  <c r="AP3229" i="2"/>
  <c r="AP3234" i="2" s="1"/>
  <c r="AP3230" i="2"/>
  <c r="AP3243" i="2" l="1"/>
  <c r="AP3248" i="2" s="1"/>
  <c r="AP3244" i="2"/>
  <c r="AP3218" i="2"/>
  <c r="AP3219" i="2" s="1"/>
  <c r="AP3222" i="2" s="1"/>
  <c r="AQ3223" i="2" s="1"/>
  <c r="AP3255" i="2"/>
  <c r="AR3265" i="2"/>
  <c r="AP3256" i="2"/>
  <c r="AP3267" i="2"/>
  <c r="AP3231" i="2"/>
  <c r="AP3232" i="2" l="1"/>
  <c r="AP3233" i="2" s="1"/>
  <c r="AP3236" i="2" s="1"/>
  <c r="AQ3237" i="2" s="1"/>
  <c r="AP3245" i="2"/>
  <c r="AP3257" i="2"/>
  <c r="AP3262" i="2" s="1"/>
  <c r="AP3258" i="2"/>
  <c r="AP3269" i="2"/>
  <c r="AR3279" i="2"/>
  <c r="AP3270" i="2"/>
  <c r="AP3281" i="2"/>
  <c r="AP3283" i="2" l="1"/>
  <c r="AR3293" i="2"/>
  <c r="AP3284" i="2"/>
  <c r="AP3295" i="2"/>
  <c r="AP3271" i="2"/>
  <c r="AP3276" i="2" s="1"/>
  <c r="AP3272" i="2"/>
  <c r="AP3259" i="2"/>
  <c r="AP3246" i="2"/>
  <c r="AP3247" i="2" s="1"/>
  <c r="AP3250" i="2" s="1"/>
  <c r="AQ3251" i="2" s="1"/>
  <c r="AP3286" i="2" l="1"/>
  <c r="AP3285" i="2"/>
  <c r="AP3290" i="2" s="1"/>
  <c r="AP3273" i="2"/>
  <c r="AP3260" i="2"/>
  <c r="AP3261" i="2" s="1"/>
  <c r="AP3264" i="2" s="1"/>
  <c r="AQ3265" i="2" s="1"/>
  <c r="AP3297" i="2"/>
  <c r="AP3309" i="2"/>
  <c r="AP3298" i="2"/>
  <c r="AR3307" i="2"/>
  <c r="AP3287" i="2" l="1"/>
  <c r="AP3299" i="2"/>
  <c r="AP3304" i="2" s="1"/>
  <c r="AP3300" i="2"/>
  <c r="AP3274" i="2"/>
  <c r="AP3275" i="2" s="1"/>
  <c r="AP3278" i="2" s="1"/>
  <c r="AQ3279" i="2" s="1"/>
  <c r="AP3323" i="2"/>
  <c r="AP3312" i="2"/>
  <c r="AP3311" i="2"/>
  <c r="AR3321" i="2"/>
  <c r="AP3288" i="2" l="1"/>
  <c r="AP3289" i="2" s="1"/>
  <c r="AP3292" i="2" s="1"/>
  <c r="AQ3293" i="2" s="1"/>
  <c r="AP3313" i="2"/>
  <c r="AP3318" i="2" s="1"/>
  <c r="AP3314" i="2"/>
  <c r="AR3335" i="2"/>
  <c r="AP3325" i="2"/>
  <c r="AP3326" i="2"/>
  <c r="AP3337" i="2"/>
  <c r="AP3301" i="2"/>
  <c r="AP3328" i="2" l="1"/>
  <c r="AP3327" i="2"/>
  <c r="AP3332" i="2" s="1"/>
  <c r="AP3302" i="2"/>
  <c r="AP3303" i="2" s="1"/>
  <c r="AP3306" i="2" s="1"/>
  <c r="AQ3307" i="2" s="1"/>
  <c r="AP3339" i="2"/>
  <c r="AR3349" i="2"/>
  <c r="AP3340" i="2"/>
  <c r="AP3351" i="2"/>
  <c r="AP3315" i="2"/>
  <c r="AP3342" i="2" l="1"/>
  <c r="AP3341" i="2"/>
  <c r="AP3346" i="2" s="1"/>
  <c r="AP3329" i="2"/>
  <c r="AP3316" i="2"/>
  <c r="AP3317" i="2" s="1"/>
  <c r="AP3320" i="2" s="1"/>
  <c r="AQ3321" i="2" s="1"/>
  <c r="AR3363" i="2"/>
  <c r="AP3353" i="2"/>
  <c r="AP3365" i="2"/>
  <c r="AP3354" i="2"/>
  <c r="AP3367" i="2" l="1"/>
  <c r="AR3377" i="2"/>
  <c r="AP3368" i="2"/>
  <c r="AP3379" i="2"/>
  <c r="AP3343" i="2"/>
  <c r="AP3355" i="2"/>
  <c r="AP3360" i="2" s="1"/>
  <c r="AP3356" i="2"/>
  <c r="AP3330" i="2"/>
  <c r="AP3331" i="2" s="1"/>
  <c r="AP3334" i="2" s="1"/>
  <c r="AQ3335" i="2" s="1"/>
  <c r="AP3369" i="2" l="1"/>
  <c r="AP3374" i="2" s="1"/>
  <c r="AP3370" i="2"/>
  <c r="AP3344" i="2"/>
  <c r="AP3345" i="2" s="1"/>
  <c r="AP3348" i="2" s="1"/>
  <c r="AQ3349" i="2" s="1"/>
  <c r="AP3357" i="2"/>
  <c r="AP3382" i="2"/>
  <c r="AP3393" i="2"/>
  <c r="AP3381" i="2"/>
  <c r="AR3391" i="2"/>
  <c r="AP3358" i="2" l="1"/>
  <c r="AP3359" i="2" s="1"/>
  <c r="AP3362" i="2" s="1"/>
  <c r="AQ3363" i="2" s="1"/>
  <c r="AP3371" i="2"/>
  <c r="AP3383" i="2"/>
  <c r="AP3388" i="2" s="1"/>
  <c r="AP3384" i="2"/>
  <c r="AP3395" i="2"/>
  <c r="AR3405" i="2"/>
  <c r="AP3396" i="2"/>
  <c r="AP3407" i="2"/>
  <c r="AP3410" i="2" l="1"/>
  <c r="AR3419" i="2"/>
  <c r="AP3409" i="2"/>
  <c r="AP3421" i="2"/>
  <c r="AP3398" i="2"/>
  <c r="AP3397" i="2"/>
  <c r="AP3402" i="2" s="1"/>
  <c r="AP3372" i="2"/>
  <c r="AP3373" i="2" s="1"/>
  <c r="AP3376" i="2" s="1"/>
  <c r="AQ3377" i="2" s="1"/>
  <c r="AP3385" i="2"/>
  <c r="AP3399" i="2" l="1"/>
  <c r="AP3386" i="2"/>
  <c r="AP3387" i="2" s="1"/>
  <c r="AP3390" i="2" s="1"/>
  <c r="AQ3391" i="2" s="1"/>
  <c r="AP3411" i="2"/>
  <c r="AP3416" i="2" s="1"/>
  <c r="AP3412" i="2"/>
  <c r="AP3424" i="2"/>
  <c r="AP3423" i="2"/>
  <c r="AR3433" i="2"/>
  <c r="AP3435" i="2"/>
  <c r="AP3400" i="2" l="1"/>
  <c r="AP3401" i="2" s="1"/>
  <c r="AP3404" i="2" s="1"/>
  <c r="AQ3405" i="2" s="1"/>
  <c r="AP3449" i="2"/>
  <c r="AR3447" i="2"/>
  <c r="AP3437" i="2"/>
  <c r="AP3438" i="2"/>
  <c r="AP3413" i="2"/>
  <c r="AP3425" i="2"/>
  <c r="AP3430" i="2" s="1"/>
  <c r="AP3426" i="2"/>
  <c r="AP3414" i="2" l="1"/>
  <c r="AP3415" i="2" s="1"/>
  <c r="AP3418" i="2" s="1"/>
  <c r="AQ3419" i="2" s="1"/>
  <c r="AP3427" i="2"/>
  <c r="AP3439" i="2"/>
  <c r="AP3444" i="2" s="1"/>
  <c r="AP3440" i="2"/>
  <c r="AP3451" i="2"/>
  <c r="AP3452" i="2"/>
  <c r="AP3463" i="2"/>
  <c r="AR3461" i="2"/>
  <c r="AP3466" i="2" l="1"/>
  <c r="AR3475" i="2"/>
  <c r="AP3465" i="2"/>
  <c r="AP3477" i="2"/>
  <c r="AP3453" i="2"/>
  <c r="AP3458" i="2" s="1"/>
  <c r="AP3454" i="2"/>
  <c r="AP3428" i="2"/>
  <c r="AP3429" i="2" s="1"/>
  <c r="AP3432" i="2" s="1"/>
  <c r="AQ3433" i="2" s="1"/>
  <c r="AP3441" i="2"/>
  <c r="AP3442" i="2" l="1"/>
  <c r="AP3443" i="2" s="1"/>
  <c r="AP3446" i="2" s="1"/>
  <c r="AQ3447" i="2" s="1"/>
  <c r="AP3455" i="2"/>
  <c r="AP3467" i="2"/>
  <c r="AP3472" i="2" s="1"/>
  <c r="AP3468" i="2"/>
  <c r="AP3479" i="2"/>
  <c r="AP3491" i="2"/>
  <c r="AP3480" i="2"/>
  <c r="AR3489" i="2"/>
  <c r="AP3469" i="2" l="1"/>
  <c r="AP3481" i="2"/>
  <c r="AP3486" i="2" s="1"/>
  <c r="AP3482" i="2"/>
  <c r="AP3456" i="2"/>
  <c r="AP3457" i="2" s="1"/>
  <c r="AP3460" i="2" s="1"/>
  <c r="AQ3461" i="2" s="1"/>
  <c r="AP3493" i="2"/>
  <c r="AP3494" i="2"/>
  <c r="AP3505" i="2"/>
  <c r="AR3503" i="2"/>
  <c r="AP3507" i="2" l="1"/>
  <c r="AP3508" i="2"/>
  <c r="AP3519" i="2"/>
  <c r="AR3517" i="2"/>
  <c r="AP3470" i="2"/>
  <c r="AP3471" i="2" s="1"/>
  <c r="AP3474" i="2" s="1"/>
  <c r="AQ3475" i="2" s="1"/>
  <c r="AP3495" i="2"/>
  <c r="AP3500" i="2" s="1"/>
  <c r="AP3496" i="2"/>
  <c r="AP3483" i="2"/>
  <c r="AP3510" i="2" l="1"/>
  <c r="AP3509" i="2"/>
  <c r="AP3514" i="2" s="1"/>
  <c r="AP3484" i="2"/>
  <c r="AP3485" i="2" s="1"/>
  <c r="AP3488" i="2" s="1"/>
  <c r="AQ3489" i="2" s="1"/>
  <c r="AP3533" i="2"/>
  <c r="AP3522" i="2"/>
  <c r="AR3531" i="2"/>
  <c r="AP3521" i="2"/>
  <c r="AP3497" i="2"/>
  <c r="AP3523" i="2" l="1"/>
  <c r="AP3528" i="2" s="1"/>
  <c r="AP3524" i="2"/>
  <c r="AP3536" i="2"/>
  <c r="AR3545" i="2"/>
  <c r="AP3535" i="2"/>
  <c r="AP3547" i="2"/>
  <c r="AP3511" i="2"/>
  <c r="AP3498" i="2"/>
  <c r="AP3499" i="2" s="1"/>
  <c r="AP3502" i="2" s="1"/>
  <c r="AQ3503" i="2" s="1"/>
  <c r="AP3537" i="2" l="1"/>
  <c r="AP3542" i="2" s="1"/>
  <c r="AP3538" i="2"/>
  <c r="AP3525" i="2"/>
  <c r="AP3512" i="2"/>
  <c r="AP3513" i="2" s="1"/>
  <c r="AP3516" i="2" s="1"/>
  <c r="AQ3517" i="2" s="1"/>
  <c r="AP3549" i="2"/>
  <c r="AP3550" i="2"/>
  <c r="AP3561" i="2"/>
  <c r="AR3559" i="2"/>
  <c r="AP3564" i="2" l="1"/>
  <c r="AP3575" i="2"/>
  <c r="AR3573" i="2"/>
  <c r="AP3563" i="2"/>
  <c r="AP3539" i="2"/>
  <c r="AP3552" i="2"/>
  <c r="AP3551" i="2"/>
  <c r="AP3556" i="2" s="1"/>
  <c r="AP3526" i="2"/>
  <c r="AP3527" i="2" s="1"/>
  <c r="AP3530" i="2" s="1"/>
  <c r="AQ3531" i="2" s="1"/>
  <c r="AP3577" i="2" l="1"/>
  <c r="AP3589" i="2"/>
  <c r="AP3578" i="2"/>
  <c r="AR3587" i="2"/>
  <c r="AP3540" i="2"/>
  <c r="AP3541" i="2" s="1"/>
  <c r="AP3544" i="2" s="1"/>
  <c r="AQ3545" i="2" s="1"/>
  <c r="AP3553" i="2"/>
  <c r="AP3565" i="2"/>
  <c r="AP3570" i="2" s="1"/>
  <c r="AP3566" i="2"/>
  <c r="AP3579" i="2" l="1"/>
  <c r="AP3584" i="2" s="1"/>
  <c r="AP3580" i="2"/>
  <c r="AP3592" i="2"/>
  <c r="AR3601" i="2"/>
  <c r="AP3591" i="2"/>
  <c r="AP3603" i="2"/>
  <c r="AP3567" i="2"/>
  <c r="AP3554" i="2"/>
  <c r="AP3555" i="2" s="1"/>
  <c r="AP3558" i="2" s="1"/>
  <c r="AQ3559" i="2" s="1"/>
  <c r="AP3581" i="2" l="1"/>
  <c r="AP3568" i="2"/>
  <c r="AP3569" i="2" s="1"/>
  <c r="AP3572" i="2" s="1"/>
  <c r="AQ3573" i="2" s="1"/>
  <c r="AP3594" i="2"/>
  <c r="AP3593" i="2"/>
  <c r="AP3598" i="2" s="1"/>
  <c r="AR3615" i="2"/>
  <c r="AP3605" i="2"/>
  <c r="AP3606" i="2"/>
  <c r="AP3617" i="2"/>
  <c r="AP3595" i="2" l="1"/>
  <c r="AP3582" i="2"/>
  <c r="AP3583" i="2" s="1"/>
  <c r="AP3586" i="2" s="1"/>
  <c r="AQ3587" i="2" s="1"/>
  <c r="AR3629" i="2"/>
  <c r="AP3619" i="2"/>
  <c r="AP3620" i="2"/>
  <c r="AP3631" i="2"/>
  <c r="AP3608" i="2"/>
  <c r="AP3607" i="2"/>
  <c r="AP3612" i="2" s="1"/>
  <c r="AP3596" i="2" l="1"/>
  <c r="AP3597" i="2" s="1"/>
  <c r="AP3600" i="2" s="1"/>
  <c r="AQ3601" i="2" s="1"/>
  <c r="AP3609" i="2"/>
  <c r="AP3621" i="2"/>
  <c r="AP3626" i="2" s="1"/>
  <c r="AP3622" i="2"/>
  <c r="AR3643" i="2"/>
  <c r="AP3633" i="2"/>
  <c r="AP3645" i="2"/>
  <c r="AP3634" i="2"/>
  <c r="AP3648" i="2" l="1"/>
  <c r="AR3657" i="2"/>
  <c r="AP3647" i="2"/>
  <c r="AP3659" i="2"/>
  <c r="AP3623" i="2"/>
  <c r="AP3610" i="2"/>
  <c r="AP3611" i="2" s="1"/>
  <c r="AP3614" i="2" s="1"/>
  <c r="AQ3615" i="2" s="1"/>
  <c r="AP3635" i="2"/>
  <c r="AP3640" i="2" s="1"/>
  <c r="AP3636" i="2"/>
  <c r="AP3637" i="2" l="1"/>
  <c r="AP3624" i="2"/>
  <c r="AP3625" i="2" s="1"/>
  <c r="AP3628" i="2" s="1"/>
  <c r="AQ3629" i="2" s="1"/>
  <c r="AP3650" i="2"/>
  <c r="AP3649" i="2"/>
  <c r="AP3654" i="2" s="1"/>
  <c r="AP3662" i="2"/>
  <c r="AP3673" i="2"/>
  <c r="AR3671" i="2"/>
  <c r="AP3661" i="2"/>
  <c r="AP3663" i="2" l="1"/>
  <c r="AP3668" i="2" s="1"/>
  <c r="AP3664" i="2"/>
  <c r="AP3651" i="2"/>
  <c r="AP3638" i="2"/>
  <c r="AP3639" i="2" s="1"/>
  <c r="AP3642" i="2" s="1"/>
  <c r="AQ3643" i="2" s="1"/>
  <c r="AP3675" i="2"/>
  <c r="AP3676" i="2"/>
  <c r="AP3687" i="2"/>
  <c r="AR3685" i="2"/>
  <c r="AP3689" i="2" l="1"/>
  <c r="AP3701" i="2"/>
  <c r="AP3690" i="2"/>
  <c r="AR3699" i="2"/>
  <c r="AP3665" i="2"/>
  <c r="AP3678" i="2"/>
  <c r="AP3677" i="2"/>
  <c r="AP3682" i="2" s="1"/>
  <c r="AP3652" i="2"/>
  <c r="AP3653" i="2" s="1"/>
  <c r="AP3656" i="2" s="1"/>
  <c r="AQ3657" i="2" s="1"/>
  <c r="AP3691" i="2" l="1"/>
  <c r="AP3696" i="2" s="1"/>
  <c r="AP3692" i="2"/>
  <c r="AP3666" i="2"/>
  <c r="AP3667" i="2" s="1"/>
  <c r="AP3670" i="2" s="1"/>
  <c r="AQ3671" i="2" s="1"/>
  <c r="AP3703" i="2"/>
  <c r="AP3715" i="2"/>
  <c r="AP3704" i="2"/>
  <c r="AR3713" i="2"/>
  <c r="AP3679" i="2"/>
  <c r="AP3705" i="2" l="1"/>
  <c r="AP3710" i="2" s="1"/>
  <c r="AP3706" i="2"/>
  <c r="AP3693" i="2"/>
  <c r="AP3680" i="2"/>
  <c r="AP3681" i="2" s="1"/>
  <c r="AP3684" i="2" s="1"/>
  <c r="AQ3685" i="2" s="1"/>
  <c r="AP3718" i="2"/>
  <c r="AP3729" i="2"/>
  <c r="AR3727" i="2"/>
  <c r="AP3717" i="2"/>
  <c r="AP3707" i="2" l="1"/>
  <c r="AP3719" i="2"/>
  <c r="AP3724" i="2" s="1"/>
  <c r="AP3720" i="2"/>
  <c r="AP3694" i="2"/>
  <c r="AP3695" i="2" s="1"/>
  <c r="AP3698" i="2" s="1"/>
  <c r="AQ3699" i="2" s="1"/>
  <c r="AP3731" i="2"/>
  <c r="AP3732" i="2"/>
  <c r="AP3743" i="2"/>
  <c r="AR3741" i="2"/>
  <c r="AP3708" i="2" l="1"/>
  <c r="AP3709" i="2" s="1"/>
  <c r="AP3712" i="2" s="1"/>
  <c r="AQ3713" i="2" s="1"/>
  <c r="AR3755" i="2"/>
  <c r="AP3745" i="2"/>
  <c r="AP3757" i="2"/>
  <c r="AP3746" i="2"/>
  <c r="AP3734" i="2"/>
  <c r="AP3733" i="2"/>
  <c r="AP3738" i="2" s="1"/>
  <c r="AP3721" i="2"/>
  <c r="AR3769" i="2" l="1"/>
  <c r="AP3759" i="2"/>
  <c r="AP3771" i="2"/>
  <c r="AP3760" i="2"/>
  <c r="AP3722" i="2"/>
  <c r="AP3723" i="2" s="1"/>
  <c r="AP3726" i="2" s="1"/>
  <c r="AQ3727" i="2" s="1"/>
  <c r="AP3735" i="2"/>
  <c r="AP3747" i="2"/>
  <c r="AP3752" i="2" s="1"/>
  <c r="AP3748" i="2"/>
  <c r="AP3761" i="2" l="1"/>
  <c r="AP3766" i="2" s="1"/>
  <c r="AP3762" i="2"/>
  <c r="AP3749" i="2"/>
  <c r="AP3736" i="2"/>
  <c r="AP3737" i="2" s="1"/>
  <c r="AP3740" i="2" s="1"/>
  <c r="AQ3741" i="2" s="1"/>
  <c r="AP3785" i="2"/>
  <c r="AR3783" i="2"/>
  <c r="AP3773" i="2"/>
  <c r="AP3774" i="2"/>
  <c r="AP3763" i="2" l="1"/>
  <c r="AP3775" i="2"/>
  <c r="AP3780" i="2" s="1"/>
  <c r="AP3776" i="2"/>
  <c r="AP3787" i="2"/>
  <c r="AP3788" i="2"/>
  <c r="AP3799" i="2"/>
  <c r="AR3797" i="2"/>
  <c r="AP3750" i="2"/>
  <c r="AP3751" i="2" s="1"/>
  <c r="AP3754" i="2" s="1"/>
  <c r="AQ3755" i="2" s="1"/>
  <c r="AP3790" i="2" l="1"/>
  <c r="AP3789" i="2"/>
  <c r="AP3794" i="2" s="1"/>
  <c r="AP3764" i="2"/>
  <c r="AP3765" i="2" s="1"/>
  <c r="AP3768" i="2" s="1"/>
  <c r="AQ3769" i="2" s="1"/>
  <c r="AP3813" i="2"/>
  <c r="AP3802" i="2"/>
  <c r="AR3811" i="2"/>
  <c r="AP3801" i="2"/>
  <c r="AP3777" i="2"/>
  <c r="AP3778" i="2" l="1"/>
  <c r="AP3779" i="2" s="1"/>
  <c r="AP3782" i="2" s="1"/>
  <c r="AQ3783" i="2" s="1"/>
  <c r="AP3827" i="2"/>
  <c r="AP3816" i="2"/>
  <c r="AR3825" i="2"/>
  <c r="AP3815" i="2"/>
  <c r="AP3791" i="2"/>
  <c r="AP3804" i="2"/>
  <c r="AP3803" i="2"/>
  <c r="AP3808" i="2" s="1"/>
  <c r="AP3817" i="2" l="1"/>
  <c r="AP3822" i="2" s="1"/>
  <c r="AP3818" i="2"/>
  <c r="AP3805" i="2"/>
  <c r="AP3841" i="2"/>
  <c r="AR3839" i="2"/>
  <c r="AP3829" i="2"/>
  <c r="AP3830" i="2"/>
  <c r="AP3792" i="2"/>
  <c r="AP3793" i="2" s="1"/>
  <c r="AP3796" i="2" s="1"/>
  <c r="AQ3797" i="2" s="1"/>
  <c r="AP3844" i="2" l="1"/>
  <c r="AR3853" i="2"/>
  <c r="AP3855" i="2"/>
  <c r="AP3843" i="2"/>
  <c r="AP3819" i="2"/>
  <c r="AP3832" i="2"/>
  <c r="AP3831" i="2"/>
  <c r="AP3836" i="2" s="1"/>
  <c r="AP3806" i="2"/>
  <c r="AP3807" i="2" s="1"/>
  <c r="AP3810" i="2" s="1"/>
  <c r="AQ3811" i="2" s="1"/>
  <c r="AP3820" i="2" l="1"/>
  <c r="AP3821" i="2" s="1"/>
  <c r="AP3824" i="2" s="1"/>
  <c r="AQ3825" i="2" s="1"/>
  <c r="AP3869" i="2"/>
  <c r="AR3867" i="2"/>
  <c r="AP3857" i="2"/>
  <c r="AP3858" i="2"/>
  <c r="AP3833" i="2"/>
  <c r="AP3845" i="2"/>
  <c r="AP3850" i="2" s="1"/>
  <c r="AP3846" i="2"/>
  <c r="AP3859" i="2" l="1"/>
  <c r="AP3864" i="2" s="1"/>
  <c r="AP3860" i="2"/>
  <c r="AP3872" i="2"/>
  <c r="AP3883" i="2"/>
  <c r="AP3871" i="2"/>
  <c r="AR3881" i="2"/>
  <c r="AP3847" i="2"/>
  <c r="AP3834" i="2"/>
  <c r="AP3835" i="2" s="1"/>
  <c r="AP3838" i="2" s="1"/>
  <c r="AQ3839" i="2" s="1"/>
  <c r="AP3873" i="2" l="1"/>
  <c r="AP3878" i="2" s="1"/>
  <c r="AP3874" i="2"/>
  <c r="AP3848" i="2"/>
  <c r="AP3849" i="2" s="1"/>
  <c r="AP3852" i="2" s="1"/>
  <c r="AQ3853" i="2" s="1"/>
  <c r="AP3861" i="2"/>
  <c r="AP3897" i="2"/>
  <c r="AP3885" i="2"/>
  <c r="AP3886" i="2"/>
  <c r="AR3895" i="2"/>
  <c r="AP3862" i="2" l="1"/>
  <c r="AP3863" i="2" s="1"/>
  <c r="AP3866" i="2" s="1"/>
  <c r="AQ3867" i="2" s="1"/>
  <c r="AP3875" i="2"/>
  <c r="AP3888" i="2"/>
  <c r="AP3887" i="2"/>
  <c r="AP3892" i="2" s="1"/>
  <c r="AR3909" i="2"/>
  <c r="AP3899" i="2"/>
  <c r="AP3911" i="2"/>
  <c r="AP3900" i="2"/>
  <c r="AR3923" i="2" l="1"/>
  <c r="AP3925" i="2"/>
  <c r="AP3913" i="2"/>
  <c r="AP3914" i="2"/>
  <c r="AP3889" i="2"/>
  <c r="AP3876" i="2"/>
  <c r="AP3877" i="2" s="1"/>
  <c r="AP3880" i="2" s="1"/>
  <c r="AQ3881" i="2" s="1"/>
  <c r="AP3901" i="2"/>
  <c r="AP3906" i="2" s="1"/>
  <c r="AP3902" i="2"/>
  <c r="AP3928" i="2" l="1"/>
  <c r="AP3939" i="2"/>
  <c r="AP3927" i="2"/>
  <c r="AR3937" i="2"/>
  <c r="AP3903" i="2"/>
  <c r="AP3890" i="2"/>
  <c r="AP3891" i="2" s="1"/>
  <c r="AP3894" i="2" s="1"/>
  <c r="AQ3895" i="2" s="1"/>
  <c r="AP3915" i="2"/>
  <c r="AP3920" i="2" s="1"/>
  <c r="AP3916" i="2"/>
  <c r="AP3941" i="2" l="1"/>
  <c r="AR3951" i="2"/>
  <c r="AP3953" i="2"/>
  <c r="AP3942" i="2"/>
  <c r="AP3917" i="2"/>
  <c r="AP3904" i="2"/>
  <c r="AP3905" i="2" s="1"/>
  <c r="AP3908" i="2" s="1"/>
  <c r="AQ3909" i="2" s="1"/>
  <c r="AP3930" i="2"/>
  <c r="AP3929" i="2"/>
  <c r="AP3934" i="2" s="1"/>
  <c r="AP3943" i="2" l="1"/>
  <c r="AP3948" i="2" s="1"/>
  <c r="AP3944" i="2"/>
  <c r="AP3918" i="2"/>
  <c r="AP3919" i="2" s="1"/>
  <c r="AP3922" i="2" s="1"/>
  <c r="AQ3923" i="2" s="1"/>
  <c r="AP3955" i="2"/>
  <c r="AP3967" i="2"/>
  <c r="AP3956" i="2"/>
  <c r="AR3965" i="2"/>
  <c r="AP3931" i="2"/>
  <c r="AR3979" i="2" l="1"/>
  <c r="AP3970" i="2"/>
  <c r="AP3969" i="2"/>
  <c r="AP3981" i="2"/>
  <c r="AP3945" i="2"/>
  <c r="AP3957" i="2"/>
  <c r="AP3962" i="2" s="1"/>
  <c r="AP3958" i="2"/>
  <c r="AP3932" i="2"/>
  <c r="AP3933" i="2" s="1"/>
  <c r="AP3936" i="2" s="1"/>
  <c r="AQ3937" i="2" s="1"/>
  <c r="AP3959" i="2" l="1"/>
  <c r="AP3946" i="2"/>
  <c r="AP3947" i="2" s="1"/>
  <c r="AP3950" i="2" s="1"/>
  <c r="AQ3951" i="2" s="1"/>
  <c r="AP3971" i="2"/>
  <c r="AP3976" i="2" s="1"/>
  <c r="AP3972" i="2"/>
  <c r="AP3984" i="2"/>
  <c r="AP3995" i="2"/>
  <c r="AP3983" i="2"/>
  <c r="AR3993" i="2"/>
  <c r="AP3986" i="2" l="1"/>
  <c r="AP3985" i="2"/>
  <c r="AP3990" i="2" s="1"/>
  <c r="AP3973" i="2"/>
  <c r="AP3960" i="2"/>
  <c r="AP3961" i="2" s="1"/>
  <c r="AP3964" i="2" s="1"/>
  <c r="AQ3965" i="2" s="1"/>
  <c r="AR4007" i="2"/>
  <c r="AP3997" i="2"/>
  <c r="AP3998" i="2"/>
  <c r="AP4009" i="2"/>
  <c r="AP3987" i="2" l="1"/>
  <c r="AP4023" i="2"/>
  <c r="AP4012" i="2"/>
  <c r="AR4021" i="2"/>
  <c r="AP4011" i="2"/>
  <c r="AP3974" i="2"/>
  <c r="AP3975" i="2" s="1"/>
  <c r="AP3978" i="2" s="1"/>
  <c r="AQ3979" i="2" s="1"/>
  <c r="AP3999" i="2"/>
  <c r="AP4004" i="2" s="1"/>
  <c r="AP4000" i="2"/>
  <c r="AP3988" i="2" l="1"/>
  <c r="AP3989" i="2" s="1"/>
  <c r="AP3992" i="2" s="1"/>
  <c r="AQ3993" i="2" s="1"/>
  <c r="AP4014" i="2"/>
  <c r="AP4013" i="2"/>
  <c r="AP4018" i="2" s="1"/>
  <c r="AP4001" i="2"/>
  <c r="AP4026" i="2"/>
  <c r="AR4035" i="2"/>
  <c r="AP4037" i="2"/>
  <c r="AP4025" i="2"/>
  <c r="AP4040" i="2" l="1"/>
  <c r="AP4051" i="2"/>
  <c r="AP4039" i="2"/>
  <c r="AR4049" i="2"/>
  <c r="AP4002" i="2"/>
  <c r="AP4003" i="2" s="1"/>
  <c r="AP4006" i="2" s="1"/>
  <c r="AQ4007" i="2" s="1"/>
  <c r="AP4027" i="2"/>
  <c r="AP4032" i="2" s="1"/>
  <c r="AP4028" i="2"/>
  <c r="AP4015" i="2"/>
  <c r="AP4029" i="2" l="1"/>
  <c r="AR4063" i="2"/>
  <c r="AP4065" i="2"/>
  <c r="AP4054" i="2"/>
  <c r="AP4053" i="2"/>
  <c r="AP4016" i="2"/>
  <c r="AP4017" i="2" s="1"/>
  <c r="AP4020" i="2" s="1"/>
  <c r="AQ4021" i="2" s="1"/>
  <c r="AP4041" i="2"/>
  <c r="AP4046" i="2" s="1"/>
  <c r="AP4042" i="2"/>
  <c r="AP4030" i="2" l="1"/>
  <c r="AP4031" i="2" s="1"/>
  <c r="AP4034" i="2" s="1"/>
  <c r="AQ4035" i="2" s="1"/>
  <c r="AP4043" i="2"/>
  <c r="AP4055" i="2"/>
  <c r="AP4060" i="2" s="1"/>
  <c r="AP4056" i="2"/>
  <c r="AP4067" i="2"/>
  <c r="AP4079" i="2"/>
  <c r="AP4068" i="2"/>
  <c r="AR4077" i="2"/>
  <c r="AP4057" i="2" l="1"/>
  <c r="AP4069" i="2"/>
  <c r="AP4074" i="2" s="1"/>
  <c r="AP4070" i="2"/>
  <c r="AP4044" i="2"/>
  <c r="AP4045" i="2" s="1"/>
  <c r="AP4048" i="2" s="1"/>
  <c r="AQ4049" i="2" s="1"/>
  <c r="AR4091" i="2"/>
  <c r="AP4082" i="2"/>
  <c r="AP4081" i="2"/>
  <c r="AP4093" i="2"/>
  <c r="AP4058" i="2" l="1"/>
  <c r="AP4059" i="2" s="1"/>
  <c r="AP4062" i="2" s="1"/>
  <c r="AQ4063" i="2" s="1"/>
  <c r="AP4083" i="2"/>
  <c r="AP4088" i="2" s="1"/>
  <c r="AP4084" i="2"/>
  <c r="AP4095" i="2"/>
  <c r="AR4105" i="2"/>
  <c r="AP4096" i="2"/>
  <c r="AP4107" i="2"/>
  <c r="AP4071" i="2"/>
  <c r="AP4098" i="2" l="1"/>
  <c r="AP4097" i="2"/>
  <c r="AP4102" i="2" s="1"/>
  <c r="AP4072" i="2"/>
  <c r="AP4073" i="2" s="1"/>
  <c r="AP4076" i="2" s="1"/>
  <c r="AQ4077" i="2" s="1"/>
  <c r="AR4119" i="2"/>
  <c r="AP4109" i="2"/>
  <c r="AP4121" i="2"/>
  <c r="AP4110" i="2"/>
  <c r="AP4085" i="2"/>
  <c r="AP4099" i="2" l="1"/>
  <c r="AP4112" i="2"/>
  <c r="AP4111" i="2"/>
  <c r="AP4116" i="2" s="1"/>
  <c r="AP4086" i="2"/>
  <c r="AP4087" i="2" s="1"/>
  <c r="AP4090" i="2" s="1"/>
  <c r="AQ4091" i="2" s="1"/>
  <c r="AP4135" i="2"/>
  <c r="AP4124" i="2"/>
  <c r="AR4133" i="2"/>
  <c r="AP4123" i="2"/>
  <c r="AP4100" i="2" l="1"/>
  <c r="AP4101" i="2" s="1"/>
  <c r="AP4104" i="2" s="1"/>
  <c r="AQ4105" i="2" s="1"/>
  <c r="AP4126" i="2"/>
  <c r="AP4125" i="2"/>
  <c r="AP4130" i="2" s="1"/>
  <c r="AR4147" i="2"/>
  <c r="AP4137" i="2"/>
  <c r="AP4149" i="2"/>
  <c r="AP4138" i="2"/>
  <c r="AP4113" i="2"/>
  <c r="AP4140" i="2" l="1"/>
  <c r="AP4139" i="2"/>
  <c r="AP4144" i="2" s="1"/>
  <c r="AR4161" i="2"/>
  <c r="AP4151" i="2"/>
  <c r="AP4152" i="2"/>
  <c r="AP4163" i="2"/>
  <c r="AP4127" i="2"/>
  <c r="AP4114" i="2"/>
  <c r="AP4115" i="2" s="1"/>
  <c r="AP4118" i="2" s="1"/>
  <c r="AQ4119" i="2" s="1"/>
  <c r="AP4141" i="2" l="1"/>
  <c r="AR4175" i="2"/>
  <c r="AP4165" i="2"/>
  <c r="AP4177" i="2"/>
  <c r="AP4166" i="2"/>
  <c r="AP4128" i="2"/>
  <c r="AP4129" i="2" s="1"/>
  <c r="AP4132" i="2" s="1"/>
  <c r="AQ4133" i="2" s="1"/>
  <c r="AP4153" i="2"/>
  <c r="AP4158" i="2" s="1"/>
  <c r="AP4154" i="2"/>
  <c r="AR4189" i="2" l="1"/>
  <c r="AP4179" i="2"/>
  <c r="AP4191" i="2"/>
  <c r="AP4180" i="2"/>
  <c r="AP4155" i="2"/>
  <c r="AP4142" i="2"/>
  <c r="AP4143" i="2" s="1"/>
  <c r="AP4146" i="2" s="1"/>
  <c r="AQ4147" i="2" s="1"/>
  <c r="AP4168" i="2"/>
  <c r="AP4167" i="2"/>
  <c r="AP4172" i="2" s="1"/>
  <c r="AP4169" i="2" l="1"/>
  <c r="AP4156" i="2"/>
  <c r="AP4157" i="2" s="1"/>
  <c r="AP4160" i="2" s="1"/>
  <c r="AQ4161" i="2" s="1"/>
  <c r="AP4181" i="2"/>
  <c r="AP4186" i="2" s="1"/>
  <c r="AP4182" i="2"/>
  <c r="AR4203" i="2"/>
  <c r="AP4193" i="2"/>
  <c r="AP4205" i="2"/>
  <c r="AP4194" i="2"/>
  <c r="AP4195" i="2" l="1"/>
  <c r="AP4200" i="2" s="1"/>
  <c r="AP4196" i="2"/>
  <c r="AP4170" i="2"/>
  <c r="AP4171" i="2" s="1"/>
  <c r="AP4174" i="2" s="1"/>
  <c r="AQ4175" i="2" s="1"/>
  <c r="AP4207" i="2"/>
  <c r="AP4208" i="2"/>
  <c r="AP4219" i="2"/>
  <c r="AR4217" i="2"/>
  <c r="AP4183" i="2"/>
  <c r="AP4197" i="2" l="1"/>
  <c r="AP4209" i="2"/>
  <c r="AP4214" i="2" s="1"/>
  <c r="AP4210" i="2"/>
  <c r="AP4184" i="2"/>
  <c r="AP4185" i="2" s="1"/>
  <c r="AP4188" i="2" s="1"/>
  <c r="AQ4189" i="2" s="1"/>
  <c r="AP4233" i="2"/>
  <c r="AP4222" i="2"/>
  <c r="AR4231" i="2"/>
  <c r="AP4221" i="2"/>
  <c r="AP4224" i="2" l="1"/>
  <c r="AP4223" i="2"/>
  <c r="AP4228" i="2" s="1"/>
  <c r="AP4198" i="2"/>
  <c r="AP4199" i="2" s="1"/>
  <c r="AP4202" i="2" s="1"/>
  <c r="AQ4203" i="2" s="1"/>
  <c r="AR4245" i="2"/>
  <c r="AP4235" i="2"/>
  <c r="AP4247" i="2"/>
  <c r="AP4236" i="2"/>
  <c r="AP4211" i="2"/>
  <c r="AP4212" i="2" l="1"/>
  <c r="AP4213" i="2" s="1"/>
  <c r="AP4216" i="2" s="1"/>
  <c r="AQ4217" i="2" s="1"/>
  <c r="AP4225" i="2"/>
  <c r="AP4238" i="2"/>
  <c r="AP4237" i="2"/>
  <c r="AP4242" i="2" s="1"/>
  <c r="AP4261" i="2"/>
  <c r="AP4250" i="2"/>
  <c r="AR4259" i="2"/>
  <c r="AP4249" i="2"/>
  <c r="AP4252" i="2" l="1"/>
  <c r="AP4251" i="2"/>
  <c r="AP4256" i="2" s="1"/>
  <c r="AP4239" i="2"/>
  <c r="AR4273" i="2"/>
  <c r="AP4263" i="2"/>
  <c r="AP4264" i="2"/>
  <c r="AP4275" i="2"/>
  <c r="AP4226" i="2"/>
  <c r="AP4227" i="2" s="1"/>
  <c r="AP4230" i="2" s="1"/>
  <c r="AQ4231" i="2" s="1"/>
  <c r="AP4253" i="2" l="1"/>
  <c r="AP4266" i="2"/>
  <c r="AP4265" i="2"/>
  <c r="AP4270" i="2" s="1"/>
  <c r="AP4240" i="2"/>
  <c r="AP4241" i="2" s="1"/>
  <c r="AP4244" i="2" s="1"/>
  <c r="AQ4245" i="2" s="1"/>
  <c r="AP4277" i="2"/>
  <c r="AP4289" i="2"/>
  <c r="AP4278" i="2"/>
  <c r="AR4287" i="2"/>
  <c r="AP4254" i="2" l="1"/>
  <c r="AP4255" i="2" s="1"/>
  <c r="AP4258" i="2" s="1"/>
  <c r="AQ4259" i="2" s="1"/>
  <c r="AP4280" i="2"/>
  <c r="AP4279" i="2"/>
  <c r="AP4284" i="2" s="1"/>
  <c r="AP4267" i="2"/>
  <c r="AP4303" i="2"/>
  <c r="AP4292" i="2"/>
  <c r="AR4301" i="2"/>
  <c r="AP4291" i="2"/>
  <c r="AP4268" i="2" l="1"/>
  <c r="AP4269" i="2" s="1"/>
  <c r="AP4272" i="2" s="1"/>
  <c r="AQ4273" i="2" s="1"/>
  <c r="AP4294" i="2"/>
  <c r="AP4293" i="2"/>
  <c r="AP4306" i="2"/>
  <c r="AR4315" i="2"/>
  <c r="AP4305" i="2"/>
  <c r="AP4317" i="2"/>
  <c r="AP4281" i="2"/>
  <c r="AP4298" i="2"/>
  <c r="AP4282" i="2" l="1"/>
  <c r="AP4283" i="2" s="1"/>
  <c r="AP4286" i="2" s="1"/>
  <c r="AQ4287" i="2" s="1"/>
  <c r="AP4307" i="2"/>
  <c r="AP4312" i="2" s="1"/>
  <c r="AP4308" i="2"/>
  <c r="AP4295" i="2"/>
  <c r="AP4331" i="2"/>
  <c r="AR4329" i="2"/>
  <c r="AP4319" i="2"/>
  <c r="AP4320" i="2"/>
  <c r="AP4322" i="2" l="1"/>
  <c r="AP4321" i="2"/>
  <c r="AP4326" i="2" s="1"/>
  <c r="AP4296" i="2"/>
  <c r="AP4297" i="2" s="1"/>
  <c r="AP4300" i="2" s="1"/>
  <c r="AQ4301" i="2" s="1"/>
  <c r="AP4333" i="2"/>
  <c r="AP4345" i="2"/>
  <c r="AP4334" i="2"/>
  <c r="AR4343" i="2"/>
  <c r="AP4309" i="2"/>
  <c r="AP4336" i="2" l="1"/>
  <c r="AP4335" i="2"/>
  <c r="AP4340" i="2" s="1"/>
  <c r="AP4323" i="2"/>
  <c r="AP4310" i="2"/>
  <c r="AP4311" i="2" s="1"/>
  <c r="AP4314" i="2" s="1"/>
  <c r="AQ4315" i="2" s="1"/>
  <c r="AR4357" i="2"/>
  <c r="AP4347" i="2"/>
  <c r="AP4359" i="2"/>
  <c r="AP4348" i="2"/>
  <c r="AP4337" i="2" l="1"/>
  <c r="AP4324" i="2"/>
  <c r="AP4325" i="2" s="1"/>
  <c r="AP4328" i="2" s="1"/>
  <c r="AQ4329" i="2" s="1"/>
  <c r="AP4362" i="2"/>
  <c r="AR4371" i="2"/>
  <c r="AP4361" i="2"/>
  <c r="AP4373" i="2"/>
  <c r="AP4350" i="2"/>
  <c r="AP4349" i="2"/>
  <c r="AP4354" i="2" s="1"/>
  <c r="AP4338" i="2" l="1"/>
  <c r="AP4339" i="2" s="1"/>
  <c r="AP4342" i="2" s="1"/>
  <c r="AQ4343" i="2" s="1"/>
  <c r="AP4351" i="2"/>
  <c r="AP4363" i="2"/>
  <c r="AP4368" i="2" s="1"/>
  <c r="AP4364" i="2"/>
  <c r="AP4375" i="2"/>
  <c r="AP4376" i="2"/>
  <c r="AP4387" i="2"/>
  <c r="AR4385" i="2"/>
  <c r="AP4401" i="2" l="1"/>
  <c r="AP4390" i="2"/>
  <c r="AR4399" i="2"/>
  <c r="AP4389" i="2"/>
  <c r="AP4365" i="2"/>
  <c r="AP4377" i="2"/>
  <c r="AP4382" i="2" s="1"/>
  <c r="AP4378" i="2"/>
  <c r="AP4352" i="2"/>
  <c r="AP4353" i="2" s="1"/>
  <c r="AP4356" i="2" s="1"/>
  <c r="AQ4357" i="2" s="1"/>
  <c r="AP4403" i="2" l="1"/>
  <c r="AP4415" i="2"/>
  <c r="AP4404" i="2"/>
  <c r="AR4413" i="2"/>
  <c r="AP4366" i="2"/>
  <c r="AP4367" i="2" s="1"/>
  <c r="AP4370" i="2" s="1"/>
  <c r="AQ4371" i="2" s="1"/>
  <c r="AP4379" i="2"/>
  <c r="AP4391" i="2"/>
  <c r="AP4396" i="2" s="1"/>
  <c r="AP4392" i="2"/>
  <c r="AP4406" i="2" l="1"/>
  <c r="AP4405" i="2"/>
  <c r="AP4410" i="2" s="1"/>
  <c r="AP4418" i="2"/>
  <c r="AR4427" i="2"/>
  <c r="AP4417" i="2"/>
  <c r="AP4429" i="2"/>
  <c r="AP4393" i="2"/>
  <c r="AP4380" i="2"/>
  <c r="AP4381" i="2" s="1"/>
  <c r="AP4384" i="2" s="1"/>
  <c r="AQ4385" i="2" s="1"/>
  <c r="AP4407" i="2" l="1"/>
  <c r="AP4432" i="2"/>
  <c r="AR4441" i="2"/>
  <c r="AP4443" i="2"/>
  <c r="AP4431" i="2"/>
  <c r="AP4419" i="2"/>
  <c r="AP4424" i="2" s="1"/>
  <c r="AP4420" i="2"/>
  <c r="AP4394" i="2"/>
  <c r="AP4395" i="2" s="1"/>
  <c r="AP4398" i="2" s="1"/>
  <c r="AQ4399" i="2" s="1"/>
  <c r="AP4445" i="2" l="1"/>
  <c r="AP4457" i="2"/>
  <c r="AR4455" i="2"/>
  <c r="AP4446" i="2"/>
  <c r="AP4408" i="2"/>
  <c r="AP4409" i="2" s="1"/>
  <c r="AP4412" i="2" s="1"/>
  <c r="AQ4413" i="2" s="1"/>
  <c r="AP4433" i="2"/>
  <c r="AP4438" i="2" s="1"/>
  <c r="AP4434" i="2"/>
  <c r="AP4421" i="2"/>
  <c r="AP4435" i="2" l="1"/>
  <c r="AP4448" i="2"/>
  <c r="AP4447" i="2"/>
  <c r="AP4452" i="2" s="1"/>
  <c r="AR4469" i="2"/>
  <c r="AP4460" i="2"/>
  <c r="AP4459" i="2"/>
  <c r="AP4471" i="2"/>
  <c r="AP4422" i="2"/>
  <c r="AP4423" i="2" s="1"/>
  <c r="AP4426" i="2" s="1"/>
  <c r="AQ4427" i="2" s="1"/>
  <c r="AP4436" i="2" l="1"/>
  <c r="AP4437" i="2" s="1"/>
  <c r="AP4440" i="2" s="1"/>
  <c r="AQ4441" i="2" s="1"/>
  <c r="AP4461" i="2"/>
  <c r="AP4466" i="2" s="1"/>
  <c r="AP4462" i="2"/>
  <c r="AP4449" i="2"/>
  <c r="AP4474" i="2"/>
  <c r="AR4483" i="2"/>
  <c r="AP4485" i="2"/>
  <c r="AP4473" i="2"/>
  <c r="AP4475" i="2" l="1"/>
  <c r="AP4480" i="2" s="1"/>
  <c r="AP4476" i="2"/>
  <c r="AR4497" i="2"/>
  <c r="AP4499" i="2"/>
  <c r="AP4488" i="2"/>
  <c r="AP4487" i="2"/>
  <c r="AP4450" i="2"/>
  <c r="AP4451" i="2" s="1"/>
  <c r="AP4454" i="2" s="1"/>
  <c r="AQ4455" i="2" s="1"/>
  <c r="AP4463" i="2"/>
  <c r="AP4490" i="2" l="1"/>
  <c r="AP4489" i="2"/>
  <c r="AP4494" i="2" s="1"/>
  <c r="AP4477" i="2"/>
  <c r="AP4464" i="2"/>
  <c r="AP4465" i="2" s="1"/>
  <c r="AP4468" i="2" s="1"/>
  <c r="AQ4469" i="2" s="1"/>
  <c r="AP4501" i="2"/>
  <c r="AP4513" i="2"/>
  <c r="AR4511" i="2"/>
  <c r="AP4502" i="2"/>
  <c r="AP4491" i="2" l="1"/>
  <c r="AP4478" i="2"/>
  <c r="AP4479" i="2" s="1"/>
  <c r="AP4482" i="2" s="1"/>
  <c r="AQ4483" i="2" s="1"/>
  <c r="AP4515" i="2"/>
  <c r="AP4527" i="2"/>
  <c r="AR4525" i="2"/>
  <c r="AP4516" i="2"/>
  <c r="AP4503" i="2"/>
  <c r="AP4508" i="2" s="1"/>
  <c r="AP4504" i="2"/>
  <c r="AR4539" i="2" l="1"/>
  <c r="AP4541" i="2"/>
  <c r="AP4529" i="2"/>
  <c r="AP4530" i="2"/>
  <c r="AP4492" i="2"/>
  <c r="AP4493" i="2" s="1"/>
  <c r="AP4496" i="2" s="1"/>
  <c r="AQ4497" i="2" s="1"/>
  <c r="AP4517" i="2"/>
  <c r="AP4522" i="2" s="1"/>
  <c r="AP4518" i="2"/>
  <c r="AP4505" i="2"/>
  <c r="AP4519" i="2" l="1"/>
  <c r="AP4506" i="2"/>
  <c r="AP4507" i="2" s="1"/>
  <c r="AP4510" i="2" s="1"/>
  <c r="AQ4511" i="2" s="1"/>
  <c r="AR4553" i="2"/>
  <c r="AP4555" i="2"/>
  <c r="AP4544" i="2"/>
  <c r="AP4543" i="2"/>
  <c r="AP4531" i="2"/>
  <c r="AP4536" i="2" s="1"/>
  <c r="AP4532" i="2"/>
  <c r="AP4520" i="2" l="1"/>
  <c r="AP4521" i="2" s="1"/>
  <c r="AP4524" i="2" s="1"/>
  <c r="AQ4525" i="2" s="1"/>
  <c r="AP4569" i="2"/>
  <c r="AR4567" i="2"/>
  <c r="AP4558" i="2"/>
  <c r="AP4557" i="2"/>
  <c r="AP4533" i="2"/>
  <c r="AP4546" i="2"/>
  <c r="AP4545" i="2"/>
  <c r="AP4550" i="2" s="1"/>
  <c r="AP4534" i="2" l="1"/>
  <c r="AP4535" i="2" s="1"/>
  <c r="AP4538" i="2" s="1"/>
  <c r="AQ4539" i="2" s="1"/>
  <c r="AP4547" i="2"/>
  <c r="AP4560" i="2"/>
  <c r="AP4559" i="2"/>
  <c r="AP4564" i="2" s="1"/>
  <c r="AR4581" i="2"/>
  <c r="AP4572" i="2"/>
  <c r="AP4571" i="2"/>
  <c r="AP4583" i="2"/>
  <c r="AP4573" i="2" l="1"/>
  <c r="AP4578" i="2" s="1"/>
  <c r="AP4574" i="2"/>
  <c r="AP4561" i="2"/>
  <c r="AP4597" i="2"/>
  <c r="AP4585" i="2"/>
  <c r="AP4586" i="2"/>
  <c r="AR4595" i="2"/>
  <c r="AP4548" i="2"/>
  <c r="AP4549" i="2" s="1"/>
  <c r="AP4552" i="2" s="1"/>
  <c r="AQ4553" i="2" s="1"/>
  <c r="AP4575" i="2" l="1"/>
  <c r="AR4609" i="2"/>
  <c r="AP4611" i="2"/>
  <c r="AP4600" i="2"/>
  <c r="AP4599" i="2"/>
  <c r="AP4587" i="2"/>
  <c r="AP4592" i="2" s="1"/>
  <c r="AP4588" i="2"/>
  <c r="AP4562" i="2"/>
  <c r="AP4563" i="2" s="1"/>
  <c r="AP4566" i="2" s="1"/>
  <c r="AQ4567" i="2" s="1"/>
  <c r="AP4576" i="2" l="1"/>
  <c r="AP4577" i="2" s="1"/>
  <c r="AP4580" i="2" s="1"/>
  <c r="AQ4581" i="2" s="1"/>
  <c r="AP4602" i="2"/>
  <c r="AP4601" i="2"/>
  <c r="AP4606" i="2" s="1"/>
  <c r="AP4589" i="2"/>
  <c r="AR4623" i="2"/>
  <c r="AP4614" i="2"/>
  <c r="AP4613" i="2"/>
  <c r="AP4625" i="2"/>
  <c r="AP4615" i="2" l="1"/>
  <c r="AP4620" i="2" s="1"/>
  <c r="AP4616" i="2"/>
  <c r="AP4590" i="2"/>
  <c r="AP4591" i="2" s="1"/>
  <c r="AP4594" i="2" s="1"/>
  <c r="AQ4595" i="2" s="1"/>
  <c r="AR4637" i="2"/>
  <c r="AP4628" i="2"/>
  <c r="AP4627" i="2"/>
  <c r="AP4639" i="2"/>
  <c r="AP4603" i="2"/>
  <c r="AP4604" i="2" l="1"/>
  <c r="AP4605" i="2" s="1"/>
  <c r="AP4608" i="2" s="1"/>
  <c r="AQ4609" i="2" s="1"/>
  <c r="AP4617" i="2"/>
  <c r="AP4642" i="2"/>
  <c r="AR4651" i="2"/>
  <c r="AP4653" i="2"/>
  <c r="AP4641" i="2"/>
  <c r="AP4629" i="2"/>
  <c r="AP4634" i="2" s="1"/>
  <c r="AP4630" i="2"/>
  <c r="AR4665" i="2" l="1"/>
  <c r="AP4667" i="2"/>
  <c r="AP4656" i="2"/>
  <c r="AP4655" i="2"/>
  <c r="AP4631" i="2"/>
  <c r="AP4643" i="2"/>
  <c r="AP4648" i="2" s="1"/>
  <c r="AP4644" i="2"/>
  <c r="AP4618" i="2"/>
  <c r="AP4619" i="2" s="1"/>
  <c r="AP4622" i="2" s="1"/>
  <c r="AQ4623" i="2" s="1"/>
  <c r="AP4632" i="2" l="1"/>
  <c r="AP4633" i="2" s="1"/>
  <c r="AP4636" i="2" s="1"/>
  <c r="AQ4637" i="2" s="1"/>
  <c r="AP4669" i="2"/>
  <c r="AP4681" i="2"/>
  <c r="AR4679" i="2"/>
  <c r="AP4670" i="2"/>
  <c r="AP4645" i="2"/>
  <c r="AP4658" i="2"/>
  <c r="AP4657" i="2"/>
  <c r="AP4662" i="2" s="1"/>
  <c r="AP4659" i="2" l="1"/>
  <c r="AP4672" i="2"/>
  <c r="AP4671" i="2"/>
  <c r="AP4676" i="2" s="1"/>
  <c r="AP4646" i="2"/>
  <c r="AP4647" i="2" s="1"/>
  <c r="AP4650" i="2" s="1"/>
  <c r="AQ4651" i="2" s="1"/>
  <c r="AR4693" i="2"/>
  <c r="AP4684" i="2"/>
  <c r="AP4683" i="2"/>
  <c r="AP4695" i="2"/>
  <c r="AP4685" i="2" l="1"/>
  <c r="AP4690" i="2" s="1"/>
  <c r="AP4686" i="2"/>
  <c r="AP4698" i="2"/>
  <c r="AR4707" i="2"/>
  <c r="AP4709" i="2"/>
  <c r="AP4697" i="2"/>
  <c r="AP4660" i="2"/>
  <c r="AP4661" i="2" s="1"/>
  <c r="AP4664" i="2" s="1"/>
  <c r="AQ4665" i="2" s="1"/>
  <c r="AP4673" i="2"/>
  <c r="AR4721" i="2" l="1"/>
  <c r="AP4723" i="2"/>
  <c r="AP4712" i="2"/>
  <c r="AP4711" i="2"/>
  <c r="AP4699" i="2"/>
  <c r="AP4704" i="2" s="1"/>
  <c r="AP4700" i="2"/>
  <c r="AP4687" i="2"/>
  <c r="AP4674" i="2"/>
  <c r="AP4675" i="2" s="1"/>
  <c r="AP4678" i="2" s="1"/>
  <c r="AQ4679" i="2" s="1"/>
  <c r="AP4725" i="2" l="1"/>
  <c r="AP4737" i="2"/>
  <c r="AR4735" i="2"/>
  <c r="AP4726" i="2"/>
  <c r="AP4701" i="2"/>
  <c r="AP4688" i="2"/>
  <c r="AP4689" i="2" s="1"/>
  <c r="AP4692" i="2" s="1"/>
  <c r="AQ4693" i="2" s="1"/>
  <c r="AP4714" i="2"/>
  <c r="AP4713" i="2"/>
  <c r="AP4718" i="2" s="1"/>
  <c r="AP4727" i="2" l="1"/>
  <c r="AP4732" i="2" s="1"/>
  <c r="AP4728" i="2"/>
  <c r="AP4715" i="2"/>
  <c r="AP4702" i="2"/>
  <c r="AP4703" i="2" s="1"/>
  <c r="AP4706" i="2" s="1"/>
  <c r="AQ4707" i="2" s="1"/>
  <c r="AR4749" i="2"/>
  <c r="AP4740" i="2"/>
  <c r="AP4739" i="2"/>
  <c r="AP4751" i="2"/>
  <c r="AP4741" i="2" l="1"/>
  <c r="AP4746" i="2" s="1"/>
  <c r="AP4742" i="2"/>
  <c r="AP4729" i="2"/>
  <c r="AP4716" i="2"/>
  <c r="AP4717" i="2" s="1"/>
  <c r="AP4720" i="2" s="1"/>
  <c r="AQ4721" i="2" s="1"/>
  <c r="AP4765" i="2"/>
  <c r="AP4753" i="2"/>
  <c r="AP4754" i="2"/>
  <c r="AR4763" i="2"/>
  <c r="AP4743" i="2" l="1"/>
  <c r="AP4779" i="2"/>
  <c r="AP4768" i="2"/>
  <c r="AP4767" i="2"/>
  <c r="AR4777" i="2"/>
  <c r="AP4756" i="2"/>
  <c r="AP4755" i="2"/>
  <c r="AP4760" i="2" s="1"/>
  <c r="AP4730" i="2"/>
  <c r="AP4731" i="2" s="1"/>
  <c r="AP4734" i="2" s="1"/>
  <c r="AQ4735" i="2" s="1"/>
  <c r="AP4770" i="2" l="1"/>
  <c r="AP4769" i="2"/>
  <c r="AP4774" i="2" s="1"/>
  <c r="AP4744" i="2"/>
  <c r="AP4745" i="2" s="1"/>
  <c r="AP4748" i="2" s="1"/>
  <c r="AQ4749" i="2" s="1"/>
  <c r="AP4757" i="2"/>
  <c r="AP4782" i="2"/>
  <c r="AP4781" i="2"/>
  <c r="AP4793" i="2"/>
  <c r="AR4791" i="2"/>
  <c r="AP4795" i="2" l="1"/>
  <c r="AP4807" i="2"/>
  <c r="AR4805" i="2"/>
  <c r="AP4796" i="2"/>
  <c r="AP4771" i="2"/>
  <c r="AP4758" i="2"/>
  <c r="AP4759" i="2" s="1"/>
  <c r="AP4762" i="2" s="1"/>
  <c r="AQ4763" i="2" s="1"/>
  <c r="AP4783" i="2"/>
  <c r="AP4788" i="2" s="1"/>
  <c r="AP4784" i="2"/>
  <c r="AP4797" i="2" l="1"/>
  <c r="AP4802" i="2" s="1"/>
  <c r="AP4798" i="2"/>
  <c r="AP4785" i="2"/>
  <c r="AP4810" i="2"/>
  <c r="AR4819" i="2"/>
  <c r="AP4821" i="2"/>
  <c r="AP4809" i="2"/>
  <c r="AP4772" i="2"/>
  <c r="AP4773" i="2" s="1"/>
  <c r="AP4776" i="2" s="1"/>
  <c r="AQ4777" i="2" s="1"/>
  <c r="AP4799" i="2" l="1"/>
  <c r="AP4835" i="2"/>
  <c r="AP4824" i="2"/>
  <c r="AP4823" i="2"/>
  <c r="AR4833" i="2"/>
  <c r="AP4812" i="2"/>
  <c r="AP4811" i="2"/>
  <c r="AP4816" i="2" s="1"/>
  <c r="AP4786" i="2"/>
  <c r="AP4787" i="2" s="1"/>
  <c r="AP4790" i="2" s="1"/>
  <c r="AQ4791" i="2" s="1"/>
  <c r="AP4825" i="2" l="1"/>
  <c r="AP4830" i="2" s="1"/>
  <c r="AP4826" i="2"/>
  <c r="AP4800" i="2"/>
  <c r="AP4801" i="2" s="1"/>
  <c r="AP4804" i="2" s="1"/>
  <c r="AQ4805" i="2" s="1"/>
  <c r="AP4838" i="2"/>
  <c r="AP4837" i="2"/>
  <c r="AP4849" i="2"/>
  <c r="AR4847" i="2"/>
  <c r="AP4813" i="2"/>
  <c r="AP4814" i="2" l="1"/>
  <c r="AP4815" i="2" s="1"/>
  <c r="AP4818" i="2" s="1"/>
  <c r="AQ4819" i="2" s="1"/>
  <c r="AP4827" i="2"/>
  <c r="AP4840" i="2"/>
  <c r="AP4839" i="2"/>
  <c r="AP4844" i="2" s="1"/>
  <c r="AP4851" i="2"/>
  <c r="AP4863" i="2"/>
  <c r="AR4861" i="2"/>
  <c r="AP4852" i="2"/>
  <c r="AP4841" i="2" l="1"/>
  <c r="AP4853" i="2"/>
  <c r="AP4858" i="2" s="1"/>
  <c r="AP4854" i="2"/>
  <c r="AP4877" i="2"/>
  <c r="AP4865" i="2"/>
  <c r="AP4866" i="2"/>
  <c r="AR4875" i="2"/>
  <c r="AP4828" i="2"/>
  <c r="AP4829" i="2" s="1"/>
  <c r="AP4832" i="2" s="1"/>
  <c r="AQ4833" i="2" s="1"/>
  <c r="AR4889" i="2" l="1"/>
  <c r="AP4891" i="2"/>
  <c r="AP4880" i="2"/>
  <c r="AP4879" i="2"/>
  <c r="AP4867" i="2"/>
  <c r="AP4872" i="2" s="1"/>
  <c r="AP4868" i="2"/>
  <c r="AP4842" i="2"/>
  <c r="AP4843" i="2" s="1"/>
  <c r="AP4846" i="2" s="1"/>
  <c r="AQ4847" i="2" s="1"/>
  <c r="AP4855" i="2"/>
  <c r="AP4905" i="2" l="1"/>
  <c r="AR4903" i="2"/>
  <c r="AP4894" i="2"/>
  <c r="AP4893" i="2"/>
  <c r="AP4856" i="2"/>
  <c r="AP4857" i="2" s="1"/>
  <c r="AP4860" i="2" s="1"/>
  <c r="AQ4861" i="2" s="1"/>
  <c r="AP4869" i="2"/>
  <c r="AP4881" i="2"/>
  <c r="AP4886" i="2" s="1"/>
  <c r="AP4882" i="2"/>
  <c r="AP4907" i="2" l="1"/>
  <c r="AP4919" i="2"/>
  <c r="AR4917" i="2"/>
  <c r="AP4908" i="2"/>
  <c r="AP4870" i="2"/>
  <c r="AP4871" i="2" s="1"/>
  <c r="AP4874" i="2" s="1"/>
  <c r="AQ4875" i="2" s="1"/>
  <c r="AP4883" i="2"/>
  <c r="AP4896" i="2"/>
  <c r="AP4895" i="2"/>
  <c r="AP4900" i="2" s="1"/>
  <c r="AP4909" i="2" l="1"/>
  <c r="AP4914" i="2" s="1"/>
  <c r="AP4910" i="2"/>
  <c r="AP4884" i="2"/>
  <c r="AP4885" i="2" s="1"/>
  <c r="AP4888" i="2" s="1"/>
  <c r="AQ4889" i="2" s="1"/>
  <c r="AP4897" i="2"/>
  <c r="AP4922" i="2"/>
  <c r="AR4931" i="2"/>
  <c r="AP4933" i="2"/>
  <c r="AP4921" i="2"/>
  <c r="AP4947" i="2" l="1"/>
  <c r="AP4936" i="2"/>
  <c r="AP4935" i="2"/>
  <c r="AR4945" i="2"/>
  <c r="AP4924" i="2"/>
  <c r="AP4923" i="2"/>
  <c r="AP4928" i="2" s="1"/>
  <c r="AP4898" i="2"/>
  <c r="AP4899" i="2" s="1"/>
  <c r="AP4902" i="2" s="1"/>
  <c r="AQ4903" i="2" s="1"/>
  <c r="AP4911" i="2"/>
  <c r="AP4961" i="2" l="1"/>
  <c r="AR4959" i="2"/>
  <c r="AP4950" i="2"/>
  <c r="AP4949" i="2"/>
  <c r="AP4925" i="2"/>
  <c r="AP4912" i="2"/>
  <c r="AP4913" i="2" s="1"/>
  <c r="AP4916" i="2" s="1"/>
  <c r="AQ4917" i="2" s="1"/>
  <c r="AP4938" i="2"/>
  <c r="AP4937" i="2"/>
  <c r="AP4942" i="2" s="1"/>
  <c r="AR4973" i="2" l="1"/>
  <c r="AP4964" i="2"/>
  <c r="AP4963" i="2"/>
  <c r="AP4975" i="2"/>
  <c r="AP4926" i="2"/>
  <c r="AP4927" i="2" s="1"/>
  <c r="AP4930" i="2" s="1"/>
  <c r="AQ4931" i="2" s="1"/>
  <c r="AP4939" i="2"/>
  <c r="AP4951" i="2"/>
  <c r="AP4956" i="2" s="1"/>
  <c r="AP4952" i="2"/>
  <c r="AP4953" i="2" l="1"/>
  <c r="AP4965" i="2"/>
  <c r="AP4970" i="2" s="1"/>
  <c r="AP4966" i="2"/>
  <c r="AP4940" i="2"/>
  <c r="AP4941" i="2" s="1"/>
  <c r="AP4944" i="2" s="1"/>
  <c r="AQ4945" i="2" s="1"/>
  <c r="AP4978" i="2"/>
  <c r="AR4987" i="2"/>
  <c r="AP4989" i="2"/>
  <c r="AP4977" i="2"/>
  <c r="AP4980" i="2" l="1"/>
  <c r="AP4979" i="2"/>
  <c r="AP4984" i="2" s="1"/>
  <c r="AP4954" i="2"/>
  <c r="AP4955" i="2" s="1"/>
  <c r="AP4958" i="2" s="1"/>
  <c r="AQ4959" i="2" s="1"/>
  <c r="AP4991" i="2"/>
  <c r="AR5001" i="2"/>
  <c r="AP5003" i="2"/>
  <c r="AP4992" i="2"/>
  <c r="AP4967" i="2"/>
  <c r="AP4994" i="2" l="1"/>
  <c r="AP4993" i="2"/>
  <c r="AP4998" i="2" s="1"/>
  <c r="AP4981" i="2"/>
  <c r="AP4968" i="2"/>
  <c r="AP4969" i="2" s="1"/>
  <c r="AP4972" i="2" s="1"/>
  <c r="AQ4973" i="2" s="1"/>
  <c r="AP5017" i="2"/>
  <c r="AR5015" i="2"/>
  <c r="AP5006" i="2"/>
  <c r="AP5005" i="2"/>
  <c r="AP4995" i="2" l="1"/>
  <c r="AP5008" i="2"/>
  <c r="AP5007" i="2"/>
  <c r="AP5012" i="2" s="1"/>
  <c r="AP5031" i="2"/>
  <c r="AR5029" i="2"/>
  <c r="AP5020" i="2"/>
  <c r="AP5019" i="2"/>
  <c r="AP4982" i="2"/>
  <c r="AP4983" i="2" s="1"/>
  <c r="AP4986" i="2" s="1"/>
  <c r="AQ4987" i="2" s="1"/>
  <c r="AR5043" i="2" l="1"/>
  <c r="AP5045" i="2"/>
  <c r="AP5033" i="2"/>
  <c r="AP5034" i="2"/>
  <c r="AP4996" i="2"/>
  <c r="AP4997" i="2" s="1"/>
  <c r="AP5000" i="2" s="1"/>
  <c r="AQ5001" i="2" s="1"/>
  <c r="AP5009" i="2"/>
  <c r="AP5022" i="2"/>
  <c r="AP5021" i="2"/>
  <c r="AP5026" i="2" s="1"/>
  <c r="AP5010" i="2" l="1"/>
  <c r="AP5011" i="2" s="1"/>
  <c r="AP5014" i="2" s="1"/>
  <c r="AQ5015" i="2" s="1"/>
  <c r="AP5023" i="2"/>
  <c r="AP5059" i="2"/>
  <c r="AP5048" i="2"/>
  <c r="AP5047" i="2"/>
  <c r="AR5057" i="2"/>
  <c r="AP5036" i="2"/>
  <c r="AP5035" i="2"/>
  <c r="AP5040" i="2" s="1"/>
  <c r="AP5061" i="2" l="1"/>
  <c r="AP5073" i="2"/>
  <c r="AR5071" i="2"/>
  <c r="AP5062" i="2"/>
  <c r="AP5037" i="2"/>
  <c r="AP5050" i="2"/>
  <c r="AP5049" i="2"/>
  <c r="AP5054" i="2" s="1"/>
  <c r="AP5024" i="2"/>
  <c r="AP5025" i="2" s="1"/>
  <c r="AP5028" i="2" s="1"/>
  <c r="AQ5029" i="2" s="1"/>
  <c r="AP5064" i="2" l="1"/>
  <c r="AP5063" i="2"/>
  <c r="AP5068" i="2" s="1"/>
  <c r="AP5075" i="2"/>
  <c r="AP5087" i="2"/>
  <c r="AR5085" i="2"/>
  <c r="AP5076" i="2"/>
  <c r="AP5038" i="2"/>
  <c r="AP5039" i="2" s="1"/>
  <c r="AP5042" i="2" s="1"/>
  <c r="AQ5043" i="2" s="1"/>
  <c r="AP5051" i="2"/>
  <c r="AP5065" i="2" l="1"/>
  <c r="AP5052" i="2"/>
  <c r="AP5053" i="2" s="1"/>
  <c r="AP5056" i="2" s="1"/>
  <c r="AQ5057" i="2" s="1"/>
  <c r="AP5077" i="2"/>
  <c r="AP5082" i="2" s="1"/>
  <c r="AP5078" i="2"/>
  <c r="AP5090" i="2"/>
  <c r="AR5099" i="2"/>
  <c r="AP5101" i="2"/>
  <c r="AP5089" i="2"/>
  <c r="AR5113" i="2" l="1"/>
  <c r="AP5115" i="2"/>
  <c r="AP5104" i="2"/>
  <c r="AP5103" i="2"/>
  <c r="AP5079" i="2"/>
  <c r="AP5066" i="2"/>
  <c r="AP5067" i="2" s="1"/>
  <c r="AP5070" i="2" s="1"/>
  <c r="AQ5071" i="2" s="1"/>
  <c r="AP5091" i="2"/>
  <c r="AP5096" i="2" s="1"/>
  <c r="AP5092" i="2"/>
  <c r="AP5093" i="2" l="1"/>
  <c r="AP5117" i="2"/>
  <c r="AP5129" i="2"/>
  <c r="AR5127" i="2"/>
  <c r="AP5118" i="2"/>
  <c r="AP5080" i="2"/>
  <c r="AP5081" i="2" s="1"/>
  <c r="AP5084" i="2" s="1"/>
  <c r="AQ5085" i="2" s="1"/>
  <c r="AP5106" i="2"/>
  <c r="AP5105" i="2"/>
  <c r="AP5110" i="2" s="1"/>
  <c r="AP5094" i="2" l="1"/>
  <c r="AP5095" i="2" s="1"/>
  <c r="AP5098" i="2" s="1"/>
  <c r="AQ5099" i="2" s="1"/>
  <c r="AP5107" i="2"/>
  <c r="AP5119" i="2"/>
  <c r="AP5124" i="2" s="1"/>
  <c r="AP5120" i="2"/>
  <c r="AR5141" i="2"/>
  <c r="AP5132" i="2"/>
  <c r="AP5131" i="2"/>
  <c r="AP5143" i="2"/>
  <c r="AP5133" i="2" l="1"/>
  <c r="AP5138" i="2" s="1"/>
  <c r="AP5134" i="2"/>
  <c r="AP5146" i="2"/>
  <c r="AR5155" i="2"/>
  <c r="AP5157" i="2"/>
  <c r="AP5145" i="2"/>
  <c r="AP5121" i="2"/>
  <c r="AP5108" i="2"/>
  <c r="AP5109" i="2" s="1"/>
  <c r="AP5112" i="2" s="1"/>
  <c r="AQ5113" i="2" s="1"/>
  <c r="AP5135" i="2" l="1"/>
  <c r="AP5160" i="2"/>
  <c r="AP5159" i="2"/>
  <c r="AR5169" i="2"/>
  <c r="AP5171" i="2"/>
  <c r="AP5122" i="2"/>
  <c r="AP5123" i="2" s="1"/>
  <c r="AP5126" i="2" s="1"/>
  <c r="AQ5127" i="2" s="1"/>
  <c r="AP5147" i="2"/>
  <c r="AP5152" i="2" s="1"/>
  <c r="AP5148" i="2"/>
  <c r="AP5162" i="2" l="1"/>
  <c r="AP5161" i="2"/>
  <c r="AP5166" i="2" s="1"/>
  <c r="AP5136" i="2"/>
  <c r="AP5137" i="2" s="1"/>
  <c r="AP5140" i="2" s="1"/>
  <c r="AQ5141" i="2" s="1"/>
  <c r="AP5149" i="2"/>
  <c r="AP5174" i="2"/>
  <c r="AP5173" i="2"/>
  <c r="AP5185" i="2"/>
  <c r="AR5183" i="2"/>
  <c r="AP5176" i="2" l="1"/>
  <c r="AP5175" i="2"/>
  <c r="AP5180" i="2" s="1"/>
  <c r="AR5197" i="2"/>
  <c r="AP5188" i="2"/>
  <c r="AP5187" i="2"/>
  <c r="AP5199" i="2"/>
  <c r="AP5163" i="2"/>
  <c r="AP5150" i="2"/>
  <c r="AP5151" i="2" s="1"/>
  <c r="AP5154" i="2" s="1"/>
  <c r="AQ5155" i="2" s="1"/>
  <c r="AP5177" i="2" l="1"/>
  <c r="AP5202" i="2"/>
  <c r="AR5211" i="2"/>
  <c r="AP5213" i="2"/>
  <c r="AP5201" i="2"/>
  <c r="AP5189" i="2"/>
  <c r="AP5194" i="2" s="1"/>
  <c r="AP5190" i="2"/>
  <c r="AP5164" i="2"/>
  <c r="AP5165" i="2" s="1"/>
  <c r="AP5168" i="2" s="1"/>
  <c r="AQ5169" i="2" s="1"/>
  <c r="AP5215" i="2" l="1"/>
  <c r="AR5225" i="2"/>
  <c r="AP5227" i="2"/>
  <c r="AP5216" i="2"/>
  <c r="AP5178" i="2"/>
  <c r="AP5179" i="2" s="1"/>
  <c r="AP5182" i="2" s="1"/>
  <c r="AQ5183" i="2" s="1"/>
  <c r="AP5204" i="2"/>
  <c r="AP5203" i="2"/>
  <c r="AP5208" i="2" s="1"/>
  <c r="AP5191" i="2"/>
  <c r="AP5217" i="2" l="1"/>
  <c r="AP5222" i="2" s="1"/>
  <c r="AP5218" i="2"/>
  <c r="AP5192" i="2"/>
  <c r="AP5193" i="2" s="1"/>
  <c r="AP5196" i="2" s="1"/>
  <c r="AQ5197" i="2" s="1"/>
  <c r="AP5205" i="2"/>
  <c r="AP5241" i="2"/>
  <c r="AR5239" i="2"/>
  <c r="AP5230" i="2"/>
  <c r="AP5229" i="2"/>
  <c r="AP5231" i="2" l="1"/>
  <c r="AP5236" i="2" s="1"/>
  <c r="AP5232" i="2"/>
  <c r="AP5206" i="2"/>
  <c r="AP5207" i="2" s="1"/>
  <c r="AP5210" i="2" s="1"/>
  <c r="AQ5211" i="2" s="1"/>
  <c r="AP5219" i="2"/>
  <c r="AR5253" i="2"/>
  <c r="AP5244" i="2"/>
  <c r="AP5243" i="2"/>
  <c r="AP5255" i="2"/>
  <c r="AP5245" i="2" l="1"/>
  <c r="AP5250" i="2" s="1"/>
  <c r="AP5246" i="2"/>
  <c r="AP5220" i="2"/>
  <c r="AP5221" i="2" s="1"/>
  <c r="AP5224" i="2" s="1"/>
  <c r="AQ5225" i="2" s="1"/>
  <c r="AP5258" i="2"/>
  <c r="AR5267" i="2"/>
  <c r="AP5269" i="2"/>
  <c r="AP5257" i="2"/>
  <c r="AP5233" i="2"/>
  <c r="AP5247" i="2" l="1"/>
  <c r="AP5234" i="2"/>
  <c r="AP5235" i="2" s="1"/>
  <c r="AP5238" i="2" s="1"/>
  <c r="AQ5239" i="2" s="1"/>
  <c r="AR5281" i="2"/>
  <c r="AP5283" i="2"/>
  <c r="AP5272" i="2"/>
  <c r="AP5271" i="2"/>
  <c r="AP5259" i="2"/>
  <c r="AP5264" i="2" s="1"/>
  <c r="AP5260" i="2"/>
  <c r="AP5248" i="2" l="1"/>
  <c r="AP5249" i="2" s="1"/>
  <c r="AP5252" i="2" s="1"/>
  <c r="AQ5253" i="2" s="1"/>
  <c r="AP5297" i="2"/>
  <c r="AR5295" i="2"/>
  <c r="AP5286" i="2"/>
  <c r="AP5285" i="2"/>
  <c r="AP5261" i="2"/>
  <c r="AP5273" i="2"/>
  <c r="AP5278" i="2" s="1"/>
  <c r="AP5274" i="2"/>
  <c r="AR5309" i="2" l="1"/>
  <c r="AP5300" i="2"/>
  <c r="AP5299" i="2"/>
  <c r="AP5311" i="2"/>
  <c r="AP5288" i="2"/>
  <c r="AP5287" i="2"/>
  <c r="AP5292" i="2" s="1"/>
  <c r="AP5275" i="2"/>
  <c r="AP5262" i="2"/>
  <c r="AP5263" i="2" s="1"/>
  <c r="AP5266" i="2" s="1"/>
  <c r="AQ5267" i="2" s="1"/>
  <c r="AR5323" i="2" l="1"/>
  <c r="AP5325" i="2"/>
  <c r="AP5313" i="2"/>
  <c r="AP5314" i="2"/>
  <c r="AP5289" i="2"/>
  <c r="AP5276" i="2"/>
  <c r="AP5277" i="2" s="1"/>
  <c r="AP5280" i="2" s="1"/>
  <c r="AQ5281" i="2" s="1"/>
  <c r="AP5302" i="2"/>
  <c r="AP5301" i="2"/>
  <c r="AP5306" i="2" s="1"/>
  <c r="AP5303" i="2" l="1"/>
  <c r="AP5290" i="2"/>
  <c r="AP5291" i="2" s="1"/>
  <c r="AP5294" i="2" s="1"/>
  <c r="AQ5295" i="2" s="1"/>
  <c r="AP5327" i="2"/>
  <c r="AR5337" i="2"/>
  <c r="AP5339" i="2"/>
  <c r="AP5328" i="2"/>
  <c r="AP5316" i="2"/>
  <c r="AP5315" i="2"/>
  <c r="AP5320" i="2" s="1"/>
  <c r="AP5329" i="2" l="1"/>
  <c r="AP5334" i="2" s="1"/>
  <c r="AP5330" i="2"/>
  <c r="AP5304" i="2"/>
  <c r="AP5305" i="2" s="1"/>
  <c r="AP5308" i="2" s="1"/>
  <c r="AQ5309" i="2" s="1"/>
  <c r="AP5317" i="2"/>
  <c r="AP5342" i="2"/>
  <c r="AP5341" i="2"/>
  <c r="AP5353" i="2"/>
  <c r="AR5351" i="2"/>
  <c r="AP5355" i="2" l="1"/>
  <c r="AP5367" i="2"/>
  <c r="AR5365" i="2"/>
  <c r="AP5356" i="2"/>
  <c r="AP5331" i="2"/>
  <c r="AP5343" i="2"/>
  <c r="AP5348" i="2" s="1"/>
  <c r="AP5344" i="2"/>
  <c r="AP5318" i="2"/>
  <c r="AP5319" i="2" s="1"/>
  <c r="AP5322" i="2" s="1"/>
  <c r="AQ5323" i="2" s="1"/>
  <c r="AP5357" i="2" l="1"/>
  <c r="AP5362" i="2" s="1"/>
  <c r="AP5358" i="2"/>
  <c r="AP5345" i="2"/>
  <c r="AP5332" i="2"/>
  <c r="AP5333" i="2" s="1"/>
  <c r="AP5336" i="2" s="1"/>
  <c r="AQ5337" i="2" s="1"/>
  <c r="AP5370" i="2"/>
  <c r="AR5379" i="2"/>
  <c r="AP5381" i="2"/>
  <c r="AP5369" i="2"/>
  <c r="AP5395" i="2" l="1"/>
  <c r="AP5384" i="2"/>
  <c r="AP5383" i="2"/>
  <c r="AR5393" i="2"/>
  <c r="AP5359" i="2"/>
  <c r="AP5372" i="2"/>
  <c r="AP5371" i="2"/>
  <c r="AP5376" i="2" s="1"/>
  <c r="AP5346" i="2"/>
  <c r="AP5347" i="2" s="1"/>
  <c r="AP5350" i="2" s="1"/>
  <c r="AQ5351" i="2" s="1"/>
  <c r="AR5407" i="2" l="1"/>
  <c r="AP5398" i="2"/>
  <c r="AP5397" i="2"/>
  <c r="AP5409" i="2"/>
  <c r="AP5360" i="2"/>
  <c r="AP5361" i="2" s="1"/>
  <c r="AP5364" i="2" s="1"/>
  <c r="AQ5365" i="2" s="1"/>
  <c r="AP5385" i="2"/>
  <c r="AP5390" i="2" s="1"/>
  <c r="AP5386" i="2"/>
  <c r="AP5373" i="2"/>
  <c r="AP5387" i="2" l="1"/>
  <c r="AP5374" i="2"/>
  <c r="AP5375" i="2" s="1"/>
  <c r="AP5378" i="2" s="1"/>
  <c r="AQ5379" i="2" s="1"/>
  <c r="AP5400" i="2"/>
  <c r="AP5399" i="2"/>
  <c r="AP5404" i="2" s="1"/>
  <c r="AP5412" i="2"/>
  <c r="AR5421" i="2"/>
  <c r="AP5411" i="2"/>
  <c r="AP5423" i="2"/>
  <c r="AP5401" i="2" l="1"/>
  <c r="AP5388" i="2"/>
  <c r="AP5389" i="2" s="1"/>
  <c r="AP5392" i="2" s="1"/>
  <c r="AQ5393" i="2" s="1"/>
  <c r="AP5413" i="2"/>
  <c r="AP5418" i="2" s="1"/>
  <c r="AP5414" i="2"/>
  <c r="AP5425" i="2"/>
  <c r="AP5426" i="2"/>
  <c r="AR5435" i="2"/>
  <c r="AP5437" i="2"/>
  <c r="AP5402" i="2" l="1"/>
  <c r="AP5403" i="2" s="1"/>
  <c r="AP5406" i="2" s="1"/>
  <c r="AQ5407" i="2" s="1"/>
  <c r="AP5451" i="2"/>
  <c r="AP5440" i="2"/>
  <c r="AP5439" i="2"/>
  <c r="AR5449" i="2"/>
  <c r="AP5415" i="2"/>
  <c r="AP5428" i="2"/>
  <c r="AP5427" i="2"/>
  <c r="AP5432" i="2" s="1"/>
  <c r="AP5442" i="2" l="1"/>
  <c r="AP5441" i="2"/>
  <c r="AP5446" i="2" s="1"/>
  <c r="AP5429" i="2"/>
  <c r="AP5453" i="2"/>
  <c r="AP5465" i="2"/>
  <c r="AR5463" i="2"/>
  <c r="AP5454" i="2"/>
  <c r="AP5416" i="2"/>
  <c r="AP5417" i="2" s="1"/>
  <c r="AP5420" i="2" s="1"/>
  <c r="AQ5421" i="2" s="1"/>
  <c r="AP5456" i="2" l="1"/>
  <c r="AP5455" i="2"/>
  <c r="AP5460" i="2" s="1"/>
  <c r="AP5443" i="2"/>
  <c r="AP5468" i="2"/>
  <c r="AR5477" i="2"/>
  <c r="AP5467" i="2"/>
  <c r="AP5479" i="2"/>
  <c r="AP5430" i="2"/>
  <c r="AP5431" i="2" s="1"/>
  <c r="AP5434" i="2" s="1"/>
  <c r="AQ5435" i="2" s="1"/>
  <c r="AP5457" i="2" l="1"/>
  <c r="AP5469" i="2"/>
  <c r="AP5474" i="2" s="1"/>
  <c r="AP5470" i="2"/>
  <c r="AP5444" i="2"/>
  <c r="AP5445" i="2" s="1"/>
  <c r="AP5448" i="2" s="1"/>
  <c r="AQ5449" i="2" s="1"/>
  <c r="AR5491" i="2"/>
  <c r="AP5493" i="2"/>
  <c r="AP5481" i="2"/>
  <c r="AP5482" i="2"/>
  <c r="AP5484" i="2" l="1"/>
  <c r="AP5483" i="2"/>
  <c r="AP5488" i="2" s="1"/>
  <c r="AP5458" i="2"/>
  <c r="AP5459" i="2" s="1"/>
  <c r="AP5462" i="2" s="1"/>
  <c r="AQ5463" i="2" s="1"/>
  <c r="AR5505" i="2"/>
  <c r="AP5507" i="2"/>
  <c r="AP5496" i="2"/>
  <c r="AP5495" i="2"/>
  <c r="AP5471" i="2"/>
  <c r="AP5485" i="2" l="1"/>
  <c r="AP5498" i="2"/>
  <c r="AP5497" i="2"/>
  <c r="AP5502" i="2" s="1"/>
  <c r="AP5472" i="2"/>
  <c r="AP5473" i="2" s="1"/>
  <c r="AP5476" i="2" s="1"/>
  <c r="AQ5477" i="2" s="1"/>
  <c r="AP5521" i="2"/>
  <c r="AR5519" i="2"/>
  <c r="AP5510" i="2"/>
  <c r="AP5509" i="2"/>
  <c r="AP5486" i="2" l="1"/>
  <c r="AP5487" i="2" s="1"/>
  <c r="AP5490" i="2" s="1"/>
  <c r="AQ5491" i="2" s="1"/>
  <c r="AP5511" i="2"/>
  <c r="AP5516" i="2" s="1"/>
  <c r="AP5512" i="2"/>
  <c r="AP5523" i="2"/>
  <c r="AR5533" i="2"/>
  <c r="AP5524" i="2"/>
  <c r="AP5535" i="2"/>
  <c r="AP5499" i="2"/>
  <c r="AP5526" i="2" l="1"/>
  <c r="AP5525" i="2"/>
  <c r="AP5530" i="2" s="1"/>
  <c r="AP5500" i="2"/>
  <c r="AP5501" i="2" s="1"/>
  <c r="AP5504" i="2" s="1"/>
  <c r="AQ5505" i="2" s="1"/>
  <c r="AR5547" i="2"/>
  <c r="AP5537" i="2"/>
  <c r="AP5538" i="2"/>
  <c r="AP5549" i="2"/>
  <c r="AP5513" i="2"/>
  <c r="AP5527" i="2" l="1"/>
  <c r="AP5514" i="2"/>
  <c r="AP5515" i="2" s="1"/>
  <c r="AP5518" i="2" s="1"/>
  <c r="AQ5519" i="2" s="1"/>
  <c r="AP5539" i="2"/>
  <c r="AP5544" i="2" s="1"/>
  <c r="AP5540" i="2"/>
  <c r="AP5563" i="2"/>
  <c r="AP5552" i="2"/>
  <c r="AP5551" i="2"/>
  <c r="AR5561" i="2"/>
  <c r="AP5541" i="2" l="1"/>
  <c r="AP5528" i="2"/>
  <c r="AP5529" i="2" s="1"/>
  <c r="AP5532" i="2" s="1"/>
  <c r="AQ5533" i="2" s="1"/>
  <c r="AP5554" i="2"/>
  <c r="AP5553" i="2"/>
  <c r="AP5558" i="2" s="1"/>
  <c r="AR5575" i="2"/>
  <c r="AP5566" i="2"/>
  <c r="AP5565" i="2"/>
  <c r="AP5577" i="2"/>
  <c r="AP5568" i="2" l="1"/>
  <c r="AP5567" i="2"/>
  <c r="AP5572" i="2" s="1"/>
  <c r="AP5555" i="2"/>
  <c r="AP5542" i="2"/>
  <c r="AP5543" i="2" s="1"/>
  <c r="AP5546" i="2" s="1"/>
  <c r="AQ5547" i="2" s="1"/>
  <c r="AP5591" i="2"/>
  <c r="AR5589" i="2"/>
  <c r="AP5579" i="2"/>
  <c r="AP5580" i="2"/>
  <c r="AP5581" i="2" l="1"/>
  <c r="AP5586" i="2" s="1"/>
  <c r="AP5582" i="2"/>
  <c r="AP5569" i="2"/>
  <c r="AR5603" i="2"/>
  <c r="AP5593" i="2"/>
  <c r="AP5605" i="2"/>
  <c r="AP5594" i="2"/>
  <c r="AP5556" i="2"/>
  <c r="AP5557" i="2" s="1"/>
  <c r="AP5560" i="2" s="1"/>
  <c r="AQ5561" i="2" s="1"/>
  <c r="AP5583" i="2" l="1"/>
  <c r="AP5595" i="2"/>
  <c r="AP5600" i="2" s="1"/>
  <c r="AP5596" i="2"/>
  <c r="AP5607" i="2"/>
  <c r="AR5617" i="2"/>
  <c r="AP5619" i="2"/>
  <c r="AP5608" i="2"/>
  <c r="AP5570" i="2"/>
  <c r="AP5571" i="2" s="1"/>
  <c r="AP5574" i="2" s="1"/>
  <c r="AQ5575" i="2" s="1"/>
  <c r="AP5584" i="2" l="1"/>
  <c r="AP5585" i="2" s="1"/>
  <c r="AP5588" i="2" s="1"/>
  <c r="AQ5589" i="2" s="1"/>
  <c r="AP5610" i="2"/>
  <c r="AP5609" i="2"/>
  <c r="AP5614" i="2" s="1"/>
  <c r="AR5631" i="2"/>
  <c r="AP5622" i="2"/>
  <c r="AP5621" i="2"/>
  <c r="AP5597" i="2"/>
  <c r="AP5598" i="2" l="1"/>
  <c r="AP5599" i="2" s="1"/>
  <c r="AP5602" i="2" s="1"/>
  <c r="AQ5603" i="2" s="1"/>
  <c r="AP5624" i="2"/>
  <c r="AP5623" i="2"/>
  <c r="AP5628" i="2" s="1"/>
  <c r="AP5611" i="2"/>
  <c r="AP5612" i="2" l="1"/>
  <c r="AP5613" i="2" s="1"/>
  <c r="AP5616" i="2" s="1"/>
  <c r="AQ5617" i="2" s="1"/>
  <c r="AP5625" i="2"/>
  <c r="AP5626" i="2" l="1"/>
  <c r="AP5627" i="2" s="1"/>
  <c r="AP5630" i="2" s="1"/>
  <c r="AQ5631" i="2" s="1"/>
  <c r="AR18" i="2" s="1"/>
  <c r="AR20" i="2" s="1"/>
  <c r="AR19" i="2" l="1"/>
  <c r="T40" i="3" s="1"/>
  <c r="S44" i="3" l="1"/>
  <c r="S41" i="3" s="1"/>
  <c r="S40" i="3"/>
  <c r="R44" i="3" s="1"/>
  <c r="R41" i="3" s="1"/>
  <c r="AS33" i="2"/>
  <c r="AU45" i="2" s="1"/>
  <c r="AS47" i="2" l="1"/>
  <c r="AS50" i="2" s="1"/>
  <c r="AS36" i="2"/>
  <c r="AS35" i="2"/>
  <c r="AS49" i="2" l="1"/>
  <c r="AS52" i="2" s="1"/>
  <c r="AS53" i="2" s="1"/>
  <c r="AS61" i="2"/>
  <c r="AS64" i="2" s="1"/>
  <c r="AS38" i="2"/>
  <c r="AS39" i="2" s="1"/>
  <c r="AS40" i="2" s="1"/>
  <c r="AU59" i="2"/>
  <c r="AS37" i="2"/>
  <c r="AS42" i="2" s="1"/>
  <c r="AS75" i="2" l="1"/>
  <c r="AS89" i="2" s="1"/>
  <c r="AS41" i="2"/>
  <c r="AS44" i="2" s="1"/>
  <c r="AT45" i="2" s="1"/>
  <c r="AS51" i="2"/>
  <c r="AS56" i="2" s="1"/>
  <c r="AU73" i="2"/>
  <c r="AS63" i="2"/>
  <c r="AS65" i="2" s="1"/>
  <c r="AS70" i="2" s="1"/>
  <c r="AS54" i="2"/>
  <c r="AS55" i="2" s="1"/>
  <c r="AU87" i="2" l="1"/>
  <c r="AS78" i="2"/>
  <c r="AS77" i="2"/>
  <c r="AS79" i="2" s="1"/>
  <c r="AS84" i="2" s="1"/>
  <c r="AS58" i="2"/>
  <c r="AT59" i="2" s="1"/>
  <c r="AS66" i="2"/>
  <c r="AS67" i="2" s="1"/>
  <c r="AS68" i="2" s="1"/>
  <c r="AS69" i="2" s="1"/>
  <c r="AS72" i="2" s="1"/>
  <c r="AT73" i="2" s="1"/>
  <c r="AS92" i="2"/>
  <c r="AU101" i="2"/>
  <c r="AS91" i="2"/>
  <c r="AS103" i="2"/>
  <c r="AS80" i="2" l="1"/>
  <c r="AS81" i="2" s="1"/>
  <c r="AS82" i="2" s="1"/>
  <c r="AS83" i="2" s="1"/>
  <c r="AS86" i="2" s="1"/>
  <c r="AT87" i="2" s="1"/>
  <c r="AS105" i="2"/>
  <c r="AS117" i="2"/>
  <c r="AS106" i="2"/>
  <c r="AU115" i="2"/>
  <c r="AS94" i="2"/>
  <c r="AS95" i="2" s="1"/>
  <c r="AS93" i="2"/>
  <c r="AS98" i="2" s="1"/>
  <c r="AS107" i="2" l="1"/>
  <c r="AS112" i="2" s="1"/>
  <c r="AS108" i="2"/>
  <c r="AS109" i="2" s="1"/>
  <c r="AS96" i="2"/>
  <c r="AS97" i="2" s="1"/>
  <c r="AS100" i="2" s="1"/>
  <c r="AT101" i="2" s="1"/>
  <c r="AS120" i="2"/>
  <c r="AU129" i="2"/>
  <c r="AS119" i="2"/>
  <c r="AS131" i="2"/>
  <c r="AS110" i="2" l="1"/>
  <c r="AS111" i="2" s="1"/>
  <c r="AS114" i="2" s="1"/>
  <c r="AT115" i="2" s="1"/>
  <c r="AS122" i="2"/>
  <c r="AS123" i="2" s="1"/>
  <c r="AS121" i="2"/>
  <c r="AS126" i="2" s="1"/>
  <c r="AS145" i="2"/>
  <c r="AU143" i="2"/>
  <c r="AS134" i="2"/>
  <c r="AS133" i="2"/>
  <c r="AS124" i="2" l="1"/>
  <c r="AS125" i="2" s="1"/>
  <c r="AS128" i="2" s="1"/>
  <c r="AT129" i="2" s="1"/>
  <c r="AU157" i="2"/>
  <c r="AS148" i="2"/>
  <c r="AS159" i="2"/>
  <c r="AS147" i="2"/>
  <c r="AS135" i="2"/>
  <c r="AS140" i="2" s="1"/>
  <c r="AS136" i="2"/>
  <c r="AS137" i="2" s="1"/>
  <c r="AS138" i="2" s="1"/>
  <c r="AS139" i="2" l="1"/>
  <c r="AS142" i="2" s="1"/>
  <c r="AT143" i="2" s="1"/>
  <c r="AS162" i="2"/>
  <c r="AS173" i="2"/>
  <c r="AS161" i="2"/>
  <c r="AU171" i="2"/>
  <c r="AS149" i="2"/>
  <c r="AS154" i="2" s="1"/>
  <c r="AS150" i="2"/>
  <c r="AS151" i="2" s="1"/>
  <c r="AU185" i="2" l="1"/>
  <c r="AS175" i="2"/>
  <c r="AS187" i="2"/>
  <c r="AS176" i="2"/>
  <c r="AS163" i="2"/>
  <c r="AS168" i="2" s="1"/>
  <c r="AS164" i="2"/>
  <c r="AS165" i="2" s="1"/>
  <c r="AS166" i="2" s="1"/>
  <c r="AS152" i="2"/>
  <c r="AS153" i="2" s="1"/>
  <c r="AS156" i="2" s="1"/>
  <c r="AT157" i="2" s="1"/>
  <c r="AS167" i="2" l="1"/>
  <c r="AS170" i="2" s="1"/>
  <c r="AT171" i="2" s="1"/>
  <c r="AS178" i="2"/>
  <c r="AS179" i="2" s="1"/>
  <c r="AS180" i="2" s="1"/>
  <c r="AS177" i="2"/>
  <c r="AS182" i="2" s="1"/>
  <c r="AS189" i="2"/>
  <c r="AU199" i="2"/>
  <c r="AS201" i="2"/>
  <c r="AS190" i="2"/>
  <c r="AS181" i="2" l="1"/>
  <c r="AS184" i="2" s="1"/>
  <c r="AT185" i="2" s="1"/>
  <c r="AS191" i="2"/>
  <c r="AS196" i="2" s="1"/>
  <c r="AS192" i="2"/>
  <c r="AS193" i="2" s="1"/>
  <c r="AS194" i="2" s="1"/>
  <c r="AS215" i="2"/>
  <c r="AS204" i="2"/>
  <c r="AS203" i="2"/>
  <c r="AU213" i="2"/>
  <c r="AS195" i="2" l="1"/>
  <c r="AS198" i="2" s="1"/>
  <c r="AT199" i="2" s="1"/>
  <c r="AS229" i="2"/>
  <c r="AS217" i="2"/>
  <c r="AU227" i="2"/>
  <c r="AS218" i="2"/>
  <c r="AS206" i="2"/>
  <c r="AS207" i="2" s="1"/>
  <c r="AS205" i="2"/>
  <c r="AS210" i="2" s="1"/>
  <c r="AS243" i="2" l="1"/>
  <c r="AS232" i="2"/>
  <c r="AU241" i="2"/>
  <c r="AS231" i="2"/>
  <c r="AS208" i="2"/>
  <c r="AS209" i="2" s="1"/>
  <c r="AS212" i="2" s="1"/>
  <c r="AT213" i="2" s="1"/>
  <c r="AS220" i="2"/>
  <c r="AS221" i="2" s="1"/>
  <c r="AS222" i="2" s="1"/>
  <c r="AS219" i="2"/>
  <c r="AS224" i="2" s="1"/>
  <c r="AS223" i="2" l="1"/>
  <c r="AS226" i="2" s="1"/>
  <c r="AT227" i="2" s="1"/>
  <c r="AS246" i="2"/>
  <c r="AS245" i="2"/>
  <c r="AS257" i="2"/>
  <c r="AU255" i="2"/>
  <c r="AS233" i="2"/>
  <c r="AS238" i="2" s="1"/>
  <c r="AS234" i="2"/>
  <c r="AS235" i="2" s="1"/>
  <c r="AS236" i="2" l="1"/>
  <c r="AS237" i="2" s="1"/>
  <c r="AS240" i="2" s="1"/>
  <c r="AT241" i="2" s="1"/>
  <c r="AU269" i="2"/>
  <c r="AS259" i="2"/>
  <c r="AS271" i="2"/>
  <c r="AS260" i="2"/>
  <c r="AS247" i="2"/>
  <c r="AS252" i="2" s="1"/>
  <c r="AS248" i="2"/>
  <c r="AU283" i="2" l="1"/>
  <c r="AS285" i="2"/>
  <c r="AS274" i="2"/>
  <c r="AS273" i="2"/>
  <c r="AS249" i="2"/>
  <c r="AS250" i="2" s="1"/>
  <c r="AS251" i="2" s="1"/>
  <c r="AS254" i="2" s="1"/>
  <c r="AT255" i="2" s="1"/>
  <c r="AS261" i="2"/>
  <c r="AS266" i="2" s="1"/>
  <c r="AS262" i="2"/>
  <c r="AU297" i="2" l="1"/>
  <c r="AS288" i="2"/>
  <c r="AS287" i="2"/>
  <c r="AS299" i="2"/>
  <c r="AS263" i="2"/>
  <c r="AS264" i="2" s="1"/>
  <c r="AS265" i="2" s="1"/>
  <c r="AS268" i="2" s="1"/>
  <c r="AT269" i="2" s="1"/>
  <c r="AS276" i="2"/>
  <c r="AS275" i="2"/>
  <c r="AS280" i="2" s="1"/>
  <c r="AS289" i="2" l="1"/>
  <c r="AS294" i="2" s="1"/>
  <c r="AS290" i="2"/>
  <c r="AS277" i="2"/>
  <c r="AS301" i="2"/>
  <c r="AS302" i="2"/>
  <c r="AS313" i="2"/>
  <c r="AU311" i="2"/>
  <c r="AS303" i="2" l="1"/>
  <c r="AS308" i="2" s="1"/>
  <c r="AS304" i="2"/>
  <c r="AS291" i="2"/>
  <c r="AS292" i="2" s="1"/>
  <c r="AS293" i="2" s="1"/>
  <c r="AS296" i="2" s="1"/>
  <c r="AT297" i="2" s="1"/>
  <c r="AS316" i="2"/>
  <c r="AU325" i="2"/>
  <c r="AS315" i="2"/>
  <c r="AS327" i="2"/>
  <c r="AS278" i="2"/>
  <c r="AS279" i="2" s="1"/>
  <c r="AS282" i="2" s="1"/>
  <c r="AT283" i="2" s="1"/>
  <c r="AS305" i="2" l="1"/>
  <c r="AS341" i="2"/>
  <c r="AU339" i="2"/>
  <c r="AS329" i="2"/>
  <c r="AS330" i="2"/>
  <c r="AS317" i="2"/>
  <c r="AS322" i="2" s="1"/>
  <c r="AS318" i="2"/>
  <c r="AS319" i="2" l="1"/>
  <c r="AS320" i="2" s="1"/>
  <c r="AS321" i="2" s="1"/>
  <c r="AS324" i="2" s="1"/>
  <c r="AT325" i="2" s="1"/>
  <c r="AS306" i="2"/>
  <c r="AS307" i="2" s="1"/>
  <c r="AS310" i="2" s="1"/>
  <c r="AT311" i="2" s="1"/>
  <c r="AS331" i="2"/>
  <c r="AS336" i="2" s="1"/>
  <c r="AS332" i="2"/>
  <c r="AU353" i="2"/>
  <c r="AS343" i="2"/>
  <c r="AS355" i="2"/>
  <c r="AS344" i="2"/>
  <c r="AS333" i="2" l="1"/>
  <c r="AS358" i="2"/>
  <c r="AS357" i="2"/>
  <c r="AU367" i="2"/>
  <c r="AS369" i="2"/>
  <c r="AS345" i="2"/>
  <c r="AS350" i="2" s="1"/>
  <c r="AS346" i="2"/>
  <c r="AS360" i="2" l="1"/>
  <c r="AS359" i="2"/>
  <c r="AS364" i="2" s="1"/>
  <c r="AU381" i="2"/>
  <c r="AS371" i="2"/>
  <c r="AS372" i="2"/>
  <c r="AS383" i="2"/>
  <c r="AS334" i="2"/>
  <c r="AS335" i="2" s="1"/>
  <c r="AS338" i="2" s="1"/>
  <c r="AT339" i="2" s="1"/>
  <c r="AS347" i="2"/>
  <c r="AS348" i="2" l="1"/>
  <c r="AS349" i="2" s="1"/>
  <c r="AS352" i="2" s="1"/>
  <c r="AT353" i="2" s="1"/>
  <c r="AS361" i="2"/>
  <c r="AU395" i="2"/>
  <c r="AS385" i="2"/>
  <c r="AS397" i="2"/>
  <c r="AS386" i="2"/>
  <c r="AS374" i="2"/>
  <c r="AS373" i="2"/>
  <c r="AS378" i="2" s="1"/>
  <c r="AS375" i="2" l="1"/>
  <c r="AS399" i="2"/>
  <c r="AS400" i="2"/>
  <c r="AS411" i="2"/>
  <c r="AU409" i="2"/>
  <c r="AS388" i="2"/>
  <c r="AS387" i="2"/>
  <c r="AS392" i="2" s="1"/>
  <c r="AS362" i="2"/>
  <c r="AS363" i="2" s="1"/>
  <c r="AS366" i="2" s="1"/>
  <c r="AT367" i="2" s="1"/>
  <c r="AS413" i="2" l="1"/>
  <c r="AS414" i="2"/>
  <c r="AU423" i="2"/>
  <c r="AS425" i="2"/>
  <c r="AS376" i="2"/>
  <c r="AS377" i="2" s="1"/>
  <c r="AS380" i="2" s="1"/>
  <c r="AT381" i="2" s="1"/>
  <c r="AS389" i="2"/>
  <c r="AS390" i="2" s="1"/>
  <c r="AS391" i="2" s="1"/>
  <c r="AS394" i="2" s="1"/>
  <c r="AT395" i="2" s="1"/>
  <c r="AS401" i="2"/>
  <c r="AS406" i="2" s="1"/>
  <c r="AS402" i="2"/>
  <c r="AS415" i="2" l="1"/>
  <c r="AS420" i="2" s="1"/>
  <c r="AS416" i="2"/>
  <c r="AS403" i="2"/>
  <c r="AS427" i="2"/>
  <c r="AS439" i="2"/>
  <c r="AU437" i="2"/>
  <c r="AS428" i="2"/>
  <c r="AS417" i="2" l="1"/>
  <c r="AS418" i="2" s="1"/>
  <c r="AS419" i="2" s="1"/>
  <c r="AS422" i="2" s="1"/>
  <c r="AT423" i="2" s="1"/>
  <c r="AS430" i="2"/>
  <c r="AS429" i="2"/>
  <c r="AS434" i="2" s="1"/>
  <c r="AS441" i="2"/>
  <c r="AU451" i="2"/>
  <c r="AS453" i="2"/>
  <c r="AS442" i="2"/>
  <c r="AS404" i="2"/>
  <c r="AS405" i="2" s="1"/>
  <c r="AS408" i="2" s="1"/>
  <c r="AT409" i="2" s="1"/>
  <c r="AS444" i="2" l="1"/>
  <c r="AS443" i="2"/>
  <c r="AS448" i="2" s="1"/>
  <c r="AS467" i="2"/>
  <c r="AS455" i="2"/>
  <c r="AU465" i="2"/>
  <c r="AS456" i="2"/>
  <c r="AS431" i="2"/>
  <c r="AS445" i="2" l="1"/>
  <c r="AS432" i="2"/>
  <c r="AS433" i="2" s="1"/>
  <c r="AS436" i="2" s="1"/>
  <c r="AT437" i="2" s="1"/>
  <c r="AS469" i="2"/>
  <c r="AS470" i="2"/>
  <c r="AS481" i="2"/>
  <c r="AU479" i="2"/>
  <c r="AS457" i="2"/>
  <c r="AS462" i="2" s="1"/>
  <c r="AS458" i="2"/>
  <c r="AS471" i="2" l="1"/>
  <c r="AS476" i="2" s="1"/>
  <c r="AS472" i="2"/>
  <c r="AS446" i="2"/>
  <c r="AS447" i="2" s="1"/>
  <c r="AS450" i="2" s="1"/>
  <c r="AT451" i="2" s="1"/>
  <c r="AS459" i="2"/>
  <c r="AS460" i="2" s="1"/>
  <c r="AS461" i="2" s="1"/>
  <c r="AS464" i="2" s="1"/>
  <c r="AT465" i="2" s="1"/>
  <c r="AS495" i="2"/>
  <c r="AU493" i="2"/>
  <c r="AS484" i="2"/>
  <c r="AS483" i="2"/>
  <c r="AS473" i="2" l="1"/>
  <c r="AS474" i="2" s="1"/>
  <c r="AS475" i="2" s="1"/>
  <c r="AS478" i="2" s="1"/>
  <c r="AT479" i="2" s="1"/>
  <c r="AS486" i="2"/>
  <c r="AS485" i="2"/>
  <c r="AS490" i="2" s="1"/>
  <c r="AU507" i="2"/>
  <c r="AS509" i="2"/>
  <c r="AS498" i="2"/>
  <c r="AS497" i="2"/>
  <c r="AU521" i="2" l="1"/>
  <c r="AS511" i="2"/>
  <c r="AS523" i="2"/>
  <c r="AS512" i="2"/>
  <c r="AS487" i="2"/>
  <c r="AS500" i="2"/>
  <c r="AS499" i="2"/>
  <c r="AS504" i="2" s="1"/>
  <c r="AS513" i="2" l="1"/>
  <c r="AS518" i="2" s="1"/>
  <c r="AS514" i="2"/>
  <c r="AS525" i="2"/>
  <c r="AS537" i="2"/>
  <c r="AU535" i="2"/>
  <c r="AS526" i="2"/>
  <c r="AS488" i="2"/>
  <c r="AS489" i="2" s="1"/>
  <c r="AS492" i="2" s="1"/>
  <c r="AT493" i="2" s="1"/>
  <c r="AS501" i="2"/>
  <c r="AS502" i="2" l="1"/>
  <c r="AS503" i="2" s="1"/>
  <c r="AS506" i="2" s="1"/>
  <c r="AT507" i="2" s="1"/>
  <c r="AS515" i="2"/>
  <c r="AS528" i="2"/>
  <c r="AS527" i="2"/>
  <c r="AS532" i="2" s="1"/>
  <c r="AS551" i="2"/>
  <c r="AS540" i="2"/>
  <c r="AS539" i="2"/>
  <c r="AU549" i="2"/>
  <c r="AS565" i="2" l="1"/>
  <c r="AS553" i="2"/>
  <c r="AU563" i="2"/>
  <c r="AS554" i="2"/>
  <c r="AS542" i="2"/>
  <c r="AS541" i="2"/>
  <c r="AS546" i="2" s="1"/>
  <c r="AS529" i="2"/>
  <c r="AS530" i="2" s="1"/>
  <c r="AS531" i="2" s="1"/>
  <c r="AS534" i="2" s="1"/>
  <c r="AT535" i="2" s="1"/>
  <c r="AS516" i="2"/>
  <c r="AS517" i="2" s="1"/>
  <c r="AS520" i="2" s="1"/>
  <c r="AT521" i="2" s="1"/>
  <c r="AS543" i="2" l="1"/>
  <c r="AS544" i="2" s="1"/>
  <c r="AS545" i="2" s="1"/>
  <c r="AS548" i="2" s="1"/>
  <c r="AT549" i="2" s="1"/>
  <c r="AS567" i="2"/>
  <c r="AS568" i="2"/>
  <c r="AU577" i="2"/>
  <c r="AS579" i="2"/>
  <c r="AS555" i="2"/>
  <c r="AS560" i="2" s="1"/>
  <c r="AS556" i="2"/>
  <c r="AS570" i="2" l="1"/>
  <c r="AS569" i="2"/>
  <c r="AS574" i="2" s="1"/>
  <c r="AS581" i="2"/>
  <c r="AU591" i="2"/>
  <c r="AS593" i="2"/>
  <c r="AS582" i="2"/>
  <c r="AS557" i="2"/>
  <c r="AS558" i="2" s="1"/>
  <c r="AS559" i="2" s="1"/>
  <c r="AS562" i="2" s="1"/>
  <c r="AT563" i="2" s="1"/>
  <c r="AS571" i="2" l="1"/>
  <c r="AS595" i="2"/>
  <c r="AU605" i="2"/>
  <c r="AS596" i="2"/>
  <c r="AS607" i="2"/>
  <c r="AS583" i="2"/>
  <c r="AS588" i="2" s="1"/>
  <c r="AS584" i="2"/>
  <c r="AS609" i="2" l="1"/>
  <c r="AU619" i="2"/>
  <c r="AS621" i="2"/>
  <c r="AS610" i="2"/>
  <c r="AS572" i="2"/>
  <c r="AS573" i="2" s="1"/>
  <c r="AS576" i="2" s="1"/>
  <c r="AT577" i="2" s="1"/>
  <c r="AS585" i="2"/>
  <c r="AS586" i="2" s="1"/>
  <c r="AS587" i="2" s="1"/>
  <c r="AS590" i="2" s="1"/>
  <c r="AT591" i="2" s="1"/>
  <c r="AS597" i="2"/>
  <c r="AS602" i="2" s="1"/>
  <c r="AS598" i="2"/>
  <c r="AS612" i="2" l="1"/>
  <c r="AS611" i="2"/>
  <c r="AS616" i="2" s="1"/>
  <c r="AS599" i="2"/>
  <c r="AS600" i="2" s="1"/>
  <c r="AS601" i="2" s="1"/>
  <c r="AS604" i="2" s="1"/>
  <c r="AT605" i="2" s="1"/>
  <c r="AS635" i="2"/>
  <c r="AS624" i="2"/>
  <c r="AS623" i="2"/>
  <c r="AU633" i="2"/>
  <c r="AS649" i="2" l="1"/>
  <c r="AS637" i="2"/>
  <c r="AS638" i="2"/>
  <c r="AU647" i="2"/>
  <c r="AS613" i="2"/>
  <c r="AS614" i="2" s="1"/>
  <c r="AS615" i="2" s="1"/>
  <c r="AS618" i="2" s="1"/>
  <c r="AT619" i="2" s="1"/>
  <c r="AS625" i="2"/>
  <c r="AS630" i="2" s="1"/>
  <c r="AS626" i="2"/>
  <c r="AS651" i="2" l="1"/>
  <c r="AS663" i="2"/>
  <c r="AU661" i="2"/>
  <c r="AS652" i="2"/>
  <c r="AS627" i="2"/>
  <c r="AS640" i="2"/>
  <c r="AS639" i="2"/>
  <c r="AS644" i="2" s="1"/>
  <c r="AU675" i="2" l="1"/>
  <c r="AS677" i="2"/>
  <c r="AS666" i="2"/>
  <c r="AS665" i="2"/>
  <c r="AS653" i="2"/>
  <c r="AS658" i="2" s="1"/>
  <c r="AS654" i="2"/>
  <c r="AS628" i="2"/>
  <c r="AS629" i="2" s="1"/>
  <c r="AS632" i="2" s="1"/>
  <c r="AT633" i="2" s="1"/>
  <c r="AS641" i="2"/>
  <c r="AS642" i="2" s="1"/>
  <c r="AS643" i="2" s="1"/>
  <c r="AS646" i="2" s="1"/>
  <c r="AT647" i="2" s="1"/>
  <c r="AS680" i="2" l="1"/>
  <c r="AU689" i="2"/>
  <c r="AS679" i="2"/>
  <c r="AS691" i="2"/>
  <c r="AS655" i="2"/>
  <c r="AS656" i="2" s="1"/>
  <c r="AS657" i="2" s="1"/>
  <c r="AS660" i="2" s="1"/>
  <c r="AT661" i="2" s="1"/>
  <c r="AS667" i="2"/>
  <c r="AS672" i="2" s="1"/>
  <c r="AS668" i="2"/>
  <c r="AS682" i="2" l="1"/>
  <c r="AS681" i="2"/>
  <c r="AS686" i="2" s="1"/>
  <c r="AS669" i="2"/>
  <c r="AS670" i="2" s="1"/>
  <c r="AS671" i="2" s="1"/>
  <c r="AS674" i="2" s="1"/>
  <c r="AT675" i="2" s="1"/>
  <c r="AS694" i="2"/>
  <c r="AS693" i="2"/>
  <c r="AS705" i="2"/>
  <c r="AU703" i="2"/>
  <c r="AS683" i="2" l="1"/>
  <c r="AS684" i="2" s="1"/>
  <c r="AS685" i="2" s="1"/>
  <c r="AS688" i="2" s="1"/>
  <c r="AT689" i="2" s="1"/>
  <c r="AS695" i="2"/>
  <c r="AS700" i="2" s="1"/>
  <c r="AS696" i="2"/>
  <c r="AS708" i="2"/>
  <c r="AS719" i="2"/>
  <c r="AU717" i="2"/>
  <c r="AS707" i="2"/>
  <c r="AU731" i="2" l="1"/>
  <c r="AS722" i="2"/>
  <c r="AS721" i="2"/>
  <c r="AS733" i="2"/>
  <c r="AS710" i="2"/>
  <c r="AS709" i="2"/>
  <c r="AS714" i="2" s="1"/>
  <c r="AS697" i="2"/>
  <c r="AS698" i="2" s="1"/>
  <c r="AS699" i="2" s="1"/>
  <c r="AS702" i="2" s="1"/>
  <c r="AT703" i="2" s="1"/>
  <c r="AS711" i="2" l="1"/>
  <c r="AS712" i="2" s="1"/>
  <c r="AS713" i="2" s="1"/>
  <c r="AS716" i="2" s="1"/>
  <c r="AT717" i="2" s="1"/>
  <c r="AS723" i="2"/>
  <c r="AS728" i="2" s="1"/>
  <c r="AS724" i="2"/>
  <c r="AS735" i="2"/>
  <c r="AS747" i="2"/>
  <c r="AU745" i="2"/>
  <c r="AS736" i="2"/>
  <c r="AS750" i="2" l="1"/>
  <c r="AS749" i="2"/>
  <c r="AS761" i="2"/>
  <c r="AU759" i="2"/>
  <c r="AS737" i="2"/>
  <c r="AS742" i="2" s="1"/>
  <c r="AS738" i="2"/>
  <c r="AS725" i="2"/>
  <c r="AS752" i="2" l="1"/>
  <c r="AS751" i="2"/>
  <c r="AS756" i="2" s="1"/>
  <c r="AS726" i="2"/>
  <c r="AS727" i="2" s="1"/>
  <c r="AS730" i="2" s="1"/>
  <c r="AT731" i="2" s="1"/>
  <c r="AU773" i="2"/>
  <c r="AS763" i="2"/>
  <c r="AS764" i="2"/>
  <c r="AS775" i="2"/>
  <c r="AS739" i="2"/>
  <c r="AS753" i="2" l="1"/>
  <c r="AS754" i="2" s="1"/>
  <c r="AS755" i="2" s="1"/>
  <c r="AS758" i="2" s="1"/>
  <c r="AT759" i="2" s="1"/>
  <c r="AS777" i="2"/>
  <c r="AU787" i="2"/>
  <c r="AS789" i="2"/>
  <c r="AS778" i="2"/>
  <c r="AS740" i="2"/>
  <c r="AS741" i="2" s="1"/>
  <c r="AS744" i="2" s="1"/>
  <c r="AT745" i="2" s="1"/>
  <c r="AS766" i="2"/>
  <c r="AS765" i="2"/>
  <c r="AS770" i="2" s="1"/>
  <c r="AS767" i="2" l="1"/>
  <c r="AS768" i="2" s="1"/>
  <c r="AS769" i="2" s="1"/>
  <c r="AS772" i="2" s="1"/>
  <c r="AT773" i="2" s="1"/>
  <c r="AU801" i="2"/>
  <c r="AS792" i="2"/>
  <c r="AS791" i="2"/>
  <c r="AS803" i="2"/>
  <c r="AS779" i="2"/>
  <c r="AS784" i="2" s="1"/>
  <c r="AS780" i="2"/>
  <c r="AS781" i="2" l="1"/>
  <c r="AS794" i="2"/>
  <c r="AS793" i="2"/>
  <c r="AS798" i="2" s="1"/>
  <c r="AS806" i="2"/>
  <c r="AS817" i="2"/>
  <c r="AU815" i="2"/>
  <c r="AS805" i="2"/>
  <c r="AS831" i="2" l="1"/>
  <c r="AU829" i="2"/>
  <c r="AS819" i="2"/>
  <c r="AS820" i="2"/>
  <c r="AS782" i="2"/>
  <c r="AS783" i="2" s="1"/>
  <c r="AS786" i="2" s="1"/>
  <c r="AT787" i="2" s="1"/>
  <c r="AS795" i="2"/>
  <c r="AS807" i="2"/>
  <c r="AS812" i="2" s="1"/>
  <c r="AS808" i="2"/>
  <c r="AS834" i="2" l="1"/>
  <c r="AS833" i="2"/>
  <c r="AS845" i="2"/>
  <c r="AU843" i="2"/>
  <c r="AS809" i="2"/>
  <c r="AS796" i="2"/>
  <c r="AS797" i="2" s="1"/>
  <c r="AS800" i="2" s="1"/>
  <c r="AT801" i="2" s="1"/>
  <c r="AS821" i="2"/>
  <c r="AS826" i="2" s="1"/>
  <c r="AS822" i="2"/>
  <c r="AS836" i="2" l="1"/>
  <c r="AS835" i="2"/>
  <c r="AS840" i="2" s="1"/>
  <c r="AS810" i="2"/>
  <c r="AS811" i="2" s="1"/>
  <c r="AS814" i="2" s="1"/>
  <c r="AT815" i="2" s="1"/>
  <c r="AS823" i="2"/>
  <c r="AS824" i="2" s="1"/>
  <c r="AS825" i="2" s="1"/>
  <c r="AS828" i="2" s="1"/>
  <c r="AT829" i="2" s="1"/>
  <c r="AS848" i="2"/>
  <c r="AS847" i="2"/>
  <c r="AS859" i="2"/>
  <c r="AU857" i="2"/>
  <c r="AS837" i="2" l="1"/>
  <c r="AS838" i="2" s="1"/>
  <c r="AS839" i="2" s="1"/>
  <c r="AS842" i="2" s="1"/>
  <c r="AT843" i="2" s="1"/>
  <c r="AU871" i="2"/>
  <c r="AS862" i="2"/>
  <c r="AS861" i="2"/>
  <c r="AS873" i="2"/>
  <c r="AS849" i="2"/>
  <c r="AS854" i="2" s="1"/>
  <c r="AS850" i="2"/>
  <c r="AS863" i="2" l="1"/>
  <c r="AS868" i="2" s="1"/>
  <c r="AS864" i="2"/>
  <c r="AS851" i="2"/>
  <c r="AS875" i="2"/>
  <c r="AU885" i="2"/>
  <c r="AS887" i="2"/>
  <c r="AS876" i="2"/>
  <c r="AS865" i="2" l="1"/>
  <c r="AS866" i="2" s="1"/>
  <c r="AS867" i="2" s="1"/>
  <c r="AS870" i="2" s="1"/>
  <c r="AT871" i="2" s="1"/>
  <c r="AU899" i="2"/>
  <c r="AS901" i="2"/>
  <c r="AS889" i="2"/>
  <c r="AS890" i="2"/>
  <c r="AS852" i="2"/>
  <c r="AS853" i="2" s="1"/>
  <c r="AS856" i="2" s="1"/>
  <c r="AT857" i="2" s="1"/>
  <c r="AS878" i="2"/>
  <c r="AS877" i="2"/>
  <c r="AS882" i="2" s="1"/>
  <c r="AS879" i="2" l="1"/>
  <c r="AS892" i="2"/>
  <c r="AS891" i="2"/>
  <c r="AS896" i="2" s="1"/>
  <c r="AS915" i="2"/>
  <c r="AU913" i="2"/>
  <c r="AS903" i="2"/>
  <c r="AS904" i="2"/>
  <c r="AS918" i="2" l="1"/>
  <c r="AS917" i="2"/>
  <c r="AS929" i="2"/>
  <c r="AU927" i="2"/>
  <c r="AS880" i="2"/>
  <c r="AS881" i="2" s="1"/>
  <c r="AS884" i="2" s="1"/>
  <c r="AT885" i="2" s="1"/>
  <c r="AS905" i="2"/>
  <c r="AS910" i="2" s="1"/>
  <c r="AS906" i="2"/>
  <c r="AS893" i="2"/>
  <c r="AS920" i="2" l="1"/>
  <c r="AS919" i="2"/>
  <c r="AS924" i="2" s="1"/>
  <c r="AS894" i="2"/>
  <c r="AS895" i="2" s="1"/>
  <c r="AS898" i="2" s="1"/>
  <c r="AT899" i="2" s="1"/>
  <c r="AS931" i="2"/>
  <c r="AU941" i="2"/>
  <c r="AS932" i="2"/>
  <c r="AS943" i="2"/>
  <c r="AS907" i="2"/>
  <c r="AS908" i="2" s="1"/>
  <c r="AS909" i="2" s="1"/>
  <c r="AS912" i="2" s="1"/>
  <c r="AT913" i="2" s="1"/>
  <c r="AS934" i="2" l="1"/>
  <c r="AS933" i="2"/>
  <c r="AS938" i="2" s="1"/>
  <c r="AS921" i="2"/>
  <c r="AU955" i="2"/>
  <c r="AS945" i="2"/>
  <c r="AS957" i="2"/>
  <c r="AS946" i="2"/>
  <c r="AS935" i="2" l="1"/>
  <c r="AS948" i="2"/>
  <c r="AS947" i="2"/>
  <c r="AS952" i="2" s="1"/>
  <c r="AS960" i="2"/>
  <c r="AU969" i="2"/>
  <c r="AS971" i="2"/>
  <c r="AS959" i="2"/>
  <c r="AS922" i="2"/>
  <c r="AS923" i="2" s="1"/>
  <c r="AS926" i="2" s="1"/>
  <c r="AT927" i="2" s="1"/>
  <c r="AS936" i="2" l="1"/>
  <c r="AS937" i="2" s="1"/>
  <c r="AS940" i="2" s="1"/>
  <c r="AT941" i="2" s="1"/>
  <c r="AS973" i="2"/>
  <c r="AU983" i="2"/>
  <c r="AS974" i="2"/>
  <c r="AS985" i="2"/>
  <c r="AS949" i="2"/>
  <c r="AS950" i="2" s="1"/>
  <c r="AS951" i="2" s="1"/>
  <c r="AS954" i="2" s="1"/>
  <c r="AT955" i="2" s="1"/>
  <c r="AS962" i="2"/>
  <c r="AS961" i="2"/>
  <c r="AS966" i="2" s="1"/>
  <c r="AS963" i="2" l="1"/>
  <c r="AS964" i="2" s="1"/>
  <c r="AS965" i="2" s="1"/>
  <c r="AS968" i="2" s="1"/>
  <c r="AT969" i="2" s="1"/>
  <c r="AS987" i="2"/>
  <c r="AU997" i="2"/>
  <c r="AS999" i="2"/>
  <c r="AS988" i="2"/>
  <c r="AS976" i="2"/>
  <c r="AS975" i="2"/>
  <c r="AS980" i="2" s="1"/>
  <c r="AU1011" i="2" l="1"/>
  <c r="AS1013" i="2"/>
  <c r="AS1001" i="2"/>
  <c r="AS1002" i="2"/>
  <c r="AS989" i="2"/>
  <c r="AS994" i="2" s="1"/>
  <c r="AS990" i="2"/>
  <c r="AS977" i="2"/>
  <c r="AS1027" i="2" l="1"/>
  <c r="AS1015" i="2"/>
  <c r="AU1025" i="2"/>
  <c r="AS1016" i="2"/>
  <c r="AS991" i="2"/>
  <c r="AS992" i="2" s="1"/>
  <c r="AS993" i="2" s="1"/>
  <c r="AS996" i="2" s="1"/>
  <c r="AT997" i="2" s="1"/>
  <c r="AS1004" i="2"/>
  <c r="AS1003" i="2"/>
  <c r="AS1008" i="2" s="1"/>
  <c r="AS978" i="2"/>
  <c r="AS979" i="2" s="1"/>
  <c r="AS982" i="2" s="1"/>
  <c r="AT983" i="2" s="1"/>
  <c r="AU1039" i="2" l="1"/>
  <c r="AS1029" i="2"/>
  <c r="AS1041" i="2"/>
  <c r="AS1030" i="2"/>
  <c r="AS1018" i="2"/>
  <c r="AS1017" i="2"/>
  <c r="AS1022" i="2" s="1"/>
  <c r="AS1005" i="2"/>
  <c r="AS1006" i="2" s="1"/>
  <c r="AS1007" i="2" s="1"/>
  <c r="AS1010" i="2" s="1"/>
  <c r="AT1011" i="2" s="1"/>
  <c r="AS1019" i="2" l="1"/>
  <c r="AS1032" i="2"/>
  <c r="AS1031" i="2"/>
  <c r="AS1036" i="2" s="1"/>
  <c r="AS1055" i="2"/>
  <c r="AU1053" i="2"/>
  <c r="AS1044" i="2"/>
  <c r="AS1043" i="2"/>
  <c r="AS1020" i="2" l="1"/>
  <c r="AS1021" i="2" s="1"/>
  <c r="AS1024" i="2" s="1"/>
  <c r="AT1025" i="2" s="1"/>
  <c r="AS1045" i="2"/>
  <c r="AS1050" i="2" s="1"/>
  <c r="AS1046" i="2"/>
  <c r="AS1058" i="2"/>
  <c r="AS1057" i="2"/>
  <c r="AS1069" i="2"/>
  <c r="AU1067" i="2"/>
  <c r="AS1033" i="2"/>
  <c r="AS1034" i="2" s="1"/>
  <c r="AS1035" i="2" s="1"/>
  <c r="AS1038" i="2" s="1"/>
  <c r="AT1039" i="2" s="1"/>
  <c r="AS1059" i="2" l="1"/>
  <c r="AS1064" i="2" s="1"/>
  <c r="AS1060" i="2"/>
  <c r="AS1072" i="2"/>
  <c r="AU1081" i="2"/>
  <c r="AS1083" i="2"/>
  <c r="AS1071" i="2"/>
  <c r="AS1047" i="2"/>
  <c r="AS1048" i="2" s="1"/>
  <c r="AS1049" i="2" s="1"/>
  <c r="AS1052" i="2" s="1"/>
  <c r="AT1053" i="2" s="1"/>
  <c r="AS1073" i="2" l="1"/>
  <c r="AS1078" i="2" s="1"/>
  <c r="AS1074" i="2"/>
  <c r="AS1061" i="2"/>
  <c r="AS1062" i="2" s="1"/>
  <c r="AS1063" i="2" s="1"/>
  <c r="AS1066" i="2" s="1"/>
  <c r="AT1067" i="2" s="1"/>
  <c r="AS1097" i="2"/>
  <c r="AS1085" i="2"/>
  <c r="AU1095" i="2"/>
  <c r="AS1086" i="2"/>
  <c r="AS1111" i="2" l="1"/>
  <c r="AU1109" i="2"/>
  <c r="AS1099" i="2"/>
  <c r="AS1100" i="2"/>
  <c r="AS1087" i="2"/>
  <c r="AS1092" i="2" s="1"/>
  <c r="AS1088" i="2"/>
  <c r="AS1075" i="2"/>
  <c r="AS1114" i="2" l="1"/>
  <c r="AS1125" i="2"/>
  <c r="AU1123" i="2"/>
  <c r="AS1113" i="2"/>
  <c r="AS1089" i="2"/>
  <c r="AS1102" i="2"/>
  <c r="AS1101" i="2"/>
  <c r="AS1106" i="2" s="1"/>
  <c r="AS1076" i="2"/>
  <c r="AS1077" i="2" s="1"/>
  <c r="AS1080" i="2" s="1"/>
  <c r="AT1081" i="2" s="1"/>
  <c r="AS1090" i="2" l="1"/>
  <c r="AS1091" i="2" s="1"/>
  <c r="AS1094" i="2" s="1"/>
  <c r="AT1095" i="2" s="1"/>
  <c r="AS1127" i="2"/>
  <c r="AS1139" i="2"/>
  <c r="AU1137" i="2"/>
  <c r="AS1128" i="2"/>
  <c r="AS1103" i="2"/>
  <c r="AS1104" i="2" s="1"/>
  <c r="AS1105" i="2" s="1"/>
  <c r="AS1108" i="2" s="1"/>
  <c r="AT1109" i="2" s="1"/>
  <c r="AS1116" i="2"/>
  <c r="AS1115" i="2"/>
  <c r="AS1120" i="2" s="1"/>
  <c r="AS1117" i="2" l="1"/>
  <c r="AS1118" i="2" s="1"/>
  <c r="AS1119" i="2" s="1"/>
  <c r="AS1122" i="2" s="1"/>
  <c r="AT1123" i="2" s="1"/>
  <c r="AS1130" i="2"/>
  <c r="AS1129" i="2"/>
  <c r="AS1134" i="2" s="1"/>
  <c r="AS1142" i="2"/>
  <c r="AS1141" i="2"/>
  <c r="AS1153" i="2"/>
  <c r="AU1151" i="2"/>
  <c r="AS1143" i="2" l="1"/>
  <c r="AS1148" i="2" s="1"/>
  <c r="AS1144" i="2"/>
  <c r="AS1167" i="2"/>
  <c r="AS1156" i="2"/>
  <c r="AU1165" i="2"/>
  <c r="AS1155" i="2"/>
  <c r="AS1131" i="2"/>
  <c r="AS1132" i="2" l="1"/>
  <c r="AS1133" i="2" s="1"/>
  <c r="AS1136" i="2" s="1"/>
  <c r="AT1137" i="2" s="1"/>
  <c r="AS1145" i="2"/>
  <c r="AS1157" i="2"/>
  <c r="AS1162" i="2" s="1"/>
  <c r="AS1158" i="2"/>
  <c r="AS1170" i="2"/>
  <c r="AS1181" i="2"/>
  <c r="AU1179" i="2"/>
  <c r="AS1169" i="2"/>
  <c r="AS1171" i="2" l="1"/>
  <c r="AS1176" i="2" s="1"/>
  <c r="AS1172" i="2"/>
  <c r="AS1159" i="2"/>
  <c r="AS1146" i="2"/>
  <c r="AS1147" i="2" s="1"/>
  <c r="AS1150" i="2" s="1"/>
  <c r="AT1151" i="2" s="1"/>
  <c r="AS1195" i="2"/>
  <c r="AS1183" i="2"/>
  <c r="AS1184" i="2"/>
  <c r="AU1193" i="2"/>
  <c r="AS1173" i="2" l="1"/>
  <c r="AU1207" i="2"/>
  <c r="AS1198" i="2"/>
  <c r="AS1197" i="2"/>
  <c r="AS1209" i="2"/>
  <c r="AS1186" i="2"/>
  <c r="AS1185" i="2"/>
  <c r="AS1190" i="2" s="1"/>
  <c r="AS1160" i="2"/>
  <c r="AS1161" i="2" s="1"/>
  <c r="AS1164" i="2" s="1"/>
  <c r="AT1165" i="2" s="1"/>
  <c r="AS1199" i="2" l="1"/>
  <c r="AS1204" i="2" s="1"/>
  <c r="AS1200" i="2"/>
  <c r="AS1174" i="2"/>
  <c r="AS1175" i="2" s="1"/>
  <c r="AS1178" i="2" s="1"/>
  <c r="AT1179" i="2" s="1"/>
  <c r="AS1212" i="2"/>
  <c r="AU1221" i="2"/>
  <c r="AS1211" i="2"/>
  <c r="AS1223" i="2"/>
  <c r="AS1187" i="2"/>
  <c r="AS1188" i="2" l="1"/>
  <c r="AS1189" i="2" s="1"/>
  <c r="AS1192" i="2" s="1"/>
  <c r="AT1193" i="2" s="1"/>
  <c r="AS1201" i="2"/>
  <c r="AS1213" i="2"/>
  <c r="AS1218" i="2" s="1"/>
  <c r="AS1214" i="2"/>
  <c r="AS1225" i="2"/>
  <c r="AS1226" i="2"/>
  <c r="AS1237" i="2"/>
  <c r="AU1235" i="2"/>
  <c r="AS1215" i="2" l="1"/>
  <c r="AS1239" i="2"/>
  <c r="AU1249" i="2"/>
  <c r="AS1240" i="2"/>
  <c r="AS1251" i="2"/>
  <c r="AS1228" i="2"/>
  <c r="AS1227" i="2"/>
  <c r="AS1232" i="2" s="1"/>
  <c r="AS1202" i="2"/>
  <c r="AS1203" i="2" s="1"/>
  <c r="AS1206" i="2" s="1"/>
  <c r="AT1207" i="2" s="1"/>
  <c r="AS1216" i="2" l="1"/>
  <c r="AS1217" i="2" s="1"/>
  <c r="AS1220" i="2" s="1"/>
  <c r="AT1221" i="2" s="1"/>
  <c r="AS1253" i="2"/>
  <c r="AS1265" i="2"/>
  <c r="AU1263" i="2"/>
  <c r="AS1254" i="2"/>
  <c r="AS1229" i="2"/>
  <c r="AS1242" i="2"/>
  <c r="AS1241" i="2"/>
  <c r="AS1246" i="2" s="1"/>
  <c r="AS1243" i="2" l="1"/>
  <c r="AS1230" i="2"/>
  <c r="AS1231" i="2" s="1"/>
  <c r="AS1234" i="2" s="1"/>
  <c r="AT1235" i="2" s="1"/>
  <c r="AS1256" i="2"/>
  <c r="AS1255" i="2"/>
  <c r="AS1260" i="2" s="1"/>
  <c r="AS1279" i="2"/>
  <c r="AU1277" i="2"/>
  <c r="AS1268" i="2"/>
  <c r="AS1267" i="2"/>
  <c r="AS1257" i="2" l="1"/>
  <c r="AS1244" i="2"/>
  <c r="AS1245" i="2" s="1"/>
  <c r="AS1248" i="2" s="1"/>
  <c r="AT1249" i="2" s="1"/>
  <c r="AS1269" i="2"/>
  <c r="AS1274" i="2" s="1"/>
  <c r="AS1270" i="2"/>
  <c r="AS1282" i="2"/>
  <c r="AS1281" i="2"/>
  <c r="AU1291" i="2"/>
  <c r="AS1293" i="2"/>
  <c r="AS1307" i="2" l="1"/>
  <c r="AS1295" i="2"/>
  <c r="AU1305" i="2"/>
  <c r="AS1296" i="2"/>
  <c r="AS1271" i="2"/>
  <c r="AS1258" i="2"/>
  <c r="AS1259" i="2" s="1"/>
  <c r="AS1262" i="2" s="1"/>
  <c r="AT1263" i="2" s="1"/>
  <c r="AS1283" i="2"/>
  <c r="AS1288" i="2" s="1"/>
  <c r="AS1284" i="2"/>
  <c r="AU1319" i="2" l="1"/>
  <c r="AS1310" i="2"/>
  <c r="AS1309" i="2"/>
  <c r="AS1321" i="2"/>
  <c r="AS1298" i="2"/>
  <c r="AS1297" i="2"/>
  <c r="AS1302" i="2" s="1"/>
  <c r="AS1285" i="2"/>
  <c r="AS1272" i="2"/>
  <c r="AS1273" i="2" s="1"/>
  <c r="AS1276" i="2" s="1"/>
  <c r="AT1277" i="2" s="1"/>
  <c r="AS1299" i="2" l="1"/>
  <c r="AS1286" i="2"/>
  <c r="AS1287" i="2" s="1"/>
  <c r="AS1290" i="2" s="1"/>
  <c r="AT1291" i="2" s="1"/>
  <c r="AS1311" i="2"/>
  <c r="AS1316" i="2" s="1"/>
  <c r="AS1312" i="2"/>
  <c r="AS1324" i="2"/>
  <c r="AU1333" i="2"/>
  <c r="AS1323" i="2"/>
  <c r="AS1335" i="2"/>
  <c r="AS1300" i="2" l="1"/>
  <c r="AS1301" i="2" s="1"/>
  <c r="AS1304" i="2" s="1"/>
  <c r="AT1305" i="2" s="1"/>
  <c r="AS1325" i="2"/>
  <c r="AS1330" i="2" s="1"/>
  <c r="AS1326" i="2"/>
  <c r="AS1349" i="2"/>
  <c r="AS1337" i="2"/>
  <c r="AU1347" i="2"/>
  <c r="AS1338" i="2"/>
  <c r="AS1313" i="2"/>
  <c r="AS1340" i="2" l="1"/>
  <c r="AS1339" i="2"/>
  <c r="AS1344" i="2" s="1"/>
  <c r="AS1351" i="2"/>
  <c r="AU1361" i="2"/>
  <c r="AS1363" i="2"/>
  <c r="AS1352" i="2"/>
  <c r="AS1314" i="2"/>
  <c r="AS1315" i="2" s="1"/>
  <c r="AS1318" i="2" s="1"/>
  <c r="AT1319" i="2" s="1"/>
  <c r="AS1327" i="2"/>
  <c r="AS1328" i="2" l="1"/>
  <c r="AS1329" i="2" s="1"/>
  <c r="AS1332" i="2" s="1"/>
  <c r="AT1333" i="2" s="1"/>
  <c r="AS1365" i="2"/>
  <c r="AS1377" i="2"/>
  <c r="AS1366" i="2"/>
  <c r="AU1375" i="2"/>
  <c r="AS1341" i="2"/>
  <c r="AS1354" i="2"/>
  <c r="AS1353" i="2"/>
  <c r="AS1358" i="2" s="1"/>
  <c r="AS1355" i="2" l="1"/>
  <c r="AS1342" i="2"/>
  <c r="AS1343" i="2" s="1"/>
  <c r="AS1346" i="2" s="1"/>
  <c r="AT1347" i="2" s="1"/>
  <c r="AS1368" i="2"/>
  <c r="AS1367" i="2"/>
  <c r="AS1372" i="2" s="1"/>
  <c r="AS1380" i="2"/>
  <c r="AS1379" i="2"/>
  <c r="AS1391" i="2"/>
  <c r="AU1389" i="2"/>
  <c r="AS1394" i="2" l="1"/>
  <c r="AS1393" i="2"/>
  <c r="AS1405" i="2"/>
  <c r="AU1403" i="2"/>
  <c r="AS1369" i="2"/>
  <c r="AS1356" i="2"/>
  <c r="AS1357" i="2" s="1"/>
  <c r="AS1360" i="2" s="1"/>
  <c r="AT1361" i="2" s="1"/>
  <c r="AS1381" i="2"/>
  <c r="AS1386" i="2" s="1"/>
  <c r="AS1382" i="2"/>
  <c r="AS1370" i="2" l="1"/>
  <c r="AS1371" i="2" s="1"/>
  <c r="AS1374" i="2" s="1"/>
  <c r="AT1375" i="2" s="1"/>
  <c r="AS1395" i="2"/>
  <c r="AS1400" i="2" s="1"/>
  <c r="AS1396" i="2"/>
  <c r="AS1383" i="2"/>
  <c r="AS1407" i="2"/>
  <c r="AS1419" i="2"/>
  <c r="AS1408" i="2"/>
  <c r="AU1417" i="2"/>
  <c r="AS1384" i="2" l="1"/>
  <c r="AS1385" i="2" s="1"/>
  <c r="AS1388" i="2" s="1"/>
  <c r="AT1389" i="2" s="1"/>
  <c r="AS1410" i="2"/>
  <c r="AS1409" i="2"/>
  <c r="AS1414" i="2" s="1"/>
  <c r="AU1431" i="2"/>
  <c r="AS1422" i="2"/>
  <c r="AS1433" i="2"/>
  <c r="AS1421" i="2"/>
  <c r="AS1397" i="2"/>
  <c r="AS1424" i="2" l="1"/>
  <c r="AS1423" i="2"/>
  <c r="AS1428" i="2" s="1"/>
  <c r="AS1398" i="2"/>
  <c r="AS1399" i="2" s="1"/>
  <c r="AS1402" i="2" s="1"/>
  <c r="AT1403" i="2" s="1"/>
  <c r="AS1436" i="2"/>
  <c r="AS1447" i="2"/>
  <c r="AS1435" i="2"/>
  <c r="AU1445" i="2"/>
  <c r="AS1411" i="2"/>
  <c r="AS1425" i="2" l="1"/>
  <c r="AS1412" i="2"/>
  <c r="AS1413" i="2" s="1"/>
  <c r="AS1416" i="2" s="1"/>
  <c r="AT1417" i="2" s="1"/>
  <c r="AS1461" i="2"/>
  <c r="AS1449" i="2"/>
  <c r="AS1450" i="2"/>
  <c r="AU1459" i="2"/>
  <c r="AS1437" i="2"/>
  <c r="AS1442" i="2" s="1"/>
  <c r="AS1438" i="2"/>
  <c r="AS1463" i="2" l="1"/>
  <c r="AU1473" i="2"/>
  <c r="AS1475" i="2"/>
  <c r="AS1464" i="2"/>
  <c r="AS1426" i="2"/>
  <c r="AS1427" i="2" s="1"/>
  <c r="AS1430" i="2" s="1"/>
  <c r="AT1431" i="2" s="1"/>
  <c r="AS1451" i="2"/>
  <c r="AS1456" i="2" s="1"/>
  <c r="AS1452" i="2"/>
  <c r="AS1439" i="2"/>
  <c r="AS1440" i="2" l="1"/>
  <c r="AS1441" i="2" s="1"/>
  <c r="AS1444" i="2" s="1"/>
  <c r="AT1445" i="2" s="1"/>
  <c r="AS1466" i="2"/>
  <c r="AS1465" i="2"/>
  <c r="AS1470" i="2" s="1"/>
  <c r="AS1477" i="2"/>
  <c r="AS1489" i="2"/>
  <c r="AU1487" i="2"/>
  <c r="AS1478" i="2"/>
  <c r="AS1453" i="2"/>
  <c r="AS1454" i="2" l="1"/>
  <c r="AS1455" i="2" s="1"/>
  <c r="AS1458" i="2" s="1"/>
  <c r="AT1459" i="2" s="1"/>
  <c r="AS1480" i="2"/>
  <c r="AS1479" i="2"/>
  <c r="AS1484" i="2" s="1"/>
  <c r="AS1492" i="2"/>
  <c r="AU1501" i="2"/>
  <c r="AS1491" i="2"/>
  <c r="AS1503" i="2"/>
  <c r="AS1467" i="2"/>
  <c r="AS1506" i="2" l="1"/>
  <c r="AS1517" i="2"/>
  <c r="AS1505" i="2"/>
  <c r="AU1515" i="2"/>
  <c r="AS1468" i="2"/>
  <c r="AS1469" i="2" s="1"/>
  <c r="AS1472" i="2" s="1"/>
  <c r="AT1473" i="2" s="1"/>
  <c r="AS1493" i="2"/>
  <c r="AS1498" i="2" s="1"/>
  <c r="AS1494" i="2"/>
  <c r="AS1481" i="2"/>
  <c r="AS1482" i="2" l="1"/>
  <c r="AS1483" i="2" s="1"/>
  <c r="AS1486" i="2" s="1"/>
  <c r="AT1487" i="2" s="1"/>
  <c r="AS1519" i="2"/>
  <c r="AS1531" i="2"/>
  <c r="AU1529" i="2"/>
  <c r="AS1520" i="2"/>
  <c r="AS1507" i="2"/>
  <c r="AS1512" i="2" s="1"/>
  <c r="AS1508" i="2"/>
  <c r="AS1495" i="2"/>
  <c r="AS1496" i="2" l="1"/>
  <c r="AS1497" i="2" s="1"/>
  <c r="AS1500" i="2" s="1"/>
  <c r="AT1501" i="2" s="1"/>
  <c r="AS1521" i="2"/>
  <c r="AS1526" i="2" s="1"/>
  <c r="AS1522" i="2"/>
  <c r="AS1509" i="2"/>
  <c r="AS1533" i="2"/>
  <c r="AS1534" i="2"/>
  <c r="AS1545" i="2"/>
  <c r="AU1543" i="2"/>
  <c r="AS1559" i="2" l="1"/>
  <c r="AS1548" i="2"/>
  <c r="AS1547" i="2"/>
  <c r="AU1557" i="2"/>
  <c r="AS1510" i="2"/>
  <c r="AS1511" i="2" s="1"/>
  <c r="AS1514" i="2" s="1"/>
  <c r="AT1515" i="2" s="1"/>
  <c r="AS1536" i="2"/>
  <c r="AS1535" i="2"/>
  <c r="AS1540" i="2" s="1"/>
  <c r="AS1523" i="2"/>
  <c r="AS1561" i="2" l="1"/>
  <c r="AS1562" i="2"/>
  <c r="AU1571" i="2"/>
  <c r="AS1573" i="2"/>
  <c r="AS1524" i="2"/>
  <c r="AS1525" i="2" s="1"/>
  <c r="AS1528" i="2" s="1"/>
  <c r="AT1529" i="2" s="1"/>
  <c r="AS1549" i="2"/>
  <c r="AS1554" i="2" s="1"/>
  <c r="AS1550" i="2"/>
  <c r="AS1537" i="2"/>
  <c r="AS1563" i="2" l="1"/>
  <c r="AS1568" i="2" s="1"/>
  <c r="AS1564" i="2"/>
  <c r="AS1538" i="2"/>
  <c r="AS1539" i="2" s="1"/>
  <c r="AS1542" i="2" s="1"/>
  <c r="AT1543" i="2" s="1"/>
  <c r="AS1551" i="2"/>
  <c r="AS1587" i="2"/>
  <c r="AS1575" i="2"/>
  <c r="AS1576" i="2"/>
  <c r="AU1585" i="2"/>
  <c r="AS1565" i="2" l="1"/>
  <c r="AS1552" i="2"/>
  <c r="AS1553" i="2" s="1"/>
  <c r="AS1556" i="2" s="1"/>
  <c r="AT1557" i="2" s="1"/>
  <c r="AU1599" i="2"/>
  <c r="AS1601" i="2"/>
  <c r="AS1590" i="2"/>
  <c r="AS1589" i="2"/>
  <c r="AS1578" i="2"/>
  <c r="AS1577" i="2"/>
  <c r="AS1582" i="2" s="1"/>
  <c r="AS1579" i="2" l="1"/>
  <c r="AS1566" i="2"/>
  <c r="AS1567" i="2" s="1"/>
  <c r="AS1570" i="2" s="1"/>
  <c r="AT1571" i="2" s="1"/>
  <c r="AS1604" i="2"/>
  <c r="AS1603" i="2"/>
  <c r="AS1615" i="2"/>
  <c r="AU1613" i="2"/>
  <c r="AS1592" i="2"/>
  <c r="AS1591" i="2"/>
  <c r="AS1596" i="2" s="1"/>
  <c r="AS1593" i="2" l="1"/>
  <c r="AS1580" i="2"/>
  <c r="AS1581" i="2" s="1"/>
  <c r="AS1584" i="2" s="1"/>
  <c r="AT1585" i="2" s="1"/>
  <c r="AS1606" i="2"/>
  <c r="AS1605" i="2"/>
  <c r="AS1610" i="2" s="1"/>
  <c r="AS1617" i="2"/>
  <c r="AU1627" i="2"/>
  <c r="AS1629" i="2"/>
  <c r="AS1618" i="2"/>
  <c r="AS1631" i="2" l="1"/>
  <c r="AS1643" i="2"/>
  <c r="AU1641" i="2"/>
  <c r="AS1632" i="2"/>
  <c r="AS1607" i="2"/>
  <c r="AS1594" i="2"/>
  <c r="AS1595" i="2" s="1"/>
  <c r="AS1598" i="2" s="1"/>
  <c r="AT1599" i="2" s="1"/>
  <c r="AS1619" i="2"/>
  <c r="AS1624" i="2" s="1"/>
  <c r="AS1620" i="2"/>
  <c r="AS1634" i="2" l="1"/>
  <c r="AS1633" i="2"/>
  <c r="AS1638" i="2" s="1"/>
  <c r="AS1645" i="2"/>
  <c r="AU1655" i="2"/>
  <c r="AS1646" i="2"/>
  <c r="AS1657" i="2"/>
  <c r="AS1621" i="2"/>
  <c r="AS1608" i="2"/>
  <c r="AS1609" i="2" s="1"/>
  <c r="AS1612" i="2" s="1"/>
  <c r="AT1613" i="2" s="1"/>
  <c r="AS1635" i="2" l="1"/>
  <c r="AS1671" i="2"/>
  <c r="AS1660" i="2"/>
  <c r="AS1659" i="2"/>
  <c r="AU1669" i="2"/>
  <c r="AS1648" i="2"/>
  <c r="AS1647" i="2"/>
  <c r="AS1652" i="2" s="1"/>
  <c r="AS1622" i="2"/>
  <c r="AS1623" i="2" s="1"/>
  <c r="AS1626" i="2" s="1"/>
  <c r="AT1627" i="2" s="1"/>
  <c r="AS1661" i="2" l="1"/>
  <c r="AS1666" i="2" s="1"/>
  <c r="AS1662" i="2"/>
  <c r="AS1636" i="2"/>
  <c r="AS1637" i="2" s="1"/>
  <c r="AS1640" i="2" s="1"/>
  <c r="AT1641" i="2" s="1"/>
  <c r="AS1685" i="2"/>
  <c r="AS1674" i="2"/>
  <c r="AS1673" i="2"/>
  <c r="AU1683" i="2"/>
  <c r="AS1649" i="2"/>
  <c r="AS1699" i="2" l="1"/>
  <c r="AU1697" i="2"/>
  <c r="AS1688" i="2"/>
  <c r="AS1687" i="2"/>
  <c r="AS1663" i="2"/>
  <c r="AS1650" i="2"/>
  <c r="AS1651" i="2" s="1"/>
  <c r="AS1654" i="2" s="1"/>
  <c r="AT1655" i="2" s="1"/>
  <c r="AS1676" i="2"/>
  <c r="AS1675" i="2"/>
  <c r="AS1680" i="2" s="1"/>
  <c r="AS1701" i="2" l="1"/>
  <c r="AS1713" i="2"/>
  <c r="AS1702" i="2"/>
  <c r="AU1711" i="2"/>
  <c r="AS1664" i="2"/>
  <c r="AS1665" i="2" s="1"/>
  <c r="AS1668" i="2" s="1"/>
  <c r="AT1669" i="2" s="1"/>
  <c r="AS1677" i="2"/>
  <c r="AS1690" i="2"/>
  <c r="AS1689" i="2"/>
  <c r="AS1694" i="2" s="1"/>
  <c r="AS1704" i="2" l="1"/>
  <c r="AS1703" i="2"/>
  <c r="AS1708" i="2" s="1"/>
  <c r="AS1691" i="2"/>
  <c r="AS1678" i="2"/>
  <c r="AS1679" i="2" s="1"/>
  <c r="AS1682" i="2" s="1"/>
  <c r="AT1683" i="2" s="1"/>
  <c r="AS1716" i="2"/>
  <c r="AS1727" i="2"/>
  <c r="AU1725" i="2"/>
  <c r="AS1715" i="2"/>
  <c r="AS1705" i="2" l="1"/>
  <c r="AS1717" i="2"/>
  <c r="AS1722" i="2" s="1"/>
  <c r="AS1718" i="2"/>
  <c r="AS1692" i="2"/>
  <c r="AS1693" i="2" s="1"/>
  <c r="AS1696" i="2" s="1"/>
  <c r="AT1697" i="2" s="1"/>
  <c r="AS1729" i="2"/>
  <c r="AS1730" i="2"/>
  <c r="AU1739" i="2"/>
  <c r="AS1741" i="2"/>
  <c r="AS1706" i="2" l="1"/>
  <c r="AS1707" i="2" s="1"/>
  <c r="AS1710" i="2" s="1"/>
  <c r="AT1711" i="2" s="1"/>
  <c r="AU1753" i="2"/>
  <c r="AS1743" i="2"/>
  <c r="AS1744" i="2"/>
  <c r="AS1755" i="2"/>
  <c r="AS1732" i="2"/>
  <c r="AS1731" i="2"/>
  <c r="AS1736" i="2" s="1"/>
  <c r="AS1719" i="2"/>
  <c r="AU1767" i="2" l="1"/>
  <c r="AS1758" i="2"/>
  <c r="AS1757" i="2"/>
  <c r="AS1769" i="2"/>
  <c r="AS1720" i="2"/>
  <c r="AS1721" i="2" s="1"/>
  <c r="AS1724" i="2" s="1"/>
  <c r="AT1725" i="2" s="1"/>
  <c r="AS1733" i="2"/>
  <c r="AS1745" i="2"/>
  <c r="AS1750" i="2" s="1"/>
  <c r="AS1746" i="2"/>
  <c r="AS1747" i="2" l="1"/>
  <c r="AS1759" i="2"/>
  <c r="AS1764" i="2" s="1"/>
  <c r="AS1760" i="2"/>
  <c r="AS1734" i="2"/>
  <c r="AS1735" i="2" s="1"/>
  <c r="AS1738" i="2" s="1"/>
  <c r="AT1739" i="2" s="1"/>
  <c r="AS1772" i="2"/>
  <c r="AU1781" i="2"/>
  <c r="AS1771" i="2"/>
  <c r="AS1783" i="2"/>
  <c r="AS1748" i="2" l="1"/>
  <c r="AS1749" i="2" s="1"/>
  <c r="AS1752" i="2" s="1"/>
  <c r="AT1753" i="2" s="1"/>
  <c r="AS1773" i="2"/>
  <c r="AS1778" i="2" s="1"/>
  <c r="AS1774" i="2"/>
  <c r="AS1785" i="2"/>
  <c r="AS1797" i="2"/>
  <c r="AU1795" i="2"/>
  <c r="AS1786" i="2"/>
  <c r="AS1761" i="2"/>
  <c r="AS1762" i="2" l="1"/>
  <c r="AS1763" i="2" s="1"/>
  <c r="AS1766" i="2" s="1"/>
  <c r="AT1767" i="2" s="1"/>
  <c r="AS1788" i="2"/>
  <c r="AS1787" i="2"/>
  <c r="AS1792" i="2" s="1"/>
  <c r="AU1809" i="2"/>
  <c r="AS1799" i="2"/>
  <c r="AS1811" i="2"/>
  <c r="AS1800" i="2"/>
  <c r="AS1775" i="2"/>
  <c r="AS1802" i="2" l="1"/>
  <c r="AS1801" i="2"/>
  <c r="AS1806" i="2" s="1"/>
  <c r="AS1776" i="2"/>
  <c r="AS1777" i="2" s="1"/>
  <c r="AS1780" i="2" s="1"/>
  <c r="AT1781" i="2" s="1"/>
  <c r="AU1823" i="2"/>
  <c r="AS1814" i="2"/>
  <c r="AS1813" i="2"/>
  <c r="AS1825" i="2"/>
  <c r="AS1789" i="2"/>
  <c r="AS1790" i="2" l="1"/>
  <c r="AS1791" i="2" s="1"/>
  <c r="AS1794" i="2" s="1"/>
  <c r="AT1795" i="2" s="1"/>
  <c r="AS1803" i="2"/>
  <c r="AS1816" i="2"/>
  <c r="AS1815" i="2"/>
  <c r="AS1820" i="2" s="1"/>
  <c r="AS1828" i="2"/>
  <c r="AS1827" i="2"/>
  <c r="AS1839" i="2"/>
  <c r="AU1837" i="2"/>
  <c r="AS1842" i="2" l="1"/>
  <c r="AS1853" i="2"/>
  <c r="AS1841" i="2"/>
  <c r="AU1851" i="2"/>
  <c r="AS1804" i="2"/>
  <c r="AS1805" i="2" s="1"/>
  <c r="AS1808" i="2" s="1"/>
  <c r="AT1809" i="2" s="1"/>
  <c r="AS1817" i="2"/>
  <c r="AS1829" i="2"/>
  <c r="AS1834" i="2" s="1"/>
  <c r="AS1830" i="2"/>
  <c r="AS1867" i="2" l="1"/>
  <c r="AS1855" i="2"/>
  <c r="AU1865" i="2"/>
  <c r="AS1856" i="2"/>
  <c r="AS1831" i="2"/>
  <c r="AS1843" i="2"/>
  <c r="AS1848" i="2" s="1"/>
  <c r="AS1844" i="2"/>
  <c r="AS1818" i="2"/>
  <c r="AS1819" i="2" s="1"/>
  <c r="AS1822" i="2" s="1"/>
  <c r="AT1823" i="2" s="1"/>
  <c r="AS1869" i="2" l="1"/>
  <c r="AU1879" i="2"/>
  <c r="AS1881" i="2"/>
  <c r="AS1870" i="2"/>
  <c r="AS1858" i="2"/>
  <c r="AS1857" i="2"/>
  <c r="AS1862" i="2" s="1"/>
  <c r="AS1832" i="2"/>
  <c r="AS1833" i="2" s="1"/>
  <c r="AS1836" i="2" s="1"/>
  <c r="AT1837" i="2" s="1"/>
  <c r="AS1845" i="2"/>
  <c r="AS1859" i="2" l="1"/>
  <c r="AS1872" i="2"/>
  <c r="AS1871" i="2"/>
  <c r="AS1876" i="2" s="1"/>
  <c r="AS1846" i="2"/>
  <c r="AS1847" i="2" s="1"/>
  <c r="AS1850" i="2" s="1"/>
  <c r="AT1851" i="2" s="1"/>
  <c r="AS1884" i="2"/>
  <c r="AS1883" i="2"/>
  <c r="AU1893" i="2"/>
  <c r="AS1895" i="2"/>
  <c r="AS1860" i="2" l="1"/>
  <c r="AS1861" i="2" s="1"/>
  <c r="AS1864" i="2" s="1"/>
  <c r="AT1865" i="2" s="1"/>
  <c r="AS1898" i="2"/>
  <c r="AS1909" i="2"/>
  <c r="AS1897" i="2"/>
  <c r="AU1907" i="2"/>
  <c r="AS1873" i="2"/>
  <c r="AS1886" i="2"/>
  <c r="AS1885" i="2"/>
  <c r="AS1890" i="2" s="1"/>
  <c r="AS1900" i="2" l="1"/>
  <c r="AS1899" i="2"/>
  <c r="AS1904" i="2" s="1"/>
  <c r="AS1887" i="2"/>
  <c r="AS1874" i="2"/>
  <c r="AS1875" i="2" s="1"/>
  <c r="AS1878" i="2" s="1"/>
  <c r="AT1879" i="2" s="1"/>
  <c r="AS1911" i="2"/>
  <c r="AU1921" i="2"/>
  <c r="AS1923" i="2"/>
  <c r="AS1912" i="2"/>
  <c r="AS1901" i="2" l="1"/>
  <c r="AS1914" i="2"/>
  <c r="AS1913" i="2"/>
  <c r="AS1918" i="2" s="1"/>
  <c r="AS1888" i="2"/>
  <c r="AS1889" i="2" s="1"/>
  <c r="AS1892" i="2" s="1"/>
  <c r="AT1893" i="2" s="1"/>
  <c r="AS1925" i="2"/>
  <c r="AS1937" i="2"/>
  <c r="AS1926" i="2"/>
  <c r="AU1935" i="2"/>
  <c r="AS1951" i="2" l="1"/>
  <c r="AS1939" i="2"/>
  <c r="AU1949" i="2"/>
  <c r="AS1940" i="2"/>
  <c r="AS1902" i="2"/>
  <c r="AS1903" i="2" s="1"/>
  <c r="AS1906" i="2" s="1"/>
  <c r="AT1907" i="2" s="1"/>
  <c r="AS1927" i="2"/>
  <c r="AS1932" i="2" s="1"/>
  <c r="AS1928" i="2"/>
  <c r="AS1915" i="2"/>
  <c r="AS1953" i="2" l="1"/>
  <c r="AU1963" i="2"/>
  <c r="AS1965" i="2"/>
  <c r="AS1954" i="2"/>
  <c r="AS1929" i="2"/>
  <c r="AS1916" i="2"/>
  <c r="AS1917" i="2" s="1"/>
  <c r="AS1920" i="2" s="1"/>
  <c r="AT1921" i="2" s="1"/>
  <c r="AS1941" i="2"/>
  <c r="AS1946" i="2" s="1"/>
  <c r="AS1942" i="2"/>
  <c r="AS1956" i="2" l="1"/>
  <c r="AS1955" i="2"/>
  <c r="AS1960" i="2" s="1"/>
  <c r="AS1943" i="2"/>
  <c r="AU1977" i="2"/>
  <c r="AS1979" i="2"/>
  <c r="AS1968" i="2"/>
  <c r="AS1967" i="2"/>
  <c r="AS1930" i="2"/>
  <c r="AS1931" i="2" s="1"/>
  <c r="AS1934" i="2" s="1"/>
  <c r="AT1935" i="2" s="1"/>
  <c r="AS1957" i="2" l="1"/>
  <c r="AS1981" i="2"/>
  <c r="AU1991" i="2"/>
  <c r="AS1982" i="2"/>
  <c r="AS1993" i="2"/>
  <c r="AS1970" i="2"/>
  <c r="AS1969" i="2"/>
  <c r="AS1974" i="2" s="1"/>
  <c r="AS1944" i="2"/>
  <c r="AS1945" i="2" s="1"/>
  <c r="AS1948" i="2" s="1"/>
  <c r="AT1949" i="2" s="1"/>
  <c r="AS1958" i="2" l="1"/>
  <c r="AS1959" i="2" s="1"/>
  <c r="AS1962" i="2" s="1"/>
  <c r="AT1963" i="2" s="1"/>
  <c r="AS1996" i="2"/>
  <c r="AS1995" i="2"/>
  <c r="AS2007" i="2"/>
  <c r="AU2005" i="2"/>
  <c r="AS1971" i="2"/>
  <c r="AS1983" i="2"/>
  <c r="AS1988" i="2" s="1"/>
  <c r="AS1984" i="2"/>
  <c r="AS2021" i="2" l="1"/>
  <c r="AS2010" i="2"/>
  <c r="AS2009" i="2"/>
  <c r="AU2019" i="2"/>
  <c r="AS1985" i="2"/>
  <c r="AS1972" i="2"/>
  <c r="AS1973" i="2" s="1"/>
  <c r="AS1976" i="2" s="1"/>
  <c r="AT1977" i="2" s="1"/>
  <c r="AS1997" i="2"/>
  <c r="AS2002" i="2" s="1"/>
  <c r="AS1998" i="2"/>
  <c r="AS2035" i="2" l="1"/>
  <c r="AU2033" i="2"/>
  <c r="AS2024" i="2"/>
  <c r="AS2023" i="2"/>
  <c r="AS1999" i="2"/>
  <c r="AS1986" i="2"/>
  <c r="AS1987" i="2" s="1"/>
  <c r="AS1990" i="2" s="1"/>
  <c r="AT1991" i="2" s="1"/>
  <c r="AS2012" i="2"/>
  <c r="AS2011" i="2"/>
  <c r="AS2016" i="2" s="1"/>
  <c r="AU2047" i="2" l="1"/>
  <c r="AS2038" i="2"/>
  <c r="AS2037" i="2"/>
  <c r="AS2049" i="2"/>
  <c r="AS2013" i="2"/>
  <c r="AS2000" i="2"/>
  <c r="AS2001" i="2" s="1"/>
  <c r="AS2004" i="2" s="1"/>
  <c r="AT2005" i="2" s="1"/>
  <c r="AS2026" i="2"/>
  <c r="AS2025" i="2"/>
  <c r="AS2030" i="2" s="1"/>
  <c r="AS2027" i="2" l="1"/>
  <c r="AS2014" i="2"/>
  <c r="AS2015" i="2" s="1"/>
  <c r="AS2018" i="2" s="1"/>
  <c r="AT2019" i="2" s="1"/>
  <c r="AS2040" i="2"/>
  <c r="AS2039" i="2"/>
  <c r="AS2044" i="2" s="1"/>
  <c r="AS2052" i="2"/>
  <c r="AS2051" i="2"/>
  <c r="AS2063" i="2"/>
  <c r="AU2061" i="2"/>
  <c r="AS2077" i="2" l="1"/>
  <c r="AS2066" i="2"/>
  <c r="AS2065" i="2"/>
  <c r="AU2075" i="2"/>
  <c r="AS2041" i="2"/>
  <c r="AS2028" i="2"/>
  <c r="AS2029" i="2" s="1"/>
  <c r="AS2032" i="2" s="1"/>
  <c r="AT2033" i="2" s="1"/>
  <c r="AS2053" i="2"/>
  <c r="AS2058" i="2" s="1"/>
  <c r="AS2054" i="2"/>
  <c r="AS2091" i="2" l="1"/>
  <c r="AS2079" i="2"/>
  <c r="AS2080" i="2"/>
  <c r="AU2089" i="2"/>
  <c r="AS2067" i="2"/>
  <c r="AS2072" i="2" s="1"/>
  <c r="AS2068" i="2"/>
  <c r="AS2055" i="2"/>
  <c r="AS2042" i="2"/>
  <c r="AS2043" i="2" s="1"/>
  <c r="AS2046" i="2" s="1"/>
  <c r="AT2047" i="2" s="1"/>
  <c r="AS2093" i="2" l="1"/>
  <c r="AS2105" i="2"/>
  <c r="AS2094" i="2"/>
  <c r="AU2103" i="2"/>
  <c r="AS2081" i="2"/>
  <c r="AS2086" i="2" s="1"/>
  <c r="AS2082" i="2"/>
  <c r="AS2069" i="2"/>
  <c r="AS2056" i="2"/>
  <c r="AS2057" i="2" s="1"/>
  <c r="AS2060" i="2" s="1"/>
  <c r="AT2061" i="2" s="1"/>
  <c r="AS2095" i="2" l="1"/>
  <c r="AS2100" i="2" s="1"/>
  <c r="AS2096" i="2"/>
  <c r="AS2108" i="2"/>
  <c r="AU2117" i="2"/>
  <c r="AS2107" i="2"/>
  <c r="AS2119" i="2"/>
  <c r="AS2083" i="2"/>
  <c r="AS2070" i="2"/>
  <c r="AS2071" i="2" s="1"/>
  <c r="AS2074" i="2" s="1"/>
  <c r="AT2075" i="2" s="1"/>
  <c r="AS2097" i="2" l="1"/>
  <c r="AS2109" i="2"/>
  <c r="AS2114" i="2" s="1"/>
  <c r="AS2110" i="2"/>
  <c r="AS2122" i="2"/>
  <c r="AU2131" i="2"/>
  <c r="AS2133" i="2"/>
  <c r="AS2121" i="2"/>
  <c r="AS2084" i="2"/>
  <c r="AS2085" i="2" s="1"/>
  <c r="AS2088" i="2" s="1"/>
  <c r="AT2089" i="2" s="1"/>
  <c r="AS2098" i="2" l="1"/>
  <c r="AS2099" i="2" s="1"/>
  <c r="AS2102" i="2" s="1"/>
  <c r="AT2103" i="2" s="1"/>
  <c r="AS2147" i="2"/>
  <c r="AU2145" i="2"/>
  <c r="AS2135" i="2"/>
  <c r="AS2136" i="2"/>
  <c r="AS2124" i="2"/>
  <c r="AS2123" i="2"/>
  <c r="AS2128" i="2" s="1"/>
  <c r="AS2111" i="2"/>
  <c r="AS2138" i="2" l="1"/>
  <c r="AS2137" i="2"/>
  <c r="AS2142" i="2" s="1"/>
  <c r="AU2159" i="2"/>
  <c r="AS2149" i="2"/>
  <c r="AS2161" i="2"/>
  <c r="AS2150" i="2"/>
  <c r="AS2112" i="2"/>
  <c r="AS2113" i="2" s="1"/>
  <c r="AS2116" i="2" s="1"/>
  <c r="AT2117" i="2" s="1"/>
  <c r="AS2125" i="2"/>
  <c r="AS2164" i="2" l="1"/>
  <c r="AS2175" i="2"/>
  <c r="AU2173" i="2"/>
  <c r="AS2163" i="2"/>
  <c r="AS2139" i="2"/>
  <c r="AS2126" i="2"/>
  <c r="AS2127" i="2" s="1"/>
  <c r="AS2130" i="2" s="1"/>
  <c r="AT2131" i="2" s="1"/>
  <c r="AS2151" i="2"/>
  <c r="AS2156" i="2" s="1"/>
  <c r="AS2152" i="2"/>
  <c r="AS2140" i="2" l="1"/>
  <c r="AS2141" i="2" s="1"/>
  <c r="AS2144" i="2" s="1"/>
  <c r="AT2145" i="2" s="1"/>
  <c r="AS2153" i="2"/>
  <c r="AU2187" i="2"/>
  <c r="AS2189" i="2"/>
  <c r="AS2178" i="2"/>
  <c r="AS2177" i="2"/>
  <c r="AS2165" i="2"/>
  <c r="AS2170" i="2" s="1"/>
  <c r="AS2166" i="2"/>
  <c r="AS2167" i="2" l="1"/>
  <c r="AS2192" i="2"/>
  <c r="AS2203" i="2"/>
  <c r="AU2201" i="2"/>
  <c r="AS2191" i="2"/>
  <c r="AS2180" i="2"/>
  <c r="AS2179" i="2"/>
  <c r="AS2184" i="2" s="1"/>
  <c r="AS2154" i="2"/>
  <c r="AS2155" i="2" s="1"/>
  <c r="AS2158" i="2" s="1"/>
  <c r="AT2159" i="2" s="1"/>
  <c r="AS2194" i="2" l="1"/>
  <c r="AS2193" i="2"/>
  <c r="AS2198" i="2" s="1"/>
  <c r="AS2168" i="2"/>
  <c r="AS2169" i="2" s="1"/>
  <c r="AS2172" i="2" s="1"/>
  <c r="AT2173" i="2" s="1"/>
  <c r="AS2181" i="2"/>
  <c r="AU2215" i="2"/>
  <c r="AS2206" i="2"/>
  <c r="AS2217" i="2"/>
  <c r="AS2205" i="2"/>
  <c r="AS2195" i="2" l="1"/>
  <c r="AS2219" i="2"/>
  <c r="AU2229" i="2"/>
  <c r="AS2220" i="2"/>
  <c r="AS2231" i="2"/>
  <c r="AS2208" i="2"/>
  <c r="AS2207" i="2"/>
  <c r="AS2212" i="2" s="1"/>
  <c r="AS2182" i="2"/>
  <c r="AS2183" i="2" s="1"/>
  <c r="AS2186" i="2" s="1"/>
  <c r="AT2187" i="2" s="1"/>
  <c r="AS2196" i="2" l="1"/>
  <c r="AS2197" i="2" s="1"/>
  <c r="AS2200" i="2" s="1"/>
  <c r="AT2201" i="2" s="1"/>
  <c r="AS2245" i="2"/>
  <c r="AS2234" i="2"/>
  <c r="AS2233" i="2"/>
  <c r="AU2243" i="2"/>
  <c r="AS2209" i="2"/>
  <c r="AS2222" i="2"/>
  <c r="AS2221" i="2"/>
  <c r="AS2226" i="2" s="1"/>
  <c r="AS2223" i="2" l="1"/>
  <c r="AS2235" i="2"/>
  <c r="AS2240" i="2" s="1"/>
  <c r="AS2236" i="2"/>
  <c r="AS2248" i="2"/>
  <c r="AS2247" i="2"/>
  <c r="AS2259" i="2"/>
  <c r="AU2257" i="2"/>
  <c r="AS2210" i="2"/>
  <c r="AS2211" i="2" s="1"/>
  <c r="AS2214" i="2" s="1"/>
  <c r="AT2215" i="2" s="1"/>
  <c r="AS2224" i="2" l="1"/>
  <c r="AS2225" i="2" s="1"/>
  <c r="AS2228" i="2" s="1"/>
  <c r="AT2229" i="2" s="1"/>
  <c r="AS2249" i="2"/>
  <c r="AS2254" i="2" s="1"/>
  <c r="AS2250" i="2"/>
  <c r="AS2262" i="2"/>
  <c r="AS2273" i="2"/>
  <c r="AU2271" i="2"/>
  <c r="AS2261" i="2"/>
  <c r="AS2237" i="2"/>
  <c r="AU2285" i="2" l="1"/>
  <c r="AS2275" i="2"/>
  <c r="AS2287" i="2"/>
  <c r="AS2276" i="2"/>
  <c r="AS2238" i="2"/>
  <c r="AS2239" i="2" s="1"/>
  <c r="AS2242" i="2" s="1"/>
  <c r="AT2243" i="2" s="1"/>
  <c r="AS2264" i="2"/>
  <c r="AS2263" i="2"/>
  <c r="AS2268" i="2" s="1"/>
  <c r="AS2251" i="2"/>
  <c r="AS2278" i="2" l="1"/>
  <c r="AS2277" i="2"/>
  <c r="AS2282" i="2" s="1"/>
  <c r="AS2252" i="2"/>
  <c r="AS2253" i="2" s="1"/>
  <c r="AS2256" i="2" s="1"/>
  <c r="AT2257" i="2" s="1"/>
  <c r="AS2290" i="2"/>
  <c r="AS2289" i="2"/>
  <c r="AS2301" i="2"/>
  <c r="AU2299" i="2"/>
  <c r="AS2265" i="2"/>
  <c r="AS2266" i="2" l="1"/>
  <c r="AS2267" i="2" s="1"/>
  <c r="AS2270" i="2" s="1"/>
  <c r="AT2271" i="2" s="1"/>
  <c r="AS2279" i="2"/>
  <c r="AS2291" i="2"/>
  <c r="AS2296" i="2" s="1"/>
  <c r="AS2292" i="2"/>
  <c r="AS2304" i="2"/>
  <c r="AS2303" i="2"/>
  <c r="AS2315" i="2"/>
  <c r="AU2313" i="2"/>
  <c r="AS2318" i="2" l="1"/>
  <c r="AS2329" i="2"/>
  <c r="AS2317" i="2"/>
  <c r="AU2327" i="2"/>
  <c r="AS2293" i="2"/>
  <c r="AS2306" i="2"/>
  <c r="AS2305" i="2"/>
  <c r="AS2310" i="2" s="1"/>
  <c r="AS2280" i="2"/>
  <c r="AS2281" i="2" s="1"/>
  <c r="AS2284" i="2" s="1"/>
  <c r="AT2285" i="2" s="1"/>
  <c r="AS2331" i="2" l="1"/>
  <c r="AS2343" i="2"/>
  <c r="AU2341" i="2"/>
  <c r="AS2332" i="2"/>
  <c r="AS2294" i="2"/>
  <c r="AS2295" i="2" s="1"/>
  <c r="AS2298" i="2" s="1"/>
  <c r="AT2299" i="2" s="1"/>
  <c r="AS2307" i="2"/>
  <c r="AS2320" i="2"/>
  <c r="AS2319" i="2"/>
  <c r="AS2324" i="2" s="1"/>
  <c r="AS2333" i="2" l="1"/>
  <c r="AS2338" i="2" s="1"/>
  <c r="AS2334" i="2"/>
  <c r="AS2357" i="2"/>
  <c r="AU2355" i="2"/>
  <c r="AS2345" i="2"/>
  <c r="AS2346" i="2"/>
  <c r="AS2321" i="2"/>
  <c r="AS2308" i="2"/>
  <c r="AS2309" i="2" s="1"/>
  <c r="AS2312" i="2" s="1"/>
  <c r="AT2313" i="2" s="1"/>
  <c r="AS2347" i="2" l="1"/>
  <c r="AS2352" i="2" s="1"/>
  <c r="AS2348" i="2"/>
  <c r="AS2335" i="2"/>
  <c r="AS2371" i="2"/>
  <c r="AU2369" i="2"/>
  <c r="AS2359" i="2"/>
  <c r="AS2360" i="2"/>
  <c r="AS2322" i="2"/>
  <c r="AS2323" i="2" s="1"/>
  <c r="AS2326" i="2" s="1"/>
  <c r="AT2327" i="2" s="1"/>
  <c r="AS2349" i="2" l="1"/>
  <c r="AS2373" i="2"/>
  <c r="AU2383" i="2"/>
  <c r="AS2385" i="2"/>
  <c r="AS2374" i="2"/>
  <c r="AS2362" i="2"/>
  <c r="AS2361" i="2"/>
  <c r="AS2366" i="2" s="1"/>
  <c r="AS2336" i="2"/>
  <c r="AS2337" i="2" s="1"/>
  <c r="AS2340" i="2" s="1"/>
  <c r="AT2341" i="2" s="1"/>
  <c r="AU2397" i="2" l="1"/>
  <c r="AS2388" i="2"/>
  <c r="AS2387" i="2"/>
  <c r="AS2399" i="2"/>
  <c r="AS2350" i="2"/>
  <c r="AS2351" i="2" s="1"/>
  <c r="AS2354" i="2" s="1"/>
  <c r="AT2355" i="2" s="1"/>
  <c r="AS2363" i="2"/>
  <c r="AS2376" i="2"/>
  <c r="AS2375" i="2"/>
  <c r="AS2380" i="2" s="1"/>
  <c r="AS2377" i="2" l="1"/>
  <c r="AS2390" i="2"/>
  <c r="AS2389" i="2"/>
  <c r="AS2394" i="2" s="1"/>
  <c r="AS2364" i="2"/>
  <c r="AS2365" i="2" s="1"/>
  <c r="AS2368" i="2" s="1"/>
  <c r="AT2369" i="2" s="1"/>
  <c r="AS2402" i="2"/>
  <c r="AU2411" i="2"/>
  <c r="AS2401" i="2"/>
  <c r="AS2413" i="2"/>
  <c r="AS2403" i="2" l="1"/>
  <c r="AS2408" i="2" s="1"/>
  <c r="AS2404" i="2"/>
  <c r="AS2427" i="2"/>
  <c r="AS2416" i="2"/>
  <c r="AS2415" i="2"/>
  <c r="AU2425" i="2"/>
  <c r="AS2378" i="2"/>
  <c r="AS2379" i="2" s="1"/>
  <c r="AS2382" i="2" s="1"/>
  <c r="AT2383" i="2" s="1"/>
  <c r="AS2391" i="2"/>
  <c r="AS2418" i="2" l="1"/>
  <c r="AS2417" i="2"/>
  <c r="AS2422" i="2" s="1"/>
  <c r="AS2405" i="2"/>
  <c r="AS2392" i="2"/>
  <c r="AS2393" i="2" s="1"/>
  <c r="AS2396" i="2" s="1"/>
  <c r="AT2397" i="2" s="1"/>
  <c r="AU2439" i="2"/>
  <c r="AS2441" i="2"/>
  <c r="AS2430" i="2"/>
  <c r="AS2429" i="2"/>
  <c r="AS2419" i="2" l="1"/>
  <c r="AS2431" i="2"/>
  <c r="AS2436" i="2" s="1"/>
  <c r="AS2432" i="2"/>
  <c r="AU2453" i="2"/>
  <c r="AS2444" i="2"/>
  <c r="AS2443" i="2"/>
  <c r="AS2455" i="2"/>
  <c r="AS2406" i="2"/>
  <c r="AS2407" i="2" s="1"/>
  <c r="AS2410" i="2" s="1"/>
  <c r="AT2411" i="2" s="1"/>
  <c r="AS2420" i="2" l="1"/>
  <c r="AS2421" i="2" s="1"/>
  <c r="AS2424" i="2" s="1"/>
  <c r="AT2425" i="2" s="1"/>
  <c r="AS2446" i="2"/>
  <c r="AS2445" i="2"/>
  <c r="AS2450" i="2" s="1"/>
  <c r="AS2458" i="2"/>
  <c r="AU2467" i="2"/>
  <c r="AS2457" i="2"/>
  <c r="AS2469" i="2"/>
  <c r="AS2433" i="2"/>
  <c r="AS2434" i="2" l="1"/>
  <c r="AS2435" i="2" s="1"/>
  <c r="AS2438" i="2" s="1"/>
  <c r="AT2439" i="2" s="1"/>
  <c r="AS2459" i="2"/>
  <c r="AS2464" i="2" s="1"/>
  <c r="AS2460" i="2"/>
  <c r="AS2447" i="2"/>
  <c r="AS2471" i="2"/>
  <c r="AS2472" i="2"/>
  <c r="AS2483" i="2"/>
  <c r="AU2481" i="2"/>
  <c r="AS2486" i="2" l="1"/>
  <c r="AS2497" i="2"/>
  <c r="AU2495" i="2"/>
  <c r="AS2485" i="2"/>
  <c r="AS2448" i="2"/>
  <c r="AS2449" i="2" s="1"/>
  <c r="AS2452" i="2" s="1"/>
  <c r="AT2453" i="2" s="1"/>
  <c r="AS2474" i="2"/>
  <c r="AS2473" i="2"/>
  <c r="AS2478" i="2" s="1"/>
  <c r="AS2461" i="2"/>
  <c r="AS2462" i="2" l="1"/>
  <c r="AS2463" i="2" s="1"/>
  <c r="AS2466" i="2" s="1"/>
  <c r="AT2467" i="2" s="1"/>
  <c r="AU2509" i="2"/>
  <c r="AS2499" i="2"/>
  <c r="AS2511" i="2"/>
  <c r="AS2500" i="2"/>
  <c r="AS2475" i="2"/>
  <c r="AS2488" i="2"/>
  <c r="AS2487" i="2"/>
  <c r="AS2492" i="2" s="1"/>
  <c r="AS2514" i="2" l="1"/>
  <c r="AU2523" i="2"/>
  <c r="AS2513" i="2"/>
  <c r="AS2525" i="2"/>
  <c r="AS2489" i="2"/>
  <c r="AS2476" i="2"/>
  <c r="AS2477" i="2" s="1"/>
  <c r="AS2480" i="2" s="1"/>
  <c r="AT2481" i="2" s="1"/>
  <c r="AS2502" i="2"/>
  <c r="AS2501" i="2"/>
  <c r="AS2506" i="2" s="1"/>
  <c r="AS2503" i="2" l="1"/>
  <c r="AS2490" i="2"/>
  <c r="AS2491" i="2" s="1"/>
  <c r="AS2494" i="2" s="1"/>
  <c r="AT2495" i="2" s="1"/>
  <c r="AS2515" i="2"/>
  <c r="AS2520" i="2" s="1"/>
  <c r="AS2516" i="2"/>
  <c r="AS2527" i="2"/>
  <c r="AS2528" i="2"/>
  <c r="AS2539" i="2"/>
  <c r="AU2537" i="2"/>
  <c r="AS2542" i="2" l="1"/>
  <c r="AU2551" i="2"/>
  <c r="AS2553" i="2"/>
  <c r="AS2541" i="2"/>
  <c r="AS2517" i="2"/>
  <c r="AS2504" i="2"/>
  <c r="AS2505" i="2" s="1"/>
  <c r="AS2508" i="2" s="1"/>
  <c r="AT2509" i="2" s="1"/>
  <c r="AS2530" i="2"/>
  <c r="AS2529" i="2"/>
  <c r="AS2534" i="2" s="1"/>
  <c r="AS2518" i="2" l="1"/>
  <c r="AS2519" i="2" s="1"/>
  <c r="AS2522" i="2" s="1"/>
  <c r="AT2523" i="2" s="1"/>
  <c r="AS2531" i="2"/>
  <c r="AU2565" i="2"/>
  <c r="AS2567" i="2"/>
  <c r="AS2556" i="2"/>
  <c r="AS2555" i="2"/>
  <c r="AS2544" i="2"/>
  <c r="AS2543" i="2"/>
  <c r="AS2548" i="2" s="1"/>
  <c r="AS2545" i="2" l="1"/>
  <c r="AS2570" i="2"/>
  <c r="AS2569" i="2"/>
  <c r="AU2579" i="2"/>
  <c r="AS2581" i="2"/>
  <c r="AS2532" i="2"/>
  <c r="AS2533" i="2" s="1"/>
  <c r="AS2536" i="2" s="1"/>
  <c r="AT2537" i="2" s="1"/>
  <c r="AS2558" i="2"/>
  <c r="AS2557" i="2"/>
  <c r="AS2562" i="2" s="1"/>
  <c r="AS2559" i="2" l="1"/>
  <c r="AS2583" i="2"/>
  <c r="AS2584" i="2"/>
  <c r="AS2595" i="2"/>
  <c r="AU2593" i="2"/>
  <c r="AS2546" i="2"/>
  <c r="AS2547" i="2" s="1"/>
  <c r="AS2550" i="2" s="1"/>
  <c r="AT2551" i="2" s="1"/>
  <c r="AS2571" i="2"/>
  <c r="AS2576" i="2" s="1"/>
  <c r="AS2572" i="2"/>
  <c r="AS2598" i="2" l="1"/>
  <c r="AS2597" i="2"/>
  <c r="AS2609" i="2"/>
  <c r="AU2607" i="2"/>
  <c r="AS2560" i="2"/>
  <c r="AS2561" i="2" s="1"/>
  <c r="AS2564" i="2" s="1"/>
  <c r="AT2565" i="2" s="1"/>
  <c r="AS2585" i="2"/>
  <c r="AS2590" i="2" s="1"/>
  <c r="AS2586" i="2"/>
  <c r="AS2573" i="2"/>
  <c r="AS2600" i="2" l="1"/>
  <c r="AS2599" i="2"/>
  <c r="AS2604" i="2" s="1"/>
  <c r="AS2611" i="2"/>
  <c r="AU2621" i="2"/>
  <c r="AS2623" i="2"/>
  <c r="AS2612" i="2"/>
  <c r="AS2574" i="2"/>
  <c r="AS2575" i="2" s="1"/>
  <c r="AS2578" i="2" s="1"/>
  <c r="AT2579" i="2" s="1"/>
  <c r="AS2587" i="2"/>
  <c r="AS2588" i="2" l="1"/>
  <c r="AS2589" i="2" s="1"/>
  <c r="AS2592" i="2" s="1"/>
  <c r="AT2593" i="2" s="1"/>
  <c r="AS2626" i="2"/>
  <c r="AS2625" i="2"/>
  <c r="AS2637" i="2"/>
  <c r="AU2635" i="2"/>
  <c r="AS2601" i="2"/>
  <c r="AS2614" i="2"/>
  <c r="AS2613" i="2"/>
  <c r="AS2618" i="2" s="1"/>
  <c r="AS2615" i="2" l="1"/>
  <c r="AS2602" i="2"/>
  <c r="AS2603" i="2" s="1"/>
  <c r="AS2606" i="2" s="1"/>
  <c r="AT2607" i="2" s="1"/>
  <c r="AS2639" i="2"/>
  <c r="AS2651" i="2"/>
  <c r="AU2649" i="2"/>
  <c r="AS2640" i="2"/>
  <c r="AS2627" i="2"/>
  <c r="AS2632" i="2" s="1"/>
  <c r="AS2628" i="2"/>
  <c r="AS2641" i="2" l="1"/>
  <c r="AS2646" i="2" s="1"/>
  <c r="AS2642" i="2"/>
  <c r="AS2654" i="2"/>
  <c r="AS2653" i="2"/>
  <c r="AS2665" i="2"/>
  <c r="AU2663" i="2"/>
  <c r="AS2616" i="2"/>
  <c r="AS2617" i="2" s="1"/>
  <c r="AS2620" i="2" s="1"/>
  <c r="AT2621" i="2" s="1"/>
  <c r="AS2629" i="2"/>
  <c r="AS2630" i="2" l="1"/>
  <c r="AS2631" i="2" s="1"/>
  <c r="AS2634" i="2" s="1"/>
  <c r="AT2635" i="2" s="1"/>
  <c r="AS2643" i="2"/>
  <c r="AU2677" i="2"/>
  <c r="AS2667" i="2"/>
  <c r="AS2679" i="2"/>
  <c r="AS2668" i="2"/>
  <c r="AS2656" i="2"/>
  <c r="AS2655" i="2"/>
  <c r="AS2660" i="2" s="1"/>
  <c r="AS2682" i="2" l="1"/>
  <c r="AS2693" i="2"/>
  <c r="AS2681" i="2"/>
  <c r="AU2691" i="2"/>
  <c r="AS2644" i="2"/>
  <c r="AS2645" i="2" s="1"/>
  <c r="AS2648" i="2" s="1"/>
  <c r="AT2649" i="2" s="1"/>
  <c r="AS2657" i="2"/>
  <c r="AS2670" i="2"/>
  <c r="AS2669" i="2"/>
  <c r="AS2674" i="2" s="1"/>
  <c r="AS2671" i="2" l="1"/>
  <c r="AS2695" i="2"/>
  <c r="AS2707" i="2"/>
  <c r="AS2696" i="2"/>
  <c r="AU2705" i="2"/>
  <c r="AS2683" i="2"/>
  <c r="AS2688" i="2" s="1"/>
  <c r="AS2684" i="2"/>
  <c r="AS2658" i="2"/>
  <c r="AS2659" i="2" s="1"/>
  <c r="AS2662" i="2" s="1"/>
  <c r="AT2663" i="2" s="1"/>
  <c r="AS2685" i="2" l="1"/>
  <c r="AS2672" i="2"/>
  <c r="AS2673" i="2" s="1"/>
  <c r="AS2676" i="2" s="1"/>
  <c r="AT2677" i="2" s="1"/>
  <c r="AS2698" i="2"/>
  <c r="AS2697" i="2"/>
  <c r="AS2702" i="2" s="1"/>
  <c r="AS2710" i="2"/>
  <c r="AU2719" i="2"/>
  <c r="AS2709" i="2"/>
  <c r="AS2721" i="2"/>
  <c r="AS2712" i="2" l="1"/>
  <c r="AS2711" i="2"/>
  <c r="AS2716" i="2" s="1"/>
  <c r="AS2699" i="2"/>
  <c r="AS2686" i="2"/>
  <c r="AS2687" i="2" s="1"/>
  <c r="AS2690" i="2" s="1"/>
  <c r="AT2691" i="2" s="1"/>
  <c r="AS2723" i="2"/>
  <c r="AS2735" i="2"/>
  <c r="AU2733" i="2"/>
  <c r="AS2724" i="2"/>
  <c r="AS2713" i="2" l="1"/>
  <c r="AS2726" i="2"/>
  <c r="AS2725" i="2"/>
  <c r="AS2730" i="2" s="1"/>
  <c r="AS2700" i="2"/>
  <c r="AS2701" i="2" s="1"/>
  <c r="AS2704" i="2" s="1"/>
  <c r="AT2705" i="2" s="1"/>
  <c r="AS2749" i="2"/>
  <c r="AU2747" i="2"/>
  <c r="AS2738" i="2"/>
  <c r="AS2737" i="2"/>
  <c r="AS2714" i="2" l="1"/>
  <c r="AS2715" i="2" s="1"/>
  <c r="AS2718" i="2" s="1"/>
  <c r="AT2719" i="2" s="1"/>
  <c r="AS2739" i="2"/>
  <c r="AS2744" i="2" s="1"/>
  <c r="AS2740" i="2"/>
  <c r="AS2752" i="2"/>
  <c r="AS2751" i="2"/>
  <c r="AS2763" i="2"/>
  <c r="AU2761" i="2"/>
  <c r="AS2727" i="2"/>
  <c r="AS2754" i="2" l="1"/>
  <c r="AS2753" i="2"/>
  <c r="AS2758" i="2" s="1"/>
  <c r="AS2728" i="2"/>
  <c r="AS2729" i="2" s="1"/>
  <c r="AS2732" i="2" s="1"/>
  <c r="AT2733" i="2" s="1"/>
  <c r="AS2766" i="2"/>
  <c r="AU2775" i="2"/>
  <c r="AS2777" i="2"/>
  <c r="AS2765" i="2"/>
  <c r="AS2741" i="2"/>
  <c r="AS2755" i="2" l="1"/>
  <c r="AU2789" i="2"/>
  <c r="AS2780" i="2"/>
  <c r="AS2779" i="2"/>
  <c r="AS2791" i="2"/>
  <c r="AS2742" i="2"/>
  <c r="AS2743" i="2" s="1"/>
  <c r="AS2746" i="2" s="1"/>
  <c r="AT2747" i="2" s="1"/>
  <c r="AS2768" i="2"/>
  <c r="AS2767" i="2"/>
  <c r="AS2772" i="2" s="1"/>
  <c r="AS2769" i="2" l="1"/>
  <c r="AS2756" i="2"/>
  <c r="AS2757" i="2" s="1"/>
  <c r="AS2760" i="2" s="1"/>
  <c r="AT2761" i="2" s="1"/>
  <c r="AS2782" i="2"/>
  <c r="AS2781" i="2"/>
  <c r="AS2786" i="2" s="1"/>
  <c r="AS2794" i="2"/>
  <c r="AS2793" i="2"/>
  <c r="AS2805" i="2"/>
  <c r="AU2803" i="2"/>
  <c r="AS2795" i="2" l="1"/>
  <c r="AS2800" i="2" s="1"/>
  <c r="AS2796" i="2"/>
  <c r="AS2783" i="2"/>
  <c r="AS2770" i="2"/>
  <c r="AS2771" i="2" s="1"/>
  <c r="AS2774" i="2" s="1"/>
  <c r="AT2775" i="2" s="1"/>
  <c r="AS2808" i="2"/>
  <c r="AS2807" i="2"/>
  <c r="AS2819" i="2"/>
  <c r="AU2817" i="2"/>
  <c r="AS2797" i="2" l="1"/>
  <c r="AS2822" i="2"/>
  <c r="AU2831" i="2"/>
  <c r="AS2833" i="2"/>
  <c r="AS2821" i="2"/>
  <c r="AS2810" i="2"/>
  <c r="AS2809" i="2"/>
  <c r="AS2814" i="2" s="1"/>
  <c r="AS2784" i="2"/>
  <c r="AS2785" i="2" s="1"/>
  <c r="AS2788" i="2" s="1"/>
  <c r="AT2789" i="2" s="1"/>
  <c r="AS2835" i="2" l="1"/>
  <c r="AS2847" i="2"/>
  <c r="AU2845" i="2"/>
  <c r="AS2836" i="2"/>
  <c r="AS2824" i="2"/>
  <c r="AS2823" i="2"/>
  <c r="AS2828" i="2" s="1"/>
  <c r="AS2798" i="2"/>
  <c r="AS2799" i="2" s="1"/>
  <c r="AS2802" i="2" s="1"/>
  <c r="AT2803" i="2" s="1"/>
  <c r="AS2811" i="2"/>
  <c r="AS2825" i="2" l="1"/>
  <c r="AS2838" i="2"/>
  <c r="AS2837" i="2"/>
  <c r="AS2842" i="2" s="1"/>
  <c r="AS2850" i="2"/>
  <c r="AS2849" i="2"/>
  <c r="AS2861" i="2"/>
  <c r="AU2859" i="2"/>
  <c r="AS2812" i="2"/>
  <c r="AS2813" i="2" s="1"/>
  <c r="AS2816" i="2" s="1"/>
  <c r="AT2817" i="2" s="1"/>
  <c r="AS2826" i="2" l="1"/>
  <c r="AS2827" i="2" s="1"/>
  <c r="AS2830" i="2" s="1"/>
  <c r="AT2831" i="2" s="1"/>
  <c r="AS2851" i="2"/>
  <c r="AS2856" i="2" s="1"/>
  <c r="AS2852" i="2"/>
  <c r="AS2864" i="2"/>
  <c r="AS2863" i="2"/>
  <c r="AS2875" i="2"/>
  <c r="AU2873" i="2"/>
  <c r="AS2839" i="2"/>
  <c r="AS2866" i="2" l="1"/>
  <c r="AS2865" i="2"/>
  <c r="AS2870" i="2" s="1"/>
  <c r="AS2840" i="2"/>
  <c r="AS2841" i="2" s="1"/>
  <c r="AS2844" i="2" s="1"/>
  <c r="AT2845" i="2" s="1"/>
  <c r="AS2878" i="2"/>
  <c r="AU2887" i="2"/>
  <c r="AS2889" i="2"/>
  <c r="AS2877" i="2"/>
  <c r="AS2853" i="2"/>
  <c r="AS2867" i="2" l="1"/>
  <c r="AS2880" i="2"/>
  <c r="AS2879" i="2"/>
  <c r="AS2884" i="2" s="1"/>
  <c r="AS2854" i="2"/>
  <c r="AS2855" i="2" s="1"/>
  <c r="AS2858" i="2" s="1"/>
  <c r="AT2859" i="2" s="1"/>
  <c r="AS2891" i="2"/>
  <c r="AS2903" i="2"/>
  <c r="AU2901" i="2"/>
  <c r="AS2892" i="2"/>
  <c r="AS2868" i="2" l="1"/>
  <c r="AS2869" i="2" s="1"/>
  <c r="AS2872" i="2" s="1"/>
  <c r="AT2873" i="2" s="1"/>
  <c r="AS2894" i="2"/>
  <c r="AS2893" i="2"/>
  <c r="AS2898" i="2" s="1"/>
  <c r="AS2881" i="2"/>
  <c r="AS2917" i="2"/>
  <c r="AU2915" i="2"/>
  <c r="AS2906" i="2"/>
  <c r="AS2905" i="2"/>
  <c r="AS2882" i="2" l="1"/>
  <c r="AS2883" i="2" s="1"/>
  <c r="AS2886" i="2" s="1"/>
  <c r="AT2887" i="2" s="1"/>
  <c r="AS2907" i="2"/>
  <c r="AS2912" i="2" s="1"/>
  <c r="AS2908" i="2"/>
  <c r="AS2920" i="2"/>
  <c r="AS2919" i="2"/>
  <c r="AS2931" i="2"/>
  <c r="AU2929" i="2"/>
  <c r="AS2895" i="2"/>
  <c r="AS2896" i="2" l="1"/>
  <c r="AS2897" i="2" s="1"/>
  <c r="AS2900" i="2" s="1"/>
  <c r="AT2901" i="2" s="1"/>
  <c r="AS2922" i="2"/>
  <c r="AS2921" i="2"/>
  <c r="AS2926" i="2" s="1"/>
  <c r="AS2933" i="2"/>
  <c r="AS2934" i="2"/>
  <c r="AU2943" i="2"/>
  <c r="AS2945" i="2"/>
  <c r="AS2909" i="2"/>
  <c r="AS2936" i="2" l="1"/>
  <c r="AS2935" i="2"/>
  <c r="AS2940" i="2" s="1"/>
  <c r="AS2910" i="2"/>
  <c r="AS2911" i="2" s="1"/>
  <c r="AS2914" i="2" s="1"/>
  <c r="AT2915" i="2" s="1"/>
  <c r="AS2923" i="2"/>
  <c r="AS2947" i="2"/>
  <c r="AS2959" i="2"/>
  <c r="AU2957" i="2"/>
  <c r="AS2948" i="2"/>
  <c r="AS2924" i="2" l="1"/>
  <c r="AS2925" i="2" s="1"/>
  <c r="AS2928" i="2" s="1"/>
  <c r="AT2929" i="2" s="1"/>
  <c r="AS2937" i="2"/>
  <c r="AS2950" i="2"/>
  <c r="AS2949" i="2"/>
  <c r="AS2954" i="2" s="1"/>
  <c r="AS2973" i="2"/>
  <c r="AU2971" i="2"/>
  <c r="AS2962" i="2"/>
  <c r="AS2961" i="2"/>
  <c r="AS2951" i="2" l="1"/>
  <c r="AS2963" i="2"/>
  <c r="AS2968" i="2" s="1"/>
  <c r="AS2964" i="2"/>
  <c r="AS2976" i="2"/>
  <c r="AS2975" i="2"/>
  <c r="AS2987" i="2"/>
  <c r="AU2985" i="2"/>
  <c r="AS2938" i="2"/>
  <c r="AS2939" i="2" s="1"/>
  <c r="AS2942" i="2" s="1"/>
  <c r="AT2943" i="2" s="1"/>
  <c r="AS2952" i="2" l="1"/>
  <c r="AS2953" i="2" s="1"/>
  <c r="AS2956" i="2" s="1"/>
  <c r="AT2957" i="2" s="1"/>
  <c r="AS2978" i="2"/>
  <c r="AS2977" i="2"/>
  <c r="AS2982" i="2" s="1"/>
  <c r="AS2990" i="2"/>
  <c r="AS3001" i="2"/>
  <c r="AU2999" i="2"/>
  <c r="AS2989" i="2"/>
  <c r="AS2965" i="2"/>
  <c r="AS2966" i="2" l="1"/>
  <c r="AS2967" i="2" s="1"/>
  <c r="AS2970" i="2" s="1"/>
  <c r="AT2971" i="2" s="1"/>
  <c r="AU3013" i="2"/>
  <c r="AS3004" i="2"/>
  <c r="AS3003" i="2"/>
  <c r="AS3015" i="2"/>
  <c r="AS2979" i="2"/>
  <c r="AS2992" i="2"/>
  <c r="AS2991" i="2"/>
  <c r="AS2996" i="2" s="1"/>
  <c r="AS2993" i="2" l="1"/>
  <c r="AS3018" i="2"/>
  <c r="AS3017" i="2"/>
  <c r="AS3029" i="2"/>
  <c r="AU3027" i="2"/>
  <c r="AS3006" i="2"/>
  <c r="AS3005" i="2"/>
  <c r="AS3010" i="2" s="1"/>
  <c r="AS2980" i="2"/>
  <c r="AS2981" i="2" s="1"/>
  <c r="AS2984" i="2" s="1"/>
  <c r="AT2985" i="2" s="1"/>
  <c r="AS3043" i="2" l="1"/>
  <c r="AU3041" i="2"/>
  <c r="AS3032" i="2"/>
  <c r="AS3031" i="2"/>
  <c r="AS2994" i="2"/>
  <c r="AS2995" i="2" s="1"/>
  <c r="AS2998" i="2" s="1"/>
  <c r="AT2999" i="2" s="1"/>
  <c r="AS3007" i="2"/>
  <c r="AS3019" i="2"/>
  <c r="AS3024" i="2" s="1"/>
  <c r="AS3020" i="2"/>
  <c r="AS3057" i="2" l="1"/>
  <c r="AU3055" i="2"/>
  <c r="AS3045" i="2"/>
  <c r="AS3046" i="2"/>
  <c r="AS3021" i="2"/>
  <c r="AS3008" i="2"/>
  <c r="AS3009" i="2" s="1"/>
  <c r="AS3012" i="2" s="1"/>
  <c r="AT3013" i="2" s="1"/>
  <c r="AS3034" i="2"/>
  <c r="AS3033" i="2"/>
  <c r="AS3038" i="2" s="1"/>
  <c r="AS3059" i="2" l="1"/>
  <c r="AS3071" i="2"/>
  <c r="AU3069" i="2"/>
  <c r="AS3060" i="2"/>
  <c r="AS3035" i="2"/>
  <c r="AS3022" i="2"/>
  <c r="AS3023" i="2" s="1"/>
  <c r="AS3026" i="2" s="1"/>
  <c r="AT3027" i="2" s="1"/>
  <c r="AS3048" i="2"/>
  <c r="AS3047" i="2"/>
  <c r="AS3052" i="2" s="1"/>
  <c r="AS3049" i="2" l="1"/>
  <c r="AS3062" i="2"/>
  <c r="AS3061" i="2"/>
  <c r="AS3066" i="2" s="1"/>
  <c r="AS3085" i="2"/>
  <c r="AU3083" i="2"/>
  <c r="AS3074" i="2"/>
  <c r="AS3073" i="2"/>
  <c r="AS3036" i="2"/>
  <c r="AS3037" i="2" s="1"/>
  <c r="AS3040" i="2" s="1"/>
  <c r="AT3041" i="2" s="1"/>
  <c r="AS3088" i="2" l="1"/>
  <c r="AS3087" i="2"/>
  <c r="AS3099" i="2"/>
  <c r="AU3097" i="2"/>
  <c r="AS3050" i="2"/>
  <c r="AS3051" i="2" s="1"/>
  <c r="AS3054" i="2" s="1"/>
  <c r="AT3055" i="2" s="1"/>
  <c r="AS3063" i="2"/>
  <c r="AS3075" i="2"/>
  <c r="AS3080" i="2" s="1"/>
  <c r="AS3076" i="2"/>
  <c r="AS3064" i="2" l="1"/>
  <c r="AS3065" i="2" s="1"/>
  <c r="AS3068" i="2" s="1"/>
  <c r="AT3069" i="2" s="1"/>
  <c r="AS3090" i="2"/>
  <c r="AS3089" i="2"/>
  <c r="AS3094" i="2" s="1"/>
  <c r="AS3077" i="2"/>
  <c r="AS3102" i="2"/>
  <c r="AS3113" i="2"/>
  <c r="AU3111" i="2"/>
  <c r="AS3101" i="2"/>
  <c r="AS3078" i="2" l="1"/>
  <c r="AS3079" i="2" s="1"/>
  <c r="AS3082" i="2" s="1"/>
  <c r="AT3083" i="2" s="1"/>
  <c r="AS3104" i="2"/>
  <c r="AS3103" i="2"/>
  <c r="AS3108" i="2" s="1"/>
  <c r="AS3091" i="2"/>
  <c r="AU3125" i="2"/>
  <c r="AS3116" i="2"/>
  <c r="AS3115" i="2"/>
  <c r="AS3127" i="2"/>
  <c r="AS3092" i="2" l="1"/>
  <c r="AS3093" i="2" s="1"/>
  <c r="AS3096" i="2" s="1"/>
  <c r="AT3097" i="2" s="1"/>
  <c r="AS3141" i="2"/>
  <c r="AU3139" i="2"/>
  <c r="AS3130" i="2"/>
  <c r="AS3129" i="2"/>
  <c r="AS3118" i="2"/>
  <c r="AS3117" i="2"/>
  <c r="AS3122" i="2" s="1"/>
  <c r="AS3105" i="2"/>
  <c r="AS3131" i="2" l="1"/>
  <c r="AS3136" i="2" s="1"/>
  <c r="AS3132" i="2"/>
  <c r="AS3144" i="2"/>
  <c r="AS3143" i="2"/>
  <c r="AS3155" i="2"/>
  <c r="AU3153" i="2"/>
  <c r="AS3106" i="2"/>
  <c r="AS3107" i="2" s="1"/>
  <c r="AS3110" i="2" s="1"/>
  <c r="AT3111" i="2" s="1"/>
  <c r="AS3119" i="2"/>
  <c r="AS3157" i="2" l="1"/>
  <c r="AS3158" i="2"/>
  <c r="AU3167" i="2"/>
  <c r="AS3169" i="2"/>
  <c r="AS3133" i="2"/>
  <c r="AS3120" i="2"/>
  <c r="AS3121" i="2" s="1"/>
  <c r="AS3124" i="2" s="1"/>
  <c r="AT3125" i="2" s="1"/>
  <c r="AS3146" i="2"/>
  <c r="AS3145" i="2"/>
  <c r="AS3150" i="2" s="1"/>
  <c r="AS3160" i="2" l="1"/>
  <c r="AS3159" i="2"/>
  <c r="AS3164" i="2" s="1"/>
  <c r="AS3134" i="2"/>
  <c r="AS3135" i="2" s="1"/>
  <c r="AS3138" i="2" s="1"/>
  <c r="AT3139" i="2" s="1"/>
  <c r="AS3147" i="2"/>
  <c r="AS3171" i="2"/>
  <c r="AS3183" i="2"/>
  <c r="AU3181" i="2"/>
  <c r="AS3172" i="2"/>
  <c r="AS3148" i="2" l="1"/>
  <c r="AS3149" i="2" s="1"/>
  <c r="AS3152" i="2" s="1"/>
  <c r="AT3153" i="2" s="1"/>
  <c r="AS3161" i="2"/>
  <c r="AS3174" i="2"/>
  <c r="AS3173" i="2"/>
  <c r="AS3178" i="2" s="1"/>
  <c r="AS3197" i="2"/>
  <c r="AU3195" i="2"/>
  <c r="AS3186" i="2"/>
  <c r="AS3185" i="2"/>
  <c r="AS3175" i="2" l="1"/>
  <c r="AS3187" i="2"/>
  <c r="AS3192" i="2" s="1"/>
  <c r="AS3188" i="2"/>
  <c r="AS3200" i="2"/>
  <c r="AS3199" i="2"/>
  <c r="AS3211" i="2"/>
  <c r="AU3209" i="2"/>
  <c r="AS3162" i="2"/>
  <c r="AS3163" i="2" s="1"/>
  <c r="AS3166" i="2" s="1"/>
  <c r="AT3167" i="2" s="1"/>
  <c r="AS3202" i="2" l="1"/>
  <c r="AS3201" i="2"/>
  <c r="AS3206" i="2" s="1"/>
  <c r="AS3176" i="2"/>
  <c r="AS3177" i="2" s="1"/>
  <c r="AS3180" i="2" s="1"/>
  <c r="AT3181" i="2" s="1"/>
  <c r="AS3214" i="2"/>
  <c r="AU3223" i="2"/>
  <c r="AS3225" i="2"/>
  <c r="AS3213" i="2"/>
  <c r="AS3189" i="2"/>
  <c r="AS3203" i="2" l="1"/>
  <c r="AS3190" i="2"/>
  <c r="AS3191" i="2" s="1"/>
  <c r="AS3194" i="2" s="1"/>
  <c r="AT3195" i="2" s="1"/>
  <c r="AU3237" i="2"/>
  <c r="AS3228" i="2"/>
  <c r="AS3227" i="2"/>
  <c r="AS3239" i="2"/>
  <c r="AS3216" i="2"/>
  <c r="AS3215" i="2"/>
  <c r="AS3220" i="2" s="1"/>
  <c r="AS3204" i="2" l="1"/>
  <c r="AS3205" i="2" s="1"/>
  <c r="AS3208" i="2" s="1"/>
  <c r="AT3209" i="2" s="1"/>
  <c r="AS3217" i="2"/>
  <c r="AS3230" i="2"/>
  <c r="AS3229" i="2"/>
  <c r="AS3234" i="2" s="1"/>
  <c r="AS3242" i="2"/>
  <c r="AS3241" i="2"/>
  <c r="AS3253" i="2"/>
  <c r="AU3251" i="2"/>
  <c r="AS3256" i="2" l="1"/>
  <c r="AS3255" i="2"/>
  <c r="AS3267" i="2"/>
  <c r="AU3265" i="2"/>
  <c r="AS3231" i="2"/>
  <c r="AS3218" i="2"/>
  <c r="AS3219" i="2" s="1"/>
  <c r="AS3222" i="2" s="1"/>
  <c r="AT3223" i="2" s="1"/>
  <c r="AS3243" i="2"/>
  <c r="AS3248" i="2" s="1"/>
  <c r="AS3244" i="2"/>
  <c r="AS3258" i="2" l="1"/>
  <c r="AS3257" i="2"/>
  <c r="AS3262" i="2" s="1"/>
  <c r="AS3245" i="2"/>
  <c r="AS3232" i="2"/>
  <c r="AS3233" i="2" s="1"/>
  <c r="AS3236" i="2" s="1"/>
  <c r="AT3237" i="2" s="1"/>
  <c r="AS3270" i="2"/>
  <c r="AU3279" i="2"/>
  <c r="AS3281" i="2"/>
  <c r="AS3269" i="2"/>
  <c r="AS3283" i="2" l="1"/>
  <c r="AS3295" i="2"/>
  <c r="AU3293" i="2"/>
  <c r="AS3284" i="2"/>
  <c r="AS3259" i="2"/>
  <c r="AS3272" i="2"/>
  <c r="AS3271" i="2"/>
  <c r="AS3276" i="2" s="1"/>
  <c r="AS3246" i="2"/>
  <c r="AS3247" i="2" s="1"/>
  <c r="AS3250" i="2" s="1"/>
  <c r="AT3251" i="2" s="1"/>
  <c r="AS3286" i="2" l="1"/>
  <c r="AS3285" i="2"/>
  <c r="AS3290" i="2" s="1"/>
  <c r="AS3260" i="2"/>
  <c r="AS3261" i="2" s="1"/>
  <c r="AS3264" i="2" s="1"/>
  <c r="AT3265" i="2" s="1"/>
  <c r="AS3309" i="2"/>
  <c r="AU3307" i="2"/>
  <c r="AS3298" i="2"/>
  <c r="AS3297" i="2"/>
  <c r="AS3273" i="2"/>
  <c r="AS3312" i="2" l="1"/>
  <c r="AS3311" i="2"/>
  <c r="AS3323" i="2"/>
  <c r="AU3321" i="2"/>
  <c r="AS3287" i="2"/>
  <c r="AS3299" i="2"/>
  <c r="AS3304" i="2" s="1"/>
  <c r="AS3300" i="2"/>
  <c r="AS3274" i="2"/>
  <c r="AS3275" i="2" s="1"/>
  <c r="AS3278" i="2" s="1"/>
  <c r="AT3279" i="2" s="1"/>
  <c r="AS3288" i="2" l="1"/>
  <c r="AS3289" i="2" s="1"/>
  <c r="AS3292" i="2" s="1"/>
  <c r="AT3293" i="2" s="1"/>
  <c r="AS3314" i="2"/>
  <c r="AS3313" i="2"/>
  <c r="AS3318" i="2" s="1"/>
  <c r="AS3301" i="2"/>
  <c r="AS3325" i="2"/>
  <c r="AS3326" i="2"/>
  <c r="AU3335" i="2"/>
  <c r="AS3337" i="2"/>
  <c r="AS3339" i="2" l="1"/>
  <c r="AS3351" i="2"/>
  <c r="AU3349" i="2"/>
  <c r="AS3340" i="2"/>
  <c r="AS3302" i="2"/>
  <c r="AS3303" i="2" s="1"/>
  <c r="AS3306" i="2" s="1"/>
  <c r="AT3307" i="2" s="1"/>
  <c r="AS3328" i="2"/>
  <c r="AS3327" i="2"/>
  <c r="AS3332" i="2" s="1"/>
  <c r="AS3315" i="2"/>
  <c r="AS3316" i="2" l="1"/>
  <c r="AS3317" i="2" s="1"/>
  <c r="AS3320" i="2" s="1"/>
  <c r="AT3321" i="2" s="1"/>
  <c r="AS3342" i="2"/>
  <c r="AS3341" i="2"/>
  <c r="AS3346" i="2" s="1"/>
  <c r="AS3354" i="2"/>
  <c r="AS3353" i="2"/>
  <c r="AS3365" i="2"/>
  <c r="AU3363" i="2"/>
  <c r="AS3329" i="2"/>
  <c r="AS3355" i="2" l="1"/>
  <c r="AS3360" i="2" s="1"/>
  <c r="AS3356" i="2"/>
  <c r="AS3368" i="2"/>
  <c r="AS3367" i="2"/>
  <c r="AS3379" i="2"/>
  <c r="AU3377" i="2"/>
  <c r="AS3343" i="2"/>
  <c r="AS3330" i="2"/>
  <c r="AS3331" i="2" s="1"/>
  <c r="AS3334" i="2" s="1"/>
  <c r="AT3335" i="2" s="1"/>
  <c r="AS3357" i="2" l="1"/>
  <c r="AS3382" i="2"/>
  <c r="AU3391" i="2"/>
  <c r="AS3393" i="2"/>
  <c r="AS3381" i="2"/>
  <c r="AS3344" i="2"/>
  <c r="AS3345" i="2" s="1"/>
  <c r="AS3348" i="2" s="1"/>
  <c r="AT3349" i="2" s="1"/>
  <c r="AS3370" i="2"/>
  <c r="AS3369" i="2"/>
  <c r="AS3374" i="2" s="1"/>
  <c r="AS3395" i="2" l="1"/>
  <c r="AS3407" i="2"/>
  <c r="AU3405" i="2"/>
  <c r="AS3396" i="2"/>
  <c r="AS3371" i="2"/>
  <c r="AS3384" i="2"/>
  <c r="AS3383" i="2"/>
  <c r="AS3388" i="2" s="1"/>
  <c r="AS3358" i="2"/>
  <c r="AS3359" i="2" s="1"/>
  <c r="AS3362" i="2" s="1"/>
  <c r="AT3363" i="2" s="1"/>
  <c r="AS3398" i="2" l="1"/>
  <c r="AS3397" i="2"/>
  <c r="AS3402" i="2" s="1"/>
  <c r="AS3372" i="2"/>
  <c r="AS3373" i="2" s="1"/>
  <c r="AS3376" i="2" s="1"/>
  <c r="AT3377" i="2" s="1"/>
  <c r="AS3421" i="2"/>
  <c r="AU3419" i="2"/>
  <c r="AS3410" i="2"/>
  <c r="AS3409" i="2"/>
  <c r="AS3385" i="2"/>
  <c r="AS3435" i="2" l="1"/>
  <c r="AU3433" i="2"/>
  <c r="AS3424" i="2"/>
  <c r="AS3423" i="2"/>
  <c r="AS3399" i="2"/>
  <c r="AS3411" i="2"/>
  <c r="AS3416" i="2" s="1"/>
  <c r="AS3412" i="2"/>
  <c r="AS3386" i="2"/>
  <c r="AS3387" i="2" s="1"/>
  <c r="AS3390" i="2" s="1"/>
  <c r="AT3391" i="2" s="1"/>
  <c r="AS3437" i="2" l="1"/>
  <c r="AS3438" i="2"/>
  <c r="AU3447" i="2"/>
  <c r="AS3449" i="2"/>
  <c r="AS3400" i="2"/>
  <c r="AS3401" i="2" s="1"/>
  <c r="AS3404" i="2" s="1"/>
  <c r="AT3405" i="2" s="1"/>
  <c r="AS3413" i="2"/>
  <c r="AS3426" i="2"/>
  <c r="AS3425" i="2"/>
  <c r="AS3430" i="2" s="1"/>
  <c r="AS3427" i="2" l="1"/>
  <c r="AS3440" i="2"/>
  <c r="AS3439" i="2"/>
  <c r="AS3444" i="2" s="1"/>
  <c r="AS3414" i="2"/>
  <c r="AS3415" i="2" s="1"/>
  <c r="AS3418" i="2" s="1"/>
  <c r="AT3419" i="2" s="1"/>
  <c r="AU3461" i="2"/>
  <c r="AS3452" i="2"/>
  <c r="AS3451" i="2"/>
  <c r="AS3463" i="2"/>
  <c r="AS3428" i="2" l="1"/>
  <c r="AS3429" i="2" s="1"/>
  <c r="AS3432" i="2" s="1"/>
  <c r="AT3433" i="2" s="1"/>
  <c r="AS3466" i="2"/>
  <c r="AS3465" i="2"/>
  <c r="AS3477" i="2"/>
  <c r="AU3475" i="2"/>
  <c r="AS3454" i="2"/>
  <c r="AS3453" i="2"/>
  <c r="AS3458" i="2" s="1"/>
  <c r="AS3441" i="2"/>
  <c r="AS3480" i="2" l="1"/>
  <c r="AS3479" i="2"/>
  <c r="AS3491" i="2"/>
  <c r="AU3489" i="2"/>
  <c r="AS3442" i="2"/>
  <c r="AS3443" i="2" s="1"/>
  <c r="AS3446" i="2" s="1"/>
  <c r="AT3447" i="2" s="1"/>
  <c r="AS3455" i="2"/>
  <c r="AS3467" i="2"/>
  <c r="AS3472" i="2" s="1"/>
  <c r="AS3468" i="2"/>
  <c r="AS3456" i="2" l="1"/>
  <c r="AS3457" i="2" s="1"/>
  <c r="AS3460" i="2" s="1"/>
  <c r="AT3461" i="2" s="1"/>
  <c r="AS3482" i="2"/>
  <c r="AS3481" i="2"/>
  <c r="AS3486" i="2" s="1"/>
  <c r="AS3469" i="2"/>
  <c r="AS3494" i="2"/>
  <c r="AS3505" i="2"/>
  <c r="AU3503" i="2"/>
  <c r="AS3493" i="2"/>
  <c r="AS3496" i="2" l="1"/>
  <c r="AS3495" i="2"/>
  <c r="AS3500" i="2" s="1"/>
  <c r="AS3470" i="2"/>
  <c r="AS3471" i="2" s="1"/>
  <c r="AS3474" i="2" s="1"/>
  <c r="AT3475" i="2" s="1"/>
  <c r="AS3483" i="2"/>
  <c r="AS3507" i="2"/>
  <c r="AS3519" i="2"/>
  <c r="AU3517" i="2"/>
  <c r="AS3508" i="2"/>
  <c r="AS3484" i="2" l="1"/>
  <c r="AS3485" i="2" s="1"/>
  <c r="AS3488" i="2" s="1"/>
  <c r="AT3489" i="2" s="1"/>
  <c r="AS3497" i="2"/>
  <c r="AS3510" i="2"/>
  <c r="AS3509" i="2"/>
  <c r="AS3514" i="2" s="1"/>
  <c r="AS3522" i="2"/>
  <c r="AS3521" i="2"/>
  <c r="AS3533" i="2"/>
  <c r="AU3531" i="2"/>
  <c r="AS3536" i="2" l="1"/>
  <c r="AS3535" i="2"/>
  <c r="AS3547" i="2"/>
  <c r="AU3545" i="2"/>
  <c r="AS3498" i="2"/>
  <c r="AS3499" i="2" s="1"/>
  <c r="AS3502" i="2" s="1"/>
  <c r="AT3503" i="2" s="1"/>
  <c r="AS3511" i="2"/>
  <c r="AS3523" i="2"/>
  <c r="AS3528" i="2" s="1"/>
  <c r="AS3524" i="2"/>
  <c r="AS3538" i="2" l="1"/>
  <c r="AS3537" i="2"/>
  <c r="AS3542" i="2" s="1"/>
  <c r="AS3549" i="2"/>
  <c r="AS3550" i="2"/>
  <c r="AS3561" i="2"/>
  <c r="AU3559" i="2"/>
  <c r="AS3525" i="2"/>
  <c r="AS3512" i="2"/>
  <c r="AS3513" i="2" s="1"/>
  <c r="AS3516" i="2" s="1"/>
  <c r="AT3517" i="2" s="1"/>
  <c r="AS3539" i="2" l="1"/>
  <c r="AS3563" i="2"/>
  <c r="AS3575" i="2"/>
  <c r="AU3573" i="2"/>
  <c r="AS3564" i="2"/>
  <c r="AS3552" i="2"/>
  <c r="AS3551" i="2"/>
  <c r="AS3556" i="2" s="1"/>
  <c r="AS3526" i="2"/>
  <c r="AS3527" i="2" s="1"/>
  <c r="AS3530" i="2" s="1"/>
  <c r="AT3531" i="2" s="1"/>
  <c r="AS3540" i="2" l="1"/>
  <c r="AS3541" i="2" s="1"/>
  <c r="AS3544" i="2" s="1"/>
  <c r="AT3545" i="2" s="1"/>
  <c r="AS3553" i="2"/>
  <c r="AS3566" i="2"/>
  <c r="AS3565" i="2"/>
  <c r="AS3570" i="2" s="1"/>
  <c r="AS3589" i="2"/>
  <c r="AU3587" i="2"/>
  <c r="AS3578" i="2"/>
  <c r="AS3577" i="2"/>
  <c r="AS3567" i="2" l="1"/>
  <c r="AS3592" i="2"/>
  <c r="AS3591" i="2"/>
  <c r="AS3603" i="2"/>
  <c r="AU3601" i="2"/>
  <c r="AS3554" i="2"/>
  <c r="AS3555" i="2" s="1"/>
  <c r="AS3558" i="2" s="1"/>
  <c r="AT3559" i="2" s="1"/>
  <c r="AS3579" i="2"/>
  <c r="AS3584" i="2" s="1"/>
  <c r="AS3580" i="2"/>
  <c r="AS3581" i="2" l="1"/>
  <c r="AS3594" i="2"/>
  <c r="AS3593" i="2"/>
  <c r="AS3598" i="2" s="1"/>
  <c r="AS3606" i="2"/>
  <c r="AS3617" i="2"/>
  <c r="AU3615" i="2"/>
  <c r="AS3605" i="2"/>
  <c r="AS3568" i="2"/>
  <c r="AS3569" i="2" s="1"/>
  <c r="AS3572" i="2" s="1"/>
  <c r="AT3573" i="2" s="1"/>
  <c r="AS3582" i="2" l="1"/>
  <c r="AS3583" i="2" s="1"/>
  <c r="AS3586" i="2" s="1"/>
  <c r="AT3587" i="2" s="1"/>
  <c r="AU3629" i="2"/>
  <c r="AS3620" i="2"/>
  <c r="AS3619" i="2"/>
  <c r="AS3631" i="2"/>
  <c r="AS3595" i="2"/>
  <c r="AS3608" i="2"/>
  <c r="AS3607" i="2"/>
  <c r="AS3612" i="2" s="1"/>
  <c r="AS3622" i="2" l="1"/>
  <c r="AS3621" i="2"/>
  <c r="AS3626" i="2" s="1"/>
  <c r="AS3634" i="2"/>
  <c r="AS3633" i="2"/>
  <c r="AS3645" i="2"/>
  <c r="AU3643" i="2"/>
  <c r="AS3609" i="2"/>
  <c r="AS3596" i="2"/>
  <c r="AS3597" i="2" s="1"/>
  <c r="AS3600" i="2" s="1"/>
  <c r="AT3601" i="2" s="1"/>
  <c r="AS3648" i="2" l="1"/>
  <c r="AS3647" i="2"/>
  <c r="AS3659" i="2"/>
  <c r="AU3657" i="2"/>
  <c r="AS3623" i="2"/>
  <c r="AS3610" i="2"/>
  <c r="AS3611" i="2" s="1"/>
  <c r="AS3614" i="2" s="1"/>
  <c r="AT3615" i="2" s="1"/>
  <c r="AS3635" i="2"/>
  <c r="AS3640" i="2" s="1"/>
  <c r="AS3636" i="2"/>
  <c r="AS3650" i="2" l="1"/>
  <c r="AS3649" i="2"/>
  <c r="AS3654" i="2" s="1"/>
  <c r="AS3637" i="2"/>
  <c r="AS3624" i="2"/>
  <c r="AS3625" i="2" s="1"/>
  <c r="AS3628" i="2" s="1"/>
  <c r="AT3629" i="2" s="1"/>
  <c r="AS3662" i="2"/>
  <c r="AU3671" i="2"/>
  <c r="AS3673" i="2"/>
  <c r="AS3661" i="2"/>
  <c r="AS3651" i="2" l="1"/>
  <c r="AS3664" i="2"/>
  <c r="AS3663" i="2"/>
  <c r="AS3668" i="2" s="1"/>
  <c r="AU3685" i="2"/>
  <c r="AS3676" i="2"/>
  <c r="AS3675" i="2"/>
  <c r="AS3687" i="2"/>
  <c r="AS3638" i="2"/>
  <c r="AS3639" i="2" s="1"/>
  <c r="AS3642" i="2" s="1"/>
  <c r="AT3643" i="2" s="1"/>
  <c r="AS3690" i="2" l="1"/>
  <c r="AS3689" i="2"/>
  <c r="AS3701" i="2"/>
  <c r="AU3699" i="2"/>
  <c r="AS3652" i="2"/>
  <c r="AS3653" i="2" s="1"/>
  <c r="AS3656" i="2" s="1"/>
  <c r="AT3657" i="2" s="1"/>
  <c r="AS3678" i="2"/>
  <c r="AS3677" i="2"/>
  <c r="AS3682" i="2" s="1"/>
  <c r="AS3665" i="2"/>
  <c r="AS3666" i="2" l="1"/>
  <c r="AS3667" i="2" s="1"/>
  <c r="AS3670" i="2" s="1"/>
  <c r="AT3671" i="2" s="1"/>
  <c r="AS3691" i="2"/>
  <c r="AS3696" i="2" s="1"/>
  <c r="AS3692" i="2"/>
  <c r="AS3679" i="2"/>
  <c r="AS3704" i="2"/>
  <c r="AS3703" i="2"/>
  <c r="AS3715" i="2"/>
  <c r="AU3713" i="2"/>
  <c r="AS3680" i="2" l="1"/>
  <c r="AS3681" i="2" s="1"/>
  <c r="AS3684" i="2" s="1"/>
  <c r="AT3685" i="2" s="1"/>
  <c r="AS3718" i="2"/>
  <c r="AS3729" i="2"/>
  <c r="AU3727" i="2"/>
  <c r="AS3717" i="2"/>
  <c r="AS3706" i="2"/>
  <c r="AS3705" i="2"/>
  <c r="AS3710" i="2" s="1"/>
  <c r="AS3693" i="2"/>
  <c r="AS3694" i="2" l="1"/>
  <c r="AS3695" i="2" s="1"/>
  <c r="AS3698" i="2" s="1"/>
  <c r="AT3699" i="2" s="1"/>
  <c r="AS3720" i="2"/>
  <c r="AS3719" i="2"/>
  <c r="AS3724" i="2" s="1"/>
  <c r="AS3707" i="2"/>
  <c r="AU3741" i="2"/>
  <c r="AS3732" i="2"/>
  <c r="AS3731" i="2"/>
  <c r="AS3743" i="2"/>
  <c r="AS3708" i="2" l="1"/>
  <c r="AS3709" i="2" s="1"/>
  <c r="AS3712" i="2" s="1"/>
  <c r="AT3713" i="2" s="1"/>
  <c r="AS3746" i="2"/>
  <c r="AS3745" i="2"/>
  <c r="AS3757" i="2"/>
  <c r="AU3755" i="2"/>
  <c r="AS3734" i="2"/>
  <c r="AS3733" i="2"/>
  <c r="AS3738" i="2" s="1"/>
  <c r="AS3721" i="2"/>
  <c r="AS3722" i="2" l="1"/>
  <c r="AS3723" i="2" s="1"/>
  <c r="AS3726" i="2" s="1"/>
  <c r="AT3727" i="2" s="1"/>
  <c r="AS3760" i="2"/>
  <c r="AS3759" i="2"/>
  <c r="AS3771" i="2"/>
  <c r="AU3769" i="2"/>
  <c r="AS3735" i="2"/>
  <c r="AS3747" i="2"/>
  <c r="AS3752" i="2" s="1"/>
  <c r="AS3748" i="2"/>
  <c r="AS3773" i="2" l="1"/>
  <c r="AS3774" i="2"/>
  <c r="AS3785" i="2"/>
  <c r="AU3783" i="2"/>
  <c r="AS3749" i="2"/>
  <c r="AS3736" i="2"/>
  <c r="AS3737" i="2" s="1"/>
  <c r="AS3740" i="2" s="1"/>
  <c r="AT3741" i="2" s="1"/>
  <c r="AS3762" i="2"/>
  <c r="AS3761" i="2"/>
  <c r="AS3766" i="2" s="1"/>
  <c r="AS3776" i="2" l="1"/>
  <c r="AS3775" i="2"/>
  <c r="AS3780" i="2" s="1"/>
  <c r="AS3763" i="2"/>
  <c r="AS3787" i="2"/>
  <c r="AS3799" i="2"/>
  <c r="AU3797" i="2"/>
  <c r="AS3788" i="2"/>
  <c r="AS3750" i="2"/>
  <c r="AS3751" i="2" s="1"/>
  <c r="AS3754" i="2" s="1"/>
  <c r="AT3755" i="2" s="1"/>
  <c r="AS3777" i="2" l="1"/>
  <c r="AS3764" i="2"/>
  <c r="AS3765" i="2" s="1"/>
  <c r="AS3768" i="2" s="1"/>
  <c r="AT3769" i="2" s="1"/>
  <c r="AS3790" i="2"/>
  <c r="AS3789" i="2"/>
  <c r="AS3794" i="2" s="1"/>
  <c r="AS3813" i="2"/>
  <c r="AU3811" i="2"/>
  <c r="AS3802" i="2"/>
  <c r="AS3801" i="2"/>
  <c r="AS3791" i="2" l="1"/>
  <c r="AS3778" i="2"/>
  <c r="AS3779" i="2" s="1"/>
  <c r="AS3782" i="2" s="1"/>
  <c r="AT3783" i="2" s="1"/>
  <c r="AS3803" i="2"/>
  <c r="AS3808" i="2" s="1"/>
  <c r="AS3804" i="2"/>
  <c r="AS3816" i="2"/>
  <c r="AS3815" i="2"/>
  <c r="AS3827" i="2"/>
  <c r="AU3825" i="2"/>
  <c r="AS3805" i="2" l="1"/>
  <c r="AS3792" i="2"/>
  <c r="AS3793" i="2" s="1"/>
  <c r="AS3796" i="2" s="1"/>
  <c r="AT3797" i="2" s="1"/>
  <c r="AS3829" i="2"/>
  <c r="AS3830" i="2"/>
  <c r="AS3841" i="2"/>
  <c r="AU3839" i="2"/>
  <c r="AS3818" i="2"/>
  <c r="AS3817" i="2"/>
  <c r="AS3822" i="2" s="1"/>
  <c r="AS3832" i="2" l="1"/>
  <c r="AS3831" i="2"/>
  <c r="AS3836" i="2" s="1"/>
  <c r="AS3819" i="2"/>
  <c r="AS3806" i="2"/>
  <c r="AS3807" i="2" s="1"/>
  <c r="AS3810" i="2" s="1"/>
  <c r="AT3811" i="2" s="1"/>
  <c r="AS3855" i="2"/>
  <c r="AU3853" i="2"/>
  <c r="AS3844" i="2"/>
  <c r="AS3843" i="2"/>
  <c r="AS3833" i="2" l="1"/>
  <c r="AS3846" i="2"/>
  <c r="AS3845" i="2"/>
  <c r="AS3850" i="2" s="1"/>
  <c r="AS3869" i="2"/>
  <c r="AS3858" i="2"/>
  <c r="AS3857" i="2"/>
  <c r="AU3867" i="2"/>
  <c r="AS3820" i="2"/>
  <c r="AS3821" i="2" s="1"/>
  <c r="AS3824" i="2" s="1"/>
  <c r="AT3825" i="2" s="1"/>
  <c r="AS3872" i="2" l="1"/>
  <c r="AS3883" i="2"/>
  <c r="AS3871" i="2"/>
  <c r="AU3881" i="2"/>
  <c r="AS3834" i="2"/>
  <c r="AS3835" i="2" s="1"/>
  <c r="AS3838" i="2" s="1"/>
  <c r="AT3839" i="2" s="1"/>
  <c r="AS3859" i="2"/>
  <c r="AS3864" i="2" s="1"/>
  <c r="AS3860" i="2"/>
  <c r="AS3847" i="2"/>
  <c r="AS3886" i="2" l="1"/>
  <c r="AS3885" i="2"/>
  <c r="AS3897" i="2"/>
  <c r="AU3895" i="2"/>
  <c r="AS3861" i="2"/>
  <c r="AS3848" i="2"/>
  <c r="AS3849" i="2" s="1"/>
  <c r="AS3852" i="2" s="1"/>
  <c r="AT3853" i="2" s="1"/>
  <c r="AS3874" i="2"/>
  <c r="AS3873" i="2"/>
  <c r="AS3878" i="2" s="1"/>
  <c r="AS3875" i="2" l="1"/>
  <c r="AS3887" i="2"/>
  <c r="AS3892" i="2" s="1"/>
  <c r="AS3888" i="2"/>
  <c r="AS3862" i="2"/>
  <c r="AS3863" i="2" s="1"/>
  <c r="AS3866" i="2" s="1"/>
  <c r="AT3867" i="2" s="1"/>
  <c r="AU3909" i="2"/>
  <c r="AS3900" i="2"/>
  <c r="AS3899" i="2"/>
  <c r="AS3911" i="2"/>
  <c r="AS3876" i="2" l="1"/>
  <c r="AS3877" i="2" s="1"/>
  <c r="AS3880" i="2" s="1"/>
  <c r="AT3881" i="2" s="1"/>
  <c r="AS3902" i="2"/>
  <c r="AS3901" i="2"/>
  <c r="AS3906" i="2" s="1"/>
  <c r="AS3925" i="2"/>
  <c r="AU3923" i="2"/>
  <c r="AS3914" i="2"/>
  <c r="AS3913" i="2"/>
  <c r="AS3889" i="2"/>
  <c r="AS3915" i="2" l="1"/>
  <c r="AS3920" i="2" s="1"/>
  <c r="AS3916" i="2"/>
  <c r="AS3928" i="2"/>
  <c r="AS3939" i="2"/>
  <c r="AS3927" i="2"/>
  <c r="AU3937" i="2"/>
  <c r="AS3890" i="2"/>
  <c r="AS3891" i="2" s="1"/>
  <c r="AS3894" i="2" s="1"/>
  <c r="AT3895" i="2" s="1"/>
  <c r="AS3903" i="2"/>
  <c r="AS3930" i="2" l="1"/>
  <c r="AS3929" i="2"/>
  <c r="AS3934" i="2" s="1"/>
  <c r="AS3917" i="2"/>
  <c r="AS3904" i="2"/>
  <c r="AS3905" i="2" s="1"/>
  <c r="AS3908" i="2" s="1"/>
  <c r="AT3909" i="2" s="1"/>
  <c r="AS3942" i="2"/>
  <c r="AU3951" i="2"/>
  <c r="AS3953" i="2"/>
  <c r="AS3941" i="2"/>
  <c r="AS3931" i="2" l="1"/>
  <c r="AS3943" i="2"/>
  <c r="AS3948" i="2" s="1"/>
  <c r="AS3944" i="2"/>
  <c r="AU3965" i="2"/>
  <c r="AS3956" i="2"/>
  <c r="AS3955" i="2"/>
  <c r="AS3967" i="2"/>
  <c r="AS3918" i="2"/>
  <c r="AS3919" i="2" s="1"/>
  <c r="AS3922" i="2" s="1"/>
  <c r="AT3923" i="2" s="1"/>
  <c r="AS3932" i="2" l="1"/>
  <c r="AS3933" i="2" s="1"/>
  <c r="AS3936" i="2" s="1"/>
  <c r="AT3937" i="2" s="1"/>
  <c r="AS3958" i="2"/>
  <c r="AS3957" i="2"/>
  <c r="AS3962" i="2" s="1"/>
  <c r="AS3981" i="2"/>
  <c r="AS3970" i="2"/>
  <c r="AS3969" i="2"/>
  <c r="AU3979" i="2"/>
  <c r="AS3945" i="2"/>
  <c r="AS3946" i="2" l="1"/>
  <c r="AS3947" i="2" s="1"/>
  <c r="AS3950" i="2" s="1"/>
  <c r="AT3951" i="2" s="1"/>
  <c r="AS3984" i="2"/>
  <c r="AS3995" i="2"/>
  <c r="AS3983" i="2"/>
  <c r="AU3993" i="2"/>
  <c r="AS3971" i="2"/>
  <c r="AS3976" i="2" s="1"/>
  <c r="AS3972" i="2"/>
  <c r="AS3959" i="2"/>
  <c r="AS3973" i="2" l="1"/>
  <c r="AS3986" i="2"/>
  <c r="AS3985" i="2"/>
  <c r="AS3990" i="2" s="1"/>
  <c r="AS3960" i="2"/>
  <c r="AS3961" i="2" s="1"/>
  <c r="AS3964" i="2" s="1"/>
  <c r="AT3965" i="2" s="1"/>
  <c r="AS3998" i="2"/>
  <c r="AS3997" i="2"/>
  <c r="AS4009" i="2"/>
  <c r="AU4007" i="2"/>
  <c r="AS3999" i="2" l="1"/>
  <c r="AS4004" i="2" s="1"/>
  <c r="AS4000" i="2"/>
  <c r="AS3974" i="2"/>
  <c r="AS3975" i="2" s="1"/>
  <c r="AS3978" i="2" s="1"/>
  <c r="AT3979" i="2" s="1"/>
  <c r="AS3987" i="2"/>
  <c r="AU4021" i="2"/>
  <c r="AS4012" i="2"/>
  <c r="AS4011" i="2"/>
  <c r="AS4023" i="2"/>
  <c r="AS3988" i="2" l="1"/>
  <c r="AS3989" i="2" s="1"/>
  <c r="AS3992" i="2" s="1"/>
  <c r="AT3993" i="2" s="1"/>
  <c r="AS4001" i="2"/>
  <c r="AS4014" i="2"/>
  <c r="AS4013" i="2"/>
  <c r="AS4018" i="2" s="1"/>
  <c r="AS4037" i="2"/>
  <c r="AU4035" i="2"/>
  <c r="AS4026" i="2"/>
  <c r="AS4025" i="2"/>
  <c r="AS4015" i="2" l="1"/>
  <c r="AS4027" i="2"/>
  <c r="AS4032" i="2" s="1"/>
  <c r="AS4028" i="2"/>
  <c r="AS4039" i="2"/>
  <c r="AU4049" i="2"/>
  <c r="AS4040" i="2"/>
  <c r="AS4051" i="2"/>
  <c r="AS4002" i="2"/>
  <c r="AS4003" i="2" s="1"/>
  <c r="AS4006" i="2" s="1"/>
  <c r="AT4007" i="2" s="1"/>
  <c r="AS4042" i="2" l="1"/>
  <c r="AS4041" i="2"/>
  <c r="AS4046" i="2" s="1"/>
  <c r="AS4016" i="2"/>
  <c r="AS4017" i="2" s="1"/>
  <c r="AS4020" i="2" s="1"/>
  <c r="AT4021" i="2" s="1"/>
  <c r="AS4065" i="2"/>
  <c r="AS4053" i="2"/>
  <c r="AU4063" i="2"/>
  <c r="AS4054" i="2"/>
  <c r="AS4029" i="2"/>
  <c r="AS4067" i="2" l="1"/>
  <c r="AS4079" i="2"/>
  <c r="AU4077" i="2"/>
  <c r="AS4068" i="2"/>
  <c r="AS4043" i="2"/>
  <c r="AS4030" i="2"/>
  <c r="AS4031" i="2" s="1"/>
  <c r="AS4034" i="2" s="1"/>
  <c r="AT4035" i="2" s="1"/>
  <c r="AS4055" i="2"/>
  <c r="AS4060" i="2" s="1"/>
  <c r="AS4056" i="2"/>
  <c r="AS4044" i="2" l="1"/>
  <c r="AS4045" i="2" s="1"/>
  <c r="AS4048" i="2" s="1"/>
  <c r="AT4049" i="2" s="1"/>
  <c r="AS4069" i="2"/>
  <c r="AS4074" i="2" s="1"/>
  <c r="AS4070" i="2"/>
  <c r="AS4057" i="2"/>
  <c r="AS4082" i="2"/>
  <c r="AS4081" i="2"/>
  <c r="AS4093" i="2"/>
  <c r="AU4091" i="2"/>
  <c r="AS4058" i="2" l="1"/>
  <c r="AS4059" i="2" s="1"/>
  <c r="AS4062" i="2" s="1"/>
  <c r="AT4063" i="2" s="1"/>
  <c r="AS4095" i="2"/>
  <c r="AU4105" i="2"/>
  <c r="AS4096" i="2"/>
  <c r="AS4107" i="2"/>
  <c r="AS4083" i="2"/>
  <c r="AS4088" i="2" s="1"/>
  <c r="AS4084" i="2"/>
  <c r="AS4071" i="2"/>
  <c r="AS4109" i="2" l="1"/>
  <c r="AS4110" i="2"/>
  <c r="AS4121" i="2"/>
  <c r="AU4119" i="2"/>
  <c r="AS4085" i="2"/>
  <c r="AS4072" i="2"/>
  <c r="AS4073" i="2" s="1"/>
  <c r="AS4076" i="2" s="1"/>
  <c r="AT4077" i="2" s="1"/>
  <c r="AS4098" i="2"/>
  <c r="AS4097" i="2"/>
  <c r="AS4102" i="2" s="1"/>
  <c r="AS4099" i="2" l="1"/>
  <c r="AS4112" i="2"/>
  <c r="AS4111" i="2"/>
  <c r="AS4116" i="2" s="1"/>
  <c r="AS4086" i="2"/>
  <c r="AS4087" i="2" s="1"/>
  <c r="AS4090" i="2" s="1"/>
  <c r="AT4091" i="2" s="1"/>
  <c r="AS4123" i="2"/>
  <c r="AS4135" i="2"/>
  <c r="AU4133" i="2"/>
  <c r="AS4124" i="2"/>
  <c r="AS4100" i="2" l="1"/>
  <c r="AS4101" i="2" s="1"/>
  <c r="AS4104" i="2" s="1"/>
  <c r="AT4105" i="2" s="1"/>
  <c r="AS4125" i="2"/>
  <c r="AS4130" i="2" s="1"/>
  <c r="AS4126" i="2"/>
  <c r="AS4113" i="2"/>
  <c r="AS4149" i="2"/>
  <c r="AU4147" i="2"/>
  <c r="AS4138" i="2"/>
  <c r="AS4137" i="2"/>
  <c r="AS4114" i="2" l="1"/>
  <c r="AS4115" i="2" s="1"/>
  <c r="AS4118" i="2" s="1"/>
  <c r="AT4119" i="2" s="1"/>
  <c r="AS4139" i="2"/>
  <c r="AS4144" i="2" s="1"/>
  <c r="AS4140" i="2"/>
  <c r="AS4151" i="2"/>
  <c r="AU4161" i="2"/>
  <c r="AS4152" i="2"/>
  <c r="AS4163" i="2"/>
  <c r="AS4127" i="2"/>
  <c r="AS4154" i="2" l="1"/>
  <c r="AS4153" i="2"/>
  <c r="AS4158" i="2" s="1"/>
  <c r="AS4128" i="2"/>
  <c r="AS4129" i="2" s="1"/>
  <c r="AS4132" i="2" s="1"/>
  <c r="AT4133" i="2" s="1"/>
  <c r="AS4166" i="2"/>
  <c r="AS4177" i="2"/>
  <c r="AU4175" i="2"/>
  <c r="AS4165" i="2"/>
  <c r="AS4141" i="2"/>
  <c r="AS4155" i="2" l="1"/>
  <c r="AS4142" i="2"/>
  <c r="AS4143" i="2" s="1"/>
  <c r="AS4146" i="2" s="1"/>
  <c r="AT4147" i="2" s="1"/>
  <c r="AU4189" i="2"/>
  <c r="AS4180" i="2"/>
  <c r="AS4179" i="2"/>
  <c r="AS4191" i="2"/>
  <c r="AS4168" i="2"/>
  <c r="AS4167" i="2"/>
  <c r="AS4172" i="2" s="1"/>
  <c r="AS4205" i="2" l="1"/>
  <c r="AU4203" i="2"/>
  <c r="AS4194" i="2"/>
  <c r="AS4193" i="2"/>
  <c r="AS4169" i="2"/>
  <c r="AS4156" i="2"/>
  <c r="AS4157" i="2" s="1"/>
  <c r="AS4160" i="2" s="1"/>
  <c r="AT4161" i="2" s="1"/>
  <c r="AS4181" i="2"/>
  <c r="AS4186" i="2" s="1"/>
  <c r="AS4182" i="2"/>
  <c r="AS4170" i="2" l="1"/>
  <c r="AS4171" i="2" s="1"/>
  <c r="AS4174" i="2" s="1"/>
  <c r="AT4175" i="2" s="1"/>
  <c r="AS4207" i="2"/>
  <c r="AU4217" i="2"/>
  <c r="AS4208" i="2"/>
  <c r="AS4219" i="2"/>
  <c r="AS4183" i="2"/>
  <c r="AS4195" i="2"/>
  <c r="AS4200" i="2" s="1"/>
  <c r="AS4196" i="2"/>
  <c r="AU4231" i="2" l="1"/>
  <c r="AS4221" i="2"/>
  <c r="AS4222" i="2"/>
  <c r="AS4233" i="2"/>
  <c r="AS4184" i="2"/>
  <c r="AS4185" i="2" s="1"/>
  <c r="AS4188" i="2" s="1"/>
  <c r="AT4189" i="2" s="1"/>
  <c r="AS4210" i="2"/>
  <c r="AS4209" i="2"/>
  <c r="AS4214" i="2" s="1"/>
  <c r="AS4197" i="2"/>
  <c r="AS4198" i="2" l="1"/>
  <c r="AS4199" i="2" s="1"/>
  <c r="AS4202" i="2" s="1"/>
  <c r="AT4203" i="2" s="1"/>
  <c r="AS4224" i="2"/>
  <c r="AS4223" i="2"/>
  <c r="AS4228" i="2" s="1"/>
  <c r="AS4211" i="2"/>
  <c r="AS4235" i="2"/>
  <c r="AS4247" i="2"/>
  <c r="AU4245" i="2"/>
  <c r="AS4236" i="2"/>
  <c r="AS4212" i="2" l="1"/>
  <c r="AS4213" i="2" s="1"/>
  <c r="AS4216" i="2" s="1"/>
  <c r="AT4217" i="2" s="1"/>
  <c r="AS4237" i="2"/>
  <c r="AS4242" i="2" s="1"/>
  <c r="AS4238" i="2"/>
  <c r="AS4225" i="2"/>
  <c r="AS4261" i="2"/>
  <c r="AU4259" i="2"/>
  <c r="AS4250" i="2"/>
  <c r="AS4249" i="2"/>
  <c r="AS4226" i="2" l="1"/>
  <c r="AS4227" i="2" s="1"/>
  <c r="AS4230" i="2" s="1"/>
  <c r="AT4231" i="2" s="1"/>
  <c r="AS4251" i="2"/>
  <c r="AS4256" i="2" s="1"/>
  <c r="AS4252" i="2"/>
  <c r="AS4263" i="2"/>
  <c r="AU4273" i="2"/>
  <c r="AS4264" i="2"/>
  <c r="AS4275" i="2"/>
  <c r="AS4239" i="2"/>
  <c r="AS4266" i="2" l="1"/>
  <c r="AS4265" i="2"/>
  <c r="AS4270" i="2" s="1"/>
  <c r="AS4240" i="2"/>
  <c r="AS4241" i="2" s="1"/>
  <c r="AS4244" i="2" s="1"/>
  <c r="AT4245" i="2" s="1"/>
  <c r="AS4289" i="2"/>
  <c r="AU4287" i="2"/>
  <c r="AS4277" i="2"/>
  <c r="AS4278" i="2"/>
  <c r="AS4253" i="2"/>
  <c r="AS4292" i="2" l="1"/>
  <c r="AS4291" i="2"/>
  <c r="AS4303" i="2"/>
  <c r="AU4301" i="2"/>
  <c r="AS4267" i="2"/>
  <c r="AS4280" i="2"/>
  <c r="AS4279" i="2"/>
  <c r="AS4284" i="2" s="1"/>
  <c r="AS4254" i="2"/>
  <c r="AS4255" i="2" s="1"/>
  <c r="AS4258" i="2" s="1"/>
  <c r="AT4259" i="2" s="1"/>
  <c r="AS4293" i="2" l="1"/>
  <c r="AS4298" i="2" s="1"/>
  <c r="AS4294" i="2"/>
  <c r="AS4268" i="2"/>
  <c r="AS4269" i="2" s="1"/>
  <c r="AS4272" i="2" s="1"/>
  <c r="AT4273" i="2" s="1"/>
  <c r="AS4281" i="2"/>
  <c r="AS4317" i="2"/>
  <c r="AU4315" i="2"/>
  <c r="AS4306" i="2"/>
  <c r="AS4305" i="2"/>
  <c r="AS4282" i="2" l="1"/>
  <c r="AS4283" i="2" s="1"/>
  <c r="AS4286" i="2" s="1"/>
  <c r="AT4287" i="2" s="1"/>
  <c r="AS4295" i="2"/>
  <c r="AS4307" i="2"/>
  <c r="AS4312" i="2" s="1"/>
  <c r="AS4308" i="2"/>
  <c r="AS4320" i="2"/>
  <c r="AS4331" i="2"/>
  <c r="AS4319" i="2"/>
  <c r="AU4329" i="2"/>
  <c r="AS4322" i="2" l="1"/>
  <c r="AS4321" i="2"/>
  <c r="AS4326" i="2" s="1"/>
  <c r="AS4309" i="2"/>
  <c r="AS4345" i="2"/>
  <c r="AU4343" i="2"/>
  <c r="AS4333" i="2"/>
  <c r="AS4334" i="2"/>
  <c r="AS4296" i="2"/>
  <c r="AS4297" i="2" s="1"/>
  <c r="AS4300" i="2" s="1"/>
  <c r="AT4301" i="2" s="1"/>
  <c r="AS4323" i="2" l="1"/>
  <c r="AS4336" i="2"/>
  <c r="AS4335" i="2"/>
  <c r="AS4340" i="2" s="1"/>
  <c r="AU4357" i="2"/>
  <c r="AS4348" i="2"/>
  <c r="AS4347" i="2"/>
  <c r="AS4359" i="2"/>
  <c r="AS4310" i="2"/>
  <c r="AS4311" i="2" s="1"/>
  <c r="AS4314" i="2" s="1"/>
  <c r="AT4315" i="2" s="1"/>
  <c r="AS4324" i="2" l="1"/>
  <c r="AS4325" i="2" s="1"/>
  <c r="AS4328" i="2" s="1"/>
  <c r="AT4329" i="2" s="1"/>
  <c r="AS4349" i="2"/>
  <c r="AS4354" i="2" s="1"/>
  <c r="AS4350" i="2"/>
  <c r="AS4337" i="2"/>
  <c r="AS4362" i="2"/>
  <c r="AS4361" i="2"/>
  <c r="AS4373" i="2"/>
  <c r="AU4371" i="2"/>
  <c r="AS4375" i="2" l="1"/>
  <c r="AU4385" i="2"/>
  <c r="AS4376" i="2"/>
  <c r="AS4387" i="2"/>
  <c r="AS4338" i="2"/>
  <c r="AS4339" i="2" s="1"/>
  <c r="AS4342" i="2" s="1"/>
  <c r="AT4343" i="2" s="1"/>
  <c r="AS4363" i="2"/>
  <c r="AS4368" i="2" s="1"/>
  <c r="AS4364" i="2"/>
  <c r="AS4351" i="2"/>
  <c r="AS4378" i="2" l="1"/>
  <c r="AS4377" i="2"/>
  <c r="AS4382" i="2" s="1"/>
  <c r="AS4352" i="2"/>
  <c r="AS4353" i="2" s="1"/>
  <c r="AS4356" i="2" s="1"/>
  <c r="AT4357" i="2" s="1"/>
  <c r="AS4365" i="2"/>
  <c r="AS4401" i="2"/>
  <c r="AU4399" i="2"/>
  <c r="AS4389" i="2"/>
  <c r="AS4390" i="2"/>
  <c r="AS4392" i="2" l="1"/>
  <c r="AS4391" i="2"/>
  <c r="AS4396" i="2" s="1"/>
  <c r="AS4379" i="2"/>
  <c r="AS4366" i="2"/>
  <c r="AS4367" i="2" s="1"/>
  <c r="AS4370" i="2" s="1"/>
  <c r="AT4371" i="2" s="1"/>
  <c r="AU4413" i="2"/>
  <c r="AS4404" i="2"/>
  <c r="AS4403" i="2"/>
  <c r="AS4415" i="2"/>
  <c r="AS4393" i="2" l="1"/>
  <c r="AS4380" i="2"/>
  <c r="AS4381" i="2" s="1"/>
  <c r="AS4384" i="2" s="1"/>
  <c r="AT4385" i="2" s="1"/>
  <c r="AS4405" i="2"/>
  <c r="AS4410" i="2" s="1"/>
  <c r="AS4406" i="2"/>
  <c r="AS4418" i="2"/>
  <c r="AS4417" i="2"/>
  <c r="AS4429" i="2"/>
  <c r="AU4427" i="2"/>
  <c r="AS4394" i="2" l="1"/>
  <c r="AS4395" i="2" s="1"/>
  <c r="AS4398" i="2" s="1"/>
  <c r="AT4399" i="2" s="1"/>
  <c r="AS4407" i="2"/>
  <c r="AS4443" i="2"/>
  <c r="AS4432" i="2"/>
  <c r="AU4441" i="2"/>
  <c r="AS4431" i="2"/>
  <c r="AS4420" i="2"/>
  <c r="AS4419" i="2"/>
  <c r="AS4424" i="2" s="1"/>
  <c r="AS4434" i="2" l="1"/>
  <c r="AS4433" i="2"/>
  <c r="AS4438" i="2" s="1"/>
  <c r="AS4421" i="2"/>
  <c r="AS4408" i="2"/>
  <c r="AS4409" i="2" s="1"/>
  <c r="AS4412" i="2" s="1"/>
  <c r="AT4413" i="2" s="1"/>
  <c r="AU4455" i="2"/>
  <c r="AS4446" i="2"/>
  <c r="AS4445" i="2"/>
  <c r="AS4457" i="2"/>
  <c r="AS4435" i="2" l="1"/>
  <c r="AS4448" i="2"/>
  <c r="AS4447" i="2"/>
  <c r="AS4452" i="2" s="1"/>
  <c r="AS4460" i="2"/>
  <c r="AS4459" i="2"/>
  <c r="AS4471" i="2"/>
  <c r="AU4469" i="2"/>
  <c r="AS4422" i="2"/>
  <c r="AS4423" i="2" s="1"/>
  <c r="AS4426" i="2" s="1"/>
  <c r="AT4427" i="2" s="1"/>
  <c r="AS4436" i="2" l="1"/>
  <c r="AS4437" i="2" s="1"/>
  <c r="AS4440" i="2" s="1"/>
  <c r="AT4441" i="2" s="1"/>
  <c r="AS4461" i="2"/>
  <c r="AS4466" i="2" s="1"/>
  <c r="AS4462" i="2"/>
  <c r="AS4474" i="2"/>
  <c r="AU4483" i="2"/>
  <c r="AS4473" i="2"/>
  <c r="AS4485" i="2"/>
  <c r="AS4449" i="2"/>
  <c r="AS4450" i="2" l="1"/>
  <c r="AS4451" i="2" s="1"/>
  <c r="AS4454" i="2" s="1"/>
  <c r="AT4455" i="2" s="1"/>
  <c r="AS4476" i="2"/>
  <c r="AS4475" i="2"/>
  <c r="AS4480" i="2" s="1"/>
  <c r="AU4497" i="2"/>
  <c r="AS4487" i="2"/>
  <c r="AS4499" i="2"/>
  <c r="AS4488" i="2"/>
  <c r="AS4463" i="2"/>
  <c r="AS4464" i="2" l="1"/>
  <c r="AS4465" i="2" s="1"/>
  <c r="AS4468" i="2" s="1"/>
  <c r="AT4469" i="2" s="1"/>
  <c r="AS4490" i="2"/>
  <c r="AS4489" i="2"/>
  <c r="AS4494" i="2" s="1"/>
  <c r="AS4501" i="2"/>
  <c r="AS4513" i="2"/>
  <c r="AU4511" i="2"/>
  <c r="AS4502" i="2"/>
  <c r="AS4477" i="2"/>
  <c r="AS4478" i="2" l="1"/>
  <c r="AS4479" i="2" s="1"/>
  <c r="AS4482" i="2" s="1"/>
  <c r="AT4483" i="2" s="1"/>
  <c r="AS4527" i="2"/>
  <c r="AU4525" i="2"/>
  <c r="AS4516" i="2"/>
  <c r="AS4515" i="2"/>
  <c r="AS4504" i="2"/>
  <c r="AS4503" i="2"/>
  <c r="AS4508" i="2" s="1"/>
  <c r="AS4491" i="2"/>
  <c r="AS4492" i="2" l="1"/>
  <c r="AS4493" i="2" s="1"/>
  <c r="AS4496" i="2" s="1"/>
  <c r="AT4497" i="2" s="1"/>
  <c r="AS4517" i="2"/>
  <c r="AS4522" i="2" s="1"/>
  <c r="AS4518" i="2"/>
  <c r="AS4505" i="2"/>
  <c r="AS4529" i="2"/>
  <c r="AS4541" i="2"/>
  <c r="AS4530" i="2"/>
  <c r="AU4539" i="2"/>
  <c r="AS4506" i="2" l="1"/>
  <c r="AS4507" i="2" s="1"/>
  <c r="AS4510" i="2" s="1"/>
  <c r="AT4511" i="2" s="1"/>
  <c r="AS4532" i="2"/>
  <c r="AS4531" i="2"/>
  <c r="AS4536" i="2" s="1"/>
  <c r="AS4543" i="2"/>
  <c r="AU4553" i="2"/>
  <c r="AS4555" i="2"/>
  <c r="AS4544" i="2"/>
  <c r="AS4519" i="2"/>
  <c r="AS4546" i="2" l="1"/>
  <c r="AS4545" i="2"/>
  <c r="AS4550" i="2" s="1"/>
  <c r="AS4520" i="2"/>
  <c r="AS4521" i="2" s="1"/>
  <c r="AS4524" i="2" s="1"/>
  <c r="AT4525" i="2" s="1"/>
  <c r="AS4557" i="2"/>
  <c r="AS4569" i="2"/>
  <c r="AU4567" i="2"/>
  <c r="AS4558" i="2"/>
  <c r="AS4533" i="2"/>
  <c r="AS4534" i="2" l="1"/>
  <c r="AS4535" i="2" s="1"/>
  <c r="AS4538" i="2" s="1"/>
  <c r="AT4539" i="2" s="1"/>
  <c r="AS4560" i="2"/>
  <c r="AS4559" i="2"/>
  <c r="AS4564" i="2" s="1"/>
  <c r="AS4547" i="2"/>
  <c r="AS4583" i="2"/>
  <c r="AU4581" i="2"/>
  <c r="AS4572" i="2"/>
  <c r="AS4571" i="2"/>
  <c r="AS4548" i="2" l="1"/>
  <c r="AS4549" i="2" s="1"/>
  <c r="AS4552" i="2" s="1"/>
  <c r="AT4553" i="2" s="1"/>
  <c r="AS4573" i="2"/>
  <c r="AS4578" i="2" s="1"/>
  <c r="AS4574" i="2"/>
  <c r="AS4585" i="2"/>
  <c r="AS4597" i="2"/>
  <c r="AS4586" i="2"/>
  <c r="AU4595" i="2"/>
  <c r="AS4561" i="2"/>
  <c r="AS4599" i="2" l="1"/>
  <c r="AS4611" i="2"/>
  <c r="AS4600" i="2"/>
  <c r="AU4609" i="2"/>
  <c r="AS4588" i="2"/>
  <c r="AS4587" i="2"/>
  <c r="AS4592" i="2" s="1"/>
  <c r="AS4562" i="2"/>
  <c r="AS4563" i="2" s="1"/>
  <c r="AS4566" i="2" s="1"/>
  <c r="AT4567" i="2" s="1"/>
  <c r="AS4575" i="2"/>
  <c r="AS4589" i="2" l="1"/>
  <c r="AS4602" i="2"/>
  <c r="AS4601" i="2"/>
  <c r="AS4606" i="2" s="1"/>
  <c r="AS4576" i="2"/>
  <c r="AS4577" i="2" s="1"/>
  <c r="AS4580" i="2" s="1"/>
  <c r="AT4581" i="2" s="1"/>
  <c r="AU4623" i="2"/>
  <c r="AS4614" i="2"/>
  <c r="AS4613" i="2"/>
  <c r="AS4625" i="2"/>
  <c r="AS4590" i="2" l="1"/>
  <c r="AS4591" i="2" s="1"/>
  <c r="AS4594" i="2" s="1"/>
  <c r="AT4595" i="2" s="1"/>
  <c r="AS4628" i="2"/>
  <c r="AS4627" i="2"/>
  <c r="AS4639" i="2"/>
  <c r="AU4637" i="2"/>
  <c r="AS4616" i="2"/>
  <c r="AS4615" i="2"/>
  <c r="AS4620" i="2" s="1"/>
  <c r="AS4603" i="2"/>
  <c r="AS4604" i="2" l="1"/>
  <c r="AS4605" i="2" s="1"/>
  <c r="AS4608" i="2" s="1"/>
  <c r="AT4609" i="2" s="1"/>
  <c r="AS4617" i="2"/>
  <c r="AS4641" i="2"/>
  <c r="AS4653" i="2"/>
  <c r="AS4642" i="2"/>
  <c r="AU4651" i="2"/>
  <c r="AS4629" i="2"/>
  <c r="AS4634" i="2" s="1"/>
  <c r="AS4630" i="2"/>
  <c r="AS4656" i="2" l="1"/>
  <c r="AS4655" i="2"/>
  <c r="AU4665" i="2"/>
  <c r="AS4667" i="2"/>
  <c r="AS4644" i="2"/>
  <c r="AS4643" i="2"/>
  <c r="AS4648" i="2" s="1"/>
  <c r="AS4631" i="2"/>
  <c r="AS4618" i="2"/>
  <c r="AS4619" i="2" s="1"/>
  <c r="AS4622" i="2" s="1"/>
  <c r="AT4623" i="2" s="1"/>
  <c r="AS4658" i="2" l="1"/>
  <c r="AS4657" i="2"/>
  <c r="AS4662" i="2" s="1"/>
  <c r="AS4645" i="2"/>
  <c r="AS4632" i="2"/>
  <c r="AS4633" i="2" s="1"/>
  <c r="AS4636" i="2" s="1"/>
  <c r="AT4637" i="2" s="1"/>
  <c r="AU4679" i="2"/>
  <c r="AS4670" i="2"/>
  <c r="AS4669" i="2"/>
  <c r="AS4681" i="2"/>
  <c r="AS4659" i="2" l="1"/>
  <c r="AS4684" i="2"/>
  <c r="AS4683" i="2"/>
  <c r="AS4695" i="2"/>
  <c r="AU4693" i="2"/>
  <c r="AS4646" i="2"/>
  <c r="AS4647" i="2" s="1"/>
  <c r="AS4650" i="2" s="1"/>
  <c r="AT4651" i="2" s="1"/>
  <c r="AS4672" i="2"/>
  <c r="AS4671" i="2"/>
  <c r="AS4676" i="2" s="1"/>
  <c r="AS4673" i="2" l="1"/>
  <c r="AS4660" i="2"/>
  <c r="AS4661" i="2" s="1"/>
  <c r="AS4664" i="2" s="1"/>
  <c r="AT4665" i="2" s="1"/>
  <c r="AS4697" i="2"/>
  <c r="AS4709" i="2"/>
  <c r="AS4698" i="2"/>
  <c r="AU4707" i="2"/>
  <c r="AS4685" i="2"/>
  <c r="AS4690" i="2" s="1"/>
  <c r="AS4686" i="2"/>
  <c r="AS4700" i="2" l="1"/>
  <c r="AS4699" i="2"/>
  <c r="AS4704" i="2" s="1"/>
  <c r="AS4711" i="2"/>
  <c r="AS4723" i="2"/>
  <c r="AS4712" i="2"/>
  <c r="AU4721" i="2"/>
  <c r="AS4674" i="2"/>
  <c r="AS4675" i="2" s="1"/>
  <c r="AS4678" i="2" s="1"/>
  <c r="AT4679" i="2" s="1"/>
  <c r="AS4687" i="2"/>
  <c r="AS4701" i="2" l="1"/>
  <c r="AS4688" i="2"/>
  <c r="AS4689" i="2" s="1"/>
  <c r="AS4692" i="2" s="1"/>
  <c r="AT4693" i="2" s="1"/>
  <c r="AS4714" i="2"/>
  <c r="AS4713" i="2"/>
  <c r="AS4718" i="2" s="1"/>
  <c r="AS4725" i="2"/>
  <c r="AS4737" i="2"/>
  <c r="AU4735" i="2"/>
  <c r="AS4726" i="2"/>
  <c r="AS4715" i="2" l="1"/>
  <c r="AS4702" i="2"/>
  <c r="AS4703" i="2" s="1"/>
  <c r="AS4706" i="2" s="1"/>
  <c r="AT4707" i="2" s="1"/>
  <c r="AS4728" i="2"/>
  <c r="AS4727" i="2"/>
  <c r="AS4732" i="2" s="1"/>
  <c r="AS4740" i="2"/>
  <c r="AS4739" i="2"/>
  <c r="AS4751" i="2"/>
  <c r="AU4749" i="2"/>
  <c r="AS4753" i="2" l="1"/>
  <c r="AS4765" i="2"/>
  <c r="AS4754" i="2"/>
  <c r="AU4763" i="2"/>
  <c r="AS4729" i="2"/>
  <c r="AS4716" i="2"/>
  <c r="AS4717" i="2" s="1"/>
  <c r="AS4720" i="2" s="1"/>
  <c r="AT4721" i="2" s="1"/>
  <c r="AS4741" i="2"/>
  <c r="AS4746" i="2" s="1"/>
  <c r="AS4742" i="2"/>
  <c r="AS4756" i="2" l="1"/>
  <c r="AS4755" i="2"/>
  <c r="AS4760" i="2" s="1"/>
  <c r="AU4777" i="2"/>
  <c r="AS4779" i="2"/>
  <c r="AS4768" i="2"/>
  <c r="AS4767" i="2"/>
  <c r="AS4743" i="2"/>
  <c r="AS4730" i="2"/>
  <c r="AS4731" i="2" s="1"/>
  <c r="AS4734" i="2" s="1"/>
  <c r="AT4735" i="2" s="1"/>
  <c r="AS4757" i="2" l="1"/>
  <c r="AS4770" i="2"/>
  <c r="AS4769" i="2"/>
  <c r="AS4774" i="2" s="1"/>
  <c r="AS4744" i="2"/>
  <c r="AS4745" i="2" s="1"/>
  <c r="AS4748" i="2" s="1"/>
  <c r="AT4749" i="2" s="1"/>
  <c r="AS4781" i="2"/>
  <c r="AS4793" i="2"/>
  <c r="AU4791" i="2"/>
  <c r="AS4782" i="2"/>
  <c r="AS4758" i="2" l="1"/>
  <c r="AS4759" i="2" s="1"/>
  <c r="AS4762" i="2" s="1"/>
  <c r="AT4763" i="2" s="1"/>
  <c r="AS4784" i="2"/>
  <c r="AS4783" i="2"/>
  <c r="AS4788" i="2" s="1"/>
  <c r="AS4771" i="2"/>
  <c r="AS4807" i="2"/>
  <c r="AU4805" i="2"/>
  <c r="AS4796" i="2"/>
  <c r="AS4795" i="2"/>
  <c r="AS4797" i="2" l="1"/>
  <c r="AS4802" i="2" s="1"/>
  <c r="AS4798" i="2"/>
  <c r="AS4772" i="2"/>
  <c r="AS4773" i="2" s="1"/>
  <c r="AS4776" i="2" s="1"/>
  <c r="AT4777" i="2" s="1"/>
  <c r="AS4809" i="2"/>
  <c r="AS4821" i="2"/>
  <c r="AS4810" i="2"/>
  <c r="AU4819" i="2"/>
  <c r="AS4785" i="2"/>
  <c r="AS4812" i="2" l="1"/>
  <c r="AS4811" i="2"/>
  <c r="AS4816" i="2" s="1"/>
  <c r="AS4823" i="2"/>
  <c r="AS4835" i="2"/>
  <c r="AS4824" i="2"/>
  <c r="AU4833" i="2"/>
  <c r="AS4799" i="2"/>
  <c r="AS4786" i="2"/>
  <c r="AS4787" i="2" s="1"/>
  <c r="AS4790" i="2" s="1"/>
  <c r="AT4791" i="2" s="1"/>
  <c r="AS4813" i="2" l="1"/>
  <c r="AS4826" i="2"/>
  <c r="AS4825" i="2"/>
  <c r="AS4830" i="2" s="1"/>
  <c r="AS4800" i="2"/>
  <c r="AS4801" i="2" s="1"/>
  <c r="AS4804" i="2" s="1"/>
  <c r="AT4805" i="2" s="1"/>
  <c r="AU4847" i="2"/>
  <c r="AS4838" i="2"/>
  <c r="AS4837" i="2"/>
  <c r="AS4849" i="2"/>
  <c r="AS4814" i="2" l="1"/>
  <c r="AS4815" i="2" s="1"/>
  <c r="AS4818" i="2" s="1"/>
  <c r="AT4819" i="2" s="1"/>
  <c r="AS4840" i="2"/>
  <c r="AS4839" i="2"/>
  <c r="AS4844" i="2" s="1"/>
  <c r="AS4863" i="2"/>
  <c r="AU4861" i="2"/>
  <c r="AS4852" i="2"/>
  <c r="AS4851" i="2"/>
  <c r="AS4827" i="2"/>
  <c r="AS4828" i="2" l="1"/>
  <c r="AS4829" i="2" s="1"/>
  <c r="AS4832" i="2" s="1"/>
  <c r="AT4833" i="2" s="1"/>
  <c r="AS4865" i="2"/>
  <c r="AS4877" i="2"/>
  <c r="AS4866" i="2"/>
  <c r="AU4875" i="2"/>
  <c r="AS4841" i="2"/>
  <c r="AS4853" i="2"/>
  <c r="AS4858" i="2" s="1"/>
  <c r="AS4854" i="2"/>
  <c r="AS4842" i="2" l="1"/>
  <c r="AS4843" i="2" s="1"/>
  <c r="AS4846" i="2" s="1"/>
  <c r="AT4847" i="2" s="1"/>
  <c r="AS4868" i="2"/>
  <c r="AS4867" i="2"/>
  <c r="AS4872" i="2" s="1"/>
  <c r="AS4855" i="2"/>
  <c r="AU4889" i="2"/>
  <c r="AS4891" i="2"/>
  <c r="AS4880" i="2"/>
  <c r="AS4879" i="2"/>
  <c r="AS4856" i="2" l="1"/>
  <c r="AS4857" i="2" s="1"/>
  <c r="AS4860" i="2" s="1"/>
  <c r="AT4861" i="2" s="1"/>
  <c r="AS4882" i="2"/>
  <c r="AS4881" i="2"/>
  <c r="AS4886" i="2" s="1"/>
  <c r="AS4869" i="2"/>
  <c r="AU4903" i="2"/>
  <c r="AS4894" i="2"/>
  <c r="AS4893" i="2"/>
  <c r="AS4905" i="2"/>
  <c r="AS4870" i="2" l="1"/>
  <c r="AS4871" i="2" s="1"/>
  <c r="AS4874" i="2" s="1"/>
  <c r="AT4875" i="2" s="1"/>
  <c r="AS4919" i="2"/>
  <c r="AU4917" i="2"/>
  <c r="AS4908" i="2"/>
  <c r="AS4907" i="2"/>
  <c r="AS4896" i="2"/>
  <c r="AS4895" i="2"/>
  <c r="AS4900" i="2" s="1"/>
  <c r="AS4883" i="2"/>
  <c r="AS4909" i="2" l="1"/>
  <c r="AS4914" i="2" s="1"/>
  <c r="AS4910" i="2"/>
  <c r="AS4884" i="2"/>
  <c r="AS4885" i="2" s="1"/>
  <c r="AS4888" i="2" s="1"/>
  <c r="AT4889" i="2" s="1"/>
  <c r="AS4921" i="2"/>
  <c r="AS4933" i="2"/>
  <c r="AS4922" i="2"/>
  <c r="AU4931" i="2"/>
  <c r="AS4897" i="2"/>
  <c r="AS4898" i="2" l="1"/>
  <c r="AS4899" i="2" s="1"/>
  <c r="AS4902" i="2" s="1"/>
  <c r="AT4903" i="2" s="1"/>
  <c r="AS4924" i="2"/>
  <c r="AS4923" i="2"/>
  <c r="AS4928" i="2" s="1"/>
  <c r="AS4911" i="2"/>
  <c r="AS4936" i="2"/>
  <c r="AU4945" i="2"/>
  <c r="AS4935" i="2"/>
  <c r="AS4947" i="2"/>
  <c r="AS4938" i="2" l="1"/>
  <c r="AS4937" i="2"/>
  <c r="AS4942" i="2" s="1"/>
  <c r="AU4959" i="2"/>
  <c r="AS4950" i="2"/>
  <c r="AS4949" i="2"/>
  <c r="AS4961" i="2"/>
  <c r="AS4912" i="2"/>
  <c r="AS4913" i="2" s="1"/>
  <c r="AS4916" i="2" s="1"/>
  <c r="AT4917" i="2" s="1"/>
  <c r="AS4925" i="2"/>
  <c r="AS4952" i="2" l="1"/>
  <c r="AS4951" i="2"/>
  <c r="AS4956" i="2" s="1"/>
  <c r="AS4939" i="2"/>
  <c r="AS4926" i="2"/>
  <c r="AS4927" i="2" s="1"/>
  <c r="AS4930" i="2" s="1"/>
  <c r="AT4931" i="2" s="1"/>
  <c r="AS4975" i="2"/>
  <c r="AU4973" i="2"/>
  <c r="AS4964" i="2"/>
  <c r="AS4963" i="2"/>
  <c r="AS4953" i="2" l="1"/>
  <c r="AS4965" i="2"/>
  <c r="AS4970" i="2" s="1"/>
  <c r="AS4966" i="2"/>
  <c r="AS4977" i="2"/>
  <c r="AS4989" i="2"/>
  <c r="AS4978" i="2"/>
  <c r="AU4987" i="2"/>
  <c r="AS4940" i="2"/>
  <c r="AS4941" i="2" s="1"/>
  <c r="AS4944" i="2" s="1"/>
  <c r="AT4945" i="2" s="1"/>
  <c r="AS4979" i="2" l="1"/>
  <c r="AS4984" i="2" s="1"/>
  <c r="AS4980" i="2"/>
  <c r="AU5001" i="2"/>
  <c r="AS5003" i="2"/>
  <c r="AS4992" i="2"/>
  <c r="AS4991" i="2"/>
  <c r="AS4954" i="2"/>
  <c r="AS4955" i="2" s="1"/>
  <c r="AS4958" i="2" s="1"/>
  <c r="AT4959" i="2" s="1"/>
  <c r="AS4967" i="2"/>
  <c r="AS4968" i="2" l="1"/>
  <c r="AS4969" i="2" s="1"/>
  <c r="AS4972" i="2" s="1"/>
  <c r="AT4973" i="2" s="1"/>
  <c r="AS4981" i="2"/>
  <c r="AS4994" i="2"/>
  <c r="AS4993" i="2"/>
  <c r="AS4998" i="2" s="1"/>
  <c r="AS5005" i="2"/>
  <c r="AS5017" i="2"/>
  <c r="AU5015" i="2"/>
  <c r="AS5006" i="2"/>
  <c r="AS4995" i="2" l="1"/>
  <c r="AS5008" i="2"/>
  <c r="AS5007" i="2"/>
  <c r="AS5012" i="2" s="1"/>
  <c r="AS4982" i="2"/>
  <c r="AS4983" i="2" s="1"/>
  <c r="AS4986" i="2" s="1"/>
  <c r="AT4987" i="2" s="1"/>
  <c r="AS5031" i="2"/>
  <c r="AU5029" i="2"/>
  <c r="AS5020" i="2"/>
  <c r="AS5019" i="2"/>
  <c r="AS4996" i="2" l="1"/>
  <c r="AS4997" i="2" s="1"/>
  <c r="AS5000" i="2" s="1"/>
  <c r="AT5001" i="2" s="1"/>
  <c r="AS5021" i="2"/>
  <c r="AS5026" i="2" s="1"/>
  <c r="AS5022" i="2"/>
  <c r="AS5034" i="2"/>
  <c r="AU5043" i="2"/>
  <c r="AS5033" i="2"/>
  <c r="AS5045" i="2"/>
  <c r="AS5009" i="2"/>
  <c r="AS5010" i="2" l="1"/>
  <c r="AS5011" i="2" s="1"/>
  <c r="AS5014" i="2" s="1"/>
  <c r="AT5015" i="2" s="1"/>
  <c r="AS5036" i="2"/>
  <c r="AS5035" i="2"/>
  <c r="AS5040" i="2" s="1"/>
  <c r="AU5057" i="2"/>
  <c r="AS5047" i="2"/>
  <c r="AS5059" i="2"/>
  <c r="AS5048" i="2"/>
  <c r="AS5023" i="2"/>
  <c r="AS5050" i="2" l="1"/>
  <c r="AS5049" i="2"/>
  <c r="AS5054" i="2" s="1"/>
  <c r="AS5024" i="2"/>
  <c r="AS5025" i="2" s="1"/>
  <c r="AS5028" i="2" s="1"/>
  <c r="AT5029" i="2" s="1"/>
  <c r="AU5071" i="2"/>
  <c r="AS5062" i="2"/>
  <c r="AS5061" i="2"/>
  <c r="AS5073" i="2"/>
  <c r="AS5037" i="2"/>
  <c r="AS5051" i="2" l="1"/>
  <c r="AS5038" i="2"/>
  <c r="AS5039" i="2" s="1"/>
  <c r="AS5042" i="2" s="1"/>
  <c r="AT5043" i="2" s="1"/>
  <c r="AS5064" i="2"/>
  <c r="AS5063" i="2"/>
  <c r="AS5068" i="2" s="1"/>
  <c r="AS5076" i="2"/>
  <c r="AS5075" i="2"/>
  <c r="AS5087" i="2"/>
  <c r="AU5085" i="2"/>
  <c r="AS5089" i="2" l="1"/>
  <c r="AS5101" i="2"/>
  <c r="AS5090" i="2"/>
  <c r="AU5099" i="2"/>
  <c r="AS5065" i="2"/>
  <c r="AS5052" i="2"/>
  <c r="AS5053" i="2" s="1"/>
  <c r="AS5056" i="2" s="1"/>
  <c r="AT5057" i="2" s="1"/>
  <c r="AS5077" i="2"/>
  <c r="AS5082" i="2" s="1"/>
  <c r="AS5078" i="2"/>
  <c r="AS5092" i="2" l="1"/>
  <c r="AS5091" i="2"/>
  <c r="AS5096" i="2" s="1"/>
  <c r="AS5104" i="2"/>
  <c r="AS5103" i="2"/>
  <c r="AU5113" i="2"/>
  <c r="AS5115" i="2"/>
  <c r="AS5079" i="2"/>
  <c r="AS5066" i="2"/>
  <c r="AS5067" i="2" s="1"/>
  <c r="AS5070" i="2" s="1"/>
  <c r="AT5071" i="2" s="1"/>
  <c r="AS5093" i="2" l="1"/>
  <c r="AU5127" i="2"/>
  <c r="AS5118" i="2"/>
  <c r="AS5117" i="2"/>
  <c r="AS5129" i="2"/>
  <c r="AS5080" i="2"/>
  <c r="AS5081" i="2" s="1"/>
  <c r="AS5084" i="2" s="1"/>
  <c r="AT5085" i="2" s="1"/>
  <c r="AS5106" i="2"/>
  <c r="AS5105" i="2"/>
  <c r="AS5110" i="2" s="1"/>
  <c r="AS5120" i="2" l="1"/>
  <c r="AS5119" i="2"/>
  <c r="AS5124" i="2" s="1"/>
  <c r="AS5094" i="2"/>
  <c r="AS5095" i="2" s="1"/>
  <c r="AS5098" i="2" s="1"/>
  <c r="AT5099" i="2" s="1"/>
  <c r="AS5107" i="2"/>
  <c r="AS5132" i="2"/>
  <c r="AS5131" i="2"/>
  <c r="AS5143" i="2"/>
  <c r="AU5141" i="2"/>
  <c r="AS5145" i="2" l="1"/>
  <c r="AS5157" i="2"/>
  <c r="AS5146" i="2"/>
  <c r="AU5155" i="2"/>
  <c r="AS5108" i="2"/>
  <c r="AS5109" i="2" s="1"/>
  <c r="AS5112" i="2" s="1"/>
  <c r="AT5113" i="2" s="1"/>
  <c r="AS5121" i="2"/>
  <c r="AS5133" i="2"/>
  <c r="AS5138" i="2" s="1"/>
  <c r="AS5134" i="2"/>
  <c r="AS5148" i="2" l="1"/>
  <c r="AS5147" i="2"/>
  <c r="AS5152" i="2" s="1"/>
  <c r="AS5159" i="2"/>
  <c r="AS5171" i="2"/>
  <c r="AS5160" i="2"/>
  <c r="AU5169" i="2"/>
  <c r="AS5135" i="2"/>
  <c r="AS5122" i="2"/>
  <c r="AS5123" i="2" s="1"/>
  <c r="AS5126" i="2" s="1"/>
  <c r="AT5127" i="2" s="1"/>
  <c r="AS5149" i="2" l="1"/>
  <c r="AS5162" i="2"/>
  <c r="AS5161" i="2"/>
  <c r="AS5166" i="2" s="1"/>
  <c r="AS5136" i="2"/>
  <c r="AS5137" i="2" s="1"/>
  <c r="AS5140" i="2" s="1"/>
  <c r="AT5141" i="2" s="1"/>
  <c r="AS5173" i="2"/>
  <c r="AS5185" i="2"/>
  <c r="AU5183" i="2"/>
  <c r="AS5174" i="2"/>
  <c r="AS5199" i="2" l="1"/>
  <c r="AU5197" i="2"/>
  <c r="AS5188" i="2"/>
  <c r="AS5187" i="2"/>
  <c r="AS5150" i="2"/>
  <c r="AS5151" i="2" s="1"/>
  <c r="AS5154" i="2" s="1"/>
  <c r="AT5155" i="2" s="1"/>
  <c r="AS5176" i="2"/>
  <c r="AS5175" i="2"/>
  <c r="AS5180" i="2" s="1"/>
  <c r="AS5163" i="2"/>
  <c r="AS5201" i="2" l="1"/>
  <c r="AS5213" i="2"/>
  <c r="AS5202" i="2"/>
  <c r="AU5211" i="2"/>
  <c r="AS5164" i="2"/>
  <c r="AS5165" i="2" s="1"/>
  <c r="AS5168" i="2" s="1"/>
  <c r="AT5169" i="2" s="1"/>
  <c r="AS5177" i="2"/>
  <c r="AS5189" i="2"/>
  <c r="AS5194" i="2" s="1"/>
  <c r="AS5190" i="2"/>
  <c r="AS5178" i="2" l="1"/>
  <c r="AS5179" i="2" s="1"/>
  <c r="AS5182" i="2" s="1"/>
  <c r="AT5183" i="2" s="1"/>
  <c r="AS5204" i="2"/>
  <c r="AS5203" i="2"/>
  <c r="AS5208" i="2" s="1"/>
  <c r="AU5225" i="2"/>
  <c r="AS5227" i="2"/>
  <c r="AS5216" i="2"/>
  <c r="AS5215" i="2"/>
  <c r="AS5191" i="2"/>
  <c r="AS5218" i="2" l="1"/>
  <c r="AS5217" i="2"/>
  <c r="AS5222" i="2" s="1"/>
  <c r="AS5192" i="2"/>
  <c r="AS5193" i="2" s="1"/>
  <c r="AS5196" i="2" s="1"/>
  <c r="AT5197" i="2" s="1"/>
  <c r="AS5229" i="2"/>
  <c r="AS5241" i="2"/>
  <c r="AU5239" i="2"/>
  <c r="AS5230" i="2"/>
  <c r="AS5205" i="2"/>
  <c r="AS5206" i="2" l="1"/>
  <c r="AS5207" i="2" s="1"/>
  <c r="AS5210" i="2" s="1"/>
  <c r="AT5211" i="2" s="1"/>
  <c r="AS5232" i="2"/>
  <c r="AS5231" i="2"/>
  <c r="AS5236" i="2" s="1"/>
  <c r="AS5219" i="2"/>
  <c r="AS5255" i="2"/>
  <c r="AU5253" i="2"/>
  <c r="AS5244" i="2"/>
  <c r="AS5243" i="2"/>
  <c r="AS5245" i="2" l="1"/>
  <c r="AS5250" i="2" s="1"/>
  <c r="AS5246" i="2"/>
  <c r="AS5220" i="2"/>
  <c r="AS5221" i="2" s="1"/>
  <c r="AS5224" i="2" s="1"/>
  <c r="AT5225" i="2" s="1"/>
  <c r="AS5257" i="2"/>
  <c r="AS5269" i="2"/>
  <c r="AS5258" i="2"/>
  <c r="AU5267" i="2"/>
  <c r="AS5233" i="2"/>
  <c r="AS5260" i="2" l="1"/>
  <c r="AS5259" i="2"/>
  <c r="AS5264" i="2" s="1"/>
  <c r="AS5271" i="2"/>
  <c r="AS5283" i="2"/>
  <c r="AS5272" i="2"/>
  <c r="AU5281" i="2"/>
  <c r="AS5247" i="2"/>
  <c r="AS5234" i="2"/>
  <c r="AS5235" i="2" s="1"/>
  <c r="AS5238" i="2" s="1"/>
  <c r="AT5239" i="2" s="1"/>
  <c r="AS5261" i="2" l="1"/>
  <c r="AS5274" i="2"/>
  <c r="AS5273" i="2"/>
  <c r="AS5278" i="2" s="1"/>
  <c r="AS5248" i="2"/>
  <c r="AS5249" i="2" s="1"/>
  <c r="AS5252" i="2" s="1"/>
  <c r="AT5253" i="2" s="1"/>
  <c r="AS5285" i="2"/>
  <c r="AS5297" i="2"/>
  <c r="AU5295" i="2"/>
  <c r="AS5286" i="2"/>
  <c r="AS5311" i="2" l="1"/>
  <c r="AU5309" i="2"/>
  <c r="AS5300" i="2"/>
  <c r="AS5299" i="2"/>
  <c r="AS5262" i="2"/>
  <c r="AS5263" i="2" s="1"/>
  <c r="AS5266" i="2" s="1"/>
  <c r="AT5267" i="2" s="1"/>
  <c r="AS5288" i="2"/>
  <c r="AS5287" i="2"/>
  <c r="AS5292" i="2" s="1"/>
  <c r="AS5275" i="2"/>
  <c r="AS5313" i="2" l="1"/>
  <c r="AS5325" i="2"/>
  <c r="AS5314" i="2"/>
  <c r="AU5323" i="2"/>
  <c r="AS5276" i="2"/>
  <c r="AS5277" i="2" s="1"/>
  <c r="AS5280" i="2" s="1"/>
  <c r="AT5281" i="2" s="1"/>
  <c r="AS5289" i="2"/>
  <c r="AS5301" i="2"/>
  <c r="AS5306" i="2" s="1"/>
  <c r="AS5302" i="2"/>
  <c r="AS5290" i="2" l="1"/>
  <c r="AS5291" i="2" s="1"/>
  <c r="AS5294" i="2" s="1"/>
  <c r="AT5295" i="2" s="1"/>
  <c r="AS5316" i="2"/>
  <c r="AS5315" i="2"/>
  <c r="AS5320" i="2" s="1"/>
  <c r="AS5327" i="2"/>
  <c r="AU5337" i="2"/>
  <c r="AS5339" i="2"/>
  <c r="AS5328" i="2"/>
  <c r="AS5303" i="2"/>
  <c r="AS5330" i="2" l="1"/>
  <c r="AS5329" i="2"/>
  <c r="AS5334" i="2" s="1"/>
  <c r="AS5304" i="2"/>
  <c r="AS5305" i="2" s="1"/>
  <c r="AS5308" i="2" s="1"/>
  <c r="AT5309" i="2" s="1"/>
  <c r="AS5341" i="2"/>
  <c r="AS5353" i="2"/>
  <c r="AU5351" i="2"/>
  <c r="AS5342" i="2"/>
  <c r="AS5317" i="2"/>
  <c r="AS5318" i="2" l="1"/>
  <c r="AS5319" i="2" s="1"/>
  <c r="AS5322" i="2" s="1"/>
  <c r="AT5323" i="2" s="1"/>
  <c r="AS5344" i="2"/>
  <c r="AS5343" i="2"/>
  <c r="AS5348" i="2" s="1"/>
  <c r="AS5331" i="2"/>
  <c r="AS5367" i="2"/>
  <c r="AU5365" i="2"/>
  <c r="AS5356" i="2"/>
  <c r="AS5355" i="2"/>
  <c r="AS5332" i="2" l="1"/>
  <c r="AS5333" i="2" s="1"/>
  <c r="AS5336" i="2" s="1"/>
  <c r="AT5337" i="2" s="1"/>
  <c r="AS5357" i="2"/>
  <c r="AS5362" i="2" s="1"/>
  <c r="AS5358" i="2"/>
  <c r="AS5369" i="2"/>
  <c r="AS5381" i="2"/>
  <c r="AS5370" i="2"/>
  <c r="AU5379" i="2"/>
  <c r="AS5345" i="2"/>
  <c r="AS5384" i="2" l="1"/>
  <c r="AU5393" i="2"/>
  <c r="AS5383" i="2"/>
  <c r="AS5395" i="2"/>
  <c r="AS5372" i="2"/>
  <c r="AS5371" i="2"/>
  <c r="AS5376" i="2" s="1"/>
  <c r="AS5346" i="2"/>
  <c r="AS5347" i="2" s="1"/>
  <c r="AS5350" i="2" s="1"/>
  <c r="AT5351" i="2" s="1"/>
  <c r="AS5359" i="2"/>
  <c r="AS5373" i="2" l="1"/>
  <c r="AS5360" i="2"/>
  <c r="AS5361" i="2" s="1"/>
  <c r="AS5364" i="2" s="1"/>
  <c r="AT5365" i="2" s="1"/>
  <c r="AS5386" i="2"/>
  <c r="AS5385" i="2"/>
  <c r="AS5390" i="2" s="1"/>
  <c r="AS5397" i="2"/>
  <c r="AS5409" i="2"/>
  <c r="AU5407" i="2"/>
  <c r="AS5398" i="2"/>
  <c r="AS5387" i="2" l="1"/>
  <c r="AS5374" i="2"/>
  <c r="AS5375" i="2" s="1"/>
  <c r="AS5378" i="2" s="1"/>
  <c r="AT5379" i="2" s="1"/>
  <c r="AS5400" i="2"/>
  <c r="AS5399" i="2"/>
  <c r="AS5404" i="2" s="1"/>
  <c r="AS5423" i="2"/>
  <c r="AU5421" i="2"/>
  <c r="AS5412" i="2"/>
  <c r="AS5411" i="2"/>
  <c r="AS5401" i="2" l="1"/>
  <c r="AS5388" i="2"/>
  <c r="AS5389" i="2" s="1"/>
  <c r="AS5392" i="2" s="1"/>
  <c r="AT5393" i="2" s="1"/>
  <c r="AS5413" i="2"/>
  <c r="AS5418" i="2" s="1"/>
  <c r="AS5414" i="2"/>
  <c r="AS5425" i="2"/>
  <c r="AS5437" i="2"/>
  <c r="AS5426" i="2"/>
  <c r="AU5435" i="2"/>
  <c r="AS5415" i="2" l="1"/>
  <c r="AS5402" i="2"/>
  <c r="AS5403" i="2" s="1"/>
  <c r="AS5406" i="2" s="1"/>
  <c r="AT5407" i="2" s="1"/>
  <c r="AS5427" i="2"/>
  <c r="AS5432" i="2" s="1"/>
  <c r="AS5428" i="2"/>
  <c r="AS5440" i="2"/>
  <c r="AU5449" i="2"/>
  <c r="AS5451" i="2"/>
  <c r="AS5439" i="2"/>
  <c r="AS5416" i="2" l="1"/>
  <c r="AS5417" i="2" s="1"/>
  <c r="AS5420" i="2" s="1"/>
  <c r="AT5421" i="2" s="1"/>
  <c r="AS5442" i="2"/>
  <c r="AS5441" i="2"/>
  <c r="AS5446" i="2" s="1"/>
  <c r="AS5429" i="2"/>
  <c r="AS5465" i="2"/>
  <c r="AU5463" i="2"/>
  <c r="AS5454" i="2"/>
  <c r="AS5453" i="2"/>
  <c r="AS5456" i="2" l="1"/>
  <c r="AS5455" i="2"/>
  <c r="AS5460" i="2" s="1"/>
  <c r="AS5430" i="2"/>
  <c r="AS5431" i="2" s="1"/>
  <c r="AS5434" i="2" s="1"/>
  <c r="AT5435" i="2" s="1"/>
  <c r="AU5477" i="2"/>
  <c r="AS5468" i="2"/>
  <c r="AS5467" i="2"/>
  <c r="AS5479" i="2"/>
  <c r="AS5443" i="2"/>
  <c r="AS5482" i="2" l="1"/>
  <c r="AU5491" i="2"/>
  <c r="AS5493" i="2"/>
  <c r="AS5481" i="2"/>
  <c r="AS5444" i="2"/>
  <c r="AS5445" i="2" s="1"/>
  <c r="AS5448" i="2" s="1"/>
  <c r="AT5449" i="2" s="1"/>
  <c r="AS5457" i="2"/>
  <c r="AS5470" i="2"/>
  <c r="AS5469" i="2"/>
  <c r="AS5474" i="2" s="1"/>
  <c r="AS5471" i="2" l="1"/>
  <c r="AU5505" i="2"/>
  <c r="AS5507" i="2"/>
  <c r="AS5496" i="2"/>
  <c r="AS5495" i="2"/>
  <c r="AS5458" i="2"/>
  <c r="AS5459" i="2" s="1"/>
  <c r="AS5462" i="2" s="1"/>
  <c r="AT5463" i="2" s="1"/>
  <c r="AS5484" i="2"/>
  <c r="AS5483" i="2"/>
  <c r="AS5488" i="2" s="1"/>
  <c r="AS5485" i="2" l="1"/>
  <c r="AS5497" i="2"/>
  <c r="AS5502" i="2" s="1"/>
  <c r="AS5498" i="2"/>
  <c r="AS5472" i="2"/>
  <c r="AS5473" i="2" s="1"/>
  <c r="AS5476" i="2" s="1"/>
  <c r="AT5477" i="2" s="1"/>
  <c r="AS5509" i="2"/>
  <c r="AS5521" i="2"/>
  <c r="AS5510" i="2"/>
  <c r="AU5519" i="2"/>
  <c r="AS5486" i="2" l="1"/>
  <c r="AS5487" i="2" s="1"/>
  <c r="AS5490" i="2" s="1"/>
  <c r="AT5491" i="2" s="1"/>
  <c r="AS5535" i="2"/>
  <c r="AU5533" i="2"/>
  <c r="AS5524" i="2"/>
  <c r="AS5523" i="2"/>
  <c r="AS5512" i="2"/>
  <c r="AS5511" i="2"/>
  <c r="AS5516" i="2" s="1"/>
  <c r="AS5499" i="2"/>
  <c r="AS5525" i="2" l="1"/>
  <c r="AS5530" i="2" s="1"/>
  <c r="AS5526" i="2"/>
  <c r="AS5500" i="2"/>
  <c r="AS5501" i="2" s="1"/>
  <c r="AS5504" i="2" s="1"/>
  <c r="AT5505" i="2" s="1"/>
  <c r="AS5537" i="2"/>
  <c r="AS5549" i="2"/>
  <c r="AS5538" i="2"/>
  <c r="AU5547" i="2"/>
  <c r="AS5513" i="2"/>
  <c r="AS5540" i="2" l="1"/>
  <c r="AS5539" i="2"/>
  <c r="AS5544" i="2" s="1"/>
  <c r="AS5552" i="2"/>
  <c r="AU5561" i="2"/>
  <c r="AS5563" i="2"/>
  <c r="AS5551" i="2"/>
  <c r="AS5527" i="2"/>
  <c r="AS5514" i="2"/>
  <c r="AS5515" i="2" s="1"/>
  <c r="AS5518" i="2" s="1"/>
  <c r="AT5519" i="2" s="1"/>
  <c r="AS5577" i="2" l="1"/>
  <c r="AS5566" i="2"/>
  <c r="AS5565" i="2"/>
  <c r="AU5575" i="2"/>
  <c r="AS5541" i="2"/>
  <c r="AS5554" i="2"/>
  <c r="AS5553" i="2"/>
  <c r="AS5558" i="2" s="1"/>
  <c r="AS5528" i="2"/>
  <c r="AS5529" i="2" s="1"/>
  <c r="AS5532" i="2" s="1"/>
  <c r="AT5533" i="2" s="1"/>
  <c r="AU5589" i="2" l="1"/>
  <c r="AS5580" i="2"/>
  <c r="AS5591" i="2"/>
  <c r="AS5579" i="2"/>
  <c r="AS5542" i="2"/>
  <c r="AS5543" i="2" s="1"/>
  <c r="AS5546" i="2" s="1"/>
  <c r="AT5547" i="2" s="1"/>
  <c r="AS5568" i="2"/>
  <c r="AS5567" i="2"/>
  <c r="AS5572" i="2" s="1"/>
  <c r="AS5555" i="2"/>
  <c r="AS5556" i="2" l="1"/>
  <c r="AS5557" i="2" s="1"/>
  <c r="AS5560" i="2" s="1"/>
  <c r="AT5561" i="2" s="1"/>
  <c r="AS5569" i="2"/>
  <c r="AS5593" i="2"/>
  <c r="AS5594" i="2"/>
  <c r="AU5603" i="2"/>
  <c r="AS5605" i="2"/>
  <c r="AS5582" i="2"/>
  <c r="AS5581" i="2"/>
  <c r="AS5586" i="2" s="1"/>
  <c r="AS5596" i="2" l="1"/>
  <c r="AS5595" i="2"/>
  <c r="AS5600" i="2" s="1"/>
  <c r="AS5583" i="2"/>
  <c r="AU5617" i="2"/>
  <c r="AS5607" i="2"/>
  <c r="AS5608" i="2"/>
  <c r="AS5619" i="2"/>
  <c r="AS5570" i="2"/>
  <c r="AS5571" i="2" s="1"/>
  <c r="AS5574" i="2" s="1"/>
  <c r="AT5575" i="2" s="1"/>
  <c r="AS5597" i="2" l="1"/>
  <c r="AS5609" i="2"/>
  <c r="AS5614" i="2" s="1"/>
  <c r="AS5610" i="2"/>
  <c r="AS5622" i="2"/>
  <c r="AU5631" i="2"/>
  <c r="AS5621" i="2"/>
  <c r="AS5584" i="2"/>
  <c r="AS5585" i="2" s="1"/>
  <c r="AS5588" i="2" s="1"/>
  <c r="AT5589" i="2" s="1"/>
  <c r="AS5624" i="2" l="1"/>
  <c r="AS5623" i="2"/>
  <c r="AS5628" i="2" s="1"/>
  <c r="AS5598" i="2"/>
  <c r="AS5599" i="2" s="1"/>
  <c r="AS5602" i="2" s="1"/>
  <c r="AT5603" i="2" s="1"/>
  <c r="AS5611" i="2"/>
  <c r="AS5612" i="2" l="1"/>
  <c r="AS5613" i="2" s="1"/>
  <c r="AS5616" i="2" s="1"/>
  <c r="AT5617" i="2" s="1"/>
  <c r="AS5625" i="2"/>
  <c r="AS5626" i="2" l="1"/>
  <c r="AS5627" i="2" s="1"/>
  <c r="AS5630" i="2" s="1"/>
  <c r="AT5631" i="2" s="1"/>
  <c r="AU18" i="2" s="1"/>
  <c r="AU20" i="2" s="1"/>
  <c r="AU19" i="2" l="1"/>
  <c r="I16" i="2" l="1"/>
  <c r="G39" i="2" s="1"/>
  <c r="V40" i="3"/>
  <c r="U44" i="3" l="1"/>
  <c r="U41" i="3" s="1"/>
  <c r="U40" i="3"/>
  <c r="T44" i="3" s="1"/>
  <c r="T41" i="3" s="1"/>
  <c r="H39" i="2"/>
  <c r="G37" i="2"/>
  <c r="C38" i="2"/>
  <c r="E39" i="2"/>
  <c r="C39" i="2"/>
  <c r="K37" i="2"/>
  <c r="C37" i="2"/>
  <c r="F39" i="2"/>
  <c r="H37" i="2"/>
  <c r="J39" i="2"/>
  <c r="D39" i="2"/>
  <c r="B39" i="2"/>
  <c r="J38" i="2"/>
  <c r="L37" i="2"/>
  <c r="L38" i="2"/>
  <c r="I37" i="2"/>
  <c r="E37" i="2"/>
  <c r="H38" i="2"/>
  <c r="I38" i="2"/>
  <c r="K38" i="2"/>
  <c r="E38" i="2"/>
  <c r="F38" i="2"/>
  <c r="K39" i="2"/>
  <c r="D37" i="2"/>
  <c r="J37" i="2"/>
  <c r="F37" i="2"/>
  <c r="D38" i="2"/>
  <c r="I39" i="2"/>
  <c r="G38" i="2"/>
  <c r="L39" i="2"/>
  <c r="B38" i="2"/>
  <c r="Y40" i="3" l="1"/>
  <c r="Z40" i="3" s="1"/>
</calcChain>
</file>

<file path=xl/sharedStrings.xml><?xml version="1.0" encoding="utf-8"?>
<sst xmlns="http://schemas.openxmlformats.org/spreadsheetml/2006/main" count="21513" uniqueCount="329">
  <si>
    <t>DESCRIPTION OF VARIABLE</t>
  </si>
  <si>
    <t>Eq</t>
  </si>
  <si>
    <t>NAME OF VARIABLE</t>
  </si>
  <si>
    <t>FORMULA</t>
  </si>
  <si>
    <t>Flow</t>
  </si>
  <si>
    <t>W</t>
  </si>
  <si>
    <t>CALCULATED IN COLUMN "S"</t>
  </si>
  <si>
    <t>Inlet pressure</t>
  </si>
  <si>
    <t>P_1</t>
  </si>
  <si>
    <t>Pressure drop ratio</t>
  </si>
  <si>
    <t>x</t>
  </si>
  <si>
    <t>Inlet temperature</t>
  </si>
  <si>
    <t>T_1</t>
  </si>
  <si>
    <t>Ratio of specific heats factor</t>
  </si>
  <si>
    <t>F_GAMMA</t>
  </si>
  <si>
    <t>Pressure drop</t>
  </si>
  <si>
    <t>DELTA_P</t>
  </si>
  <si>
    <t>Absolute temperature</t>
  </si>
  <si>
    <t>T_abs</t>
  </si>
  <si>
    <t>Density</t>
  </si>
  <si>
    <t>RHO</t>
  </si>
  <si>
    <t>M</t>
  </si>
  <si>
    <t>======&gt;</t>
  </si>
  <si>
    <t>WITHOUT REDUCERS</t>
  </si>
  <si>
    <t>Specific heat ratio</t>
  </si>
  <si>
    <t>GAMMA</t>
  </si>
  <si>
    <t>Expansion factor</t>
  </si>
  <si>
    <t>Y</t>
  </si>
  <si>
    <t>Choked press drop ratio factor</t>
  </si>
  <si>
    <t>x_T</t>
  </si>
  <si>
    <t>C Non choked</t>
  </si>
  <si>
    <t>C_NonCh</t>
  </si>
  <si>
    <t>C Choked</t>
  </si>
  <si>
    <t>C_Ch</t>
  </si>
  <si>
    <t>Choked pressure drop ratio</t>
  </si>
  <si>
    <t>CH_x</t>
  </si>
  <si>
    <t>Inlet pipe diameter</t>
  </si>
  <si>
    <t>D_1</t>
  </si>
  <si>
    <t>Select C Non choked or C choked</t>
  </si>
  <si>
    <t>Select_C_Non_or_C_Ch</t>
  </si>
  <si>
    <t>Outlet pipe diameter</t>
  </si>
  <si>
    <t>D_2</t>
  </si>
  <si>
    <t>(This is the initial guess for</t>
  </si>
  <si>
    <t>Valve size</t>
  </si>
  <si>
    <t>d</t>
  </si>
  <si>
    <t xml:space="preserve"> the following iterative calculations)</t>
  </si>
  <si>
    <t xml:space="preserve">  Required flow coef. (Cv or Kv)</t>
  </si>
  <si>
    <t>WITH REDUCERS</t>
  </si>
  <si>
    <t xml:space="preserve">  Sound pressure level</t>
  </si>
  <si>
    <t>dB(A)</t>
  </si>
  <si>
    <t>Reducer velocity head coefficients</t>
  </si>
  <si>
    <t>ZETA_1</t>
  </si>
  <si>
    <t xml:space="preserve">  Outlet velocity</t>
  </si>
  <si>
    <t>Mach</t>
  </si>
  <si>
    <t>ZETA_B1</t>
  </si>
  <si>
    <t>ZETA_2</t>
  </si>
  <si>
    <t>ZETA_B2</t>
  </si>
  <si>
    <t>Sum of velocity head coefficients</t>
  </si>
  <si>
    <t>SIGMA_ZETA</t>
  </si>
  <si>
    <t>Sum of upstream velocity head coef</t>
  </si>
  <si>
    <t>SIGMA_ZETA_1</t>
  </si>
  <si>
    <t>Numerical constants</t>
  </si>
  <si>
    <t>Beginning of iterative calculation</t>
  </si>
  <si>
    <t>Assumed C for iterative purposes</t>
  </si>
  <si>
    <t>C_i</t>
  </si>
  <si>
    <t>N_5</t>
  </si>
  <si>
    <t>Piping geometry factor</t>
  </si>
  <si>
    <t>F_P</t>
  </si>
  <si>
    <t>Choked Pres drop ratio factor with reducers</t>
  </si>
  <si>
    <t>x_TP</t>
  </si>
  <si>
    <t>Y_W_Reducers</t>
  </si>
  <si>
    <t>C Non choked w/ reducers</t>
  </si>
  <si>
    <t>C_NonCh_W_Reducers</t>
  </si>
  <si>
    <t>C Choked w/ reducers</t>
  </si>
  <si>
    <t>C_Ch_W_Reducers</t>
  </si>
  <si>
    <t>Choked pressure drop ratio w/ reducers</t>
  </si>
  <si>
    <t>CH_x_W_Reducers</t>
  </si>
  <si>
    <t>FLAG_1 and FLAG_2 only have an effect in the noise calculation</t>
  </si>
  <si>
    <t>noise calculation and the Mach number calculation.</t>
  </si>
  <si>
    <t>Valve sizing per ISA S75.01.01 2007</t>
  </si>
  <si>
    <t>Data input</t>
  </si>
  <si>
    <t>Final results</t>
  </si>
  <si>
    <t>TAG:</t>
  </si>
  <si>
    <t>Valve type</t>
  </si>
  <si>
    <t>Valve style SPL code</t>
  </si>
  <si>
    <t>Globe</t>
  </si>
  <si>
    <t>Rotary eccentric plug</t>
  </si>
  <si>
    <t>Segment ball</t>
  </si>
  <si>
    <t>Butterfly</t>
  </si>
  <si>
    <t>Full ball</t>
  </si>
  <si>
    <t>VSC</t>
  </si>
  <si>
    <t xml:space="preserve">Pipe wall correction </t>
  </si>
  <si>
    <t>DeltaLp</t>
  </si>
  <si>
    <t xml:space="preserve">  Flow calculated from C_ above</t>
  </si>
  <si>
    <t>1= Inlet Temp entered in F is converted to R in T_abs field</t>
  </si>
  <si>
    <t>2= Inlet Temp entered in C is coverted to K in T_abs field</t>
  </si>
  <si>
    <t>This worksheeet is distributed at no cost on an as-is basis.</t>
  </si>
  <si>
    <t xml:space="preserve"> The author assumes no liability for its use.</t>
  </si>
  <si>
    <t>1=flow coef is Cv 2=flow coef is Kv</t>
  </si>
  <si>
    <t>Confirmation that the calculated C will produce the given flow rate</t>
  </si>
  <si>
    <t>Final C calculated above</t>
  </si>
  <si>
    <t>Final_Calculated_C</t>
  </si>
  <si>
    <t>Final_F_P</t>
  </si>
  <si>
    <t>Presssure drop ratio factor w/reducers</t>
  </si>
  <si>
    <t>Final_x_TP</t>
  </si>
  <si>
    <t>Final_Y_W_Reducers</t>
  </si>
  <si>
    <t>Flow Non choked w/ reducers</t>
  </si>
  <si>
    <t>Final_Flow_NonCh_W_Reducers</t>
  </si>
  <si>
    <t>Flow Choked w/ reducers</t>
  </si>
  <si>
    <t>Final_Flow_Ch_W_Reducers</t>
  </si>
  <si>
    <r>
      <t>Choked pressure drop ratio w/ reducers (x</t>
    </r>
    <r>
      <rPr>
        <vertAlign val="subscript"/>
        <sz val="10"/>
        <rFont val="Arial"/>
        <family val="2"/>
      </rPr>
      <t>choked</t>
    </r>
    <r>
      <rPr>
        <sz val="10"/>
        <rFont val="Arial"/>
        <family val="2"/>
      </rPr>
      <t>)</t>
    </r>
  </si>
  <si>
    <t>Final_CH_x_W_Reducers</t>
  </si>
  <si>
    <t>Select flow Non choked or flow choked</t>
  </si>
  <si>
    <t>Calc_Flow_From_Final_ Calc_C</t>
  </si>
  <si>
    <t>Aerodynamic noise calculation based on VDMA 24422 - 1979 as presented in the Metso "Flow Control Manual"</t>
  </si>
  <si>
    <t>Valve flow capacity in Cv units</t>
  </si>
  <si>
    <t>C_v</t>
  </si>
  <si>
    <t>Upstream pressure, P1, in units of psiA</t>
  </si>
  <si>
    <t>P_1_psia</t>
  </si>
  <si>
    <t>Upstream temperature in units of degrees R</t>
  </si>
  <si>
    <t>T_1_degR</t>
  </si>
  <si>
    <t>Gas density in units lb/ft^3 at std cond (14.7 psiA, 60 F)</t>
  </si>
  <si>
    <t>RHO_n</t>
  </si>
  <si>
    <t xml:space="preserve">VALVE SPECIFIC CORRECTION COEFFICIENT </t>
  </si>
  <si>
    <t xml:space="preserve">  For globe valves</t>
  </si>
  <si>
    <t>DeltaLg_0</t>
  </si>
  <si>
    <t xml:space="preserve">  For eccentric rotary plug valves</t>
  </si>
  <si>
    <t>DeltaLg_1</t>
  </si>
  <si>
    <t xml:space="preserve">  For segment ball valves</t>
  </si>
  <si>
    <t>DeltaLg_2</t>
  </si>
  <si>
    <t xml:space="preserve">  For butterfly valves</t>
  </si>
  <si>
    <t>DeltaLg_3</t>
  </si>
  <si>
    <t xml:space="preserve">  For ball valves</t>
  </si>
  <si>
    <t>DeltaLg_4</t>
  </si>
  <si>
    <t xml:space="preserve">  For selected valve based on VSC (Valve Style Code)</t>
  </si>
  <si>
    <t>DeltaLg</t>
  </si>
  <si>
    <t>P_2 in psiA</t>
  </si>
  <si>
    <t>P_2_psia</t>
  </si>
  <si>
    <t>High downstream pressure correction</t>
  </si>
  <si>
    <t>DeltaLp2</t>
  </si>
  <si>
    <t>Calculated Sound Pressure Level (dBA)</t>
  </si>
  <si>
    <t>L_A</t>
  </si>
  <si>
    <t>Valve outlet Mach Number calculation</t>
  </si>
  <si>
    <t>Valve nominal size in inches</t>
  </si>
  <si>
    <t>d_in</t>
  </si>
  <si>
    <t>Mass flow converted to lbm/h</t>
  </si>
  <si>
    <t>W_to_lbm_h</t>
  </si>
  <si>
    <t>Density in units of lb/ft^3</t>
  </si>
  <si>
    <t>RHO_lb_ft3</t>
  </si>
  <si>
    <t>Mass flow in lbm/h converted to scfh</t>
  </si>
  <si>
    <t>lbm_h_to_scfh</t>
  </si>
  <si>
    <t>Valve outlet velocity (Mach Number)</t>
  </si>
  <si>
    <t>MN</t>
  </si>
  <si>
    <t xml:space="preserve">  Selected valve style (VSC)</t>
  </si>
  <si>
    <t>C_</t>
  </si>
  <si>
    <t>PV123</t>
  </si>
  <si>
    <t>If it is, error messages are blanked out of the calculated results.</t>
  </si>
  <si>
    <t>DATA1</t>
  </si>
  <si>
    <t>DATA2</t>
  </si>
  <si>
    <t>DATA3</t>
  </si>
  <si>
    <t>DATA4</t>
  </si>
  <si>
    <t>The cells below (Row 47) detrmine if any input data is missing.</t>
  </si>
  <si>
    <t>Intermediate Calculations</t>
  </si>
  <si>
    <t>Eqn.</t>
  </si>
  <si>
    <t>CALCULATED IN COLUMN "P"</t>
  </si>
  <si>
    <t>CALCULATE PARAMETERS FOR UPSTREAM AND DOWNSTREAM PROCESS PRESSURE MODEL</t>
  </si>
  <si>
    <t>Minimum design flow (From Col D)</t>
  </si>
  <si>
    <t>Maximum design flow (From Col F)</t>
  </si>
  <si>
    <t>Valve inlet pressure at minimum des. Flow</t>
  </si>
  <si>
    <t>Valve inlet pressure at maximum des. flow</t>
  </si>
  <si>
    <t xml:space="preserve">Pressure drop at minimum des. flow </t>
  </si>
  <si>
    <t xml:space="preserve">Pressure drop at maximum des. flow </t>
  </si>
  <si>
    <t>Valve outlet pressure at minimum des. Flow</t>
  </si>
  <si>
    <t>Valve outlet pressure at maximum des. flow</t>
  </si>
  <si>
    <t>Upstream system drop</t>
  </si>
  <si>
    <t>dp_up</t>
  </si>
  <si>
    <t>Upstream system resistance factor</t>
  </si>
  <si>
    <t>R_up</t>
  </si>
  <si>
    <t>Downstream system drop</t>
  </si>
  <si>
    <t>dp_dn</t>
  </si>
  <si>
    <t>Downstream system resistance factor</t>
  </si>
  <si>
    <t>R_dn</t>
  </si>
  <si>
    <t>Upstream system press drop an min flow</t>
  </si>
  <si>
    <t>Downstream system press drop an min flow</t>
  </si>
  <si>
    <t>First iteration flow rate</t>
  </si>
  <si>
    <t>Abs Value of</t>
  </si>
  <si>
    <t>Flow this</t>
  </si>
  <si>
    <t>iteration</t>
  </si>
  <si>
    <t>P1 at this iteration flow rate</t>
  </si>
  <si>
    <t>P2 at this iteration flow rate</t>
  </si>
  <si>
    <t>Delta P at this iteration flow rate</t>
  </si>
  <si>
    <t>Press drop ratio this iteration</t>
  </si>
  <si>
    <r>
      <t>Choked pressure drop ratio w/ reducers (x</t>
    </r>
    <r>
      <rPr>
        <vertAlign val="subscript"/>
        <sz val="10"/>
        <color indexed="8"/>
        <rFont val="Arial"/>
        <family val="2"/>
      </rPr>
      <t>choked</t>
    </r>
    <r>
      <rPr>
        <sz val="10"/>
        <color indexed="8"/>
        <rFont val="Arial"/>
        <family val="2"/>
      </rPr>
      <t>)</t>
    </r>
  </si>
  <si>
    <t>Selected C this iteration</t>
  </si>
  <si>
    <t>Absolute value C_100 - Selected C</t>
  </si>
  <si>
    <t>W_min</t>
  </si>
  <si>
    <t>W_max</t>
  </si>
  <si>
    <t>P_1_minW</t>
  </si>
  <si>
    <t>P_1_maxW</t>
  </si>
  <si>
    <t>DELTA_P_minW</t>
  </si>
  <si>
    <t>DELTA_P_maxW</t>
  </si>
  <si>
    <t>P_2_minW</t>
  </si>
  <si>
    <t>P_2_maxW</t>
  </si>
  <si>
    <t>VALVE DATA</t>
  </si>
  <si>
    <t>`</t>
  </si>
  <si>
    <t>Valve style / model #</t>
  </si>
  <si>
    <t>Relative travel, h</t>
  </si>
  <si>
    <t>C (Cv or Kv)</t>
  </si>
  <si>
    <r>
      <t>x</t>
    </r>
    <r>
      <rPr>
        <b/>
        <vertAlign val="subscript"/>
        <sz val="10"/>
        <rFont val="Arial"/>
        <family val="2"/>
      </rPr>
      <t>T</t>
    </r>
  </si>
  <si>
    <t xml:space="preserve">Flow units are  </t>
  </si>
  <si>
    <t xml:space="preserve">Valve relative travel, h </t>
  </si>
  <si>
    <t xml:space="preserve">Relative Flow Q/Qf </t>
  </si>
  <si>
    <t>Minimum Flow</t>
  </si>
  <si>
    <t>Maximum Flow</t>
  </si>
  <si>
    <t>Graph Data</t>
  </si>
  <si>
    <t>Delta h</t>
  </si>
  <si>
    <t>CALCULATE FLOW AT EACH  INCREMENT OF h</t>
  </si>
  <si>
    <t>Valve C at travel h (Cv or Kv)</t>
  </si>
  <si>
    <t>C_h</t>
  </si>
  <si>
    <t>Caculation of flow conditions</t>
  </si>
  <si>
    <t>Piping geometry factor at relative travel, h</t>
  </si>
  <si>
    <t>F_P_h</t>
  </si>
  <si>
    <t>Reducer corrected pressure drop ratio factor at choked flow</t>
  </si>
  <si>
    <t>x_TP_h</t>
  </si>
  <si>
    <t>Relative Travel, h</t>
  </si>
  <si>
    <t>Min C_h - Ci</t>
  </si>
  <si>
    <t>Flow at C_h</t>
  </si>
  <si>
    <t>Values found on Line</t>
  </si>
  <si>
    <t>C_h - C this iteration</t>
  </si>
  <si>
    <t>Y_C_h</t>
  </si>
  <si>
    <t>C_N_Ch</t>
  </si>
  <si>
    <t>W_i</t>
  </si>
  <si>
    <t>P1_Wi</t>
  </si>
  <si>
    <t>P2_Wi</t>
  </si>
  <si>
    <t>Density at this iteration</t>
  </si>
  <si>
    <t>RHO_Wi</t>
  </si>
  <si>
    <t>DELTA_P_Wi</t>
  </si>
  <si>
    <t>x_Wi</t>
  </si>
  <si>
    <t>Next iteration flow rate</t>
  </si>
  <si>
    <t>400 iterations</t>
  </si>
  <si>
    <t>dpup_minQ</t>
  </si>
  <si>
    <t>dpdn_minQ</t>
  </si>
  <si>
    <r>
      <t>Fully open Flow, W</t>
    </r>
    <r>
      <rPr>
        <b/>
        <vertAlign val="subscript"/>
        <sz val="12"/>
        <color indexed="8"/>
        <rFont val="Arial"/>
        <family val="2"/>
      </rPr>
      <t>f</t>
    </r>
  </si>
  <si>
    <t>2 inch</t>
  </si>
  <si>
    <t>Qmin vertical line</t>
  </si>
  <si>
    <t>Qmax vertical line</t>
  </si>
  <si>
    <t>INSTALED FLOW AND GAIN ERRORS</t>
  </si>
  <si>
    <t>design flow =</t>
  </si>
  <si>
    <r>
      <t>W</t>
    </r>
    <r>
      <rPr>
        <sz val="9"/>
        <rFont val="Arial"/>
        <family val="2"/>
      </rPr>
      <t xml:space="preserve">max </t>
    </r>
    <r>
      <rPr>
        <sz val="10"/>
        <rFont val="Arial"/>
        <family val="2"/>
      </rPr>
      <t>= maximum</t>
    </r>
  </si>
  <si>
    <r>
      <t>W</t>
    </r>
    <r>
      <rPr>
        <sz val="9"/>
        <rFont val="Arial"/>
        <family val="2"/>
      </rPr>
      <t>min</t>
    </r>
    <r>
      <rPr>
        <sz val="10"/>
        <rFont val="Arial"/>
        <family val="2"/>
      </rPr>
      <t xml:space="preserve"> = minimum</t>
    </r>
  </si>
  <si>
    <r>
      <t>W</t>
    </r>
    <r>
      <rPr>
        <sz val="9"/>
        <rFont val="Arial"/>
        <family val="2"/>
      </rPr>
      <t>max</t>
    </r>
    <r>
      <rPr>
        <sz val="10"/>
        <rFont val="Arial"/>
        <family val="2"/>
      </rPr>
      <t xml:space="preserve"> = maximum</t>
    </r>
  </si>
  <si>
    <t>Neles RE Seg Ball</t>
  </si>
  <si>
    <r>
      <t>W</t>
    </r>
    <r>
      <rPr>
        <b/>
        <sz val="8"/>
        <color indexed="8"/>
        <rFont val="Arial"/>
        <family val="2"/>
      </rPr>
      <t>f</t>
    </r>
    <r>
      <rPr>
        <b/>
        <sz val="9"/>
        <color indexed="8"/>
        <rFont val="Arial"/>
        <family val="2"/>
      </rPr>
      <t xml:space="preserve"> </t>
    </r>
    <r>
      <rPr>
        <b/>
        <sz val="10"/>
        <color indexed="8"/>
        <rFont val="Arial"/>
        <family val="2"/>
      </rPr>
      <t>=</t>
    </r>
  </si>
  <si>
    <r>
      <t>If there are any error messages below, the graphs and W</t>
    </r>
    <r>
      <rPr>
        <sz val="8"/>
        <rFont val="Arial"/>
        <family val="2"/>
      </rPr>
      <t>f</t>
    </r>
    <r>
      <rPr>
        <sz val="10"/>
        <rFont val="Arial"/>
        <family val="2"/>
      </rPr>
      <t xml:space="preserve"> are not valid</t>
    </r>
  </si>
  <si>
    <t>Scroll to the right to see the</t>
  </si>
  <si>
    <t xml:space="preserve">intermediate calculations   </t>
  </si>
  <si>
    <t>Scroll down for instructions for the Installed flow and gain graphs and</t>
  </si>
  <si>
    <r>
      <t>the calculation of the fully open flow, Q</t>
    </r>
    <r>
      <rPr>
        <vertAlign val="subscript"/>
        <sz val="14"/>
        <rFont val="Arial"/>
        <family val="2"/>
      </rPr>
      <t>f</t>
    </r>
    <r>
      <rPr>
        <sz val="10"/>
        <rFont val="Arial"/>
        <family val="2"/>
      </rPr>
      <t>. The accuracy of the calculations</t>
    </r>
  </si>
  <si>
    <t>on this and the Installed Gain tab depend on the accuracy of the process</t>
  </si>
  <si>
    <t>data.</t>
  </si>
  <si>
    <r>
      <rPr>
        <b/>
        <sz val="10"/>
        <rFont val="Arial"/>
        <family val="2"/>
      </rPr>
      <t xml:space="preserve">               INSTRUCTIONS FOR THE OPTIONAL INSTALLED FLOW AND GAIN GRAPHS 
                                               AND FULLY OPEN FLOW CALCULATION                                                               
</t>
    </r>
    <r>
      <rPr>
        <sz val="10"/>
        <rFont val="Arial"/>
        <family val="2"/>
      </rPr>
      <t xml:space="preserve">The process pressure model is a curve fit based on the Flow, P1 and Delta P in Columns D and G on the Valve Sizing tab. The curve fit is based on the principle that piping pressure losses are approximately proportional to flow squared. The Density used in the installed flow calculation is the value entered in Column G on the Valve Sizing tab adjusted for pressure as determined by the process pressue model for each increment of valve relative travel. </t>
    </r>
    <r>
      <rPr>
        <b/>
        <sz val="10"/>
        <rFont val="Arial"/>
        <family val="2"/>
      </rPr>
      <t xml:space="preserve">
</t>
    </r>
    <r>
      <rPr>
        <sz val="10"/>
        <rFont val="Arial"/>
        <family val="2"/>
      </rPr>
      <t xml:space="preserve">
To calculate the fully open flow, Wf, the installed flow and the installed gain, on the </t>
    </r>
    <r>
      <rPr>
        <b/>
        <sz val="10"/>
        <rFont val="Arial"/>
        <family val="2"/>
      </rPr>
      <t>Valve Sizing</t>
    </r>
    <r>
      <rPr>
        <sz val="10"/>
        <rFont val="Arial"/>
        <family val="2"/>
      </rPr>
      <t xml:space="preserve"> tab, enter the minimum design flow along with its associated values of P1 and Delta P in Column D and the maximum design flow along with its associated values of P1 and Delta P in Column G. </t>
    </r>
    <r>
      <rPr>
        <sz val="10"/>
        <color rgb="FFFF0000"/>
        <rFont val="Arial"/>
        <family val="2"/>
      </rPr>
      <t>The accuracy of these calculations depends on the accuracy of the process data that is used</t>
    </r>
    <r>
      <rPr>
        <sz val="10"/>
        <rFont val="Arial"/>
        <family val="2"/>
      </rPr>
      <t xml:space="preserve">. Any process conditions entered in Columns E and F are not used in the calculation of the fully open flow, the installed flow and the installed gain.
</t>
    </r>
    <r>
      <rPr>
        <b/>
        <sz val="10"/>
        <rFont val="Arial"/>
        <family val="2"/>
      </rPr>
      <t xml:space="preserve">
T</t>
    </r>
    <r>
      <rPr>
        <sz val="10"/>
        <rFont val="Arial"/>
        <family val="2"/>
      </rPr>
      <t>he process model, Wf, and the graphs are only valid if:
1. The flow in G2 on the Valve Sizing tab is greater than the flow in D2
2. P1 is either constant or decreasing with increasing flow
3. P2 is either constant or increasing with increasing flow</t>
    </r>
    <r>
      <rPr>
        <b/>
        <sz val="10"/>
        <rFont val="Arial"/>
        <family val="2"/>
      </rPr>
      <t xml:space="preserve">
</t>
    </r>
    <r>
      <rPr>
        <sz val="10"/>
        <rFont val="Arial"/>
        <family val="2"/>
      </rPr>
      <t>NOTE: Extrapolating curve-fit data beyond the limits for which the curve fit was established can be uncertain. The farther beyond the limits, the greater is the potential for uncertainty. As such, the fully open flow, the Installed Flow and the Installed Gain should be treated as approximations.</t>
    </r>
  </si>
  <si>
    <t>Valve relative travel, h</t>
  </si>
  <si>
    <t>Relative flow Q/Qmax</t>
  </si>
  <si>
    <t>Gain = Delta Q / Delta h</t>
  </si>
  <si>
    <t>Delta Q</t>
  </si>
  <si>
    <t>N_2 *</t>
  </si>
  <si>
    <t>N_6 *</t>
  </si>
  <si>
    <t>* Using anything other than the exact numeric values in Table 1 of ISA S75.01.01 or Table 1 of the author's instructions may result in a logic error in the Mach number calc.</t>
  </si>
  <si>
    <t xml:space="preserve">  For multi-stage globe valves</t>
  </si>
  <si>
    <t>DeltaLg_5</t>
  </si>
  <si>
    <t>Milti-stage globe</t>
  </si>
  <si>
    <t>which incllude all the options for the ISA Standard</t>
  </si>
  <si>
    <t>NOTE: The constants in B53, 54, 55, 57, 61, 63 and 64 are set by formulas in those cells and are based on the unit selection made in Cell B1.</t>
  </si>
  <si>
    <t>** Using anything other than the exact numeric values for FLAG_A may result in a logic error in the valve capacity (C) calc.</t>
  </si>
  <si>
    <t>*** Using anything other than the exact numeric values for FLAG_1 or FLAG_2 may result in a logic error in the noise calculation.</t>
  </si>
  <si>
    <t>**** When the unit selection in B1 is set to 1 (US units), if cell B55 reads "7320" the Standard condition reference temperature is 15C (59F).</t>
  </si>
  <si>
    <t>FLAG_A **</t>
  </si>
  <si>
    <t>FLAG_1 ***</t>
  </si>
  <si>
    <t>FLAG_2 ***</t>
  </si>
  <si>
    <t>Unit selection:</t>
  </si>
  <si>
    <t>Scroll to the right to view the intermediate calculations</t>
  </si>
  <si>
    <t>These Numerical constants are set by the units choises set by the user above the user interface</t>
  </si>
  <si>
    <r>
      <t>1 = US;  2 = SI (C</t>
    </r>
    <r>
      <rPr>
        <vertAlign val="subscript"/>
        <sz val="10"/>
        <rFont val="Arial"/>
        <family val="2"/>
      </rPr>
      <t>v</t>
    </r>
    <r>
      <rPr>
        <sz val="10"/>
        <rFont val="Arial"/>
        <family val="2"/>
      </rPr>
      <t>, bar);  3 = SI (C</t>
    </r>
    <r>
      <rPr>
        <vertAlign val="subscript"/>
        <sz val="10"/>
        <rFont val="Arial"/>
        <family val="2"/>
      </rPr>
      <t>v</t>
    </r>
    <r>
      <rPr>
        <sz val="10"/>
        <rFont val="Arial"/>
        <family val="2"/>
      </rPr>
      <t>, kPa);  4 = SI (K</t>
    </r>
    <r>
      <rPr>
        <vertAlign val="subscript"/>
        <sz val="10"/>
        <rFont val="Arial"/>
        <family val="2"/>
      </rPr>
      <t>v</t>
    </r>
    <r>
      <rPr>
        <sz val="10"/>
        <rFont val="Arial"/>
        <family val="2"/>
      </rPr>
      <t>, bar);  5 = SI (K</t>
    </r>
    <r>
      <rPr>
        <vertAlign val="subscript"/>
        <sz val="10"/>
        <rFont val="Arial"/>
        <family val="2"/>
      </rPr>
      <t>v</t>
    </r>
    <r>
      <rPr>
        <sz val="10"/>
        <rFont val="Arial"/>
        <family val="2"/>
      </rPr>
      <t>, kPa)</t>
    </r>
  </si>
  <si>
    <t>1=psiA, deg R, 2=bar, deg K, 3=kPa, deg K</t>
  </si>
  <si>
    <t>CONTROL VALVE SIZING: STEAM or VAPOR - Mass flow</t>
  </si>
  <si>
    <t>Intermediate calculations</t>
  </si>
  <si>
    <t>CALCULATED IN COLUMN "O"</t>
  </si>
  <si>
    <t>Valve Cv/Valve size squared</t>
  </si>
  <si>
    <t>Cv_over_d_Sq</t>
  </si>
  <si>
    <t xml:space="preserve">where Kv has been converted to Cv if the worksheet has been </t>
  </si>
  <si>
    <t>to inch if the worksheet has been configured for mm.</t>
  </si>
  <si>
    <t>The value of "Cv_over_d_Sq" is calculated from the Valve Sizing tab (S, T, U, V397)</t>
  </si>
  <si>
    <t>configured for Kv and valve size (S414, which is named "d_in") in mm has been converted</t>
  </si>
  <si>
    <t xml:space="preserve">For initial  calculations (before </t>
  </si>
  <si>
    <t xml:space="preserve">the Cv is known), consider using </t>
  </si>
  <si>
    <r>
      <t>the x</t>
    </r>
    <r>
      <rPr>
        <vertAlign val="subscript"/>
        <sz val="10"/>
        <rFont val="Arial"/>
        <family val="2"/>
      </rPr>
      <t>T</t>
    </r>
    <r>
      <rPr>
        <sz val="10"/>
        <rFont val="Arial"/>
        <family val="2"/>
      </rPr>
      <t xml:space="preserve"> values listed below.</t>
    </r>
  </si>
  <si>
    <t xml:space="preserve">Minimum </t>
  </si>
  <si>
    <t>Maximum</t>
  </si>
  <si>
    <r>
      <t>Typical x</t>
    </r>
    <r>
      <rPr>
        <b/>
        <vertAlign val="subscript"/>
        <sz val="14"/>
        <rFont val="Arial"/>
        <family val="2"/>
      </rPr>
      <t>T</t>
    </r>
    <r>
      <rPr>
        <sz val="10"/>
        <rFont val="Arial"/>
        <family val="2"/>
      </rPr>
      <t xml:space="preserve"> values based on the Cv reported on Line </t>
    </r>
    <r>
      <rPr>
        <sz val="10"/>
        <color rgb="FFFF0000"/>
        <rFont val="Arial"/>
        <family val="2"/>
      </rPr>
      <t>17</t>
    </r>
    <r>
      <rPr>
        <sz val="10"/>
        <rFont val="Arial"/>
        <family val="2"/>
      </rPr>
      <t xml:space="preserve"> of the </t>
    </r>
  </si>
  <si>
    <r>
      <t xml:space="preserve">Valve Sizing tab for the valve size entered in </t>
    </r>
    <r>
      <rPr>
        <sz val="10"/>
        <color rgb="FFFF0000"/>
        <rFont val="Arial"/>
        <family val="2"/>
      </rPr>
      <t>D14</t>
    </r>
    <r>
      <rPr>
        <sz val="10"/>
        <rFont val="Arial"/>
        <family val="2"/>
      </rPr>
      <t xml:space="preserve"> of the Valve Sizing tab.       </t>
    </r>
  </si>
  <si>
    <r>
      <t>Choked press drop ratio factor, x</t>
    </r>
    <r>
      <rPr>
        <b/>
        <vertAlign val="subscript"/>
        <sz val="11"/>
        <rFont val="Arial"/>
        <family val="2"/>
      </rPr>
      <t>T</t>
    </r>
  </si>
  <si>
    <t>Globe, 4 port cage</t>
  </si>
  <si>
    <t>Globe, Parabolic plug</t>
  </si>
  <si>
    <r>
      <t>Conversion from specific gravity</t>
    </r>
    <r>
      <rPr>
        <b/>
        <sz val="10"/>
        <color theme="1"/>
        <rFont val="Arial"/>
        <family val="2"/>
      </rPr>
      <t xml:space="preserve"> to Molecular Mass:</t>
    </r>
  </si>
  <si>
    <t>Case 1</t>
  </si>
  <si>
    <t>Case 2</t>
  </si>
  <si>
    <t>Case 3</t>
  </si>
  <si>
    <t>Case 4</t>
  </si>
  <si>
    <t>Specific gravity</t>
  </si>
  <si>
    <t>G_</t>
  </si>
  <si>
    <t xml:space="preserve">  Molecular Mass</t>
  </si>
  <si>
    <t>Z_</t>
  </si>
  <si>
    <r>
      <t xml:space="preserve">  Density (kg/m</t>
    </r>
    <r>
      <rPr>
        <vertAlign val="superscript"/>
        <sz val="10"/>
        <color theme="1"/>
        <rFont val="Arial"/>
        <family val="2"/>
      </rPr>
      <t>3</t>
    </r>
    <r>
      <rPr>
        <sz val="10"/>
        <rFont val="Arial"/>
        <family val="2"/>
      </rPr>
      <t>)</t>
    </r>
  </si>
  <si>
    <r>
      <t xml:space="preserve">  Density (lbm/ft</t>
    </r>
    <r>
      <rPr>
        <vertAlign val="superscript"/>
        <sz val="10"/>
        <color theme="1"/>
        <rFont val="Arial"/>
        <family val="2"/>
      </rPr>
      <t>3</t>
    </r>
    <r>
      <rPr>
        <sz val="10"/>
        <rFont val="Arial"/>
        <family val="2"/>
      </rPr>
      <t>)</t>
    </r>
  </si>
  <si>
    <t>T_1..L</t>
  </si>
  <si>
    <t>P_1..L</t>
  </si>
  <si>
    <t>Pa</t>
  </si>
  <si>
    <t>K</t>
  </si>
  <si>
    <t xml:space="preserve">  Molecular mass</t>
  </si>
  <si>
    <t>Inlet pressure converted to Pa (Pascal)</t>
  </si>
  <si>
    <t>Inlet temperature coverted to Kelvin</t>
  </si>
  <si>
    <r>
      <t xml:space="preserve">Conversion from Molecular Mass, Inlet Pressure and Temperature given on the Valve Sizing tab to </t>
    </r>
    <r>
      <rPr>
        <b/>
        <i/>
        <sz val="12"/>
        <color theme="1"/>
        <rFont val="Arial"/>
        <family val="2"/>
      </rPr>
      <t>Density</t>
    </r>
  </si>
  <si>
    <r>
      <t>Compressibility factor (Z)</t>
    </r>
    <r>
      <rPr>
        <b/>
        <sz val="12"/>
        <color rgb="FFFF0000"/>
        <rFont val="Arial"/>
        <family val="2"/>
      </rPr>
      <t>*</t>
    </r>
  </si>
  <si>
    <t>Molecular mass*</t>
  </si>
  <si>
    <t>*The Molecular mass entry is only used in the</t>
  </si>
  <si>
    <r>
      <t xml:space="preserve">Conversion from Density, Inlet Pressure and Temperature given in </t>
    </r>
    <r>
      <rPr>
        <b/>
        <u/>
        <sz val="10"/>
        <color theme="1"/>
        <rFont val="Arial"/>
        <family val="2"/>
      </rPr>
      <t>Column D</t>
    </r>
    <r>
      <rPr>
        <b/>
        <sz val="10"/>
        <color theme="1"/>
        <rFont val="Arial"/>
        <family val="2"/>
      </rPr>
      <t xml:space="preserve"> on the Valve Sizing tab to</t>
    </r>
    <r>
      <rPr>
        <b/>
        <i/>
        <sz val="12"/>
        <color theme="1"/>
        <rFont val="Arial"/>
        <family val="2"/>
      </rPr>
      <t xml:space="preserve"> Molecular Mass</t>
    </r>
  </si>
  <si>
    <r>
      <rPr>
        <b/>
        <sz val="12"/>
        <color rgb="FFFF0000"/>
        <rFont val="Arial"/>
        <family val="2"/>
      </rPr>
      <t>*</t>
    </r>
    <r>
      <rPr>
        <sz val="10"/>
        <color rgb="FFFF0000"/>
        <rFont val="Arial"/>
        <family val="2"/>
      </rPr>
      <t xml:space="preserve">Use 1.00 if compressibility factor is unknown. Using a compressibility factor of 1.0 </t>
    </r>
  </si>
  <si>
    <t>will result in calculated density or molecular mass above to be an approximation.</t>
  </si>
  <si>
    <t>This tab calculates Molecular mass from Specific gravity or from Valve Sizing tab process data. It also calculates Density from Valve Sizing tab data and Compressibility factor.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</si>
</sst>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0000"/>
    <numFmt numFmtId="165" formatCode="0.0"/>
    <numFmt numFmtId="166" formatCode="00000"/>
    <numFmt numFmtId="167" formatCode="#,##0.0000"/>
    <numFmt numFmtId="168" formatCode="0.000"/>
  </numFmts>
  <fonts count="62" x14ac:knownFonts="1">
    <font>
      <sz val="10"/>
      <name val="Arial"/>
    </font>
    <font>
      <sz val="10"/>
      <color theme="1"/>
      <name val="Arial"/>
      <family val="2"/>
    </font>
    <font>
      <sz val="11"/>
      <color theme="1"/>
      <name val="Calibri"/>
      <family val="2"/>
      <scheme val="minor"/>
    </font>
    <font>
      <sz val="10"/>
      <color indexed="8"/>
      <name val="Arial"/>
      <family val="2"/>
    </font>
    <font>
      <b/>
      <sz val="10"/>
      <color indexed="8"/>
      <name val="Arial"/>
      <family val="2"/>
    </font>
    <font>
      <sz val="10"/>
      <name val="Arial"/>
      <family val="2"/>
    </font>
    <font>
      <sz val="11"/>
      <name val="Calibri"/>
      <family val="2"/>
    </font>
    <font>
      <sz val="10"/>
      <color indexed="17"/>
      <name val="Arial"/>
      <family val="2"/>
    </font>
    <font>
      <sz val="10"/>
      <name val="Arial"/>
      <family val="2"/>
    </font>
    <font>
      <sz val="12"/>
      <name val="Arial"/>
      <family val="2"/>
    </font>
    <font>
      <b/>
      <sz val="10"/>
      <name val="Arial"/>
      <family val="2"/>
    </font>
    <font>
      <b/>
      <sz val="12"/>
      <color rgb="FFFF0000"/>
      <name val="Arial"/>
      <family val="2"/>
    </font>
    <font>
      <sz val="10"/>
      <color rgb="FFFF0000"/>
      <name val="Arial"/>
      <family val="2"/>
    </font>
    <font>
      <sz val="11"/>
      <name val="Calibri"/>
      <family val="2"/>
      <scheme val="minor"/>
    </font>
    <font>
      <vertAlign val="subscript"/>
      <sz val="10"/>
      <name val="Arial"/>
      <family val="2"/>
    </font>
    <font>
      <b/>
      <sz val="10"/>
      <color rgb="FF003366"/>
      <name val="Arial"/>
      <family val="2"/>
    </font>
    <font>
      <b/>
      <sz val="11"/>
      <name val="Arial"/>
      <family val="2"/>
    </font>
    <font>
      <b/>
      <sz val="11"/>
      <name val="Calibri"/>
      <family val="2"/>
    </font>
    <font>
      <sz val="12"/>
      <color rgb="FF009900"/>
      <name val="Arial"/>
      <family val="2"/>
    </font>
    <font>
      <b/>
      <sz val="12"/>
      <color rgb="FF009900"/>
      <name val="Arial"/>
      <family val="2"/>
    </font>
    <font>
      <vertAlign val="subscript"/>
      <sz val="10"/>
      <color indexed="8"/>
      <name val="Arial"/>
      <family val="2"/>
    </font>
    <font>
      <b/>
      <vertAlign val="subscript"/>
      <sz val="10"/>
      <name val="Arial"/>
      <family val="2"/>
    </font>
    <font>
      <b/>
      <vertAlign val="subscript"/>
      <sz val="12"/>
      <color indexed="8"/>
      <name val="Arial"/>
      <family val="2"/>
    </font>
    <font>
      <vertAlign val="subscript"/>
      <sz val="14"/>
      <name val="Arial"/>
      <family val="2"/>
    </font>
    <font>
      <sz val="10"/>
      <color rgb="FF00B050"/>
      <name val="Arial"/>
      <family val="2"/>
    </font>
    <font>
      <sz val="11"/>
      <color rgb="FF00B050"/>
      <name val="Calibri"/>
      <family val="2"/>
    </font>
    <font>
      <sz val="11"/>
      <color rgb="FFFF0000"/>
      <name val="Calibri"/>
      <family val="2"/>
    </font>
    <font>
      <sz val="9"/>
      <name val="Arial"/>
      <family val="2"/>
    </font>
    <font>
      <sz val="8"/>
      <name val="Arial"/>
      <family val="2"/>
    </font>
    <font>
      <b/>
      <sz val="9"/>
      <color indexed="8"/>
      <name val="Arial"/>
      <family val="2"/>
    </font>
    <font>
      <b/>
      <sz val="8"/>
      <color indexed="8"/>
      <name val="Arial"/>
      <family val="2"/>
    </font>
    <font>
      <b/>
      <sz val="12"/>
      <name val="Arial"/>
      <family val="2"/>
    </font>
    <font>
      <b/>
      <sz val="10"/>
      <color rgb="FF0000CC"/>
      <name val="Arial"/>
      <family val="2"/>
    </font>
    <font>
      <sz val="10"/>
      <color rgb="FF0000CC"/>
      <name val="Arial"/>
      <family val="2"/>
    </font>
    <font>
      <sz val="10"/>
      <name val="Arial"/>
      <family val="2"/>
    </font>
    <font>
      <sz val="10"/>
      <color indexed="8"/>
      <name val="Arial"/>
      <family val="2"/>
    </font>
    <font>
      <sz val="8"/>
      <color indexed="8"/>
      <name val="Arial"/>
      <family val="2"/>
    </font>
    <font>
      <b/>
      <sz val="10"/>
      <color indexed="8"/>
      <name val="Arial"/>
      <family val="2"/>
    </font>
    <font>
      <b/>
      <sz val="10"/>
      <color indexed="56"/>
      <name val="Arial"/>
      <family val="2"/>
    </font>
    <font>
      <b/>
      <sz val="10"/>
      <name val="Arial"/>
      <family val="2"/>
    </font>
    <font>
      <sz val="9"/>
      <color indexed="8"/>
      <name val="Arial"/>
      <family val="2"/>
    </font>
    <font>
      <sz val="9"/>
      <color indexed="8"/>
      <name val="Calibri"/>
      <family val="2"/>
    </font>
    <font>
      <sz val="10"/>
      <color theme="1"/>
      <name val="Arial"/>
      <family val="2"/>
    </font>
    <font>
      <sz val="10"/>
      <color rgb="FFFF0000"/>
      <name val="Arial"/>
      <family val="2"/>
    </font>
    <font>
      <sz val="11"/>
      <name val="Calibri"/>
      <family val="2"/>
    </font>
    <font>
      <b/>
      <sz val="10"/>
      <color rgb="FFFF0000"/>
      <name val="Arial"/>
      <family val="2"/>
    </font>
    <font>
      <sz val="10"/>
      <color indexed="8"/>
      <name val="Calibri"/>
      <family val="2"/>
    </font>
    <font>
      <b/>
      <sz val="12"/>
      <color rgb="FFFF0000"/>
      <name val="Arial"/>
      <family val="2"/>
    </font>
    <font>
      <sz val="11"/>
      <color indexed="8"/>
      <name val="Arial"/>
      <family val="2"/>
    </font>
    <font>
      <sz val="10"/>
      <color rgb="FFFFC000"/>
      <name val="Arial"/>
      <family val="2"/>
    </font>
    <font>
      <sz val="11"/>
      <color rgb="FFFF0000"/>
      <name val="Arial"/>
      <family val="2"/>
    </font>
    <font>
      <sz val="11"/>
      <name val="Calibri"/>
      <family val="2"/>
      <scheme val="minor"/>
    </font>
    <font>
      <b/>
      <sz val="10"/>
      <color theme="1"/>
      <name val="Arial"/>
      <family val="2"/>
    </font>
    <font>
      <b/>
      <sz val="14"/>
      <name val="Arial"/>
      <family val="2"/>
    </font>
    <font>
      <b/>
      <vertAlign val="subscript"/>
      <sz val="14"/>
      <name val="Arial"/>
      <family val="2"/>
    </font>
    <font>
      <b/>
      <vertAlign val="subscript"/>
      <sz val="11"/>
      <name val="Arial"/>
      <family val="2"/>
    </font>
    <font>
      <sz val="11"/>
      <name val="Arial"/>
      <family val="2"/>
    </font>
    <font>
      <sz val="11"/>
      <color rgb="FF000000"/>
      <name val="Arial"/>
      <family val="2"/>
    </font>
    <font>
      <b/>
      <i/>
      <sz val="12"/>
      <color theme="1"/>
      <name val="Arial"/>
      <family val="2"/>
    </font>
    <font>
      <vertAlign val="superscript"/>
      <sz val="10"/>
      <color theme="1"/>
      <name val="Arial"/>
      <family val="2"/>
    </font>
    <font>
      <b/>
      <u/>
      <sz val="10"/>
      <color theme="1"/>
      <name val="Arial"/>
      <family val="2"/>
    </font>
    <font>
      <sz val="11"/>
      <color rgb="FFFFC000"/>
      <name val="Arial"/>
      <family val="2"/>
    </font>
  </fonts>
  <fills count="12">
    <fill>
      <patternFill patternType="none"/>
    </fill>
    <fill>
      <patternFill patternType="gray125"/>
    </fill>
    <fill>
      <patternFill patternType="solid">
        <fgColor indexed="42"/>
      </patternFill>
    </fill>
    <fill>
      <patternFill patternType="solid">
        <fgColor rgb="FFFFFFCC"/>
      </patternFill>
    </fill>
    <fill>
      <patternFill patternType="solid">
        <fgColor theme="8" tint="0.59999389629810485"/>
        <bgColor indexed="65"/>
      </patternFill>
    </fill>
    <fill>
      <patternFill patternType="solid">
        <fgColor rgb="FFFFC000"/>
        <bgColor indexed="64"/>
      </patternFill>
    </fill>
    <fill>
      <patternFill patternType="solid">
        <fgColor theme="0" tint="-4.9989318521683403E-2"/>
        <bgColor indexed="64"/>
      </patternFill>
    </fill>
    <fill>
      <patternFill patternType="solid">
        <fgColor theme="8" tint="0.59996337778862885"/>
        <bgColor indexed="64"/>
      </patternFill>
    </fill>
    <fill>
      <patternFill patternType="solid">
        <fgColor rgb="FFB6DDE8"/>
        <bgColor indexed="64"/>
      </patternFill>
    </fill>
    <fill>
      <patternFill patternType="solid">
        <fgColor theme="0"/>
        <bgColor indexed="64"/>
      </patternFill>
    </fill>
    <fill>
      <patternFill patternType="solid">
        <fgColor theme="0" tint="-0.14996795556505021"/>
        <bgColor indexed="64"/>
      </patternFill>
    </fill>
    <fill>
      <patternFill patternType="solid">
        <fgColor rgb="FFB7DEE8"/>
        <bgColor indexed="64"/>
      </patternFill>
    </fill>
  </fills>
  <borders count="74">
    <border>
      <left/>
      <right/>
      <top/>
      <bottom/>
      <diagonal/>
    </border>
    <border>
      <left/>
      <right/>
      <top/>
      <bottom style="thick">
        <color indexed="64"/>
      </bottom>
      <diagonal/>
    </border>
    <border>
      <left style="thin">
        <color rgb="FFB2B2B2"/>
      </left>
      <right style="thin">
        <color rgb="FFB2B2B2"/>
      </right>
      <top style="thin">
        <color rgb="FFB2B2B2"/>
      </top>
      <bottom style="thin">
        <color rgb="FFB2B2B2"/>
      </bottom>
      <diagonal/>
    </border>
    <border>
      <left style="double">
        <color auto="1"/>
      </left>
      <right/>
      <top style="double">
        <color auto="1"/>
      </top>
      <bottom/>
      <diagonal/>
    </border>
    <border>
      <left/>
      <right/>
      <top style="double">
        <color auto="1"/>
      </top>
      <bottom/>
      <diagonal/>
    </border>
    <border>
      <left/>
      <right style="double">
        <color auto="1"/>
      </right>
      <top style="double">
        <color auto="1"/>
      </top>
      <bottom/>
      <diagonal/>
    </border>
    <border>
      <left style="double">
        <color auto="1"/>
      </left>
      <right/>
      <top/>
      <bottom/>
      <diagonal/>
    </border>
    <border>
      <left/>
      <right style="double">
        <color auto="1"/>
      </right>
      <top/>
      <bottom/>
      <diagonal/>
    </border>
    <border>
      <left style="double">
        <color auto="1"/>
      </left>
      <right/>
      <top/>
      <bottom style="double">
        <color auto="1"/>
      </bottom>
      <diagonal/>
    </border>
    <border>
      <left/>
      <right/>
      <top/>
      <bottom style="double">
        <color auto="1"/>
      </bottom>
      <diagonal/>
    </border>
    <border>
      <left style="thin">
        <color rgb="FFB2B2B2"/>
      </left>
      <right style="double">
        <color auto="1"/>
      </right>
      <top/>
      <bottom style="double">
        <color auto="1"/>
      </bottom>
      <diagonal/>
    </border>
    <border>
      <left/>
      <right/>
      <top/>
      <bottom style="thin">
        <color auto="1"/>
      </bottom>
      <diagonal/>
    </border>
    <border>
      <left/>
      <right style="double">
        <color auto="1"/>
      </right>
      <top/>
      <bottom style="thin">
        <color auto="1"/>
      </bottom>
      <diagonal/>
    </border>
    <border>
      <left/>
      <right style="double">
        <color auto="1"/>
      </right>
      <top/>
      <bottom style="double">
        <color auto="1"/>
      </bottom>
      <diagonal/>
    </border>
    <border>
      <left style="thick">
        <color auto="1"/>
      </left>
      <right/>
      <top style="thick">
        <color auto="1"/>
      </top>
      <bottom/>
      <diagonal/>
    </border>
    <border>
      <left/>
      <right/>
      <top style="thick">
        <color auto="1"/>
      </top>
      <bottom/>
      <diagonal/>
    </border>
    <border>
      <left/>
      <right style="thick">
        <color auto="1"/>
      </right>
      <top style="thick">
        <color auto="1"/>
      </top>
      <bottom/>
      <diagonal/>
    </border>
    <border>
      <left style="thick">
        <color auto="1"/>
      </left>
      <right/>
      <top/>
      <bottom/>
      <diagonal/>
    </border>
    <border>
      <left/>
      <right style="thick">
        <color auto="1"/>
      </right>
      <top/>
      <bottom/>
      <diagonal/>
    </border>
    <border>
      <left style="thick">
        <color auto="1"/>
      </left>
      <right/>
      <top/>
      <bottom style="thick">
        <color auto="1"/>
      </bottom>
      <diagonal/>
    </border>
    <border>
      <left/>
      <right style="thick">
        <color auto="1"/>
      </right>
      <top/>
      <bottom style="thick">
        <color auto="1"/>
      </bottom>
      <diagonal/>
    </border>
    <border>
      <left style="double">
        <color auto="1"/>
      </left>
      <right/>
      <top style="double">
        <color auto="1"/>
      </top>
      <bottom style="thick">
        <color auto="1"/>
      </bottom>
      <diagonal/>
    </border>
    <border>
      <left/>
      <right/>
      <top style="double">
        <color auto="1"/>
      </top>
      <bottom style="thick">
        <color auto="1"/>
      </bottom>
      <diagonal/>
    </border>
    <border>
      <left/>
      <right style="double">
        <color auto="1"/>
      </right>
      <top style="double">
        <color auto="1"/>
      </top>
      <bottom style="thick">
        <color auto="1"/>
      </bottom>
      <diagonal/>
    </border>
    <border>
      <left style="double">
        <color auto="1"/>
      </left>
      <right style="thick">
        <color auto="1"/>
      </right>
      <top style="thick">
        <color auto="1"/>
      </top>
      <bottom style="thin">
        <color auto="1"/>
      </bottom>
      <diagonal/>
    </border>
    <border>
      <left style="thick">
        <color auto="1"/>
      </left>
      <right/>
      <top style="thick">
        <color auto="1"/>
      </top>
      <bottom style="thin">
        <color auto="1"/>
      </bottom>
      <diagonal/>
    </border>
    <border>
      <left/>
      <right style="thin">
        <color auto="1"/>
      </right>
      <top style="thick">
        <color auto="1"/>
      </top>
      <bottom style="thin">
        <color auto="1"/>
      </bottom>
      <diagonal/>
    </border>
    <border>
      <left style="double">
        <color auto="1"/>
      </left>
      <right style="thick">
        <color auto="1"/>
      </right>
      <top/>
      <bottom style="thick">
        <color auto="1"/>
      </bottom>
      <diagonal/>
    </border>
    <border>
      <left style="thick">
        <color auto="1"/>
      </left>
      <right style="thin">
        <color auto="1"/>
      </right>
      <top style="thin">
        <color auto="1"/>
      </top>
      <bottom style="thick">
        <color auto="1"/>
      </bottom>
      <diagonal/>
    </border>
    <border>
      <left style="double">
        <color auto="1"/>
      </left>
      <right style="thick">
        <color auto="1"/>
      </right>
      <top style="thick">
        <color auto="1"/>
      </top>
      <bottom style="medium">
        <color auto="1"/>
      </bottom>
      <diagonal/>
    </border>
    <border>
      <left style="thick">
        <color auto="1"/>
      </left>
      <right style="thin">
        <color auto="1"/>
      </right>
      <top style="thick">
        <color auto="1"/>
      </top>
      <bottom style="medium">
        <color auto="1"/>
      </bottom>
      <diagonal/>
    </border>
    <border>
      <left style="thin">
        <color auto="1"/>
      </left>
      <right style="thin">
        <color auto="1"/>
      </right>
      <top style="thick">
        <color auto="1"/>
      </top>
      <bottom style="medium">
        <color auto="1"/>
      </bottom>
      <diagonal/>
    </border>
    <border>
      <left style="thin">
        <color auto="1"/>
      </left>
      <right/>
      <top style="thick">
        <color auto="1"/>
      </top>
      <bottom style="medium">
        <color auto="1"/>
      </bottom>
      <diagonal/>
    </border>
    <border>
      <left/>
      <right style="thin">
        <color auto="1"/>
      </right>
      <top style="thick">
        <color auto="1"/>
      </top>
      <bottom style="medium">
        <color auto="1"/>
      </bottom>
      <diagonal/>
    </border>
    <border>
      <left/>
      <right style="double">
        <color auto="1"/>
      </right>
      <top style="thick">
        <color auto="1"/>
      </top>
      <bottom style="medium">
        <color auto="1"/>
      </bottom>
      <diagonal/>
    </border>
    <border>
      <left style="double">
        <color auto="1"/>
      </left>
      <right style="thick">
        <color auto="1"/>
      </right>
      <top/>
      <bottom style="thin">
        <color auto="1"/>
      </bottom>
      <diagonal/>
    </border>
    <border>
      <left style="thick">
        <color auto="1"/>
      </left>
      <right style="thin">
        <color auto="1"/>
      </right>
      <top/>
      <bottom style="thin">
        <color auto="1"/>
      </bottom>
      <diagonal/>
    </border>
    <border>
      <left style="thin">
        <color auto="1"/>
      </left>
      <right style="thin">
        <color auto="1"/>
      </right>
      <top/>
      <bottom style="thin">
        <color auto="1"/>
      </bottom>
      <diagonal/>
    </border>
    <border>
      <left style="thin">
        <color auto="1"/>
      </left>
      <right/>
      <top/>
      <bottom style="thin">
        <color auto="1"/>
      </bottom>
      <diagonal/>
    </border>
    <border>
      <left/>
      <right style="thin">
        <color auto="1"/>
      </right>
      <top/>
      <bottom style="thin">
        <color auto="1"/>
      </bottom>
      <diagonal/>
    </border>
    <border>
      <left style="double">
        <color auto="1"/>
      </left>
      <right style="thick">
        <color auto="1"/>
      </right>
      <top/>
      <bottom style="double">
        <color auto="1"/>
      </bottom>
      <diagonal/>
    </border>
    <border>
      <left style="thick">
        <color auto="1"/>
      </left>
      <right style="thin">
        <color auto="1"/>
      </right>
      <top/>
      <bottom style="double">
        <color auto="1"/>
      </bottom>
      <diagonal/>
    </border>
    <border>
      <left style="thin">
        <color auto="1"/>
      </left>
      <right style="thin">
        <color auto="1"/>
      </right>
      <top/>
      <bottom style="double">
        <color auto="1"/>
      </bottom>
      <diagonal/>
    </border>
    <border>
      <left style="thin">
        <color auto="1"/>
      </left>
      <right/>
      <top/>
      <bottom style="double">
        <color auto="1"/>
      </bottom>
      <diagonal/>
    </border>
    <border>
      <left/>
      <right style="thin">
        <color auto="1"/>
      </right>
      <top/>
      <bottom style="double">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style="thick">
        <color auto="1"/>
      </right>
      <top style="thick">
        <color auto="1"/>
      </top>
      <bottom style="medium">
        <color auto="1"/>
      </bottom>
      <diagonal/>
    </border>
    <border>
      <left style="thick">
        <color auto="1"/>
      </left>
      <right style="thin">
        <color auto="1"/>
      </right>
      <top/>
      <bottom style="thick">
        <color auto="1"/>
      </bottom>
      <diagonal/>
    </border>
    <border>
      <left/>
      <right style="thin">
        <color auto="1"/>
      </right>
      <top style="medium">
        <color auto="1"/>
      </top>
      <bottom style="thick">
        <color auto="1"/>
      </bottom>
      <diagonal/>
    </border>
    <border>
      <left style="thin">
        <color auto="1"/>
      </left>
      <right style="thin">
        <color auto="1"/>
      </right>
      <top style="medium">
        <color auto="1"/>
      </top>
      <bottom style="thick">
        <color auto="1"/>
      </bottom>
      <diagonal/>
    </border>
    <border>
      <left style="thin">
        <color auto="1"/>
      </left>
      <right style="thick">
        <color auto="1"/>
      </right>
      <top style="medium">
        <color auto="1"/>
      </top>
      <bottom style="thick">
        <color auto="1"/>
      </bottom>
      <diagonal/>
    </border>
    <border>
      <left style="thin">
        <color auto="1"/>
      </left>
      <right style="thin">
        <color auto="1"/>
      </right>
      <top style="thin">
        <color auto="1"/>
      </top>
      <bottom style="thin">
        <color auto="1"/>
      </bottom>
      <diagonal/>
    </border>
    <border>
      <left style="thick">
        <color auto="1"/>
      </left>
      <right style="thin">
        <color auto="1"/>
      </right>
      <top/>
      <bottom/>
      <diagonal/>
    </border>
    <border>
      <left style="thin">
        <color auto="1"/>
      </left>
      <right/>
      <top/>
      <bottom/>
      <diagonal/>
    </border>
    <border>
      <left/>
      <right style="thin">
        <color auto="1"/>
      </right>
      <top/>
      <bottom/>
      <diagonal/>
    </border>
    <border>
      <left/>
      <right style="thick">
        <color auto="1"/>
      </right>
      <top/>
      <bottom style="thin">
        <color auto="1"/>
      </bottom>
      <diagonal/>
    </border>
    <border>
      <left/>
      <right style="thick">
        <color auto="1"/>
      </right>
      <top style="thin">
        <color auto="1"/>
      </top>
      <bottom/>
      <diagonal/>
    </border>
    <border>
      <left style="thick">
        <color auto="1"/>
      </left>
      <right style="thin">
        <color auto="1"/>
      </right>
      <top style="thin">
        <color auto="1"/>
      </top>
      <bottom style="thin">
        <color auto="1"/>
      </bottom>
      <diagonal/>
    </border>
    <border>
      <left style="thin">
        <color auto="1"/>
      </left>
      <right style="thick">
        <color auto="1"/>
      </right>
      <top style="thin">
        <color auto="1"/>
      </top>
      <bottom style="thin">
        <color auto="1"/>
      </bottom>
      <diagonal/>
    </border>
    <border>
      <left style="thick">
        <color auto="1"/>
      </left>
      <right style="thin">
        <color auto="1"/>
      </right>
      <top style="thick">
        <color auto="1"/>
      </top>
      <bottom style="thin">
        <color auto="1"/>
      </bottom>
      <diagonal/>
    </border>
    <border>
      <left style="thin">
        <color auto="1"/>
      </left>
      <right style="thin">
        <color auto="1"/>
      </right>
      <top style="thick">
        <color auto="1"/>
      </top>
      <bottom style="thin">
        <color auto="1"/>
      </bottom>
      <diagonal/>
    </border>
    <border>
      <left style="thin">
        <color auto="1"/>
      </left>
      <right style="thick">
        <color auto="1"/>
      </right>
      <top style="thick">
        <color auto="1"/>
      </top>
      <bottom style="thin">
        <color auto="1"/>
      </bottom>
      <diagonal/>
    </border>
    <border>
      <left style="thin">
        <color auto="1"/>
      </left>
      <right style="thin">
        <color auto="1"/>
      </right>
      <top style="thin">
        <color auto="1"/>
      </top>
      <bottom style="thick">
        <color auto="1"/>
      </bottom>
      <diagonal/>
    </border>
    <border>
      <left style="thin">
        <color auto="1"/>
      </left>
      <right style="thick">
        <color auto="1"/>
      </right>
      <top style="thin">
        <color auto="1"/>
      </top>
      <bottom style="thick">
        <color auto="1"/>
      </bottom>
      <diagonal/>
    </border>
    <border>
      <left style="thick">
        <color auto="1"/>
      </left>
      <right style="thick">
        <color auto="1"/>
      </right>
      <top style="thick">
        <color auto="1"/>
      </top>
      <bottom/>
      <diagonal/>
    </border>
    <border>
      <left style="thick">
        <color auto="1"/>
      </left>
      <right style="thick">
        <color auto="1"/>
      </right>
      <top/>
      <bottom/>
      <diagonal/>
    </border>
    <border>
      <left style="thick">
        <color auto="1"/>
      </left>
      <right style="thick">
        <color auto="1"/>
      </right>
      <top/>
      <bottom style="thick">
        <color auto="1"/>
      </bottom>
      <diagonal/>
    </border>
    <border>
      <left style="thick">
        <color auto="1"/>
      </left>
      <right style="thick">
        <color auto="1"/>
      </right>
      <top style="thick">
        <color auto="1"/>
      </top>
      <bottom style="thick">
        <color auto="1"/>
      </bottom>
      <diagonal/>
    </border>
    <border>
      <left style="thin">
        <color auto="1"/>
      </left>
      <right/>
      <top style="thick">
        <color auto="1"/>
      </top>
      <bottom style="thin">
        <color auto="1"/>
      </bottom>
      <diagonal/>
    </border>
    <border>
      <left style="thin">
        <color auto="1"/>
      </left>
      <right/>
      <top style="thin">
        <color auto="1"/>
      </top>
      <bottom style="thin">
        <color auto="1"/>
      </bottom>
      <diagonal/>
    </border>
    <border>
      <left style="thin">
        <color auto="1"/>
      </left>
      <right/>
      <top style="thin">
        <color auto="1"/>
      </top>
      <bottom style="thick">
        <color auto="1"/>
      </bottom>
      <diagonal/>
    </border>
    <border>
      <left/>
      <right/>
      <top/>
      <bottom style="medium">
        <color auto="1"/>
      </bottom>
      <diagonal/>
    </border>
  </borders>
  <cellStyleXfs count="6">
    <xf numFmtId="0" fontId="0" fillId="0" borderId="0"/>
    <xf numFmtId="0" fontId="7" fillId="2" borderId="0" applyNumberFormat="0" applyBorder="0" applyAlignment="0" applyProtection="0"/>
    <xf numFmtId="0" fontId="8" fillId="3" borderId="2" applyNumberFormat="0" applyFont="0" applyAlignment="0" applyProtection="0"/>
    <xf numFmtId="0" fontId="2" fillId="4" borderId="0" applyNumberFormat="0" applyBorder="0" applyAlignment="0" applyProtection="0"/>
    <xf numFmtId="0" fontId="9" fillId="0" borderId="0"/>
    <xf numFmtId="0" fontId="3" fillId="0" borderId="0"/>
  </cellStyleXfs>
  <cellXfs count="346">
    <xf numFmtId="0" fontId="0" fillId="0" borderId="0" xfId="0"/>
    <xf numFmtId="0" fontId="0" fillId="0" borderId="0" xfId="0"/>
    <xf numFmtId="0" fontId="3" fillId="0" borderId="0" xfId="0" applyFont="1"/>
    <xf numFmtId="0" fontId="4" fillId="0" borderId="0" xfId="0" applyFont="1"/>
    <xf numFmtId="164" fontId="3" fillId="0" borderId="0" xfId="0" applyNumberFormat="1" applyFont="1"/>
    <xf numFmtId="0" fontId="3" fillId="0" borderId="1" xfId="0" applyFont="1" applyBorder="1"/>
    <xf numFmtId="164" fontId="4" fillId="0" borderId="1" xfId="0" applyNumberFormat="1" applyFont="1" applyBorder="1"/>
    <xf numFmtId="0" fontId="5" fillId="0" borderId="0" xfId="0" applyFont="1"/>
    <xf numFmtId="164" fontId="5" fillId="0" borderId="0" xfId="0" applyNumberFormat="1" applyFont="1"/>
    <xf numFmtId="0" fontId="10" fillId="0" borderId="0" xfId="0" applyFont="1"/>
    <xf numFmtId="0" fontId="13" fillId="0" borderId="0" xfId="0" applyFont="1"/>
    <xf numFmtId="0" fontId="5" fillId="0" borderId="0" xfId="0" applyFont="1" applyAlignment="1">
      <alignment horizontal="right"/>
    </xf>
    <xf numFmtId="0" fontId="0" fillId="0" borderId="0" xfId="0" applyBorder="1"/>
    <xf numFmtId="0" fontId="17" fillId="0" borderId="0" xfId="0" applyFont="1"/>
    <xf numFmtId="0" fontId="5" fillId="0" borderId="0" xfId="0" applyFont="1" applyFill="1" applyBorder="1"/>
    <xf numFmtId="0" fontId="10" fillId="0" borderId="0" xfId="0" applyFont="1" applyFill="1" applyBorder="1"/>
    <xf numFmtId="0" fontId="5" fillId="0" borderId="0" xfId="5" applyFont="1"/>
    <xf numFmtId="0" fontId="5" fillId="0" borderId="0" xfId="5" applyFont="1" applyAlignment="1">
      <alignment horizontal="left" vertical="center"/>
    </xf>
    <xf numFmtId="0" fontId="5" fillId="0" borderId="17" xfId="0" applyFont="1" applyBorder="1"/>
    <xf numFmtId="0" fontId="18" fillId="0" borderId="0" xfId="0" applyFont="1" applyBorder="1"/>
    <xf numFmtId="0" fontId="5" fillId="0" borderId="0" xfId="0" applyFont="1" applyBorder="1"/>
    <xf numFmtId="0" fontId="11" fillId="0" borderId="0" xfId="0" applyFont="1" applyBorder="1"/>
    <xf numFmtId="0" fontId="10" fillId="0" borderId="0" xfId="0" applyFont="1" applyBorder="1" applyAlignment="1">
      <alignment horizontal="center" vertical="center"/>
    </xf>
    <xf numFmtId="0" fontId="16" fillId="0" borderId="0" xfId="0" applyFont="1" applyBorder="1"/>
    <xf numFmtId="164" fontId="10" fillId="0" borderId="0" xfId="0" applyNumberFormat="1" applyFont="1" applyBorder="1" applyAlignment="1">
      <alignment horizontal="center" vertical="center"/>
    </xf>
    <xf numFmtId="164" fontId="0" fillId="0" borderId="0" xfId="0" applyNumberFormat="1" applyBorder="1"/>
    <xf numFmtId="164" fontId="12" fillId="0" borderId="0" xfId="0" applyNumberFormat="1" applyFont="1" applyBorder="1"/>
    <xf numFmtId="0" fontId="3" fillId="0" borderId="0" xfId="0" applyFont="1" applyBorder="1"/>
    <xf numFmtId="0" fontId="10" fillId="0" borderId="0" xfId="0" applyFont="1" applyBorder="1"/>
    <xf numFmtId="0" fontId="0" fillId="0" borderId="0" xfId="0" applyAlignment="1"/>
    <xf numFmtId="0" fontId="15" fillId="0" borderId="0" xfId="0" applyFont="1" applyFill="1" applyBorder="1"/>
    <xf numFmtId="0" fontId="0" fillId="0" borderId="0" xfId="0" applyFill="1" applyBorder="1"/>
    <xf numFmtId="0" fontId="10" fillId="0" borderId="0" xfId="4" applyNumberFormat="1" applyFont="1" applyFill="1" applyBorder="1" applyAlignment="1" applyProtection="1">
      <alignment horizontal="right"/>
    </xf>
    <xf numFmtId="0" fontId="16" fillId="0" borderId="0" xfId="0" applyFont="1" applyFill="1" applyBorder="1"/>
    <xf numFmtId="167" fontId="19" fillId="0" borderId="0" xfId="0" applyNumberFormat="1" applyFont="1" applyBorder="1"/>
    <xf numFmtId="1" fontId="0" fillId="0" borderId="0" xfId="0" applyNumberFormat="1" applyBorder="1"/>
    <xf numFmtId="164" fontId="10" fillId="0" borderId="0" xfId="0" applyNumberFormat="1" applyFont="1" applyBorder="1"/>
    <xf numFmtId="0" fontId="5" fillId="0" borderId="22" xfId="0" applyFont="1" applyBorder="1"/>
    <xf numFmtId="0" fontId="0" fillId="0" borderId="22" xfId="0" applyBorder="1"/>
    <xf numFmtId="0" fontId="0" fillId="0" borderId="23" xfId="0" applyBorder="1"/>
    <xf numFmtId="0" fontId="10" fillId="0" borderId="24" xfId="0" applyFont="1" applyBorder="1"/>
    <xf numFmtId="0" fontId="0" fillId="0" borderId="7" xfId="0" applyBorder="1"/>
    <xf numFmtId="0" fontId="4" fillId="0" borderId="27" xfId="0" applyFont="1" applyBorder="1"/>
    <xf numFmtId="0" fontId="10" fillId="0" borderId="29" xfId="0" applyFont="1" applyBorder="1"/>
    <xf numFmtId="0" fontId="0" fillId="0" borderId="30" xfId="0" applyBorder="1"/>
    <xf numFmtId="0" fontId="0" fillId="0" borderId="31" xfId="0" applyBorder="1"/>
    <xf numFmtId="0" fontId="5" fillId="0" borderId="31" xfId="0" applyFont="1" applyBorder="1"/>
    <xf numFmtId="0" fontId="5" fillId="0" borderId="32" xfId="0" applyFont="1" applyBorder="1"/>
    <xf numFmtId="0" fontId="5" fillId="0" borderId="33" xfId="0" applyFont="1" applyBorder="1"/>
    <xf numFmtId="0" fontId="5" fillId="0" borderId="34" xfId="0" applyFont="1" applyBorder="1"/>
    <xf numFmtId="0" fontId="10" fillId="0" borderId="35" xfId="0" applyFont="1" applyBorder="1"/>
    <xf numFmtId="0" fontId="0" fillId="7" borderId="36" xfId="0" applyFill="1" applyBorder="1" applyProtection="1">
      <protection locked="0"/>
    </xf>
    <xf numFmtId="0" fontId="0" fillId="7" borderId="37" xfId="0" applyFill="1" applyBorder="1" applyProtection="1">
      <protection locked="0"/>
    </xf>
    <xf numFmtId="0" fontId="0" fillId="7" borderId="38" xfId="0" applyFill="1" applyBorder="1" applyProtection="1">
      <protection locked="0"/>
    </xf>
    <xf numFmtId="0" fontId="0" fillId="7" borderId="39" xfId="0" applyFill="1" applyBorder="1" applyProtection="1">
      <protection locked="0"/>
    </xf>
    <xf numFmtId="0" fontId="0" fillId="7" borderId="12" xfId="0" applyFill="1" applyBorder="1" applyProtection="1">
      <protection locked="0"/>
    </xf>
    <xf numFmtId="0" fontId="10" fillId="0" borderId="40" xfId="0" applyFont="1" applyBorder="1"/>
    <xf numFmtId="0" fontId="0" fillId="7" borderId="41" xfId="0" applyFill="1" applyBorder="1" applyProtection="1">
      <protection locked="0"/>
    </xf>
    <xf numFmtId="0" fontId="0" fillId="7" borderId="42" xfId="0" applyFill="1" applyBorder="1" applyProtection="1">
      <protection locked="0"/>
    </xf>
    <xf numFmtId="0" fontId="0" fillId="7" borderId="43" xfId="0" applyFill="1" applyBorder="1" applyProtection="1">
      <protection locked="0"/>
    </xf>
    <xf numFmtId="0" fontId="0" fillId="7" borderId="44" xfId="0" applyFill="1" applyBorder="1" applyProtection="1">
      <protection locked="0"/>
    </xf>
    <xf numFmtId="0" fontId="0" fillId="7" borderId="13" xfId="0" applyFill="1" applyBorder="1" applyProtection="1">
      <protection locked="0"/>
    </xf>
    <xf numFmtId="0" fontId="0" fillId="9" borderId="0" xfId="0" applyFill="1"/>
    <xf numFmtId="0" fontId="0" fillId="0" borderId="0" xfId="0" applyAlignment="1">
      <alignment horizontal="left"/>
    </xf>
    <xf numFmtId="0" fontId="15" fillId="9" borderId="0" xfId="0" applyFont="1" applyFill="1" applyBorder="1" applyAlignment="1">
      <alignment horizontal="right" vertical="center"/>
    </xf>
    <xf numFmtId="0" fontId="0" fillId="9" borderId="0" xfId="0" applyFill="1" applyBorder="1"/>
    <xf numFmtId="0" fontId="4" fillId="0" borderId="45" xfId="0" applyFont="1" applyFill="1" applyBorder="1" applyAlignment="1">
      <alignment horizontal="left"/>
    </xf>
    <xf numFmtId="0" fontId="0" fillId="0" borderId="46" xfId="0" applyFill="1" applyBorder="1"/>
    <xf numFmtId="0" fontId="0" fillId="0" borderId="47" xfId="0" applyFill="1" applyBorder="1"/>
    <xf numFmtId="0" fontId="3" fillId="9" borderId="0" xfId="0" applyFont="1" applyFill="1" applyBorder="1"/>
    <xf numFmtId="0" fontId="5" fillId="9" borderId="0" xfId="0" applyFont="1" applyFill="1" applyBorder="1" applyProtection="1">
      <protection locked="0"/>
    </xf>
    <xf numFmtId="0" fontId="4" fillId="0" borderId="38" xfId="0" applyFont="1" applyFill="1" applyBorder="1" applyAlignment="1" applyProtection="1">
      <alignment horizontal="right" vertical="center"/>
      <protection locked="0"/>
    </xf>
    <xf numFmtId="0" fontId="5" fillId="9" borderId="0" xfId="0" applyFont="1" applyFill="1" applyBorder="1"/>
    <xf numFmtId="0" fontId="3" fillId="9" borderId="0" xfId="0" applyFont="1" applyFill="1" applyBorder="1" applyProtection="1">
      <protection locked="0"/>
    </xf>
    <xf numFmtId="4" fontId="5" fillId="9" borderId="0" xfId="0" applyNumberFormat="1" applyFont="1" applyFill="1" applyBorder="1"/>
    <xf numFmtId="0" fontId="16" fillId="9" borderId="0" xfId="0" applyFont="1" applyFill="1" applyBorder="1"/>
    <xf numFmtId="0" fontId="0" fillId="0" borderId="0" xfId="0" applyFill="1"/>
    <xf numFmtId="9" fontId="0" fillId="9" borderId="0" xfId="0" applyNumberFormat="1" applyFill="1" applyBorder="1"/>
    <xf numFmtId="0" fontId="4" fillId="9" borderId="0" xfId="0" applyFont="1" applyFill="1" applyBorder="1" applyAlignment="1" applyProtection="1">
      <alignment horizontal="left" vertical="center"/>
      <protection locked="0"/>
    </xf>
    <xf numFmtId="0" fontId="0" fillId="0" borderId="0" xfId="0" applyAlignment="1">
      <alignment horizontal="right" wrapText="1"/>
    </xf>
    <xf numFmtId="0" fontId="12" fillId="9" borderId="0" xfId="0" applyFont="1" applyFill="1" applyBorder="1"/>
    <xf numFmtId="165" fontId="5" fillId="9" borderId="0" xfId="1" applyNumberFormat="1" applyFont="1" applyFill="1" applyBorder="1" applyAlignment="1">
      <alignment horizontal="right"/>
    </xf>
    <xf numFmtId="0" fontId="1" fillId="9" borderId="0" xfId="3" applyNumberFormat="1" applyFont="1" applyFill="1" applyBorder="1" applyAlignment="1" applyProtection="1"/>
    <xf numFmtId="166" fontId="5" fillId="9" borderId="0" xfId="2" applyNumberFormat="1" applyFont="1" applyFill="1" applyBorder="1" applyAlignment="1" applyProtection="1"/>
    <xf numFmtId="0" fontId="0" fillId="9" borderId="0" xfId="0" applyFill="1" applyAlignment="1">
      <alignment wrapText="1"/>
    </xf>
    <xf numFmtId="0" fontId="5" fillId="0" borderId="0" xfId="0" applyFont="1" applyAlignment="1">
      <alignment horizontal="right"/>
    </xf>
    <xf numFmtId="0" fontId="0" fillId="0" borderId="0" xfId="0" applyFill="1" applyAlignment="1">
      <alignment wrapText="1"/>
    </xf>
    <xf numFmtId="0" fontId="5" fillId="0" borderId="30" xfId="0" applyFont="1" applyBorder="1" applyAlignment="1">
      <alignment horizontal="right" vertical="center"/>
    </xf>
    <xf numFmtId="0" fontId="0" fillId="0" borderId="33" xfId="0" applyBorder="1"/>
    <xf numFmtId="0" fontId="5" fillId="0" borderId="48" xfId="0" applyFont="1" applyBorder="1"/>
    <xf numFmtId="0" fontId="5" fillId="0" borderId="49" xfId="0" applyFont="1" applyBorder="1" applyAlignment="1">
      <alignment horizontal="right" vertical="center"/>
    </xf>
    <xf numFmtId="2" fontId="0" fillId="0" borderId="50" xfId="0" applyNumberFormat="1" applyBorder="1"/>
    <xf numFmtId="2" fontId="0" fillId="0" borderId="51" xfId="0" applyNumberFormat="1" applyBorder="1"/>
    <xf numFmtId="2" fontId="0" fillId="0" borderId="52" xfId="0" applyNumberFormat="1" applyBorder="1"/>
    <xf numFmtId="0" fontId="5" fillId="0" borderId="0" xfId="0" applyFont="1" applyFill="1" applyAlignment="1">
      <alignment horizontal="right"/>
    </xf>
    <xf numFmtId="0" fontId="0" fillId="0" borderId="0" xfId="0" applyAlignment="1">
      <alignment horizontal="left" vertical="center"/>
    </xf>
    <xf numFmtId="0" fontId="0" fillId="0" borderId="0" xfId="0" applyAlignment="1">
      <alignment horizontal="right"/>
    </xf>
    <xf numFmtId="0" fontId="5" fillId="0" borderId="0" xfId="0" applyFont="1" applyAlignment="1">
      <alignment horizontal="right" wrapText="1"/>
    </xf>
    <xf numFmtId="2" fontId="0" fillId="0" borderId="53" xfId="0" applyNumberFormat="1" applyBorder="1"/>
    <xf numFmtId="0" fontId="0" fillId="0" borderId="53" xfId="0" applyBorder="1"/>
    <xf numFmtId="0" fontId="5" fillId="0" borderId="0" xfId="0" applyFont="1" applyAlignment="1">
      <alignment horizontal="center"/>
    </xf>
    <xf numFmtId="0" fontId="5" fillId="0" borderId="0" xfId="0" applyFont="1" applyAlignment="1">
      <alignment horizontal="left"/>
    </xf>
    <xf numFmtId="0" fontId="0" fillId="0" borderId="17" xfId="0" applyBorder="1"/>
    <xf numFmtId="0" fontId="5" fillId="0" borderId="17" xfId="0" applyFont="1" applyFill="1" applyBorder="1"/>
    <xf numFmtId="2" fontId="5" fillId="0" borderId="17" xfId="0" applyNumberFormat="1" applyFont="1" applyFill="1" applyBorder="1"/>
    <xf numFmtId="2" fontId="0" fillId="0" borderId="17" xfId="0" applyNumberFormat="1" applyFill="1" applyBorder="1"/>
    <xf numFmtId="164" fontId="5" fillId="0" borderId="17" xfId="0" applyNumberFormat="1" applyFont="1" applyFill="1" applyBorder="1"/>
    <xf numFmtId="0" fontId="0" fillId="0" borderId="17" xfId="0" applyFill="1" applyBorder="1"/>
    <xf numFmtId="0" fontId="10" fillId="0" borderId="14" xfId="0" applyFont="1" applyFill="1" applyBorder="1"/>
    <xf numFmtId="0" fontId="10" fillId="0" borderId="16" xfId="0" applyFont="1" applyFill="1" applyBorder="1"/>
    <xf numFmtId="0" fontId="10" fillId="0" borderId="15" xfId="0" applyFont="1" applyFill="1" applyBorder="1"/>
    <xf numFmtId="164" fontId="5" fillId="0" borderId="18" xfId="0" applyNumberFormat="1" applyFont="1" applyFill="1" applyBorder="1"/>
    <xf numFmtId="164" fontId="5" fillId="0" borderId="0" xfId="0" applyNumberFormat="1" applyFont="1" applyFill="1" applyBorder="1"/>
    <xf numFmtId="0" fontId="11" fillId="0" borderId="17" xfId="0" applyFont="1" applyFill="1" applyBorder="1"/>
    <xf numFmtId="167" fontId="19" fillId="0" borderId="18" xfId="0" applyNumberFormat="1" applyFont="1" applyFill="1" applyBorder="1"/>
    <xf numFmtId="167" fontId="19" fillId="0" borderId="0" xfId="0" applyNumberFormat="1" applyFont="1" applyFill="1" applyBorder="1"/>
    <xf numFmtId="0" fontId="5" fillId="0" borderId="19" xfId="0" applyFont="1" applyFill="1" applyBorder="1"/>
    <xf numFmtId="1" fontId="0" fillId="0" borderId="20" xfId="0" applyNumberFormat="1" applyFill="1" applyBorder="1"/>
    <xf numFmtId="0" fontId="0" fillId="0" borderId="1" xfId="0" applyFill="1" applyBorder="1"/>
    <xf numFmtId="1" fontId="0" fillId="0" borderId="1" xfId="0" applyNumberFormat="1" applyFill="1" applyBorder="1"/>
    <xf numFmtId="0" fontId="0" fillId="0" borderId="19" xfId="0" applyFill="1" applyBorder="1"/>
    <xf numFmtId="0" fontId="0" fillId="0" borderId="55" xfId="0" applyFill="1" applyBorder="1"/>
    <xf numFmtId="0" fontId="0" fillId="0" borderId="56" xfId="0" applyFill="1" applyBorder="1"/>
    <xf numFmtId="0" fontId="5" fillId="0" borderId="54" xfId="0" applyFont="1" applyFill="1" applyBorder="1"/>
    <xf numFmtId="0" fontId="0" fillId="0" borderId="18" xfId="0" applyFill="1" applyBorder="1"/>
    <xf numFmtId="2" fontId="5" fillId="0" borderId="54" xfId="0" applyNumberFormat="1" applyFont="1" applyFill="1" applyBorder="1"/>
    <xf numFmtId="2" fontId="0" fillId="0" borderId="54" xfId="0" applyNumberFormat="1" applyFill="1" applyBorder="1"/>
    <xf numFmtId="2" fontId="10" fillId="0" borderId="55" xfId="0" applyNumberFormat="1" applyFont="1" applyFill="1" applyBorder="1"/>
    <xf numFmtId="0" fontId="10" fillId="0" borderId="55" xfId="0" applyFont="1" applyFill="1" applyBorder="1" applyAlignment="1">
      <alignment horizontal="center" vertical="center"/>
    </xf>
    <xf numFmtId="0" fontId="10" fillId="0" borderId="56" xfId="0" applyFont="1" applyFill="1" applyBorder="1" applyAlignment="1">
      <alignment horizontal="center" vertical="center"/>
    </xf>
    <xf numFmtId="0" fontId="10" fillId="0" borderId="38" xfId="0" applyFont="1" applyFill="1" applyBorder="1" applyAlignment="1">
      <alignment horizontal="center" vertical="center"/>
    </xf>
    <xf numFmtId="0" fontId="10" fillId="0" borderId="57" xfId="0" applyFont="1" applyFill="1" applyBorder="1" applyAlignment="1">
      <alignment horizontal="center" vertical="center"/>
    </xf>
    <xf numFmtId="164" fontId="12" fillId="0" borderId="55" xfId="0" applyNumberFormat="1" applyFont="1" applyBorder="1"/>
    <xf numFmtId="0" fontId="0" fillId="0" borderId="55" xfId="0" applyBorder="1"/>
    <xf numFmtId="0" fontId="1" fillId="0" borderId="0" xfId="0" applyFont="1" applyAlignment="1">
      <alignment horizontal="right"/>
    </xf>
    <xf numFmtId="164" fontId="10" fillId="0" borderId="17" xfId="0" applyNumberFormat="1" applyFont="1" applyBorder="1"/>
    <xf numFmtId="164" fontId="24" fillId="0" borderId="17" xfId="0" applyNumberFormat="1" applyFont="1" applyFill="1" applyBorder="1"/>
    <xf numFmtId="164" fontId="25" fillId="0" borderId="54" xfId="0" applyNumberFormat="1" applyFont="1" applyBorder="1"/>
    <xf numFmtId="164" fontId="24" fillId="0" borderId="17" xfId="0" applyNumberFormat="1" applyFont="1" applyBorder="1"/>
    <xf numFmtId="0" fontId="16" fillId="0" borderId="54" xfId="0" applyFont="1" applyBorder="1"/>
    <xf numFmtId="0" fontId="10" fillId="0" borderId="0" xfId="0" applyFont="1" applyFill="1" applyBorder="1" applyAlignment="1">
      <alignment horizontal="center" vertical="center"/>
    </xf>
    <xf numFmtId="164" fontId="25" fillId="0" borderId="17" xfId="0" applyNumberFormat="1" applyFont="1" applyBorder="1"/>
    <xf numFmtId="0" fontId="5" fillId="0" borderId="55" xfId="0" applyFont="1" applyBorder="1"/>
    <xf numFmtId="164" fontId="24" fillId="0" borderId="54" xfId="0" applyNumberFormat="1" applyFont="1" applyBorder="1"/>
    <xf numFmtId="0" fontId="0" fillId="0" borderId="54" xfId="0" applyBorder="1"/>
    <xf numFmtId="164" fontId="12" fillId="0" borderId="58" xfId="0" applyNumberFormat="1" applyFont="1" applyBorder="1"/>
    <xf numFmtId="164" fontId="12" fillId="0" borderId="18" xfId="0" applyNumberFormat="1" applyFont="1" applyBorder="1"/>
    <xf numFmtId="0" fontId="0" fillId="0" borderId="18" xfId="0" applyBorder="1"/>
    <xf numFmtId="0" fontId="10" fillId="0" borderId="18" xfId="0" applyFont="1" applyBorder="1" applyAlignment="1">
      <alignment horizontal="center" vertical="center"/>
    </xf>
    <xf numFmtId="0" fontId="10" fillId="0" borderId="18" xfId="0" applyFont="1" applyFill="1" applyBorder="1" applyAlignment="1">
      <alignment horizontal="center" vertical="center"/>
    </xf>
    <xf numFmtId="0" fontId="10" fillId="0" borderId="55" xfId="0" applyFont="1" applyBorder="1" applyAlignment="1">
      <alignment horizontal="center" vertical="center"/>
    </xf>
    <xf numFmtId="164" fontId="24" fillId="0" borderId="18" xfId="0" applyNumberFormat="1" applyFont="1" applyBorder="1"/>
    <xf numFmtId="164" fontId="10" fillId="0" borderId="18" xfId="0" applyNumberFormat="1" applyFont="1" applyBorder="1" applyAlignment="1">
      <alignment horizontal="center" vertical="center"/>
    </xf>
    <xf numFmtId="164" fontId="10" fillId="0" borderId="18" xfId="0" applyNumberFormat="1" applyFont="1" applyFill="1" applyBorder="1" applyAlignment="1">
      <alignment horizontal="center" vertical="center"/>
    </xf>
    <xf numFmtId="164" fontId="10" fillId="0" borderId="57" xfId="0" applyNumberFormat="1" applyFont="1" applyFill="1" applyBorder="1" applyAlignment="1">
      <alignment horizontal="center" vertical="center"/>
    </xf>
    <xf numFmtId="164" fontId="0" fillId="0" borderId="18" xfId="0" applyNumberFormat="1" applyBorder="1"/>
    <xf numFmtId="164" fontId="12" fillId="0" borderId="54" xfId="0" applyNumberFormat="1" applyFont="1" applyBorder="1"/>
    <xf numFmtId="164" fontId="10" fillId="0" borderId="54" xfId="0" applyNumberFormat="1" applyFont="1" applyBorder="1" applyAlignment="1">
      <alignment horizontal="center" vertical="center"/>
    </xf>
    <xf numFmtId="0" fontId="0" fillId="0" borderId="58" xfId="0" applyBorder="1"/>
    <xf numFmtId="164" fontId="24" fillId="0" borderId="0" xfId="0" applyNumberFormat="1" applyFont="1" applyBorder="1"/>
    <xf numFmtId="164" fontId="10" fillId="0" borderId="0" xfId="0" applyNumberFormat="1" applyFont="1" applyFill="1" applyBorder="1" applyAlignment="1">
      <alignment horizontal="center" vertical="center"/>
    </xf>
    <xf numFmtId="0" fontId="5" fillId="7" borderId="28" xfId="0" applyFont="1" applyFill="1" applyBorder="1" applyProtection="1">
      <protection locked="0"/>
    </xf>
    <xf numFmtId="0" fontId="5" fillId="0" borderId="59" xfId="0" applyFont="1" applyBorder="1"/>
    <xf numFmtId="0" fontId="0" fillId="0" borderId="53" xfId="0" applyBorder="1" applyAlignment="1">
      <alignment horizontal="right" vertical="center"/>
    </xf>
    <xf numFmtId="0" fontId="0" fillId="0" borderId="60" xfId="0" applyBorder="1" applyAlignment="1">
      <alignment horizontal="right" vertical="center"/>
    </xf>
    <xf numFmtId="0" fontId="5" fillId="0" borderId="0" xfId="0" applyFont="1" applyAlignment="1">
      <alignment horizontal="right" wrapText="1"/>
    </xf>
    <xf numFmtId="0" fontId="5" fillId="0" borderId="0" xfId="0" applyFont="1" applyAlignment="1">
      <alignment horizontal="right"/>
    </xf>
    <xf numFmtId="0" fontId="0" fillId="0" borderId="0" xfId="0" applyAlignment="1">
      <alignment horizontal="right"/>
    </xf>
    <xf numFmtId="49" fontId="0" fillId="0" borderId="0" xfId="0" applyNumberFormat="1" applyAlignment="1"/>
    <xf numFmtId="0" fontId="0" fillId="0" borderId="0" xfId="0" applyAlignment="1"/>
    <xf numFmtId="0" fontId="0" fillId="0" borderId="0" xfId="0" applyAlignment="1">
      <alignment horizontal="left" vertical="center"/>
    </xf>
    <xf numFmtId="0" fontId="0" fillId="0" borderId="62" xfId="0" applyBorder="1"/>
    <xf numFmtId="0" fontId="0" fillId="0" borderId="63" xfId="0" applyBorder="1"/>
    <xf numFmtId="0" fontId="0" fillId="0" borderId="60" xfId="0" applyBorder="1"/>
    <xf numFmtId="0" fontId="5" fillId="0" borderId="59" xfId="0" applyFont="1" applyBorder="1" applyAlignment="1">
      <alignment horizontal="left"/>
    </xf>
    <xf numFmtId="0" fontId="5" fillId="0" borderId="28" xfId="0" applyFont="1" applyBorder="1" applyAlignment="1">
      <alignment horizontal="left"/>
    </xf>
    <xf numFmtId="0" fontId="0" fillId="0" borderId="64" xfId="0" applyBorder="1"/>
    <xf numFmtId="0" fontId="0" fillId="0" borderId="65" xfId="0" applyBorder="1"/>
    <xf numFmtId="0" fontId="10" fillId="0" borderId="21" xfId="0" applyFont="1" applyBorder="1"/>
    <xf numFmtId="164" fontId="5" fillId="0" borderId="54" xfId="0" applyNumberFormat="1" applyFont="1" applyBorder="1"/>
    <xf numFmtId="0" fontId="10" fillId="0" borderId="17" xfId="0" applyFont="1" applyFill="1" applyBorder="1"/>
    <xf numFmtId="164" fontId="5" fillId="0" borderId="17" xfId="0" applyNumberFormat="1" applyFont="1" applyBorder="1"/>
    <xf numFmtId="0" fontId="5" fillId="0" borderId="54" xfId="0" applyFont="1" applyBorder="1"/>
    <xf numFmtId="0" fontId="10" fillId="0" borderId="66" xfId="0" applyFont="1" applyBorder="1" applyAlignment="1">
      <alignment horizontal="center" vertical="center"/>
    </xf>
    <xf numFmtId="0" fontId="5" fillId="0" borderId="67" xfId="0" applyFont="1" applyBorder="1" applyAlignment="1">
      <alignment horizontal="left" vertical="center"/>
    </xf>
    <xf numFmtId="0" fontId="26" fillId="0" borderId="68" xfId="0" applyFont="1" applyBorder="1"/>
    <xf numFmtId="0" fontId="26" fillId="0" borderId="67" xfId="0" applyFont="1" applyBorder="1"/>
    <xf numFmtId="0" fontId="26" fillId="0" borderId="66" xfId="0" applyFont="1" applyBorder="1"/>
    <xf numFmtId="0" fontId="5" fillId="0" borderId="0" xfId="0" applyFont="1" applyAlignment="1">
      <alignment horizontal="center" vertical="center"/>
    </xf>
    <xf numFmtId="0" fontId="5" fillId="0" borderId="0" xfId="0" applyFont="1" applyBorder="1" applyAlignment="1"/>
    <xf numFmtId="2" fontId="5" fillId="0" borderId="0" xfId="0" applyNumberFormat="1" applyFont="1" applyBorder="1"/>
    <xf numFmtId="0" fontId="6" fillId="0" borderId="64" xfId="0" applyFont="1" applyBorder="1"/>
    <xf numFmtId="0" fontId="5" fillId="0" borderId="69" xfId="0" applyFont="1" applyBorder="1"/>
    <xf numFmtId="0" fontId="0" fillId="0" borderId="69" xfId="0" applyBorder="1"/>
    <xf numFmtId="164" fontId="0" fillId="0" borderId="69" xfId="0" applyNumberFormat="1" applyBorder="1"/>
    <xf numFmtId="0" fontId="5" fillId="0" borderId="69" xfId="0" applyFont="1" applyFill="1" applyBorder="1"/>
    <xf numFmtId="0" fontId="31" fillId="0" borderId="0" xfId="0" applyFont="1"/>
    <xf numFmtId="0" fontId="5" fillId="0" borderId="61" xfId="0" applyFont="1" applyBorder="1"/>
    <xf numFmtId="0" fontId="0" fillId="0" borderId="70" xfId="0" applyBorder="1"/>
    <xf numFmtId="168" fontId="0" fillId="0" borderId="53" xfId="0" applyNumberFormat="1" applyBorder="1"/>
    <xf numFmtId="168" fontId="5" fillId="0" borderId="53" xfId="0" quotePrefix="1" applyNumberFormat="1" applyFont="1" applyBorder="1" applyAlignment="1">
      <alignment horizontal="right" vertical="center"/>
    </xf>
    <xf numFmtId="168" fontId="0" fillId="0" borderId="53" xfId="0" quotePrefix="1" applyNumberFormat="1" applyBorder="1" applyAlignment="1">
      <alignment horizontal="right" vertical="center"/>
    </xf>
    <xf numFmtId="2" fontId="0" fillId="0" borderId="53" xfId="0" applyNumberFormat="1" applyBorder="1" applyAlignment="1">
      <alignment horizontal="right" vertical="center"/>
    </xf>
    <xf numFmtId="2" fontId="0" fillId="0" borderId="60" xfId="0" applyNumberFormat="1" applyBorder="1" applyAlignment="1">
      <alignment horizontal="right" vertical="center"/>
    </xf>
    <xf numFmtId="0" fontId="0" fillId="0" borderId="71" xfId="0" applyBorder="1"/>
    <xf numFmtId="0" fontId="5" fillId="0" borderId="64" xfId="0" applyFont="1" applyBorder="1"/>
    <xf numFmtId="0" fontId="0" fillId="0" borderId="72" xfId="0" applyBorder="1"/>
    <xf numFmtId="164" fontId="0" fillId="0" borderId="53" xfId="0" applyNumberFormat="1" applyBorder="1"/>
    <xf numFmtId="0" fontId="5" fillId="0" borderId="0" xfId="0" applyFont="1" applyBorder="1" applyAlignment="1">
      <alignment horizontal="left" vertical="center"/>
    </xf>
    <xf numFmtId="2" fontId="0" fillId="0" borderId="0" xfId="0" applyNumberFormat="1" applyBorder="1"/>
    <xf numFmtId="0" fontId="5" fillId="0" borderId="0" xfId="0" applyFont="1" applyBorder="1" applyAlignment="1">
      <alignment horizontal="left"/>
    </xf>
    <xf numFmtId="0" fontId="0" fillId="0" borderId="0" xfId="0" applyBorder="1" applyAlignment="1">
      <alignment horizontal="right" vertical="center"/>
    </xf>
    <xf numFmtId="0" fontId="6" fillId="0" borderId="0" xfId="0" applyFont="1" applyBorder="1"/>
    <xf numFmtId="0" fontId="5" fillId="0" borderId="0" xfId="0" applyFont="1" applyAlignment="1">
      <alignment horizontal="right"/>
    </xf>
    <xf numFmtId="0" fontId="32" fillId="0" borderId="0" xfId="0" applyFont="1" applyAlignment="1">
      <alignment horizontal="right"/>
    </xf>
    <xf numFmtId="0" fontId="33" fillId="0" borderId="0" xfId="0" applyFont="1"/>
    <xf numFmtId="0" fontId="34" fillId="0" borderId="0" xfId="0" applyFont="1"/>
    <xf numFmtId="0" fontId="35" fillId="0" borderId="0" xfId="0" applyFont="1"/>
    <xf numFmtId="0" fontId="36" fillId="0" borderId="0" xfId="0" applyFont="1"/>
    <xf numFmtId="0" fontId="37" fillId="0" borderId="0" xfId="0" applyFont="1"/>
    <xf numFmtId="0" fontId="38" fillId="6" borderId="3" xfId="0" applyFont="1" applyFill="1" applyBorder="1"/>
    <xf numFmtId="0" fontId="34" fillId="6" borderId="4" xfId="0" applyFont="1" applyFill="1" applyBorder="1"/>
    <xf numFmtId="0" fontId="39" fillId="6" borderId="4" xfId="4" applyNumberFormat="1" applyFont="1" applyFill="1" applyBorder="1" applyAlignment="1" applyProtection="1">
      <alignment horizontal="right"/>
    </xf>
    <xf numFmtId="0" fontId="35" fillId="6" borderId="5" xfId="0" applyFont="1" applyFill="1" applyBorder="1"/>
    <xf numFmtId="164" fontId="35" fillId="0" borderId="0" xfId="0" applyNumberFormat="1" applyFont="1"/>
    <xf numFmtId="0" fontId="35" fillId="6" borderId="6" xfId="0" applyFont="1" applyFill="1" applyBorder="1"/>
    <xf numFmtId="0" fontId="35" fillId="6" borderId="0" xfId="0" applyFont="1" applyFill="1" applyBorder="1"/>
    <xf numFmtId="0" fontId="35" fillId="6" borderId="7" xfId="0" applyFont="1" applyFill="1" applyBorder="1" applyAlignment="1">
      <alignment vertical="center"/>
    </xf>
    <xf numFmtId="0" fontId="40" fillId="0" borderId="0" xfId="0" applyFont="1"/>
    <xf numFmtId="0" fontId="41" fillId="0" borderId="0" xfId="0" applyFont="1"/>
    <xf numFmtId="0" fontId="35" fillId="0" borderId="1" xfId="0" applyFont="1" applyBorder="1"/>
    <xf numFmtId="164" fontId="37" fillId="0" borderId="1" xfId="0" applyNumberFormat="1" applyFont="1" applyBorder="1"/>
    <xf numFmtId="0" fontId="33" fillId="6" borderId="6" xfId="0" applyFont="1" applyFill="1" applyBorder="1"/>
    <xf numFmtId="0" fontId="33" fillId="6" borderId="0" xfId="0" applyFont="1" applyFill="1" applyBorder="1" applyProtection="1"/>
    <xf numFmtId="0" fontId="33" fillId="6" borderId="0" xfId="0" applyFont="1" applyFill="1" applyBorder="1"/>
    <xf numFmtId="0" fontId="33" fillId="4" borderId="0" xfId="3" applyFont="1" applyBorder="1" applyProtection="1">
      <protection locked="0"/>
    </xf>
    <xf numFmtId="0" fontId="33" fillId="4" borderId="7" xfId="3" applyFont="1" applyBorder="1" applyProtection="1">
      <protection locked="0"/>
    </xf>
    <xf numFmtId="0" fontId="40" fillId="0" borderId="0" xfId="0" applyFont="1" applyAlignment="1">
      <alignment horizontal="center"/>
    </xf>
    <xf numFmtId="0" fontId="35" fillId="6" borderId="0" xfId="0" applyFont="1" applyFill="1" applyBorder="1" applyProtection="1"/>
    <xf numFmtId="0" fontId="42" fillId="4" borderId="0" xfId="3" applyFont="1" applyBorder="1" applyProtection="1">
      <protection locked="0"/>
    </xf>
    <xf numFmtId="0" fontId="42" fillId="4" borderId="7" xfId="3" applyFont="1" applyBorder="1" applyProtection="1">
      <protection locked="0"/>
    </xf>
    <xf numFmtId="0" fontId="34" fillId="6" borderId="0" xfId="0" applyFont="1" applyFill="1" applyBorder="1" applyProtection="1"/>
    <xf numFmtId="0" fontId="34" fillId="6" borderId="0" xfId="0" applyFont="1" applyFill="1" applyBorder="1"/>
    <xf numFmtId="0" fontId="43" fillId="0" borderId="0" xfId="0" applyFont="1"/>
    <xf numFmtId="164" fontId="34" fillId="0" borderId="0" xfId="0" applyNumberFormat="1" applyFont="1"/>
    <xf numFmtId="0" fontId="34" fillId="6" borderId="6" xfId="0" applyFont="1" applyFill="1" applyBorder="1"/>
    <xf numFmtId="0" fontId="44" fillId="6" borderId="0" xfId="0" applyFont="1" applyFill="1" applyBorder="1" applyProtection="1"/>
    <xf numFmtId="0" fontId="35" fillId="10" borderId="0" xfId="0" quotePrefix="1" applyFont="1" applyFill="1" applyBorder="1"/>
    <xf numFmtId="0" fontId="35" fillId="10" borderId="7" xfId="0" quotePrefix="1" applyFont="1" applyFill="1" applyBorder="1"/>
    <xf numFmtId="0" fontId="35" fillId="0" borderId="0" xfId="0" applyFont="1" applyAlignment="1">
      <alignment horizontal="right"/>
    </xf>
    <xf numFmtId="0" fontId="42" fillId="4" borderId="0" xfId="3" applyNumberFormat="1" applyFont="1" applyBorder="1" applyProtection="1">
      <protection locked="0"/>
    </xf>
    <xf numFmtId="0" fontId="34" fillId="10" borderId="0" xfId="0" quotePrefix="1" applyFont="1" applyFill="1" applyBorder="1"/>
    <xf numFmtId="0" fontId="34" fillId="10" borderId="7" xfId="0" quotePrefix="1" applyFont="1" applyFill="1" applyBorder="1"/>
    <xf numFmtId="0" fontId="45" fillId="6" borderId="6" xfId="0" applyFont="1" applyFill="1" applyBorder="1"/>
    <xf numFmtId="0" fontId="45" fillId="6" borderId="0" xfId="0" applyFont="1" applyFill="1" applyBorder="1" applyProtection="1"/>
    <xf numFmtId="0" fontId="45" fillId="6" borderId="0" xfId="0" applyFont="1" applyFill="1" applyBorder="1"/>
    <xf numFmtId="2" fontId="45" fillId="5" borderId="0" xfId="3" applyNumberFormat="1" applyFont="1" applyFill="1" applyBorder="1"/>
    <xf numFmtId="2" fontId="45" fillId="5" borderId="7" xfId="3" applyNumberFormat="1" applyFont="1" applyFill="1" applyBorder="1"/>
    <xf numFmtId="0" fontId="33" fillId="5" borderId="0" xfId="1" applyNumberFormat="1" applyFont="1" applyFill="1" applyBorder="1"/>
    <xf numFmtId="0" fontId="33" fillId="5" borderId="7" xfId="1" applyNumberFormat="1" applyFont="1" applyFill="1" applyBorder="1"/>
    <xf numFmtId="0" fontId="34" fillId="0" borderId="0" xfId="0" quotePrefix="1" applyFont="1"/>
    <xf numFmtId="0" fontId="46" fillId="6" borderId="0" xfId="0" applyFont="1" applyFill="1" applyBorder="1"/>
    <xf numFmtId="2" fontId="42" fillId="5" borderId="0" xfId="3" applyNumberFormat="1" applyFont="1" applyFill="1" applyBorder="1"/>
    <xf numFmtId="2" fontId="42" fillId="5" borderId="7" xfId="3" applyNumberFormat="1" applyFont="1" applyFill="1" applyBorder="1"/>
    <xf numFmtId="165" fontId="42" fillId="5" borderId="0" xfId="3" applyNumberFormat="1" applyFont="1" applyFill="1" applyBorder="1"/>
    <xf numFmtId="165" fontId="42" fillId="5" borderId="7" xfId="3" applyNumberFormat="1" applyFont="1" applyFill="1" applyBorder="1"/>
    <xf numFmtId="0" fontId="34" fillId="5" borderId="0" xfId="0" applyFont="1" applyFill="1" applyBorder="1"/>
    <xf numFmtId="0" fontId="34" fillId="6" borderId="7" xfId="0" applyFont="1" applyFill="1" applyBorder="1"/>
    <xf numFmtId="0" fontId="42" fillId="0" borderId="0" xfId="3" applyNumberFormat="1" applyFont="1" applyFill="1" applyAlignment="1" applyProtection="1"/>
    <xf numFmtId="0" fontId="42" fillId="4" borderId="7" xfId="3" applyNumberFormat="1" applyFont="1" applyBorder="1" applyAlignment="1" applyProtection="1"/>
    <xf numFmtId="166" fontId="34" fillId="0" borderId="0" xfId="2" applyNumberFormat="1" applyFont="1" applyFill="1" applyBorder="1" applyAlignment="1" applyProtection="1"/>
    <xf numFmtId="0" fontId="34" fillId="6" borderId="8" xfId="0" applyFont="1" applyFill="1" applyBorder="1"/>
    <xf numFmtId="0" fontId="34" fillId="6" borderId="9" xfId="0" applyFont="1" applyFill="1" applyBorder="1"/>
    <xf numFmtId="166" fontId="34" fillId="5" borderId="10" xfId="2" applyNumberFormat="1" applyFont="1" applyFill="1" applyBorder="1" applyAlignment="1" applyProtection="1"/>
    <xf numFmtId="0" fontId="47" fillId="0" borderId="0" xfId="0" applyFont="1"/>
    <xf numFmtId="0" fontId="39" fillId="0" borderId="0" xfId="0" applyFont="1"/>
    <xf numFmtId="0" fontId="48" fillId="0" borderId="0" xfId="0" applyFont="1"/>
    <xf numFmtId="0" fontId="35" fillId="0" borderId="0" xfId="0" applyFont="1" applyProtection="1"/>
    <xf numFmtId="0" fontId="34" fillId="0" borderId="0" xfId="0" applyFont="1" applyProtection="1"/>
    <xf numFmtId="0" fontId="42" fillId="0" borderId="0" xfId="0" applyFont="1"/>
    <xf numFmtId="0" fontId="49" fillId="0" borderId="0" xfId="0" applyFont="1" applyProtection="1"/>
    <xf numFmtId="0" fontId="50" fillId="0" borderId="0" xfId="0" applyFont="1"/>
    <xf numFmtId="164" fontId="34" fillId="0" borderId="0" xfId="0" quotePrefix="1" applyNumberFormat="1" applyFont="1"/>
    <xf numFmtId="164" fontId="42" fillId="0" borderId="0" xfId="0" applyNumberFormat="1" applyFont="1"/>
    <xf numFmtId="0" fontId="51" fillId="0" borderId="0" xfId="0" applyFont="1"/>
    <xf numFmtId="0" fontId="34" fillId="0" borderId="0" xfId="0" applyFont="1" applyAlignment="1">
      <alignment horizontal="right"/>
    </xf>
    <xf numFmtId="0" fontId="44" fillId="0" borderId="0" xfId="0" applyFont="1"/>
    <xf numFmtId="0" fontId="52" fillId="0" borderId="0" xfId="0" applyFont="1"/>
    <xf numFmtId="0" fontId="42" fillId="0" borderId="0" xfId="0" applyFont="1" applyAlignment="1">
      <alignment horizontal="right"/>
    </xf>
    <xf numFmtId="164" fontId="44" fillId="0" borderId="0" xfId="0" applyNumberFormat="1" applyFont="1"/>
    <xf numFmtId="0" fontId="34" fillId="0" borderId="0" xfId="0" applyNumberFormat="1" applyFont="1"/>
    <xf numFmtId="2" fontId="0" fillId="0" borderId="0" xfId="0" applyNumberFormat="1"/>
    <xf numFmtId="0" fontId="0" fillId="0" borderId="1" xfId="0" applyBorder="1"/>
    <xf numFmtId="0" fontId="10" fillId="0" borderId="73" xfId="0" applyFont="1" applyBorder="1" applyAlignment="1">
      <alignment horizontal="center"/>
    </xf>
    <xf numFmtId="0" fontId="53" fillId="0" borderId="0" xfId="0" applyFont="1"/>
    <xf numFmtId="0" fontId="16" fillId="0" borderId="0" xfId="0" applyFont="1"/>
    <xf numFmtId="0" fontId="16" fillId="0" borderId="73" xfId="0" applyFont="1" applyBorder="1"/>
    <xf numFmtId="0" fontId="56" fillId="0" borderId="0" xfId="0" applyFont="1"/>
    <xf numFmtId="0" fontId="56" fillId="0" borderId="0" xfId="0" applyFont="1" applyAlignment="1">
      <alignment wrapText="1"/>
    </xf>
    <xf numFmtId="2" fontId="57" fillId="5" borderId="0" xfId="0" applyNumberFormat="1" applyFont="1" applyFill="1" applyAlignment="1">
      <alignment vertical="center"/>
    </xf>
    <xf numFmtId="2" fontId="0" fillId="5" borderId="0" xfId="0" applyNumberFormat="1" applyFill="1"/>
    <xf numFmtId="0" fontId="52" fillId="0" borderId="0" xfId="0" applyFont="1" applyAlignment="1">
      <alignment horizontal="center"/>
    </xf>
    <xf numFmtId="0" fontId="0" fillId="0" borderId="0" xfId="0" quotePrefix="1"/>
    <xf numFmtId="2" fontId="0" fillId="11" borderId="0" xfId="0" applyNumberFormat="1" applyFill="1" applyProtection="1">
      <protection locked="0"/>
    </xf>
    <xf numFmtId="0" fontId="32" fillId="0" borderId="0" xfId="0" applyFont="1" applyAlignment="1" applyProtection="1">
      <alignment horizontal="center"/>
      <protection locked="0"/>
    </xf>
    <xf numFmtId="0" fontId="12" fillId="0" borderId="0" xfId="0" applyFont="1"/>
    <xf numFmtId="0" fontId="1" fillId="4" borderId="0" xfId="3" applyNumberFormat="1" applyFont="1" applyBorder="1" applyAlignment="1" applyProtection="1"/>
    <xf numFmtId="166" fontId="5" fillId="5" borderId="0" xfId="2" applyNumberFormat="1" applyFont="1" applyFill="1" applyBorder="1" applyAlignment="1" applyProtection="1"/>
    <xf numFmtId="164" fontId="42" fillId="4" borderId="0" xfId="3" applyNumberFormat="1" applyFont="1" applyBorder="1" applyProtection="1">
      <protection locked="0"/>
    </xf>
    <xf numFmtId="164" fontId="42" fillId="4" borderId="7" xfId="3" applyNumberFormat="1" applyFont="1" applyBorder="1" applyProtection="1">
      <protection locked="0"/>
    </xf>
    <xf numFmtId="2" fontId="56" fillId="5" borderId="0" xfId="0" applyNumberFormat="1" applyFont="1" applyFill="1" applyAlignment="1">
      <alignment vertical="center"/>
    </xf>
    <xf numFmtId="0" fontId="1" fillId="4" borderId="0" xfId="3" applyFont="1" applyBorder="1" applyProtection="1">
      <protection locked="0"/>
    </xf>
    <xf numFmtId="2" fontId="0" fillId="11" borderId="0" xfId="0" applyNumberFormat="1" applyFill="1"/>
    <xf numFmtId="0" fontId="5" fillId="6" borderId="6" xfId="0" applyFont="1" applyFill="1" applyBorder="1"/>
    <xf numFmtId="2" fontId="0" fillId="0" borderId="0" xfId="0" applyNumberFormat="1" applyFill="1"/>
    <xf numFmtId="2" fontId="56" fillId="0" borderId="0" xfId="0" applyNumberFormat="1" applyFont="1" applyFill="1" applyAlignment="1">
      <alignment vertical="center"/>
    </xf>
    <xf numFmtId="2" fontId="61" fillId="0" borderId="0" xfId="0" applyNumberFormat="1" applyFont="1" applyFill="1" applyAlignment="1">
      <alignment vertical="center"/>
    </xf>
    <xf numFmtId="2" fontId="5" fillId="5" borderId="0" xfId="0" applyNumberFormat="1" applyFont="1" applyFill="1"/>
    <xf numFmtId="168" fontId="5" fillId="5" borderId="0" xfId="0" applyNumberFormat="1" applyFont="1" applyFill="1"/>
    <xf numFmtId="164" fontId="5" fillId="5" borderId="0" xfId="0" applyNumberFormat="1" applyFont="1" applyFill="1"/>
    <xf numFmtId="0" fontId="5" fillId="0" borderId="0" xfId="0" quotePrefix="1" applyFont="1"/>
    <xf numFmtId="2" fontId="5" fillId="0" borderId="0" xfId="0" applyNumberFormat="1" applyFont="1"/>
    <xf numFmtId="49" fontId="34" fillId="7" borderId="4" xfId="4" applyNumberFormat="1" applyFont="1" applyFill="1" applyBorder="1" applyAlignment="1" applyProtection="1">
      <alignment horizontal="left" vertical="center"/>
      <protection locked="0"/>
    </xf>
    <xf numFmtId="0" fontId="35" fillId="0" borderId="0" xfId="0" applyFont="1" applyAlignment="1">
      <alignment horizontal="left" vertical="top" wrapText="1"/>
    </xf>
    <xf numFmtId="0" fontId="43" fillId="0" borderId="0" xfId="0" applyFont="1" applyAlignment="1">
      <alignment wrapText="1"/>
    </xf>
    <xf numFmtId="0" fontId="5" fillId="8" borderId="25" xfId="0" applyFont="1" applyFill="1" applyBorder="1" applyAlignment="1" applyProtection="1">
      <protection locked="0"/>
    </xf>
    <xf numFmtId="0" fontId="0" fillId="8" borderId="26" xfId="0" applyFill="1" applyBorder="1" applyAlignment="1"/>
    <xf numFmtId="4" fontId="4" fillId="5" borderId="11" xfId="0" applyNumberFormat="1" applyFont="1" applyFill="1" applyBorder="1" applyAlignment="1">
      <alignment horizontal="left" vertical="center"/>
    </xf>
    <xf numFmtId="0" fontId="0" fillId="5" borderId="39" xfId="0" applyFill="1" applyBorder="1" applyAlignment="1">
      <alignment horizontal="left" vertical="center"/>
    </xf>
    <xf numFmtId="0" fontId="5" fillId="9" borderId="0" xfId="0" applyFont="1" applyFill="1" applyBorder="1" applyAlignment="1">
      <alignment horizontal="right" vertical="center"/>
    </xf>
    <xf numFmtId="0" fontId="0" fillId="9" borderId="0" xfId="0" applyFill="1" applyBorder="1" applyAlignment="1">
      <alignment horizontal="right" vertical="center"/>
    </xf>
    <xf numFmtId="0" fontId="0" fillId="0" borderId="0" xfId="0" applyFill="1" applyBorder="1" applyAlignment="1"/>
    <xf numFmtId="0" fontId="5" fillId="0" borderId="14" xfId="0" applyFont="1" applyFill="1" applyBorder="1" applyAlignment="1">
      <alignment vertical="top" wrapText="1"/>
    </xf>
    <xf numFmtId="0" fontId="0" fillId="0" borderId="15" xfId="0" applyBorder="1" applyAlignment="1">
      <alignment wrapText="1"/>
    </xf>
    <xf numFmtId="0" fontId="0" fillId="0" borderId="16" xfId="0" applyBorder="1" applyAlignment="1">
      <alignment wrapText="1"/>
    </xf>
    <xf numFmtId="0" fontId="0" fillId="0" borderId="17" xfId="0" applyBorder="1" applyAlignment="1">
      <alignment wrapText="1"/>
    </xf>
    <xf numFmtId="0" fontId="0" fillId="0" borderId="0" xfId="0" applyBorder="1" applyAlignment="1">
      <alignment wrapText="1"/>
    </xf>
    <xf numFmtId="0" fontId="0" fillId="0" borderId="18" xfId="0" applyBorder="1" applyAlignment="1">
      <alignment wrapText="1"/>
    </xf>
    <xf numFmtId="0" fontId="0" fillId="0" borderId="19" xfId="0" applyBorder="1" applyAlignment="1">
      <alignment wrapText="1"/>
    </xf>
    <xf numFmtId="0" fontId="0" fillId="0" borderId="1" xfId="0" applyBorder="1" applyAlignment="1">
      <alignment wrapText="1"/>
    </xf>
    <xf numFmtId="0" fontId="0" fillId="0" borderId="20" xfId="0" applyBorder="1" applyAlignment="1">
      <alignment wrapText="1"/>
    </xf>
    <xf numFmtId="0" fontId="0" fillId="0" borderId="0" xfId="0" applyAlignment="1"/>
    <xf numFmtId="0" fontId="5" fillId="0" borderId="0" xfId="0" applyFont="1" applyAlignment="1">
      <alignment horizontal="right"/>
    </xf>
    <xf numFmtId="0" fontId="16" fillId="0" borderId="73" xfId="0" applyFont="1" applyBorder="1" applyAlignment="1">
      <alignment horizontal="center"/>
    </xf>
    <xf numFmtId="0" fontId="0" fillId="0" borderId="73" xfId="0" applyBorder="1" applyAlignment="1">
      <alignment horizontal="center"/>
    </xf>
    <xf numFmtId="0" fontId="31" fillId="0" borderId="0" xfId="0" applyFont="1" applyAlignment="1">
      <alignment vertical="top" wrapText="1"/>
    </xf>
  </cellXfs>
  <cellStyles count="6">
    <cellStyle name="40% - Accent5" xfId="3" builtinId="47"/>
    <cellStyle name="Good" xfId="1" builtinId="26" customBuiltin="1"/>
    <cellStyle name="Normal" xfId="0" builtinId="0"/>
    <cellStyle name="Normal_Compress Nelson F" xfId="4" xr:uid="{00000000-0005-0000-0000-000003000000}"/>
    <cellStyle name="Normal_Valve P1 and P2 vs Q Rev 3" xfId="5" xr:uid="{00000000-0005-0000-0000-000004000000}"/>
    <cellStyle name="Note" xfId="2" builtinId="10"/>
  </cellStyles>
  <dxfs count="0"/>
  <tableStyles count="0" defaultTableStyle="TableStyleMedium9" defaultPivotStyle="PivotStyleLight16"/>
  <colors>
    <mruColors>
      <color rgb="FFB7DEE8"/>
      <color rgb="FF000000"/>
      <color rgb="FF990000"/>
      <color rgb="FF006600"/>
      <color rgb="FF0000CC"/>
      <color rgb="FF800000"/>
      <color rgb="FF00602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3.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externalLink" Target="externalLinks/externalLink2.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externalLink" Target="externalLinks/externalLink6.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externalLink" Target="externalLinks/externalLink5.xml"/><Relationship Id="rId4" Type="http://schemas.openxmlformats.org/officeDocument/2006/relationships/worksheet" Target="worksheets/sheet4.xml"/><Relationship Id="rId9" Type="http://schemas.openxmlformats.org/officeDocument/2006/relationships/externalLink" Target="externalLinks/externalLink4.xml"/><Relationship Id="rId14"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chart>
    <c:title>
      <c:tx>
        <c:rich>
          <a:bodyPr/>
          <a:lstStyle/>
          <a:p>
            <a:pPr algn="ctr">
              <a:defRPr sz="1800"/>
            </a:pPr>
            <a:r>
              <a:rPr lang="en-US" sz="1800"/>
              <a:t>Installed Flow</a:t>
            </a:r>
          </a:p>
        </c:rich>
      </c:tx>
      <c:layout>
        <c:manualLayout>
          <c:xMode val="edge"/>
          <c:yMode val="edge"/>
          <c:x val="0.36288580264533782"/>
          <c:y val="2.4559549238295307E-2"/>
        </c:manualLayout>
      </c:layout>
      <c:overlay val="0"/>
      <c:spPr>
        <a:noFill/>
      </c:spPr>
    </c:title>
    <c:autoTitleDeleted val="0"/>
    <c:plotArea>
      <c:layout>
        <c:manualLayout>
          <c:layoutTarget val="inner"/>
          <c:xMode val="edge"/>
          <c:yMode val="edge"/>
          <c:x val="0.15932938905467844"/>
          <c:y val="9.9524713040467561E-2"/>
          <c:w val="0.77767403432448001"/>
          <c:h val="0.780831196086057"/>
        </c:manualLayout>
      </c:layout>
      <c:scatterChart>
        <c:scatterStyle val="smoothMarker"/>
        <c:varyColors val="0"/>
        <c:ser>
          <c:idx val="1"/>
          <c:order val="1"/>
          <c:spPr>
            <a:ln w="41275" cap="sq">
              <a:solidFill>
                <a:srgbClr val="0000CC"/>
              </a:solidFill>
              <a:prstDash val="sysDot"/>
            </a:ln>
          </c:spPr>
          <c:marker>
            <c:symbol val="none"/>
          </c:marker>
          <c:xVal>
            <c:numRef>
              <c:f>'Installed Flow'!$B$36:$L$36</c:f>
              <c:numCache>
                <c:formatCode>General</c:formatCode>
                <c:ptCount val="11"/>
                <c:pt idx="0">
                  <c:v>0</c:v>
                </c:pt>
                <c:pt idx="1">
                  <c:v>0.1</c:v>
                </c:pt>
                <c:pt idx="2">
                  <c:v>0.2</c:v>
                </c:pt>
                <c:pt idx="3">
                  <c:v>0.3</c:v>
                </c:pt>
                <c:pt idx="4">
                  <c:v>0.4</c:v>
                </c:pt>
                <c:pt idx="5">
                  <c:v>0.5</c:v>
                </c:pt>
                <c:pt idx="6">
                  <c:v>0.6</c:v>
                </c:pt>
                <c:pt idx="7">
                  <c:v>0.7</c:v>
                </c:pt>
                <c:pt idx="8">
                  <c:v>0.8</c:v>
                </c:pt>
                <c:pt idx="9">
                  <c:v>0.9</c:v>
                </c:pt>
                <c:pt idx="10">
                  <c:v>1</c:v>
                </c:pt>
              </c:numCache>
            </c:numRef>
          </c:xVal>
          <c:yVal>
            <c:numRef>
              <c:f>'Installed Flow'!$B$38:$L$38</c:f>
              <c:numCache>
                <c:formatCode>0.0000</c:formatCode>
                <c:ptCount val="11"/>
                <c:pt idx="0" formatCode="General">
                  <c:v>0.1150230171893753</c:v>
                </c:pt>
                <c:pt idx="1">
                  <c:v>0.1150230171893753</c:v>
                </c:pt>
                <c:pt idx="2">
                  <c:v>0.1150230171893753</c:v>
                </c:pt>
                <c:pt idx="3">
                  <c:v>0.1150230171893753</c:v>
                </c:pt>
                <c:pt idx="4">
                  <c:v>0.1150230171893753</c:v>
                </c:pt>
                <c:pt idx="5">
                  <c:v>0.1150230171893753</c:v>
                </c:pt>
                <c:pt idx="6">
                  <c:v>0.1150230171893753</c:v>
                </c:pt>
                <c:pt idx="7">
                  <c:v>0.1150230171893753</c:v>
                </c:pt>
                <c:pt idx="8">
                  <c:v>0.1150230171893753</c:v>
                </c:pt>
                <c:pt idx="9">
                  <c:v>0.1150230171893753</c:v>
                </c:pt>
                <c:pt idx="10">
                  <c:v>0.1150230171893753</c:v>
                </c:pt>
              </c:numCache>
            </c:numRef>
          </c:yVal>
          <c:smooth val="1"/>
          <c:extLst>
            <c:ext xmlns:c16="http://schemas.microsoft.com/office/drawing/2014/chart" uri="{C3380CC4-5D6E-409C-BE32-E72D297353CC}">
              <c16:uniqueId val="{00000000-23FB-4030-A87D-0DE3821EC9EB}"/>
            </c:ext>
          </c:extLst>
        </c:ser>
        <c:ser>
          <c:idx val="2"/>
          <c:order val="2"/>
          <c:spPr>
            <a:ln w="41275" cap="sq">
              <a:solidFill>
                <a:srgbClr val="800000"/>
              </a:solidFill>
              <a:prstDash val="sysDot"/>
            </a:ln>
          </c:spPr>
          <c:marker>
            <c:symbol val="none"/>
          </c:marker>
          <c:xVal>
            <c:numRef>
              <c:f>'Installed Flow'!$B$36:$L$36</c:f>
              <c:numCache>
                <c:formatCode>General</c:formatCode>
                <c:ptCount val="11"/>
                <c:pt idx="0">
                  <c:v>0</c:v>
                </c:pt>
                <c:pt idx="1">
                  <c:v>0.1</c:v>
                </c:pt>
                <c:pt idx="2">
                  <c:v>0.2</c:v>
                </c:pt>
                <c:pt idx="3">
                  <c:v>0.3</c:v>
                </c:pt>
                <c:pt idx="4">
                  <c:v>0.4</c:v>
                </c:pt>
                <c:pt idx="5">
                  <c:v>0.5</c:v>
                </c:pt>
                <c:pt idx="6">
                  <c:v>0.6</c:v>
                </c:pt>
                <c:pt idx="7">
                  <c:v>0.7</c:v>
                </c:pt>
                <c:pt idx="8">
                  <c:v>0.8</c:v>
                </c:pt>
                <c:pt idx="9">
                  <c:v>0.9</c:v>
                </c:pt>
                <c:pt idx="10">
                  <c:v>1</c:v>
                </c:pt>
              </c:numCache>
            </c:numRef>
          </c:xVal>
          <c:yVal>
            <c:numRef>
              <c:f>'Installed Flow'!$B$39:$L$39</c:f>
              <c:numCache>
                <c:formatCode>General</c:formatCode>
                <c:ptCount val="11"/>
                <c:pt idx="0">
                  <c:v>0.72067696534198988</c:v>
                </c:pt>
                <c:pt idx="1">
                  <c:v>0.72067696534198988</c:v>
                </c:pt>
                <c:pt idx="2">
                  <c:v>0.72067696534198988</c:v>
                </c:pt>
                <c:pt idx="3">
                  <c:v>0.72067696534198988</c:v>
                </c:pt>
                <c:pt idx="4">
                  <c:v>0.72067696534198988</c:v>
                </c:pt>
                <c:pt idx="5">
                  <c:v>0.72067696534198988</c:v>
                </c:pt>
                <c:pt idx="6">
                  <c:v>0.72067696534198988</c:v>
                </c:pt>
                <c:pt idx="7">
                  <c:v>0.72067696534198988</c:v>
                </c:pt>
                <c:pt idx="8">
                  <c:v>0.72067696534198988</c:v>
                </c:pt>
                <c:pt idx="9">
                  <c:v>0.72067696534198988</c:v>
                </c:pt>
                <c:pt idx="10" formatCode="0.0000">
                  <c:v>0.72067696534198988</c:v>
                </c:pt>
              </c:numCache>
            </c:numRef>
          </c:yVal>
          <c:smooth val="1"/>
          <c:extLst>
            <c:ext xmlns:c16="http://schemas.microsoft.com/office/drawing/2014/chart" uri="{C3380CC4-5D6E-409C-BE32-E72D297353CC}">
              <c16:uniqueId val="{00000001-23FB-4030-A87D-0DE3821EC9EB}"/>
            </c:ext>
          </c:extLst>
        </c:ser>
        <c:dLbls>
          <c:showLegendKey val="0"/>
          <c:showVal val="0"/>
          <c:showCatName val="0"/>
          <c:showSerName val="0"/>
          <c:showPercent val="0"/>
          <c:showBubbleSize val="0"/>
        </c:dLbls>
        <c:axId val="106573824"/>
        <c:axId val="106576128"/>
      </c:scatterChart>
      <c:scatterChart>
        <c:scatterStyle val="lineMarker"/>
        <c:varyColors val="0"/>
        <c:ser>
          <c:idx val="0"/>
          <c:order val="0"/>
          <c:spPr>
            <a:ln w="38100" cmpd="sng">
              <a:solidFill>
                <a:srgbClr val="006600"/>
              </a:solidFill>
              <a:prstDash val="solid"/>
            </a:ln>
          </c:spPr>
          <c:marker>
            <c:symbol val="none"/>
          </c:marker>
          <c:xVal>
            <c:numRef>
              <c:f>'Installed Flow'!$B$36:$L$36</c:f>
              <c:numCache>
                <c:formatCode>General</c:formatCode>
                <c:ptCount val="11"/>
                <c:pt idx="0">
                  <c:v>0</c:v>
                </c:pt>
                <c:pt idx="1">
                  <c:v>0.1</c:v>
                </c:pt>
                <c:pt idx="2">
                  <c:v>0.2</c:v>
                </c:pt>
                <c:pt idx="3">
                  <c:v>0.3</c:v>
                </c:pt>
                <c:pt idx="4">
                  <c:v>0.4</c:v>
                </c:pt>
                <c:pt idx="5">
                  <c:v>0.5</c:v>
                </c:pt>
                <c:pt idx="6">
                  <c:v>0.6</c:v>
                </c:pt>
                <c:pt idx="7">
                  <c:v>0.7</c:v>
                </c:pt>
                <c:pt idx="8">
                  <c:v>0.8</c:v>
                </c:pt>
                <c:pt idx="9">
                  <c:v>0.9</c:v>
                </c:pt>
                <c:pt idx="10">
                  <c:v>1</c:v>
                </c:pt>
              </c:numCache>
            </c:numRef>
          </c:xVal>
          <c:yVal>
            <c:numRef>
              <c:f>'Installed Flow'!$B$37:$L$37</c:f>
              <c:numCache>
                <c:formatCode>0.00</c:formatCode>
                <c:ptCount val="11"/>
                <c:pt idx="0">
                  <c:v>0</c:v>
                </c:pt>
                <c:pt idx="1">
                  <c:v>4.6667751318312738E-2</c:v>
                </c:pt>
                <c:pt idx="2">
                  <c:v>0.11541490253769431</c:v>
                </c:pt>
                <c:pt idx="3">
                  <c:v>0.22479877101892409</c:v>
                </c:pt>
                <c:pt idx="4">
                  <c:v>0.36971121232911897</c:v>
                </c:pt>
                <c:pt idx="5">
                  <c:v>0.51854843794167471</c:v>
                </c:pt>
                <c:pt idx="6">
                  <c:v>0.6584189185966457</c:v>
                </c:pt>
                <c:pt idx="7">
                  <c:v>0.77204796336018167</c:v>
                </c:pt>
                <c:pt idx="8">
                  <c:v>0.86134947482837887</c:v>
                </c:pt>
                <c:pt idx="9">
                  <c:v>0.96098034448281622</c:v>
                </c:pt>
                <c:pt idx="10">
                  <c:v>1</c:v>
                </c:pt>
              </c:numCache>
            </c:numRef>
          </c:yVal>
          <c:smooth val="0"/>
          <c:extLst>
            <c:ext xmlns:c16="http://schemas.microsoft.com/office/drawing/2014/chart" uri="{C3380CC4-5D6E-409C-BE32-E72D297353CC}">
              <c16:uniqueId val="{00000002-23FB-4030-A87D-0DE3821EC9EB}"/>
            </c:ext>
          </c:extLst>
        </c:ser>
        <c:dLbls>
          <c:showLegendKey val="0"/>
          <c:showVal val="0"/>
          <c:showCatName val="0"/>
          <c:showSerName val="0"/>
          <c:showPercent val="0"/>
          <c:showBubbleSize val="0"/>
        </c:dLbls>
        <c:axId val="106573824"/>
        <c:axId val="106576128"/>
      </c:scatterChart>
      <c:valAx>
        <c:axId val="106573824"/>
        <c:scaling>
          <c:orientation val="minMax"/>
          <c:max val="1"/>
          <c:min val="0"/>
        </c:scaling>
        <c:delete val="0"/>
        <c:axPos val="b"/>
        <c:majorGridlines>
          <c:spPr>
            <a:ln w="25400"/>
          </c:spPr>
        </c:majorGridlines>
        <c:minorGridlines/>
        <c:title>
          <c:tx>
            <c:rich>
              <a:bodyPr/>
              <a:lstStyle/>
              <a:p>
                <a:pPr algn="ctr">
                  <a:defRPr sz="1400" b="1"/>
                </a:pPr>
                <a:r>
                  <a:rPr lang="en-US" sz="1400" b="1"/>
                  <a:t>Relative Travel, h</a:t>
                </a:r>
              </a:p>
            </c:rich>
          </c:tx>
          <c:layout>
            <c:manualLayout>
              <c:xMode val="edge"/>
              <c:yMode val="edge"/>
              <c:x val="0.36956505943633339"/>
              <c:y val="0.92551924451355183"/>
            </c:manualLayout>
          </c:layout>
          <c:overlay val="0"/>
        </c:title>
        <c:numFmt formatCode="#,##0.0" sourceLinked="0"/>
        <c:majorTickMark val="out"/>
        <c:minorTickMark val="none"/>
        <c:tickLblPos val="nextTo"/>
        <c:crossAx val="106576128"/>
        <c:crosses val="autoZero"/>
        <c:crossBetween val="midCat"/>
        <c:majorUnit val="0.1"/>
      </c:valAx>
      <c:valAx>
        <c:axId val="106576128"/>
        <c:scaling>
          <c:orientation val="minMax"/>
          <c:max val="1"/>
          <c:min val="0"/>
        </c:scaling>
        <c:delete val="0"/>
        <c:axPos val="l"/>
        <c:majorGridlines>
          <c:spPr>
            <a:ln>
              <a:solidFill>
                <a:schemeClr val="bg1"/>
              </a:solidFill>
            </a:ln>
          </c:spPr>
        </c:majorGridlines>
        <c:title>
          <c:tx>
            <c:rich>
              <a:bodyPr rot="-5400000" vert="horz" anchor="b" anchorCtr="1"/>
              <a:lstStyle/>
              <a:p>
                <a:pPr>
                  <a:defRPr sz="1400" b="1"/>
                </a:pPr>
                <a:r>
                  <a:rPr lang="en-US" sz="1400" b="1"/>
                  <a:t>Relative Flow - Q/Q</a:t>
                </a:r>
                <a:r>
                  <a:rPr lang="en-US" sz="1800" b="1" baseline="-25000"/>
                  <a:t>f</a:t>
                </a:r>
                <a:endParaRPr lang="en-US" sz="1400" b="1" baseline="-25000"/>
              </a:p>
            </c:rich>
          </c:tx>
          <c:layout>
            <c:manualLayout>
              <c:xMode val="edge"/>
              <c:yMode val="edge"/>
              <c:x val="3.09089638952602E-2"/>
              <c:y val="0.24687429558014592"/>
            </c:manualLayout>
          </c:layout>
          <c:overlay val="0"/>
          <c:spPr>
            <a:noFill/>
          </c:spPr>
        </c:title>
        <c:numFmt formatCode="0.0" sourceLinked="0"/>
        <c:majorTickMark val="out"/>
        <c:minorTickMark val="none"/>
        <c:tickLblPos val="nextTo"/>
        <c:txPr>
          <a:bodyPr/>
          <a:lstStyle/>
          <a:p>
            <a:pPr>
              <a:defRPr>
                <a:solidFill>
                  <a:sysClr val="windowText" lastClr="000000"/>
                </a:solidFill>
              </a:defRPr>
            </a:pPr>
            <a:endParaRPr lang="en-US"/>
          </a:p>
        </c:txPr>
        <c:crossAx val="106573824"/>
        <c:crosses val="autoZero"/>
        <c:crossBetween val="midCat"/>
      </c:valAx>
    </c:plotArea>
    <c:plotVisOnly val="1"/>
    <c:dispBlanksAs val="gap"/>
    <c:showDLblsOverMax val="0"/>
  </c:chart>
  <c:spPr>
    <a:ln w="19050">
      <a:solidFill>
        <a:srgbClr val="0000CC"/>
      </a:solidFill>
    </a:ln>
  </c:spPr>
  <c:printSettings>
    <c:headerFooter/>
    <c:pageMargins b="0.75000000000000422" l="0.70000000000000062" r="0.70000000000000062" t="0.75000000000000422"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Installed Gain </a:t>
            </a:r>
          </a:p>
        </c:rich>
      </c:tx>
      <c:overlay val="0"/>
    </c:title>
    <c:autoTitleDeleted val="0"/>
    <c:plotArea>
      <c:layout>
        <c:manualLayout>
          <c:layoutTarget val="inner"/>
          <c:xMode val="edge"/>
          <c:yMode val="edge"/>
          <c:x val="0.16684461326592928"/>
          <c:y val="0.10359430219153369"/>
          <c:w val="0.79280019631453114"/>
          <c:h val="0.77803672084577902"/>
        </c:manualLayout>
      </c:layout>
      <c:scatterChart>
        <c:scatterStyle val="smoothMarker"/>
        <c:varyColors val="0"/>
        <c:ser>
          <c:idx val="0"/>
          <c:order val="1"/>
          <c:spPr>
            <a:ln w="41275" cap="sq">
              <a:solidFill>
                <a:srgbClr val="0000CC"/>
              </a:solidFill>
              <a:prstDash val="sysDot"/>
            </a:ln>
          </c:spPr>
          <c:marker>
            <c:symbol val="none"/>
          </c:marker>
          <c:xVal>
            <c:numRef>
              <c:f>'Installed Gain'!$C$40:$Z$40</c:f>
              <c:numCache>
                <c:formatCode>0.000</c:formatCode>
                <c:ptCount val="24"/>
                <c:pt idx="0">
                  <c:v>3.2377718147385937E-2</c:v>
                </c:pt>
                <c:pt idx="1">
                  <c:v>6.4755436294771873E-2</c:v>
                </c:pt>
                <c:pt idx="2">
                  <c:v>0.11245166811949676</c:v>
                </c:pt>
                <c:pt idx="3">
                  <c:v>0.16014789994422166</c:v>
                </c:pt>
                <c:pt idx="4">
                  <c:v>0.23603756600932391</c:v>
                </c:pt>
                <c:pt idx="5">
                  <c:v>0.31192723207442619</c:v>
                </c:pt>
                <c:pt idx="6">
                  <c:v>0.41246634202185467</c:v>
                </c:pt>
                <c:pt idx="7">
                  <c:v>0.51300545196928315</c:v>
                </c:pt>
                <c:pt idx="8">
                  <c:v>0.61626754634045999</c:v>
                </c:pt>
                <c:pt idx="9">
                  <c:v>0.71952964071163683</c:v>
                </c:pt>
                <c:pt idx="10">
                  <c:v>0.81657067808446082</c:v>
                </c:pt>
                <c:pt idx="11">
                  <c:v>0.91361171545728492</c:v>
                </c:pt>
                <c:pt idx="12">
                  <c:v>0.99244665137730181</c:v>
                </c:pt>
                <c:pt idx="13">
                  <c:v>1.0712815872973187</c:v>
                </c:pt>
                <c:pt idx="14">
                  <c:v>1.1332382723051571</c:v>
                </c:pt>
                <c:pt idx="15">
                  <c:v>1.1951949573129956</c:v>
                </c:pt>
                <c:pt idx="16">
                  <c:v>1.2643180696405545</c:v>
                </c:pt>
                <c:pt idx="17">
                  <c:v>1.3334411819681136</c:v>
                </c:pt>
                <c:pt idx="18">
                  <c:v>1.3605127115116362</c:v>
                </c:pt>
                <c:pt idx="19">
                  <c:v>1.3875842410551589</c:v>
                </c:pt>
                <c:pt idx="20" formatCode="0.00">
                  <c:v>0.15960412601059382</c:v>
                </c:pt>
                <c:pt idx="21" formatCode="0.00">
                  <c:v>0.15960412601059382</c:v>
                </c:pt>
                <c:pt idx="22" formatCode="0.00">
                  <c:v>1</c:v>
                </c:pt>
                <c:pt idx="23" formatCode="0.00">
                  <c:v>1</c:v>
                </c:pt>
              </c:numCache>
            </c:numRef>
          </c:xVal>
          <c:yVal>
            <c:numRef>
              <c:f>'Installed Gain'!$C$42:$Z$42</c:f>
              <c:numCache>
                <c:formatCode>General</c:formatCode>
                <c:ptCount val="24"/>
                <c:pt idx="20">
                  <c:v>0</c:v>
                </c:pt>
                <c:pt idx="21">
                  <c:v>4</c:v>
                </c:pt>
              </c:numCache>
            </c:numRef>
          </c:yVal>
          <c:smooth val="1"/>
          <c:extLst>
            <c:ext xmlns:c16="http://schemas.microsoft.com/office/drawing/2014/chart" uri="{C3380CC4-5D6E-409C-BE32-E72D297353CC}">
              <c16:uniqueId val="{00000000-E53E-430A-B32F-3184E1F0ED5F}"/>
            </c:ext>
          </c:extLst>
        </c:ser>
        <c:ser>
          <c:idx val="1"/>
          <c:order val="2"/>
          <c:spPr>
            <a:ln w="41275" cap="sq">
              <a:solidFill>
                <a:srgbClr val="800000"/>
              </a:solidFill>
              <a:prstDash val="sysDot"/>
            </a:ln>
          </c:spPr>
          <c:marker>
            <c:symbol val="none"/>
          </c:marker>
          <c:xVal>
            <c:numRef>
              <c:f>'Installed Gain'!$C$40:$Z$40</c:f>
              <c:numCache>
                <c:formatCode>0.000</c:formatCode>
                <c:ptCount val="24"/>
                <c:pt idx="0">
                  <c:v>3.2377718147385937E-2</c:v>
                </c:pt>
                <c:pt idx="1">
                  <c:v>6.4755436294771873E-2</c:v>
                </c:pt>
                <c:pt idx="2">
                  <c:v>0.11245166811949676</c:v>
                </c:pt>
                <c:pt idx="3">
                  <c:v>0.16014789994422166</c:v>
                </c:pt>
                <c:pt idx="4">
                  <c:v>0.23603756600932391</c:v>
                </c:pt>
                <c:pt idx="5">
                  <c:v>0.31192723207442619</c:v>
                </c:pt>
                <c:pt idx="6">
                  <c:v>0.41246634202185467</c:v>
                </c:pt>
                <c:pt idx="7">
                  <c:v>0.51300545196928315</c:v>
                </c:pt>
                <c:pt idx="8">
                  <c:v>0.61626754634045999</c:v>
                </c:pt>
                <c:pt idx="9">
                  <c:v>0.71952964071163683</c:v>
                </c:pt>
                <c:pt idx="10">
                  <c:v>0.81657067808446082</c:v>
                </c:pt>
                <c:pt idx="11">
                  <c:v>0.91361171545728492</c:v>
                </c:pt>
                <c:pt idx="12">
                  <c:v>0.99244665137730181</c:v>
                </c:pt>
                <c:pt idx="13">
                  <c:v>1.0712815872973187</c:v>
                </c:pt>
                <c:pt idx="14">
                  <c:v>1.1332382723051571</c:v>
                </c:pt>
                <c:pt idx="15">
                  <c:v>1.1951949573129956</c:v>
                </c:pt>
                <c:pt idx="16">
                  <c:v>1.2643180696405545</c:v>
                </c:pt>
                <c:pt idx="17">
                  <c:v>1.3334411819681136</c:v>
                </c:pt>
                <c:pt idx="18">
                  <c:v>1.3605127115116362</c:v>
                </c:pt>
                <c:pt idx="19">
                  <c:v>1.3875842410551589</c:v>
                </c:pt>
                <c:pt idx="20" formatCode="0.00">
                  <c:v>0.15960412601059382</c:v>
                </c:pt>
                <c:pt idx="21" formatCode="0.00">
                  <c:v>0.15960412601059382</c:v>
                </c:pt>
                <c:pt idx="22" formatCode="0.00">
                  <c:v>1</c:v>
                </c:pt>
                <c:pt idx="23" formatCode="0.00">
                  <c:v>1</c:v>
                </c:pt>
              </c:numCache>
            </c:numRef>
          </c:xVal>
          <c:yVal>
            <c:numRef>
              <c:f>'Installed Gain'!$C$43:$Z$43</c:f>
              <c:numCache>
                <c:formatCode>General</c:formatCode>
                <c:ptCount val="24"/>
                <c:pt idx="22">
                  <c:v>0</c:v>
                </c:pt>
                <c:pt idx="23">
                  <c:v>4</c:v>
                </c:pt>
              </c:numCache>
            </c:numRef>
          </c:yVal>
          <c:smooth val="1"/>
          <c:extLst>
            <c:ext xmlns:c16="http://schemas.microsoft.com/office/drawing/2014/chart" uri="{C3380CC4-5D6E-409C-BE32-E72D297353CC}">
              <c16:uniqueId val="{00000001-E53E-430A-B32F-3184E1F0ED5F}"/>
            </c:ext>
          </c:extLst>
        </c:ser>
        <c:dLbls>
          <c:showLegendKey val="0"/>
          <c:showVal val="0"/>
          <c:showCatName val="0"/>
          <c:showSerName val="0"/>
          <c:showPercent val="0"/>
          <c:showBubbleSize val="0"/>
        </c:dLbls>
        <c:axId val="106792448"/>
        <c:axId val="106794368"/>
      </c:scatterChart>
      <c:scatterChart>
        <c:scatterStyle val="lineMarker"/>
        <c:varyColors val="0"/>
        <c:ser>
          <c:idx val="2"/>
          <c:order val="0"/>
          <c:spPr>
            <a:ln w="38100" cap="sq">
              <a:solidFill>
                <a:srgbClr val="006600"/>
              </a:solidFill>
              <a:prstDash val="solid"/>
            </a:ln>
          </c:spPr>
          <c:marker>
            <c:symbol val="none"/>
          </c:marker>
          <c:xVal>
            <c:numRef>
              <c:f>'Installed Gain'!$C$40:$Z$40</c:f>
              <c:numCache>
                <c:formatCode>0.000</c:formatCode>
                <c:ptCount val="24"/>
                <c:pt idx="0">
                  <c:v>3.2377718147385937E-2</c:v>
                </c:pt>
                <c:pt idx="1">
                  <c:v>6.4755436294771873E-2</c:v>
                </c:pt>
                <c:pt idx="2">
                  <c:v>0.11245166811949676</c:v>
                </c:pt>
                <c:pt idx="3">
                  <c:v>0.16014789994422166</c:v>
                </c:pt>
                <c:pt idx="4">
                  <c:v>0.23603756600932391</c:v>
                </c:pt>
                <c:pt idx="5">
                  <c:v>0.31192723207442619</c:v>
                </c:pt>
                <c:pt idx="6">
                  <c:v>0.41246634202185467</c:v>
                </c:pt>
                <c:pt idx="7">
                  <c:v>0.51300545196928315</c:v>
                </c:pt>
                <c:pt idx="8">
                  <c:v>0.61626754634045999</c:v>
                </c:pt>
                <c:pt idx="9">
                  <c:v>0.71952964071163683</c:v>
                </c:pt>
                <c:pt idx="10">
                  <c:v>0.81657067808446082</c:v>
                </c:pt>
                <c:pt idx="11">
                  <c:v>0.91361171545728492</c:v>
                </c:pt>
                <c:pt idx="12">
                  <c:v>0.99244665137730181</c:v>
                </c:pt>
                <c:pt idx="13">
                  <c:v>1.0712815872973187</c:v>
                </c:pt>
                <c:pt idx="14">
                  <c:v>1.1332382723051571</c:v>
                </c:pt>
                <c:pt idx="15">
                  <c:v>1.1951949573129956</c:v>
                </c:pt>
                <c:pt idx="16">
                  <c:v>1.2643180696405545</c:v>
                </c:pt>
                <c:pt idx="17">
                  <c:v>1.3334411819681136</c:v>
                </c:pt>
                <c:pt idx="18">
                  <c:v>1.3605127115116362</c:v>
                </c:pt>
                <c:pt idx="19">
                  <c:v>1.3875842410551589</c:v>
                </c:pt>
                <c:pt idx="20" formatCode="0.00">
                  <c:v>0.15960412601059382</c:v>
                </c:pt>
                <c:pt idx="21" formatCode="0.00">
                  <c:v>0.15960412601059382</c:v>
                </c:pt>
                <c:pt idx="22" formatCode="0.00">
                  <c:v>1</c:v>
                </c:pt>
                <c:pt idx="23" formatCode="0.00">
                  <c:v>1</c:v>
                </c:pt>
              </c:numCache>
            </c:numRef>
          </c:xVal>
          <c:yVal>
            <c:numRef>
              <c:f>'Installed Gain'!$C$41:$Z$41</c:f>
              <c:numCache>
                <c:formatCode>0.0000</c:formatCode>
                <c:ptCount val="24"/>
                <c:pt idx="0">
                  <c:v>0.64755436294771873</c:v>
                </c:pt>
                <c:pt idx="1">
                  <c:v>0.80073949972110825</c:v>
                </c:pt>
                <c:pt idx="2">
                  <c:v>0.95392463649449777</c:v>
                </c:pt>
                <c:pt idx="3">
                  <c:v>1.2358589788982715</c:v>
                </c:pt>
                <c:pt idx="4">
                  <c:v>1.5177933213020451</c:v>
                </c:pt>
                <c:pt idx="5">
                  <c:v>1.7642877601253075</c:v>
                </c:pt>
                <c:pt idx="6">
                  <c:v>2.0107821989485695</c:v>
                </c:pt>
                <c:pt idx="7">
                  <c:v>2.0380120431860531</c:v>
                </c:pt>
                <c:pt idx="8">
                  <c:v>2.0652418874235368</c:v>
                </c:pt>
                <c:pt idx="9">
                  <c:v>2.0030313174400081</c:v>
                </c:pt>
                <c:pt idx="10">
                  <c:v>1.9408207474564809</c:v>
                </c:pt>
                <c:pt idx="11">
                  <c:v>1.7587597329284099</c:v>
                </c:pt>
                <c:pt idx="12">
                  <c:v>1.5766987184003378</c:v>
                </c:pt>
                <c:pt idx="13">
                  <c:v>1.4079162092785524</c:v>
                </c:pt>
                <c:pt idx="14">
                  <c:v>1.2391337001567693</c:v>
                </c:pt>
                <c:pt idx="15">
                  <c:v>1.3107979733539743</c:v>
                </c:pt>
                <c:pt idx="16">
                  <c:v>1.3824622465511793</c:v>
                </c:pt>
                <c:pt idx="17">
                  <c:v>0.96194641871081732</c:v>
                </c:pt>
                <c:pt idx="18">
                  <c:v>0.54143059087045309</c:v>
                </c:pt>
              </c:numCache>
            </c:numRef>
          </c:yVal>
          <c:smooth val="0"/>
          <c:extLst>
            <c:ext xmlns:c16="http://schemas.microsoft.com/office/drawing/2014/chart" uri="{C3380CC4-5D6E-409C-BE32-E72D297353CC}">
              <c16:uniqueId val="{00000002-E53E-430A-B32F-3184E1F0ED5F}"/>
            </c:ext>
          </c:extLst>
        </c:ser>
        <c:dLbls>
          <c:showLegendKey val="0"/>
          <c:showVal val="0"/>
          <c:showCatName val="0"/>
          <c:showSerName val="0"/>
          <c:showPercent val="0"/>
          <c:showBubbleSize val="0"/>
        </c:dLbls>
        <c:axId val="106792448"/>
        <c:axId val="106794368"/>
      </c:scatterChart>
      <c:valAx>
        <c:axId val="106792448"/>
        <c:scaling>
          <c:orientation val="minMax"/>
          <c:max val="1.2"/>
          <c:min val="0"/>
        </c:scaling>
        <c:delete val="0"/>
        <c:axPos val="b"/>
        <c:title>
          <c:tx>
            <c:rich>
              <a:bodyPr/>
              <a:lstStyle/>
              <a:p>
                <a:pPr>
                  <a:defRPr sz="1600"/>
                </a:pPr>
                <a:r>
                  <a:rPr lang="en-US" sz="1400"/>
                  <a:t>Q/Q</a:t>
                </a:r>
                <a:r>
                  <a:rPr lang="en-US" sz="2000" baseline="-25000"/>
                  <a:t>ma</a:t>
                </a:r>
                <a:r>
                  <a:rPr lang="en-US" sz="2400" baseline="-25000"/>
                  <a:t>x</a:t>
                </a:r>
                <a:endParaRPr lang="en-US" sz="1600" baseline="-25000"/>
              </a:p>
            </c:rich>
          </c:tx>
          <c:layout>
            <c:manualLayout>
              <c:xMode val="edge"/>
              <c:yMode val="edge"/>
              <c:x val="0.4315279891938173"/>
              <c:y val="0.89455620790343149"/>
            </c:manualLayout>
          </c:layout>
          <c:overlay val="0"/>
        </c:title>
        <c:numFmt formatCode="0.0" sourceLinked="0"/>
        <c:majorTickMark val="out"/>
        <c:minorTickMark val="none"/>
        <c:tickLblPos val="nextTo"/>
        <c:spPr>
          <a:ln>
            <a:solidFill>
              <a:schemeClr val="tx1"/>
            </a:solidFill>
          </a:ln>
        </c:spPr>
        <c:crossAx val="106794368"/>
        <c:crossesAt val="0"/>
        <c:crossBetween val="midCat"/>
        <c:majorUnit val="0.1"/>
      </c:valAx>
      <c:valAx>
        <c:axId val="106794368"/>
        <c:scaling>
          <c:orientation val="minMax"/>
          <c:max val="4"/>
          <c:min val="0"/>
        </c:scaling>
        <c:delete val="0"/>
        <c:axPos val="l"/>
        <c:majorGridlines>
          <c:spPr>
            <a:ln w="25400">
              <a:solidFill>
                <a:sysClr val="windowText" lastClr="000000">
                  <a:tint val="75000"/>
                  <a:shade val="95000"/>
                  <a:satMod val="105000"/>
                </a:sysClr>
              </a:solidFill>
            </a:ln>
          </c:spPr>
        </c:majorGridlines>
        <c:minorGridlines/>
        <c:title>
          <c:tx>
            <c:rich>
              <a:bodyPr rot="-5400000" vert="horz"/>
              <a:lstStyle/>
              <a:p>
                <a:pPr>
                  <a:defRPr sz="1400"/>
                </a:pPr>
                <a:r>
                  <a:rPr lang="en-US" sz="1400" b="1" i="0" u="none" strike="noStrike" baseline="0"/>
                  <a:t>Gain,   d(Q/Q</a:t>
                </a:r>
                <a:r>
                  <a:rPr lang="en-US" sz="1800" b="1" i="0" u="none" strike="noStrike" baseline="-25000"/>
                  <a:t>max</a:t>
                </a:r>
                <a:r>
                  <a:rPr lang="en-US" sz="1400" b="1" i="0" u="none" strike="noStrike" baseline="0"/>
                  <a:t>)/dh</a:t>
                </a:r>
                <a:endParaRPr lang="en-US" sz="1400"/>
              </a:p>
            </c:rich>
          </c:tx>
          <c:overlay val="0"/>
        </c:title>
        <c:numFmt formatCode="General" sourceLinked="0"/>
        <c:majorTickMark val="out"/>
        <c:minorTickMark val="none"/>
        <c:tickLblPos val="nextTo"/>
        <c:crossAx val="106792448"/>
        <c:crosses val="autoZero"/>
        <c:crossBetween val="midCat"/>
      </c:valAx>
      <c:spPr>
        <a:noFill/>
        <a:ln w="25400">
          <a:noFill/>
        </a:ln>
      </c:spPr>
    </c:plotArea>
    <c:plotVisOnly val="1"/>
    <c:dispBlanksAs val="gap"/>
    <c:showDLblsOverMax val="0"/>
  </c:chart>
  <c:spPr>
    <a:noFill/>
    <a:ln w="19050">
      <a:solidFill>
        <a:srgbClr val="0000CC"/>
      </a:solidFill>
    </a:ln>
  </c:spPr>
  <c:printSettings>
    <c:headerFooter/>
    <c:pageMargins b="0.75000000000000411" l="0.70000000000000062" r="0.70000000000000062" t="0.75000000000000411" header="0.30000000000000032" footer="0.30000000000000032"/>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editAs="oneCell">
    <xdr:from>
      <xdr:col>8</xdr:col>
      <xdr:colOff>19050</xdr:colOff>
      <xdr:row>9</xdr:row>
      <xdr:rowOff>92075</xdr:rowOff>
    </xdr:from>
    <xdr:to>
      <xdr:col>11</xdr:col>
      <xdr:colOff>515220</xdr:colOff>
      <xdr:row>22</xdr:row>
      <xdr:rowOff>100012</xdr:rowOff>
    </xdr:to>
    <xdr:pic>
      <xdr:nvPicPr>
        <xdr:cNvPr id="2" name="Picture 1" descr="Figure 1.jpg">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stretch>
          <a:fillRect/>
        </a:stretch>
      </xdr:blipFill>
      <xdr:spPr>
        <a:xfrm>
          <a:off x="6892925" y="1600200"/>
          <a:ext cx="2305920" cy="208756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7</xdr:col>
      <xdr:colOff>289986</xdr:colOff>
      <xdr:row>18</xdr:row>
      <xdr:rowOff>73002</xdr:rowOff>
    </xdr:from>
    <xdr:to>
      <xdr:col>8</xdr:col>
      <xdr:colOff>501654</xdr:colOff>
      <xdr:row>18</xdr:row>
      <xdr:rowOff>73002</xdr:rowOff>
    </xdr:to>
    <xdr:cxnSp macro="">
      <xdr:nvCxnSpPr>
        <xdr:cNvPr id="4" name="Straight Connector 3">
          <a:extLst>
            <a:ext uri="{FF2B5EF4-FFF2-40B4-BE49-F238E27FC236}">
              <a16:creationId xmlns:a16="http://schemas.microsoft.com/office/drawing/2014/main" id="{00000000-0008-0000-0100-000004000000}"/>
            </a:ext>
          </a:extLst>
        </xdr:cNvPr>
        <xdr:cNvCxnSpPr/>
      </xdr:nvCxnSpPr>
      <xdr:spPr>
        <a:xfrm>
          <a:off x="6057903" y="3110419"/>
          <a:ext cx="793751" cy="0"/>
        </a:xfrm>
        <a:prstGeom prst="line">
          <a:avLst/>
        </a:prstGeom>
        <a:ln w="28575">
          <a:solidFill>
            <a:srgbClr val="800000"/>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235216</xdr:colOff>
      <xdr:row>8</xdr:row>
      <xdr:rowOff>74084</xdr:rowOff>
    </xdr:from>
    <xdr:to>
      <xdr:col>6</xdr:col>
      <xdr:colOff>389479</xdr:colOff>
      <xdr:row>30</xdr:row>
      <xdr:rowOff>138600</xdr:rowOff>
    </xdr:to>
    <xdr:graphicFrame macro="">
      <xdr:nvGraphicFramePr>
        <xdr:cNvPr id="2" name="Chart 1">
          <a:extLst>
            <a:ext uri="{FF2B5EF4-FFF2-40B4-BE49-F238E27FC236}">
              <a16:creationId xmlns:a16="http://schemas.microsoft.com/office/drawing/2014/main" id="{00000000-0008-0000-01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253998</xdr:colOff>
      <xdr:row>22</xdr:row>
      <xdr:rowOff>84665</xdr:rowOff>
    </xdr:from>
    <xdr:to>
      <xdr:col>8</xdr:col>
      <xdr:colOff>465665</xdr:colOff>
      <xdr:row>22</xdr:row>
      <xdr:rowOff>84665</xdr:rowOff>
    </xdr:to>
    <xdr:cxnSp macro="">
      <xdr:nvCxnSpPr>
        <xdr:cNvPr id="5" name="Straight Connector 4">
          <a:extLst>
            <a:ext uri="{FF2B5EF4-FFF2-40B4-BE49-F238E27FC236}">
              <a16:creationId xmlns:a16="http://schemas.microsoft.com/office/drawing/2014/main" id="{00000000-0008-0000-0100-000005000000}"/>
            </a:ext>
          </a:extLst>
        </xdr:cNvPr>
        <xdr:cNvCxnSpPr/>
      </xdr:nvCxnSpPr>
      <xdr:spPr>
        <a:xfrm>
          <a:off x="5359398" y="3827990"/>
          <a:ext cx="821267" cy="0"/>
        </a:xfrm>
        <a:prstGeom prst="line">
          <a:avLst/>
        </a:prstGeom>
        <a:ln w="28575">
          <a:solidFill>
            <a:srgbClr val="0000CC"/>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95250</xdr:colOff>
      <xdr:row>7</xdr:row>
      <xdr:rowOff>84667</xdr:rowOff>
    </xdr:from>
    <xdr:to>
      <xdr:col>10</xdr:col>
      <xdr:colOff>203489</xdr:colOff>
      <xdr:row>31</xdr:row>
      <xdr:rowOff>125078</xdr:rowOff>
    </xdr:to>
    <xdr:sp macro="" textlink="">
      <xdr:nvSpPr>
        <xdr:cNvPr id="6" name="Rectangle 5">
          <a:extLst>
            <a:ext uri="{FF2B5EF4-FFF2-40B4-BE49-F238E27FC236}">
              <a16:creationId xmlns:a16="http://schemas.microsoft.com/office/drawing/2014/main" id="{00000000-0008-0000-0100-000006000000}"/>
            </a:ext>
          </a:extLst>
        </xdr:cNvPr>
        <xdr:cNvSpPr/>
      </xdr:nvSpPr>
      <xdr:spPr>
        <a:xfrm>
          <a:off x="95250" y="1375834"/>
          <a:ext cx="7622406" cy="3850411"/>
        </a:xfrm>
        <a:prstGeom prst="rect">
          <a:avLst/>
        </a:prstGeom>
        <a:noFill/>
        <a:ln cmpd="dbl">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194467</xdr:colOff>
      <xdr:row>4</xdr:row>
      <xdr:rowOff>62368</xdr:rowOff>
    </xdr:from>
    <xdr:to>
      <xdr:col>6</xdr:col>
      <xdr:colOff>539992</xdr:colOff>
      <xdr:row>30</xdr:row>
      <xdr:rowOff>141108</xdr:rowOff>
    </xdr:to>
    <xdr:graphicFrame macro="">
      <xdr:nvGraphicFramePr>
        <xdr:cNvPr id="10" name="Chart 9">
          <a:extLst>
            <a:ext uri="{FF2B5EF4-FFF2-40B4-BE49-F238E27FC236}">
              <a16:creationId xmlns:a16="http://schemas.microsoft.com/office/drawing/2014/main" id="{00000000-0008-0000-0200-00000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253998</xdr:colOff>
      <xdr:row>22</xdr:row>
      <xdr:rowOff>84665</xdr:rowOff>
    </xdr:from>
    <xdr:to>
      <xdr:col>8</xdr:col>
      <xdr:colOff>465665</xdr:colOff>
      <xdr:row>22</xdr:row>
      <xdr:rowOff>84665</xdr:rowOff>
    </xdr:to>
    <xdr:cxnSp macro="">
      <xdr:nvCxnSpPr>
        <xdr:cNvPr id="4" name="Straight Connector 3">
          <a:extLst>
            <a:ext uri="{FF2B5EF4-FFF2-40B4-BE49-F238E27FC236}">
              <a16:creationId xmlns:a16="http://schemas.microsoft.com/office/drawing/2014/main" id="{00000000-0008-0000-0200-000004000000}"/>
            </a:ext>
          </a:extLst>
        </xdr:cNvPr>
        <xdr:cNvCxnSpPr/>
      </xdr:nvCxnSpPr>
      <xdr:spPr>
        <a:xfrm>
          <a:off x="5386915" y="3757082"/>
          <a:ext cx="825500" cy="0"/>
        </a:xfrm>
        <a:prstGeom prst="line">
          <a:avLst/>
        </a:prstGeom>
        <a:ln w="28575">
          <a:solidFill>
            <a:srgbClr val="0000CC"/>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296600</xdr:colOff>
      <xdr:row>18</xdr:row>
      <xdr:rowOff>91523</xdr:rowOff>
    </xdr:from>
    <xdr:to>
      <xdr:col>8</xdr:col>
      <xdr:colOff>508267</xdr:colOff>
      <xdr:row>18</xdr:row>
      <xdr:rowOff>91523</xdr:rowOff>
    </xdr:to>
    <xdr:cxnSp macro="">
      <xdr:nvCxnSpPr>
        <xdr:cNvPr id="5" name="Straight Connector 4">
          <a:extLst>
            <a:ext uri="{FF2B5EF4-FFF2-40B4-BE49-F238E27FC236}">
              <a16:creationId xmlns:a16="http://schemas.microsoft.com/office/drawing/2014/main" id="{00000000-0008-0000-0200-000005000000}"/>
            </a:ext>
          </a:extLst>
        </xdr:cNvPr>
        <xdr:cNvCxnSpPr/>
      </xdr:nvCxnSpPr>
      <xdr:spPr>
        <a:xfrm>
          <a:off x="5429517" y="3128940"/>
          <a:ext cx="825500" cy="0"/>
        </a:xfrm>
        <a:prstGeom prst="line">
          <a:avLst/>
        </a:prstGeom>
        <a:ln w="28575" cap="sq">
          <a:solidFill>
            <a:srgbClr val="800000"/>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84666</xdr:colOff>
      <xdr:row>3</xdr:row>
      <xdr:rowOff>84667</xdr:rowOff>
    </xdr:from>
    <xdr:to>
      <xdr:col>10</xdr:col>
      <xdr:colOff>306914</xdr:colOff>
      <xdr:row>31</xdr:row>
      <xdr:rowOff>116417</xdr:rowOff>
    </xdr:to>
    <xdr:sp macro="" textlink="">
      <xdr:nvSpPr>
        <xdr:cNvPr id="6" name="Rectangle 5">
          <a:extLst>
            <a:ext uri="{FF2B5EF4-FFF2-40B4-BE49-F238E27FC236}">
              <a16:creationId xmlns:a16="http://schemas.microsoft.com/office/drawing/2014/main" id="{00000000-0008-0000-0200-000006000000}"/>
            </a:ext>
          </a:extLst>
        </xdr:cNvPr>
        <xdr:cNvSpPr/>
      </xdr:nvSpPr>
      <xdr:spPr>
        <a:xfrm>
          <a:off x="84666" y="740834"/>
          <a:ext cx="7196665" cy="4476750"/>
        </a:xfrm>
        <a:prstGeom prst="rect">
          <a:avLst/>
        </a:prstGeom>
        <a:noFill/>
        <a:ln cmpd="dbl">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Jon/Desktop/Google%20Drive/00000%20EXCEL%20Sheets/!%20IEC%20Aero%20Noise/4%20Column%20Final/IEC%20Aero%20Noise%20MASS%204C%20R1a.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JonM/Desktop/!%200%20GOOGLE%20DRIVE/EXCEL%20Sheets/!%20Valve%20sizing%204%20Col/Sizing%204%20Col/4Col%20Sizing%20for%20Web/New%20Version%20for%20WEB%203.1a/Working%20Fully%20Open%20Flow%20REV%201e%20-%20Ga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Jon/Desktop/Google%20Drive/00000%20EXCEL%20Sheets/!%20Valve%20sizing%204%20Col/4Col%20Sizing%20for%20Web/0%20%203.3%20WITH%20FL%20XT/Control%20Valve%20Sizing%20-%20Gas%20add%20xT%20Rev%203.3.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JonM/Desktop/!%200%20GOOGLE%20DRIVE/EXCEL%20Sheets/!%20Valve%20sizing%204%20Col/Sizing%204%20Col/4Col%20Sizing%20for%20Web/New%20Version%20for%20WEB%203.1a/Fully%20Open%20Flow%20-%20Liquid%20Rev%201e.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JonM/Desktop/!%200%20GOOGLE%20DRIVE/EXCEL%20Sheets/!%20Valve%20sizing%204%20Col/Sizing%204%20Col/4Col%20Sizing%20for%20Web/New%20Version%20for%20WEB%203.1a/Control%20Valve%20Sizing%20w%20Inst%20Flow%20&amp;%20Gain%20-%20Gas%20Rev%20A.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Jon/Desktop/Google%20Drive/EXCEL%20Sheets/!%20Valve%20sizing%204%20Col/4Col%20Sizing%20for%20Web/0%20WORKING%20Rev%203.2/Control%20Valve%20Sizing%20-%20Gas%20Rev%203.1b%2019%20step.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I"/>
      <sheetName val="Calcs"/>
      <sheetName val="Density, Molecular Mass"/>
    </sheetNames>
    <sheetDataSet>
      <sheetData sheetId="0">
        <row r="5">
          <cell r="D5">
            <v>100</v>
          </cell>
          <cell r="E5">
            <v>145.03800000000001</v>
          </cell>
          <cell r="F5">
            <v>145.03800000000001</v>
          </cell>
          <cell r="G5">
            <v>80</v>
          </cell>
          <cell r="S5">
            <v>689475.73</v>
          </cell>
        </row>
        <row r="6">
          <cell r="D6">
            <v>100</v>
          </cell>
          <cell r="F6">
            <v>350.6</v>
          </cell>
          <cell r="G6">
            <v>100</v>
          </cell>
          <cell r="S6">
            <v>310.92777777777775</v>
          </cell>
        </row>
        <row r="9">
          <cell r="D9">
            <v>28.97</v>
          </cell>
          <cell r="S9">
            <v>28.97</v>
          </cell>
        </row>
      </sheetData>
      <sheetData sheetId="1" refreshError="1"/>
      <sheetData sheetId="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lve Sizing"/>
      <sheetName val="Full Open Flow"/>
    </sheetNames>
    <sheetDataSet>
      <sheetData sheetId="0">
        <row r="2">
          <cell r="D2">
            <v>15000</v>
          </cell>
        </row>
      </sheetData>
      <sheetData sheetId="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lve Sizing"/>
      <sheetName val="Installed Flow"/>
      <sheetName val="Installed Gain"/>
      <sheetName val="Typical xT"/>
    </sheetNames>
    <sheetDataSet>
      <sheetData sheetId="0">
        <row r="4">
          <cell r="D4">
            <v>15000</v>
          </cell>
        </row>
      </sheetData>
      <sheetData sheetId="1"/>
      <sheetData sheetId="2"/>
      <sheetData sheetId="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lve Sizing"/>
      <sheetName val="Full Open Flow"/>
    </sheetNames>
    <sheetDataSet>
      <sheetData sheetId="0" refreshError="1">
        <row r="2">
          <cell r="D2">
            <v>110</v>
          </cell>
        </row>
        <row r="52">
          <cell r="B52">
            <v>-124361963953.92</v>
          </cell>
          <cell r="E52">
            <v>-277646548608</v>
          </cell>
        </row>
      </sheetData>
      <sheetData sheetId="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lve Sizing"/>
      <sheetName val="Installed Flow"/>
      <sheetName val="Installed Gain"/>
    </sheetNames>
    <sheetDataSet>
      <sheetData sheetId="0">
        <row r="1">
          <cell r="E1" t="str">
            <v>PV123</v>
          </cell>
        </row>
      </sheetData>
      <sheetData sheetId="1">
        <row r="3">
          <cell r="B3" t="str">
            <v>Neles RE</v>
          </cell>
        </row>
      </sheetData>
      <sheetData sheetId="2"/>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lve Sizing"/>
      <sheetName val="Installed Flow"/>
      <sheetName val="Installed Gain"/>
    </sheetNames>
    <sheetDataSet>
      <sheetData sheetId="0"/>
      <sheetData sheetId="1">
        <row r="17">
          <cell r="M17"/>
        </row>
        <row r="18">
          <cell r="M18"/>
        </row>
        <row r="19">
          <cell r="M19"/>
        </row>
      </sheetData>
      <sheetData sheetId="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V419"/>
  <sheetViews>
    <sheetView tabSelected="1" zoomScale="90" zoomScaleNormal="90" zoomScaleSheetLayoutView="90" workbookViewId="0">
      <selection activeCell="E2" sqref="E2:F2"/>
    </sheetView>
  </sheetViews>
  <sheetFormatPr defaultRowHeight="12.5" x14ac:dyDescent="0.25"/>
  <cols>
    <col min="1" max="1" width="28.7265625" style="216" customWidth="1"/>
    <col min="2" max="2" width="10.6328125" style="216" customWidth="1"/>
    <col min="3" max="3" width="11.6328125" style="216" customWidth="1"/>
    <col min="4" max="7" width="12.26953125" style="216" customWidth="1"/>
    <col min="8" max="8" width="3.1796875" style="216" customWidth="1"/>
    <col min="9" max="12" width="9" style="216" customWidth="1"/>
    <col min="13" max="13" width="19.1796875" style="216" customWidth="1"/>
    <col min="14" max="14" width="25.54296875" style="216" customWidth="1"/>
    <col min="15" max="15" width="19" style="216" customWidth="1"/>
    <col min="16" max="16" width="36.81640625" style="216" customWidth="1"/>
    <col min="17" max="17" width="8.7265625" style="216"/>
    <col min="18" max="18" width="26.81640625" style="216" customWidth="1"/>
    <col min="19" max="22" width="15.81640625" style="216" customWidth="1"/>
    <col min="23" max="16384" width="8.7265625" style="216"/>
  </cols>
  <sheetData>
    <row r="1" spans="1:22" ht="16" thickBot="1" x14ac:dyDescent="0.45">
      <c r="A1" s="214" t="s">
        <v>279</v>
      </c>
      <c r="B1" s="304">
        <v>1</v>
      </c>
      <c r="C1" s="215" t="s">
        <v>282</v>
      </c>
      <c r="I1" s="217"/>
      <c r="J1" s="218"/>
      <c r="K1" s="217"/>
      <c r="L1" s="217"/>
      <c r="M1" s="217"/>
      <c r="N1" s="323" t="s">
        <v>280</v>
      </c>
      <c r="O1" s="217"/>
      <c r="P1" s="219" t="s">
        <v>79</v>
      </c>
      <c r="U1" s="217"/>
      <c r="V1" s="217"/>
    </row>
    <row r="2" spans="1:22" ht="13.5" thickTop="1" x14ac:dyDescent="0.3">
      <c r="A2" s="220" t="s">
        <v>284</v>
      </c>
      <c r="B2" s="221"/>
      <c r="C2" s="221"/>
      <c r="D2" s="222" t="s">
        <v>82</v>
      </c>
      <c r="E2" s="322" t="s">
        <v>155</v>
      </c>
      <c r="F2" s="322"/>
      <c r="G2" s="223"/>
      <c r="H2" s="217"/>
      <c r="I2" s="217"/>
      <c r="J2" s="217"/>
      <c r="K2" s="217"/>
      <c r="L2" s="217"/>
      <c r="M2" s="217"/>
      <c r="N2" s="323"/>
      <c r="O2" s="217"/>
      <c r="P2" s="217" t="s">
        <v>0</v>
      </c>
      <c r="Q2" s="217" t="s">
        <v>1</v>
      </c>
      <c r="R2" s="217" t="s">
        <v>2</v>
      </c>
      <c r="S2" s="224" t="s">
        <v>3</v>
      </c>
      <c r="U2" s="217"/>
      <c r="V2" s="217"/>
    </row>
    <row r="3" spans="1:22" ht="13.5" thickBot="1" x14ac:dyDescent="0.35">
      <c r="A3" s="225"/>
      <c r="B3" s="226"/>
      <c r="C3" s="226"/>
      <c r="D3" s="226"/>
      <c r="E3" s="226"/>
      <c r="F3" s="226"/>
      <c r="G3" s="227"/>
      <c r="H3" s="217"/>
      <c r="I3" s="228" t="s">
        <v>83</v>
      </c>
      <c r="J3" s="229"/>
      <c r="K3" s="228" t="s">
        <v>84</v>
      </c>
      <c r="L3" s="217"/>
      <c r="M3" s="217"/>
      <c r="N3" s="217"/>
      <c r="O3" s="217"/>
      <c r="P3" s="230" t="s">
        <v>6</v>
      </c>
      <c r="Q3" s="230"/>
      <c r="R3" s="230" t="s">
        <v>6</v>
      </c>
      <c r="S3" s="231"/>
      <c r="U3" s="217"/>
      <c r="V3" s="217"/>
    </row>
    <row r="4" spans="1:22" ht="13.5" thickTop="1" x14ac:dyDescent="0.3">
      <c r="A4" s="232" t="s">
        <v>4</v>
      </c>
      <c r="B4" s="233" t="str">
        <f>IF(B1&lt;1,"Undefined",IF(B1=1,"lbm/h",IF(B1&lt;=5,"kg/h",IF(B1&gt;5,"Undefined"))))</f>
        <v>lbm/h</v>
      </c>
      <c r="C4" s="234" t="s">
        <v>5</v>
      </c>
      <c r="D4" s="235">
        <v>1145</v>
      </c>
      <c r="E4" s="235">
        <v>2060</v>
      </c>
      <c r="F4" s="235">
        <v>4960</v>
      </c>
      <c r="G4" s="236">
        <v>7174</v>
      </c>
      <c r="H4" s="217"/>
      <c r="I4" s="228" t="s">
        <v>85</v>
      </c>
      <c r="J4" s="229"/>
      <c r="K4" s="237">
        <v>0</v>
      </c>
      <c r="L4" s="217"/>
      <c r="M4" s="217"/>
      <c r="N4" s="217"/>
      <c r="P4" s="217" t="s">
        <v>9</v>
      </c>
      <c r="Q4" s="216">
        <v>9</v>
      </c>
      <c r="R4" s="217" t="s">
        <v>10</v>
      </c>
      <c r="S4" s="224">
        <f>DELTA_P/P_1</f>
        <v>0.5</v>
      </c>
      <c r="T4" s="224">
        <f>E7/E5</f>
        <v>0.5458612975391498</v>
      </c>
      <c r="U4" s="224">
        <f>F7/F5</f>
        <v>0.47658079625292737</v>
      </c>
      <c r="V4" s="224">
        <f>G7/G5</f>
        <v>0.375</v>
      </c>
    </row>
    <row r="5" spans="1:22" ht="13" x14ac:dyDescent="0.3">
      <c r="A5" s="225" t="s">
        <v>7</v>
      </c>
      <c r="B5" s="238" t="str">
        <f>IF(B1&lt;1,"Undefined",IF(B1=1,"psiA",IF(B1=2,"barA",IF(B1=3,"kPaA",IF(B1=4,"barA",IF(B1=5,"kPaA","Undefined"))))))</f>
        <v>psiA</v>
      </c>
      <c r="C5" s="226" t="s">
        <v>8</v>
      </c>
      <c r="D5" s="239">
        <v>100</v>
      </c>
      <c r="E5" s="239">
        <v>89.4</v>
      </c>
      <c r="F5" s="239">
        <v>85.4</v>
      </c>
      <c r="G5" s="240">
        <v>80</v>
      </c>
      <c r="H5" s="217"/>
      <c r="I5" s="228" t="s">
        <v>86</v>
      </c>
      <c r="J5" s="229"/>
      <c r="K5" s="237">
        <v>1</v>
      </c>
      <c r="L5" s="217"/>
      <c r="M5" s="217"/>
      <c r="N5" s="217"/>
      <c r="O5" s="217"/>
      <c r="P5" s="217" t="s">
        <v>13</v>
      </c>
      <c r="Q5" s="217">
        <v>11</v>
      </c>
      <c r="R5" s="217" t="s">
        <v>14</v>
      </c>
      <c r="S5" s="224">
        <f>GAMMA/1.4</f>
        <v>1</v>
      </c>
      <c r="T5" s="224">
        <f>GAMMA/1.4</f>
        <v>1</v>
      </c>
      <c r="U5" s="224">
        <f>GAMMA/1.4</f>
        <v>1</v>
      </c>
      <c r="V5" s="224">
        <f>GAMMA/1.4</f>
        <v>1</v>
      </c>
    </row>
    <row r="6" spans="1:22" ht="13" x14ac:dyDescent="0.3">
      <c r="A6" s="225" t="s">
        <v>11</v>
      </c>
      <c r="B6" s="241" t="str">
        <f>IF(B1&lt;1,"Undefined",IF(B1=1,"F",IF(B1&lt;=5,"C",IF(B1&gt;5,"Undefined"))))</f>
        <v>F</v>
      </c>
      <c r="C6" s="242" t="s">
        <v>12</v>
      </c>
      <c r="D6" s="311">
        <v>100</v>
      </c>
      <c r="E6" s="311">
        <v>100</v>
      </c>
      <c r="F6" s="311">
        <v>100</v>
      </c>
      <c r="G6" s="311">
        <v>100</v>
      </c>
      <c r="H6" s="217"/>
      <c r="I6" s="228" t="s">
        <v>87</v>
      </c>
      <c r="J6" s="229"/>
      <c r="K6" s="237">
        <v>2</v>
      </c>
      <c r="L6" s="217"/>
      <c r="M6" s="217"/>
      <c r="N6" s="243"/>
      <c r="O6" s="217"/>
      <c r="P6" s="216" t="s">
        <v>17</v>
      </c>
      <c r="R6" s="216" t="s">
        <v>18</v>
      </c>
      <c r="S6" s="244">
        <f>IF(FLAG_A=1,T_1+459.67,T_1+273.15)</f>
        <v>559.67000000000007</v>
      </c>
      <c r="T6" s="244">
        <f>IF(FLAG_A=1,E6+459.67,E6+273.15)</f>
        <v>559.67000000000007</v>
      </c>
      <c r="U6" s="244">
        <f>IF(FLAG_A=1,F6+459.67,F6+273.15)</f>
        <v>559.67000000000007</v>
      </c>
      <c r="V6" s="244">
        <f>IF(FLAG_A=1,G6+459.67,G6+273.15)</f>
        <v>559.67000000000007</v>
      </c>
    </row>
    <row r="7" spans="1:22" ht="13" x14ac:dyDescent="0.3">
      <c r="A7" s="225" t="s">
        <v>15</v>
      </c>
      <c r="B7" s="238" t="str">
        <f>IF(B1&lt;1,"Undefined",IF(B1=1,"psi",IF(B1=2,"bar",IF(B1=3,"kPa",IF(B1=4,"bar",IF(B1=5,"kPa","Undefined"))))))</f>
        <v>psi</v>
      </c>
      <c r="C7" s="226" t="s">
        <v>16</v>
      </c>
      <c r="D7" s="239">
        <v>50</v>
      </c>
      <c r="E7" s="239">
        <v>48.8</v>
      </c>
      <c r="F7" s="239">
        <v>40.700000000000003</v>
      </c>
      <c r="G7" s="240">
        <v>30</v>
      </c>
      <c r="H7" s="217"/>
      <c r="I7" s="228" t="s">
        <v>88</v>
      </c>
      <c r="J7" s="229"/>
      <c r="K7" s="237">
        <v>3</v>
      </c>
      <c r="L7" s="217"/>
      <c r="M7" s="217"/>
      <c r="O7" s="217"/>
    </row>
    <row r="8" spans="1:22" ht="13" x14ac:dyDescent="0.3">
      <c r="A8" s="225" t="s">
        <v>19</v>
      </c>
      <c r="B8" s="241" t="str">
        <f>IF(B1&lt;1,"Undefined",IF(B1=1,"lbm/ft^3",IF(B1&lt;=5,"kg/m^3",IF(B1&gt;5,"Undefined"))))</f>
        <v>lbm/ft^3</v>
      </c>
      <c r="C8" s="226" t="s">
        <v>20</v>
      </c>
      <c r="D8" s="308">
        <v>0.48238219609736288</v>
      </c>
      <c r="E8" s="308">
        <v>0.43124968331104246</v>
      </c>
      <c r="F8" s="308">
        <v>0.41195439546714796</v>
      </c>
      <c r="G8" s="309">
        <v>0.3859057568778903</v>
      </c>
      <c r="H8" s="217"/>
      <c r="I8" s="228" t="s">
        <v>89</v>
      </c>
      <c r="J8" s="229"/>
      <c r="K8" s="237">
        <v>4</v>
      </c>
      <c r="L8" s="217"/>
      <c r="M8" s="217"/>
      <c r="N8" s="217"/>
      <c r="O8" s="217"/>
      <c r="P8" s="217" t="s">
        <v>23</v>
      </c>
    </row>
    <row r="9" spans="1:22" ht="14.5" x14ac:dyDescent="0.35">
      <c r="A9" s="313" t="s">
        <v>323</v>
      </c>
      <c r="B9" s="246"/>
      <c r="C9" s="242" t="s">
        <v>21</v>
      </c>
      <c r="D9" s="239">
        <v>28.97</v>
      </c>
      <c r="E9" s="247" t="s">
        <v>22</v>
      </c>
      <c r="F9" s="247" t="s">
        <v>22</v>
      </c>
      <c r="G9" s="248" t="s">
        <v>22</v>
      </c>
      <c r="H9" s="217"/>
      <c r="I9" s="228" t="s">
        <v>270</v>
      </c>
      <c r="J9" s="217"/>
      <c r="K9" s="237">
        <v>5</v>
      </c>
      <c r="L9" s="217"/>
      <c r="M9" s="217"/>
      <c r="N9" s="217"/>
      <c r="O9" s="217"/>
      <c r="P9" s="217" t="s">
        <v>26</v>
      </c>
      <c r="Q9" s="217">
        <v>12</v>
      </c>
      <c r="R9" s="217" t="s">
        <v>27</v>
      </c>
      <c r="S9" s="244">
        <f>1-(x/(3*F_GAMMA*x_T))</f>
        <v>0.73958333333333326</v>
      </c>
      <c r="T9" s="244">
        <f>1-(T4/(3*F_GAMMA*E11))</f>
        <v>0.71118449865653455</v>
      </c>
      <c r="U9" s="244">
        <f>1-(U4/(3*F_GAMMA*F11))</f>
        <v>0.73523289097059585</v>
      </c>
      <c r="V9" s="244">
        <f>1-(V4/(3*F_GAMMA*G11))</f>
        <v>0.76415094339622647</v>
      </c>
    </row>
    <row r="10" spans="1:22" x14ac:dyDescent="0.25">
      <c r="A10" s="225" t="s">
        <v>24</v>
      </c>
      <c r="B10" s="238"/>
      <c r="C10" s="226" t="s">
        <v>25</v>
      </c>
      <c r="D10" s="239">
        <v>1.4</v>
      </c>
      <c r="E10" s="247" t="s">
        <v>22</v>
      </c>
      <c r="F10" s="247" t="s">
        <v>22</v>
      </c>
      <c r="G10" s="248" t="s">
        <v>22</v>
      </c>
      <c r="H10" s="217"/>
      <c r="I10" s="217"/>
      <c r="J10" s="217"/>
      <c r="K10" s="217"/>
      <c r="L10" s="217"/>
      <c r="M10" s="217"/>
      <c r="N10" s="217"/>
      <c r="O10" s="217"/>
      <c r="P10" s="217" t="s">
        <v>30</v>
      </c>
      <c r="Q10" s="249">
        <v>5</v>
      </c>
      <c r="R10" s="217" t="s">
        <v>31</v>
      </c>
      <c r="S10" s="244">
        <f>W/(N_6*Y*SQRT(x*P_1*RHO))</f>
        <v>4.9800536752462126</v>
      </c>
      <c r="T10" s="244">
        <f>E4/(N_6*T9*SQRT(T4*E5*E8))</f>
        <v>9.9748626150891884</v>
      </c>
      <c r="U10" s="244">
        <f>F4/(N_6*U9*SQRT(U4*F5*F8))</f>
        <v>26.027428623823653</v>
      </c>
      <c r="V10" s="244">
        <f>G4/(N_6*V9*SQRT(V4*G5*G8))</f>
        <v>43.589034821166535</v>
      </c>
    </row>
    <row r="11" spans="1:22" x14ac:dyDescent="0.25">
      <c r="A11" s="225" t="s">
        <v>28</v>
      </c>
      <c r="B11" s="238"/>
      <c r="C11" s="226" t="s">
        <v>29</v>
      </c>
      <c r="D11" s="239">
        <v>0.64</v>
      </c>
      <c r="E11" s="239">
        <v>0.63</v>
      </c>
      <c r="F11" s="239">
        <v>0.6</v>
      </c>
      <c r="G11" s="240">
        <v>0.53</v>
      </c>
      <c r="H11" s="217"/>
      <c r="I11" s="217"/>
      <c r="L11" s="217"/>
      <c r="M11" s="217"/>
      <c r="O11" s="217"/>
      <c r="P11" s="217" t="s">
        <v>32</v>
      </c>
      <c r="Q11" s="249">
        <v>5</v>
      </c>
      <c r="R11" s="217" t="s">
        <v>33</v>
      </c>
      <c r="S11" s="244">
        <f>W/(0.667*N_6*SQRT(F_GAMMA*x_T*P_1*RHO))</f>
        <v>4.8807922295729185</v>
      </c>
      <c r="T11" s="244">
        <f>E4/(0.667*N_6*SQRT(F_GAMMA*E11*E5*E8))</f>
        <v>9.8999784156676451</v>
      </c>
      <c r="U11" s="244">
        <f>F4/(0.667*N_6*SQRT(F_GAMMA*F11*F5*F8))</f>
        <v>25.569545088291424</v>
      </c>
      <c r="V11" s="244">
        <f>G4/(0.667*N_6*SQRT(F_GAMMA*G11*G5*G8))</f>
        <v>42.005704359172725</v>
      </c>
    </row>
    <row r="12" spans="1:22" x14ac:dyDescent="0.25">
      <c r="A12" s="225" t="s">
        <v>36</v>
      </c>
      <c r="B12" s="238" t="str">
        <f>IF(B1&lt;1,"Undefined",IF(B1=1,"inch",IF(B1&lt;=5,"mm",IF(B1&gt;5,"Undefined"))))</f>
        <v>inch</v>
      </c>
      <c r="C12" s="226" t="s">
        <v>37</v>
      </c>
      <c r="D12" s="239">
        <v>4</v>
      </c>
      <c r="E12" s="247" t="s">
        <v>22</v>
      </c>
      <c r="F12" s="247" t="s">
        <v>22</v>
      </c>
      <c r="G12" s="248" t="s">
        <v>22</v>
      </c>
      <c r="H12" s="217"/>
      <c r="I12" s="217"/>
      <c r="L12" s="217"/>
      <c r="M12" s="217"/>
      <c r="N12" s="217"/>
      <c r="O12" s="217"/>
      <c r="P12" s="217" t="s">
        <v>34</v>
      </c>
      <c r="Q12" s="249">
        <v>10</v>
      </c>
      <c r="R12" s="217" t="s">
        <v>35</v>
      </c>
      <c r="S12" s="244">
        <f>F_GAMMA*x_T</f>
        <v>0.64</v>
      </c>
      <c r="T12" s="244">
        <f>F_GAMMA*E11</f>
        <v>0.63</v>
      </c>
      <c r="U12" s="244">
        <f>F_GAMMA*F11</f>
        <v>0.6</v>
      </c>
      <c r="V12" s="244">
        <f>F_GAMMA*G11</f>
        <v>0.53</v>
      </c>
    </row>
    <row r="13" spans="1:22" x14ac:dyDescent="0.25">
      <c r="A13" s="225" t="s">
        <v>40</v>
      </c>
      <c r="B13" s="238" t="str">
        <f>IF(B1&lt;1,"Undefined",IF(B1=1,"inch",IF(B1&lt;=5,"mm",IF(B1&gt;5,"Undefined"))))</f>
        <v>inch</v>
      </c>
      <c r="C13" s="226" t="s">
        <v>41</v>
      </c>
      <c r="D13" s="239">
        <v>4</v>
      </c>
      <c r="E13" s="247" t="s">
        <v>22</v>
      </c>
      <c r="F13" s="247" t="s">
        <v>22</v>
      </c>
      <c r="G13" s="248" t="s">
        <v>22</v>
      </c>
      <c r="H13" s="217"/>
      <c r="I13" s="217"/>
      <c r="J13" s="217"/>
      <c r="K13" s="217"/>
      <c r="L13" s="217"/>
      <c r="M13" s="217"/>
      <c r="N13" s="217"/>
      <c r="O13" s="217"/>
      <c r="P13" s="217" t="s">
        <v>38</v>
      </c>
      <c r="Q13" s="249"/>
      <c r="R13" s="217" t="s">
        <v>39</v>
      </c>
      <c r="S13" s="244">
        <f>IF(x&lt;CH_x,C_NonCh,C_Ch)</f>
        <v>4.9800536752462126</v>
      </c>
      <c r="T13" s="244">
        <f>IF(T4&lt;T12,T10,T11)</f>
        <v>9.9748626150891884</v>
      </c>
      <c r="U13" s="244">
        <f>IF(U4&lt;U12,U10,U11)</f>
        <v>26.027428623823653</v>
      </c>
      <c r="V13" s="244">
        <f>IF(V4&lt;V12,V10,V11)</f>
        <v>43.589034821166535</v>
      </c>
    </row>
    <row r="14" spans="1:22" x14ac:dyDescent="0.25">
      <c r="A14" s="225" t="s">
        <v>43</v>
      </c>
      <c r="B14" s="238" t="str">
        <f>IF(B1&lt;1,"Undefined",IF(B1=1,"inch",IF(B1&lt;=5,"mm",IF(B1&gt;5,"Undefined"))))</f>
        <v>inch</v>
      </c>
      <c r="C14" s="226" t="s">
        <v>44</v>
      </c>
      <c r="D14" s="239">
        <v>2</v>
      </c>
      <c r="E14" s="247" t="s">
        <v>22</v>
      </c>
      <c r="F14" s="247" t="s">
        <v>22</v>
      </c>
      <c r="G14" s="248" t="s">
        <v>22</v>
      </c>
      <c r="H14" s="217"/>
      <c r="L14" s="217"/>
      <c r="M14" s="217"/>
      <c r="N14" s="217"/>
      <c r="O14" s="217"/>
      <c r="P14" s="217" t="s">
        <v>42</v>
      </c>
      <c r="Q14" s="249"/>
    </row>
    <row r="15" spans="1:22" x14ac:dyDescent="0.25">
      <c r="A15" s="225" t="s">
        <v>84</v>
      </c>
      <c r="B15" s="238"/>
      <c r="C15" s="226" t="s">
        <v>90</v>
      </c>
      <c r="D15" s="250">
        <v>2</v>
      </c>
      <c r="E15" s="251" t="s">
        <v>22</v>
      </c>
      <c r="F15" s="251" t="s">
        <v>22</v>
      </c>
      <c r="G15" s="252" t="s">
        <v>22</v>
      </c>
      <c r="H15" s="217"/>
      <c r="L15" s="217"/>
      <c r="M15" s="217"/>
      <c r="N15" s="217"/>
      <c r="O15" s="217"/>
      <c r="P15" s="217" t="s">
        <v>45</v>
      </c>
      <c r="Q15" s="249"/>
    </row>
    <row r="16" spans="1:22" x14ac:dyDescent="0.25">
      <c r="A16" s="225" t="s">
        <v>91</v>
      </c>
      <c r="B16" s="238" t="s">
        <v>49</v>
      </c>
      <c r="C16" s="226" t="s">
        <v>92</v>
      </c>
      <c r="D16" s="250">
        <v>-2</v>
      </c>
      <c r="E16" s="251" t="s">
        <v>22</v>
      </c>
      <c r="F16" s="251" t="s">
        <v>22</v>
      </c>
      <c r="G16" s="252" t="s">
        <v>22</v>
      </c>
      <c r="H16" s="217"/>
      <c r="L16" s="217"/>
      <c r="M16" s="217"/>
      <c r="N16" s="217"/>
      <c r="O16" s="217"/>
    </row>
    <row r="17" spans="1:22" ht="13" x14ac:dyDescent="0.3">
      <c r="A17" s="253" t="s">
        <v>46</v>
      </c>
      <c r="B17" s="254" t="str">
        <f>IF(B1&lt;1,"Undefined",IF(B1=1,"Cv",IF(B1=2,"Cv",IF(B1=3,"Cv",IF(B1=4,"Kv",IF(B1=5,"Kv","Undefined"))))))</f>
        <v>Cv</v>
      </c>
      <c r="C17" s="255" t="s">
        <v>154</v>
      </c>
      <c r="D17" s="256">
        <f>IF(DATA1=0,"",S384)</f>
        <v>4.9832592131647182</v>
      </c>
      <c r="E17" s="256">
        <f>IF(DATA2=0,"",T384)</f>
        <v>9.9998223948371177</v>
      </c>
      <c r="F17" s="256">
        <f>IF(DATA3=0,"",U384)</f>
        <v>26.475489836081493</v>
      </c>
      <c r="G17" s="257">
        <f>IF(DATA4=0,"",V384)</f>
        <v>45.71356124775258</v>
      </c>
      <c r="H17" s="217"/>
      <c r="L17" s="217"/>
      <c r="M17" s="217"/>
      <c r="N17" s="217"/>
      <c r="O17" s="217"/>
      <c r="P17" s="217" t="s">
        <v>47</v>
      </c>
    </row>
    <row r="18" spans="1:22" x14ac:dyDescent="0.25">
      <c r="A18" s="232" t="s">
        <v>93</v>
      </c>
      <c r="B18" s="233" t="str">
        <f>IF(B1&lt;1,"Undefined",IF(B1=1,"lbm/h",IF(B1&lt;=5,"kg/h",IF(B1&gt;5,"Undefined"))))</f>
        <v>lbm/h</v>
      </c>
      <c r="C18" s="234"/>
      <c r="D18" s="258">
        <f>IF(DATA1=0,"",Calc_Flow_From_Final__Calc_C)</f>
        <v>1145</v>
      </c>
      <c r="E18" s="258">
        <f>IF(DATA2=0,"",T394)</f>
        <v>2060.0000000000005</v>
      </c>
      <c r="F18" s="258">
        <f>IF(DATA3=0,"",U394)</f>
        <v>4960</v>
      </c>
      <c r="G18" s="259">
        <f>IF(DATA4=0,"",V394)</f>
        <v>7174</v>
      </c>
      <c r="H18" s="217"/>
      <c r="L18" s="217"/>
      <c r="M18" s="217"/>
      <c r="N18" s="217"/>
      <c r="O18" s="217"/>
      <c r="P18" s="217" t="s">
        <v>50</v>
      </c>
      <c r="Q18" s="216">
        <v>18</v>
      </c>
      <c r="R18" s="217" t="s">
        <v>51</v>
      </c>
      <c r="S18" s="244">
        <f>0.5*((1-(d/D_1)^2))^2</f>
        <v>0.28125</v>
      </c>
      <c r="T18" s="260" t="s">
        <v>22</v>
      </c>
      <c r="U18" s="260" t="s">
        <v>22</v>
      </c>
      <c r="V18" s="260" t="s">
        <v>22</v>
      </c>
    </row>
    <row r="19" spans="1:22" ht="13" x14ac:dyDescent="0.3">
      <c r="A19" s="225" t="s">
        <v>52</v>
      </c>
      <c r="B19" s="238" t="s">
        <v>53</v>
      </c>
      <c r="C19" s="261"/>
      <c r="D19" s="262">
        <f>IF(DATA1=0,"",MN)</f>
        <v>5.2077835112571309E-2</v>
      </c>
      <c r="E19" s="262">
        <f>IF(DATA2=0,"",T418)</f>
        <v>0.11538746351872228</v>
      </c>
      <c r="F19" s="262">
        <f>IF(DATA3=0,"",U418)</f>
        <v>0.25234319251912674</v>
      </c>
      <c r="G19" s="263">
        <f>IF(DATA4=0,"",V418)</f>
        <v>0.32629378960487915</v>
      </c>
      <c r="H19" s="217"/>
      <c r="L19" s="217"/>
      <c r="M19" s="217"/>
      <c r="N19" s="217"/>
      <c r="O19" s="217"/>
      <c r="Q19" s="216">
        <v>17</v>
      </c>
      <c r="R19" s="217" t="s">
        <v>54</v>
      </c>
      <c r="S19" s="244">
        <f>1-(d/D_1)^4</f>
        <v>0.9375</v>
      </c>
      <c r="T19" s="260" t="s">
        <v>22</v>
      </c>
      <c r="U19" s="260" t="s">
        <v>22</v>
      </c>
      <c r="V19" s="260" t="s">
        <v>22</v>
      </c>
    </row>
    <row r="20" spans="1:22" x14ac:dyDescent="0.25">
      <c r="A20" s="225" t="s">
        <v>48</v>
      </c>
      <c r="B20" s="238" t="s">
        <v>49</v>
      </c>
      <c r="C20" s="226"/>
      <c r="D20" s="264">
        <f>IF(DATA1=0,"",L_A)</f>
        <v>78.92721824940638</v>
      </c>
      <c r="E20" s="264">
        <f>IF(DATA2=0,"",T411)</f>
        <v>83.142951235623826</v>
      </c>
      <c r="F20" s="264">
        <f>IF(DATA3=0,"",U411)</f>
        <v>87.393540205687586</v>
      </c>
      <c r="G20" s="265">
        <f>IF(DATA4=0,"",V411)</f>
        <v>87.562495105923915</v>
      </c>
      <c r="H20" s="217"/>
      <c r="I20" s="217"/>
      <c r="J20" s="217"/>
      <c r="K20" s="217"/>
      <c r="L20" s="217"/>
      <c r="M20" s="217"/>
      <c r="N20" s="217"/>
      <c r="O20" s="217"/>
      <c r="Q20" s="216">
        <v>19</v>
      </c>
      <c r="R20" s="217" t="s">
        <v>55</v>
      </c>
      <c r="S20" s="244">
        <f>1*((1-(d/D_2)^2))^2</f>
        <v>0.5625</v>
      </c>
      <c r="T20" s="260" t="s">
        <v>22</v>
      </c>
      <c r="U20" s="260" t="s">
        <v>22</v>
      </c>
      <c r="V20" s="260" t="s">
        <v>22</v>
      </c>
    </row>
    <row r="21" spans="1:22" x14ac:dyDescent="0.25">
      <c r="A21" s="225" t="s">
        <v>153</v>
      </c>
      <c r="B21" s="242"/>
      <c r="C21" s="242"/>
      <c r="D21" s="266" t="str">
        <f>IF(DATA1=0,"",IF(VSC=0,"Globe",IF(VSC=1,"Rotary plug",IF(VSC=2,"Segment ball",IF(VSC=3,"Butterfly",IF(VSC=4,"Ball",IF(VSC=5,"Multi-stage globe*","")))))))</f>
        <v>Segment ball</v>
      </c>
      <c r="E21" s="266"/>
      <c r="F21" s="242"/>
      <c r="G21" s="267"/>
      <c r="H21" s="268"/>
      <c r="I21" s="217"/>
      <c r="J21" s="217"/>
      <c r="K21" s="217"/>
      <c r="L21" s="217"/>
      <c r="M21" s="217"/>
      <c r="N21" s="217"/>
      <c r="O21" s="217"/>
      <c r="Q21" s="216">
        <v>17</v>
      </c>
      <c r="R21" s="217" t="s">
        <v>56</v>
      </c>
      <c r="S21" s="244">
        <f>1-(d/D_2)^4</f>
        <v>0.9375</v>
      </c>
      <c r="T21" s="260" t="s">
        <v>22</v>
      </c>
      <c r="U21" s="260" t="s">
        <v>22</v>
      </c>
      <c r="V21" s="260" t="s">
        <v>22</v>
      </c>
    </row>
    <row r="22" spans="1:22" x14ac:dyDescent="0.25">
      <c r="A22" s="245"/>
      <c r="B22" s="242"/>
      <c r="C22" s="242"/>
      <c r="D22" s="242"/>
      <c r="E22" s="242"/>
      <c r="F22" s="242"/>
      <c r="G22" s="269" t="s">
        <v>80</v>
      </c>
      <c r="H22" s="270"/>
      <c r="I22" s="217"/>
      <c r="J22" s="217"/>
      <c r="K22" s="217"/>
      <c r="L22" s="217"/>
      <c r="M22" s="217"/>
      <c r="N22" s="217"/>
      <c r="O22" s="217"/>
      <c r="P22" s="217" t="s">
        <v>57</v>
      </c>
      <c r="Q22" s="216">
        <v>16</v>
      </c>
      <c r="R22" s="217" t="s">
        <v>58</v>
      </c>
      <c r="S22" s="244">
        <f>ZETA_1+ZETA_2+ZETA_B1-ZETA_B2</f>
        <v>0.84375</v>
      </c>
      <c r="T22" s="260" t="s">
        <v>22</v>
      </c>
      <c r="U22" s="260" t="s">
        <v>22</v>
      </c>
      <c r="V22" s="260" t="s">
        <v>22</v>
      </c>
    </row>
    <row r="23" spans="1:22" ht="13" thickBot="1" x14ac:dyDescent="0.3">
      <c r="A23" s="271"/>
      <c r="B23" s="272"/>
      <c r="C23" s="272"/>
      <c r="D23" s="272"/>
      <c r="E23" s="272"/>
      <c r="F23" s="272"/>
      <c r="G23" s="273" t="s">
        <v>81</v>
      </c>
      <c r="I23" s="217"/>
      <c r="J23" s="217"/>
      <c r="K23" s="217"/>
      <c r="L23" s="217"/>
      <c r="M23" s="217"/>
      <c r="N23" s="217"/>
      <c r="O23" s="217"/>
      <c r="P23" s="217" t="s">
        <v>59</v>
      </c>
      <c r="R23" s="217" t="s">
        <v>60</v>
      </c>
      <c r="S23" s="244">
        <f>ZETA_1+ZETA_B1</f>
        <v>1.21875</v>
      </c>
      <c r="T23" s="260" t="s">
        <v>22</v>
      </c>
      <c r="U23" s="260" t="s">
        <v>22</v>
      </c>
      <c r="V23" s="260" t="s">
        <v>22</v>
      </c>
    </row>
    <row r="24" spans="1:22" ht="13" thickTop="1" x14ac:dyDescent="0.25">
      <c r="A24" s="7" t="s">
        <v>324</v>
      </c>
      <c r="E24" s="217"/>
      <c r="F24" s="217"/>
      <c r="G24" s="217"/>
      <c r="H24" s="217"/>
      <c r="I24" s="324" t="str">
        <f>IF(VSC=5,"* Noise calc. is for a representative multi-stage valve. Multi-stage valves vary widely in design and performance.","")</f>
        <v/>
      </c>
      <c r="J24" s="324"/>
      <c r="K24" s="324"/>
      <c r="L24" s="324"/>
      <c r="M24" s="217"/>
      <c r="N24" s="217"/>
      <c r="O24" s="217"/>
    </row>
    <row r="25" spans="1:22" x14ac:dyDescent="0.25">
      <c r="A25" s="217" t="s">
        <v>78</v>
      </c>
      <c r="H25" s="217"/>
      <c r="I25" s="324"/>
      <c r="J25" s="324"/>
      <c r="K25" s="324"/>
      <c r="L25" s="324"/>
      <c r="M25" s="217"/>
      <c r="N25" s="217"/>
      <c r="O25" s="217"/>
      <c r="P25" s="217" t="s">
        <v>62</v>
      </c>
    </row>
    <row r="26" spans="1:22" ht="15.5" x14ac:dyDescent="0.35">
      <c r="A26" s="274" t="s">
        <v>96</v>
      </c>
      <c r="I26" s="324"/>
      <c r="J26" s="324"/>
      <c r="K26" s="324"/>
      <c r="L26" s="324"/>
      <c r="M26" s="217"/>
      <c r="N26" s="217"/>
      <c r="O26" s="217"/>
      <c r="P26" s="217" t="s">
        <v>63</v>
      </c>
      <c r="R26" s="217" t="s">
        <v>64</v>
      </c>
      <c r="S26" s="244">
        <f>Select_C_Non_or_C_Ch</f>
        <v>4.9800536752462126</v>
      </c>
      <c r="T26" s="244">
        <f>T13</f>
        <v>9.9748626150891884</v>
      </c>
      <c r="U26" s="244">
        <f>U13</f>
        <v>26.027428623823653</v>
      </c>
      <c r="V26" s="244">
        <f>V13</f>
        <v>43.589034821166535</v>
      </c>
    </row>
    <row r="27" spans="1:22" ht="15.5" x14ac:dyDescent="0.35">
      <c r="A27" s="274" t="s">
        <v>97</v>
      </c>
      <c r="I27" s="217"/>
      <c r="J27" s="217"/>
      <c r="K27" s="217"/>
      <c r="L27" s="217"/>
      <c r="M27" s="217"/>
      <c r="N27" s="217"/>
      <c r="O27" s="217"/>
      <c r="P27" s="217" t="s">
        <v>66</v>
      </c>
      <c r="Q27" s="217">
        <v>15</v>
      </c>
      <c r="R27" s="217" t="s">
        <v>67</v>
      </c>
      <c r="S27" s="244">
        <f>1/(SQRT(1+(SIGMA_ZETA/N_2)*(C_i/d^2)^2))</f>
        <v>0.99926605499200238</v>
      </c>
      <c r="T27" s="244">
        <f>1/(SQRT(1+(SIGMA_ZETA/N_2)*(T26/d^2)^2))</f>
        <v>0.99706524033334798</v>
      </c>
      <c r="U27" s="244">
        <f>1/(SQRT(1+(SIGMA_ZETA/N_2)*(U26/d^2)^2))</f>
        <v>0.98051516281240614</v>
      </c>
      <c r="V27" s="244">
        <f>1/(SQRT(1+(SIGMA_ZETA/N_2)*(V26/d^2)^2))</f>
        <v>0.94805716443574628</v>
      </c>
    </row>
    <row r="28" spans="1:22" x14ac:dyDescent="0.25">
      <c r="I28" s="217"/>
      <c r="J28" s="217"/>
      <c r="K28" s="217"/>
      <c r="L28" s="217"/>
      <c r="M28" s="217"/>
      <c r="N28" s="217"/>
      <c r="O28" s="217"/>
      <c r="P28" s="217" t="s">
        <v>68</v>
      </c>
      <c r="Q28" s="249">
        <v>22</v>
      </c>
      <c r="R28" s="217" t="s">
        <v>69</v>
      </c>
      <c r="S28" s="244">
        <f>(x_T/F_P^2)/(1+(x_T*SIGMA_ZETA_1/N_5)*(C_i/d^2)^2)</f>
        <v>0.64016649442068996</v>
      </c>
      <c r="T28" s="244">
        <f>(E$11/T27^2)/(1+(E$11*SIGMA_ZETA_1/N_5)*(T26/d^2)^2)</f>
        <v>0.63070270266946749</v>
      </c>
      <c r="U28" s="244">
        <f>(F$11/U27^2)/(1+(F$11*SIGMA_ZETA_1/N_5)*(U26/d^2)^2)</f>
        <v>0.60534168650416387</v>
      </c>
      <c r="V28" s="244">
        <f>(G$11/V27^2)/(1+(G$11*SIGMA_ZETA_1/N_5)*(V26/d^2)^2)</f>
        <v>0.54765870454403864</v>
      </c>
    </row>
    <row r="29" spans="1:22" x14ac:dyDescent="0.25">
      <c r="I29" s="217"/>
      <c r="J29" s="217"/>
      <c r="K29" s="217"/>
      <c r="L29" s="217"/>
      <c r="M29" s="217"/>
      <c r="N29" s="217"/>
      <c r="O29" s="217"/>
      <c r="P29" s="217" t="s">
        <v>26</v>
      </c>
      <c r="Q29" s="217">
        <v>12</v>
      </c>
      <c r="R29" s="217" t="s">
        <v>70</v>
      </c>
      <c r="S29" s="244">
        <f>1-(x/(3*F_GAMMA*x_TP))</f>
        <v>0.73965106246697676</v>
      </c>
      <c r="T29" s="244">
        <f>1-(T$4/(3*F_GAMMA*T28))</f>
        <v>0.7115062848529764</v>
      </c>
      <c r="U29" s="244">
        <f>1-(U4/(3*F_GAMMA*U28))</f>
        <v>0.73756926218800944</v>
      </c>
      <c r="V29" s="244">
        <f>1-(V4/(3*F_GAMMA*V28))</f>
        <v>0.7717556592037178</v>
      </c>
    </row>
    <row r="30" spans="1:22" x14ac:dyDescent="0.25">
      <c r="I30" s="217"/>
      <c r="J30" s="217"/>
      <c r="K30" s="217"/>
      <c r="L30" s="217"/>
      <c r="M30" s="217"/>
      <c r="N30" s="217"/>
      <c r="O30" s="217"/>
      <c r="P30" s="217" t="s">
        <v>71</v>
      </c>
      <c r="Q30" s="249">
        <v>5</v>
      </c>
      <c r="R30" s="217" t="s">
        <v>72</v>
      </c>
      <c r="S30" s="244">
        <f>W/(N_6*F_P*Y_W_Reducers*SQRT(x*P_1*RHO))</f>
        <v>4.9832550917376617</v>
      </c>
      <c r="T30" s="244">
        <f>E$4/(N_6*T27*T29*SQRT(T$4*E$5*E$8))</f>
        <v>9.9996980892501082</v>
      </c>
      <c r="U30" s="244">
        <f>F$4/(N_6*U27*U29*SQRT(U$4*F$5*F$8))</f>
        <v>26.460562235691487</v>
      </c>
      <c r="V30" s="244">
        <f>G$4/(N_6*V27*V29*SQRT(V$4*G$5*G$8))</f>
        <v>45.524172359785382</v>
      </c>
    </row>
    <row r="31" spans="1:22" x14ac:dyDescent="0.25">
      <c r="I31" s="217"/>
      <c r="J31" s="217"/>
      <c r="K31" s="217"/>
      <c r="L31" s="217"/>
      <c r="M31" s="217"/>
      <c r="N31" s="217"/>
      <c r="O31" s="217"/>
      <c r="P31" s="217" t="s">
        <v>73</v>
      </c>
      <c r="Q31" s="249">
        <v>5</v>
      </c>
      <c r="R31" s="217" t="s">
        <v>74</v>
      </c>
      <c r="S31" s="244">
        <f>W/(0.667*N_6*F_P*SQRT(F_GAMMA*x_TP*P_1*RHO))</f>
        <v>4.8837418883667603</v>
      </c>
      <c r="T31" s="244">
        <f>E$4/(0.667*N_6*T27*SQRT(F_GAMMA*T28*E$5*E$8))</f>
        <v>9.9235851443701328</v>
      </c>
      <c r="U31" s="244">
        <f>F$4/(0.667*N_6*U27*SQRT(F_GAMMA*U28*F$5*F$8))</f>
        <v>25.962351260398755</v>
      </c>
      <c r="V31" s="244">
        <f>G$4/(0.667*N_6*V27*SQRT(F_GAMMA*V28*G$5*G$8))</f>
        <v>43.586970476788196</v>
      </c>
    </row>
    <row r="32" spans="1:22" x14ac:dyDescent="0.25">
      <c r="I32" s="217"/>
      <c r="J32" s="217"/>
      <c r="K32" s="217"/>
      <c r="L32" s="217"/>
      <c r="M32" s="217"/>
      <c r="N32" s="217"/>
      <c r="O32" s="217"/>
      <c r="P32" s="217" t="s">
        <v>75</v>
      </c>
      <c r="Q32" s="249">
        <v>10</v>
      </c>
      <c r="R32" s="217" t="s">
        <v>76</v>
      </c>
      <c r="S32" s="244">
        <f>F_GAMMA*x_TP</f>
        <v>0.64016649442068996</v>
      </c>
      <c r="T32" s="244">
        <f>F_GAMMA*T28</f>
        <v>0.63070270266946749</v>
      </c>
      <c r="U32" s="244">
        <f>F_GAMMA*U28</f>
        <v>0.60534168650416387</v>
      </c>
      <c r="V32" s="244">
        <f>F_GAMMA*V28</f>
        <v>0.54765870454403864</v>
      </c>
    </row>
    <row r="33" spans="1:22" x14ac:dyDescent="0.25">
      <c r="I33" s="217"/>
      <c r="J33" s="217"/>
      <c r="K33" s="217"/>
      <c r="L33" s="217"/>
      <c r="M33" s="217"/>
      <c r="N33" s="217"/>
      <c r="O33" s="217"/>
      <c r="P33" s="217" t="s">
        <v>38</v>
      </c>
      <c r="Q33" s="249"/>
      <c r="S33" s="244">
        <f>IF(x&lt;CH_x_W_Reducers,C_NonCh_W_Reducers,C_Ch_W_Reducers)</f>
        <v>4.9832550917376617</v>
      </c>
      <c r="T33" s="244">
        <f>IF(T$4&lt;T32,T30,T31)</f>
        <v>9.9996980892501082</v>
      </c>
      <c r="U33" s="244">
        <f>IF(U$4&lt;U32,U30,U31)</f>
        <v>26.460562235691487</v>
      </c>
      <c r="V33" s="244">
        <f>IF(V$4&lt;V32,V30,V31)</f>
        <v>45.524172359785382</v>
      </c>
    </row>
    <row r="34" spans="1:22" x14ac:dyDescent="0.25">
      <c r="I34" s="217"/>
      <c r="J34" s="217"/>
      <c r="K34" s="217"/>
      <c r="L34" s="217"/>
      <c r="M34" s="217"/>
      <c r="N34" s="217"/>
      <c r="O34" s="217"/>
      <c r="P34" s="217"/>
      <c r="Q34" s="249"/>
      <c r="R34" s="243"/>
      <c r="S34" s="244"/>
      <c r="T34" s="244"/>
      <c r="U34" s="244"/>
      <c r="V34" s="244"/>
    </row>
    <row r="35" spans="1:22" x14ac:dyDescent="0.25">
      <c r="I35" s="217"/>
      <c r="J35" s="217"/>
      <c r="K35" s="217"/>
      <c r="L35" s="217"/>
      <c r="M35" s="217"/>
      <c r="N35" s="217"/>
      <c r="O35" s="217"/>
      <c r="P35" s="217" t="s">
        <v>63</v>
      </c>
      <c r="R35" s="217"/>
      <c r="S35" s="244">
        <f>S33</f>
        <v>4.9832550917376617</v>
      </c>
      <c r="T35" s="244">
        <f>T33</f>
        <v>9.9996980892501082</v>
      </c>
      <c r="U35" s="244">
        <f>U33</f>
        <v>26.460562235691487</v>
      </c>
      <c r="V35" s="244">
        <f>V33</f>
        <v>45.524172359785382</v>
      </c>
    </row>
    <row r="36" spans="1:22" x14ac:dyDescent="0.25">
      <c r="I36" s="217"/>
      <c r="J36" s="217"/>
      <c r="K36" s="217"/>
      <c r="L36" s="217"/>
      <c r="M36" s="217"/>
      <c r="N36" s="217"/>
      <c r="O36" s="217"/>
      <c r="P36" s="217" t="s">
        <v>66</v>
      </c>
      <c r="Q36" s="217">
        <v>15</v>
      </c>
      <c r="R36" s="217"/>
      <c r="S36" s="244">
        <f>1/(SQRT(1+(SIGMA_ZETA/N_2)*(S35/d^2)^2))</f>
        <v>0.99926511209911972</v>
      </c>
      <c r="T36" s="244">
        <f>1/(SQRT(1+(SIGMA_ZETA/N_2)*(T35/d^2)^2))</f>
        <v>0.99705067284416726</v>
      </c>
      <c r="U36" s="244">
        <f>1/(SQRT(1+(SIGMA_ZETA/N_2)*(U35/d^2)^2))</f>
        <v>0.97988085947422576</v>
      </c>
      <c r="V36" s="244">
        <f>1/(SQRT(1+(SIGMA_ZETA/N_2)*(V35/d^2)^2))</f>
        <v>0.94373349562852504</v>
      </c>
    </row>
    <row r="37" spans="1:22" x14ac:dyDescent="0.25">
      <c r="I37" s="217"/>
      <c r="J37" s="217"/>
      <c r="K37" s="217"/>
      <c r="L37" s="217"/>
      <c r="M37" s="217"/>
      <c r="N37" s="217"/>
      <c r="O37" s="217"/>
      <c r="P37" s="217" t="s">
        <v>68</v>
      </c>
      <c r="Q37" s="249">
        <v>22</v>
      </c>
      <c r="R37" s="217"/>
      <c r="S37" s="244">
        <f>(x_T/S36^2)/(1+(x_T*SIGMA_ZETA_1/N_5)*(S35/d^2)^2)</f>
        <v>0.64016670829172206</v>
      </c>
      <c r="T37" s="244">
        <f>(E$11/T36^2)/(1+(E$11*SIGMA_ZETA_1/N_5)*(T35/d^2)^2)</f>
        <v>0.63070618948085644</v>
      </c>
      <c r="U37" s="244">
        <f>(F$11/U36^2)/(1+(F$11*SIGMA_ZETA_1/N_5)*(U35/d^2)^2)</f>
        <v>0.60551539385266084</v>
      </c>
      <c r="V37" s="244">
        <f>(G$11/V36^2)/(1+(G$11*SIGMA_ZETA_1/N_5)*(V35/d^2)^2)</f>
        <v>0.5491376847603312</v>
      </c>
    </row>
    <row r="38" spans="1:22" x14ac:dyDescent="0.25">
      <c r="I38" s="217"/>
      <c r="J38" s="217"/>
      <c r="K38" s="217"/>
      <c r="L38" s="217"/>
      <c r="M38" s="217"/>
      <c r="N38" s="217"/>
      <c r="O38" s="217"/>
      <c r="P38" s="217" t="s">
        <v>26</v>
      </c>
      <c r="Q38" s="217">
        <v>12</v>
      </c>
      <c r="R38" s="217"/>
      <c r="S38" s="244">
        <f>1-(x/(3*F_GAMMA*S37))</f>
        <v>0.73965114944603283</v>
      </c>
      <c r="T38" s="244">
        <f>1-(T$4/(3*F_GAMMA*T37))</f>
        <v>0.71150787976862562</v>
      </c>
      <c r="U38" s="244">
        <f>1-(U$4/(3*F_GAMMA*U37))</f>
        <v>0.73764454705787763</v>
      </c>
      <c r="V38" s="244">
        <f>1-(V$4/(3*F_GAMMA*V37))</f>
        <v>0.77237038457020901</v>
      </c>
    </row>
    <row r="39" spans="1:22" x14ac:dyDescent="0.25">
      <c r="I39" s="217"/>
      <c r="J39" s="217"/>
      <c r="K39" s="217"/>
      <c r="L39" s="217"/>
      <c r="M39" s="217"/>
      <c r="N39" s="217"/>
      <c r="O39" s="217"/>
      <c r="P39" s="217" t="s">
        <v>71</v>
      </c>
      <c r="Q39" s="249">
        <v>5</v>
      </c>
      <c r="R39" s="217"/>
      <c r="S39" s="244">
        <f>W/(N_6*S36*S38*SQRT(x*P_1*RHO))</f>
        <v>4.9832592078640117</v>
      </c>
      <c r="T39" s="244">
        <f>E$4/(N_6*T36*T38*SQRT(T$4*E$5*E$8))</f>
        <v>9.9998217749997256</v>
      </c>
      <c r="U39" s="244">
        <f>F$4/(N_6*U36*U38*SQRT(U$4*F$5*F$8))</f>
        <v>26.474988527824941</v>
      </c>
      <c r="V39" s="244">
        <f>G$4/(N_6*V36*V38*SQRT(V$4*G$5*G$8))</f>
        <v>45.696340689646235</v>
      </c>
    </row>
    <row r="40" spans="1:22" x14ac:dyDescent="0.25">
      <c r="I40" s="217"/>
      <c r="J40" s="217"/>
      <c r="K40" s="217"/>
      <c r="L40" s="217"/>
      <c r="M40" s="217"/>
      <c r="N40" s="217"/>
      <c r="O40" s="217"/>
      <c r="P40" s="217" t="s">
        <v>73</v>
      </c>
      <c r="Q40" s="249">
        <v>5</v>
      </c>
      <c r="R40" s="217"/>
      <c r="S40" s="244">
        <f>W/(0.667*N_6*S36*SQRT(F_GAMMA*S37*P_1*RHO))</f>
        <v>4.8837456808018933</v>
      </c>
      <c r="T40" s="244">
        <f>E$4/(0.667*N_6*T36*SQRT(F_GAMMA*T37*E$5*E$8))</f>
        <v>9.9237027023773088</v>
      </c>
      <c r="U40" s="244">
        <f>F$4/(0.667*N_6*U36*SQRT(F_GAMMA*U37*F$5*F$8))</f>
        <v>25.975430736130637</v>
      </c>
      <c r="V40" s="244">
        <f>G$4/(0.667*N_6*V36*SQRT(F_GAMMA*V37*G$5*G$8))</f>
        <v>43.727657474738521</v>
      </c>
    </row>
    <row r="41" spans="1:22" ht="14" x14ac:dyDescent="0.3">
      <c r="B41" s="275" t="s">
        <v>161</v>
      </c>
      <c r="E41" s="276"/>
      <c r="I41" s="217"/>
      <c r="J41" s="217"/>
      <c r="K41" s="217"/>
      <c r="L41" s="217"/>
      <c r="M41" s="217"/>
      <c r="N41" s="217"/>
      <c r="O41" s="217"/>
      <c r="P41" s="217" t="s">
        <v>75</v>
      </c>
      <c r="Q41" s="249">
        <v>10</v>
      </c>
      <c r="R41" s="217"/>
      <c r="S41" s="244">
        <f>F_GAMMA*S37</f>
        <v>0.64016670829172206</v>
      </c>
      <c r="T41" s="244">
        <f>F_GAMMA*T37</f>
        <v>0.63070618948085644</v>
      </c>
      <c r="U41" s="244">
        <f>F_GAMMA*U37</f>
        <v>0.60551539385266084</v>
      </c>
      <c r="V41" s="244">
        <f>F_GAMMA*V37</f>
        <v>0.5491376847603312</v>
      </c>
    </row>
    <row r="42" spans="1:22" ht="13" x14ac:dyDescent="0.3">
      <c r="B42" s="275" t="s">
        <v>156</v>
      </c>
      <c r="F42" s="217"/>
      <c r="G42" s="217"/>
      <c r="H42" s="217"/>
      <c r="I42" s="217"/>
      <c r="J42" s="217"/>
      <c r="K42" s="217"/>
      <c r="L42" s="217"/>
      <c r="M42" s="217"/>
      <c r="N42" s="217"/>
      <c r="O42" s="217"/>
      <c r="P42" s="217" t="s">
        <v>38</v>
      </c>
      <c r="Q42" s="249"/>
      <c r="S42" s="244">
        <f>IF(S$4&lt;S41,S39,S40)</f>
        <v>4.9832592078640117</v>
      </c>
      <c r="T42" s="244">
        <f>IF(T$4&lt;T41,T39,T40)</f>
        <v>9.9998217749997256</v>
      </c>
      <c r="U42" s="244">
        <f>IF(U$4&lt;U41,U39,U40)</f>
        <v>26.474988527824941</v>
      </c>
      <c r="V42" s="244">
        <f>IF(V$4&lt;V41,V39,V40)</f>
        <v>45.696340689646235</v>
      </c>
    </row>
    <row r="43" spans="1:22" ht="14" x14ac:dyDescent="0.3">
      <c r="B43" s="216" t="s">
        <v>157</v>
      </c>
      <c r="C43" s="216" t="s">
        <v>158</v>
      </c>
      <c r="D43" s="216" t="s">
        <v>159</v>
      </c>
      <c r="E43" s="216" t="s">
        <v>160</v>
      </c>
      <c r="F43" s="217"/>
      <c r="G43" s="217"/>
      <c r="H43" s="276"/>
      <c r="I43" s="276"/>
      <c r="J43" s="276"/>
      <c r="K43" s="276"/>
      <c r="L43" s="276"/>
      <c r="P43" s="217"/>
      <c r="Q43" s="249"/>
      <c r="S43" s="244"/>
      <c r="T43" s="244"/>
      <c r="U43" s="244"/>
      <c r="V43" s="244"/>
    </row>
    <row r="44" spans="1:22" ht="14" x14ac:dyDescent="0.3">
      <c r="B44" s="216">
        <f>W*P_1*T_1*DELTA_P*RHO*M*GAMMA*x_T*D_1*D_2*d*DeltaLp</f>
        <v>-458778693430.63623</v>
      </c>
      <c r="C44" s="216">
        <f>E4*E5*E6*E7*E8*M*GAMMA*E11*D_1*D_2*d*DeltaLp</f>
        <v>-633797329035.90662</v>
      </c>
      <c r="D44" s="216">
        <f>F4*F5*F6*F7*F8*M*GAMMA*F11*D_1*D_2*d*DeltaLp</f>
        <v>-1106090985010.5742</v>
      </c>
      <c r="E44" s="216">
        <f>G4*G5*G6*G7*G8*M*GAMMA*G11*D_1*D_2*d*DeltaLp</f>
        <v>-914084291913.97412</v>
      </c>
      <c r="F44" s="276"/>
      <c r="G44" s="276"/>
      <c r="H44" s="276"/>
      <c r="I44" s="276"/>
      <c r="J44" s="276"/>
      <c r="K44" s="276"/>
      <c r="L44" s="276"/>
      <c r="P44" s="217" t="s">
        <v>63</v>
      </c>
      <c r="R44" s="217"/>
      <c r="S44" s="244">
        <f>S42</f>
        <v>4.9832592078640117</v>
      </c>
      <c r="T44" s="244">
        <f>T42</f>
        <v>9.9998217749997256</v>
      </c>
      <c r="U44" s="244">
        <f>U42</f>
        <v>26.474988527824941</v>
      </c>
      <c r="V44" s="244">
        <f>V42</f>
        <v>45.696340689646235</v>
      </c>
    </row>
    <row r="45" spans="1:22" ht="14" x14ac:dyDescent="0.3">
      <c r="D45" s="276"/>
      <c r="E45" s="276"/>
      <c r="F45" s="276"/>
      <c r="G45" s="276"/>
      <c r="H45" s="276"/>
      <c r="I45" s="276"/>
      <c r="J45" s="276"/>
      <c r="K45" s="276"/>
      <c r="L45" s="276"/>
      <c r="P45" s="217" t="s">
        <v>66</v>
      </c>
      <c r="Q45" s="217">
        <v>15</v>
      </c>
      <c r="R45" s="217"/>
      <c r="S45" s="244">
        <f>1/(SQRT(1+(SIGMA_ZETA/N_2)*(S44/d^2)^2))</f>
        <v>0.99926511088643466</v>
      </c>
      <c r="T45" s="244">
        <f>1/(SQRT(1+(SIGMA_ZETA/N_2)*(T44/d^2)^2))</f>
        <v>0.99705060020603298</v>
      </c>
      <c r="U45" s="244">
        <f>1/(SQRT(1+(SIGMA_ZETA/N_2)*(U44/d^2)^2))</f>
        <v>0.97985957408326052</v>
      </c>
      <c r="V45" s="244">
        <f>1/(SQRT(1+(SIGMA_ZETA/N_2)*(V44/d^2)^2))</f>
        <v>0.94334265668321271</v>
      </c>
    </row>
    <row r="46" spans="1:22" ht="14" x14ac:dyDescent="0.3">
      <c r="F46" s="276"/>
      <c r="G46" s="276"/>
      <c r="H46" s="276"/>
      <c r="I46" s="276"/>
      <c r="J46" s="276"/>
      <c r="K46" s="276"/>
      <c r="L46" s="276"/>
      <c r="P46" s="217" t="s">
        <v>68</v>
      </c>
      <c r="Q46" s="249">
        <v>22</v>
      </c>
      <c r="R46" s="217"/>
      <c r="S46" s="244">
        <f>(x_T/S45^2)/(1+(x_T*SIGMA_ZETA_1/N_5)*(S44/d^2)^2)</f>
        <v>0.6401667085667887</v>
      </c>
      <c r="T46" s="244">
        <f>(E$11/T45^2)/(1+(E$11*SIGMA_ZETA_1/N_5)*(T44/d^2)^2)</f>
        <v>0.63070620686717593</v>
      </c>
      <c r="U46" s="244">
        <f>(F$11/U45^2)/(1+(F$11*SIGMA_ZETA_1/N_5)*(U44/d^2)^2)</f>
        <v>0.60552122274928466</v>
      </c>
      <c r="V46" s="244">
        <f>(G$11/V45^2)/(1+(G$11*SIGMA_ZETA_1/N_5)*(V44/d^2)^2)</f>
        <v>0.54927143702614445</v>
      </c>
    </row>
    <row r="47" spans="1:22" ht="14" x14ac:dyDescent="0.3">
      <c r="A47" s="217"/>
      <c r="F47" s="276"/>
      <c r="G47" s="276"/>
      <c r="H47" s="276"/>
      <c r="I47" s="276"/>
      <c r="J47" s="276"/>
      <c r="K47" s="276"/>
      <c r="L47" s="276"/>
      <c r="P47" s="217" t="s">
        <v>26</v>
      </c>
      <c r="Q47" s="217">
        <v>12</v>
      </c>
      <c r="R47" s="217"/>
      <c r="S47" s="244">
        <f>1-(x/(3*F_GAMMA*S46))</f>
        <v>0.73965114955789946</v>
      </c>
      <c r="T47" s="244">
        <f>1-(T$4/(3*F_GAMMA*T46))</f>
        <v>0.7115078877213239</v>
      </c>
      <c r="U47" s="244">
        <f>1-(U$4/(3*F_GAMMA*U46))</f>
        <v>0.73764707255616968</v>
      </c>
      <c r="V47" s="244">
        <f>1-(V$4/(3*F_GAMMA*V46))</f>
        <v>0.77242581431728408</v>
      </c>
    </row>
    <row r="48" spans="1:22" ht="14" x14ac:dyDescent="0.3">
      <c r="A48" s="217" t="s">
        <v>281</v>
      </c>
      <c r="F48" s="276"/>
      <c r="G48" s="276"/>
      <c r="H48" s="276"/>
      <c r="I48" s="276"/>
      <c r="J48" s="276"/>
      <c r="K48" s="276"/>
      <c r="L48" s="276"/>
      <c r="P48" s="217" t="s">
        <v>71</v>
      </c>
      <c r="Q48" s="249">
        <v>5</v>
      </c>
      <c r="R48" s="217"/>
      <c r="S48" s="244">
        <f>W/(N_6*S45*S47*SQRT(x*P_1*RHO))</f>
        <v>4.9832592131579005</v>
      </c>
      <c r="T48" s="244">
        <f>E$4/(N_6*T45*T47*SQRT(T$4*E$5*E$8))</f>
        <v>9.9998223917463402</v>
      </c>
      <c r="U48" s="244">
        <f>F$4/(N_6*U45*U47*SQRT(U$4*F$5*F$8))</f>
        <v>26.475472996375796</v>
      </c>
      <c r="V48" s="244">
        <f>G$4/(N_6*V45*V47*SQRT(V$4*G$5*G$8))</f>
        <v>45.711992713023847</v>
      </c>
    </row>
    <row r="49" spans="1:22" ht="14" x14ac:dyDescent="0.3">
      <c r="A49" s="216" t="s">
        <v>271</v>
      </c>
      <c r="F49" s="276"/>
      <c r="G49" s="276"/>
      <c r="H49" s="276"/>
      <c r="I49" s="276"/>
      <c r="J49" s="276"/>
      <c r="K49" s="276"/>
      <c r="L49" s="276"/>
      <c r="P49" s="217" t="s">
        <v>73</v>
      </c>
      <c r="Q49" s="249">
        <v>5</v>
      </c>
      <c r="R49" s="217"/>
      <c r="S49" s="244">
        <f>W/(0.667*N_6*S45*SQRT(F_GAMMA*S46*P_1*RHO))</f>
        <v>4.8837456856794716</v>
      </c>
      <c r="T49" s="244">
        <f>E$4/(0.667*N_6*T45*SQRT(F_GAMMA*T46*E$5*E$8))</f>
        <v>9.923703288568344</v>
      </c>
      <c r="U49" s="244">
        <f>F$4/(0.667*N_6*U45*SQRT(F_GAMMA*U46*F$5*F$8))</f>
        <v>25.975869971831788</v>
      </c>
      <c r="V49" s="244">
        <f>G$4/(0.667*N_6*V45*SQRT(F_GAMMA*V46*G$5*G$8))</f>
        <v>43.740447844987109</v>
      </c>
    </row>
    <row r="50" spans="1:22" ht="14" x14ac:dyDescent="0.3">
      <c r="B50" s="276"/>
      <c r="C50" s="276"/>
      <c r="D50" s="276"/>
      <c r="E50" s="276"/>
      <c r="F50" s="276"/>
      <c r="G50" s="276"/>
      <c r="H50" s="276"/>
      <c r="I50" s="276"/>
      <c r="J50" s="276"/>
      <c r="K50" s="276"/>
      <c r="L50" s="276"/>
      <c r="P50" s="217" t="s">
        <v>75</v>
      </c>
      <c r="Q50" s="249">
        <v>10</v>
      </c>
      <c r="R50" s="217"/>
      <c r="S50" s="244">
        <f>F_GAMMA*S46</f>
        <v>0.6401667085667887</v>
      </c>
      <c r="T50" s="244">
        <f>F_GAMMA*T46</f>
        <v>0.63070620686717593</v>
      </c>
      <c r="U50" s="244">
        <f>F_GAMMA*U46</f>
        <v>0.60552122274928466</v>
      </c>
      <c r="V50" s="244">
        <f>F_GAMMA*V46</f>
        <v>0.54927143702614445</v>
      </c>
    </row>
    <row r="51" spans="1:22" ht="14" x14ac:dyDescent="0.3">
      <c r="A51" s="217"/>
      <c r="B51" s="276"/>
      <c r="C51" s="276"/>
      <c r="D51" s="276"/>
      <c r="E51" s="276"/>
      <c r="F51" s="276"/>
      <c r="G51" s="276"/>
      <c r="H51" s="276"/>
      <c r="I51" s="276"/>
      <c r="J51" s="276"/>
      <c r="K51" s="276"/>
      <c r="L51" s="276"/>
      <c r="P51" s="217" t="s">
        <v>38</v>
      </c>
      <c r="Q51" s="249"/>
      <c r="S51" s="244">
        <f>IF(S$4&lt;S50,S48,S49)</f>
        <v>4.9832592131579005</v>
      </c>
      <c r="T51" s="244">
        <f>IF(T$4&lt;T50,T48,T49)</f>
        <v>9.9998223917463402</v>
      </c>
      <c r="U51" s="244">
        <f>IF(U$4&lt;U50,U48,U49)</f>
        <v>26.475472996375796</v>
      </c>
      <c r="V51" s="244">
        <f>IF(V$4&lt;V50,V48,V49)</f>
        <v>45.711992713023847</v>
      </c>
    </row>
    <row r="52" spans="1:22" ht="14" x14ac:dyDescent="0.3">
      <c r="A52" s="219" t="s">
        <v>61</v>
      </c>
      <c r="B52" s="217"/>
      <c r="C52" s="276"/>
      <c r="D52" s="217"/>
      <c r="E52" s="217"/>
      <c r="F52" s="217"/>
      <c r="G52" s="217"/>
      <c r="I52" s="276"/>
      <c r="J52" s="276"/>
      <c r="K52" s="276"/>
      <c r="L52" s="276"/>
      <c r="P52" s="217"/>
      <c r="Q52" s="249"/>
      <c r="S52" s="244"/>
      <c r="T52" s="244"/>
      <c r="U52" s="244"/>
      <c r="V52" s="244"/>
    </row>
    <row r="53" spans="1:22" ht="14" x14ac:dyDescent="0.3">
      <c r="A53" s="217" t="s">
        <v>265</v>
      </c>
      <c r="B53" s="277">
        <f>IF(B1&lt;1,"Undefined",IF(B1=1,890,IF(B1=2,0.00214,IF(B1=3,0.00214,IF(B1=4,0.0016,IF(B1=5,0.0016,"Undefined"))))))</f>
        <v>890</v>
      </c>
      <c r="C53" s="243"/>
      <c r="D53" s="243"/>
      <c r="E53" s="217"/>
      <c r="F53" s="243"/>
      <c r="I53" s="276"/>
      <c r="J53" s="276"/>
      <c r="K53" s="276"/>
      <c r="L53" s="276"/>
      <c r="P53" s="217" t="s">
        <v>63</v>
      </c>
      <c r="R53" s="217"/>
      <c r="S53" s="244">
        <f>S51</f>
        <v>4.9832592131579005</v>
      </c>
      <c r="T53" s="244">
        <f>T51</f>
        <v>9.9998223917463402</v>
      </c>
      <c r="U53" s="244">
        <f>U51</f>
        <v>26.475472996375796</v>
      </c>
      <c r="V53" s="244">
        <f>V51</f>
        <v>45.711992713023847</v>
      </c>
    </row>
    <row r="54" spans="1:22" ht="14" x14ac:dyDescent="0.3">
      <c r="A54" s="217" t="s">
        <v>65</v>
      </c>
      <c r="B54" s="277">
        <f>IF(B1&lt;1,"Undefined",IF(B1=1,1000,IF(B1=2,0.00241,IF(B1=3,0.00241,IF(B1=4,0.0018,IF(B1=5,0.0018,"Undefined"))))))</f>
        <v>1000</v>
      </c>
      <c r="D54" s="217"/>
      <c r="E54" s="217"/>
      <c r="F54" s="217"/>
      <c r="H54" s="217"/>
      <c r="I54" s="276"/>
      <c r="J54" s="276"/>
      <c r="K54" s="276"/>
      <c r="L54" s="276"/>
      <c r="P54" s="217" t="s">
        <v>66</v>
      </c>
      <c r="Q54" s="217">
        <v>15</v>
      </c>
      <c r="R54" s="217"/>
      <c r="S54" s="244">
        <f>1/(SQRT(1+(SIGMA_ZETA/N_2)*(S53/d^2)^2))</f>
        <v>0.99926511088487502</v>
      </c>
      <c r="T54" s="244">
        <f>1/(SQRT(1+(SIGMA_ZETA/N_2)*(T53/d^2)^2))</f>
        <v>0.99705059984382804</v>
      </c>
      <c r="U54" s="244">
        <f>1/(SQRT(1+(SIGMA_ZETA/N_2)*(U53/d^2)^2))</f>
        <v>0.97985885909290005</v>
      </c>
      <c r="V54" s="244">
        <f>1/(SQRT(1+(SIGMA_ZETA/N_2)*(V53/d^2)^2))</f>
        <v>0.94330707602913622</v>
      </c>
    </row>
    <row r="55" spans="1:22" ht="14" x14ac:dyDescent="0.3">
      <c r="A55" s="217" t="s">
        <v>266</v>
      </c>
      <c r="B55" s="277">
        <f>IF($B$1&lt;1,"Undefined",IF($B$1=1,63.3,IF($B$1=2,27.3,IF($B$1=3,2.73,IF($B$1=4,31.6,IF($B$1=5,3.16,"Undefined"))))))</f>
        <v>63.3</v>
      </c>
      <c r="C55" s="243"/>
      <c r="D55" s="217"/>
      <c r="E55" s="217"/>
      <c r="F55" s="217"/>
      <c r="G55" s="217"/>
      <c r="H55" s="217"/>
      <c r="I55" s="276"/>
      <c r="J55" s="276"/>
      <c r="K55" s="276"/>
      <c r="L55" s="276"/>
      <c r="P55" s="217" t="s">
        <v>68</v>
      </c>
      <c r="Q55" s="249">
        <v>22</v>
      </c>
      <c r="R55" s="217"/>
      <c r="S55" s="244">
        <f>(x_T/S54^2)/(1+(x_T*SIGMA_ZETA_1/N_5)*(S53/d^2)^2)</f>
        <v>0.64016670856714231</v>
      </c>
      <c r="T55" s="244">
        <f>(E$11/T54^2)/(1+(E$11*SIGMA_ZETA_1/N_5)*(T53/d^2)^2)</f>
        <v>0.63070620695387158</v>
      </c>
      <c r="U55" s="244">
        <f>(F$11/U54^2)/(1+(F$11*SIGMA_ZETA_1/N_5)*(U53/d^2)^2)</f>
        <v>0.60552141854552732</v>
      </c>
      <c r="V55" s="244">
        <f>(G$11/V54^2)/(1+(G$11*SIGMA_ZETA_1/N_5)*(V53/d^2)^2)</f>
        <v>0.54928361386306623</v>
      </c>
    </row>
    <row r="56" spans="1:22" ht="14" x14ac:dyDescent="0.3">
      <c r="B56" s="278"/>
      <c r="C56" s="276"/>
      <c r="D56" s="217"/>
      <c r="E56" s="217"/>
      <c r="F56" s="217"/>
      <c r="G56" s="217"/>
      <c r="H56" s="217"/>
      <c r="I56" s="276"/>
      <c r="J56" s="276"/>
      <c r="K56" s="276"/>
      <c r="L56" s="276"/>
      <c r="P56" s="217" t="s">
        <v>26</v>
      </c>
      <c r="Q56" s="217">
        <v>12</v>
      </c>
      <c r="R56" s="217"/>
      <c r="S56" s="244">
        <f>1-(x/(3*F_GAMMA*S55))</f>
        <v>0.73965114955804323</v>
      </c>
      <c r="T56" s="244">
        <f>1-(T$4/(3*F_GAMMA*T55))</f>
        <v>0.7115078877609794</v>
      </c>
      <c r="U56" s="244">
        <f>1-(U$4/(3*F_GAMMA*U55))</f>
        <v>0.73764715738837527</v>
      </c>
      <c r="V56" s="244">
        <f>1-(V$4/(3*F_GAMMA*V55))</f>
        <v>0.77243085931348776</v>
      </c>
    </row>
    <row r="57" spans="1:22" ht="14" x14ac:dyDescent="0.3">
      <c r="A57" s="279" t="s">
        <v>276</v>
      </c>
      <c r="B57" s="278">
        <f>IF(B1&lt;1,"Undefined",IF(B1=1,1,IF(B1&lt;=5,2,IF(B1&gt;5,"Undefined"))))</f>
        <v>1</v>
      </c>
      <c r="C57" s="216" t="s">
        <v>94</v>
      </c>
      <c r="D57" s="217"/>
      <c r="E57" s="217"/>
      <c r="F57" s="217"/>
      <c r="G57" s="217"/>
      <c r="H57" s="217"/>
      <c r="I57" s="276"/>
      <c r="J57" s="276"/>
      <c r="K57" s="276"/>
      <c r="L57" s="276"/>
      <c r="P57" s="217" t="s">
        <v>71</v>
      </c>
      <c r="Q57" s="249">
        <v>5</v>
      </c>
      <c r="R57" s="217"/>
      <c r="S57" s="244">
        <f>W/(N_6*S54*S56*SQRT(x*P_1*RHO))</f>
        <v>4.9832592131647102</v>
      </c>
      <c r="T57" s="244">
        <f>E$4/(N_6*T54*T56*SQRT(T$4*E$5*E$8))</f>
        <v>9.999822394821706</v>
      </c>
      <c r="U57" s="244">
        <f>F$4/(N_6*U54*U56*SQRT(U$4*F$5*F$8))</f>
        <v>26.475489270405188</v>
      </c>
      <c r="V57" s="244">
        <f>G$4/(N_6*V54*V56*SQRT(V$4*G$5*G$8))</f>
        <v>45.713418355220725</v>
      </c>
    </row>
    <row r="58" spans="1:22" ht="14" x14ac:dyDescent="0.3">
      <c r="B58" s="280"/>
      <c r="C58" s="216" t="s">
        <v>95</v>
      </c>
      <c r="D58" s="217"/>
      <c r="E58" s="217"/>
      <c r="F58" s="217"/>
      <c r="G58" s="217"/>
      <c r="H58" s="217"/>
      <c r="I58" s="276"/>
      <c r="J58" s="276"/>
      <c r="K58" s="276"/>
      <c r="L58" s="276"/>
      <c r="P58" s="217" t="s">
        <v>73</v>
      </c>
      <c r="Q58" s="249">
        <v>5</v>
      </c>
      <c r="R58" s="217"/>
      <c r="S58" s="244">
        <f>W/(0.667*N_6*S54*SQRT(F_GAMMA*S55*P_1*RHO))</f>
        <v>4.8837456856857449</v>
      </c>
      <c r="T58" s="244">
        <f>E$4/(0.667*N_6*T54*SQRT(F_GAMMA*T55*E$5*E$8))</f>
        <v>9.9237032914913446</v>
      </c>
      <c r="U58" s="244">
        <f>F$4/(0.667*N_6*U54*SQRT(F_GAMMA*U55*F$5*F$8))</f>
        <v>25.975884726417465</v>
      </c>
      <c r="V58" s="244">
        <f>G$4/(0.667*N_6*V54*SQRT(F_GAMMA*V55*G$5*G$8))</f>
        <v>43.74161284071463</v>
      </c>
    </row>
    <row r="59" spans="1:22" ht="14" x14ac:dyDescent="0.3">
      <c r="A59" s="279"/>
      <c r="B59" s="280"/>
      <c r="D59" s="217"/>
      <c r="E59" s="217"/>
      <c r="F59" s="243"/>
      <c r="G59" s="217"/>
      <c r="H59" s="217"/>
      <c r="I59" s="276"/>
      <c r="J59" s="276"/>
      <c r="K59" s="276"/>
      <c r="L59" s="276"/>
      <c r="P59" s="217" t="s">
        <v>75</v>
      </c>
      <c r="Q59" s="249">
        <v>10</v>
      </c>
      <c r="R59" s="217"/>
      <c r="S59" s="244">
        <f>F_GAMMA*S55</f>
        <v>0.64016670856714231</v>
      </c>
      <c r="T59" s="244">
        <f>F_GAMMA*T55</f>
        <v>0.63070620695387158</v>
      </c>
      <c r="U59" s="244">
        <f>F_GAMMA*U55</f>
        <v>0.60552141854552732</v>
      </c>
      <c r="V59" s="244">
        <f>F_GAMMA*V55</f>
        <v>0.54928361386306623</v>
      </c>
    </row>
    <row r="60" spans="1:22" ht="14" x14ac:dyDescent="0.3">
      <c r="B60" s="280"/>
      <c r="D60" s="217"/>
      <c r="E60" s="217"/>
      <c r="F60" s="217"/>
      <c r="G60" s="217"/>
      <c r="H60" s="217"/>
      <c r="I60" s="276"/>
      <c r="J60" s="276"/>
      <c r="K60" s="276"/>
      <c r="L60" s="276"/>
      <c r="P60" s="217" t="s">
        <v>38</v>
      </c>
      <c r="Q60" s="249"/>
      <c r="S60" s="244">
        <f>IF(S$4&lt;S59,S57,S58)</f>
        <v>4.9832592131647102</v>
      </c>
      <c r="T60" s="244">
        <f>IF(T$4&lt;T59,T57,T58)</f>
        <v>9.999822394821706</v>
      </c>
      <c r="U60" s="244">
        <f>IF(U$4&lt;U59,U57,U58)</f>
        <v>26.475489270405188</v>
      </c>
      <c r="V60" s="244">
        <f>IF(V$4&lt;V59,V57,V58)</f>
        <v>45.713418355220725</v>
      </c>
    </row>
    <row r="61" spans="1:22" ht="14" x14ac:dyDescent="0.3">
      <c r="A61" s="217" t="s">
        <v>277</v>
      </c>
      <c r="B61" s="278">
        <f>IF(B1&lt;1,"Undefined",IF(B1&lt;=3,1,IF(B1&lt;=5,2,IF(B1&gt;5,"Undefined"))))</f>
        <v>1</v>
      </c>
      <c r="C61" s="217" t="s">
        <v>98</v>
      </c>
      <c r="D61" s="217"/>
      <c r="E61" s="217"/>
      <c r="F61" s="243"/>
      <c r="G61" s="217"/>
      <c r="H61" s="217"/>
      <c r="I61" s="276"/>
      <c r="J61" s="276"/>
      <c r="K61" s="276"/>
      <c r="L61" s="276"/>
      <c r="P61" s="217"/>
      <c r="Q61" s="249"/>
      <c r="S61" s="244"/>
      <c r="T61" s="244"/>
      <c r="U61" s="244"/>
      <c r="V61" s="244"/>
    </row>
    <row r="62" spans="1:22" ht="14" x14ac:dyDescent="0.3">
      <c r="A62" s="217"/>
      <c r="B62" s="280"/>
      <c r="C62" s="217"/>
      <c r="D62" s="217"/>
      <c r="E62" s="217"/>
      <c r="F62" s="217"/>
      <c r="G62" s="217"/>
      <c r="H62" s="217"/>
      <c r="I62" s="276"/>
      <c r="J62" s="276"/>
      <c r="K62" s="276"/>
      <c r="L62" s="276"/>
      <c r="P62" s="217" t="s">
        <v>63</v>
      </c>
      <c r="R62" s="217"/>
      <c r="S62" s="244">
        <f>S60</f>
        <v>4.9832592131647102</v>
      </c>
      <c r="T62" s="244">
        <f>T60</f>
        <v>9.999822394821706</v>
      </c>
      <c r="U62" s="244">
        <f>U60</f>
        <v>26.475489270405188</v>
      </c>
      <c r="V62" s="244">
        <f>V60</f>
        <v>45.713418355220725</v>
      </c>
    </row>
    <row r="63" spans="1:22" ht="14" x14ac:dyDescent="0.3">
      <c r="A63" s="217" t="s">
        <v>278</v>
      </c>
      <c r="B63" s="278">
        <f>IF(B1&lt;1,"Undefined",IF(B1=1,1,IF(B1=2,2,IF(B1=3,3,IF(B1=4,2,IF(B1=5,3,"Undefined"))))))</f>
        <v>1</v>
      </c>
      <c r="C63" s="217" t="s">
        <v>283</v>
      </c>
      <c r="D63" s="217"/>
      <c r="E63" s="217"/>
      <c r="F63" s="243"/>
      <c r="G63" s="217"/>
      <c r="H63" s="217"/>
      <c r="I63" s="276"/>
      <c r="J63" s="276"/>
      <c r="K63" s="276"/>
      <c r="L63" s="276"/>
      <c r="P63" s="217" t="s">
        <v>66</v>
      </c>
      <c r="Q63" s="217">
        <v>15</v>
      </c>
      <c r="R63" s="217"/>
      <c r="S63" s="244">
        <f>1/(SQRT(1+(SIGMA_ZETA/N_2)*(S62/d^2)^2))</f>
        <v>0.99926511088487302</v>
      </c>
      <c r="T63" s="244">
        <f>1/(SQRT(1+(SIGMA_ZETA/N_2)*(T62/d^2)^2))</f>
        <v>0.99705059984202171</v>
      </c>
      <c r="U63" s="244">
        <f>1/(SQRT(1+(SIGMA_ZETA/N_2)*(U62/d^2)^2))</f>
        <v>0.97985883507509519</v>
      </c>
      <c r="V63" s="244">
        <f>1/(SQRT(1+(SIGMA_ZETA/N_2)*(V62/d^2)^2))</f>
        <v>0.94330383481068758</v>
      </c>
    </row>
    <row r="64" spans="1:22" ht="14" x14ac:dyDescent="0.3">
      <c r="A64" s="217" t="s">
        <v>77</v>
      </c>
      <c r="B64" s="217"/>
      <c r="C64" s="217"/>
      <c r="D64" s="217"/>
      <c r="E64" s="217"/>
      <c r="F64" s="217"/>
      <c r="G64" s="217"/>
      <c r="H64" s="217"/>
      <c r="I64" s="276"/>
      <c r="J64" s="276"/>
      <c r="K64" s="276"/>
      <c r="L64" s="276"/>
      <c r="P64" s="217" t="s">
        <v>68</v>
      </c>
      <c r="Q64" s="249">
        <v>22</v>
      </c>
      <c r="R64" s="217"/>
      <c r="S64" s="244">
        <f>(x_T/S63^2)/(1+(x_T*SIGMA_ZETA_1/N_5)*(S62/d^2)^2)</f>
        <v>0.64016670856714286</v>
      </c>
      <c r="T64" s="244">
        <f>(E$11/T63^2)/(1+(E$11*SIGMA_ZETA_1/N_5)*(T62/d^2)^2)</f>
        <v>0.63070620695430413</v>
      </c>
      <c r="U64" s="244">
        <f>(F$11/U63^2)/(1+(F$11*SIGMA_ZETA_1/N_5)*(U62/d^2)^2)</f>
        <v>0.60552142512267315</v>
      </c>
      <c r="V64" s="244">
        <f>(G$11/V63^2)/(1+(G$11*SIGMA_ZETA_1/N_5)*(V62/d^2)^2)</f>
        <v>0.54928472311560839</v>
      </c>
    </row>
    <row r="65" spans="1:22" ht="14" x14ac:dyDescent="0.3">
      <c r="B65" s="217"/>
      <c r="D65" s="217"/>
      <c r="E65" s="217"/>
      <c r="F65" s="217"/>
      <c r="G65" s="217"/>
      <c r="H65" s="217"/>
      <c r="I65" s="276"/>
      <c r="J65" s="276"/>
      <c r="K65" s="276"/>
      <c r="L65" s="276"/>
      <c r="P65" s="217" t="s">
        <v>26</v>
      </c>
      <c r="Q65" s="217">
        <v>12</v>
      </c>
      <c r="R65" s="217"/>
      <c r="S65" s="244">
        <f>1-(x/(3*F_GAMMA*S64))</f>
        <v>0.73965114955804345</v>
      </c>
      <c r="T65" s="244">
        <f>1-(T$4/(3*F_GAMMA*T64))</f>
        <v>0.71150788776117724</v>
      </c>
      <c r="U65" s="244">
        <f>1-(U$4/(3*F_GAMMA*U64))</f>
        <v>0.73764716023803978</v>
      </c>
      <c r="V65" s="244">
        <f>1-(V$4/(3*F_GAMMA*V64))</f>
        <v>0.77243131887778504</v>
      </c>
    </row>
    <row r="66" spans="1:22" ht="14" x14ac:dyDescent="0.3">
      <c r="A66" s="281" t="s">
        <v>272</v>
      </c>
      <c r="B66" s="217"/>
      <c r="D66" s="217"/>
      <c r="E66" s="217"/>
      <c r="F66" s="217"/>
      <c r="G66" s="217"/>
      <c r="H66" s="217"/>
      <c r="I66" s="276"/>
      <c r="J66" s="276"/>
      <c r="K66" s="276"/>
      <c r="L66" s="276"/>
      <c r="P66" s="217" t="s">
        <v>71</v>
      </c>
      <c r="Q66" s="249">
        <v>5</v>
      </c>
      <c r="R66" s="217"/>
      <c r="S66" s="244">
        <f>W/(N_6*S63*S65*SQRT(x*P_1*RHO))</f>
        <v>4.9832592131647182</v>
      </c>
      <c r="T66" s="244">
        <f>E$4/(N_6*T63*T65*SQRT(T$4*E$5*E$8))</f>
        <v>9.9998223948370413</v>
      </c>
      <c r="U66" s="244">
        <f>F$4/(N_6*U63*U65*SQRT(U$4*F$5*F$8))</f>
        <v>26.475489817079399</v>
      </c>
      <c r="V66" s="244">
        <f>G$4/(N_6*V63*V65*SQRT(V$4*G$5*G$8))</f>
        <v>45.713548230145449</v>
      </c>
    </row>
    <row r="67" spans="1:22" ht="14" x14ac:dyDescent="0.3">
      <c r="A67" s="216" t="s">
        <v>267</v>
      </c>
      <c r="B67" s="217"/>
      <c r="D67" s="217"/>
      <c r="E67" s="217"/>
      <c r="F67" s="217"/>
      <c r="G67" s="217"/>
      <c r="H67" s="217"/>
      <c r="I67" s="276"/>
      <c r="J67" s="276"/>
      <c r="K67" s="276"/>
      <c r="L67" s="276"/>
      <c r="P67" s="217" t="s">
        <v>73</v>
      </c>
      <c r="Q67" s="249">
        <v>5</v>
      </c>
      <c r="R67" s="217"/>
      <c r="S67" s="244">
        <f>W/(0.667*N_6*S63*SQRT(F_GAMMA*S64*P_1*RHO))</f>
        <v>4.883745685685752</v>
      </c>
      <c r="T67" s="244">
        <f>E$4/(0.667*N_6*T63*SQRT(F_GAMMA*T64*E$5*E$8))</f>
        <v>9.9237032915059196</v>
      </c>
      <c r="U67" s="244">
        <f>F$4/(0.667*N_6*U63*SQRT(F_GAMMA*U64*F$5*F$8))</f>
        <v>25.975885222050799</v>
      </c>
      <c r="V67" s="244">
        <f>G$4/(0.667*N_6*V63*SQRT(F_GAMMA*V64*G$5*G$8))</f>
        <v>43.741718970969401</v>
      </c>
    </row>
    <row r="68" spans="1:22" ht="14" x14ac:dyDescent="0.3">
      <c r="A68" s="216" t="s">
        <v>273</v>
      </c>
      <c r="B68" s="276"/>
      <c r="C68" s="276"/>
      <c r="D68" s="276"/>
      <c r="E68" s="276"/>
      <c r="F68" s="276"/>
      <c r="G68" s="276"/>
      <c r="H68" s="276"/>
      <c r="I68" s="276"/>
      <c r="J68" s="276"/>
      <c r="K68" s="276"/>
      <c r="L68" s="276"/>
      <c r="P68" s="217" t="s">
        <v>75</v>
      </c>
      <c r="Q68" s="249">
        <v>10</v>
      </c>
      <c r="R68" s="217"/>
      <c r="S68" s="244">
        <f>F_GAMMA*S64</f>
        <v>0.64016670856714286</v>
      </c>
      <c r="T68" s="244">
        <f>F_GAMMA*T64</f>
        <v>0.63070620695430413</v>
      </c>
      <c r="U68" s="244">
        <f>F_GAMMA*U64</f>
        <v>0.60552142512267315</v>
      </c>
      <c r="V68" s="244">
        <f>F_GAMMA*V64</f>
        <v>0.54928472311560839</v>
      </c>
    </row>
    <row r="69" spans="1:22" ht="14" x14ac:dyDescent="0.3">
      <c r="A69" s="216" t="s">
        <v>274</v>
      </c>
      <c r="B69" s="276"/>
      <c r="C69" s="276"/>
      <c r="D69" s="276"/>
      <c r="E69" s="276"/>
      <c r="F69" s="276"/>
      <c r="G69" s="276"/>
      <c r="H69" s="276"/>
      <c r="I69" s="276"/>
      <c r="J69" s="276"/>
      <c r="K69" s="276"/>
      <c r="L69" s="276"/>
      <c r="P69" s="217" t="s">
        <v>38</v>
      </c>
      <c r="Q69" s="249"/>
      <c r="S69" s="244">
        <f>IF(S$4&lt;S68,S66,S67)</f>
        <v>4.9832592131647182</v>
      </c>
      <c r="T69" s="244">
        <f>IF(T$4&lt;T68,T66,T67)</f>
        <v>9.9998223948370413</v>
      </c>
      <c r="U69" s="244">
        <f>IF(U$4&lt;U68,U66,U67)</f>
        <v>26.475489817079399</v>
      </c>
      <c r="V69" s="244">
        <f>IF(V$4&lt;V68,V66,V67)</f>
        <v>45.713548230145449</v>
      </c>
    </row>
    <row r="70" spans="1:22" ht="14" x14ac:dyDescent="0.3">
      <c r="A70" s="217" t="s">
        <v>275</v>
      </c>
      <c r="B70" s="276"/>
      <c r="C70" s="276"/>
      <c r="D70" s="276"/>
      <c r="E70" s="276"/>
      <c r="F70" s="276"/>
      <c r="G70" s="276"/>
      <c r="H70" s="276"/>
      <c r="I70" s="276"/>
      <c r="J70" s="276"/>
      <c r="K70" s="276"/>
      <c r="L70" s="276"/>
      <c r="P70" s="217"/>
      <c r="Q70" s="249"/>
      <c r="S70" s="244"/>
      <c r="T70" s="282"/>
      <c r="U70" s="282"/>
      <c r="V70" s="282"/>
    </row>
    <row r="71" spans="1:22" ht="14" x14ac:dyDescent="0.3">
      <c r="A71" s="217"/>
      <c r="B71" s="276"/>
      <c r="C71" s="276"/>
      <c r="D71" s="276"/>
      <c r="E71" s="276"/>
      <c r="F71" s="276"/>
      <c r="G71" s="276"/>
      <c r="H71" s="276"/>
      <c r="I71" s="276"/>
      <c r="J71" s="276"/>
      <c r="K71" s="276"/>
      <c r="L71" s="276"/>
      <c r="P71" s="217" t="s">
        <v>63</v>
      </c>
      <c r="R71" s="217"/>
      <c r="S71" s="244">
        <f>S69</f>
        <v>4.9832592131647182</v>
      </c>
      <c r="T71" s="244">
        <f>T69</f>
        <v>9.9998223948370413</v>
      </c>
      <c r="U71" s="244">
        <f>U69</f>
        <v>26.475489817079399</v>
      </c>
      <c r="V71" s="244">
        <f>V69</f>
        <v>45.713548230145449</v>
      </c>
    </row>
    <row r="72" spans="1:22" ht="14" x14ac:dyDescent="0.3">
      <c r="A72" s="276"/>
      <c r="B72" s="276"/>
      <c r="C72" s="276"/>
      <c r="D72" s="276"/>
      <c r="E72" s="276"/>
      <c r="F72" s="276"/>
      <c r="G72" s="276"/>
      <c r="H72" s="276"/>
      <c r="I72" s="276"/>
      <c r="J72" s="276"/>
      <c r="K72" s="276"/>
      <c r="L72" s="276"/>
      <c r="P72" s="217" t="s">
        <v>66</v>
      </c>
      <c r="Q72" s="217">
        <v>15</v>
      </c>
      <c r="R72" s="217"/>
      <c r="S72" s="244">
        <f>1/(SQRT(1+(SIGMA_ZETA/N_2)*(S71/d^2)^2))</f>
        <v>0.99926511088487302</v>
      </c>
      <c r="T72" s="244">
        <f>1/(SQRT(1+(SIGMA_ZETA/N_2)*(T71/d^2)^2))</f>
        <v>0.99705059984201294</v>
      </c>
      <c r="U72" s="244">
        <f>1/(SQRT(1+(SIGMA_ZETA/N_2)*(U71/d^2)^2))</f>
        <v>0.97985883426829345</v>
      </c>
      <c r="V72" s="244">
        <f>1/(SQRT(1+(SIGMA_ZETA/N_2)*(V71/d^2)^2))</f>
        <v>0.94330353953477741</v>
      </c>
    </row>
    <row r="73" spans="1:22" ht="14" x14ac:dyDescent="0.3">
      <c r="A73" s="276"/>
      <c r="B73" s="276"/>
      <c r="C73" s="276"/>
      <c r="D73" s="276"/>
      <c r="E73" s="276"/>
      <c r="F73" s="276"/>
      <c r="G73" s="276"/>
      <c r="H73" s="276"/>
      <c r="I73" s="276"/>
      <c r="J73" s="276"/>
      <c r="K73" s="276"/>
      <c r="L73" s="276"/>
      <c r="P73" s="217" t="s">
        <v>68</v>
      </c>
      <c r="Q73" s="249">
        <v>22</v>
      </c>
      <c r="R73" s="217"/>
      <c r="S73" s="244">
        <f>(x_T/S72^2)/(1+(x_T*SIGMA_ZETA_1/N_5)*(S71/d^2)^2)</f>
        <v>0.64016670856714286</v>
      </c>
      <c r="T73" s="244">
        <f>(E$11/T72^2)/(1+(E$11*SIGMA_ZETA_1/N_5)*(T71/d^2)^2)</f>
        <v>0.63070620695430601</v>
      </c>
      <c r="U73" s="244">
        <f>(F$11/U72^2)/(1+(F$11*SIGMA_ZETA_1/N_5)*(U71/d^2)^2)</f>
        <v>0.60552142534361131</v>
      </c>
      <c r="V73" s="244">
        <f>(G$11/V72^2)/(1+(G$11*SIGMA_ZETA_1/N_5)*(V71/d^2)^2)</f>
        <v>0.54928482416885971</v>
      </c>
    </row>
    <row r="74" spans="1:22" ht="14" x14ac:dyDescent="0.3">
      <c r="A74" s="276"/>
      <c r="B74" s="276"/>
      <c r="C74" s="276"/>
      <c r="D74" s="276"/>
      <c r="E74" s="276"/>
      <c r="F74" s="276"/>
      <c r="G74" s="276"/>
      <c r="H74" s="276"/>
      <c r="I74" s="276"/>
      <c r="J74" s="276"/>
      <c r="K74" s="276"/>
      <c r="L74" s="276"/>
      <c r="P74" s="217" t="s">
        <v>26</v>
      </c>
      <c r="Q74" s="217">
        <v>12</v>
      </c>
      <c r="R74" s="217"/>
      <c r="S74" s="244">
        <f>1-(x/(3*F_GAMMA*S73))</f>
        <v>0.73965114955804345</v>
      </c>
      <c r="T74" s="244">
        <f>1-(T$4/(3*F_GAMMA*T73))</f>
        <v>0.71150788776117813</v>
      </c>
      <c r="U74" s="244">
        <f>1-(U$4/(3*F_GAMMA*U73))</f>
        <v>0.7376471603337651</v>
      </c>
      <c r="V74" s="244">
        <f>1-(V$4/(3*F_GAMMA*V73))</f>
        <v>0.77243136074414309</v>
      </c>
    </row>
    <row r="75" spans="1:22" ht="14" x14ac:dyDescent="0.3">
      <c r="A75" s="276"/>
      <c r="B75" s="276"/>
      <c r="C75" s="276"/>
      <c r="D75" s="276"/>
      <c r="E75" s="276"/>
      <c r="F75" s="276"/>
      <c r="G75" s="276"/>
      <c r="H75" s="276"/>
      <c r="I75" s="276"/>
      <c r="J75" s="276"/>
      <c r="K75" s="276"/>
      <c r="L75" s="276"/>
      <c r="P75" s="217" t="s">
        <v>71</v>
      </c>
      <c r="Q75" s="249">
        <v>5</v>
      </c>
      <c r="R75" s="217"/>
      <c r="S75" s="244">
        <f>W/(N_6*S72*S74*SQRT(x*P_1*RHO))</f>
        <v>4.9832592131647182</v>
      </c>
      <c r="T75" s="244">
        <f>E$4/(N_6*T72*T74*SQRT(T$4*E$5*E$8))</f>
        <v>9.9998223948371177</v>
      </c>
      <c r="U75" s="244">
        <f>F$4/(N_6*U72*U74*SQRT(U$4*F$5*F$8))</f>
        <v>26.475489835443181</v>
      </c>
      <c r="V75" s="244">
        <f>G$4/(N_6*V72*V74*SQRT(V$4*G$5*G$8))</f>
        <v>45.713560061838145</v>
      </c>
    </row>
    <row r="76" spans="1:22" ht="14" x14ac:dyDescent="0.3">
      <c r="A76" s="276"/>
      <c r="B76" s="276"/>
      <c r="C76" s="276"/>
      <c r="D76" s="276"/>
      <c r="E76" s="276"/>
      <c r="F76" s="276"/>
      <c r="G76" s="276"/>
      <c r="H76" s="276"/>
      <c r="I76" s="276"/>
      <c r="J76" s="276"/>
      <c r="K76" s="276"/>
      <c r="L76" s="276"/>
      <c r="P76" s="217" t="s">
        <v>73</v>
      </c>
      <c r="Q76" s="249">
        <v>5</v>
      </c>
      <c r="R76" s="217"/>
      <c r="S76" s="244">
        <f>W/(0.667*N_6*S72*SQRT(F_GAMMA*S73*P_1*RHO))</f>
        <v>4.883745685685752</v>
      </c>
      <c r="T76" s="244">
        <f>E$4/(0.667*N_6*T72*SQRT(F_GAMMA*T73*E$5*E$8))</f>
        <v>9.9237032915059924</v>
      </c>
      <c r="U76" s="244">
        <f>F$4/(0.667*N_6*U72*SQRT(F_GAMMA*U73*F$5*F$8))</f>
        <v>25.975885238700027</v>
      </c>
      <c r="V76" s="244">
        <f>G$4/(0.667*N_6*V72*SQRT(F_GAMMA*V73*G$5*G$8))</f>
        <v>43.741728639506945</v>
      </c>
    </row>
    <row r="77" spans="1:22" ht="14" x14ac:dyDescent="0.3">
      <c r="A77" s="276"/>
      <c r="B77" s="276"/>
      <c r="C77" s="276"/>
      <c r="D77" s="276"/>
      <c r="E77" s="276"/>
      <c r="F77" s="276"/>
      <c r="G77" s="276"/>
      <c r="H77" s="276"/>
      <c r="I77" s="276"/>
      <c r="J77" s="276"/>
      <c r="K77" s="276"/>
      <c r="L77" s="276"/>
      <c r="P77" s="217" t="s">
        <v>75</v>
      </c>
      <c r="Q77" s="249">
        <v>10</v>
      </c>
      <c r="R77" s="217"/>
      <c r="S77" s="244">
        <f>F_GAMMA*S73</f>
        <v>0.64016670856714286</v>
      </c>
      <c r="T77" s="244">
        <f>F_GAMMA*T73</f>
        <v>0.63070620695430601</v>
      </c>
      <c r="U77" s="244">
        <f>F_GAMMA*U73</f>
        <v>0.60552142534361131</v>
      </c>
      <c r="V77" s="244">
        <f>F_GAMMA*V73</f>
        <v>0.54928482416885971</v>
      </c>
    </row>
    <row r="78" spans="1:22" ht="14" x14ac:dyDescent="0.3">
      <c r="A78" s="276"/>
      <c r="B78" s="276"/>
      <c r="C78" s="276"/>
      <c r="D78" s="276"/>
      <c r="E78" s="276"/>
      <c r="F78" s="276"/>
      <c r="G78" s="276"/>
      <c r="H78" s="276"/>
      <c r="I78" s="276"/>
      <c r="J78" s="276"/>
      <c r="K78" s="276"/>
      <c r="L78" s="276"/>
      <c r="P78" s="217" t="s">
        <v>38</v>
      </c>
      <c r="Q78" s="249"/>
      <c r="S78" s="244">
        <f>IF(S$4&lt;S77,S75,S76)</f>
        <v>4.9832592131647182</v>
      </c>
      <c r="T78" s="244">
        <f>IF(T$4&lt;T77,T75,T76)</f>
        <v>9.9998223948371177</v>
      </c>
      <c r="U78" s="244">
        <f>IF(U$4&lt;U77,U75,U76)</f>
        <v>26.475489835443181</v>
      </c>
      <c r="V78" s="244">
        <f>IF(V$4&lt;V77,V75,V76)</f>
        <v>45.713560061838145</v>
      </c>
    </row>
    <row r="79" spans="1:22" ht="14" x14ac:dyDescent="0.3">
      <c r="A79" s="276"/>
      <c r="B79" s="276"/>
      <c r="C79" s="276"/>
      <c r="D79" s="276"/>
      <c r="E79" s="276"/>
      <c r="F79" s="276"/>
      <c r="G79" s="276"/>
      <c r="H79" s="276"/>
      <c r="I79" s="276"/>
      <c r="J79" s="276"/>
      <c r="K79" s="276"/>
      <c r="L79" s="276"/>
      <c r="P79" s="217"/>
      <c r="Q79" s="217"/>
      <c r="R79" s="217"/>
      <c r="S79" s="244"/>
      <c r="T79" s="244"/>
      <c r="U79" s="244"/>
      <c r="V79" s="244"/>
    </row>
    <row r="80" spans="1:22" ht="14" x14ac:dyDescent="0.3">
      <c r="A80" s="276"/>
      <c r="B80" s="276"/>
      <c r="C80" s="276"/>
      <c r="D80" s="276"/>
      <c r="E80" s="276"/>
      <c r="F80" s="276"/>
      <c r="G80" s="276"/>
      <c r="H80" s="276"/>
      <c r="I80" s="276"/>
      <c r="J80" s="276"/>
      <c r="K80" s="276"/>
      <c r="L80" s="276"/>
      <c r="P80" s="217" t="s">
        <v>63</v>
      </c>
      <c r="R80" s="217"/>
      <c r="S80" s="244">
        <f>S78</f>
        <v>4.9832592131647182</v>
      </c>
      <c r="T80" s="244">
        <f>T78</f>
        <v>9.9998223948371177</v>
      </c>
      <c r="U80" s="244">
        <f>U78</f>
        <v>26.475489835443181</v>
      </c>
      <c r="V80" s="244">
        <f>V78</f>
        <v>45.713560061838145</v>
      </c>
    </row>
    <row r="81" spans="1:22" ht="14" x14ac:dyDescent="0.3">
      <c r="A81" s="276"/>
      <c r="B81" s="276"/>
      <c r="C81" s="276"/>
      <c r="D81" s="276"/>
      <c r="E81" s="276"/>
      <c r="F81" s="276"/>
      <c r="G81" s="276"/>
      <c r="H81" s="276"/>
      <c r="I81" s="276"/>
      <c r="J81" s="276"/>
      <c r="K81" s="276"/>
      <c r="L81" s="276"/>
      <c r="P81" s="217" t="s">
        <v>66</v>
      </c>
      <c r="Q81" s="217">
        <v>15</v>
      </c>
      <c r="R81" s="217"/>
      <c r="S81" s="244">
        <f>1/(SQRT(1+(SIGMA_ZETA/N_2)*(S80/d^2)^2))</f>
        <v>0.99926511088487302</v>
      </c>
      <c r="T81" s="244">
        <f>1/(SQRT(1+(SIGMA_ZETA/N_2)*(T80/d^2)^2))</f>
        <v>0.99705059984201272</v>
      </c>
      <c r="U81" s="244">
        <f>1/(SQRT(1+(SIGMA_ZETA/N_2)*(U80/d^2)^2))</f>
        <v>0.97985883424119147</v>
      </c>
      <c r="V81" s="244">
        <f>1/(SQRT(1+(SIGMA_ZETA/N_2)*(V80/d^2)^2))</f>
        <v>0.94330351263491641</v>
      </c>
    </row>
    <row r="82" spans="1:22" ht="14" x14ac:dyDescent="0.3">
      <c r="A82" s="276"/>
      <c r="B82" s="276"/>
      <c r="C82" s="276"/>
      <c r="D82" s="276"/>
      <c r="E82" s="276"/>
      <c r="F82" s="276"/>
      <c r="G82" s="276"/>
      <c r="H82" s="276"/>
      <c r="I82" s="276"/>
      <c r="J82" s="276"/>
      <c r="K82" s="276"/>
      <c r="L82" s="276"/>
      <c r="P82" s="217" t="s">
        <v>68</v>
      </c>
      <c r="Q82" s="249">
        <v>22</v>
      </c>
      <c r="R82" s="217"/>
      <c r="S82" s="244">
        <f>(x_T/S81^2)/(1+(x_T*SIGMA_ZETA_1/N_5)*(S80/d^2)^2)</f>
        <v>0.64016670856714286</v>
      </c>
      <c r="T82" s="244">
        <f>(E$11/T81^2)/(1+(E$11*SIGMA_ZETA_1/N_5)*(T80/d^2)^2)</f>
        <v>0.63070620695430624</v>
      </c>
      <c r="U82" s="244">
        <f>(F$11/U81^2)/(1+(F$11*SIGMA_ZETA_1/N_5)*(U80/d^2)^2)</f>
        <v>0.60552142535103315</v>
      </c>
      <c r="V82" s="244">
        <f>(G$11/V81^2)/(1+(G$11*SIGMA_ZETA_1/N_5)*(V80/d^2)^2)</f>
        <v>0.54928483337488809</v>
      </c>
    </row>
    <row r="83" spans="1:22" ht="14" x14ac:dyDescent="0.3">
      <c r="A83" s="276"/>
      <c r="B83" s="276"/>
      <c r="C83" s="276"/>
      <c r="D83" s="276"/>
      <c r="E83" s="276"/>
      <c r="F83" s="276"/>
      <c r="G83" s="276"/>
      <c r="H83" s="276"/>
      <c r="I83" s="276"/>
      <c r="J83" s="276"/>
      <c r="K83" s="276"/>
      <c r="L83" s="276"/>
      <c r="P83" s="217" t="s">
        <v>26</v>
      </c>
      <c r="Q83" s="217">
        <v>12</v>
      </c>
      <c r="R83" s="217"/>
      <c r="S83" s="244">
        <f>1-(x/(3*F_GAMMA*S82))</f>
        <v>0.73965114955804345</v>
      </c>
      <c r="T83" s="244">
        <f>1-(T$4/(3*F_GAMMA*T82))</f>
        <v>0.71150788776117824</v>
      </c>
      <c r="U83" s="244">
        <f>1-(U$4/(3*F_GAMMA*U82))</f>
        <v>0.73764716033698075</v>
      </c>
      <c r="V83" s="244">
        <f>1-(V$4/(3*F_GAMMA*V82))</f>
        <v>0.77243136455819961</v>
      </c>
    </row>
    <row r="84" spans="1:22" ht="14" x14ac:dyDescent="0.3">
      <c r="A84" s="276"/>
      <c r="B84" s="276"/>
      <c r="C84" s="276"/>
      <c r="D84" s="276"/>
      <c r="E84" s="276"/>
      <c r="F84" s="276"/>
      <c r="G84" s="276"/>
      <c r="H84" s="276"/>
      <c r="I84" s="276"/>
      <c r="J84" s="276"/>
      <c r="K84" s="276"/>
      <c r="L84" s="276"/>
      <c r="P84" s="217" t="s">
        <v>71</v>
      </c>
      <c r="Q84" s="249">
        <v>5</v>
      </c>
      <c r="R84" s="217"/>
      <c r="S84" s="244">
        <f>W/(N_6*S81*S83*SQRT(x*P_1*RHO))</f>
        <v>4.9832592131647182</v>
      </c>
      <c r="T84" s="244">
        <f>E$4/(N_6*T81*T83*SQRT(T$4*E$5*E$8))</f>
        <v>9.9998223948371177</v>
      </c>
      <c r="U84" s="244">
        <f>F$4/(N_6*U81*U83*SQRT(U$4*F$5*F$8))</f>
        <v>26.475489836060053</v>
      </c>
      <c r="V84" s="244">
        <f>G$4/(N_6*V81*V83*SQRT(V$4*G$5*G$8))</f>
        <v>45.713561139714812</v>
      </c>
    </row>
    <row r="85" spans="1:22" ht="14" x14ac:dyDescent="0.3">
      <c r="A85" s="276"/>
      <c r="B85" s="276"/>
      <c r="C85" s="276"/>
      <c r="D85" s="276"/>
      <c r="E85" s="276"/>
      <c r="F85" s="276"/>
      <c r="G85" s="276"/>
      <c r="H85" s="276"/>
      <c r="I85" s="276"/>
      <c r="J85" s="276"/>
      <c r="K85" s="276"/>
      <c r="L85" s="276"/>
      <c r="P85" s="217" t="s">
        <v>73</v>
      </c>
      <c r="Q85" s="249">
        <v>5</v>
      </c>
      <c r="R85" s="217"/>
      <c r="S85" s="244">
        <f>W/(0.667*N_6*S81*SQRT(F_GAMMA*S82*P_1*RHO))</f>
        <v>4.883745685685752</v>
      </c>
      <c r="T85" s="244">
        <f>E$4/(0.667*N_6*T81*SQRT(F_GAMMA*T82*E$5*E$8))</f>
        <v>9.9237032915059942</v>
      </c>
      <c r="U85" s="244">
        <f>F$4/(0.667*N_6*U81*SQRT(F_GAMMA*U82*F$5*F$8))</f>
        <v>25.975885239259298</v>
      </c>
      <c r="V85" s="244">
        <f>G$4/(0.667*N_6*V81*SQRT(F_GAMMA*V82*G$5*G$8))</f>
        <v>43.741729520318444</v>
      </c>
    </row>
    <row r="86" spans="1:22" ht="14" x14ac:dyDescent="0.3">
      <c r="A86" s="276"/>
      <c r="B86" s="276"/>
      <c r="C86" s="276"/>
      <c r="D86" s="276"/>
      <c r="E86" s="276"/>
      <c r="F86" s="276"/>
      <c r="G86" s="276"/>
      <c r="H86" s="276"/>
      <c r="I86" s="276"/>
      <c r="J86" s="276"/>
      <c r="K86" s="276"/>
      <c r="L86" s="276"/>
      <c r="P86" s="217" t="s">
        <v>75</v>
      </c>
      <c r="Q86" s="249">
        <v>10</v>
      </c>
      <c r="R86" s="217"/>
      <c r="S86" s="244">
        <f>F_GAMMA*S82</f>
        <v>0.64016670856714286</v>
      </c>
      <c r="T86" s="244">
        <f>F_GAMMA*T82</f>
        <v>0.63070620695430624</v>
      </c>
      <c r="U86" s="244">
        <f>F_GAMMA*U82</f>
        <v>0.60552142535103315</v>
      </c>
      <c r="V86" s="244">
        <f>F_GAMMA*V82</f>
        <v>0.54928483337488809</v>
      </c>
    </row>
    <row r="87" spans="1:22" ht="14" x14ac:dyDescent="0.3">
      <c r="A87" s="276"/>
      <c r="B87" s="276"/>
      <c r="C87" s="276"/>
      <c r="D87" s="276"/>
      <c r="E87" s="276"/>
      <c r="F87" s="276"/>
      <c r="G87" s="276"/>
      <c r="H87" s="276"/>
      <c r="I87" s="276"/>
      <c r="J87" s="276"/>
      <c r="K87" s="276"/>
      <c r="L87" s="276"/>
      <c r="P87" s="217" t="s">
        <v>38</v>
      </c>
      <c r="Q87" s="249"/>
      <c r="S87" s="244">
        <f>IF(S$4&lt;S86,S84,S85)</f>
        <v>4.9832592131647182</v>
      </c>
      <c r="T87" s="244">
        <f>IF(T$4&lt;T86,T84,T85)</f>
        <v>9.9998223948371177</v>
      </c>
      <c r="U87" s="244">
        <f>IF(U$4&lt;U86,U84,U85)</f>
        <v>26.475489836060053</v>
      </c>
      <c r="V87" s="244">
        <f>IF(V$4&lt;V86,V84,V85)</f>
        <v>45.713561139714812</v>
      </c>
    </row>
    <row r="88" spans="1:22" ht="14" x14ac:dyDescent="0.3">
      <c r="A88" s="276"/>
      <c r="B88" s="276"/>
      <c r="C88" s="276"/>
      <c r="D88" s="276"/>
      <c r="E88" s="276"/>
      <c r="F88" s="276"/>
      <c r="G88" s="276"/>
      <c r="H88" s="276"/>
      <c r="I88" s="276"/>
      <c r="J88" s="276"/>
      <c r="K88" s="276"/>
      <c r="L88" s="276"/>
      <c r="P88" s="217"/>
      <c r="Q88" s="249"/>
      <c r="S88" s="244"/>
      <c r="T88" s="244"/>
      <c r="U88" s="244"/>
      <c r="V88" s="244"/>
    </row>
    <row r="89" spans="1:22" ht="14" x14ac:dyDescent="0.3">
      <c r="A89" s="276"/>
      <c r="B89" s="276"/>
      <c r="C89" s="276"/>
      <c r="D89" s="276"/>
      <c r="E89" s="276"/>
      <c r="F89" s="276"/>
      <c r="G89" s="276"/>
      <c r="H89" s="276"/>
      <c r="I89" s="276"/>
      <c r="J89" s="276"/>
      <c r="K89" s="276"/>
      <c r="L89" s="276"/>
      <c r="P89" s="217" t="s">
        <v>63</v>
      </c>
      <c r="R89" s="217"/>
      <c r="S89" s="244">
        <f>S87</f>
        <v>4.9832592131647182</v>
      </c>
      <c r="T89" s="244">
        <f>T87</f>
        <v>9.9998223948371177</v>
      </c>
      <c r="U89" s="244">
        <f>U87</f>
        <v>26.475489836060053</v>
      </c>
      <c r="V89" s="244">
        <f>V87</f>
        <v>45.713561139714812</v>
      </c>
    </row>
    <row r="90" spans="1:22" ht="14" x14ac:dyDescent="0.3">
      <c r="A90" s="276"/>
      <c r="B90" s="276"/>
      <c r="C90" s="276"/>
      <c r="D90" s="276"/>
      <c r="E90" s="276"/>
      <c r="F90" s="276"/>
      <c r="G90" s="276"/>
      <c r="H90" s="276"/>
      <c r="I90" s="276"/>
      <c r="J90" s="276"/>
      <c r="K90" s="276"/>
      <c r="L90" s="276"/>
      <c r="P90" s="217" t="s">
        <v>66</v>
      </c>
      <c r="Q90" s="217">
        <v>15</v>
      </c>
      <c r="R90" s="217"/>
      <c r="S90" s="244">
        <f>1/(SQRT(1+(SIGMA_ZETA/N_2)*(S89/d^2)^2))</f>
        <v>0.99926511088487302</v>
      </c>
      <c r="T90" s="244">
        <f>1/(SQRT(1+(SIGMA_ZETA/N_2)*(T89/d^2)^2))</f>
        <v>0.99705059984201272</v>
      </c>
      <c r="U90" s="244">
        <f>1/(SQRT(1+(SIGMA_ZETA/N_2)*(U89/d^2)^2))</f>
        <v>0.9798588342402812</v>
      </c>
      <c r="V90" s="244">
        <f>1/(SQRT(1+(SIGMA_ZETA/N_2)*(V89/d^2)^2))</f>
        <v>0.94330351018431724</v>
      </c>
    </row>
    <row r="91" spans="1:22" ht="14" x14ac:dyDescent="0.3">
      <c r="A91" s="276"/>
      <c r="B91" s="276"/>
      <c r="C91" s="276"/>
      <c r="D91" s="276"/>
      <c r="E91" s="276"/>
      <c r="F91" s="276"/>
      <c r="G91" s="276"/>
      <c r="H91" s="276"/>
      <c r="I91" s="276"/>
      <c r="J91" s="276"/>
      <c r="K91" s="276"/>
      <c r="L91" s="276"/>
      <c r="P91" s="217" t="s">
        <v>68</v>
      </c>
      <c r="Q91" s="249">
        <v>22</v>
      </c>
      <c r="R91" s="217"/>
      <c r="S91" s="244">
        <f>(x_T/S90^2)/(1+(x_T*SIGMA_ZETA_1/N_5)*(S89/d^2)^2)</f>
        <v>0.64016670856714286</v>
      </c>
      <c r="T91" s="244">
        <f>(E$11/T90^2)/(1+(E$11*SIGMA_ZETA_1/N_5)*(T89/d^2)^2)</f>
        <v>0.63070620695430624</v>
      </c>
      <c r="U91" s="244">
        <f>(F$11/U90^2)/(1+(F$11*SIGMA_ZETA_1/N_5)*(U89/d^2)^2)</f>
        <v>0.60552142535128228</v>
      </c>
      <c r="V91" s="244">
        <f>(G$11/V90^2)/(1+(G$11*SIGMA_ZETA_1/N_5)*(V89/d^2)^2)</f>
        <v>0.54928483421356489</v>
      </c>
    </row>
    <row r="92" spans="1:22" ht="14" x14ac:dyDescent="0.3">
      <c r="A92" s="276"/>
      <c r="B92" s="276"/>
      <c r="C92" s="276"/>
      <c r="D92" s="276"/>
      <c r="E92" s="276"/>
      <c r="F92" s="276"/>
      <c r="G92" s="276"/>
      <c r="H92" s="276"/>
      <c r="I92" s="276"/>
      <c r="J92" s="276"/>
      <c r="K92" s="276"/>
      <c r="L92" s="276"/>
      <c r="P92" s="217" t="s">
        <v>26</v>
      </c>
      <c r="Q92" s="217">
        <v>12</v>
      </c>
      <c r="R92" s="217"/>
      <c r="S92" s="244">
        <f>1-(x/(3*F_GAMMA*S91))</f>
        <v>0.73965114955804345</v>
      </c>
      <c r="T92" s="244">
        <f>1-(T$4/(3*F_GAMMA*T91))</f>
        <v>0.71150788776117824</v>
      </c>
      <c r="U92" s="244">
        <f>1-(U$4/(3*F_GAMMA*U91))</f>
        <v>0.73764716033708877</v>
      </c>
      <c r="V92" s="244">
        <f>1-(V$4/(3*F_GAMMA*V91))</f>
        <v>0.77243136490566322</v>
      </c>
    </row>
    <row r="93" spans="1:22" ht="14" x14ac:dyDescent="0.3">
      <c r="A93" s="276"/>
      <c r="B93" s="276"/>
      <c r="C93" s="276"/>
      <c r="D93" s="276"/>
      <c r="E93" s="276"/>
      <c r="F93" s="276"/>
      <c r="G93" s="276"/>
      <c r="H93" s="276"/>
      <c r="I93" s="276"/>
      <c r="J93" s="276"/>
      <c r="K93" s="276"/>
      <c r="L93" s="276"/>
      <c r="P93" s="217" t="s">
        <v>71</v>
      </c>
      <c r="Q93" s="249">
        <v>5</v>
      </c>
      <c r="R93" s="217"/>
      <c r="S93" s="244">
        <f>W/(N_6*S90*S92*SQRT(x*P_1*RHO))</f>
        <v>4.9832592131647182</v>
      </c>
      <c r="T93" s="244">
        <f>E$4/(N_6*T90*T92*SQRT(T$4*E$5*E$8))</f>
        <v>9.9998223948371177</v>
      </c>
      <c r="U93" s="244">
        <f>F$4/(N_6*U90*U92*SQRT(U$4*F$5*F$8))</f>
        <v>26.475489836080769</v>
      </c>
      <c r="V93" s="244">
        <f>G$4/(N_6*V90*V92*SQRT(V$4*G$5*G$8))</f>
        <v>45.713561237910248</v>
      </c>
    </row>
    <row r="94" spans="1:22" ht="14" x14ac:dyDescent="0.3">
      <c r="A94" s="276"/>
      <c r="B94" s="276"/>
      <c r="C94" s="276"/>
      <c r="D94" s="276"/>
      <c r="E94" s="276"/>
      <c r="F94" s="276"/>
      <c r="G94" s="276"/>
      <c r="H94" s="276"/>
      <c r="I94" s="276"/>
      <c r="J94" s="276"/>
      <c r="K94" s="276"/>
      <c r="L94" s="276"/>
      <c r="P94" s="217" t="s">
        <v>73</v>
      </c>
      <c r="Q94" s="249">
        <v>5</v>
      </c>
      <c r="R94" s="217"/>
      <c r="S94" s="244">
        <f>W/(0.667*N_6*S90*SQRT(F_GAMMA*S91*P_1*RHO))</f>
        <v>4.883745685685752</v>
      </c>
      <c r="T94" s="244">
        <f>E$4/(0.667*N_6*T90*SQRT(F_GAMMA*T91*E$5*E$8))</f>
        <v>9.9237032915059942</v>
      </c>
      <c r="U94" s="244">
        <f>F$4/(0.667*N_6*U90*SQRT(F_GAMMA*U91*F$5*F$8))</f>
        <v>25.975885239278089</v>
      </c>
      <c r="V94" s="244">
        <f>G$4/(0.667*N_6*V90*SQRT(F_GAMMA*V91*G$5*G$8))</f>
        <v>43.741729600561094</v>
      </c>
    </row>
    <row r="95" spans="1:22" ht="14" x14ac:dyDescent="0.3">
      <c r="A95" s="276"/>
      <c r="B95" s="276"/>
      <c r="C95" s="276"/>
      <c r="D95" s="276"/>
      <c r="E95" s="276"/>
      <c r="F95" s="276"/>
      <c r="G95" s="276"/>
      <c r="H95" s="276"/>
      <c r="I95" s="276"/>
      <c r="J95" s="276"/>
      <c r="K95" s="276"/>
      <c r="L95" s="276"/>
      <c r="P95" s="217" t="s">
        <v>75</v>
      </c>
      <c r="Q95" s="249">
        <v>10</v>
      </c>
      <c r="R95" s="217"/>
      <c r="S95" s="244">
        <f>F_GAMMA*S91</f>
        <v>0.64016670856714286</v>
      </c>
      <c r="T95" s="244">
        <f>F_GAMMA*T91</f>
        <v>0.63070620695430624</v>
      </c>
      <c r="U95" s="244">
        <f>F_GAMMA*U91</f>
        <v>0.60552142535128228</v>
      </c>
      <c r="V95" s="244">
        <f>F_GAMMA*V91</f>
        <v>0.54928483421356489</v>
      </c>
    </row>
    <row r="96" spans="1:22" ht="14" x14ac:dyDescent="0.3">
      <c r="A96" s="276"/>
      <c r="B96" s="276"/>
      <c r="C96" s="276"/>
      <c r="D96" s="276"/>
      <c r="E96" s="276"/>
      <c r="F96" s="276"/>
      <c r="G96" s="276"/>
      <c r="H96" s="276"/>
      <c r="I96" s="276"/>
      <c r="J96" s="276"/>
      <c r="K96" s="276"/>
      <c r="L96" s="276"/>
      <c r="P96" s="217" t="s">
        <v>38</v>
      </c>
      <c r="Q96" s="249"/>
      <c r="S96" s="244">
        <f>IF(S$4&lt;S95,S93,S94)</f>
        <v>4.9832592131647182</v>
      </c>
      <c r="T96" s="244">
        <f>IF(T$4&lt;T95,T93,T94)</f>
        <v>9.9998223948371177</v>
      </c>
      <c r="U96" s="244">
        <f>IF(U$4&lt;U95,U93,U94)</f>
        <v>26.475489836080769</v>
      </c>
      <c r="V96" s="244">
        <f>IF(V$4&lt;V95,V93,V94)</f>
        <v>45.713561237910248</v>
      </c>
    </row>
    <row r="97" spans="1:22" ht="14" x14ac:dyDescent="0.3">
      <c r="A97" s="276"/>
      <c r="B97" s="276"/>
      <c r="C97" s="276"/>
      <c r="D97" s="276"/>
      <c r="E97" s="276"/>
      <c r="F97" s="276"/>
      <c r="G97" s="276"/>
      <c r="H97" s="276"/>
      <c r="I97" s="276"/>
      <c r="J97" s="276"/>
      <c r="K97" s="276"/>
      <c r="L97" s="276"/>
      <c r="P97" s="217"/>
      <c r="Q97" s="217"/>
      <c r="S97" s="244"/>
      <c r="T97" s="244"/>
      <c r="U97" s="244"/>
      <c r="V97" s="244"/>
    </row>
    <row r="98" spans="1:22" ht="14" x14ac:dyDescent="0.3">
      <c r="A98" s="276"/>
      <c r="B98" s="276"/>
      <c r="C98" s="276"/>
      <c r="D98" s="276"/>
      <c r="E98" s="276"/>
      <c r="F98" s="276"/>
      <c r="G98" s="276"/>
      <c r="H98" s="276"/>
      <c r="I98" s="276"/>
      <c r="J98" s="276"/>
      <c r="K98" s="276"/>
      <c r="L98" s="276"/>
      <c r="P98" s="217" t="s">
        <v>63</v>
      </c>
      <c r="R98" s="217"/>
      <c r="S98" s="244">
        <f>S96</f>
        <v>4.9832592131647182</v>
      </c>
      <c r="T98" s="244">
        <f>T96</f>
        <v>9.9998223948371177</v>
      </c>
      <c r="U98" s="244">
        <f>U96</f>
        <v>26.475489836080769</v>
      </c>
      <c r="V98" s="244">
        <f>V96</f>
        <v>45.713561237910248</v>
      </c>
    </row>
    <row r="99" spans="1:22" ht="14" x14ac:dyDescent="0.3">
      <c r="A99" s="276"/>
      <c r="B99" s="276"/>
      <c r="C99" s="276"/>
      <c r="D99" s="276"/>
      <c r="E99" s="276"/>
      <c r="F99" s="276"/>
      <c r="G99" s="276"/>
      <c r="H99" s="276"/>
      <c r="I99" s="276"/>
      <c r="J99" s="276"/>
      <c r="K99" s="276"/>
      <c r="L99" s="276"/>
      <c r="P99" s="217" t="s">
        <v>66</v>
      </c>
      <c r="Q99" s="217">
        <v>15</v>
      </c>
      <c r="R99" s="217"/>
      <c r="S99" s="244">
        <f>1/(SQRT(1+(SIGMA_ZETA/N_2)*(S98/d^2)^2))</f>
        <v>0.99926511088487302</v>
      </c>
      <c r="T99" s="244">
        <f>1/(SQRT(1+(SIGMA_ZETA/N_2)*(T98/d^2)^2))</f>
        <v>0.99705059984201272</v>
      </c>
      <c r="U99" s="244">
        <f>1/(SQRT(1+(SIGMA_ZETA/N_2)*(U98/d^2)^2))</f>
        <v>0.97985883424025044</v>
      </c>
      <c r="V99" s="244">
        <f>1/(SQRT(1+(SIGMA_ZETA/N_2)*(V98/d^2)^2))</f>
        <v>0.9433035099610656</v>
      </c>
    </row>
    <row r="100" spans="1:22" ht="14" x14ac:dyDescent="0.3">
      <c r="A100" s="276"/>
      <c r="B100" s="276"/>
      <c r="C100" s="276"/>
      <c r="D100" s="276"/>
      <c r="E100" s="276"/>
      <c r="F100" s="276"/>
      <c r="G100" s="276"/>
      <c r="H100" s="276"/>
      <c r="I100" s="276"/>
      <c r="J100" s="276"/>
      <c r="K100" s="276"/>
      <c r="L100" s="276"/>
      <c r="P100" s="217" t="s">
        <v>68</v>
      </c>
      <c r="Q100" s="249">
        <v>22</v>
      </c>
      <c r="R100" s="217"/>
      <c r="S100" s="244">
        <f>(x_T/S99^2)/(1+(x_T*SIGMA_ZETA_1/N_5)*(S98/d^2)^2)</f>
        <v>0.64016670856714286</v>
      </c>
      <c r="T100" s="244">
        <f>(E$11/T99^2)/(1+(E$11*SIGMA_ZETA_1/N_5)*(T98/d^2)^2)</f>
        <v>0.63070620695430624</v>
      </c>
      <c r="U100" s="244">
        <f>(F$11/U99^2)/(1+(F$11*SIGMA_ZETA_1/N_5)*(U98/d^2)^2)</f>
        <v>0.60552142535129083</v>
      </c>
      <c r="V100" s="244">
        <f>(G$11/V99^2)/(1+(G$11*SIGMA_ZETA_1/N_5)*(V98/d^2)^2)</f>
        <v>0.54928483428996899</v>
      </c>
    </row>
    <row r="101" spans="1:22" ht="14" x14ac:dyDescent="0.3">
      <c r="A101" s="276"/>
      <c r="B101" s="276"/>
      <c r="C101" s="276"/>
      <c r="D101" s="276"/>
      <c r="E101" s="276"/>
      <c r="F101" s="276"/>
      <c r="G101" s="276"/>
      <c r="H101" s="276"/>
      <c r="I101" s="276"/>
      <c r="J101" s="276"/>
      <c r="K101" s="276"/>
      <c r="L101" s="276"/>
      <c r="P101" s="217" t="s">
        <v>26</v>
      </c>
      <c r="Q101" s="217">
        <v>12</v>
      </c>
      <c r="R101" s="217"/>
      <c r="S101" s="244">
        <f>1-(x/(3*F_GAMMA*S100))</f>
        <v>0.73965114955804345</v>
      </c>
      <c r="T101" s="244">
        <f>1-(T$4/(3*F_GAMMA*T100))</f>
        <v>0.71150788776117824</v>
      </c>
      <c r="U101" s="244">
        <f>1-(U$4/(3*F_GAMMA*U100))</f>
        <v>0.73764716033709243</v>
      </c>
      <c r="V101" s="244">
        <f>1-(V$4/(3*F_GAMMA*V100))</f>
        <v>0.77243136493731746</v>
      </c>
    </row>
    <row r="102" spans="1:22" ht="14" x14ac:dyDescent="0.3">
      <c r="A102" s="276"/>
      <c r="B102" s="276"/>
      <c r="C102" s="276"/>
      <c r="D102" s="276"/>
      <c r="E102" s="276"/>
      <c r="F102" s="276"/>
      <c r="G102" s="276"/>
      <c r="H102" s="276"/>
      <c r="I102" s="276"/>
      <c r="J102" s="276"/>
      <c r="K102" s="276"/>
      <c r="L102" s="276"/>
      <c r="P102" s="217" t="s">
        <v>71</v>
      </c>
      <c r="Q102" s="249">
        <v>5</v>
      </c>
      <c r="R102" s="217"/>
      <c r="S102" s="244">
        <f>W/(N_6*S99*S101*SQRT(x*P_1*RHO))</f>
        <v>4.9832592131647182</v>
      </c>
      <c r="T102" s="244">
        <f>E$4/(N_6*T99*T101*SQRT(T$4*E$5*E$8))</f>
        <v>9.9998223948371177</v>
      </c>
      <c r="U102" s="244">
        <f>F$4/(N_6*U99*U101*SQRT(U$4*F$5*F$8))</f>
        <v>26.475489836081472</v>
      </c>
      <c r="V102" s="244">
        <f>G$4/(N_6*V99*V101*SQRT(V$4*G$5*G$8))</f>
        <v>45.713561246855946</v>
      </c>
    </row>
    <row r="103" spans="1:22" ht="14" x14ac:dyDescent="0.3">
      <c r="A103" s="276"/>
      <c r="B103" s="276"/>
      <c r="C103" s="276"/>
      <c r="D103" s="276"/>
      <c r="E103" s="276"/>
      <c r="F103" s="276"/>
      <c r="G103" s="276"/>
      <c r="H103" s="276"/>
      <c r="I103" s="276"/>
      <c r="J103" s="276"/>
      <c r="K103" s="276"/>
      <c r="L103" s="276"/>
      <c r="P103" s="217" t="s">
        <v>73</v>
      </c>
      <c r="Q103" s="249">
        <v>5</v>
      </c>
      <c r="R103" s="217"/>
      <c r="S103" s="244">
        <f>W/(0.667*N_6*S99*SQRT(F_GAMMA*S100*P_1*RHO))</f>
        <v>4.883745685685752</v>
      </c>
      <c r="T103" s="244">
        <f>E$4/(0.667*N_6*T99*SQRT(F_GAMMA*T100*E$5*E$8))</f>
        <v>9.9237032915059942</v>
      </c>
      <c r="U103" s="244">
        <f>F$4/(0.667*N_6*U99*SQRT(F_GAMMA*U100*F$5*F$8))</f>
        <v>25.975885239278721</v>
      </c>
      <c r="V103" s="244">
        <f>G$4/(0.667*N_6*V99*SQRT(F_GAMMA*V100*G$5*G$8))</f>
        <v>43.741729607871278</v>
      </c>
    </row>
    <row r="104" spans="1:22" ht="14" x14ac:dyDescent="0.3">
      <c r="A104" s="276"/>
      <c r="B104" s="276"/>
      <c r="C104" s="276"/>
      <c r="D104" s="276"/>
      <c r="E104" s="276"/>
      <c r="F104" s="276"/>
      <c r="G104" s="276"/>
      <c r="H104" s="276"/>
      <c r="I104" s="276"/>
      <c r="J104" s="276"/>
      <c r="K104" s="276"/>
      <c r="L104" s="276"/>
      <c r="P104" s="217" t="s">
        <v>75</v>
      </c>
      <c r="Q104" s="249">
        <v>10</v>
      </c>
      <c r="R104" s="217"/>
      <c r="S104" s="244">
        <f>F_GAMMA*S100</f>
        <v>0.64016670856714286</v>
      </c>
      <c r="T104" s="244">
        <f>F_GAMMA*T100</f>
        <v>0.63070620695430624</v>
      </c>
      <c r="U104" s="244">
        <f>F_GAMMA*U100</f>
        <v>0.60552142535129083</v>
      </c>
      <c r="V104" s="244">
        <f>F_GAMMA*V100</f>
        <v>0.54928483428996899</v>
      </c>
    </row>
    <row r="105" spans="1:22" ht="14" x14ac:dyDescent="0.3">
      <c r="A105" s="276"/>
      <c r="B105" s="276"/>
      <c r="C105" s="276"/>
      <c r="D105" s="276"/>
      <c r="E105" s="276"/>
      <c r="F105" s="276"/>
      <c r="G105" s="276"/>
      <c r="H105" s="276"/>
      <c r="I105" s="276"/>
      <c r="J105" s="276"/>
      <c r="K105" s="276"/>
      <c r="L105" s="276"/>
      <c r="P105" s="217" t="s">
        <v>38</v>
      </c>
      <c r="Q105" s="249"/>
      <c r="S105" s="244">
        <f>IF(S$4&lt;S104,S102,S103)</f>
        <v>4.9832592131647182</v>
      </c>
      <c r="T105" s="244">
        <f>IF(T$4&lt;T104,T102,T103)</f>
        <v>9.9998223948371177</v>
      </c>
      <c r="U105" s="244">
        <f>IF(U$4&lt;U104,U102,U103)</f>
        <v>26.475489836081472</v>
      </c>
      <c r="V105" s="244">
        <f>IF(V$4&lt;V104,V102,V103)</f>
        <v>45.713561246855946</v>
      </c>
    </row>
    <row r="106" spans="1:22" ht="14" x14ac:dyDescent="0.3">
      <c r="A106" s="276"/>
      <c r="B106" s="276"/>
      <c r="C106" s="276"/>
      <c r="D106" s="276"/>
      <c r="E106" s="276"/>
      <c r="F106" s="276"/>
      <c r="G106" s="276"/>
      <c r="H106" s="276"/>
      <c r="I106" s="276"/>
      <c r="J106" s="276"/>
      <c r="K106" s="276"/>
      <c r="L106" s="276"/>
      <c r="P106" s="217"/>
      <c r="S106" s="244"/>
      <c r="T106" s="244"/>
      <c r="U106" s="244"/>
      <c r="V106" s="244"/>
    </row>
    <row r="107" spans="1:22" ht="14" x14ac:dyDescent="0.3">
      <c r="A107" s="276"/>
      <c r="B107" s="276"/>
      <c r="C107" s="276"/>
      <c r="D107" s="276"/>
      <c r="E107" s="276"/>
      <c r="F107" s="276"/>
      <c r="G107" s="276"/>
      <c r="H107" s="276"/>
      <c r="I107" s="276"/>
      <c r="J107" s="276"/>
      <c r="K107" s="276"/>
      <c r="L107" s="276"/>
      <c r="P107" s="217" t="s">
        <v>63</v>
      </c>
      <c r="R107" s="217"/>
      <c r="S107" s="244">
        <f>S105</f>
        <v>4.9832592131647182</v>
      </c>
      <c r="T107" s="244">
        <f>T105</f>
        <v>9.9998223948371177</v>
      </c>
      <c r="U107" s="244">
        <f>U105</f>
        <v>26.475489836081472</v>
      </c>
      <c r="V107" s="244">
        <f>V105</f>
        <v>45.713561246855946</v>
      </c>
    </row>
    <row r="108" spans="1:22" ht="14" x14ac:dyDescent="0.3">
      <c r="A108" s="276"/>
      <c r="B108" s="276"/>
      <c r="C108" s="276"/>
      <c r="D108" s="276"/>
      <c r="E108" s="276"/>
      <c r="F108" s="276"/>
      <c r="G108" s="276"/>
      <c r="H108" s="276"/>
      <c r="I108" s="276"/>
      <c r="J108" s="276"/>
      <c r="K108" s="276"/>
      <c r="L108" s="276"/>
      <c r="P108" s="217" t="s">
        <v>66</v>
      </c>
      <c r="Q108" s="217">
        <v>15</v>
      </c>
      <c r="R108" s="217"/>
      <c r="S108" s="244">
        <f>1/(SQRT(1+(SIGMA_ZETA/N_2)*(S107/d^2)^2))</f>
        <v>0.99926511088487302</v>
      </c>
      <c r="T108" s="244">
        <f>1/(SQRT(1+(SIGMA_ZETA/N_2)*(T107/d^2)^2))</f>
        <v>0.99705059984201272</v>
      </c>
      <c r="U108" s="244">
        <f>1/(SQRT(1+(SIGMA_ZETA/N_2)*(U107/d^2)^2))</f>
        <v>0.97985883424024933</v>
      </c>
      <c r="V108" s="244">
        <f>1/(SQRT(1+(SIGMA_ZETA/N_2)*(V107/d^2)^2))</f>
        <v>0.9433035099407272</v>
      </c>
    </row>
    <row r="109" spans="1:22" ht="14" x14ac:dyDescent="0.3">
      <c r="A109" s="276"/>
      <c r="B109" s="276"/>
      <c r="C109" s="276"/>
      <c r="D109" s="276"/>
      <c r="E109" s="276"/>
      <c r="F109" s="276"/>
      <c r="G109" s="276"/>
      <c r="H109" s="276"/>
      <c r="I109" s="276"/>
      <c r="J109" s="276"/>
      <c r="K109" s="276"/>
      <c r="L109" s="276"/>
      <c r="P109" s="217" t="s">
        <v>68</v>
      </c>
      <c r="Q109" s="249">
        <v>22</v>
      </c>
      <c r="R109" s="217"/>
      <c r="S109" s="244">
        <f>(x_T/S108^2)/(1+(x_T*SIGMA_ZETA_1/N_5)*(S107/d^2)^2)</f>
        <v>0.64016670856714286</v>
      </c>
      <c r="T109" s="244">
        <f>(E$11/T108^2)/(1+(E$11*SIGMA_ZETA_1/N_5)*(T107/d^2)^2)</f>
        <v>0.63070620695430624</v>
      </c>
      <c r="U109" s="244">
        <f>(F$11/U108^2)/(1+(F$11*SIGMA_ZETA_1/N_5)*(U107/d^2)^2)</f>
        <v>0.60552142535129116</v>
      </c>
      <c r="V109" s="244">
        <f>(G$11/V108^2)/(1+(G$11*SIGMA_ZETA_1/N_5)*(V107/d^2)^2)</f>
        <v>0.54928483429692954</v>
      </c>
    </row>
    <row r="110" spans="1:22" ht="14" x14ac:dyDescent="0.3">
      <c r="A110" s="276"/>
      <c r="B110" s="276"/>
      <c r="C110" s="276"/>
      <c r="D110" s="276"/>
      <c r="E110" s="276"/>
      <c r="F110" s="276"/>
      <c r="G110" s="276"/>
      <c r="H110" s="276"/>
      <c r="I110" s="276"/>
      <c r="J110" s="276"/>
      <c r="K110" s="276"/>
      <c r="L110" s="276"/>
      <c r="P110" s="217" t="s">
        <v>26</v>
      </c>
      <c r="Q110" s="217">
        <v>12</v>
      </c>
      <c r="R110" s="217"/>
      <c r="S110" s="244">
        <f>1-(x/(3*F_GAMMA*S109))</f>
        <v>0.73965114955804345</v>
      </c>
      <c r="T110" s="244">
        <f>1-(T$4/(3*F_GAMMA*T109))</f>
        <v>0.71150788776117824</v>
      </c>
      <c r="U110" s="244">
        <f>1-(U$4/(3*F_GAMMA*U109))</f>
        <v>0.73764716033709266</v>
      </c>
      <c r="V110" s="244">
        <f>1-(V$4/(3*F_GAMMA*V109))</f>
        <v>0.77243136494020126</v>
      </c>
    </row>
    <row r="111" spans="1:22" ht="14" x14ac:dyDescent="0.3">
      <c r="A111" s="276"/>
      <c r="B111" s="276"/>
      <c r="C111" s="276"/>
      <c r="D111" s="276"/>
      <c r="E111" s="276"/>
      <c r="F111" s="276"/>
      <c r="G111" s="276"/>
      <c r="H111" s="276"/>
      <c r="I111" s="276"/>
      <c r="J111" s="276"/>
      <c r="K111" s="276"/>
      <c r="L111" s="276"/>
      <c r="P111" s="217" t="s">
        <v>71</v>
      </c>
      <c r="Q111" s="249">
        <v>5</v>
      </c>
      <c r="R111" s="217"/>
      <c r="S111" s="244">
        <f>W/(N_6*S108*S110*SQRT(x*P_1*RHO))</f>
        <v>4.9832592131647182</v>
      </c>
      <c r="T111" s="244">
        <f>E$4/(N_6*T108*T110*SQRT(T$4*E$5*E$8))</f>
        <v>9.9998223948371177</v>
      </c>
      <c r="U111" s="244">
        <f>F$4/(N_6*U108*U110*SQRT(U$4*F$5*F$8))</f>
        <v>26.475489836081493</v>
      </c>
      <c r="V111" s="244">
        <f>G$4/(N_6*V108*V110*SQRT(V$4*G$5*G$8))</f>
        <v>45.713561247670903</v>
      </c>
    </row>
    <row r="112" spans="1:22" ht="14" x14ac:dyDescent="0.3">
      <c r="A112" s="276"/>
      <c r="B112" s="276"/>
      <c r="C112" s="276"/>
      <c r="D112" s="276"/>
      <c r="E112" s="276"/>
      <c r="F112" s="276"/>
      <c r="G112" s="276"/>
      <c r="H112" s="276"/>
      <c r="I112" s="276"/>
      <c r="J112" s="276"/>
      <c r="K112" s="276"/>
      <c r="L112" s="276"/>
      <c r="P112" s="217" t="s">
        <v>73</v>
      </c>
      <c r="Q112" s="249">
        <v>5</v>
      </c>
      <c r="R112" s="217"/>
      <c r="S112" s="244">
        <f>W/(0.667*N_6*S108*SQRT(F_GAMMA*S109*P_1*RHO))</f>
        <v>4.883745685685752</v>
      </c>
      <c r="T112" s="244">
        <f>E$4/(0.667*N_6*T108*SQRT(F_GAMMA*T109*E$5*E$8))</f>
        <v>9.9237032915059942</v>
      </c>
      <c r="U112" s="244">
        <f>F$4/(0.667*N_6*U108*SQRT(F_GAMMA*U109*F$5*F$8))</f>
        <v>25.975885239278739</v>
      </c>
      <c r="V112" s="244">
        <f>G$4/(0.667*N_6*V108*SQRT(F_GAMMA*V109*G$5*G$8))</f>
        <v>43.741729608537227</v>
      </c>
    </row>
    <row r="113" spans="1:22" ht="14" x14ac:dyDescent="0.3">
      <c r="A113" s="276"/>
      <c r="B113" s="276"/>
      <c r="C113" s="276"/>
      <c r="D113" s="276"/>
      <c r="E113" s="276"/>
      <c r="F113" s="276"/>
      <c r="G113" s="276"/>
      <c r="H113" s="276"/>
      <c r="I113" s="276"/>
      <c r="J113" s="276"/>
      <c r="K113" s="276"/>
      <c r="L113" s="276"/>
      <c r="P113" s="217" t="s">
        <v>75</v>
      </c>
      <c r="Q113" s="249">
        <v>10</v>
      </c>
      <c r="R113" s="217"/>
      <c r="S113" s="244">
        <f>F_GAMMA*S109</f>
        <v>0.64016670856714286</v>
      </c>
      <c r="T113" s="244">
        <f>F_GAMMA*T109</f>
        <v>0.63070620695430624</v>
      </c>
      <c r="U113" s="244">
        <f>F_GAMMA*U109</f>
        <v>0.60552142535129116</v>
      </c>
      <c r="V113" s="244">
        <f>F_GAMMA*V109</f>
        <v>0.54928483429692954</v>
      </c>
    </row>
    <row r="114" spans="1:22" ht="14" x14ac:dyDescent="0.3">
      <c r="A114" s="276"/>
      <c r="B114" s="276"/>
      <c r="C114" s="276"/>
      <c r="D114" s="276"/>
      <c r="E114" s="276"/>
      <c r="F114" s="276"/>
      <c r="G114" s="276"/>
      <c r="H114" s="276"/>
      <c r="I114" s="276"/>
      <c r="J114" s="276"/>
      <c r="K114" s="276"/>
      <c r="L114" s="276"/>
      <c r="P114" s="217" t="s">
        <v>38</v>
      </c>
      <c r="Q114" s="249"/>
      <c r="S114" s="244">
        <f>IF(S$4&lt;S113,S111,S112)</f>
        <v>4.9832592131647182</v>
      </c>
      <c r="T114" s="244">
        <f>IF(T$4&lt;T113,T111,T112)</f>
        <v>9.9998223948371177</v>
      </c>
      <c r="U114" s="244">
        <f>IF(U$4&lt;U113,U111,U112)</f>
        <v>26.475489836081493</v>
      </c>
      <c r="V114" s="244">
        <f>IF(V$4&lt;V113,V111,V112)</f>
        <v>45.713561247670903</v>
      </c>
    </row>
    <row r="115" spans="1:22" ht="14" x14ac:dyDescent="0.3">
      <c r="A115" s="276"/>
      <c r="B115" s="276"/>
      <c r="C115" s="276"/>
      <c r="D115" s="276"/>
      <c r="E115" s="276"/>
      <c r="F115" s="276"/>
      <c r="G115" s="276"/>
      <c r="H115" s="276"/>
      <c r="I115" s="276"/>
      <c r="J115" s="276"/>
      <c r="K115" s="276"/>
      <c r="L115" s="276"/>
    </row>
    <row r="116" spans="1:22" ht="14" x14ac:dyDescent="0.3">
      <c r="A116" s="276"/>
      <c r="B116" s="276"/>
      <c r="C116" s="276"/>
      <c r="D116" s="276"/>
      <c r="E116" s="276"/>
      <c r="F116" s="276"/>
      <c r="G116" s="276"/>
      <c r="H116" s="276"/>
      <c r="I116" s="276"/>
      <c r="J116" s="276"/>
      <c r="K116" s="276"/>
      <c r="L116" s="276"/>
      <c r="P116" s="217" t="s">
        <v>63</v>
      </c>
      <c r="R116" s="217"/>
      <c r="S116" s="244">
        <f>S114</f>
        <v>4.9832592131647182</v>
      </c>
      <c r="T116" s="244">
        <f>T114</f>
        <v>9.9998223948371177</v>
      </c>
      <c r="U116" s="244">
        <f>U114</f>
        <v>26.475489836081493</v>
      </c>
      <c r="V116" s="244">
        <f>V114</f>
        <v>45.713561247670903</v>
      </c>
    </row>
    <row r="117" spans="1:22" ht="14" x14ac:dyDescent="0.3">
      <c r="A117" s="276"/>
      <c r="B117" s="276"/>
      <c r="C117" s="276"/>
      <c r="D117" s="276"/>
      <c r="E117" s="276"/>
      <c r="F117" s="276"/>
      <c r="G117" s="276"/>
      <c r="H117" s="276"/>
      <c r="I117" s="276"/>
      <c r="J117" s="276"/>
      <c r="K117" s="276"/>
      <c r="L117" s="276"/>
      <c r="P117" s="217" t="s">
        <v>66</v>
      </c>
      <c r="Q117" s="217">
        <v>15</v>
      </c>
      <c r="R117" s="217"/>
      <c r="S117" s="244">
        <f>1/(SQRT(1+(SIGMA_ZETA/N_2)*(S116/d^2)^2))</f>
        <v>0.99926511088487302</v>
      </c>
      <c r="T117" s="244">
        <f>1/(SQRT(1+(SIGMA_ZETA/N_2)*(T116/d^2)^2))</f>
        <v>0.99705059984201272</v>
      </c>
      <c r="U117" s="244">
        <f>1/(SQRT(1+(SIGMA_ZETA/N_2)*(U116/d^2)^2))</f>
        <v>0.97985883424024933</v>
      </c>
      <c r="V117" s="244">
        <f>1/(SQRT(1+(SIGMA_ZETA/N_2)*(V116/d^2)^2))</f>
        <v>0.94330350993887435</v>
      </c>
    </row>
    <row r="118" spans="1:22" ht="14" x14ac:dyDescent="0.3">
      <c r="A118" s="276"/>
      <c r="B118" s="276"/>
      <c r="C118" s="276"/>
      <c r="D118" s="276"/>
      <c r="E118" s="276"/>
      <c r="F118" s="276"/>
      <c r="G118" s="276"/>
      <c r="H118" s="276"/>
      <c r="I118" s="276"/>
      <c r="J118" s="276"/>
      <c r="K118" s="276"/>
      <c r="L118" s="276"/>
      <c r="P118" s="217" t="s">
        <v>68</v>
      </c>
      <c r="Q118" s="249">
        <v>22</v>
      </c>
      <c r="R118" s="217"/>
      <c r="S118" s="244">
        <f>(x_T/S117^2)/(1+(x_T*SIGMA_ZETA_1/N_5)*(S116/d^2)^2)</f>
        <v>0.64016670856714286</v>
      </c>
      <c r="T118" s="244">
        <f>(E$11/T117^2)/(1+(E$11*SIGMA_ZETA_1/N_5)*(T116/d^2)^2)</f>
        <v>0.63070620695430624</v>
      </c>
      <c r="U118" s="244">
        <f>(F$11/U117^2)/(1+(F$11*SIGMA_ZETA_1/N_5)*(U116/d^2)^2)</f>
        <v>0.60552142535129116</v>
      </c>
      <c r="V118" s="244">
        <f>(G$11/V117^2)/(1+(G$11*SIGMA_ZETA_1/N_5)*(V116/d^2)^2)</f>
        <v>0.54928483429756358</v>
      </c>
    </row>
    <row r="119" spans="1:22" ht="14" x14ac:dyDescent="0.3">
      <c r="A119" s="276"/>
      <c r="B119" s="276"/>
      <c r="C119" s="276"/>
      <c r="D119" s="276"/>
      <c r="E119" s="276"/>
      <c r="F119" s="276"/>
      <c r="G119" s="276"/>
      <c r="H119" s="276"/>
      <c r="I119" s="276"/>
      <c r="J119" s="276"/>
      <c r="K119" s="276"/>
      <c r="L119" s="276"/>
      <c r="P119" s="217" t="s">
        <v>26</v>
      </c>
      <c r="Q119" s="217">
        <v>12</v>
      </c>
      <c r="R119" s="217"/>
      <c r="S119" s="244">
        <f>1-(x/(3*F_GAMMA*S118))</f>
        <v>0.73965114955804345</v>
      </c>
      <c r="T119" s="244">
        <f>1-(T$4/(3*F_GAMMA*T118))</f>
        <v>0.71150788776117824</v>
      </c>
      <c r="U119" s="244">
        <f>1-(U$4/(3*F_GAMMA*U118))</f>
        <v>0.73764716033709266</v>
      </c>
      <c r="V119" s="244">
        <f>1-(V$4/(3*F_GAMMA*V118))</f>
        <v>0.77243136494046394</v>
      </c>
    </row>
    <row r="120" spans="1:22" ht="14" x14ac:dyDescent="0.3">
      <c r="A120" s="276"/>
      <c r="B120" s="276"/>
      <c r="C120" s="276"/>
      <c r="D120" s="276"/>
      <c r="E120" s="276"/>
      <c r="F120" s="276"/>
      <c r="G120" s="276"/>
      <c r="H120" s="276"/>
      <c r="I120" s="276"/>
      <c r="J120" s="276"/>
      <c r="K120" s="276"/>
      <c r="L120" s="276"/>
      <c r="P120" s="217" t="s">
        <v>71</v>
      </c>
      <c r="Q120" s="249">
        <v>5</v>
      </c>
      <c r="R120" s="217"/>
      <c r="S120" s="244">
        <f>W/(N_6*S117*S119*SQRT(x*P_1*RHO))</f>
        <v>4.9832592131647182</v>
      </c>
      <c r="T120" s="244">
        <f>E$4/(N_6*T117*T119*SQRT(T$4*E$5*E$8))</f>
        <v>9.9998223948371177</v>
      </c>
      <c r="U120" s="244">
        <f>F$4/(N_6*U117*U119*SQRT(U$4*F$5*F$8))</f>
        <v>26.475489836081493</v>
      </c>
      <c r="V120" s="244">
        <f>G$4/(N_6*V117*V119*SQRT(V$4*G$5*G$8))</f>
        <v>45.713561247745147</v>
      </c>
    </row>
    <row r="121" spans="1:22" ht="14" x14ac:dyDescent="0.3">
      <c r="A121" s="276"/>
      <c r="B121" s="276"/>
      <c r="C121" s="276"/>
      <c r="D121" s="276"/>
      <c r="E121" s="276"/>
      <c r="F121" s="276"/>
      <c r="G121" s="276"/>
      <c r="H121" s="276"/>
      <c r="I121" s="276"/>
      <c r="J121" s="276"/>
      <c r="K121" s="276"/>
      <c r="L121" s="276"/>
      <c r="P121" s="217" t="s">
        <v>73</v>
      </c>
      <c r="Q121" s="249">
        <v>5</v>
      </c>
      <c r="R121" s="217"/>
      <c r="S121" s="244">
        <f>W/(0.667*N_6*S117*SQRT(F_GAMMA*S118*P_1*RHO))</f>
        <v>4.883745685685752</v>
      </c>
      <c r="T121" s="244">
        <f>E$4/(0.667*N_6*T117*SQRT(F_GAMMA*T118*E$5*E$8))</f>
        <v>9.9237032915059942</v>
      </c>
      <c r="U121" s="244">
        <f>F$4/(0.667*N_6*U117*SQRT(F_GAMMA*U118*F$5*F$8))</f>
        <v>25.975885239278739</v>
      </c>
      <c r="V121" s="244">
        <f>G$4/(0.667*N_6*V117*SQRT(F_GAMMA*V118*G$5*G$8))</f>
        <v>43.7417296085979</v>
      </c>
    </row>
    <row r="122" spans="1:22" ht="14" x14ac:dyDescent="0.3">
      <c r="A122" s="276"/>
      <c r="B122" s="276"/>
      <c r="C122" s="276"/>
      <c r="D122" s="276"/>
      <c r="E122" s="276"/>
      <c r="F122" s="276"/>
      <c r="G122" s="276"/>
      <c r="H122" s="276"/>
      <c r="I122" s="276"/>
      <c r="J122" s="276"/>
      <c r="K122" s="276"/>
      <c r="L122" s="276"/>
      <c r="P122" s="217" t="s">
        <v>75</v>
      </c>
      <c r="Q122" s="249">
        <v>10</v>
      </c>
      <c r="R122" s="217"/>
      <c r="S122" s="244">
        <f>F_GAMMA*S118</f>
        <v>0.64016670856714286</v>
      </c>
      <c r="T122" s="244">
        <f>F_GAMMA*T118</f>
        <v>0.63070620695430624</v>
      </c>
      <c r="U122" s="244">
        <f>F_GAMMA*U118</f>
        <v>0.60552142535129116</v>
      </c>
      <c r="V122" s="244">
        <f>F_GAMMA*V118</f>
        <v>0.54928483429756358</v>
      </c>
    </row>
    <row r="123" spans="1:22" ht="14" x14ac:dyDescent="0.3">
      <c r="A123" s="276"/>
      <c r="B123" s="276"/>
      <c r="C123" s="276"/>
      <c r="D123" s="276"/>
      <c r="E123" s="276"/>
      <c r="F123" s="276"/>
      <c r="G123" s="276"/>
      <c r="H123" s="276"/>
      <c r="I123" s="276"/>
      <c r="J123" s="276"/>
      <c r="K123" s="276"/>
      <c r="L123" s="276"/>
      <c r="P123" s="217" t="s">
        <v>38</v>
      </c>
      <c r="Q123" s="249"/>
      <c r="S123" s="244">
        <f>IF(S$4&lt;S122,S120,S121)</f>
        <v>4.9832592131647182</v>
      </c>
      <c r="T123" s="244">
        <f>IF(T$4&lt;T122,T120,T121)</f>
        <v>9.9998223948371177</v>
      </c>
      <c r="U123" s="244">
        <f>IF(U$4&lt;U122,U120,U121)</f>
        <v>26.475489836081493</v>
      </c>
      <c r="V123" s="244">
        <f>IF(V$4&lt;V122,V120,V121)</f>
        <v>45.713561247745147</v>
      </c>
    </row>
    <row r="124" spans="1:22" ht="14" x14ac:dyDescent="0.3">
      <c r="A124" s="276"/>
      <c r="B124" s="276"/>
      <c r="C124" s="276"/>
      <c r="D124" s="276"/>
      <c r="E124" s="276"/>
      <c r="F124" s="276"/>
      <c r="G124" s="276"/>
      <c r="H124" s="276"/>
      <c r="I124" s="276"/>
      <c r="J124" s="276"/>
      <c r="K124" s="276"/>
      <c r="L124" s="276"/>
      <c r="P124" s="217"/>
      <c r="Q124" s="249"/>
      <c r="S124" s="244"/>
      <c r="T124" s="244"/>
      <c r="U124" s="244"/>
      <c r="V124" s="244"/>
    </row>
    <row r="125" spans="1:22" ht="14" x14ac:dyDescent="0.3">
      <c r="A125" s="276"/>
      <c r="B125" s="276"/>
      <c r="C125" s="276"/>
      <c r="D125" s="276"/>
      <c r="E125" s="276"/>
      <c r="F125" s="276"/>
      <c r="G125" s="276"/>
      <c r="H125" s="276"/>
      <c r="I125" s="276"/>
      <c r="J125" s="276"/>
      <c r="K125" s="276"/>
      <c r="L125" s="276"/>
      <c r="P125" s="217" t="s">
        <v>63</v>
      </c>
      <c r="R125" s="217"/>
      <c r="S125" s="244">
        <f>S123</f>
        <v>4.9832592131647182</v>
      </c>
      <c r="T125" s="244">
        <f>T123</f>
        <v>9.9998223948371177</v>
      </c>
      <c r="U125" s="244">
        <f>U123</f>
        <v>26.475489836081493</v>
      </c>
      <c r="V125" s="244">
        <f>V123</f>
        <v>45.713561247745147</v>
      </c>
    </row>
    <row r="126" spans="1:22" ht="14" x14ac:dyDescent="0.3">
      <c r="A126" s="276"/>
      <c r="B126" s="276"/>
      <c r="C126" s="276"/>
      <c r="D126" s="276"/>
      <c r="E126" s="276"/>
      <c r="F126" s="276"/>
      <c r="G126" s="276"/>
      <c r="H126" s="276"/>
      <c r="I126" s="276"/>
      <c r="J126" s="276"/>
      <c r="K126" s="276"/>
      <c r="L126" s="276"/>
      <c r="P126" s="217" t="s">
        <v>66</v>
      </c>
      <c r="Q126" s="217">
        <v>15</v>
      </c>
      <c r="R126" s="217"/>
      <c r="S126" s="244">
        <f>1/(SQRT(1+(SIGMA_ZETA/N_2)*(S125/d^2)^2))</f>
        <v>0.99926511088487302</v>
      </c>
      <c r="T126" s="244">
        <f>1/(SQRT(1+(SIGMA_ZETA/N_2)*(T125/d^2)^2))</f>
        <v>0.99705059984201272</v>
      </c>
      <c r="U126" s="244">
        <f>1/(SQRT(1+(SIGMA_ZETA/N_2)*(U125/d^2)^2))</f>
        <v>0.97985883424024933</v>
      </c>
      <c r="V126" s="244">
        <f>1/(SQRT(1+(SIGMA_ZETA/N_2)*(V125/d^2)^2))</f>
        <v>0.9433035099387056</v>
      </c>
    </row>
    <row r="127" spans="1:22" ht="14" x14ac:dyDescent="0.3">
      <c r="A127" s="276"/>
      <c r="B127" s="276"/>
      <c r="C127" s="276"/>
      <c r="D127" s="276"/>
      <c r="E127" s="276"/>
      <c r="F127" s="276"/>
      <c r="G127" s="276"/>
      <c r="H127" s="276"/>
      <c r="I127" s="276"/>
      <c r="J127" s="276"/>
      <c r="K127" s="276"/>
      <c r="L127" s="276"/>
      <c r="P127" s="217" t="s">
        <v>68</v>
      </c>
      <c r="Q127" s="249">
        <v>22</v>
      </c>
      <c r="R127" s="217"/>
      <c r="S127" s="244">
        <f>(x_T/S126^2)/(1+(x_T*SIGMA_ZETA_1/N_5)*(S125/d^2)^2)</f>
        <v>0.64016670856714286</v>
      </c>
      <c r="T127" s="244">
        <f>(E$11/T126^2)/(1+(E$11*SIGMA_ZETA_1/N_5)*(T125/d^2)^2)</f>
        <v>0.63070620695430624</v>
      </c>
      <c r="U127" s="244">
        <f>(F$11/U126^2)/(1+(F$11*SIGMA_ZETA_1/N_5)*(U125/d^2)^2)</f>
        <v>0.60552142535129116</v>
      </c>
      <c r="V127" s="244">
        <f>(G$11/V126^2)/(1+(G$11*SIGMA_ZETA_1/N_5)*(V125/d^2)^2)</f>
        <v>0.54928483429762121</v>
      </c>
    </row>
    <row r="128" spans="1:22" ht="14" x14ac:dyDescent="0.3">
      <c r="A128" s="276"/>
      <c r="B128" s="276"/>
      <c r="C128" s="276"/>
      <c r="D128" s="276"/>
      <c r="E128" s="276"/>
      <c r="F128" s="276"/>
      <c r="G128" s="276"/>
      <c r="H128" s="276"/>
      <c r="I128" s="276"/>
      <c r="J128" s="276"/>
      <c r="K128" s="276"/>
      <c r="L128" s="276"/>
      <c r="P128" s="217" t="s">
        <v>26</v>
      </c>
      <c r="Q128" s="217">
        <v>12</v>
      </c>
      <c r="R128" s="217"/>
      <c r="S128" s="244">
        <f>1-(x/(3*F_GAMMA*S127))</f>
        <v>0.73965114955804345</v>
      </c>
      <c r="T128" s="244">
        <f>1-(T$4/(3*F_GAMMA*T127))</f>
        <v>0.71150788776117824</v>
      </c>
      <c r="U128" s="244">
        <f>1-(U$4/(3*F_GAMMA*U127))</f>
        <v>0.73764716033709266</v>
      </c>
      <c r="V128" s="244">
        <f>1-(V$4/(3*F_GAMMA*V127))</f>
        <v>0.77243136494048781</v>
      </c>
    </row>
    <row r="129" spans="1:22" ht="14" x14ac:dyDescent="0.3">
      <c r="A129" s="276"/>
      <c r="B129" s="276"/>
      <c r="C129" s="276"/>
      <c r="D129" s="276"/>
      <c r="E129" s="276"/>
      <c r="F129" s="276"/>
      <c r="G129" s="276"/>
      <c r="H129" s="276"/>
      <c r="I129" s="276"/>
      <c r="J129" s="276"/>
      <c r="K129" s="276"/>
      <c r="L129" s="276"/>
      <c r="P129" s="217" t="s">
        <v>71</v>
      </c>
      <c r="Q129" s="249">
        <v>5</v>
      </c>
      <c r="R129" s="217"/>
      <c r="S129" s="244">
        <f>W/(N_6*S126*S128*SQRT(x*P_1*RHO))</f>
        <v>4.9832592131647182</v>
      </c>
      <c r="T129" s="244">
        <f>E$4/(N_6*T126*T128*SQRT(T$4*E$5*E$8))</f>
        <v>9.9998223948371177</v>
      </c>
      <c r="U129" s="244">
        <f>F$4/(N_6*U126*U128*SQRT(U$4*F$5*F$8))</f>
        <v>26.475489836081493</v>
      </c>
      <c r="V129" s="244">
        <f>G$4/(N_6*V126*V128*SQRT(V$4*G$5*G$8))</f>
        <v>45.713561247751905</v>
      </c>
    </row>
    <row r="130" spans="1:22" ht="14" x14ac:dyDescent="0.3">
      <c r="A130" s="276"/>
      <c r="B130" s="276"/>
      <c r="C130" s="276"/>
      <c r="D130" s="276"/>
      <c r="E130" s="276"/>
      <c r="F130" s="276"/>
      <c r="G130" s="276"/>
      <c r="H130" s="276"/>
      <c r="I130" s="276"/>
      <c r="J130" s="276"/>
      <c r="K130" s="276"/>
      <c r="L130" s="276"/>
      <c r="P130" s="217" t="s">
        <v>73</v>
      </c>
      <c r="Q130" s="249">
        <v>5</v>
      </c>
      <c r="R130" s="217"/>
      <c r="S130" s="244">
        <f>W/(0.667*N_6*S126*SQRT(F_GAMMA*S127*P_1*RHO))</f>
        <v>4.883745685685752</v>
      </c>
      <c r="T130" s="244">
        <f>E$4/(0.667*N_6*T126*SQRT(F_GAMMA*T127*E$5*E$8))</f>
        <v>9.9237032915059942</v>
      </c>
      <c r="U130" s="244">
        <f>F$4/(0.667*N_6*U126*SQRT(F_GAMMA*U127*F$5*F$8))</f>
        <v>25.975885239278739</v>
      </c>
      <c r="V130" s="244">
        <f>G$4/(0.667*N_6*V126*SQRT(F_GAMMA*V127*G$5*G$8))</f>
        <v>43.741729608603436</v>
      </c>
    </row>
    <row r="131" spans="1:22" ht="14" x14ac:dyDescent="0.3">
      <c r="A131" s="276"/>
      <c r="B131" s="276"/>
      <c r="C131" s="276"/>
      <c r="D131" s="276"/>
      <c r="E131" s="276"/>
      <c r="F131" s="276"/>
      <c r="G131" s="276"/>
      <c r="H131" s="276"/>
      <c r="I131" s="276"/>
      <c r="J131" s="276"/>
      <c r="K131" s="276"/>
      <c r="L131" s="276"/>
      <c r="P131" s="217" t="s">
        <v>75</v>
      </c>
      <c r="Q131" s="249">
        <v>10</v>
      </c>
      <c r="R131" s="217"/>
      <c r="S131" s="244">
        <f>F_GAMMA*S127</f>
        <v>0.64016670856714286</v>
      </c>
      <c r="T131" s="244">
        <f>F_GAMMA*T127</f>
        <v>0.63070620695430624</v>
      </c>
      <c r="U131" s="244">
        <f>F_GAMMA*U127</f>
        <v>0.60552142535129116</v>
      </c>
      <c r="V131" s="244">
        <f>F_GAMMA*V127</f>
        <v>0.54928483429762121</v>
      </c>
    </row>
    <row r="132" spans="1:22" ht="14" x14ac:dyDescent="0.3">
      <c r="A132" s="276"/>
      <c r="B132" s="276"/>
      <c r="C132" s="276"/>
      <c r="D132" s="276"/>
      <c r="E132" s="276"/>
      <c r="F132" s="276"/>
      <c r="G132" s="276"/>
      <c r="H132" s="276"/>
      <c r="I132" s="276"/>
      <c r="J132" s="276"/>
      <c r="K132" s="276"/>
      <c r="L132" s="276"/>
      <c r="P132" s="217" t="s">
        <v>38</v>
      </c>
      <c r="Q132" s="249"/>
      <c r="S132" s="244">
        <f>IF(S$4&lt;S131,S129,S130)</f>
        <v>4.9832592131647182</v>
      </c>
      <c r="T132" s="244">
        <f>IF(T$4&lt;T131,T129,T130)</f>
        <v>9.9998223948371177</v>
      </c>
      <c r="U132" s="244">
        <f>IF(U$4&lt;U131,U129,U130)</f>
        <v>26.475489836081493</v>
      </c>
      <c r="V132" s="244">
        <f>IF(V$4&lt;V131,V129,V130)</f>
        <v>45.713561247751905</v>
      </c>
    </row>
    <row r="133" spans="1:22" ht="14" x14ac:dyDescent="0.3">
      <c r="A133" s="276"/>
      <c r="B133" s="276"/>
      <c r="C133" s="276"/>
      <c r="D133" s="276"/>
      <c r="E133" s="276"/>
      <c r="F133" s="276"/>
      <c r="G133" s="276"/>
      <c r="H133" s="276"/>
      <c r="I133" s="276"/>
      <c r="J133" s="276"/>
      <c r="K133" s="276"/>
      <c r="L133" s="276"/>
      <c r="P133" s="217"/>
      <c r="Q133" s="249"/>
      <c r="S133" s="244"/>
      <c r="T133" s="244"/>
      <c r="U133" s="244"/>
      <c r="V133" s="244"/>
    </row>
    <row r="134" spans="1:22" ht="14" x14ac:dyDescent="0.3">
      <c r="A134" s="276"/>
      <c r="B134" s="276"/>
      <c r="C134" s="276"/>
      <c r="D134" s="276"/>
      <c r="E134" s="276"/>
      <c r="F134" s="276"/>
      <c r="G134" s="276"/>
      <c r="H134" s="276"/>
      <c r="I134" s="276"/>
      <c r="J134" s="276"/>
      <c r="K134" s="276"/>
      <c r="L134" s="276"/>
      <c r="P134" s="217" t="s">
        <v>63</v>
      </c>
      <c r="R134" s="217"/>
      <c r="S134" s="244">
        <f>S132</f>
        <v>4.9832592131647182</v>
      </c>
      <c r="T134" s="244">
        <f>T132</f>
        <v>9.9998223948371177</v>
      </c>
      <c r="U134" s="244">
        <f>U132</f>
        <v>26.475489836081493</v>
      </c>
      <c r="V134" s="244">
        <f>V132</f>
        <v>45.713561247751905</v>
      </c>
    </row>
    <row r="135" spans="1:22" ht="14" x14ac:dyDescent="0.3">
      <c r="A135" s="276"/>
      <c r="B135" s="276"/>
      <c r="C135" s="276"/>
      <c r="D135" s="276"/>
      <c r="E135" s="276"/>
      <c r="F135" s="276"/>
      <c r="G135" s="276"/>
      <c r="H135" s="276"/>
      <c r="I135" s="276"/>
      <c r="J135" s="276"/>
      <c r="K135" s="276"/>
      <c r="L135" s="276"/>
      <c r="P135" s="217" t="s">
        <v>66</v>
      </c>
      <c r="Q135" s="217">
        <v>15</v>
      </c>
      <c r="R135" s="217"/>
      <c r="S135" s="244">
        <f>1/(SQRT(1+(SIGMA_ZETA/N_2)*(S134/d^2)^2))</f>
        <v>0.99926511088487302</v>
      </c>
      <c r="T135" s="244">
        <f>1/(SQRT(1+(SIGMA_ZETA/N_2)*(T134/d^2)^2))</f>
        <v>0.99705059984201272</v>
      </c>
      <c r="U135" s="244">
        <f>1/(SQRT(1+(SIGMA_ZETA/N_2)*(U134/d^2)^2))</f>
        <v>0.97985883424024933</v>
      </c>
      <c r="V135" s="244">
        <f>1/(SQRT(1+(SIGMA_ZETA/N_2)*(V134/d^2)^2))</f>
        <v>0.94330350993869017</v>
      </c>
    </row>
    <row r="136" spans="1:22" ht="14" x14ac:dyDescent="0.3">
      <c r="A136" s="276"/>
      <c r="B136" s="276"/>
      <c r="C136" s="276"/>
      <c r="D136" s="276"/>
      <c r="E136" s="276"/>
      <c r="F136" s="276"/>
      <c r="G136" s="276"/>
      <c r="H136" s="276"/>
      <c r="I136" s="276"/>
      <c r="J136" s="276"/>
      <c r="K136" s="276"/>
      <c r="L136" s="276"/>
      <c r="P136" s="217" t="s">
        <v>68</v>
      </c>
      <c r="Q136" s="249">
        <v>22</v>
      </c>
      <c r="R136" s="217"/>
      <c r="S136" s="244">
        <f>(x_T/S135^2)/(1+(x_T*SIGMA_ZETA_1/N_5)*(S134/d^2)^2)</f>
        <v>0.64016670856714286</v>
      </c>
      <c r="T136" s="244">
        <f>(E$11/T135^2)/(1+(E$11*SIGMA_ZETA_1/N_5)*(T134/d^2)^2)</f>
        <v>0.63070620695430624</v>
      </c>
      <c r="U136" s="244">
        <f>(F$11/U135^2)/(1+(F$11*SIGMA_ZETA_1/N_5)*(U134/d^2)^2)</f>
        <v>0.60552142535129116</v>
      </c>
      <c r="V136" s="244">
        <f>(G$11/V135^2)/(1+(G$11*SIGMA_ZETA_1/N_5)*(V134/d^2)^2)</f>
        <v>0.54928483429762653</v>
      </c>
    </row>
    <row r="137" spans="1:22" ht="14" x14ac:dyDescent="0.3">
      <c r="A137" s="276"/>
      <c r="B137" s="276"/>
      <c r="C137" s="276"/>
      <c r="D137" s="276"/>
      <c r="E137" s="276"/>
      <c r="F137" s="276"/>
      <c r="G137" s="276"/>
      <c r="H137" s="276"/>
      <c r="I137" s="276"/>
      <c r="J137" s="276"/>
      <c r="K137" s="276"/>
      <c r="L137" s="276"/>
      <c r="P137" s="217" t="s">
        <v>26</v>
      </c>
      <c r="Q137" s="217">
        <v>12</v>
      </c>
      <c r="R137" s="217"/>
      <c r="S137" s="244">
        <f>1-(x/(3*F_GAMMA*S136))</f>
        <v>0.73965114955804345</v>
      </c>
      <c r="T137" s="244">
        <f>1-(T$4/(3*F_GAMMA*T136))</f>
        <v>0.71150788776117824</v>
      </c>
      <c r="U137" s="244">
        <f>1-(U$4/(3*F_GAMMA*U136))</f>
        <v>0.73764716033709266</v>
      </c>
      <c r="V137" s="244">
        <f>1-(V$4/(3*F_GAMMA*V136))</f>
        <v>0.77243136494048992</v>
      </c>
    </row>
    <row r="138" spans="1:22" ht="14" x14ac:dyDescent="0.3">
      <c r="A138" s="276"/>
      <c r="B138" s="276"/>
      <c r="C138" s="276"/>
      <c r="D138" s="276"/>
      <c r="E138" s="276"/>
      <c r="F138" s="276"/>
      <c r="G138" s="276"/>
      <c r="H138" s="276"/>
      <c r="I138" s="276"/>
      <c r="J138" s="276"/>
      <c r="K138" s="276"/>
      <c r="L138" s="276"/>
      <c r="P138" s="217" t="s">
        <v>71</v>
      </c>
      <c r="Q138" s="249">
        <v>5</v>
      </c>
      <c r="R138" s="217"/>
      <c r="S138" s="244">
        <f>W/(N_6*S135*S137*SQRT(x*P_1*RHO))</f>
        <v>4.9832592131647182</v>
      </c>
      <c r="T138" s="244">
        <f>E$4/(N_6*T135*T137*SQRT(T$4*E$5*E$8))</f>
        <v>9.9998223948371177</v>
      </c>
      <c r="U138" s="244">
        <f>F$4/(N_6*U135*U137*SQRT(U$4*F$5*F$8))</f>
        <v>26.475489836081493</v>
      </c>
      <c r="V138" s="244">
        <f>G$4/(N_6*V135*V137*SQRT(V$4*G$5*G$8))</f>
        <v>45.71356124775253</v>
      </c>
    </row>
    <row r="139" spans="1:22" ht="14" x14ac:dyDescent="0.3">
      <c r="A139" s="276"/>
      <c r="B139" s="276"/>
      <c r="C139" s="276"/>
      <c r="D139" s="276"/>
      <c r="E139" s="276"/>
      <c r="F139" s="276"/>
      <c r="G139" s="276"/>
      <c r="H139" s="276"/>
      <c r="I139" s="276"/>
      <c r="J139" s="276"/>
      <c r="K139" s="276"/>
      <c r="L139" s="276"/>
      <c r="P139" s="217" t="s">
        <v>73</v>
      </c>
      <c r="Q139" s="249">
        <v>5</v>
      </c>
      <c r="R139" s="217"/>
      <c r="S139" s="244">
        <f>W/(0.667*N_6*S135*SQRT(F_GAMMA*S136*P_1*RHO))</f>
        <v>4.883745685685752</v>
      </c>
      <c r="T139" s="244">
        <f>E$4/(0.667*N_6*T135*SQRT(F_GAMMA*T136*E$5*E$8))</f>
        <v>9.9237032915059942</v>
      </c>
      <c r="U139" s="244">
        <f>F$4/(0.667*N_6*U135*SQRT(F_GAMMA*U136*F$5*F$8))</f>
        <v>25.975885239278739</v>
      </c>
      <c r="V139" s="244">
        <f>G$4/(0.667*N_6*V135*SQRT(F_GAMMA*V136*G$5*G$8))</f>
        <v>43.741729608603947</v>
      </c>
    </row>
    <row r="140" spans="1:22" ht="14" x14ac:dyDescent="0.3">
      <c r="A140" s="276"/>
      <c r="B140" s="276"/>
      <c r="C140" s="276"/>
      <c r="D140" s="276"/>
      <c r="E140" s="276"/>
      <c r="F140" s="276"/>
      <c r="G140" s="276"/>
      <c r="H140" s="276"/>
      <c r="I140" s="276"/>
      <c r="J140" s="276"/>
      <c r="K140" s="276"/>
      <c r="L140" s="276"/>
      <c r="P140" s="217" t="s">
        <v>75</v>
      </c>
      <c r="Q140" s="249">
        <v>10</v>
      </c>
      <c r="R140" s="217"/>
      <c r="S140" s="244">
        <f>F_GAMMA*S136</f>
        <v>0.64016670856714286</v>
      </c>
      <c r="T140" s="244">
        <f>F_GAMMA*T136</f>
        <v>0.63070620695430624</v>
      </c>
      <c r="U140" s="244">
        <f>F_GAMMA*U136</f>
        <v>0.60552142535129116</v>
      </c>
      <c r="V140" s="244">
        <f>F_GAMMA*V136</f>
        <v>0.54928483429762653</v>
      </c>
    </row>
    <row r="141" spans="1:22" ht="14" x14ac:dyDescent="0.3">
      <c r="A141" s="276"/>
      <c r="B141" s="276"/>
      <c r="C141" s="276"/>
      <c r="D141" s="276"/>
      <c r="E141" s="276"/>
      <c r="F141" s="276"/>
      <c r="G141" s="276"/>
      <c r="H141" s="276"/>
      <c r="I141" s="276"/>
      <c r="J141" s="276"/>
      <c r="K141" s="276"/>
      <c r="L141" s="276"/>
      <c r="P141" s="217" t="s">
        <v>38</v>
      </c>
      <c r="Q141" s="249"/>
      <c r="S141" s="244">
        <f>IF(S$4&lt;S140,S138,S139)</f>
        <v>4.9832592131647182</v>
      </c>
      <c r="T141" s="244">
        <f>IF(T$4&lt;T140,T138,T139)</f>
        <v>9.9998223948371177</v>
      </c>
      <c r="U141" s="244">
        <f>IF(U$4&lt;U140,U138,U139)</f>
        <v>26.475489836081493</v>
      </c>
      <c r="V141" s="244">
        <f>IF(V$4&lt;V140,V138,V139)</f>
        <v>45.71356124775253</v>
      </c>
    </row>
    <row r="142" spans="1:22" ht="14" x14ac:dyDescent="0.3">
      <c r="A142" s="276"/>
      <c r="B142" s="276"/>
      <c r="C142" s="276"/>
      <c r="D142" s="276"/>
      <c r="E142" s="276"/>
      <c r="F142" s="276"/>
      <c r="G142" s="276"/>
      <c r="H142" s="276"/>
      <c r="I142" s="276"/>
      <c r="J142" s="276"/>
      <c r="K142" s="276"/>
      <c r="L142" s="276"/>
      <c r="P142" s="217"/>
      <c r="Q142" s="249"/>
      <c r="S142" s="244"/>
      <c r="T142" s="244"/>
      <c r="U142" s="244"/>
      <c r="V142" s="244"/>
    </row>
    <row r="143" spans="1:22" ht="14" x14ac:dyDescent="0.3">
      <c r="A143" s="276"/>
      <c r="B143" s="276"/>
      <c r="C143" s="276"/>
      <c r="D143" s="276"/>
      <c r="E143" s="276"/>
      <c r="F143" s="276"/>
      <c r="G143" s="276"/>
      <c r="H143" s="276"/>
      <c r="I143" s="276"/>
      <c r="J143" s="276"/>
      <c r="K143" s="276"/>
      <c r="L143" s="276"/>
      <c r="P143" s="217" t="s">
        <v>63</v>
      </c>
      <c r="R143" s="217"/>
      <c r="S143" s="244">
        <f>S141</f>
        <v>4.9832592131647182</v>
      </c>
      <c r="T143" s="244">
        <f>T141</f>
        <v>9.9998223948371177</v>
      </c>
      <c r="U143" s="244">
        <f>U141</f>
        <v>26.475489836081493</v>
      </c>
      <c r="V143" s="244">
        <f>V141</f>
        <v>45.71356124775253</v>
      </c>
    </row>
    <row r="144" spans="1:22" ht="14" x14ac:dyDescent="0.3">
      <c r="A144" s="276"/>
      <c r="B144" s="276"/>
      <c r="C144" s="276"/>
      <c r="D144" s="276"/>
      <c r="E144" s="276"/>
      <c r="F144" s="276"/>
      <c r="G144" s="276"/>
      <c r="H144" s="276"/>
      <c r="I144" s="276"/>
      <c r="J144" s="276"/>
      <c r="K144" s="276"/>
      <c r="L144" s="276"/>
      <c r="P144" s="217" t="s">
        <v>66</v>
      </c>
      <c r="Q144" s="217">
        <v>15</v>
      </c>
      <c r="R144" s="217"/>
      <c r="S144" s="244">
        <f>1/(SQRT(1+(SIGMA_ZETA/N_2)*(S143/d^2)^2))</f>
        <v>0.99926511088487302</v>
      </c>
      <c r="T144" s="244">
        <f>1/(SQRT(1+(SIGMA_ZETA/N_2)*(T143/d^2)^2))</f>
        <v>0.99705059984201272</v>
      </c>
      <c r="U144" s="244">
        <f>1/(SQRT(1+(SIGMA_ZETA/N_2)*(U143/d^2)^2))</f>
        <v>0.97985883424024933</v>
      </c>
      <c r="V144" s="244">
        <f>1/(SQRT(1+(SIGMA_ZETA/N_2)*(V143/d^2)^2))</f>
        <v>0.94330350993868883</v>
      </c>
    </row>
    <row r="145" spans="1:22" ht="14" x14ac:dyDescent="0.3">
      <c r="A145" s="276"/>
      <c r="B145" s="276"/>
      <c r="C145" s="276"/>
      <c r="D145" s="276"/>
      <c r="E145" s="276"/>
      <c r="F145" s="276"/>
      <c r="G145" s="276"/>
      <c r="H145" s="276"/>
      <c r="I145" s="276"/>
      <c r="J145" s="276"/>
      <c r="K145" s="276"/>
      <c r="L145" s="276"/>
      <c r="P145" s="217" t="s">
        <v>68</v>
      </c>
      <c r="Q145" s="249">
        <v>22</v>
      </c>
      <c r="R145" s="217"/>
      <c r="S145" s="244">
        <f>(x_T/S144^2)/(1+(x_T*SIGMA_ZETA_1/N_5)*(S143/d^2)^2)</f>
        <v>0.64016670856714286</v>
      </c>
      <c r="T145" s="244">
        <f>(E$11/T144^2)/(1+(E$11*SIGMA_ZETA_1/N_5)*(T143/d^2)^2)</f>
        <v>0.63070620695430624</v>
      </c>
      <c r="U145" s="244">
        <f>(F$11/U144^2)/(1+(F$11*SIGMA_ZETA_1/N_5)*(U143/d^2)^2)</f>
        <v>0.60552142535129116</v>
      </c>
      <c r="V145" s="244">
        <f>(G$11/V144^2)/(1+(G$11*SIGMA_ZETA_1/N_5)*(V143/d^2)^2)</f>
        <v>0.54928483429762709</v>
      </c>
    </row>
    <row r="146" spans="1:22" ht="14" x14ac:dyDescent="0.3">
      <c r="A146" s="276"/>
      <c r="B146" s="276"/>
      <c r="C146" s="276"/>
      <c r="D146" s="276"/>
      <c r="E146" s="276"/>
      <c r="F146" s="276"/>
      <c r="G146" s="276"/>
      <c r="H146" s="276"/>
      <c r="I146" s="276"/>
      <c r="J146" s="276"/>
      <c r="K146" s="276"/>
      <c r="L146" s="276"/>
      <c r="P146" s="217" t="s">
        <v>26</v>
      </c>
      <c r="Q146" s="217">
        <v>12</v>
      </c>
      <c r="R146" s="217"/>
      <c r="S146" s="244">
        <f>1-(x/(3*F_GAMMA*S145))</f>
        <v>0.73965114955804345</v>
      </c>
      <c r="T146" s="244">
        <f>1-(T$4/(3*F_GAMMA*T145))</f>
        <v>0.71150788776117824</v>
      </c>
      <c r="U146" s="244">
        <f>1-(U$4/(3*F_GAMMA*U145))</f>
        <v>0.73764716033709266</v>
      </c>
      <c r="V146" s="244">
        <f>1-(V$4/(3*F_GAMMA*V145))</f>
        <v>0.77243136494049025</v>
      </c>
    </row>
    <row r="147" spans="1:22" ht="14" x14ac:dyDescent="0.3">
      <c r="A147" s="276"/>
      <c r="B147" s="276"/>
      <c r="C147" s="276"/>
      <c r="D147" s="276"/>
      <c r="E147" s="276"/>
      <c r="F147" s="276"/>
      <c r="G147" s="276"/>
      <c r="H147" s="276"/>
      <c r="I147" s="276"/>
      <c r="J147" s="276"/>
      <c r="K147" s="276"/>
      <c r="L147" s="276"/>
      <c r="P147" s="217" t="s">
        <v>71</v>
      </c>
      <c r="Q147" s="249">
        <v>5</v>
      </c>
      <c r="R147" s="217"/>
      <c r="S147" s="244">
        <f>W/(N_6*S144*S146*SQRT(x*P_1*RHO))</f>
        <v>4.9832592131647182</v>
      </c>
      <c r="T147" s="244">
        <f>E$4/(N_6*T144*T146*SQRT(T$4*E$5*E$8))</f>
        <v>9.9998223948371177</v>
      </c>
      <c r="U147" s="244">
        <f>F$4/(N_6*U144*U146*SQRT(U$4*F$5*F$8))</f>
        <v>26.475489836081493</v>
      </c>
      <c r="V147" s="244">
        <f>G$4/(N_6*V144*V146*SQRT(V$4*G$5*G$8))</f>
        <v>45.71356124775258</v>
      </c>
    </row>
    <row r="148" spans="1:22" ht="14" x14ac:dyDescent="0.3">
      <c r="A148" s="276"/>
      <c r="B148" s="276"/>
      <c r="C148" s="276"/>
      <c r="D148" s="276"/>
      <c r="E148" s="276"/>
      <c r="F148" s="276"/>
      <c r="G148" s="276"/>
      <c r="H148" s="276"/>
      <c r="I148" s="276"/>
      <c r="J148" s="276"/>
      <c r="K148" s="276"/>
      <c r="L148" s="276"/>
      <c r="P148" s="217" t="s">
        <v>73</v>
      </c>
      <c r="Q148" s="249">
        <v>5</v>
      </c>
      <c r="R148" s="217"/>
      <c r="S148" s="244">
        <f>W/(0.667*N_6*S144*SQRT(F_GAMMA*S145*P_1*RHO))</f>
        <v>4.883745685685752</v>
      </c>
      <c r="T148" s="244">
        <f>E$4/(0.667*N_6*T144*SQRT(F_GAMMA*T145*E$5*E$8))</f>
        <v>9.9237032915059942</v>
      </c>
      <c r="U148" s="244">
        <f>F$4/(0.667*N_6*U144*SQRT(F_GAMMA*U145*F$5*F$8))</f>
        <v>25.975885239278739</v>
      </c>
      <c r="V148" s="244">
        <f>G$4/(0.667*N_6*V144*SQRT(F_GAMMA*V145*G$5*G$8))</f>
        <v>43.741729608603968</v>
      </c>
    </row>
    <row r="149" spans="1:22" ht="14" x14ac:dyDescent="0.3">
      <c r="A149" s="276"/>
      <c r="B149" s="276"/>
      <c r="C149" s="276"/>
      <c r="D149" s="276"/>
      <c r="E149" s="276"/>
      <c r="F149" s="276"/>
      <c r="G149" s="276"/>
      <c r="H149" s="276"/>
      <c r="I149" s="276"/>
      <c r="J149" s="276"/>
      <c r="K149" s="276"/>
      <c r="L149" s="276"/>
      <c r="P149" s="217" t="s">
        <v>75</v>
      </c>
      <c r="Q149" s="249">
        <v>10</v>
      </c>
      <c r="R149" s="217"/>
      <c r="S149" s="244">
        <f>F_GAMMA*S145</f>
        <v>0.64016670856714286</v>
      </c>
      <c r="T149" s="244">
        <f>F_GAMMA*T145</f>
        <v>0.63070620695430624</v>
      </c>
      <c r="U149" s="244">
        <f>F_GAMMA*U145</f>
        <v>0.60552142535129116</v>
      </c>
      <c r="V149" s="244">
        <f>F_GAMMA*V145</f>
        <v>0.54928483429762709</v>
      </c>
    </row>
    <row r="150" spans="1:22" ht="14" x14ac:dyDescent="0.3">
      <c r="A150" s="276"/>
      <c r="B150" s="276"/>
      <c r="C150" s="276"/>
      <c r="D150" s="276"/>
      <c r="E150" s="276"/>
      <c r="F150" s="276"/>
      <c r="G150" s="276"/>
      <c r="H150" s="276"/>
      <c r="I150" s="276"/>
      <c r="J150" s="276"/>
      <c r="K150" s="276"/>
      <c r="L150" s="276"/>
      <c r="P150" s="217" t="s">
        <v>38</v>
      </c>
      <c r="Q150" s="249"/>
      <c r="S150" s="244">
        <f>IF(S$4&lt;S149,S147,S148)</f>
        <v>4.9832592131647182</v>
      </c>
      <c r="T150" s="244">
        <f>IF(T$4&lt;T149,T147,T148)</f>
        <v>9.9998223948371177</v>
      </c>
      <c r="U150" s="244">
        <f>IF(U$4&lt;U149,U147,U148)</f>
        <v>26.475489836081493</v>
      </c>
      <c r="V150" s="244">
        <f>IF(V$4&lt;V149,V147,V148)</f>
        <v>45.71356124775258</v>
      </c>
    </row>
    <row r="151" spans="1:22" ht="14" x14ac:dyDescent="0.3">
      <c r="A151" s="276"/>
      <c r="B151" s="276"/>
      <c r="C151" s="276"/>
      <c r="D151" s="276"/>
      <c r="E151" s="276"/>
      <c r="F151" s="276"/>
      <c r="G151" s="276"/>
      <c r="H151" s="276"/>
      <c r="I151" s="276"/>
      <c r="J151" s="276"/>
      <c r="K151" s="276"/>
      <c r="L151" s="276"/>
      <c r="P151" s="217"/>
      <c r="Q151" s="249"/>
      <c r="S151" s="244"/>
      <c r="T151" s="244"/>
      <c r="U151" s="244"/>
      <c r="V151" s="244"/>
    </row>
    <row r="152" spans="1:22" ht="14" x14ac:dyDescent="0.3">
      <c r="A152" s="276"/>
      <c r="B152" s="276"/>
      <c r="C152" s="276"/>
      <c r="D152" s="276"/>
      <c r="E152" s="276"/>
      <c r="F152" s="276"/>
      <c r="G152" s="276"/>
      <c r="H152" s="276"/>
      <c r="I152" s="276"/>
      <c r="J152" s="276"/>
      <c r="K152" s="276"/>
      <c r="L152" s="276"/>
      <c r="P152" s="217" t="s">
        <v>63</v>
      </c>
      <c r="R152" s="217"/>
      <c r="S152" s="244">
        <f>S150</f>
        <v>4.9832592131647182</v>
      </c>
      <c r="T152" s="244">
        <f>T150</f>
        <v>9.9998223948371177</v>
      </c>
      <c r="U152" s="244">
        <f>U150</f>
        <v>26.475489836081493</v>
      </c>
      <c r="V152" s="244">
        <f>V150</f>
        <v>45.71356124775258</v>
      </c>
    </row>
    <row r="153" spans="1:22" ht="14" x14ac:dyDescent="0.3">
      <c r="A153" s="276"/>
      <c r="B153" s="276"/>
      <c r="C153" s="276"/>
      <c r="D153" s="276"/>
      <c r="E153" s="276"/>
      <c r="F153" s="276"/>
      <c r="G153" s="276"/>
      <c r="H153" s="276"/>
      <c r="I153" s="276"/>
      <c r="J153" s="276"/>
      <c r="K153" s="276"/>
      <c r="L153" s="276"/>
      <c r="P153" s="217" t="s">
        <v>66</v>
      </c>
      <c r="Q153" s="217">
        <v>15</v>
      </c>
      <c r="R153" s="217"/>
      <c r="S153" s="244">
        <f>1/(SQRT(1+(SIGMA_ZETA/N_2)*(S152/d^2)^2))</f>
        <v>0.99926511088487302</v>
      </c>
      <c r="T153" s="244">
        <f>1/(SQRT(1+(SIGMA_ZETA/N_2)*(T152/d^2)^2))</f>
        <v>0.99705059984201272</v>
      </c>
      <c r="U153" s="244">
        <f>1/(SQRT(1+(SIGMA_ZETA/N_2)*(U152/d^2)^2))</f>
        <v>0.97985883424024933</v>
      </c>
      <c r="V153" s="244">
        <f>1/(SQRT(1+(SIGMA_ZETA/N_2)*(V152/d^2)^2))</f>
        <v>0.94330350993868861</v>
      </c>
    </row>
    <row r="154" spans="1:22" ht="14" x14ac:dyDescent="0.3">
      <c r="A154" s="276"/>
      <c r="B154" s="276"/>
      <c r="C154" s="276"/>
      <c r="D154" s="276"/>
      <c r="E154" s="276"/>
      <c r="F154" s="276"/>
      <c r="G154" s="276"/>
      <c r="H154" s="276"/>
      <c r="I154" s="276"/>
      <c r="J154" s="276"/>
      <c r="K154" s="276"/>
      <c r="L154" s="276"/>
      <c r="P154" s="217" t="s">
        <v>68</v>
      </c>
      <c r="Q154" s="249">
        <v>22</v>
      </c>
      <c r="R154" s="217"/>
      <c r="S154" s="244">
        <f>(x_T/S153^2)/(1+(x_T*SIGMA_ZETA_1/N_5)*(S152/d^2)^2)</f>
        <v>0.64016670856714286</v>
      </c>
      <c r="T154" s="244">
        <f>(E$11/T153^2)/(1+(E$11*SIGMA_ZETA_1/N_5)*(T152/d^2)^2)</f>
        <v>0.63070620695430624</v>
      </c>
      <c r="U154" s="244">
        <f>(F$11/U153^2)/(1+(F$11*SIGMA_ZETA_1/N_5)*(U152/d^2)^2)</f>
        <v>0.60552142535129116</v>
      </c>
      <c r="V154" s="244">
        <f>(G$11/V153^2)/(1+(G$11*SIGMA_ZETA_1/N_5)*(V152/d^2)^2)</f>
        <v>0.54928483429762731</v>
      </c>
    </row>
    <row r="155" spans="1:22" ht="14" x14ac:dyDescent="0.3">
      <c r="A155" s="276"/>
      <c r="B155" s="276"/>
      <c r="C155" s="276"/>
      <c r="D155" s="276"/>
      <c r="E155" s="276"/>
      <c r="F155" s="276"/>
      <c r="G155" s="276"/>
      <c r="H155" s="276"/>
      <c r="I155" s="276"/>
      <c r="J155" s="276"/>
      <c r="K155" s="276"/>
      <c r="L155" s="276"/>
      <c r="P155" s="217" t="s">
        <v>26</v>
      </c>
      <c r="Q155" s="217">
        <v>12</v>
      </c>
      <c r="R155" s="217"/>
      <c r="S155" s="244">
        <f>1-(x/(3*F_GAMMA*S154))</f>
        <v>0.73965114955804345</v>
      </c>
      <c r="T155" s="244">
        <f>1-(T$4/(3*F_GAMMA*T154))</f>
        <v>0.71150788776117824</v>
      </c>
      <c r="U155" s="244">
        <f>1-(U$4/(3*F_GAMMA*U154))</f>
        <v>0.73764716033709266</v>
      </c>
      <c r="V155" s="244">
        <f>1-(V$4/(3*F_GAMMA*V154))</f>
        <v>0.77243136494049036</v>
      </c>
    </row>
    <row r="156" spans="1:22" ht="14" x14ac:dyDescent="0.3">
      <c r="A156" s="276"/>
      <c r="B156" s="276"/>
      <c r="C156" s="276"/>
      <c r="D156" s="276"/>
      <c r="E156" s="276"/>
      <c r="F156" s="276"/>
      <c r="G156" s="276"/>
      <c r="H156" s="276"/>
      <c r="I156" s="276"/>
      <c r="J156" s="276"/>
      <c r="K156" s="276"/>
      <c r="L156" s="276"/>
      <c r="P156" s="217" t="s">
        <v>71</v>
      </c>
      <c r="Q156" s="249">
        <v>5</v>
      </c>
      <c r="R156" s="217"/>
      <c r="S156" s="244">
        <f>W/(N_6*S153*S155*SQRT(x*P_1*RHO))</f>
        <v>4.9832592131647182</v>
      </c>
      <c r="T156" s="244">
        <f>E$4/(N_6*T153*T155*SQRT(T$4*E$5*E$8))</f>
        <v>9.9998223948371177</v>
      </c>
      <c r="U156" s="244">
        <f>F$4/(N_6*U153*U155*SQRT(U$4*F$5*F$8))</f>
        <v>26.475489836081493</v>
      </c>
      <c r="V156" s="244">
        <f>G$4/(N_6*V153*V155*SQRT(V$4*G$5*G$8))</f>
        <v>45.71356124775258</v>
      </c>
    </row>
    <row r="157" spans="1:22" ht="14" x14ac:dyDescent="0.3">
      <c r="A157" s="276"/>
      <c r="B157" s="276"/>
      <c r="C157" s="276"/>
      <c r="D157" s="276"/>
      <c r="E157" s="276"/>
      <c r="F157" s="276"/>
      <c r="G157" s="276"/>
      <c r="H157" s="276"/>
      <c r="I157" s="276"/>
      <c r="J157" s="276"/>
      <c r="K157" s="276"/>
      <c r="L157" s="276"/>
      <c r="P157" s="217" t="s">
        <v>73</v>
      </c>
      <c r="Q157" s="249">
        <v>5</v>
      </c>
      <c r="R157" s="217"/>
      <c r="S157" s="244">
        <f>W/(0.667*N_6*S153*SQRT(F_GAMMA*S154*P_1*RHO))</f>
        <v>4.883745685685752</v>
      </c>
      <c r="T157" s="244">
        <f>E$4/(0.667*N_6*T153*SQRT(F_GAMMA*T154*E$5*E$8))</f>
        <v>9.9237032915059942</v>
      </c>
      <c r="U157" s="244">
        <f>F$4/(0.667*N_6*U153*SQRT(F_GAMMA*U154*F$5*F$8))</f>
        <v>25.975885239278739</v>
      </c>
      <c r="V157" s="244">
        <f>G$4/(0.667*N_6*V153*SQRT(F_GAMMA*V154*G$5*G$8))</f>
        <v>43.741729608603976</v>
      </c>
    </row>
    <row r="158" spans="1:22" ht="14" x14ac:dyDescent="0.3">
      <c r="A158" s="276"/>
      <c r="B158" s="276"/>
      <c r="C158" s="276"/>
      <c r="D158" s="276"/>
      <c r="E158" s="276"/>
      <c r="F158" s="276"/>
      <c r="G158" s="276"/>
      <c r="H158" s="276"/>
      <c r="I158" s="276"/>
      <c r="J158" s="276"/>
      <c r="K158" s="276"/>
      <c r="L158" s="276"/>
      <c r="P158" s="217" t="s">
        <v>75</v>
      </c>
      <c r="Q158" s="249">
        <v>10</v>
      </c>
      <c r="R158" s="217"/>
      <c r="S158" s="244">
        <f>F_GAMMA*S154</f>
        <v>0.64016670856714286</v>
      </c>
      <c r="T158" s="244">
        <f>F_GAMMA*T154</f>
        <v>0.63070620695430624</v>
      </c>
      <c r="U158" s="244">
        <f>F_GAMMA*U154</f>
        <v>0.60552142535129116</v>
      </c>
      <c r="V158" s="244">
        <f>F_GAMMA*V154</f>
        <v>0.54928483429762731</v>
      </c>
    </row>
    <row r="159" spans="1:22" ht="14" x14ac:dyDescent="0.3">
      <c r="A159" s="276"/>
      <c r="B159" s="276"/>
      <c r="C159" s="276"/>
      <c r="D159" s="276"/>
      <c r="E159" s="276"/>
      <c r="F159" s="276"/>
      <c r="G159" s="276"/>
      <c r="H159" s="276"/>
      <c r="I159" s="276"/>
      <c r="J159" s="276"/>
      <c r="K159" s="276"/>
      <c r="L159" s="276"/>
      <c r="P159" s="217" t="s">
        <v>38</v>
      </c>
      <c r="Q159" s="249"/>
      <c r="S159" s="244">
        <f>IF(S$4&lt;S158,S156,S157)</f>
        <v>4.9832592131647182</v>
      </c>
      <c r="T159" s="244">
        <f>IF(T$4&lt;T158,T156,T157)</f>
        <v>9.9998223948371177</v>
      </c>
      <c r="U159" s="244">
        <f>IF(U$4&lt;U158,U156,U157)</f>
        <v>26.475489836081493</v>
      </c>
      <c r="V159" s="244">
        <f>IF(V$4&lt;V158,V156,V157)</f>
        <v>45.71356124775258</v>
      </c>
    </row>
    <row r="160" spans="1:22" ht="14" x14ac:dyDescent="0.3">
      <c r="A160" s="276"/>
      <c r="B160" s="276"/>
      <c r="C160" s="276"/>
      <c r="D160" s="276"/>
      <c r="E160" s="276"/>
      <c r="F160" s="276"/>
      <c r="G160" s="276"/>
      <c r="H160" s="276"/>
      <c r="I160" s="276"/>
      <c r="J160" s="276"/>
      <c r="K160" s="276"/>
      <c r="L160" s="276"/>
      <c r="P160" s="217"/>
      <c r="Q160" s="249"/>
      <c r="S160" s="244"/>
      <c r="T160" s="282"/>
      <c r="U160" s="282"/>
      <c r="V160" s="282"/>
    </row>
    <row r="161" spans="1:22" ht="14" x14ac:dyDescent="0.3">
      <c r="A161" s="276"/>
      <c r="B161" s="276"/>
      <c r="C161" s="276"/>
      <c r="D161" s="276"/>
      <c r="E161" s="276"/>
      <c r="F161" s="276"/>
      <c r="G161" s="276"/>
      <c r="H161" s="276"/>
      <c r="I161" s="276"/>
      <c r="J161" s="276"/>
      <c r="K161" s="276"/>
      <c r="L161" s="276"/>
      <c r="P161" s="217" t="s">
        <v>63</v>
      </c>
      <c r="R161" s="217"/>
      <c r="S161" s="244">
        <f>S159</f>
        <v>4.9832592131647182</v>
      </c>
      <c r="T161" s="244">
        <f>T159</f>
        <v>9.9998223948371177</v>
      </c>
      <c r="U161" s="244">
        <f>U159</f>
        <v>26.475489836081493</v>
      </c>
      <c r="V161" s="244">
        <f>V159</f>
        <v>45.71356124775258</v>
      </c>
    </row>
    <row r="162" spans="1:22" ht="14" x14ac:dyDescent="0.3">
      <c r="A162" s="276"/>
      <c r="B162" s="276"/>
      <c r="C162" s="276"/>
      <c r="D162" s="276"/>
      <c r="E162" s="276"/>
      <c r="F162" s="276"/>
      <c r="G162" s="276"/>
      <c r="H162" s="276"/>
      <c r="I162" s="276"/>
      <c r="J162" s="276"/>
      <c r="K162" s="276"/>
      <c r="L162" s="276"/>
      <c r="P162" s="217" t="s">
        <v>66</v>
      </c>
      <c r="Q162" s="217">
        <v>15</v>
      </c>
      <c r="R162" s="217"/>
      <c r="S162" s="244">
        <f>1/(SQRT(1+(SIGMA_ZETA/N_2)*(S161/d^2)^2))</f>
        <v>0.99926511088487302</v>
      </c>
      <c r="T162" s="244">
        <f>1/(SQRT(1+(SIGMA_ZETA/N_2)*(T161/d^2)^2))</f>
        <v>0.99705059984201272</v>
      </c>
      <c r="U162" s="244">
        <f>1/(SQRT(1+(SIGMA_ZETA/N_2)*(U161/d^2)^2))</f>
        <v>0.97985883424024933</v>
      </c>
      <c r="V162" s="244">
        <f>1/(SQRT(1+(SIGMA_ZETA/N_2)*(V161/d^2)^2))</f>
        <v>0.94330350993868861</v>
      </c>
    </row>
    <row r="163" spans="1:22" ht="14" x14ac:dyDescent="0.3">
      <c r="A163" s="276"/>
      <c r="B163" s="276"/>
      <c r="C163" s="276"/>
      <c r="D163" s="276"/>
      <c r="E163" s="276"/>
      <c r="F163" s="276"/>
      <c r="G163" s="276"/>
      <c r="H163" s="276"/>
      <c r="I163" s="276"/>
      <c r="J163" s="276"/>
      <c r="K163" s="276"/>
      <c r="L163" s="276"/>
      <c r="P163" s="217" t="s">
        <v>68</v>
      </c>
      <c r="Q163" s="249">
        <v>22</v>
      </c>
      <c r="R163" s="217"/>
      <c r="S163" s="244">
        <f>(x_T/S162^2)/(1+(x_T*SIGMA_ZETA_1/N_5)*(S161/d^2)^2)</f>
        <v>0.64016670856714286</v>
      </c>
      <c r="T163" s="244">
        <f>(E$11/T162^2)/(1+(E$11*SIGMA_ZETA_1/N_5)*(T161/d^2)^2)</f>
        <v>0.63070620695430624</v>
      </c>
      <c r="U163" s="244">
        <f>(F$11/U162^2)/(1+(F$11*SIGMA_ZETA_1/N_5)*(U161/d^2)^2)</f>
        <v>0.60552142535129116</v>
      </c>
      <c r="V163" s="244">
        <f>(G$11/V162^2)/(1+(G$11*SIGMA_ZETA_1/N_5)*(V161/d^2)^2)</f>
        <v>0.54928483429762731</v>
      </c>
    </row>
    <row r="164" spans="1:22" ht="14" x14ac:dyDescent="0.3">
      <c r="A164" s="276"/>
      <c r="B164" s="276"/>
      <c r="C164" s="276"/>
      <c r="D164" s="276"/>
      <c r="E164" s="276"/>
      <c r="F164" s="276"/>
      <c r="G164" s="276"/>
      <c r="H164" s="276"/>
      <c r="I164" s="276"/>
      <c r="J164" s="276"/>
      <c r="K164" s="276"/>
      <c r="L164" s="276"/>
      <c r="P164" s="217" t="s">
        <v>26</v>
      </c>
      <c r="Q164" s="217">
        <v>12</v>
      </c>
      <c r="R164" s="217"/>
      <c r="S164" s="244">
        <f>1-(x/(3*F_GAMMA*S163))</f>
        <v>0.73965114955804345</v>
      </c>
      <c r="T164" s="244">
        <f>1-(T$4/(3*F_GAMMA*T163))</f>
        <v>0.71150788776117824</v>
      </c>
      <c r="U164" s="244">
        <f>1-(U$4/(3*F_GAMMA*U163))</f>
        <v>0.73764716033709266</v>
      </c>
      <c r="V164" s="244">
        <f>1-(V$4/(3*F_GAMMA*V163))</f>
        <v>0.77243136494049036</v>
      </c>
    </row>
    <row r="165" spans="1:22" ht="14" x14ac:dyDescent="0.3">
      <c r="A165" s="276"/>
      <c r="B165" s="276"/>
      <c r="C165" s="276"/>
      <c r="D165" s="276"/>
      <c r="E165" s="276"/>
      <c r="F165" s="276"/>
      <c r="G165" s="276"/>
      <c r="H165" s="276"/>
      <c r="I165" s="276"/>
      <c r="J165" s="276"/>
      <c r="K165" s="276"/>
      <c r="L165" s="276"/>
      <c r="P165" s="217" t="s">
        <v>71</v>
      </c>
      <c r="Q165" s="249">
        <v>5</v>
      </c>
      <c r="R165" s="217"/>
      <c r="S165" s="244">
        <f>W/(N_6*S162*S164*SQRT(x*P_1*RHO))</f>
        <v>4.9832592131647182</v>
      </c>
      <c r="T165" s="244">
        <f>E$4/(N_6*T162*T164*SQRT(T$4*E$5*E$8))</f>
        <v>9.9998223948371177</v>
      </c>
      <c r="U165" s="244">
        <f>F$4/(N_6*U162*U164*SQRT(U$4*F$5*F$8))</f>
        <v>26.475489836081493</v>
      </c>
      <c r="V165" s="244">
        <f>G$4/(N_6*V162*V164*SQRT(V$4*G$5*G$8))</f>
        <v>45.71356124775258</v>
      </c>
    </row>
    <row r="166" spans="1:22" ht="14" x14ac:dyDescent="0.3">
      <c r="A166" s="276"/>
      <c r="B166" s="276"/>
      <c r="C166" s="276"/>
      <c r="D166" s="276"/>
      <c r="E166" s="276"/>
      <c r="F166" s="276"/>
      <c r="G166" s="276"/>
      <c r="H166" s="276"/>
      <c r="I166" s="276"/>
      <c r="J166" s="276"/>
      <c r="K166" s="276"/>
      <c r="L166" s="276"/>
      <c r="P166" s="217" t="s">
        <v>73</v>
      </c>
      <c r="Q166" s="249">
        <v>5</v>
      </c>
      <c r="R166" s="217"/>
      <c r="S166" s="244">
        <f>W/(0.667*N_6*S162*SQRT(F_GAMMA*S163*P_1*RHO))</f>
        <v>4.883745685685752</v>
      </c>
      <c r="T166" s="244">
        <f>E$4/(0.667*N_6*T162*SQRT(F_GAMMA*T163*E$5*E$8))</f>
        <v>9.9237032915059942</v>
      </c>
      <c r="U166" s="244">
        <f>F$4/(0.667*N_6*U162*SQRT(F_GAMMA*U163*F$5*F$8))</f>
        <v>25.975885239278739</v>
      </c>
      <c r="V166" s="244">
        <f>G$4/(0.667*N_6*V162*SQRT(F_GAMMA*V163*G$5*G$8))</f>
        <v>43.741729608603976</v>
      </c>
    </row>
    <row r="167" spans="1:22" ht="14" x14ac:dyDescent="0.3">
      <c r="A167" s="276"/>
      <c r="B167" s="276"/>
      <c r="C167" s="276"/>
      <c r="D167" s="276"/>
      <c r="E167" s="276"/>
      <c r="F167" s="276"/>
      <c r="G167" s="276"/>
      <c r="H167" s="276"/>
      <c r="I167" s="276"/>
      <c r="J167" s="276"/>
      <c r="K167" s="276"/>
      <c r="L167" s="276"/>
      <c r="P167" s="217" t="s">
        <v>75</v>
      </c>
      <c r="Q167" s="249">
        <v>10</v>
      </c>
      <c r="R167" s="217"/>
      <c r="S167" s="244">
        <f>F_GAMMA*S163</f>
        <v>0.64016670856714286</v>
      </c>
      <c r="T167" s="244">
        <f>F_GAMMA*T163</f>
        <v>0.63070620695430624</v>
      </c>
      <c r="U167" s="244">
        <f>F_GAMMA*U163</f>
        <v>0.60552142535129116</v>
      </c>
      <c r="V167" s="244">
        <f>F_GAMMA*V163</f>
        <v>0.54928483429762731</v>
      </c>
    </row>
    <row r="168" spans="1:22" ht="14" x14ac:dyDescent="0.3">
      <c r="A168" s="276"/>
      <c r="B168" s="276"/>
      <c r="C168" s="276"/>
      <c r="D168" s="276"/>
      <c r="E168" s="276"/>
      <c r="F168" s="276"/>
      <c r="G168" s="276"/>
      <c r="H168" s="276"/>
      <c r="I168" s="276"/>
      <c r="J168" s="276"/>
      <c r="K168" s="276"/>
      <c r="L168" s="276"/>
      <c r="P168" s="217" t="s">
        <v>38</v>
      </c>
      <c r="Q168" s="249"/>
      <c r="S168" s="244">
        <f>IF(S$4&lt;S167,S165,S166)</f>
        <v>4.9832592131647182</v>
      </c>
      <c r="T168" s="244">
        <f>IF(T$4&lt;T167,T165,T166)</f>
        <v>9.9998223948371177</v>
      </c>
      <c r="U168" s="244">
        <f>IF(U$4&lt;U167,U165,U166)</f>
        <v>26.475489836081493</v>
      </c>
      <c r="V168" s="244">
        <f>IF(V$4&lt;V167,V165,V166)</f>
        <v>45.71356124775258</v>
      </c>
    </row>
    <row r="169" spans="1:22" ht="14" x14ac:dyDescent="0.3">
      <c r="A169" s="276"/>
      <c r="B169" s="276"/>
      <c r="C169" s="276"/>
      <c r="D169" s="276"/>
      <c r="E169" s="276"/>
      <c r="F169" s="276"/>
      <c r="G169" s="276"/>
      <c r="H169" s="276"/>
      <c r="I169" s="276"/>
      <c r="J169" s="276"/>
      <c r="K169" s="276"/>
      <c r="L169" s="276"/>
      <c r="P169" s="217"/>
      <c r="Q169" s="217"/>
      <c r="R169" s="217"/>
      <c r="S169" s="244"/>
      <c r="T169" s="244"/>
      <c r="U169" s="244"/>
      <c r="V169" s="244"/>
    </row>
    <row r="170" spans="1:22" ht="14" x14ac:dyDescent="0.3">
      <c r="A170" s="276"/>
      <c r="B170" s="276"/>
      <c r="C170" s="276"/>
      <c r="D170" s="276"/>
      <c r="E170" s="276"/>
      <c r="F170" s="276"/>
      <c r="G170" s="276"/>
      <c r="H170" s="276"/>
      <c r="I170" s="276"/>
      <c r="J170" s="276"/>
      <c r="K170" s="276"/>
      <c r="L170" s="276"/>
      <c r="P170" s="217" t="s">
        <v>63</v>
      </c>
      <c r="R170" s="217"/>
      <c r="S170" s="244">
        <f>S168</f>
        <v>4.9832592131647182</v>
      </c>
      <c r="T170" s="244">
        <f>T168</f>
        <v>9.9998223948371177</v>
      </c>
      <c r="U170" s="244">
        <f>U168</f>
        <v>26.475489836081493</v>
      </c>
      <c r="V170" s="244">
        <f>V168</f>
        <v>45.71356124775258</v>
      </c>
    </row>
    <row r="171" spans="1:22" ht="14" x14ac:dyDescent="0.3">
      <c r="A171" s="276"/>
      <c r="B171" s="276"/>
      <c r="C171" s="276"/>
      <c r="D171" s="276"/>
      <c r="E171" s="276"/>
      <c r="F171" s="276"/>
      <c r="G171" s="276"/>
      <c r="H171" s="276"/>
      <c r="I171" s="276"/>
      <c r="J171" s="276"/>
      <c r="K171" s="276"/>
      <c r="L171" s="276"/>
      <c r="P171" s="217" t="s">
        <v>66</v>
      </c>
      <c r="Q171" s="217">
        <v>15</v>
      </c>
      <c r="R171" s="217"/>
      <c r="S171" s="244">
        <f>1/(SQRT(1+(SIGMA_ZETA/N_2)*(S170/d^2)^2))</f>
        <v>0.99926511088487302</v>
      </c>
      <c r="T171" s="244">
        <f>1/(SQRT(1+(SIGMA_ZETA/N_2)*(T170/d^2)^2))</f>
        <v>0.99705059984201272</v>
      </c>
      <c r="U171" s="244">
        <f>1/(SQRT(1+(SIGMA_ZETA/N_2)*(U170/d^2)^2))</f>
        <v>0.97985883424024933</v>
      </c>
      <c r="V171" s="244">
        <f>1/(SQRT(1+(SIGMA_ZETA/N_2)*(V170/d^2)^2))</f>
        <v>0.94330350993868861</v>
      </c>
    </row>
    <row r="172" spans="1:22" ht="14" x14ac:dyDescent="0.3">
      <c r="A172" s="276"/>
      <c r="B172" s="276"/>
      <c r="C172" s="276"/>
      <c r="D172" s="276"/>
      <c r="E172" s="276"/>
      <c r="F172" s="276"/>
      <c r="G172" s="276"/>
      <c r="H172" s="276"/>
      <c r="I172" s="276"/>
      <c r="J172" s="276"/>
      <c r="K172" s="276"/>
      <c r="L172" s="276"/>
      <c r="P172" s="217" t="s">
        <v>68</v>
      </c>
      <c r="Q172" s="249">
        <v>22</v>
      </c>
      <c r="R172" s="217"/>
      <c r="S172" s="244">
        <f>(x_T/S171^2)/(1+(x_T*SIGMA_ZETA_1/N_5)*(S170/d^2)^2)</f>
        <v>0.64016670856714286</v>
      </c>
      <c r="T172" s="244">
        <f>(E$11/T171^2)/(1+(E$11*SIGMA_ZETA_1/N_5)*(T170/d^2)^2)</f>
        <v>0.63070620695430624</v>
      </c>
      <c r="U172" s="244">
        <f>(F$11/U171^2)/(1+(F$11*SIGMA_ZETA_1/N_5)*(U170/d^2)^2)</f>
        <v>0.60552142535129116</v>
      </c>
      <c r="V172" s="244">
        <f>(G$11/V171^2)/(1+(G$11*SIGMA_ZETA_1/N_5)*(V170/d^2)^2)</f>
        <v>0.54928483429762731</v>
      </c>
    </row>
    <row r="173" spans="1:22" ht="14" x14ac:dyDescent="0.3">
      <c r="A173" s="276"/>
      <c r="B173" s="276"/>
      <c r="C173" s="276"/>
      <c r="D173" s="276"/>
      <c r="E173" s="276"/>
      <c r="F173" s="276"/>
      <c r="G173" s="276"/>
      <c r="H173" s="276"/>
      <c r="I173" s="276"/>
      <c r="J173" s="276"/>
      <c r="K173" s="276"/>
      <c r="L173" s="276"/>
      <c r="P173" s="217" t="s">
        <v>26</v>
      </c>
      <c r="Q173" s="217">
        <v>12</v>
      </c>
      <c r="R173" s="217"/>
      <c r="S173" s="244">
        <f>1-(x/(3*F_GAMMA*S172))</f>
        <v>0.73965114955804345</v>
      </c>
      <c r="T173" s="244">
        <f>1-(T$4/(3*F_GAMMA*T172))</f>
        <v>0.71150788776117824</v>
      </c>
      <c r="U173" s="244">
        <f>1-(U$4/(3*F_GAMMA*U172))</f>
        <v>0.73764716033709266</v>
      </c>
      <c r="V173" s="244">
        <f>1-(V$4/(3*F_GAMMA*V172))</f>
        <v>0.77243136494049036</v>
      </c>
    </row>
    <row r="174" spans="1:22" ht="14" x14ac:dyDescent="0.3">
      <c r="A174" s="276"/>
      <c r="B174" s="276"/>
      <c r="C174" s="276"/>
      <c r="D174" s="276"/>
      <c r="E174" s="276"/>
      <c r="F174" s="276"/>
      <c r="G174" s="276"/>
      <c r="H174" s="276"/>
      <c r="I174" s="276"/>
      <c r="J174" s="276"/>
      <c r="K174" s="276"/>
      <c r="L174" s="276"/>
      <c r="P174" s="217" t="s">
        <v>71</v>
      </c>
      <c r="Q174" s="249">
        <v>5</v>
      </c>
      <c r="R174" s="217"/>
      <c r="S174" s="244">
        <f>W/(N_6*S171*S173*SQRT(x*P_1*RHO))</f>
        <v>4.9832592131647182</v>
      </c>
      <c r="T174" s="244">
        <f>E$4/(N_6*T171*T173*SQRT(T$4*E$5*E$8))</f>
        <v>9.9998223948371177</v>
      </c>
      <c r="U174" s="244">
        <f>F$4/(N_6*U171*U173*SQRT(U$4*F$5*F$8))</f>
        <v>26.475489836081493</v>
      </c>
      <c r="V174" s="244">
        <f>G$4/(N_6*V171*V173*SQRT(V$4*G$5*G$8))</f>
        <v>45.71356124775258</v>
      </c>
    </row>
    <row r="175" spans="1:22" ht="14" x14ac:dyDescent="0.3">
      <c r="A175" s="276"/>
      <c r="B175" s="276"/>
      <c r="C175" s="276"/>
      <c r="D175" s="276"/>
      <c r="E175" s="276"/>
      <c r="F175" s="276"/>
      <c r="G175" s="276"/>
      <c r="H175" s="276"/>
      <c r="I175" s="276"/>
      <c r="J175" s="276"/>
      <c r="K175" s="276"/>
      <c r="L175" s="276"/>
      <c r="P175" s="217" t="s">
        <v>73</v>
      </c>
      <c r="Q175" s="249">
        <v>5</v>
      </c>
      <c r="R175" s="217"/>
      <c r="S175" s="244">
        <f>W/(0.667*N_6*S171*SQRT(F_GAMMA*S172*P_1*RHO))</f>
        <v>4.883745685685752</v>
      </c>
      <c r="T175" s="244">
        <f>E$4/(0.667*N_6*T171*SQRT(F_GAMMA*T172*E$5*E$8))</f>
        <v>9.9237032915059942</v>
      </c>
      <c r="U175" s="244">
        <f>F$4/(0.667*N_6*U171*SQRT(F_GAMMA*U172*F$5*F$8))</f>
        <v>25.975885239278739</v>
      </c>
      <c r="V175" s="244">
        <f>G$4/(0.667*N_6*V171*SQRT(F_GAMMA*V172*G$5*G$8))</f>
        <v>43.741729608603976</v>
      </c>
    </row>
    <row r="176" spans="1:22" ht="14" x14ac:dyDescent="0.3">
      <c r="A176" s="276"/>
      <c r="B176" s="276"/>
      <c r="C176" s="276"/>
      <c r="D176" s="276"/>
      <c r="E176" s="276"/>
      <c r="F176" s="276"/>
      <c r="G176" s="276"/>
      <c r="H176" s="276"/>
      <c r="I176" s="276"/>
      <c r="J176" s="276"/>
      <c r="K176" s="276"/>
      <c r="L176" s="276"/>
      <c r="P176" s="217" t="s">
        <v>75</v>
      </c>
      <c r="Q176" s="249">
        <v>10</v>
      </c>
      <c r="R176" s="217"/>
      <c r="S176" s="244">
        <f>F_GAMMA*S172</f>
        <v>0.64016670856714286</v>
      </c>
      <c r="T176" s="244">
        <f>F_GAMMA*T172</f>
        <v>0.63070620695430624</v>
      </c>
      <c r="U176" s="244">
        <f>F_GAMMA*U172</f>
        <v>0.60552142535129116</v>
      </c>
      <c r="V176" s="244">
        <f>F_GAMMA*V172</f>
        <v>0.54928483429762731</v>
      </c>
    </row>
    <row r="177" spans="1:22" ht="14" x14ac:dyDescent="0.3">
      <c r="A177" s="276"/>
      <c r="B177" s="276"/>
      <c r="C177" s="276"/>
      <c r="D177" s="276"/>
      <c r="E177" s="276"/>
      <c r="F177" s="276"/>
      <c r="G177" s="276"/>
      <c r="H177" s="276"/>
      <c r="I177" s="276"/>
      <c r="J177" s="276"/>
      <c r="K177" s="276"/>
      <c r="L177" s="276"/>
      <c r="P177" s="217" t="s">
        <v>38</v>
      </c>
      <c r="Q177" s="249"/>
      <c r="S177" s="244">
        <f>IF(S$4&lt;S176,S174,S175)</f>
        <v>4.9832592131647182</v>
      </c>
      <c r="T177" s="244">
        <f>IF(T$4&lt;T176,T174,T175)</f>
        <v>9.9998223948371177</v>
      </c>
      <c r="U177" s="244">
        <f>IF(U$4&lt;U176,U174,U175)</f>
        <v>26.475489836081493</v>
      </c>
      <c r="V177" s="244">
        <f>IF(V$4&lt;V176,V174,V175)</f>
        <v>45.71356124775258</v>
      </c>
    </row>
    <row r="178" spans="1:22" ht="14" x14ac:dyDescent="0.3">
      <c r="A178" s="276"/>
      <c r="B178" s="276"/>
      <c r="C178" s="276"/>
      <c r="D178" s="276"/>
      <c r="E178" s="276"/>
      <c r="F178" s="276"/>
      <c r="G178" s="276"/>
      <c r="H178" s="276"/>
      <c r="I178" s="276"/>
      <c r="J178" s="276"/>
      <c r="K178" s="276"/>
      <c r="L178" s="276"/>
      <c r="P178" s="217"/>
      <c r="Q178" s="249"/>
      <c r="S178" s="244"/>
      <c r="T178" s="244"/>
      <c r="U178" s="244"/>
      <c r="V178" s="244"/>
    </row>
    <row r="179" spans="1:22" ht="14" x14ac:dyDescent="0.3">
      <c r="A179" s="276"/>
      <c r="B179" s="276"/>
      <c r="C179" s="276"/>
      <c r="D179" s="276"/>
      <c r="E179" s="276"/>
      <c r="F179" s="276"/>
      <c r="G179" s="276"/>
      <c r="H179" s="276"/>
      <c r="I179" s="276"/>
      <c r="J179" s="276"/>
      <c r="K179" s="276"/>
      <c r="L179" s="276"/>
      <c r="P179" s="217" t="s">
        <v>63</v>
      </c>
      <c r="R179" s="217"/>
      <c r="S179" s="244">
        <f>S177</f>
        <v>4.9832592131647182</v>
      </c>
      <c r="T179" s="244">
        <f>T177</f>
        <v>9.9998223948371177</v>
      </c>
      <c r="U179" s="244">
        <f>U177</f>
        <v>26.475489836081493</v>
      </c>
      <c r="V179" s="244">
        <f>V177</f>
        <v>45.71356124775258</v>
      </c>
    </row>
    <row r="180" spans="1:22" ht="14" x14ac:dyDescent="0.3">
      <c r="A180" s="276"/>
      <c r="B180" s="276"/>
      <c r="C180" s="276"/>
      <c r="D180" s="276"/>
      <c r="E180" s="276"/>
      <c r="F180" s="276"/>
      <c r="G180" s="276"/>
      <c r="H180" s="276"/>
      <c r="I180" s="276"/>
      <c r="J180" s="276"/>
      <c r="K180" s="276"/>
      <c r="L180" s="276"/>
      <c r="P180" s="217" t="s">
        <v>66</v>
      </c>
      <c r="Q180" s="217">
        <v>15</v>
      </c>
      <c r="R180" s="217"/>
      <c r="S180" s="244">
        <f>1/(SQRT(1+(SIGMA_ZETA/N_2)*(S179/d^2)^2))</f>
        <v>0.99926511088487302</v>
      </c>
      <c r="T180" s="244">
        <f>1/(SQRT(1+(SIGMA_ZETA/N_2)*(T179/d^2)^2))</f>
        <v>0.99705059984201272</v>
      </c>
      <c r="U180" s="244">
        <f>1/(SQRT(1+(SIGMA_ZETA/N_2)*(U179/d^2)^2))</f>
        <v>0.97985883424024933</v>
      </c>
      <c r="V180" s="244">
        <f>1/(SQRT(1+(SIGMA_ZETA/N_2)*(V179/d^2)^2))</f>
        <v>0.94330350993868861</v>
      </c>
    </row>
    <row r="181" spans="1:22" ht="14" x14ac:dyDescent="0.3">
      <c r="A181" s="276"/>
      <c r="B181" s="276"/>
      <c r="C181" s="276"/>
      <c r="D181" s="276"/>
      <c r="E181" s="276"/>
      <c r="F181" s="276"/>
      <c r="G181" s="276"/>
      <c r="H181" s="276"/>
      <c r="I181" s="276"/>
      <c r="J181" s="276"/>
      <c r="K181" s="276"/>
      <c r="L181" s="276"/>
      <c r="P181" s="217" t="s">
        <v>68</v>
      </c>
      <c r="Q181" s="249">
        <v>22</v>
      </c>
      <c r="R181" s="217"/>
      <c r="S181" s="244">
        <f>(x_T/S180^2)/(1+(x_T*SIGMA_ZETA_1/N_5)*(S179/d^2)^2)</f>
        <v>0.64016670856714286</v>
      </c>
      <c r="T181" s="244">
        <f>(E$11/T180^2)/(1+(E$11*SIGMA_ZETA_1/N_5)*(T179/d^2)^2)</f>
        <v>0.63070620695430624</v>
      </c>
      <c r="U181" s="244">
        <f>(F$11/U180^2)/(1+(F$11*SIGMA_ZETA_1/N_5)*(U179/d^2)^2)</f>
        <v>0.60552142535129116</v>
      </c>
      <c r="V181" s="244">
        <f>(G$11/V180^2)/(1+(G$11*SIGMA_ZETA_1/N_5)*(V179/d^2)^2)</f>
        <v>0.54928483429762731</v>
      </c>
    </row>
    <row r="182" spans="1:22" ht="14" x14ac:dyDescent="0.3">
      <c r="A182" s="276"/>
      <c r="B182" s="276"/>
      <c r="C182" s="276"/>
      <c r="D182" s="276"/>
      <c r="E182" s="276"/>
      <c r="F182" s="276"/>
      <c r="G182" s="276"/>
      <c r="H182" s="276"/>
      <c r="I182" s="276"/>
      <c r="J182" s="276"/>
      <c r="K182" s="276"/>
      <c r="L182" s="276"/>
      <c r="P182" s="217" t="s">
        <v>26</v>
      </c>
      <c r="Q182" s="217">
        <v>12</v>
      </c>
      <c r="R182" s="217"/>
      <c r="S182" s="244">
        <f>1-(x/(3*F_GAMMA*S181))</f>
        <v>0.73965114955804345</v>
      </c>
      <c r="T182" s="244">
        <f>1-(T$4/(3*F_GAMMA*T181))</f>
        <v>0.71150788776117824</v>
      </c>
      <c r="U182" s="244">
        <f>1-(U$4/(3*F_GAMMA*U181))</f>
        <v>0.73764716033709266</v>
      </c>
      <c r="V182" s="244">
        <f>1-(V$4/(3*F_GAMMA*V181))</f>
        <v>0.77243136494049036</v>
      </c>
    </row>
    <row r="183" spans="1:22" ht="14" x14ac:dyDescent="0.3">
      <c r="A183" s="276"/>
      <c r="B183" s="276"/>
      <c r="C183" s="276"/>
      <c r="D183" s="276"/>
      <c r="E183" s="276"/>
      <c r="F183" s="276"/>
      <c r="G183" s="276"/>
      <c r="H183" s="276"/>
      <c r="I183" s="276"/>
      <c r="J183" s="276"/>
      <c r="K183" s="276"/>
      <c r="L183" s="276"/>
      <c r="P183" s="217" t="s">
        <v>71</v>
      </c>
      <c r="Q183" s="249">
        <v>5</v>
      </c>
      <c r="R183" s="217"/>
      <c r="S183" s="244">
        <f>W/(N_6*S180*S182*SQRT(x*P_1*RHO))</f>
        <v>4.9832592131647182</v>
      </c>
      <c r="T183" s="244">
        <f>E$4/(N_6*T180*T182*SQRT(T$4*E$5*E$8))</f>
        <v>9.9998223948371177</v>
      </c>
      <c r="U183" s="244">
        <f>F$4/(N_6*U180*U182*SQRT(U$4*F$5*F$8))</f>
        <v>26.475489836081493</v>
      </c>
      <c r="V183" s="244">
        <f>G$4/(N_6*V180*V182*SQRT(V$4*G$5*G$8))</f>
        <v>45.71356124775258</v>
      </c>
    </row>
    <row r="184" spans="1:22" ht="14" x14ac:dyDescent="0.3">
      <c r="A184" s="276"/>
      <c r="B184" s="276"/>
      <c r="C184" s="276"/>
      <c r="D184" s="276"/>
      <c r="E184" s="276"/>
      <c r="F184" s="276"/>
      <c r="G184" s="276"/>
      <c r="H184" s="276"/>
      <c r="I184" s="276"/>
      <c r="J184" s="276"/>
      <c r="K184" s="276"/>
      <c r="L184" s="276"/>
      <c r="P184" s="217" t="s">
        <v>73</v>
      </c>
      <c r="Q184" s="249">
        <v>5</v>
      </c>
      <c r="R184" s="217"/>
      <c r="S184" s="244">
        <f>W/(0.667*N_6*S180*SQRT(F_GAMMA*S181*P_1*RHO))</f>
        <v>4.883745685685752</v>
      </c>
      <c r="T184" s="244">
        <f>E$4/(0.667*N_6*T180*SQRT(F_GAMMA*T181*E$5*E$8))</f>
        <v>9.9237032915059942</v>
      </c>
      <c r="U184" s="244">
        <f>F$4/(0.667*N_6*U180*SQRT(F_GAMMA*U181*F$5*F$8))</f>
        <v>25.975885239278739</v>
      </c>
      <c r="V184" s="244">
        <f>G$4/(0.667*N_6*V180*SQRT(F_GAMMA*V181*G$5*G$8))</f>
        <v>43.741729608603976</v>
      </c>
    </row>
    <row r="185" spans="1:22" ht="14" x14ac:dyDescent="0.3">
      <c r="A185" s="276"/>
      <c r="B185" s="276"/>
      <c r="C185" s="276"/>
      <c r="D185" s="276"/>
      <c r="E185" s="276"/>
      <c r="F185" s="276"/>
      <c r="G185" s="276"/>
      <c r="H185" s="276"/>
      <c r="I185" s="276"/>
      <c r="J185" s="276"/>
      <c r="K185" s="276"/>
      <c r="L185" s="276"/>
      <c r="P185" s="217" t="s">
        <v>75</v>
      </c>
      <c r="Q185" s="249">
        <v>10</v>
      </c>
      <c r="R185" s="217"/>
      <c r="S185" s="244">
        <f>F_GAMMA*S181</f>
        <v>0.64016670856714286</v>
      </c>
      <c r="T185" s="244">
        <f>F_GAMMA*T181</f>
        <v>0.63070620695430624</v>
      </c>
      <c r="U185" s="244">
        <f>F_GAMMA*U181</f>
        <v>0.60552142535129116</v>
      </c>
      <c r="V185" s="244">
        <f>F_GAMMA*V181</f>
        <v>0.54928483429762731</v>
      </c>
    </row>
    <row r="186" spans="1:22" ht="14" x14ac:dyDescent="0.3">
      <c r="A186" s="276"/>
      <c r="B186" s="276"/>
      <c r="C186" s="276"/>
      <c r="D186" s="276"/>
      <c r="E186" s="276"/>
      <c r="F186" s="276"/>
      <c r="G186" s="276"/>
      <c r="H186" s="276"/>
      <c r="I186" s="276"/>
      <c r="J186" s="276"/>
      <c r="K186" s="276"/>
      <c r="L186" s="276"/>
      <c r="P186" s="217" t="s">
        <v>38</v>
      </c>
      <c r="Q186" s="249"/>
      <c r="S186" s="244">
        <f>IF(S$4&lt;S185,S183,S184)</f>
        <v>4.9832592131647182</v>
      </c>
      <c r="T186" s="244">
        <f>IF(T$4&lt;T185,T183,T184)</f>
        <v>9.9998223948371177</v>
      </c>
      <c r="U186" s="244">
        <f>IF(U$4&lt;U185,U183,U184)</f>
        <v>26.475489836081493</v>
      </c>
      <c r="V186" s="244">
        <f>IF(V$4&lt;V185,V183,V184)</f>
        <v>45.71356124775258</v>
      </c>
    </row>
    <row r="187" spans="1:22" ht="14" x14ac:dyDescent="0.3">
      <c r="A187" s="276"/>
      <c r="B187" s="276"/>
      <c r="C187" s="276"/>
      <c r="D187" s="276"/>
      <c r="E187" s="276"/>
      <c r="F187" s="276"/>
      <c r="G187" s="276"/>
      <c r="H187" s="276"/>
      <c r="I187" s="276"/>
      <c r="J187" s="276"/>
      <c r="K187" s="276"/>
      <c r="L187" s="276"/>
      <c r="P187" s="217"/>
      <c r="Q187" s="217"/>
      <c r="S187" s="244"/>
      <c r="T187" s="244"/>
      <c r="U187" s="244"/>
      <c r="V187" s="244"/>
    </row>
    <row r="188" spans="1:22" ht="14" x14ac:dyDescent="0.3">
      <c r="A188" s="276"/>
      <c r="B188" s="276"/>
      <c r="C188" s="276"/>
      <c r="D188" s="276"/>
      <c r="E188" s="276"/>
      <c r="F188" s="276"/>
      <c r="G188" s="276"/>
      <c r="H188" s="276"/>
      <c r="I188" s="276"/>
      <c r="J188" s="276"/>
      <c r="K188" s="276"/>
      <c r="L188" s="276"/>
      <c r="P188" s="217" t="s">
        <v>63</v>
      </c>
      <c r="R188" s="217"/>
      <c r="S188" s="244">
        <f>S186</f>
        <v>4.9832592131647182</v>
      </c>
      <c r="T188" s="244">
        <f>T186</f>
        <v>9.9998223948371177</v>
      </c>
      <c r="U188" s="244">
        <f>U186</f>
        <v>26.475489836081493</v>
      </c>
      <c r="V188" s="244">
        <f>V186</f>
        <v>45.71356124775258</v>
      </c>
    </row>
    <row r="189" spans="1:22" ht="14" x14ac:dyDescent="0.3">
      <c r="A189" s="276"/>
      <c r="B189" s="276"/>
      <c r="C189" s="276"/>
      <c r="D189" s="276"/>
      <c r="E189" s="276"/>
      <c r="F189" s="276"/>
      <c r="G189" s="276"/>
      <c r="H189" s="276"/>
      <c r="I189" s="276"/>
      <c r="J189" s="276"/>
      <c r="K189" s="276"/>
      <c r="L189" s="276"/>
      <c r="P189" s="217" t="s">
        <v>66</v>
      </c>
      <c r="Q189" s="217">
        <v>15</v>
      </c>
      <c r="R189" s="217"/>
      <c r="S189" s="244">
        <f>1/(SQRT(1+(SIGMA_ZETA/N_2)*(S188/d^2)^2))</f>
        <v>0.99926511088487302</v>
      </c>
      <c r="T189" s="244">
        <f>1/(SQRT(1+(SIGMA_ZETA/N_2)*(T188/d^2)^2))</f>
        <v>0.99705059984201272</v>
      </c>
      <c r="U189" s="244">
        <f>1/(SQRT(1+(SIGMA_ZETA/N_2)*(U188/d^2)^2))</f>
        <v>0.97985883424024933</v>
      </c>
      <c r="V189" s="244">
        <f>1/(SQRT(1+(SIGMA_ZETA/N_2)*(V188/d^2)^2))</f>
        <v>0.94330350993868861</v>
      </c>
    </row>
    <row r="190" spans="1:22" ht="14" x14ac:dyDescent="0.3">
      <c r="A190" s="276"/>
      <c r="B190" s="276"/>
      <c r="C190" s="276"/>
      <c r="D190" s="276"/>
      <c r="E190" s="276"/>
      <c r="F190" s="276"/>
      <c r="G190" s="276"/>
      <c r="H190" s="276"/>
      <c r="I190" s="276"/>
      <c r="J190" s="276"/>
      <c r="K190" s="276"/>
      <c r="L190" s="276"/>
      <c r="P190" s="217" t="s">
        <v>68</v>
      </c>
      <c r="Q190" s="249">
        <v>22</v>
      </c>
      <c r="R190" s="217"/>
      <c r="S190" s="244">
        <f>(x_T/S189^2)/(1+(x_T*SIGMA_ZETA_1/N_5)*(S188/d^2)^2)</f>
        <v>0.64016670856714286</v>
      </c>
      <c r="T190" s="244">
        <f>(E$11/T189^2)/(1+(E$11*SIGMA_ZETA_1/N_5)*(T188/d^2)^2)</f>
        <v>0.63070620695430624</v>
      </c>
      <c r="U190" s="244">
        <f>(F$11/U189^2)/(1+(F$11*SIGMA_ZETA_1/N_5)*(U188/d^2)^2)</f>
        <v>0.60552142535129116</v>
      </c>
      <c r="V190" s="244">
        <f>(G$11/V189^2)/(1+(G$11*SIGMA_ZETA_1/N_5)*(V188/d^2)^2)</f>
        <v>0.54928483429762731</v>
      </c>
    </row>
    <row r="191" spans="1:22" ht="14" x14ac:dyDescent="0.3">
      <c r="A191" s="276"/>
      <c r="B191" s="276"/>
      <c r="C191" s="276"/>
      <c r="D191" s="276"/>
      <c r="E191" s="276"/>
      <c r="F191" s="276"/>
      <c r="G191" s="276"/>
      <c r="H191" s="276"/>
      <c r="I191" s="276"/>
      <c r="J191" s="276"/>
      <c r="K191" s="276"/>
      <c r="L191" s="276"/>
      <c r="P191" s="217" t="s">
        <v>26</v>
      </c>
      <c r="Q191" s="217">
        <v>12</v>
      </c>
      <c r="R191" s="217"/>
      <c r="S191" s="244">
        <f>1-(x/(3*F_GAMMA*S190))</f>
        <v>0.73965114955804345</v>
      </c>
      <c r="T191" s="244">
        <f>1-(T$4/(3*F_GAMMA*T190))</f>
        <v>0.71150788776117824</v>
      </c>
      <c r="U191" s="244">
        <f>1-(U$4/(3*F_GAMMA*U190))</f>
        <v>0.73764716033709266</v>
      </c>
      <c r="V191" s="244">
        <f>1-(V$4/(3*F_GAMMA*V190))</f>
        <v>0.77243136494049036</v>
      </c>
    </row>
    <row r="192" spans="1:22" ht="14" x14ac:dyDescent="0.3">
      <c r="A192" s="276"/>
      <c r="B192" s="276"/>
      <c r="C192" s="276"/>
      <c r="D192" s="276"/>
      <c r="E192" s="276"/>
      <c r="F192" s="276"/>
      <c r="G192" s="276"/>
      <c r="H192" s="276"/>
      <c r="I192" s="276"/>
      <c r="J192" s="276"/>
      <c r="K192" s="276"/>
      <c r="L192" s="276"/>
      <c r="P192" s="217" t="s">
        <v>71</v>
      </c>
      <c r="Q192" s="249">
        <v>5</v>
      </c>
      <c r="R192" s="217"/>
      <c r="S192" s="244">
        <f>W/(N_6*S189*S191*SQRT(x*P_1*RHO))</f>
        <v>4.9832592131647182</v>
      </c>
      <c r="T192" s="244">
        <f>E$4/(N_6*T189*T191*SQRT(T$4*E$5*E$8))</f>
        <v>9.9998223948371177</v>
      </c>
      <c r="U192" s="244">
        <f>F$4/(N_6*U189*U191*SQRT(U$4*F$5*F$8))</f>
        <v>26.475489836081493</v>
      </c>
      <c r="V192" s="244">
        <f>G$4/(N_6*V189*V191*SQRT(V$4*G$5*G$8))</f>
        <v>45.71356124775258</v>
      </c>
    </row>
    <row r="193" spans="1:22" ht="14" x14ac:dyDescent="0.3">
      <c r="A193" s="276"/>
      <c r="B193" s="276"/>
      <c r="C193" s="276"/>
      <c r="D193" s="276"/>
      <c r="E193" s="276"/>
      <c r="F193" s="276"/>
      <c r="G193" s="276"/>
      <c r="H193" s="276"/>
      <c r="I193" s="276"/>
      <c r="J193" s="276"/>
      <c r="K193" s="276"/>
      <c r="L193" s="276"/>
      <c r="P193" s="217" t="s">
        <v>73</v>
      </c>
      <c r="Q193" s="249">
        <v>5</v>
      </c>
      <c r="R193" s="217"/>
      <c r="S193" s="244">
        <f>W/(0.667*N_6*S189*SQRT(F_GAMMA*S190*P_1*RHO))</f>
        <v>4.883745685685752</v>
      </c>
      <c r="T193" s="244">
        <f>E$4/(0.667*N_6*T189*SQRT(F_GAMMA*T190*E$5*E$8))</f>
        <v>9.9237032915059942</v>
      </c>
      <c r="U193" s="244">
        <f>F$4/(0.667*N_6*U189*SQRT(F_GAMMA*U190*F$5*F$8))</f>
        <v>25.975885239278739</v>
      </c>
      <c r="V193" s="244">
        <f>G$4/(0.667*N_6*V189*SQRT(F_GAMMA*V190*G$5*G$8))</f>
        <v>43.741729608603976</v>
      </c>
    </row>
    <row r="194" spans="1:22" ht="14" x14ac:dyDescent="0.3">
      <c r="A194" s="276"/>
      <c r="B194" s="276"/>
      <c r="C194" s="276"/>
      <c r="D194" s="276"/>
      <c r="E194" s="276"/>
      <c r="F194" s="276"/>
      <c r="G194" s="276"/>
      <c r="H194" s="276"/>
      <c r="I194" s="276"/>
      <c r="J194" s="276"/>
      <c r="K194" s="276"/>
      <c r="L194" s="276"/>
      <c r="P194" s="217" t="s">
        <v>75</v>
      </c>
      <c r="Q194" s="249">
        <v>10</v>
      </c>
      <c r="R194" s="217"/>
      <c r="S194" s="244">
        <f>F_GAMMA*S190</f>
        <v>0.64016670856714286</v>
      </c>
      <c r="T194" s="244">
        <f>F_GAMMA*T190</f>
        <v>0.63070620695430624</v>
      </c>
      <c r="U194" s="244">
        <f>F_GAMMA*U190</f>
        <v>0.60552142535129116</v>
      </c>
      <c r="V194" s="244">
        <f>F_GAMMA*V190</f>
        <v>0.54928483429762731</v>
      </c>
    </row>
    <row r="195" spans="1:22" ht="14" x14ac:dyDescent="0.3">
      <c r="A195" s="276"/>
      <c r="B195" s="276"/>
      <c r="C195" s="276"/>
      <c r="D195" s="276"/>
      <c r="E195" s="276"/>
      <c r="F195" s="276"/>
      <c r="G195" s="276"/>
      <c r="H195" s="276"/>
      <c r="I195" s="276"/>
      <c r="J195" s="276"/>
      <c r="K195" s="276"/>
      <c r="L195" s="276"/>
      <c r="P195" s="217" t="s">
        <v>38</v>
      </c>
      <c r="Q195" s="249"/>
      <c r="S195" s="244">
        <f>IF(S$4&lt;S194,S192,S193)</f>
        <v>4.9832592131647182</v>
      </c>
      <c r="T195" s="244">
        <f>IF(T$4&lt;T194,T192,T193)</f>
        <v>9.9998223948371177</v>
      </c>
      <c r="U195" s="244">
        <f>IF(U$4&lt;U194,U192,U193)</f>
        <v>26.475489836081493</v>
      </c>
      <c r="V195" s="244">
        <f>IF(V$4&lt;V194,V192,V193)</f>
        <v>45.71356124775258</v>
      </c>
    </row>
    <row r="196" spans="1:22" ht="14" x14ac:dyDescent="0.3">
      <c r="A196" s="276"/>
      <c r="B196" s="276"/>
      <c r="C196" s="276"/>
      <c r="D196" s="276"/>
      <c r="E196" s="276"/>
      <c r="F196" s="276"/>
      <c r="G196" s="276"/>
      <c r="H196" s="276"/>
      <c r="I196" s="276"/>
      <c r="J196" s="276"/>
      <c r="K196" s="276"/>
      <c r="L196" s="276"/>
      <c r="P196" s="217"/>
      <c r="S196" s="244"/>
      <c r="T196" s="244"/>
      <c r="U196" s="244"/>
      <c r="V196" s="244"/>
    </row>
    <row r="197" spans="1:22" ht="14" x14ac:dyDescent="0.3">
      <c r="A197" s="276"/>
      <c r="B197" s="276"/>
      <c r="C197" s="276"/>
      <c r="D197" s="276"/>
      <c r="E197" s="276"/>
      <c r="F197" s="276"/>
      <c r="G197" s="276"/>
      <c r="H197" s="276"/>
      <c r="I197" s="276"/>
      <c r="J197" s="276"/>
      <c r="K197" s="276"/>
      <c r="L197" s="276"/>
      <c r="P197" s="217" t="s">
        <v>63</v>
      </c>
      <c r="R197" s="217"/>
      <c r="S197" s="244">
        <f>S195</f>
        <v>4.9832592131647182</v>
      </c>
      <c r="T197" s="244">
        <f>T195</f>
        <v>9.9998223948371177</v>
      </c>
      <c r="U197" s="244">
        <f>U195</f>
        <v>26.475489836081493</v>
      </c>
      <c r="V197" s="244">
        <f>V195</f>
        <v>45.71356124775258</v>
      </c>
    </row>
    <row r="198" spans="1:22" ht="14" x14ac:dyDescent="0.3">
      <c r="A198" s="276"/>
      <c r="B198" s="276"/>
      <c r="C198" s="276"/>
      <c r="D198" s="276"/>
      <c r="E198" s="276"/>
      <c r="F198" s="276"/>
      <c r="G198" s="276"/>
      <c r="H198" s="276"/>
      <c r="I198" s="276"/>
      <c r="J198" s="276"/>
      <c r="K198" s="276"/>
      <c r="L198" s="276"/>
      <c r="P198" s="217" t="s">
        <v>66</v>
      </c>
      <c r="Q198" s="217">
        <v>15</v>
      </c>
      <c r="R198" s="217"/>
      <c r="S198" s="244">
        <f>1/(SQRT(1+(SIGMA_ZETA/N_2)*(S197/d^2)^2))</f>
        <v>0.99926511088487302</v>
      </c>
      <c r="T198" s="244">
        <f>1/(SQRT(1+(SIGMA_ZETA/N_2)*(T197/d^2)^2))</f>
        <v>0.99705059984201272</v>
      </c>
      <c r="U198" s="244">
        <f>1/(SQRT(1+(SIGMA_ZETA/N_2)*(U197/d^2)^2))</f>
        <v>0.97985883424024933</v>
      </c>
      <c r="V198" s="244">
        <f>1/(SQRT(1+(SIGMA_ZETA/N_2)*(V197/d^2)^2))</f>
        <v>0.94330350993868861</v>
      </c>
    </row>
    <row r="199" spans="1:22" ht="14" x14ac:dyDescent="0.3">
      <c r="A199" s="276"/>
      <c r="B199" s="276"/>
      <c r="C199" s="276"/>
      <c r="D199" s="276"/>
      <c r="E199" s="276"/>
      <c r="F199" s="276"/>
      <c r="G199" s="276"/>
      <c r="H199" s="276"/>
      <c r="I199" s="276"/>
      <c r="J199" s="276"/>
      <c r="K199" s="276"/>
      <c r="L199" s="276"/>
      <c r="P199" s="217" t="s">
        <v>68</v>
      </c>
      <c r="Q199" s="249">
        <v>22</v>
      </c>
      <c r="R199" s="217"/>
      <c r="S199" s="244">
        <f>(x_T/S198^2)/(1+(x_T*SIGMA_ZETA_1/N_5)*(S197/d^2)^2)</f>
        <v>0.64016670856714286</v>
      </c>
      <c r="T199" s="244">
        <f>(E$11/T198^2)/(1+(E$11*SIGMA_ZETA_1/N_5)*(T197/d^2)^2)</f>
        <v>0.63070620695430624</v>
      </c>
      <c r="U199" s="244">
        <f>(F$11/U198^2)/(1+(F$11*SIGMA_ZETA_1/N_5)*(U197/d^2)^2)</f>
        <v>0.60552142535129116</v>
      </c>
      <c r="V199" s="244">
        <f>(G$11/V198^2)/(1+(G$11*SIGMA_ZETA_1/N_5)*(V197/d^2)^2)</f>
        <v>0.54928483429762731</v>
      </c>
    </row>
    <row r="200" spans="1:22" ht="14" x14ac:dyDescent="0.3">
      <c r="A200" s="276"/>
      <c r="B200" s="276"/>
      <c r="C200" s="276"/>
      <c r="D200" s="276"/>
      <c r="E200" s="276"/>
      <c r="F200" s="276"/>
      <c r="G200" s="276"/>
      <c r="H200" s="276"/>
      <c r="I200" s="276"/>
      <c r="J200" s="276"/>
      <c r="K200" s="276"/>
      <c r="L200" s="276"/>
      <c r="P200" s="217" t="s">
        <v>26</v>
      </c>
      <c r="Q200" s="217">
        <v>12</v>
      </c>
      <c r="R200" s="217"/>
      <c r="S200" s="244">
        <f>1-(x/(3*F_GAMMA*S199))</f>
        <v>0.73965114955804345</v>
      </c>
      <c r="T200" s="244">
        <f>1-(T$4/(3*F_GAMMA*T199))</f>
        <v>0.71150788776117824</v>
      </c>
      <c r="U200" s="244">
        <f>1-(U$4/(3*F_GAMMA*U199))</f>
        <v>0.73764716033709266</v>
      </c>
      <c r="V200" s="244">
        <f>1-(V$4/(3*F_GAMMA*V199))</f>
        <v>0.77243136494049036</v>
      </c>
    </row>
    <row r="201" spans="1:22" ht="14" x14ac:dyDescent="0.3">
      <c r="A201" s="276"/>
      <c r="B201" s="276"/>
      <c r="C201" s="276"/>
      <c r="D201" s="276"/>
      <c r="E201" s="276"/>
      <c r="F201" s="276"/>
      <c r="G201" s="276"/>
      <c r="H201" s="276"/>
      <c r="I201" s="276"/>
      <c r="J201" s="276"/>
      <c r="K201" s="276"/>
      <c r="L201" s="276"/>
      <c r="P201" s="217" t="s">
        <v>71</v>
      </c>
      <c r="Q201" s="249">
        <v>5</v>
      </c>
      <c r="R201" s="217"/>
      <c r="S201" s="244">
        <f>W/(N_6*S198*S200*SQRT(x*P_1*RHO))</f>
        <v>4.9832592131647182</v>
      </c>
      <c r="T201" s="244">
        <f>E$4/(N_6*T198*T200*SQRT(T$4*E$5*E$8))</f>
        <v>9.9998223948371177</v>
      </c>
      <c r="U201" s="244">
        <f>F$4/(N_6*U198*U200*SQRT(U$4*F$5*F$8))</f>
        <v>26.475489836081493</v>
      </c>
      <c r="V201" s="244">
        <f>G$4/(N_6*V198*V200*SQRT(V$4*G$5*G$8))</f>
        <v>45.71356124775258</v>
      </c>
    </row>
    <row r="202" spans="1:22" ht="14" x14ac:dyDescent="0.3">
      <c r="A202" s="276"/>
      <c r="B202" s="276"/>
      <c r="C202" s="276"/>
      <c r="D202" s="276"/>
      <c r="E202" s="276"/>
      <c r="F202" s="276"/>
      <c r="G202" s="276"/>
      <c r="H202" s="276"/>
      <c r="I202" s="276"/>
      <c r="J202" s="276"/>
      <c r="K202" s="276"/>
      <c r="L202" s="276"/>
      <c r="P202" s="217" t="s">
        <v>73</v>
      </c>
      <c r="Q202" s="249">
        <v>5</v>
      </c>
      <c r="R202" s="217"/>
      <c r="S202" s="244">
        <f>W/(0.667*N_6*S198*SQRT(F_GAMMA*S199*P_1*RHO))</f>
        <v>4.883745685685752</v>
      </c>
      <c r="T202" s="244">
        <f>E$4/(0.667*N_6*T198*SQRT(F_GAMMA*T199*E$5*E$8))</f>
        <v>9.9237032915059942</v>
      </c>
      <c r="U202" s="244">
        <f>F$4/(0.667*N_6*U198*SQRT(F_GAMMA*U199*F$5*F$8))</f>
        <v>25.975885239278739</v>
      </c>
      <c r="V202" s="244">
        <f>G$4/(0.667*N_6*V198*SQRT(F_GAMMA*V199*G$5*G$8))</f>
        <v>43.741729608603976</v>
      </c>
    </row>
    <row r="203" spans="1:22" ht="14" x14ac:dyDescent="0.3">
      <c r="A203" s="276"/>
      <c r="B203" s="276"/>
      <c r="C203" s="276"/>
      <c r="D203" s="276"/>
      <c r="E203" s="276"/>
      <c r="F203" s="276"/>
      <c r="G203" s="276"/>
      <c r="H203" s="276"/>
      <c r="I203" s="276"/>
      <c r="J203" s="276"/>
      <c r="K203" s="276"/>
      <c r="L203" s="276"/>
      <c r="P203" s="217" t="s">
        <v>75</v>
      </c>
      <c r="Q203" s="249">
        <v>10</v>
      </c>
      <c r="R203" s="217"/>
      <c r="S203" s="244">
        <f>F_GAMMA*S199</f>
        <v>0.64016670856714286</v>
      </c>
      <c r="T203" s="244">
        <f>F_GAMMA*T199</f>
        <v>0.63070620695430624</v>
      </c>
      <c r="U203" s="244">
        <f>F_GAMMA*U199</f>
        <v>0.60552142535129116</v>
      </c>
      <c r="V203" s="244">
        <f>F_GAMMA*V199</f>
        <v>0.54928483429762731</v>
      </c>
    </row>
    <row r="204" spans="1:22" ht="14" x14ac:dyDescent="0.3">
      <c r="A204" s="276"/>
      <c r="B204" s="276"/>
      <c r="C204" s="276"/>
      <c r="D204" s="276"/>
      <c r="E204" s="276"/>
      <c r="F204" s="276"/>
      <c r="G204" s="276"/>
      <c r="H204" s="276"/>
      <c r="I204" s="276"/>
      <c r="J204" s="276"/>
      <c r="K204" s="276"/>
      <c r="L204" s="276"/>
      <c r="P204" s="217" t="s">
        <v>38</v>
      </c>
      <c r="Q204" s="249"/>
      <c r="S204" s="244">
        <f>IF(S$4&lt;S203,S201,S202)</f>
        <v>4.9832592131647182</v>
      </c>
      <c r="T204" s="244">
        <f>IF(T$4&lt;T203,T201,T202)</f>
        <v>9.9998223948371177</v>
      </c>
      <c r="U204" s="244">
        <f>IF(U$4&lt;U203,U201,U202)</f>
        <v>26.475489836081493</v>
      </c>
      <c r="V204" s="244">
        <f>IF(V$4&lt;V203,V201,V202)</f>
        <v>45.71356124775258</v>
      </c>
    </row>
    <row r="205" spans="1:22" ht="14" x14ac:dyDescent="0.3">
      <c r="A205" s="276"/>
      <c r="B205" s="276"/>
      <c r="C205" s="276"/>
      <c r="D205" s="276"/>
      <c r="E205" s="276"/>
      <c r="F205" s="276"/>
      <c r="G205" s="276"/>
      <c r="H205" s="276"/>
      <c r="I205" s="276"/>
      <c r="J205" s="276"/>
      <c r="K205" s="276"/>
      <c r="L205" s="276"/>
      <c r="P205" s="217"/>
      <c r="Q205" s="249"/>
      <c r="S205" s="244"/>
    </row>
    <row r="206" spans="1:22" ht="14" x14ac:dyDescent="0.3">
      <c r="A206" s="276"/>
      <c r="B206" s="276"/>
      <c r="C206" s="276"/>
      <c r="D206" s="276"/>
      <c r="E206" s="276"/>
      <c r="F206" s="276"/>
      <c r="G206" s="276"/>
      <c r="H206" s="276"/>
      <c r="I206" s="276"/>
      <c r="J206" s="276"/>
      <c r="K206" s="276"/>
      <c r="L206" s="276"/>
      <c r="P206" s="217" t="s">
        <v>63</v>
      </c>
      <c r="R206" s="217"/>
      <c r="S206" s="244">
        <f>S204</f>
        <v>4.9832592131647182</v>
      </c>
      <c r="T206" s="244">
        <f>T204</f>
        <v>9.9998223948371177</v>
      </c>
      <c r="U206" s="244">
        <f>U204</f>
        <v>26.475489836081493</v>
      </c>
      <c r="V206" s="244">
        <f>V204</f>
        <v>45.71356124775258</v>
      </c>
    </row>
    <row r="207" spans="1:22" ht="14" x14ac:dyDescent="0.3">
      <c r="A207" s="276"/>
      <c r="B207" s="276"/>
      <c r="C207" s="276"/>
      <c r="D207" s="276"/>
      <c r="E207" s="276"/>
      <c r="F207" s="276"/>
      <c r="G207" s="276"/>
      <c r="H207" s="276"/>
      <c r="I207" s="276"/>
      <c r="J207" s="276"/>
      <c r="K207" s="276"/>
      <c r="L207" s="276"/>
      <c r="P207" s="217" t="s">
        <v>66</v>
      </c>
      <c r="Q207" s="217">
        <v>15</v>
      </c>
      <c r="R207" s="217"/>
      <c r="S207" s="244">
        <f>1/(SQRT(1+(SIGMA_ZETA/N_2)*(S206/d^2)^2))</f>
        <v>0.99926511088487302</v>
      </c>
      <c r="T207" s="244">
        <f>1/(SQRT(1+(SIGMA_ZETA/N_2)*(T206/d^2)^2))</f>
        <v>0.99705059984201272</v>
      </c>
      <c r="U207" s="244">
        <f>1/(SQRT(1+(SIGMA_ZETA/N_2)*(U206/d^2)^2))</f>
        <v>0.97985883424024933</v>
      </c>
      <c r="V207" s="244">
        <f>1/(SQRT(1+(SIGMA_ZETA/N_2)*(V206/d^2)^2))</f>
        <v>0.94330350993868861</v>
      </c>
    </row>
    <row r="208" spans="1:22" ht="14" x14ac:dyDescent="0.3">
      <c r="A208" s="276"/>
      <c r="B208" s="276"/>
      <c r="C208" s="276"/>
      <c r="D208" s="276"/>
      <c r="E208" s="276"/>
      <c r="F208" s="276"/>
      <c r="G208" s="276"/>
      <c r="H208" s="276"/>
      <c r="I208" s="276"/>
      <c r="J208" s="276"/>
      <c r="K208" s="276"/>
      <c r="L208" s="276"/>
      <c r="P208" s="217" t="s">
        <v>68</v>
      </c>
      <c r="Q208" s="249">
        <v>22</v>
      </c>
      <c r="R208" s="217"/>
      <c r="S208" s="244">
        <f>(x_T/S207^2)/(1+(x_T*SIGMA_ZETA_1/N_5)*(S206/d^2)^2)</f>
        <v>0.64016670856714286</v>
      </c>
      <c r="T208" s="244">
        <f>(E$11/T207^2)/(1+(E$11*SIGMA_ZETA_1/N_5)*(T206/d^2)^2)</f>
        <v>0.63070620695430624</v>
      </c>
      <c r="U208" s="244">
        <f>(F$11/U207^2)/(1+(F$11*SIGMA_ZETA_1/N_5)*(U206/d^2)^2)</f>
        <v>0.60552142535129116</v>
      </c>
      <c r="V208" s="244">
        <f>(G$11/V207^2)/(1+(G$11*SIGMA_ZETA_1/N_5)*(V206/d^2)^2)</f>
        <v>0.54928483429762731</v>
      </c>
    </row>
    <row r="209" spans="1:22" ht="14" x14ac:dyDescent="0.3">
      <c r="A209" s="276"/>
      <c r="B209" s="276"/>
      <c r="C209" s="276"/>
      <c r="D209" s="276"/>
      <c r="E209" s="276"/>
      <c r="F209" s="276"/>
      <c r="G209" s="276"/>
      <c r="H209" s="276"/>
      <c r="I209" s="276"/>
      <c r="J209" s="276"/>
      <c r="K209" s="276"/>
      <c r="L209" s="276"/>
      <c r="P209" s="217" t="s">
        <v>26</v>
      </c>
      <c r="Q209" s="217">
        <v>12</v>
      </c>
      <c r="R209" s="217"/>
      <c r="S209" s="244">
        <f>1-(x/(3*F_GAMMA*S208))</f>
        <v>0.73965114955804345</v>
      </c>
      <c r="T209" s="244">
        <f>1-(T$4/(3*F_GAMMA*T208))</f>
        <v>0.71150788776117824</v>
      </c>
      <c r="U209" s="244">
        <f>1-(U$4/(3*F_GAMMA*U208))</f>
        <v>0.73764716033709266</v>
      </c>
      <c r="V209" s="244">
        <f>1-(V$4/(3*F_GAMMA*V208))</f>
        <v>0.77243136494049036</v>
      </c>
    </row>
    <row r="210" spans="1:22" ht="14" x14ac:dyDescent="0.3">
      <c r="A210" s="276"/>
      <c r="B210" s="276"/>
      <c r="C210" s="276"/>
      <c r="D210" s="276"/>
      <c r="E210" s="276"/>
      <c r="F210" s="276"/>
      <c r="G210" s="276"/>
      <c r="H210" s="276"/>
      <c r="I210" s="276"/>
      <c r="J210" s="276"/>
      <c r="K210" s="276"/>
      <c r="L210" s="276"/>
      <c r="P210" s="217" t="s">
        <v>71</v>
      </c>
      <c r="Q210" s="249">
        <v>5</v>
      </c>
      <c r="R210" s="217"/>
      <c r="S210" s="244">
        <f>W/(N_6*S207*S209*SQRT(x*P_1*RHO))</f>
        <v>4.9832592131647182</v>
      </c>
      <c r="T210" s="244">
        <f>E$4/(N_6*T207*T209*SQRT(T$4*E$5*E$8))</f>
        <v>9.9998223948371177</v>
      </c>
      <c r="U210" s="244">
        <f>F$4/(N_6*U207*U209*SQRT(U$4*F$5*F$8))</f>
        <v>26.475489836081493</v>
      </c>
      <c r="V210" s="244">
        <f>G$4/(N_6*V207*V209*SQRT(V$4*G$5*G$8))</f>
        <v>45.71356124775258</v>
      </c>
    </row>
    <row r="211" spans="1:22" ht="14" x14ac:dyDescent="0.3">
      <c r="A211" s="276"/>
      <c r="B211" s="276"/>
      <c r="C211" s="276"/>
      <c r="D211" s="276"/>
      <c r="E211" s="276"/>
      <c r="F211" s="276"/>
      <c r="G211" s="276"/>
      <c r="H211" s="276"/>
      <c r="I211" s="276"/>
      <c r="J211" s="276"/>
      <c r="K211" s="276"/>
      <c r="L211" s="276"/>
      <c r="P211" s="217" t="s">
        <v>73</v>
      </c>
      <c r="Q211" s="249">
        <v>5</v>
      </c>
      <c r="R211" s="217"/>
      <c r="S211" s="244">
        <f>W/(0.667*N_6*S207*SQRT(F_GAMMA*S208*P_1*RHO))</f>
        <v>4.883745685685752</v>
      </c>
      <c r="T211" s="244">
        <f>E$4/(0.667*N_6*T207*SQRT(F_GAMMA*T208*E$5*E$8))</f>
        <v>9.9237032915059942</v>
      </c>
      <c r="U211" s="244">
        <f>F$4/(0.667*N_6*U207*SQRT(F_GAMMA*U208*F$5*F$8))</f>
        <v>25.975885239278739</v>
      </c>
      <c r="V211" s="244">
        <f>G$4/(0.667*N_6*V207*SQRT(F_GAMMA*V208*G$5*G$8))</f>
        <v>43.741729608603976</v>
      </c>
    </row>
    <row r="212" spans="1:22" ht="14" x14ac:dyDescent="0.3">
      <c r="A212" s="276"/>
      <c r="B212" s="276"/>
      <c r="C212" s="276"/>
      <c r="D212" s="276"/>
      <c r="E212" s="276"/>
      <c r="F212" s="276"/>
      <c r="G212" s="276"/>
      <c r="H212" s="276"/>
      <c r="I212" s="276"/>
      <c r="J212" s="276"/>
      <c r="K212" s="276"/>
      <c r="L212" s="276"/>
      <c r="P212" s="217" t="s">
        <v>75</v>
      </c>
      <c r="Q212" s="249">
        <v>10</v>
      </c>
      <c r="R212" s="217"/>
      <c r="S212" s="244">
        <f>F_GAMMA*S208</f>
        <v>0.64016670856714286</v>
      </c>
      <c r="T212" s="244">
        <f>F_GAMMA*T208</f>
        <v>0.63070620695430624</v>
      </c>
      <c r="U212" s="244">
        <f>F_GAMMA*U208</f>
        <v>0.60552142535129116</v>
      </c>
      <c r="V212" s="244">
        <f>F_GAMMA*V208</f>
        <v>0.54928483429762731</v>
      </c>
    </row>
    <row r="213" spans="1:22" ht="14" x14ac:dyDescent="0.3">
      <c r="A213" s="276"/>
      <c r="B213" s="276"/>
      <c r="C213" s="276"/>
      <c r="D213" s="276"/>
      <c r="E213" s="276"/>
      <c r="F213" s="276"/>
      <c r="G213" s="276"/>
      <c r="H213" s="276"/>
      <c r="I213" s="276"/>
      <c r="J213" s="276"/>
      <c r="K213" s="276"/>
      <c r="L213" s="276"/>
      <c r="P213" s="217" t="s">
        <v>38</v>
      </c>
      <c r="Q213" s="249"/>
      <c r="S213" s="244">
        <f>IF(S$4&lt;S212,S210,S211)</f>
        <v>4.9832592131647182</v>
      </c>
      <c r="T213" s="244">
        <f>IF(T$4&lt;T212,T210,T211)</f>
        <v>9.9998223948371177</v>
      </c>
      <c r="U213" s="244">
        <f>IF(U$4&lt;U212,U210,U211)</f>
        <v>26.475489836081493</v>
      </c>
      <c r="V213" s="244">
        <f>IF(V$4&lt;V212,V210,V211)</f>
        <v>45.71356124775258</v>
      </c>
    </row>
    <row r="214" spans="1:22" ht="14" x14ac:dyDescent="0.3">
      <c r="A214" s="276"/>
      <c r="B214" s="276"/>
      <c r="C214" s="276"/>
      <c r="D214" s="276"/>
      <c r="E214" s="276"/>
      <c r="F214" s="276"/>
      <c r="G214" s="276"/>
      <c r="H214" s="276"/>
      <c r="I214" s="276"/>
      <c r="J214" s="276"/>
      <c r="K214" s="276"/>
      <c r="L214" s="276"/>
      <c r="P214" s="217"/>
      <c r="Q214" s="249"/>
      <c r="S214" s="244"/>
      <c r="T214" s="244"/>
      <c r="U214" s="244"/>
      <c r="V214" s="244"/>
    </row>
    <row r="215" spans="1:22" ht="14" x14ac:dyDescent="0.3">
      <c r="A215" s="276"/>
      <c r="B215" s="276"/>
      <c r="C215" s="276"/>
      <c r="D215" s="276"/>
      <c r="E215" s="276"/>
      <c r="F215" s="276"/>
      <c r="G215" s="276"/>
      <c r="H215" s="276"/>
      <c r="I215" s="276"/>
      <c r="J215" s="276"/>
      <c r="K215" s="276"/>
      <c r="L215" s="276"/>
      <c r="P215" s="217" t="s">
        <v>63</v>
      </c>
      <c r="R215" s="217"/>
      <c r="S215" s="244">
        <f>S213</f>
        <v>4.9832592131647182</v>
      </c>
      <c r="T215" s="244">
        <f>T213</f>
        <v>9.9998223948371177</v>
      </c>
      <c r="U215" s="244">
        <f>U213</f>
        <v>26.475489836081493</v>
      </c>
      <c r="V215" s="244">
        <f>V213</f>
        <v>45.71356124775258</v>
      </c>
    </row>
    <row r="216" spans="1:22" ht="14" x14ac:dyDescent="0.3">
      <c r="A216" s="276"/>
      <c r="B216" s="276"/>
      <c r="C216" s="276"/>
      <c r="D216" s="276"/>
      <c r="E216" s="276"/>
      <c r="F216" s="276"/>
      <c r="G216" s="276"/>
      <c r="H216" s="276"/>
      <c r="I216" s="276"/>
      <c r="J216" s="276"/>
      <c r="K216" s="276"/>
      <c r="L216" s="276"/>
      <c r="P216" s="217" t="s">
        <v>66</v>
      </c>
      <c r="Q216" s="217">
        <v>15</v>
      </c>
      <c r="R216" s="217"/>
      <c r="S216" s="244">
        <f>1/(SQRT(1+(SIGMA_ZETA/N_2)*(S215/d^2)^2))</f>
        <v>0.99926511088487302</v>
      </c>
      <c r="T216" s="244">
        <f>1/(SQRT(1+(SIGMA_ZETA/N_2)*(T215/d^2)^2))</f>
        <v>0.99705059984201272</v>
      </c>
      <c r="U216" s="244">
        <f>1/(SQRT(1+(SIGMA_ZETA/N_2)*(U215/d^2)^2))</f>
        <v>0.97985883424024933</v>
      </c>
      <c r="V216" s="244">
        <f>1/(SQRT(1+(SIGMA_ZETA/N_2)*(V215/d^2)^2))</f>
        <v>0.94330350993868861</v>
      </c>
    </row>
    <row r="217" spans="1:22" ht="14" x14ac:dyDescent="0.3">
      <c r="A217" s="276"/>
      <c r="B217" s="276"/>
      <c r="C217" s="276"/>
      <c r="D217" s="276"/>
      <c r="E217" s="276"/>
      <c r="F217" s="276"/>
      <c r="G217" s="276"/>
      <c r="H217" s="276"/>
      <c r="I217" s="276"/>
      <c r="J217" s="276"/>
      <c r="K217" s="276"/>
      <c r="L217" s="276"/>
      <c r="P217" s="217" t="s">
        <v>68</v>
      </c>
      <c r="Q217" s="249">
        <v>22</v>
      </c>
      <c r="R217" s="217"/>
      <c r="S217" s="244">
        <f>(x_T/S216^2)/(1+(x_T*SIGMA_ZETA_1/N_5)*(S215/d^2)^2)</f>
        <v>0.64016670856714286</v>
      </c>
      <c r="T217" s="244">
        <f>(E$11/T216^2)/(1+(E$11*SIGMA_ZETA_1/N_5)*(T215/d^2)^2)</f>
        <v>0.63070620695430624</v>
      </c>
      <c r="U217" s="244">
        <f>(F$11/U216^2)/(1+(F$11*SIGMA_ZETA_1/N_5)*(U215/d^2)^2)</f>
        <v>0.60552142535129116</v>
      </c>
      <c r="V217" s="244">
        <f>(G$11/V216^2)/(1+(G$11*SIGMA_ZETA_1/N_5)*(V215/d^2)^2)</f>
        <v>0.54928483429762731</v>
      </c>
    </row>
    <row r="218" spans="1:22" ht="14" x14ac:dyDescent="0.3">
      <c r="A218" s="276"/>
      <c r="B218" s="276"/>
      <c r="C218" s="276"/>
      <c r="D218" s="276"/>
      <c r="E218" s="276"/>
      <c r="F218" s="276"/>
      <c r="G218" s="276"/>
      <c r="H218" s="276"/>
      <c r="I218" s="276"/>
      <c r="J218" s="276"/>
      <c r="K218" s="276"/>
      <c r="L218" s="276"/>
      <c r="P218" s="217" t="s">
        <v>26</v>
      </c>
      <c r="Q218" s="217">
        <v>12</v>
      </c>
      <c r="R218" s="217"/>
      <c r="S218" s="244">
        <f>1-(x/(3*F_GAMMA*S217))</f>
        <v>0.73965114955804345</v>
      </c>
      <c r="T218" s="244">
        <f>1-(T$4/(3*F_GAMMA*T217))</f>
        <v>0.71150788776117824</v>
      </c>
      <c r="U218" s="244">
        <f>1-(U$4/(3*F_GAMMA*U217))</f>
        <v>0.73764716033709266</v>
      </c>
      <c r="V218" s="244">
        <f>1-(V$4/(3*F_GAMMA*V217))</f>
        <v>0.77243136494049036</v>
      </c>
    </row>
    <row r="219" spans="1:22" ht="14" x14ac:dyDescent="0.3">
      <c r="A219" s="276"/>
      <c r="B219" s="276"/>
      <c r="C219" s="276"/>
      <c r="D219" s="276"/>
      <c r="E219" s="276"/>
      <c r="F219" s="276"/>
      <c r="G219" s="276"/>
      <c r="H219" s="276"/>
      <c r="I219" s="276"/>
      <c r="J219" s="276"/>
      <c r="K219" s="276"/>
      <c r="L219" s="276"/>
      <c r="P219" s="217" t="s">
        <v>71</v>
      </c>
      <c r="Q219" s="249">
        <v>5</v>
      </c>
      <c r="R219" s="217"/>
      <c r="S219" s="244">
        <f>W/(N_6*S216*S218*SQRT(x*P_1*RHO))</f>
        <v>4.9832592131647182</v>
      </c>
      <c r="T219" s="244">
        <f>E$4/(N_6*T216*T218*SQRT(T$4*E$5*E$8))</f>
        <v>9.9998223948371177</v>
      </c>
      <c r="U219" s="244">
        <f>F$4/(N_6*U216*U218*SQRT(U$4*F$5*F$8))</f>
        <v>26.475489836081493</v>
      </c>
      <c r="V219" s="244">
        <f>G$4/(N_6*V216*V218*SQRT(V$4*G$5*G$8))</f>
        <v>45.71356124775258</v>
      </c>
    </row>
    <row r="220" spans="1:22" ht="14" x14ac:dyDescent="0.3">
      <c r="A220" s="276"/>
      <c r="B220" s="276"/>
      <c r="C220" s="276"/>
      <c r="D220" s="276"/>
      <c r="E220" s="276"/>
      <c r="F220" s="276"/>
      <c r="G220" s="276"/>
      <c r="H220" s="276"/>
      <c r="I220" s="276"/>
      <c r="J220" s="276"/>
      <c r="K220" s="276"/>
      <c r="L220" s="276"/>
      <c r="P220" s="217" t="s">
        <v>73</v>
      </c>
      <c r="Q220" s="249">
        <v>5</v>
      </c>
      <c r="R220" s="217"/>
      <c r="S220" s="244">
        <f>W/(0.667*N_6*S216*SQRT(F_GAMMA*S217*P_1*RHO))</f>
        <v>4.883745685685752</v>
      </c>
      <c r="T220" s="244">
        <f>E$4/(0.667*N_6*T216*SQRT(F_GAMMA*T217*E$5*E$8))</f>
        <v>9.9237032915059942</v>
      </c>
      <c r="U220" s="244">
        <f>F$4/(0.667*N_6*U216*SQRT(F_GAMMA*U217*F$5*F$8))</f>
        <v>25.975885239278739</v>
      </c>
      <c r="V220" s="244">
        <f>G$4/(0.667*N_6*V216*SQRT(F_GAMMA*V217*G$5*G$8))</f>
        <v>43.741729608603976</v>
      </c>
    </row>
    <row r="221" spans="1:22" ht="14" x14ac:dyDescent="0.3">
      <c r="A221" s="276"/>
      <c r="B221" s="276"/>
      <c r="C221" s="276"/>
      <c r="D221" s="276"/>
      <c r="E221" s="276"/>
      <c r="F221" s="276"/>
      <c r="G221" s="276"/>
      <c r="H221" s="276"/>
      <c r="I221" s="276"/>
      <c r="J221" s="276"/>
      <c r="K221" s="276"/>
      <c r="L221" s="276"/>
      <c r="P221" s="217" t="s">
        <v>75</v>
      </c>
      <c r="Q221" s="249">
        <v>10</v>
      </c>
      <c r="R221" s="217"/>
      <c r="S221" s="244">
        <f>F_GAMMA*S217</f>
        <v>0.64016670856714286</v>
      </c>
      <c r="T221" s="244">
        <f>F_GAMMA*T217</f>
        <v>0.63070620695430624</v>
      </c>
      <c r="U221" s="244">
        <f>F_GAMMA*U217</f>
        <v>0.60552142535129116</v>
      </c>
      <c r="V221" s="244">
        <f>F_GAMMA*V217</f>
        <v>0.54928483429762731</v>
      </c>
    </row>
    <row r="222" spans="1:22" ht="14" x14ac:dyDescent="0.3">
      <c r="A222" s="276"/>
      <c r="B222" s="276"/>
      <c r="C222" s="276"/>
      <c r="D222" s="276"/>
      <c r="E222" s="276"/>
      <c r="F222" s="276"/>
      <c r="G222" s="276"/>
      <c r="H222" s="276"/>
      <c r="I222" s="276"/>
      <c r="J222" s="276"/>
      <c r="K222" s="276"/>
      <c r="L222" s="276"/>
      <c r="P222" s="217" t="s">
        <v>38</v>
      </c>
      <c r="Q222" s="249"/>
      <c r="S222" s="244">
        <f>IF(S$4&lt;S221,S219,S220)</f>
        <v>4.9832592131647182</v>
      </c>
      <c r="T222" s="244">
        <f>IF(T$4&lt;T221,T219,T220)</f>
        <v>9.9998223948371177</v>
      </c>
      <c r="U222" s="244">
        <f>IF(U$4&lt;U221,U219,U220)</f>
        <v>26.475489836081493</v>
      </c>
      <c r="V222" s="244">
        <f>IF(V$4&lt;V221,V219,V220)</f>
        <v>45.71356124775258</v>
      </c>
    </row>
    <row r="223" spans="1:22" ht="14" x14ac:dyDescent="0.3">
      <c r="A223" s="276"/>
      <c r="B223" s="276"/>
      <c r="C223" s="276"/>
      <c r="D223" s="276"/>
      <c r="E223" s="276"/>
      <c r="F223" s="276"/>
      <c r="G223" s="276"/>
      <c r="H223" s="276"/>
      <c r="I223" s="276"/>
      <c r="J223" s="276"/>
      <c r="K223" s="276"/>
      <c r="L223" s="276"/>
      <c r="P223" s="217"/>
      <c r="Q223" s="249"/>
      <c r="S223" s="244"/>
      <c r="T223" s="244"/>
      <c r="U223" s="244"/>
      <c r="V223" s="244"/>
    </row>
    <row r="224" spans="1:22" ht="14" x14ac:dyDescent="0.3">
      <c r="A224" s="276"/>
      <c r="B224" s="276"/>
      <c r="C224" s="276"/>
      <c r="D224" s="276"/>
      <c r="E224" s="276"/>
      <c r="F224" s="276"/>
      <c r="G224" s="276"/>
      <c r="H224" s="276"/>
      <c r="I224" s="276"/>
      <c r="J224" s="276"/>
      <c r="K224" s="276"/>
      <c r="L224" s="276"/>
      <c r="P224" s="217" t="s">
        <v>63</v>
      </c>
      <c r="R224" s="217"/>
      <c r="S224" s="244">
        <f>S222</f>
        <v>4.9832592131647182</v>
      </c>
      <c r="T224" s="244">
        <f>T222</f>
        <v>9.9998223948371177</v>
      </c>
      <c r="U224" s="244">
        <f>U222</f>
        <v>26.475489836081493</v>
      </c>
      <c r="V224" s="244">
        <f>V222</f>
        <v>45.71356124775258</v>
      </c>
    </row>
    <row r="225" spans="1:22" ht="14" x14ac:dyDescent="0.3">
      <c r="A225" s="276"/>
      <c r="B225" s="276"/>
      <c r="C225" s="276"/>
      <c r="D225" s="276"/>
      <c r="E225" s="276"/>
      <c r="F225" s="276"/>
      <c r="G225" s="276"/>
      <c r="H225" s="276"/>
      <c r="I225" s="276"/>
      <c r="J225" s="276"/>
      <c r="K225" s="276"/>
      <c r="L225" s="276"/>
      <c r="P225" s="217" t="s">
        <v>66</v>
      </c>
      <c r="Q225" s="217">
        <v>15</v>
      </c>
      <c r="R225" s="217"/>
      <c r="S225" s="244">
        <f>1/(SQRT(1+(SIGMA_ZETA/N_2)*(S224/d^2)^2))</f>
        <v>0.99926511088487302</v>
      </c>
      <c r="T225" s="244">
        <f>1/(SQRT(1+(SIGMA_ZETA/N_2)*(T224/d^2)^2))</f>
        <v>0.99705059984201272</v>
      </c>
      <c r="U225" s="244">
        <f>1/(SQRT(1+(SIGMA_ZETA/N_2)*(U224/d^2)^2))</f>
        <v>0.97985883424024933</v>
      </c>
      <c r="V225" s="244">
        <f>1/(SQRT(1+(SIGMA_ZETA/N_2)*(V224/d^2)^2))</f>
        <v>0.94330350993868861</v>
      </c>
    </row>
    <row r="226" spans="1:22" ht="14" x14ac:dyDescent="0.3">
      <c r="A226" s="276"/>
      <c r="B226" s="276"/>
      <c r="C226" s="276"/>
      <c r="D226" s="276"/>
      <c r="E226" s="276"/>
      <c r="F226" s="276"/>
      <c r="G226" s="276"/>
      <c r="H226" s="276"/>
      <c r="I226" s="276"/>
      <c r="J226" s="276"/>
      <c r="K226" s="276"/>
      <c r="L226" s="276"/>
      <c r="P226" s="217" t="s">
        <v>68</v>
      </c>
      <c r="Q226" s="249">
        <v>22</v>
      </c>
      <c r="R226" s="217"/>
      <c r="S226" s="244">
        <f>(x_T/S225^2)/(1+(x_T*SIGMA_ZETA_1/N_5)*(S224/d^2)^2)</f>
        <v>0.64016670856714286</v>
      </c>
      <c r="T226" s="244">
        <f>(E$11/T225^2)/(1+(E$11*SIGMA_ZETA_1/N_5)*(T224/d^2)^2)</f>
        <v>0.63070620695430624</v>
      </c>
      <c r="U226" s="244">
        <f>(F$11/U225^2)/(1+(F$11*SIGMA_ZETA_1/N_5)*(U224/d^2)^2)</f>
        <v>0.60552142535129116</v>
      </c>
      <c r="V226" s="244">
        <f>(G$11/V225^2)/(1+(G$11*SIGMA_ZETA_1/N_5)*(V224/d^2)^2)</f>
        <v>0.54928483429762731</v>
      </c>
    </row>
    <row r="227" spans="1:22" ht="14" x14ac:dyDescent="0.3">
      <c r="A227" s="276"/>
      <c r="B227" s="276"/>
      <c r="C227" s="276"/>
      <c r="D227" s="276"/>
      <c r="E227" s="276"/>
      <c r="F227" s="276"/>
      <c r="G227" s="276"/>
      <c r="H227" s="276"/>
      <c r="I227" s="276"/>
      <c r="J227" s="276"/>
      <c r="K227" s="276"/>
      <c r="L227" s="276"/>
      <c r="P227" s="217" t="s">
        <v>26</v>
      </c>
      <c r="Q227" s="217">
        <v>12</v>
      </c>
      <c r="R227" s="217"/>
      <c r="S227" s="244">
        <f>1-(x/(3*F_GAMMA*S226))</f>
        <v>0.73965114955804345</v>
      </c>
      <c r="T227" s="244">
        <f>1-(T$4/(3*F_GAMMA*T226))</f>
        <v>0.71150788776117824</v>
      </c>
      <c r="U227" s="244">
        <f>1-(U$4/(3*F_GAMMA*U226))</f>
        <v>0.73764716033709266</v>
      </c>
      <c r="V227" s="244">
        <f>1-(V$4/(3*F_GAMMA*V226))</f>
        <v>0.77243136494049036</v>
      </c>
    </row>
    <row r="228" spans="1:22" ht="14" x14ac:dyDescent="0.3">
      <c r="A228" s="276"/>
      <c r="B228" s="276"/>
      <c r="C228" s="276"/>
      <c r="D228" s="276"/>
      <c r="E228" s="276"/>
      <c r="F228" s="276"/>
      <c r="G228" s="276"/>
      <c r="H228" s="276"/>
      <c r="I228" s="276"/>
      <c r="J228" s="276"/>
      <c r="K228" s="276"/>
      <c r="L228" s="276"/>
      <c r="P228" s="217" t="s">
        <v>71</v>
      </c>
      <c r="Q228" s="249">
        <v>5</v>
      </c>
      <c r="R228" s="217"/>
      <c r="S228" s="244">
        <f>W/(N_6*S225*S227*SQRT(x*P_1*RHO))</f>
        <v>4.9832592131647182</v>
      </c>
      <c r="T228" s="244">
        <f>E$4/(N_6*T225*T227*SQRT(T$4*E$5*E$8))</f>
        <v>9.9998223948371177</v>
      </c>
      <c r="U228" s="244">
        <f>F$4/(N_6*U225*U227*SQRT(U$4*F$5*F$8))</f>
        <v>26.475489836081493</v>
      </c>
      <c r="V228" s="244">
        <f>G$4/(N_6*V225*V227*SQRT(V$4*G$5*G$8))</f>
        <v>45.71356124775258</v>
      </c>
    </row>
    <row r="229" spans="1:22" ht="14" x14ac:dyDescent="0.3">
      <c r="A229" s="276"/>
      <c r="B229" s="276"/>
      <c r="C229" s="276"/>
      <c r="D229" s="276"/>
      <c r="E229" s="276"/>
      <c r="F229" s="276"/>
      <c r="G229" s="276"/>
      <c r="H229" s="276"/>
      <c r="I229" s="276"/>
      <c r="J229" s="276"/>
      <c r="K229" s="276"/>
      <c r="L229" s="276"/>
      <c r="P229" s="217" t="s">
        <v>73</v>
      </c>
      <c r="Q229" s="249">
        <v>5</v>
      </c>
      <c r="R229" s="217"/>
      <c r="S229" s="244">
        <f>W/(0.667*N_6*S225*SQRT(F_GAMMA*S226*P_1*RHO))</f>
        <v>4.883745685685752</v>
      </c>
      <c r="T229" s="244">
        <f>E$4/(0.667*N_6*T225*SQRT(F_GAMMA*T226*E$5*E$8))</f>
        <v>9.9237032915059942</v>
      </c>
      <c r="U229" s="244">
        <f>F$4/(0.667*N_6*U225*SQRT(F_GAMMA*U226*F$5*F$8))</f>
        <v>25.975885239278739</v>
      </c>
      <c r="V229" s="244">
        <f>G$4/(0.667*N_6*V225*SQRT(F_GAMMA*V226*G$5*G$8))</f>
        <v>43.741729608603976</v>
      </c>
    </row>
    <row r="230" spans="1:22" ht="14" x14ac:dyDescent="0.3">
      <c r="A230" s="276"/>
      <c r="B230" s="276"/>
      <c r="C230" s="276"/>
      <c r="D230" s="276"/>
      <c r="E230" s="276"/>
      <c r="F230" s="276"/>
      <c r="G230" s="276"/>
      <c r="H230" s="276"/>
      <c r="I230" s="276"/>
      <c r="J230" s="276"/>
      <c r="K230" s="276"/>
      <c r="L230" s="276"/>
      <c r="P230" s="217" t="s">
        <v>75</v>
      </c>
      <c r="Q230" s="249">
        <v>10</v>
      </c>
      <c r="R230" s="217"/>
      <c r="S230" s="244">
        <f>F_GAMMA*S226</f>
        <v>0.64016670856714286</v>
      </c>
      <c r="T230" s="244">
        <f>F_GAMMA*T226</f>
        <v>0.63070620695430624</v>
      </c>
      <c r="U230" s="244">
        <f>F_GAMMA*U226</f>
        <v>0.60552142535129116</v>
      </c>
      <c r="V230" s="244">
        <f>F_GAMMA*V226</f>
        <v>0.54928483429762731</v>
      </c>
    </row>
    <row r="231" spans="1:22" ht="14" x14ac:dyDescent="0.3">
      <c r="A231" s="276"/>
      <c r="B231" s="276"/>
      <c r="C231" s="276"/>
      <c r="D231" s="276"/>
      <c r="E231" s="276"/>
      <c r="F231" s="276"/>
      <c r="G231" s="276"/>
      <c r="H231" s="276"/>
      <c r="I231" s="276"/>
      <c r="J231" s="276"/>
      <c r="K231" s="276"/>
      <c r="L231" s="276"/>
      <c r="P231" s="217" t="s">
        <v>38</v>
      </c>
      <c r="Q231" s="249"/>
      <c r="S231" s="244">
        <f>IF(S$4&lt;S230,S228,S229)</f>
        <v>4.9832592131647182</v>
      </c>
      <c r="T231" s="244">
        <f>IF(T$4&lt;T230,T228,T229)</f>
        <v>9.9998223948371177</v>
      </c>
      <c r="U231" s="244">
        <f>IF(U$4&lt;U230,U228,U229)</f>
        <v>26.475489836081493</v>
      </c>
      <c r="V231" s="244">
        <f>IF(V$4&lt;V230,V228,V229)</f>
        <v>45.71356124775258</v>
      </c>
    </row>
    <row r="232" spans="1:22" ht="14" x14ac:dyDescent="0.3">
      <c r="A232" s="276"/>
      <c r="B232" s="276"/>
      <c r="C232" s="276"/>
      <c r="D232" s="276"/>
      <c r="E232" s="276"/>
      <c r="F232" s="276"/>
      <c r="G232" s="276"/>
      <c r="H232" s="276"/>
      <c r="I232" s="276"/>
      <c r="J232" s="276"/>
      <c r="K232" s="276"/>
      <c r="L232" s="276"/>
      <c r="P232" s="217"/>
      <c r="Q232" s="249"/>
      <c r="S232" s="244"/>
      <c r="T232" s="244"/>
      <c r="U232" s="244"/>
      <c r="V232" s="244"/>
    </row>
    <row r="233" spans="1:22" ht="14" x14ac:dyDescent="0.3">
      <c r="A233" s="276"/>
      <c r="B233" s="276"/>
      <c r="C233" s="276"/>
      <c r="D233" s="276"/>
      <c r="E233" s="276"/>
      <c r="F233" s="276"/>
      <c r="G233" s="276"/>
      <c r="H233" s="276"/>
      <c r="I233" s="276"/>
      <c r="J233" s="276"/>
      <c r="K233" s="276"/>
      <c r="L233" s="276"/>
      <c r="P233" s="217" t="s">
        <v>63</v>
      </c>
      <c r="R233" s="217"/>
      <c r="S233" s="244">
        <f>S231</f>
        <v>4.9832592131647182</v>
      </c>
      <c r="T233" s="244">
        <f>T231</f>
        <v>9.9998223948371177</v>
      </c>
      <c r="U233" s="244">
        <f>U231</f>
        <v>26.475489836081493</v>
      </c>
      <c r="V233" s="244">
        <f>V231</f>
        <v>45.71356124775258</v>
      </c>
    </row>
    <row r="234" spans="1:22" ht="14" x14ac:dyDescent="0.3">
      <c r="A234" s="276"/>
      <c r="B234" s="276"/>
      <c r="C234" s="276"/>
      <c r="D234" s="276"/>
      <c r="E234" s="276"/>
      <c r="F234" s="276"/>
      <c r="G234" s="276"/>
      <c r="H234" s="276"/>
      <c r="I234" s="276"/>
      <c r="J234" s="276"/>
      <c r="K234" s="276"/>
      <c r="L234" s="276"/>
      <c r="P234" s="217" t="s">
        <v>66</v>
      </c>
      <c r="Q234" s="217">
        <v>15</v>
      </c>
      <c r="R234" s="217"/>
      <c r="S234" s="244">
        <f>1/(SQRT(1+(SIGMA_ZETA/N_2)*(S233/d^2)^2))</f>
        <v>0.99926511088487302</v>
      </c>
      <c r="T234" s="244">
        <f>1/(SQRT(1+(SIGMA_ZETA/N_2)*(T233/d^2)^2))</f>
        <v>0.99705059984201272</v>
      </c>
      <c r="U234" s="244">
        <f>1/(SQRT(1+(SIGMA_ZETA/N_2)*(U233/d^2)^2))</f>
        <v>0.97985883424024933</v>
      </c>
      <c r="V234" s="244">
        <f>1/(SQRT(1+(SIGMA_ZETA/N_2)*(V233/d^2)^2))</f>
        <v>0.94330350993868861</v>
      </c>
    </row>
    <row r="235" spans="1:22" ht="14" x14ac:dyDescent="0.3">
      <c r="A235" s="276"/>
      <c r="B235" s="276"/>
      <c r="C235" s="276"/>
      <c r="D235" s="276"/>
      <c r="E235" s="276"/>
      <c r="F235" s="276"/>
      <c r="G235" s="276"/>
      <c r="H235" s="276"/>
      <c r="I235" s="276"/>
      <c r="J235" s="276"/>
      <c r="K235" s="276"/>
      <c r="L235" s="276"/>
      <c r="P235" s="217" t="s">
        <v>68</v>
      </c>
      <c r="Q235" s="249">
        <v>22</v>
      </c>
      <c r="R235" s="217"/>
      <c r="S235" s="244">
        <f>(x_T/S234^2)/(1+(x_T*SIGMA_ZETA_1/N_5)*(S233/d^2)^2)</f>
        <v>0.64016670856714286</v>
      </c>
      <c r="T235" s="244">
        <f>(E$11/T234^2)/(1+(E$11*SIGMA_ZETA_1/N_5)*(T233/d^2)^2)</f>
        <v>0.63070620695430624</v>
      </c>
      <c r="U235" s="244">
        <f>(F$11/U234^2)/(1+(F$11*SIGMA_ZETA_1/N_5)*(U233/d^2)^2)</f>
        <v>0.60552142535129116</v>
      </c>
      <c r="V235" s="244">
        <f>(G$11/V234^2)/(1+(G$11*SIGMA_ZETA_1/N_5)*(V233/d^2)^2)</f>
        <v>0.54928483429762731</v>
      </c>
    </row>
    <row r="236" spans="1:22" ht="14" x14ac:dyDescent="0.3">
      <c r="A236" s="276"/>
      <c r="B236" s="276"/>
      <c r="C236" s="276"/>
      <c r="D236" s="276"/>
      <c r="E236" s="276"/>
      <c r="F236" s="276"/>
      <c r="G236" s="276"/>
      <c r="H236" s="276"/>
      <c r="I236" s="276"/>
      <c r="J236" s="276"/>
      <c r="K236" s="276"/>
      <c r="L236" s="276"/>
      <c r="P236" s="217" t="s">
        <v>26</v>
      </c>
      <c r="Q236" s="217">
        <v>12</v>
      </c>
      <c r="R236" s="217"/>
      <c r="S236" s="244">
        <f>1-(x/(3*F_GAMMA*S235))</f>
        <v>0.73965114955804345</v>
      </c>
      <c r="T236" s="244">
        <f>1-(T$4/(3*F_GAMMA*T235))</f>
        <v>0.71150788776117824</v>
      </c>
      <c r="U236" s="244">
        <f>1-(U$4/(3*F_GAMMA*U235))</f>
        <v>0.73764716033709266</v>
      </c>
      <c r="V236" s="244">
        <f>1-(V$4/(3*F_GAMMA*V235))</f>
        <v>0.77243136494049036</v>
      </c>
    </row>
    <row r="237" spans="1:22" ht="14" x14ac:dyDescent="0.3">
      <c r="A237" s="276"/>
      <c r="B237" s="276"/>
      <c r="C237" s="276"/>
      <c r="D237" s="276"/>
      <c r="E237" s="276"/>
      <c r="F237" s="276"/>
      <c r="G237" s="276"/>
      <c r="H237" s="276"/>
      <c r="I237" s="276"/>
      <c r="J237" s="276"/>
      <c r="K237" s="276"/>
      <c r="L237" s="276"/>
      <c r="P237" s="217" t="s">
        <v>71</v>
      </c>
      <c r="Q237" s="249">
        <v>5</v>
      </c>
      <c r="R237" s="217"/>
      <c r="S237" s="244">
        <f>W/(N_6*S234*S236*SQRT(x*P_1*RHO))</f>
        <v>4.9832592131647182</v>
      </c>
      <c r="T237" s="244">
        <f>E$4/(N_6*T234*T236*SQRT(T$4*E$5*E$8))</f>
        <v>9.9998223948371177</v>
      </c>
      <c r="U237" s="244">
        <f>F$4/(N_6*U234*U236*SQRT(U$4*F$5*F$8))</f>
        <v>26.475489836081493</v>
      </c>
      <c r="V237" s="244">
        <f>G$4/(N_6*V234*V236*SQRT(V$4*G$5*G$8))</f>
        <v>45.71356124775258</v>
      </c>
    </row>
    <row r="238" spans="1:22" ht="14" x14ac:dyDescent="0.3">
      <c r="A238" s="276"/>
      <c r="B238" s="276"/>
      <c r="C238" s="276"/>
      <c r="D238" s="276"/>
      <c r="E238" s="276"/>
      <c r="F238" s="276"/>
      <c r="G238" s="276"/>
      <c r="H238" s="276"/>
      <c r="I238" s="276"/>
      <c r="J238" s="276"/>
      <c r="K238" s="276"/>
      <c r="L238" s="276"/>
      <c r="P238" s="217" t="s">
        <v>73</v>
      </c>
      <c r="Q238" s="249">
        <v>5</v>
      </c>
      <c r="R238" s="217"/>
      <c r="S238" s="244">
        <f>W/(0.667*N_6*S234*SQRT(F_GAMMA*S235*P_1*RHO))</f>
        <v>4.883745685685752</v>
      </c>
      <c r="T238" s="244">
        <f>E$4/(0.667*N_6*T234*SQRT(F_GAMMA*T235*E$5*E$8))</f>
        <v>9.9237032915059942</v>
      </c>
      <c r="U238" s="244">
        <f>F$4/(0.667*N_6*U234*SQRT(F_GAMMA*U235*F$5*F$8))</f>
        <v>25.975885239278739</v>
      </c>
      <c r="V238" s="244">
        <f>G$4/(0.667*N_6*V234*SQRT(F_GAMMA*V235*G$5*G$8))</f>
        <v>43.741729608603976</v>
      </c>
    </row>
    <row r="239" spans="1:22" ht="14" x14ac:dyDescent="0.3">
      <c r="A239" s="276"/>
      <c r="B239" s="276"/>
      <c r="C239" s="276"/>
      <c r="D239" s="276"/>
      <c r="E239" s="276"/>
      <c r="F239" s="276"/>
      <c r="G239" s="276"/>
      <c r="H239" s="276"/>
      <c r="I239" s="276"/>
      <c r="J239" s="276"/>
      <c r="K239" s="276"/>
      <c r="L239" s="276"/>
      <c r="P239" s="217" t="s">
        <v>75</v>
      </c>
      <c r="Q239" s="249">
        <v>10</v>
      </c>
      <c r="R239" s="217"/>
      <c r="S239" s="244">
        <f>F_GAMMA*S235</f>
        <v>0.64016670856714286</v>
      </c>
      <c r="T239" s="244">
        <f>F_GAMMA*T235</f>
        <v>0.63070620695430624</v>
      </c>
      <c r="U239" s="244">
        <f>F_GAMMA*U235</f>
        <v>0.60552142535129116</v>
      </c>
      <c r="V239" s="244">
        <f>F_GAMMA*V235</f>
        <v>0.54928483429762731</v>
      </c>
    </row>
    <row r="240" spans="1:22" ht="14" x14ac:dyDescent="0.3">
      <c r="A240" s="276"/>
      <c r="B240" s="276"/>
      <c r="C240" s="276"/>
      <c r="D240" s="276"/>
      <c r="E240" s="276"/>
      <c r="F240" s="276"/>
      <c r="G240" s="276"/>
      <c r="H240" s="276"/>
      <c r="I240" s="276"/>
      <c r="J240" s="276"/>
      <c r="K240" s="276"/>
      <c r="L240" s="276"/>
      <c r="P240" s="217" t="s">
        <v>38</v>
      </c>
      <c r="Q240" s="249"/>
      <c r="S240" s="244">
        <f>IF(S$4&lt;S239,S237,S238)</f>
        <v>4.9832592131647182</v>
      </c>
      <c r="T240" s="244">
        <f>IF(T$4&lt;T239,T237,T238)</f>
        <v>9.9998223948371177</v>
      </c>
      <c r="U240" s="244">
        <f>IF(U$4&lt;U239,U237,U238)</f>
        <v>26.475489836081493</v>
      </c>
      <c r="V240" s="244">
        <f>IF(V$4&lt;V239,V237,V238)</f>
        <v>45.71356124775258</v>
      </c>
    </row>
    <row r="241" spans="1:22" ht="14" x14ac:dyDescent="0.3">
      <c r="A241" s="276"/>
      <c r="B241" s="276"/>
      <c r="C241" s="276"/>
      <c r="D241" s="276"/>
      <c r="E241" s="276"/>
      <c r="F241" s="276"/>
      <c r="G241" s="276"/>
      <c r="H241" s="276"/>
      <c r="I241" s="276"/>
      <c r="J241" s="276"/>
      <c r="K241" s="276"/>
      <c r="L241" s="276"/>
      <c r="P241" s="217"/>
      <c r="Q241" s="249"/>
      <c r="S241" s="244"/>
      <c r="T241" s="244"/>
      <c r="U241" s="244"/>
      <c r="V241" s="244"/>
    </row>
    <row r="242" spans="1:22" ht="14" x14ac:dyDescent="0.3">
      <c r="A242" s="276"/>
      <c r="B242" s="276"/>
      <c r="C242" s="276"/>
      <c r="D242" s="276"/>
      <c r="E242" s="276"/>
      <c r="F242" s="276"/>
      <c r="G242" s="276"/>
      <c r="H242" s="276"/>
      <c r="I242" s="276"/>
      <c r="J242" s="276"/>
      <c r="K242" s="276"/>
      <c r="L242" s="276"/>
      <c r="P242" s="217" t="s">
        <v>63</v>
      </c>
      <c r="R242" s="217"/>
      <c r="S242" s="244">
        <f>S240</f>
        <v>4.9832592131647182</v>
      </c>
      <c r="T242" s="244">
        <f>T240</f>
        <v>9.9998223948371177</v>
      </c>
      <c r="U242" s="244">
        <f>U240</f>
        <v>26.475489836081493</v>
      </c>
      <c r="V242" s="244">
        <f>V240</f>
        <v>45.71356124775258</v>
      </c>
    </row>
    <row r="243" spans="1:22" ht="14" x14ac:dyDescent="0.3">
      <c r="A243" s="276"/>
      <c r="B243" s="276"/>
      <c r="C243" s="276"/>
      <c r="D243" s="276"/>
      <c r="E243" s="276"/>
      <c r="F243" s="276"/>
      <c r="G243" s="276"/>
      <c r="H243" s="276"/>
      <c r="I243" s="276"/>
      <c r="J243" s="276"/>
      <c r="K243" s="276"/>
      <c r="L243" s="276"/>
      <c r="P243" s="217" t="s">
        <v>66</v>
      </c>
      <c r="Q243" s="217">
        <v>15</v>
      </c>
      <c r="R243" s="217"/>
      <c r="S243" s="244">
        <f>1/(SQRT(1+(SIGMA_ZETA/N_2)*(S242/d^2)^2))</f>
        <v>0.99926511088487302</v>
      </c>
      <c r="T243" s="244">
        <f>1/(SQRT(1+(SIGMA_ZETA/N_2)*(T242/d^2)^2))</f>
        <v>0.99705059984201272</v>
      </c>
      <c r="U243" s="244">
        <f>1/(SQRT(1+(SIGMA_ZETA/N_2)*(U242/d^2)^2))</f>
        <v>0.97985883424024933</v>
      </c>
      <c r="V243" s="244">
        <f>1/(SQRT(1+(SIGMA_ZETA/N_2)*(V242/d^2)^2))</f>
        <v>0.94330350993868861</v>
      </c>
    </row>
    <row r="244" spans="1:22" ht="14" x14ac:dyDescent="0.3">
      <c r="A244" s="276"/>
      <c r="B244" s="276"/>
      <c r="C244" s="276"/>
      <c r="D244" s="276"/>
      <c r="E244" s="276"/>
      <c r="F244" s="276"/>
      <c r="G244" s="276"/>
      <c r="H244" s="276"/>
      <c r="I244" s="276"/>
      <c r="J244" s="276"/>
      <c r="K244" s="276"/>
      <c r="L244" s="276"/>
      <c r="P244" s="217" t="s">
        <v>68</v>
      </c>
      <c r="Q244" s="249">
        <v>22</v>
      </c>
      <c r="R244" s="217"/>
      <c r="S244" s="244">
        <f>(x_T/S243^2)/(1+(x_T*SIGMA_ZETA_1/N_5)*(S242/d^2)^2)</f>
        <v>0.64016670856714286</v>
      </c>
      <c r="T244" s="244">
        <f>(E$11/T243^2)/(1+(E$11*SIGMA_ZETA_1/N_5)*(T242/d^2)^2)</f>
        <v>0.63070620695430624</v>
      </c>
      <c r="U244" s="244">
        <f>(F$11/U243^2)/(1+(F$11*SIGMA_ZETA_1/N_5)*(U242/d^2)^2)</f>
        <v>0.60552142535129116</v>
      </c>
      <c r="V244" s="244">
        <f>(G$11/V243^2)/(1+(G$11*SIGMA_ZETA_1/N_5)*(V242/d^2)^2)</f>
        <v>0.54928483429762731</v>
      </c>
    </row>
    <row r="245" spans="1:22" ht="14" x14ac:dyDescent="0.3">
      <c r="A245" s="276"/>
      <c r="B245" s="276"/>
      <c r="C245" s="276"/>
      <c r="D245" s="276"/>
      <c r="E245" s="276"/>
      <c r="F245" s="276"/>
      <c r="G245" s="276"/>
      <c r="H245" s="276"/>
      <c r="I245" s="276"/>
      <c r="J245" s="276"/>
      <c r="K245" s="276"/>
      <c r="L245" s="276"/>
      <c r="P245" s="217" t="s">
        <v>26</v>
      </c>
      <c r="Q245" s="217">
        <v>12</v>
      </c>
      <c r="R245" s="217"/>
      <c r="S245" s="244">
        <f>1-(x/(3*F_GAMMA*S244))</f>
        <v>0.73965114955804345</v>
      </c>
      <c r="T245" s="244">
        <f>1-(T$4/(3*F_GAMMA*T244))</f>
        <v>0.71150788776117824</v>
      </c>
      <c r="U245" s="244">
        <f>1-(U$4/(3*F_GAMMA*U244))</f>
        <v>0.73764716033709266</v>
      </c>
      <c r="V245" s="244">
        <f>1-(V$4/(3*F_GAMMA*V244))</f>
        <v>0.77243136494049036</v>
      </c>
    </row>
    <row r="246" spans="1:22" ht="14" x14ac:dyDescent="0.3">
      <c r="A246" s="276"/>
      <c r="B246" s="276"/>
      <c r="C246" s="276"/>
      <c r="D246" s="276"/>
      <c r="E246" s="276"/>
      <c r="F246" s="276"/>
      <c r="G246" s="276"/>
      <c r="H246" s="276"/>
      <c r="I246" s="276"/>
      <c r="J246" s="276"/>
      <c r="K246" s="276"/>
      <c r="L246" s="276"/>
      <c r="P246" s="217" t="s">
        <v>71</v>
      </c>
      <c r="Q246" s="249">
        <v>5</v>
      </c>
      <c r="R246" s="217"/>
      <c r="S246" s="244">
        <f>W/(N_6*S243*S245*SQRT(x*P_1*RHO))</f>
        <v>4.9832592131647182</v>
      </c>
      <c r="T246" s="244">
        <f>E$4/(N_6*T243*T245*SQRT(T$4*E$5*E$8))</f>
        <v>9.9998223948371177</v>
      </c>
      <c r="U246" s="244">
        <f>F$4/(N_6*U243*U245*SQRT(U$4*F$5*F$8))</f>
        <v>26.475489836081493</v>
      </c>
      <c r="V246" s="244">
        <f>G$4/(N_6*V243*V245*SQRT(V$4*G$5*G$8))</f>
        <v>45.71356124775258</v>
      </c>
    </row>
    <row r="247" spans="1:22" ht="14" x14ac:dyDescent="0.3">
      <c r="A247" s="276"/>
      <c r="B247" s="276"/>
      <c r="C247" s="276"/>
      <c r="D247" s="276"/>
      <c r="E247" s="276"/>
      <c r="F247" s="276"/>
      <c r="G247" s="276"/>
      <c r="H247" s="276"/>
      <c r="I247" s="276"/>
      <c r="J247" s="276"/>
      <c r="K247" s="276"/>
      <c r="L247" s="276"/>
      <c r="P247" s="217" t="s">
        <v>73</v>
      </c>
      <c r="Q247" s="249">
        <v>5</v>
      </c>
      <c r="R247" s="217"/>
      <c r="S247" s="244">
        <f>W/(0.667*N_6*S243*SQRT(F_GAMMA*S244*P_1*RHO))</f>
        <v>4.883745685685752</v>
      </c>
      <c r="T247" s="244">
        <f>E$4/(0.667*N_6*T243*SQRT(F_GAMMA*T244*E$5*E$8))</f>
        <v>9.9237032915059942</v>
      </c>
      <c r="U247" s="244">
        <f>F$4/(0.667*N_6*U243*SQRT(F_GAMMA*U244*F$5*F$8))</f>
        <v>25.975885239278739</v>
      </c>
      <c r="V247" s="244">
        <f>G$4/(0.667*N_6*V243*SQRT(F_GAMMA*V244*G$5*G$8))</f>
        <v>43.741729608603976</v>
      </c>
    </row>
    <row r="248" spans="1:22" ht="14" x14ac:dyDescent="0.3">
      <c r="A248" s="276"/>
      <c r="B248" s="276"/>
      <c r="C248" s="276"/>
      <c r="D248" s="276"/>
      <c r="E248" s="276"/>
      <c r="F248" s="276"/>
      <c r="G248" s="276"/>
      <c r="H248" s="276"/>
      <c r="I248" s="276"/>
      <c r="J248" s="276"/>
      <c r="K248" s="276"/>
      <c r="L248" s="276"/>
      <c r="P248" s="217" t="s">
        <v>75</v>
      </c>
      <c r="Q248" s="249">
        <v>10</v>
      </c>
      <c r="R248" s="217"/>
      <c r="S248" s="244">
        <f>F_GAMMA*S244</f>
        <v>0.64016670856714286</v>
      </c>
      <c r="T248" s="244">
        <f>F_GAMMA*T244</f>
        <v>0.63070620695430624</v>
      </c>
      <c r="U248" s="244">
        <f>F_GAMMA*U244</f>
        <v>0.60552142535129116</v>
      </c>
      <c r="V248" s="244">
        <f>F_GAMMA*V244</f>
        <v>0.54928483429762731</v>
      </c>
    </row>
    <row r="249" spans="1:22" ht="14" x14ac:dyDescent="0.3">
      <c r="A249" s="276"/>
      <c r="B249" s="276"/>
      <c r="C249" s="276"/>
      <c r="D249" s="276"/>
      <c r="E249" s="276"/>
      <c r="F249" s="276"/>
      <c r="G249" s="276"/>
      <c r="H249" s="276"/>
      <c r="I249" s="276"/>
      <c r="J249" s="276"/>
      <c r="K249" s="276"/>
      <c r="L249" s="276"/>
      <c r="P249" s="217" t="s">
        <v>38</v>
      </c>
      <c r="Q249" s="249"/>
      <c r="S249" s="244">
        <f>IF(S$4&lt;S248,S246,S247)</f>
        <v>4.9832592131647182</v>
      </c>
      <c r="T249" s="244">
        <f>IF(T$4&lt;T248,T246,T247)</f>
        <v>9.9998223948371177</v>
      </c>
      <c r="U249" s="244">
        <f>IF(U$4&lt;U248,U246,U247)</f>
        <v>26.475489836081493</v>
      </c>
      <c r="V249" s="244">
        <f>IF(V$4&lt;V248,V246,V247)</f>
        <v>45.71356124775258</v>
      </c>
    </row>
    <row r="250" spans="1:22" ht="14" x14ac:dyDescent="0.3">
      <c r="A250" s="276"/>
      <c r="B250" s="276"/>
      <c r="C250" s="276"/>
      <c r="D250" s="276"/>
      <c r="E250" s="276"/>
      <c r="F250" s="276"/>
      <c r="G250" s="276"/>
      <c r="H250" s="276"/>
      <c r="I250" s="276"/>
      <c r="J250" s="276"/>
      <c r="K250" s="276"/>
      <c r="L250" s="276"/>
      <c r="P250" s="217"/>
      <c r="Q250" s="249"/>
      <c r="S250" s="244"/>
      <c r="T250" s="282"/>
      <c r="U250" s="282"/>
      <c r="V250" s="282"/>
    </row>
    <row r="251" spans="1:22" ht="14" x14ac:dyDescent="0.3">
      <c r="A251" s="276"/>
      <c r="B251" s="276"/>
      <c r="C251" s="276"/>
      <c r="D251" s="276"/>
      <c r="E251" s="276"/>
      <c r="F251" s="276"/>
      <c r="G251" s="276"/>
      <c r="H251" s="276"/>
      <c r="I251" s="276"/>
      <c r="J251" s="276"/>
      <c r="K251" s="276"/>
      <c r="L251" s="276"/>
      <c r="P251" s="217" t="s">
        <v>63</v>
      </c>
      <c r="R251" s="217"/>
      <c r="S251" s="244">
        <f>S249</f>
        <v>4.9832592131647182</v>
      </c>
      <c r="T251" s="244">
        <f>T249</f>
        <v>9.9998223948371177</v>
      </c>
      <c r="U251" s="244">
        <f>U249</f>
        <v>26.475489836081493</v>
      </c>
      <c r="V251" s="244">
        <f>V249</f>
        <v>45.71356124775258</v>
      </c>
    </row>
    <row r="252" spans="1:22" ht="14" x14ac:dyDescent="0.3">
      <c r="A252" s="276"/>
      <c r="B252" s="276"/>
      <c r="C252" s="276"/>
      <c r="D252" s="276"/>
      <c r="E252" s="276"/>
      <c r="F252" s="276"/>
      <c r="G252" s="276"/>
      <c r="H252" s="276"/>
      <c r="I252" s="276"/>
      <c r="J252" s="276"/>
      <c r="K252" s="276"/>
      <c r="L252" s="276"/>
      <c r="P252" s="217" t="s">
        <v>66</v>
      </c>
      <c r="Q252" s="217">
        <v>15</v>
      </c>
      <c r="R252" s="217"/>
      <c r="S252" s="244">
        <f>1/(SQRT(1+(SIGMA_ZETA/N_2)*(S251/d^2)^2))</f>
        <v>0.99926511088487302</v>
      </c>
      <c r="T252" s="244">
        <f>1/(SQRT(1+(SIGMA_ZETA/N_2)*(T251/d^2)^2))</f>
        <v>0.99705059984201272</v>
      </c>
      <c r="U252" s="244">
        <f>1/(SQRT(1+(SIGMA_ZETA/N_2)*(U251/d^2)^2))</f>
        <v>0.97985883424024933</v>
      </c>
      <c r="V252" s="244">
        <f>1/(SQRT(1+(SIGMA_ZETA/N_2)*(V251/d^2)^2))</f>
        <v>0.94330350993868861</v>
      </c>
    </row>
    <row r="253" spans="1:22" ht="14" x14ac:dyDescent="0.3">
      <c r="A253" s="276"/>
      <c r="B253" s="276"/>
      <c r="C253" s="276"/>
      <c r="D253" s="276"/>
      <c r="E253" s="276"/>
      <c r="F253" s="276"/>
      <c r="G253" s="276"/>
      <c r="H253" s="276"/>
      <c r="I253" s="276"/>
      <c r="J253" s="276"/>
      <c r="K253" s="276"/>
      <c r="L253" s="276"/>
      <c r="P253" s="217" t="s">
        <v>68</v>
      </c>
      <c r="Q253" s="249">
        <v>22</v>
      </c>
      <c r="R253" s="217"/>
      <c r="S253" s="244">
        <f>(x_T/S252^2)/(1+(x_T*SIGMA_ZETA_1/N_5)*(S251/d^2)^2)</f>
        <v>0.64016670856714286</v>
      </c>
      <c r="T253" s="244">
        <f>(E$11/T252^2)/(1+(E$11*SIGMA_ZETA_1/N_5)*(T251/d^2)^2)</f>
        <v>0.63070620695430624</v>
      </c>
      <c r="U253" s="244">
        <f>(F$11/U252^2)/(1+(F$11*SIGMA_ZETA_1/N_5)*(U251/d^2)^2)</f>
        <v>0.60552142535129116</v>
      </c>
      <c r="V253" s="244">
        <f>(G$11/V252^2)/(1+(G$11*SIGMA_ZETA_1/N_5)*(V251/d^2)^2)</f>
        <v>0.54928483429762731</v>
      </c>
    </row>
    <row r="254" spans="1:22" ht="14" x14ac:dyDescent="0.3">
      <c r="A254" s="276"/>
      <c r="B254" s="276"/>
      <c r="C254" s="276"/>
      <c r="D254" s="276"/>
      <c r="E254" s="276"/>
      <c r="F254" s="276"/>
      <c r="G254" s="276"/>
      <c r="H254" s="276"/>
      <c r="I254" s="276"/>
      <c r="J254" s="276"/>
      <c r="K254" s="276"/>
      <c r="L254" s="276"/>
      <c r="P254" s="217" t="s">
        <v>26</v>
      </c>
      <c r="Q254" s="217">
        <v>12</v>
      </c>
      <c r="R254" s="217"/>
      <c r="S254" s="244">
        <f>1-(x/(3*F_GAMMA*S253))</f>
        <v>0.73965114955804345</v>
      </c>
      <c r="T254" s="244">
        <f>1-(T$4/(3*F_GAMMA*T253))</f>
        <v>0.71150788776117824</v>
      </c>
      <c r="U254" s="244">
        <f>1-(U$4/(3*F_GAMMA*U253))</f>
        <v>0.73764716033709266</v>
      </c>
      <c r="V254" s="244">
        <f>1-(V$4/(3*F_GAMMA*V253))</f>
        <v>0.77243136494049036</v>
      </c>
    </row>
    <row r="255" spans="1:22" ht="14" x14ac:dyDescent="0.3">
      <c r="A255" s="276"/>
      <c r="B255" s="276"/>
      <c r="C255" s="276"/>
      <c r="D255" s="276"/>
      <c r="E255" s="276"/>
      <c r="F255" s="276"/>
      <c r="G255" s="276"/>
      <c r="H255" s="276"/>
      <c r="I255" s="276"/>
      <c r="J255" s="276"/>
      <c r="K255" s="276"/>
      <c r="L255" s="276"/>
      <c r="P255" s="217" t="s">
        <v>71</v>
      </c>
      <c r="Q255" s="249">
        <v>5</v>
      </c>
      <c r="R255" s="217"/>
      <c r="S255" s="244">
        <f>W/(N_6*S252*S254*SQRT(x*P_1*RHO))</f>
        <v>4.9832592131647182</v>
      </c>
      <c r="T255" s="244">
        <f>E$4/(N_6*T252*T254*SQRT(T$4*E$5*E$8))</f>
        <v>9.9998223948371177</v>
      </c>
      <c r="U255" s="244">
        <f>F$4/(N_6*U252*U254*SQRT(U$4*F$5*F$8))</f>
        <v>26.475489836081493</v>
      </c>
      <c r="V255" s="244">
        <f>G$4/(N_6*V252*V254*SQRT(V$4*G$5*G$8))</f>
        <v>45.71356124775258</v>
      </c>
    </row>
    <row r="256" spans="1:22" ht="14" x14ac:dyDescent="0.3">
      <c r="A256" s="276"/>
      <c r="B256" s="276"/>
      <c r="C256" s="276"/>
      <c r="D256" s="276"/>
      <c r="E256" s="276"/>
      <c r="F256" s="276"/>
      <c r="G256" s="276"/>
      <c r="H256" s="276"/>
      <c r="I256" s="276"/>
      <c r="J256" s="276"/>
      <c r="K256" s="276"/>
      <c r="L256" s="276"/>
      <c r="P256" s="217" t="s">
        <v>73</v>
      </c>
      <c r="Q256" s="249">
        <v>5</v>
      </c>
      <c r="R256" s="217"/>
      <c r="S256" s="244">
        <f>W/(0.667*N_6*S252*SQRT(F_GAMMA*S253*P_1*RHO))</f>
        <v>4.883745685685752</v>
      </c>
      <c r="T256" s="244">
        <f>E$4/(0.667*N_6*T252*SQRT(F_GAMMA*T253*E$5*E$8))</f>
        <v>9.9237032915059942</v>
      </c>
      <c r="U256" s="244">
        <f>F$4/(0.667*N_6*U252*SQRT(F_GAMMA*U253*F$5*F$8))</f>
        <v>25.975885239278739</v>
      </c>
      <c r="V256" s="244">
        <f>G$4/(0.667*N_6*V252*SQRT(F_GAMMA*V253*G$5*G$8))</f>
        <v>43.741729608603976</v>
      </c>
    </row>
    <row r="257" spans="1:22" ht="14" x14ac:dyDescent="0.3">
      <c r="A257" s="276"/>
      <c r="B257" s="276"/>
      <c r="C257" s="276"/>
      <c r="D257" s="276"/>
      <c r="E257" s="276"/>
      <c r="F257" s="276"/>
      <c r="G257" s="276"/>
      <c r="H257" s="276"/>
      <c r="I257" s="276"/>
      <c r="J257" s="276"/>
      <c r="K257" s="276"/>
      <c r="L257" s="276"/>
      <c r="P257" s="217" t="s">
        <v>75</v>
      </c>
      <c r="Q257" s="249">
        <v>10</v>
      </c>
      <c r="R257" s="217"/>
      <c r="S257" s="244">
        <f>F_GAMMA*S253</f>
        <v>0.64016670856714286</v>
      </c>
      <c r="T257" s="244">
        <f>F_GAMMA*T253</f>
        <v>0.63070620695430624</v>
      </c>
      <c r="U257" s="244">
        <f>F_GAMMA*U253</f>
        <v>0.60552142535129116</v>
      </c>
      <c r="V257" s="244">
        <f>F_GAMMA*V253</f>
        <v>0.54928483429762731</v>
      </c>
    </row>
    <row r="258" spans="1:22" ht="14" x14ac:dyDescent="0.3">
      <c r="A258" s="276"/>
      <c r="B258" s="276"/>
      <c r="C258" s="276"/>
      <c r="D258" s="276"/>
      <c r="E258" s="276"/>
      <c r="F258" s="276"/>
      <c r="G258" s="276"/>
      <c r="H258" s="276"/>
      <c r="I258" s="276"/>
      <c r="J258" s="276"/>
      <c r="K258" s="276"/>
      <c r="L258" s="276"/>
      <c r="P258" s="217" t="s">
        <v>38</v>
      </c>
      <c r="Q258" s="249"/>
      <c r="S258" s="244">
        <f>IF(S$4&lt;S257,S255,S256)</f>
        <v>4.9832592131647182</v>
      </c>
      <c r="T258" s="244">
        <f>IF(T$4&lt;T257,T255,T256)</f>
        <v>9.9998223948371177</v>
      </c>
      <c r="U258" s="244">
        <f>IF(U$4&lt;U257,U255,U256)</f>
        <v>26.475489836081493</v>
      </c>
      <c r="V258" s="244">
        <f>IF(V$4&lt;V257,V255,V256)</f>
        <v>45.71356124775258</v>
      </c>
    </row>
    <row r="259" spans="1:22" ht="14" x14ac:dyDescent="0.3">
      <c r="A259" s="276"/>
      <c r="B259" s="276"/>
      <c r="C259" s="276"/>
      <c r="D259" s="276"/>
      <c r="E259" s="276"/>
      <c r="F259" s="276"/>
      <c r="G259" s="276"/>
      <c r="H259" s="276"/>
      <c r="I259" s="276"/>
      <c r="J259" s="276"/>
      <c r="K259" s="276"/>
      <c r="L259" s="276"/>
      <c r="P259" s="217"/>
      <c r="Q259" s="217"/>
      <c r="R259" s="217"/>
      <c r="S259" s="244"/>
      <c r="T259" s="244"/>
      <c r="U259" s="244"/>
      <c r="V259" s="244"/>
    </row>
    <row r="260" spans="1:22" ht="14" x14ac:dyDescent="0.3">
      <c r="A260" s="276"/>
      <c r="B260" s="276"/>
      <c r="C260" s="276"/>
      <c r="D260" s="276"/>
      <c r="E260" s="276"/>
      <c r="F260" s="276"/>
      <c r="G260" s="276"/>
      <c r="H260" s="276"/>
      <c r="I260" s="276"/>
      <c r="J260" s="276"/>
      <c r="K260" s="276"/>
      <c r="L260" s="276"/>
      <c r="P260" s="217" t="s">
        <v>63</v>
      </c>
      <c r="R260" s="217"/>
      <c r="S260" s="244">
        <f>S258</f>
        <v>4.9832592131647182</v>
      </c>
      <c r="T260" s="244">
        <f>T258</f>
        <v>9.9998223948371177</v>
      </c>
      <c r="U260" s="244">
        <f>U258</f>
        <v>26.475489836081493</v>
      </c>
      <c r="V260" s="244">
        <f>V258</f>
        <v>45.71356124775258</v>
      </c>
    </row>
    <row r="261" spans="1:22" ht="14" x14ac:dyDescent="0.3">
      <c r="A261" s="276"/>
      <c r="B261" s="276"/>
      <c r="C261" s="276"/>
      <c r="D261" s="276"/>
      <c r="E261" s="276"/>
      <c r="F261" s="276"/>
      <c r="G261" s="276"/>
      <c r="H261" s="276"/>
      <c r="I261" s="276"/>
      <c r="J261" s="276"/>
      <c r="K261" s="276"/>
      <c r="L261" s="276"/>
      <c r="P261" s="217" t="s">
        <v>66</v>
      </c>
      <c r="Q261" s="217">
        <v>15</v>
      </c>
      <c r="R261" s="217"/>
      <c r="S261" s="244">
        <f>1/(SQRT(1+(SIGMA_ZETA/N_2)*(S260/d^2)^2))</f>
        <v>0.99926511088487302</v>
      </c>
      <c r="T261" s="244">
        <f>1/(SQRT(1+(SIGMA_ZETA/N_2)*(T260/d^2)^2))</f>
        <v>0.99705059984201272</v>
      </c>
      <c r="U261" s="244">
        <f>1/(SQRT(1+(SIGMA_ZETA/N_2)*(U260/d^2)^2))</f>
        <v>0.97985883424024933</v>
      </c>
      <c r="V261" s="244">
        <f>1/(SQRT(1+(SIGMA_ZETA/N_2)*(V260/d^2)^2))</f>
        <v>0.94330350993868861</v>
      </c>
    </row>
    <row r="262" spans="1:22" ht="14" x14ac:dyDescent="0.3">
      <c r="A262" s="276"/>
      <c r="B262" s="276"/>
      <c r="C262" s="276"/>
      <c r="D262" s="276"/>
      <c r="E262" s="276"/>
      <c r="F262" s="276"/>
      <c r="G262" s="276"/>
      <c r="H262" s="276"/>
      <c r="I262" s="276"/>
      <c r="J262" s="276"/>
      <c r="K262" s="276"/>
      <c r="L262" s="276"/>
      <c r="P262" s="217" t="s">
        <v>68</v>
      </c>
      <c r="Q262" s="249">
        <v>22</v>
      </c>
      <c r="R262" s="217"/>
      <c r="S262" s="244">
        <f>(x_T/S261^2)/(1+(x_T*SIGMA_ZETA_1/N_5)*(S260/d^2)^2)</f>
        <v>0.64016670856714286</v>
      </c>
      <c r="T262" s="244">
        <f>(E$11/T261^2)/(1+(E$11*SIGMA_ZETA_1/N_5)*(T260/d^2)^2)</f>
        <v>0.63070620695430624</v>
      </c>
      <c r="U262" s="244">
        <f>(F$11/U261^2)/(1+(F$11*SIGMA_ZETA_1/N_5)*(U260/d^2)^2)</f>
        <v>0.60552142535129116</v>
      </c>
      <c r="V262" s="244">
        <f>(G$11/V261^2)/(1+(G$11*SIGMA_ZETA_1/N_5)*(V260/d^2)^2)</f>
        <v>0.54928483429762731</v>
      </c>
    </row>
    <row r="263" spans="1:22" ht="14" x14ac:dyDescent="0.3">
      <c r="A263" s="276"/>
      <c r="B263" s="276"/>
      <c r="C263" s="276"/>
      <c r="D263" s="276"/>
      <c r="E263" s="276"/>
      <c r="F263" s="276"/>
      <c r="G263" s="276"/>
      <c r="H263" s="276"/>
      <c r="I263" s="276"/>
      <c r="J263" s="276"/>
      <c r="K263" s="276"/>
      <c r="L263" s="276"/>
      <c r="P263" s="217" t="s">
        <v>26</v>
      </c>
      <c r="Q263" s="217">
        <v>12</v>
      </c>
      <c r="R263" s="217"/>
      <c r="S263" s="244">
        <f>1-(x/(3*F_GAMMA*S262))</f>
        <v>0.73965114955804345</v>
      </c>
      <c r="T263" s="244">
        <f>1-(T$4/(3*F_GAMMA*T262))</f>
        <v>0.71150788776117824</v>
      </c>
      <c r="U263" s="244">
        <f>1-(U$4/(3*F_GAMMA*U262))</f>
        <v>0.73764716033709266</v>
      </c>
      <c r="V263" s="244">
        <f>1-(V$4/(3*F_GAMMA*V262))</f>
        <v>0.77243136494049036</v>
      </c>
    </row>
    <row r="264" spans="1:22" ht="14" x14ac:dyDescent="0.3">
      <c r="A264" s="276"/>
      <c r="B264" s="276"/>
      <c r="C264" s="276"/>
      <c r="D264" s="276"/>
      <c r="E264" s="276"/>
      <c r="F264" s="276"/>
      <c r="G264" s="276"/>
      <c r="H264" s="276"/>
      <c r="I264" s="276"/>
      <c r="J264" s="276"/>
      <c r="K264" s="276"/>
      <c r="L264" s="276"/>
      <c r="P264" s="217" t="s">
        <v>71</v>
      </c>
      <c r="Q264" s="249">
        <v>5</v>
      </c>
      <c r="R264" s="217"/>
      <c r="S264" s="244">
        <f>W/(N_6*S261*S263*SQRT(x*P_1*RHO))</f>
        <v>4.9832592131647182</v>
      </c>
      <c r="T264" s="244">
        <f>E$4/(N_6*T261*T263*SQRT(T$4*E$5*E$8))</f>
        <v>9.9998223948371177</v>
      </c>
      <c r="U264" s="244">
        <f>F$4/(N_6*U261*U263*SQRT(U$4*F$5*F$8))</f>
        <v>26.475489836081493</v>
      </c>
      <c r="V264" s="244">
        <f>G$4/(N_6*V261*V263*SQRT(V$4*G$5*G$8))</f>
        <v>45.71356124775258</v>
      </c>
    </row>
    <row r="265" spans="1:22" ht="14" x14ac:dyDescent="0.3">
      <c r="A265" s="276"/>
      <c r="B265" s="276"/>
      <c r="C265" s="276"/>
      <c r="D265" s="276"/>
      <c r="E265" s="276"/>
      <c r="F265" s="276"/>
      <c r="G265" s="276"/>
      <c r="H265" s="276"/>
      <c r="I265" s="276"/>
      <c r="J265" s="276"/>
      <c r="K265" s="276"/>
      <c r="L265" s="276"/>
      <c r="P265" s="217" t="s">
        <v>73</v>
      </c>
      <c r="Q265" s="249">
        <v>5</v>
      </c>
      <c r="R265" s="217"/>
      <c r="S265" s="244">
        <f>W/(0.667*N_6*S261*SQRT(F_GAMMA*S262*P_1*RHO))</f>
        <v>4.883745685685752</v>
      </c>
      <c r="T265" s="244">
        <f>E$4/(0.667*N_6*T261*SQRT(F_GAMMA*T262*E$5*E$8))</f>
        <v>9.9237032915059942</v>
      </c>
      <c r="U265" s="244">
        <f>F$4/(0.667*N_6*U261*SQRT(F_GAMMA*U262*F$5*F$8))</f>
        <v>25.975885239278739</v>
      </c>
      <c r="V265" s="244">
        <f>G$4/(0.667*N_6*V261*SQRT(F_GAMMA*V262*G$5*G$8))</f>
        <v>43.741729608603976</v>
      </c>
    </row>
    <row r="266" spans="1:22" ht="14" x14ac:dyDescent="0.3">
      <c r="A266" s="276"/>
      <c r="B266" s="276"/>
      <c r="C266" s="276"/>
      <c r="D266" s="276"/>
      <c r="E266" s="276"/>
      <c r="F266" s="276"/>
      <c r="G266" s="276"/>
      <c r="H266" s="276"/>
      <c r="I266" s="276"/>
      <c r="J266" s="276"/>
      <c r="K266" s="276"/>
      <c r="L266" s="276"/>
      <c r="P266" s="217" t="s">
        <v>75</v>
      </c>
      <c r="Q266" s="249">
        <v>10</v>
      </c>
      <c r="R266" s="217"/>
      <c r="S266" s="244">
        <f>F_GAMMA*S262</f>
        <v>0.64016670856714286</v>
      </c>
      <c r="T266" s="244">
        <f>F_GAMMA*T262</f>
        <v>0.63070620695430624</v>
      </c>
      <c r="U266" s="244">
        <f>F_GAMMA*U262</f>
        <v>0.60552142535129116</v>
      </c>
      <c r="V266" s="244">
        <f>F_GAMMA*V262</f>
        <v>0.54928483429762731</v>
      </c>
    </row>
    <row r="267" spans="1:22" ht="14" x14ac:dyDescent="0.3">
      <c r="A267" s="276"/>
      <c r="B267" s="276"/>
      <c r="C267" s="276"/>
      <c r="D267" s="276"/>
      <c r="E267" s="276"/>
      <c r="F267" s="276"/>
      <c r="G267" s="276"/>
      <c r="H267" s="276"/>
      <c r="I267" s="276"/>
      <c r="J267" s="276"/>
      <c r="K267" s="276"/>
      <c r="L267" s="276"/>
      <c r="P267" s="217" t="s">
        <v>38</v>
      </c>
      <c r="Q267" s="249"/>
      <c r="S267" s="244">
        <f>IF(S$4&lt;S266,S264,S265)</f>
        <v>4.9832592131647182</v>
      </c>
      <c r="T267" s="244">
        <f>IF(T$4&lt;T266,T264,T265)</f>
        <v>9.9998223948371177</v>
      </c>
      <c r="U267" s="244">
        <f>IF(U$4&lt;U266,U264,U265)</f>
        <v>26.475489836081493</v>
      </c>
      <c r="V267" s="244">
        <f>IF(V$4&lt;V266,V264,V265)</f>
        <v>45.71356124775258</v>
      </c>
    </row>
    <row r="268" spans="1:22" ht="14" x14ac:dyDescent="0.3">
      <c r="A268" s="276"/>
      <c r="B268" s="276"/>
      <c r="C268" s="276"/>
      <c r="D268" s="276"/>
      <c r="E268" s="276"/>
      <c r="F268" s="276"/>
      <c r="G268" s="276"/>
      <c r="H268" s="276"/>
      <c r="I268" s="276"/>
      <c r="J268" s="276"/>
      <c r="K268" s="276"/>
      <c r="L268" s="276"/>
      <c r="P268" s="217"/>
      <c r="Q268" s="249"/>
      <c r="S268" s="244"/>
      <c r="T268" s="244"/>
      <c r="U268" s="244"/>
      <c r="V268" s="244"/>
    </row>
    <row r="269" spans="1:22" ht="14" x14ac:dyDescent="0.3">
      <c r="A269" s="276"/>
      <c r="B269" s="276"/>
      <c r="C269" s="276"/>
      <c r="D269" s="276"/>
      <c r="E269" s="276"/>
      <c r="F269" s="276"/>
      <c r="G269" s="276"/>
      <c r="H269" s="276"/>
      <c r="I269" s="276"/>
      <c r="J269" s="276"/>
      <c r="K269" s="276"/>
      <c r="L269" s="276"/>
      <c r="P269" s="217" t="s">
        <v>63</v>
      </c>
      <c r="R269" s="217"/>
      <c r="S269" s="244">
        <f>S267</f>
        <v>4.9832592131647182</v>
      </c>
      <c r="T269" s="244">
        <f>T267</f>
        <v>9.9998223948371177</v>
      </c>
      <c r="U269" s="244">
        <f>U267</f>
        <v>26.475489836081493</v>
      </c>
      <c r="V269" s="244">
        <f>V267</f>
        <v>45.71356124775258</v>
      </c>
    </row>
    <row r="270" spans="1:22" ht="14" x14ac:dyDescent="0.3">
      <c r="A270" s="276"/>
      <c r="B270" s="276"/>
      <c r="C270" s="276"/>
      <c r="D270" s="276"/>
      <c r="E270" s="276"/>
      <c r="F270" s="276"/>
      <c r="G270" s="276"/>
      <c r="H270" s="276"/>
      <c r="I270" s="276"/>
      <c r="J270" s="276"/>
      <c r="K270" s="276"/>
      <c r="L270" s="276"/>
      <c r="P270" s="217" t="s">
        <v>66</v>
      </c>
      <c r="Q270" s="217">
        <v>15</v>
      </c>
      <c r="R270" s="217"/>
      <c r="S270" s="244">
        <f>1/(SQRT(1+(SIGMA_ZETA/N_2)*(S269/d^2)^2))</f>
        <v>0.99926511088487302</v>
      </c>
      <c r="T270" s="244">
        <f>1/(SQRT(1+(SIGMA_ZETA/N_2)*(T269/d^2)^2))</f>
        <v>0.99705059984201272</v>
      </c>
      <c r="U270" s="244">
        <f>1/(SQRT(1+(SIGMA_ZETA/N_2)*(U269/d^2)^2))</f>
        <v>0.97985883424024933</v>
      </c>
      <c r="V270" s="244">
        <f>1/(SQRT(1+(SIGMA_ZETA/N_2)*(V269/d^2)^2))</f>
        <v>0.94330350993868861</v>
      </c>
    </row>
    <row r="271" spans="1:22" ht="14" x14ac:dyDescent="0.3">
      <c r="A271" s="276"/>
      <c r="B271" s="276"/>
      <c r="C271" s="276"/>
      <c r="D271" s="276"/>
      <c r="E271" s="276"/>
      <c r="F271" s="276"/>
      <c r="G271" s="276"/>
      <c r="H271" s="276"/>
      <c r="I271" s="276"/>
      <c r="J271" s="276"/>
      <c r="K271" s="276"/>
      <c r="L271" s="276"/>
      <c r="P271" s="217" t="s">
        <v>68</v>
      </c>
      <c r="Q271" s="249">
        <v>22</v>
      </c>
      <c r="R271" s="217"/>
      <c r="S271" s="244">
        <f>(x_T/S270^2)/(1+(x_T*SIGMA_ZETA_1/N_5)*(S269/d^2)^2)</f>
        <v>0.64016670856714286</v>
      </c>
      <c r="T271" s="244">
        <f>(E$11/T270^2)/(1+(E$11*SIGMA_ZETA_1/N_5)*(T269/d^2)^2)</f>
        <v>0.63070620695430624</v>
      </c>
      <c r="U271" s="244">
        <f>(F$11/U270^2)/(1+(F$11*SIGMA_ZETA_1/N_5)*(U269/d^2)^2)</f>
        <v>0.60552142535129116</v>
      </c>
      <c r="V271" s="244">
        <f>(G$11/V270^2)/(1+(G$11*SIGMA_ZETA_1/N_5)*(V269/d^2)^2)</f>
        <v>0.54928483429762731</v>
      </c>
    </row>
    <row r="272" spans="1:22" ht="14" x14ac:dyDescent="0.3">
      <c r="A272" s="276"/>
      <c r="B272" s="276"/>
      <c r="C272" s="276"/>
      <c r="D272" s="276"/>
      <c r="E272" s="276"/>
      <c r="F272" s="276"/>
      <c r="G272" s="276"/>
      <c r="H272" s="276"/>
      <c r="I272" s="276"/>
      <c r="J272" s="276"/>
      <c r="K272" s="276"/>
      <c r="L272" s="276"/>
      <c r="P272" s="217" t="s">
        <v>26</v>
      </c>
      <c r="Q272" s="217">
        <v>12</v>
      </c>
      <c r="R272" s="217"/>
      <c r="S272" s="244">
        <f>1-(x/(3*F_GAMMA*S271))</f>
        <v>0.73965114955804345</v>
      </c>
      <c r="T272" s="244">
        <f>1-(T$4/(3*F_GAMMA*T271))</f>
        <v>0.71150788776117824</v>
      </c>
      <c r="U272" s="244">
        <f>1-(U$4/(3*F_GAMMA*U271))</f>
        <v>0.73764716033709266</v>
      </c>
      <c r="V272" s="244">
        <f>1-(V$4/(3*F_GAMMA*V271))</f>
        <v>0.77243136494049036</v>
      </c>
    </row>
    <row r="273" spans="1:22" ht="14" x14ac:dyDescent="0.3">
      <c r="A273" s="276"/>
      <c r="B273" s="276"/>
      <c r="C273" s="276"/>
      <c r="D273" s="276"/>
      <c r="E273" s="276"/>
      <c r="F273" s="276"/>
      <c r="G273" s="276"/>
      <c r="H273" s="276"/>
      <c r="I273" s="276"/>
      <c r="J273" s="276"/>
      <c r="K273" s="276"/>
      <c r="L273" s="276"/>
      <c r="P273" s="217" t="s">
        <v>71</v>
      </c>
      <c r="Q273" s="249">
        <v>5</v>
      </c>
      <c r="R273" s="217"/>
      <c r="S273" s="244">
        <f>W/(N_6*S270*S272*SQRT(x*P_1*RHO))</f>
        <v>4.9832592131647182</v>
      </c>
      <c r="T273" s="244">
        <f>E$4/(N_6*T270*T272*SQRT(T$4*E$5*E$8))</f>
        <v>9.9998223948371177</v>
      </c>
      <c r="U273" s="244">
        <f>F$4/(N_6*U270*U272*SQRT(U$4*F$5*F$8))</f>
        <v>26.475489836081493</v>
      </c>
      <c r="V273" s="244">
        <f>G$4/(N_6*V270*V272*SQRT(V$4*G$5*G$8))</f>
        <v>45.71356124775258</v>
      </c>
    </row>
    <row r="274" spans="1:22" ht="14" x14ac:dyDescent="0.3">
      <c r="A274" s="276"/>
      <c r="B274" s="276"/>
      <c r="C274" s="276"/>
      <c r="D274" s="276"/>
      <c r="E274" s="276"/>
      <c r="F274" s="276"/>
      <c r="G274" s="276"/>
      <c r="H274" s="276"/>
      <c r="I274" s="276"/>
      <c r="J274" s="276"/>
      <c r="K274" s="276"/>
      <c r="L274" s="276"/>
      <c r="P274" s="217" t="s">
        <v>73</v>
      </c>
      <c r="Q274" s="249">
        <v>5</v>
      </c>
      <c r="R274" s="217"/>
      <c r="S274" s="244">
        <f>W/(0.667*N_6*S270*SQRT(F_GAMMA*S271*P_1*RHO))</f>
        <v>4.883745685685752</v>
      </c>
      <c r="T274" s="244">
        <f>E$4/(0.667*N_6*T270*SQRT(F_GAMMA*T271*E$5*E$8))</f>
        <v>9.9237032915059942</v>
      </c>
      <c r="U274" s="244">
        <f>F$4/(0.667*N_6*U270*SQRT(F_GAMMA*U271*F$5*F$8))</f>
        <v>25.975885239278739</v>
      </c>
      <c r="V274" s="244">
        <f>G$4/(0.667*N_6*V270*SQRT(F_GAMMA*V271*G$5*G$8))</f>
        <v>43.741729608603976</v>
      </c>
    </row>
    <row r="275" spans="1:22" ht="14" x14ac:dyDescent="0.3">
      <c r="A275" s="276"/>
      <c r="B275" s="276"/>
      <c r="C275" s="276"/>
      <c r="D275" s="276"/>
      <c r="E275" s="276"/>
      <c r="F275" s="276"/>
      <c r="G275" s="276"/>
      <c r="H275" s="276"/>
      <c r="I275" s="276"/>
      <c r="J275" s="276"/>
      <c r="K275" s="276"/>
      <c r="L275" s="276"/>
      <c r="P275" s="217" t="s">
        <v>75</v>
      </c>
      <c r="Q275" s="249">
        <v>10</v>
      </c>
      <c r="R275" s="217"/>
      <c r="S275" s="244">
        <f>F_GAMMA*S271</f>
        <v>0.64016670856714286</v>
      </c>
      <c r="T275" s="244">
        <f>F_GAMMA*T271</f>
        <v>0.63070620695430624</v>
      </c>
      <c r="U275" s="244">
        <f>F_GAMMA*U271</f>
        <v>0.60552142535129116</v>
      </c>
      <c r="V275" s="244">
        <f>F_GAMMA*V271</f>
        <v>0.54928483429762731</v>
      </c>
    </row>
    <row r="276" spans="1:22" ht="14" x14ac:dyDescent="0.3">
      <c r="A276" s="276"/>
      <c r="B276" s="276"/>
      <c r="C276" s="276"/>
      <c r="D276" s="276"/>
      <c r="E276" s="276"/>
      <c r="F276" s="276"/>
      <c r="G276" s="276"/>
      <c r="H276" s="276"/>
      <c r="I276" s="276"/>
      <c r="J276" s="276"/>
      <c r="K276" s="276"/>
      <c r="L276" s="276"/>
      <c r="P276" s="217" t="s">
        <v>38</v>
      </c>
      <c r="Q276" s="249"/>
      <c r="S276" s="244">
        <f>IF(S$4&lt;S275,S273,S274)</f>
        <v>4.9832592131647182</v>
      </c>
      <c r="T276" s="244">
        <f>IF(T$4&lt;T275,T273,T274)</f>
        <v>9.9998223948371177</v>
      </c>
      <c r="U276" s="244">
        <f>IF(U$4&lt;U275,U273,U274)</f>
        <v>26.475489836081493</v>
      </c>
      <c r="V276" s="244">
        <f>IF(V$4&lt;V275,V273,V274)</f>
        <v>45.71356124775258</v>
      </c>
    </row>
    <row r="277" spans="1:22" ht="14" x14ac:dyDescent="0.3">
      <c r="A277" s="276"/>
      <c r="B277" s="276"/>
      <c r="C277" s="276"/>
      <c r="D277" s="276"/>
      <c r="E277" s="276"/>
      <c r="F277" s="276"/>
      <c r="G277" s="276"/>
      <c r="H277" s="276"/>
      <c r="I277" s="276"/>
      <c r="J277" s="276"/>
      <c r="K277" s="276"/>
      <c r="L277" s="276"/>
      <c r="P277" s="217"/>
      <c r="Q277" s="217"/>
      <c r="S277" s="244"/>
      <c r="T277" s="244"/>
      <c r="U277" s="244"/>
      <c r="V277" s="244"/>
    </row>
    <row r="278" spans="1:22" ht="14" x14ac:dyDescent="0.3">
      <c r="A278" s="276"/>
      <c r="B278" s="276"/>
      <c r="C278" s="276"/>
      <c r="D278" s="276"/>
      <c r="E278" s="276"/>
      <c r="F278" s="276"/>
      <c r="G278" s="276"/>
      <c r="H278" s="276"/>
      <c r="I278" s="276"/>
      <c r="J278" s="276"/>
      <c r="K278" s="276"/>
      <c r="L278" s="276"/>
      <c r="P278" s="217" t="s">
        <v>63</v>
      </c>
      <c r="R278" s="217"/>
      <c r="S278" s="244">
        <f>S276</f>
        <v>4.9832592131647182</v>
      </c>
      <c r="T278" s="244">
        <f>T276</f>
        <v>9.9998223948371177</v>
      </c>
      <c r="U278" s="244">
        <f>U276</f>
        <v>26.475489836081493</v>
      </c>
      <c r="V278" s="244">
        <f>V276</f>
        <v>45.71356124775258</v>
      </c>
    </row>
    <row r="279" spans="1:22" ht="14" x14ac:dyDescent="0.3">
      <c r="A279" s="276"/>
      <c r="B279" s="276"/>
      <c r="C279" s="276"/>
      <c r="D279" s="276"/>
      <c r="E279" s="276"/>
      <c r="F279" s="276"/>
      <c r="G279" s="276"/>
      <c r="H279" s="276"/>
      <c r="I279" s="276"/>
      <c r="J279" s="276"/>
      <c r="K279" s="276"/>
      <c r="L279" s="276"/>
      <c r="P279" s="217" t="s">
        <v>66</v>
      </c>
      <c r="Q279" s="217">
        <v>15</v>
      </c>
      <c r="R279" s="217"/>
      <c r="S279" s="244">
        <f>1/(SQRT(1+(SIGMA_ZETA/N_2)*(S278/d^2)^2))</f>
        <v>0.99926511088487302</v>
      </c>
      <c r="T279" s="244">
        <f>1/(SQRT(1+(SIGMA_ZETA/N_2)*(T278/d^2)^2))</f>
        <v>0.99705059984201272</v>
      </c>
      <c r="U279" s="244">
        <f>1/(SQRT(1+(SIGMA_ZETA/N_2)*(U278/d^2)^2))</f>
        <v>0.97985883424024933</v>
      </c>
      <c r="V279" s="244">
        <f>1/(SQRT(1+(SIGMA_ZETA/N_2)*(V278/d^2)^2))</f>
        <v>0.94330350993868861</v>
      </c>
    </row>
    <row r="280" spans="1:22" ht="14" x14ac:dyDescent="0.3">
      <c r="A280" s="276"/>
      <c r="B280" s="276"/>
      <c r="C280" s="276"/>
      <c r="D280" s="276"/>
      <c r="E280" s="276"/>
      <c r="F280" s="276"/>
      <c r="G280" s="276"/>
      <c r="H280" s="276"/>
      <c r="I280" s="276"/>
      <c r="J280" s="276"/>
      <c r="K280" s="276"/>
      <c r="L280" s="276"/>
      <c r="P280" s="217" t="s">
        <v>68</v>
      </c>
      <c r="Q280" s="249">
        <v>22</v>
      </c>
      <c r="R280" s="217"/>
      <c r="S280" s="244">
        <f>(x_T/S279^2)/(1+(x_T*SIGMA_ZETA_1/N_5)*(S278/d^2)^2)</f>
        <v>0.64016670856714286</v>
      </c>
      <c r="T280" s="244">
        <f>(E$11/T279^2)/(1+(E$11*SIGMA_ZETA_1/N_5)*(T278/d^2)^2)</f>
        <v>0.63070620695430624</v>
      </c>
      <c r="U280" s="244">
        <f>(F$11/U279^2)/(1+(F$11*SIGMA_ZETA_1/N_5)*(U278/d^2)^2)</f>
        <v>0.60552142535129116</v>
      </c>
      <c r="V280" s="244">
        <f>(G$11/V279^2)/(1+(G$11*SIGMA_ZETA_1/N_5)*(V278/d^2)^2)</f>
        <v>0.54928483429762731</v>
      </c>
    </row>
    <row r="281" spans="1:22" ht="14" x14ac:dyDescent="0.3">
      <c r="A281" s="276"/>
      <c r="B281" s="276"/>
      <c r="C281" s="276"/>
      <c r="D281" s="276"/>
      <c r="E281" s="276"/>
      <c r="F281" s="276"/>
      <c r="G281" s="276"/>
      <c r="H281" s="276"/>
      <c r="I281" s="276"/>
      <c r="J281" s="276"/>
      <c r="K281" s="276"/>
      <c r="L281" s="276"/>
      <c r="P281" s="217" t="s">
        <v>26</v>
      </c>
      <c r="Q281" s="217">
        <v>12</v>
      </c>
      <c r="R281" s="217"/>
      <c r="S281" s="244">
        <f>1-(x/(3*F_GAMMA*S280))</f>
        <v>0.73965114955804345</v>
      </c>
      <c r="T281" s="244">
        <f>1-(T$4/(3*F_GAMMA*T280))</f>
        <v>0.71150788776117824</v>
      </c>
      <c r="U281" s="244">
        <f>1-(U$4/(3*F_GAMMA*U280))</f>
        <v>0.73764716033709266</v>
      </c>
      <c r="V281" s="244">
        <f>1-(V$4/(3*F_GAMMA*V280))</f>
        <v>0.77243136494049036</v>
      </c>
    </row>
    <row r="282" spans="1:22" ht="14" x14ac:dyDescent="0.3">
      <c r="A282" s="276"/>
      <c r="B282" s="276"/>
      <c r="C282" s="276"/>
      <c r="D282" s="276"/>
      <c r="E282" s="276"/>
      <c r="F282" s="276"/>
      <c r="G282" s="276"/>
      <c r="H282" s="276"/>
      <c r="I282" s="276"/>
      <c r="J282" s="276"/>
      <c r="K282" s="276"/>
      <c r="L282" s="276"/>
      <c r="P282" s="217" t="s">
        <v>71</v>
      </c>
      <c r="Q282" s="249">
        <v>5</v>
      </c>
      <c r="R282" s="217"/>
      <c r="S282" s="244">
        <f>W/(N_6*S279*S281*SQRT(x*P_1*RHO))</f>
        <v>4.9832592131647182</v>
      </c>
      <c r="T282" s="244">
        <f>E$4/(N_6*T279*T281*SQRT(T$4*E$5*E$8))</f>
        <v>9.9998223948371177</v>
      </c>
      <c r="U282" s="244">
        <f>F$4/(N_6*U279*U281*SQRT(U$4*F$5*F$8))</f>
        <v>26.475489836081493</v>
      </c>
      <c r="V282" s="244">
        <f>G$4/(N_6*V279*V281*SQRT(V$4*G$5*G$8))</f>
        <v>45.71356124775258</v>
      </c>
    </row>
    <row r="283" spans="1:22" ht="14" x14ac:dyDescent="0.3">
      <c r="A283" s="276"/>
      <c r="B283" s="276"/>
      <c r="C283" s="276"/>
      <c r="D283" s="276"/>
      <c r="E283" s="276"/>
      <c r="F283" s="276"/>
      <c r="G283" s="276"/>
      <c r="H283" s="276"/>
      <c r="I283" s="276"/>
      <c r="J283" s="276"/>
      <c r="K283" s="276"/>
      <c r="L283" s="276"/>
      <c r="P283" s="217" t="s">
        <v>73</v>
      </c>
      <c r="Q283" s="249">
        <v>5</v>
      </c>
      <c r="R283" s="217"/>
      <c r="S283" s="244">
        <f>W/(0.667*N_6*S279*SQRT(F_GAMMA*S280*P_1*RHO))</f>
        <v>4.883745685685752</v>
      </c>
      <c r="T283" s="244">
        <f>E$4/(0.667*N_6*T279*SQRT(F_GAMMA*T280*E$5*E$8))</f>
        <v>9.9237032915059942</v>
      </c>
      <c r="U283" s="244">
        <f>F$4/(0.667*N_6*U279*SQRT(F_GAMMA*U280*F$5*F$8))</f>
        <v>25.975885239278739</v>
      </c>
      <c r="V283" s="244">
        <f>G$4/(0.667*N_6*V279*SQRT(F_GAMMA*V280*G$5*G$8))</f>
        <v>43.741729608603976</v>
      </c>
    </row>
    <row r="284" spans="1:22" ht="14" x14ac:dyDescent="0.3">
      <c r="A284" s="276"/>
      <c r="B284" s="276"/>
      <c r="C284" s="276"/>
      <c r="D284" s="276"/>
      <c r="E284" s="276"/>
      <c r="F284" s="276"/>
      <c r="G284" s="276"/>
      <c r="H284" s="276"/>
      <c r="I284" s="276"/>
      <c r="J284" s="276"/>
      <c r="K284" s="276"/>
      <c r="L284" s="276"/>
      <c r="P284" s="217" t="s">
        <v>75</v>
      </c>
      <c r="Q284" s="249">
        <v>10</v>
      </c>
      <c r="R284" s="217"/>
      <c r="S284" s="244">
        <f>F_GAMMA*S280</f>
        <v>0.64016670856714286</v>
      </c>
      <c r="T284" s="244">
        <f>F_GAMMA*T280</f>
        <v>0.63070620695430624</v>
      </c>
      <c r="U284" s="244">
        <f>F_GAMMA*U280</f>
        <v>0.60552142535129116</v>
      </c>
      <c r="V284" s="244">
        <f>F_GAMMA*V280</f>
        <v>0.54928483429762731</v>
      </c>
    </row>
    <row r="285" spans="1:22" ht="14" x14ac:dyDescent="0.3">
      <c r="A285" s="276"/>
      <c r="B285" s="276"/>
      <c r="C285" s="276"/>
      <c r="D285" s="276"/>
      <c r="E285" s="276"/>
      <c r="F285" s="276"/>
      <c r="G285" s="276"/>
      <c r="H285" s="276"/>
      <c r="I285" s="276"/>
      <c r="J285" s="276"/>
      <c r="K285" s="276"/>
      <c r="L285" s="276"/>
      <c r="P285" s="217" t="s">
        <v>38</v>
      </c>
      <c r="Q285" s="249"/>
      <c r="S285" s="244">
        <f>IF(S$4&lt;S284,S282,S283)</f>
        <v>4.9832592131647182</v>
      </c>
      <c r="T285" s="244">
        <f>IF(T$4&lt;T284,T282,T283)</f>
        <v>9.9998223948371177</v>
      </c>
      <c r="U285" s="244">
        <f>IF(U$4&lt;U284,U282,U283)</f>
        <v>26.475489836081493</v>
      </c>
      <c r="V285" s="244">
        <f>IF(V$4&lt;V284,V282,V283)</f>
        <v>45.71356124775258</v>
      </c>
    </row>
    <row r="286" spans="1:22" ht="14" x14ac:dyDescent="0.3">
      <c r="A286" s="276"/>
      <c r="B286" s="276"/>
      <c r="C286" s="276"/>
      <c r="D286" s="276"/>
      <c r="E286" s="276"/>
      <c r="F286" s="276"/>
      <c r="G286" s="276"/>
      <c r="H286" s="276"/>
      <c r="I286" s="276"/>
      <c r="J286" s="276"/>
      <c r="K286" s="276"/>
      <c r="L286" s="276"/>
      <c r="P286" s="217"/>
      <c r="S286" s="244"/>
      <c r="T286" s="244"/>
      <c r="U286" s="244"/>
      <c r="V286" s="244"/>
    </row>
    <row r="287" spans="1:22" ht="14" x14ac:dyDescent="0.3">
      <c r="A287" s="276"/>
      <c r="B287" s="276"/>
      <c r="C287" s="276"/>
      <c r="D287" s="276"/>
      <c r="E287" s="276"/>
      <c r="F287" s="276"/>
      <c r="G287" s="276"/>
      <c r="H287" s="276"/>
      <c r="I287" s="276"/>
      <c r="J287" s="276"/>
      <c r="K287" s="276"/>
      <c r="L287" s="276"/>
      <c r="P287" s="217" t="s">
        <v>63</v>
      </c>
      <c r="R287" s="217"/>
      <c r="S287" s="244">
        <f>S285</f>
        <v>4.9832592131647182</v>
      </c>
      <c r="T287" s="244">
        <f>T285</f>
        <v>9.9998223948371177</v>
      </c>
      <c r="U287" s="244">
        <f>U285</f>
        <v>26.475489836081493</v>
      </c>
      <c r="V287" s="244">
        <f>V285</f>
        <v>45.71356124775258</v>
      </c>
    </row>
    <row r="288" spans="1:22" ht="14" x14ac:dyDescent="0.3">
      <c r="A288" s="276"/>
      <c r="B288" s="276"/>
      <c r="C288" s="276"/>
      <c r="D288" s="276"/>
      <c r="E288" s="276"/>
      <c r="F288" s="276"/>
      <c r="G288" s="276"/>
      <c r="H288" s="276"/>
      <c r="I288" s="276"/>
      <c r="J288" s="276"/>
      <c r="K288" s="276"/>
      <c r="L288" s="276"/>
      <c r="P288" s="217" t="s">
        <v>66</v>
      </c>
      <c r="Q288" s="217">
        <v>15</v>
      </c>
      <c r="R288" s="217"/>
      <c r="S288" s="244">
        <f>1/(SQRT(1+(SIGMA_ZETA/N_2)*(S287/d^2)^2))</f>
        <v>0.99926511088487302</v>
      </c>
      <c r="T288" s="244">
        <f>1/(SQRT(1+(SIGMA_ZETA/N_2)*(T287/d^2)^2))</f>
        <v>0.99705059984201272</v>
      </c>
      <c r="U288" s="244">
        <f>1/(SQRT(1+(SIGMA_ZETA/N_2)*(U287/d^2)^2))</f>
        <v>0.97985883424024933</v>
      </c>
      <c r="V288" s="244">
        <f>1/(SQRT(1+(SIGMA_ZETA/N_2)*(V287/d^2)^2))</f>
        <v>0.94330350993868861</v>
      </c>
    </row>
    <row r="289" spans="1:22" ht="14" x14ac:dyDescent="0.3">
      <c r="A289" s="276"/>
      <c r="B289" s="276"/>
      <c r="C289" s="276"/>
      <c r="D289" s="276"/>
      <c r="E289" s="276"/>
      <c r="F289" s="276"/>
      <c r="G289" s="276"/>
      <c r="H289" s="276"/>
      <c r="I289" s="276"/>
      <c r="J289" s="276"/>
      <c r="K289" s="276"/>
      <c r="L289" s="276"/>
      <c r="P289" s="217" t="s">
        <v>68</v>
      </c>
      <c r="Q289" s="249">
        <v>22</v>
      </c>
      <c r="R289" s="217"/>
      <c r="S289" s="244">
        <f>(x_T/S288^2)/(1+(x_T*SIGMA_ZETA_1/N_5)*(S287/d^2)^2)</f>
        <v>0.64016670856714286</v>
      </c>
      <c r="T289" s="244">
        <f>(E$11/T288^2)/(1+(E$11*SIGMA_ZETA_1/N_5)*(T287/d^2)^2)</f>
        <v>0.63070620695430624</v>
      </c>
      <c r="U289" s="244">
        <f>(F$11/U288^2)/(1+(F$11*SIGMA_ZETA_1/N_5)*(U287/d^2)^2)</f>
        <v>0.60552142535129116</v>
      </c>
      <c r="V289" s="244">
        <f>(G$11/V288^2)/(1+(G$11*SIGMA_ZETA_1/N_5)*(V287/d^2)^2)</f>
        <v>0.54928483429762731</v>
      </c>
    </row>
    <row r="290" spans="1:22" ht="14" x14ac:dyDescent="0.3">
      <c r="A290" s="276"/>
      <c r="B290" s="276"/>
      <c r="C290" s="276"/>
      <c r="D290" s="276"/>
      <c r="E290" s="276"/>
      <c r="F290" s="276"/>
      <c r="G290" s="276"/>
      <c r="H290" s="276"/>
      <c r="I290" s="276"/>
      <c r="J290" s="276"/>
      <c r="K290" s="276"/>
      <c r="L290" s="276"/>
      <c r="P290" s="217" t="s">
        <v>26</v>
      </c>
      <c r="Q290" s="217">
        <v>12</v>
      </c>
      <c r="R290" s="217"/>
      <c r="S290" s="244">
        <f>1-(x/(3*F_GAMMA*S289))</f>
        <v>0.73965114955804345</v>
      </c>
      <c r="T290" s="244">
        <f>1-(T$4/(3*F_GAMMA*T289))</f>
        <v>0.71150788776117824</v>
      </c>
      <c r="U290" s="244">
        <f>1-(U$4/(3*F_GAMMA*U289))</f>
        <v>0.73764716033709266</v>
      </c>
      <c r="V290" s="244">
        <f>1-(V$4/(3*F_GAMMA*V289))</f>
        <v>0.77243136494049036</v>
      </c>
    </row>
    <row r="291" spans="1:22" ht="14" x14ac:dyDescent="0.3">
      <c r="A291" s="276"/>
      <c r="B291" s="276"/>
      <c r="C291" s="276"/>
      <c r="D291" s="276"/>
      <c r="E291" s="276"/>
      <c r="F291" s="276"/>
      <c r="G291" s="276"/>
      <c r="H291" s="276"/>
      <c r="I291" s="276"/>
      <c r="J291" s="276"/>
      <c r="K291" s="276"/>
      <c r="L291" s="276"/>
      <c r="P291" s="217" t="s">
        <v>71</v>
      </c>
      <c r="Q291" s="249">
        <v>5</v>
      </c>
      <c r="R291" s="217"/>
      <c r="S291" s="244">
        <f>W/(N_6*S288*S290*SQRT(x*P_1*RHO))</f>
        <v>4.9832592131647182</v>
      </c>
      <c r="T291" s="244">
        <f>E$4/(N_6*T288*T290*SQRT(T$4*E$5*E$8))</f>
        <v>9.9998223948371177</v>
      </c>
      <c r="U291" s="244">
        <f>F$4/(N_6*U288*U290*SQRT(U$4*F$5*F$8))</f>
        <v>26.475489836081493</v>
      </c>
      <c r="V291" s="244">
        <f>G$4/(N_6*V288*V290*SQRT(V$4*G$5*G$8))</f>
        <v>45.71356124775258</v>
      </c>
    </row>
    <row r="292" spans="1:22" ht="14" x14ac:dyDescent="0.3">
      <c r="A292" s="276"/>
      <c r="B292" s="276"/>
      <c r="C292" s="276"/>
      <c r="D292" s="276"/>
      <c r="E292" s="276"/>
      <c r="F292" s="276"/>
      <c r="G292" s="276"/>
      <c r="H292" s="276"/>
      <c r="I292" s="276"/>
      <c r="J292" s="276"/>
      <c r="K292" s="276"/>
      <c r="L292" s="276"/>
      <c r="P292" s="217" t="s">
        <v>73</v>
      </c>
      <c r="Q292" s="249">
        <v>5</v>
      </c>
      <c r="R292" s="217"/>
      <c r="S292" s="244">
        <f>W/(0.667*N_6*S288*SQRT(F_GAMMA*S289*P_1*RHO))</f>
        <v>4.883745685685752</v>
      </c>
      <c r="T292" s="244">
        <f>E$4/(0.667*N_6*T288*SQRT(F_GAMMA*T289*E$5*E$8))</f>
        <v>9.9237032915059942</v>
      </c>
      <c r="U292" s="244">
        <f>F$4/(0.667*N_6*U288*SQRT(F_GAMMA*U289*F$5*F$8))</f>
        <v>25.975885239278739</v>
      </c>
      <c r="V292" s="244">
        <f>G$4/(0.667*N_6*V288*SQRT(F_GAMMA*V289*G$5*G$8))</f>
        <v>43.741729608603976</v>
      </c>
    </row>
    <row r="293" spans="1:22" ht="14" x14ac:dyDescent="0.3">
      <c r="A293" s="276"/>
      <c r="B293" s="276"/>
      <c r="C293" s="276"/>
      <c r="D293" s="276"/>
      <c r="E293" s="276"/>
      <c r="F293" s="276"/>
      <c r="G293" s="276"/>
      <c r="H293" s="276"/>
      <c r="I293" s="276"/>
      <c r="J293" s="276"/>
      <c r="K293" s="276"/>
      <c r="L293" s="276"/>
      <c r="P293" s="217" t="s">
        <v>75</v>
      </c>
      <c r="Q293" s="249">
        <v>10</v>
      </c>
      <c r="R293" s="217"/>
      <c r="S293" s="244">
        <f>F_GAMMA*S289</f>
        <v>0.64016670856714286</v>
      </c>
      <c r="T293" s="244">
        <f>F_GAMMA*T289</f>
        <v>0.63070620695430624</v>
      </c>
      <c r="U293" s="244">
        <f>F_GAMMA*U289</f>
        <v>0.60552142535129116</v>
      </c>
      <c r="V293" s="244">
        <f>F_GAMMA*V289</f>
        <v>0.54928483429762731</v>
      </c>
    </row>
    <row r="294" spans="1:22" ht="14" x14ac:dyDescent="0.3">
      <c r="A294" s="276"/>
      <c r="B294" s="276"/>
      <c r="C294" s="276"/>
      <c r="D294" s="276"/>
      <c r="E294" s="276"/>
      <c r="F294" s="276"/>
      <c r="G294" s="276"/>
      <c r="H294" s="276"/>
      <c r="I294" s="276"/>
      <c r="J294" s="276"/>
      <c r="K294" s="276"/>
      <c r="L294" s="276"/>
      <c r="P294" s="217" t="s">
        <v>38</v>
      </c>
      <c r="Q294" s="249"/>
      <c r="S294" s="244">
        <f>IF(S$4&lt;S293,S291,S292)</f>
        <v>4.9832592131647182</v>
      </c>
      <c r="T294" s="244">
        <f>IF(T$4&lt;T293,T291,T292)</f>
        <v>9.9998223948371177</v>
      </c>
      <c r="U294" s="244">
        <f>IF(U$4&lt;U293,U291,U292)</f>
        <v>26.475489836081493</v>
      </c>
      <c r="V294" s="244">
        <f>IF(V$4&lt;V293,V291,V292)</f>
        <v>45.71356124775258</v>
      </c>
    </row>
    <row r="295" spans="1:22" ht="14" x14ac:dyDescent="0.3">
      <c r="A295" s="276"/>
      <c r="B295" s="276"/>
      <c r="C295" s="276"/>
      <c r="D295" s="276"/>
      <c r="E295" s="276"/>
      <c r="F295" s="276"/>
      <c r="G295" s="276"/>
      <c r="H295" s="276"/>
      <c r="I295" s="276"/>
      <c r="J295" s="276"/>
      <c r="K295" s="276"/>
      <c r="L295" s="276"/>
    </row>
    <row r="296" spans="1:22" ht="14" x14ac:dyDescent="0.3">
      <c r="A296" s="276"/>
      <c r="B296" s="276"/>
      <c r="C296" s="276"/>
      <c r="D296" s="276"/>
      <c r="E296" s="276"/>
      <c r="F296" s="276"/>
      <c r="G296" s="276"/>
      <c r="H296" s="276"/>
      <c r="I296" s="276"/>
      <c r="J296" s="276"/>
      <c r="K296" s="276"/>
      <c r="L296" s="276"/>
      <c r="P296" s="217" t="s">
        <v>63</v>
      </c>
      <c r="R296" s="217"/>
      <c r="S296" s="244">
        <f>S294</f>
        <v>4.9832592131647182</v>
      </c>
      <c r="T296" s="244">
        <f>T294</f>
        <v>9.9998223948371177</v>
      </c>
      <c r="U296" s="244">
        <f>U294</f>
        <v>26.475489836081493</v>
      </c>
      <c r="V296" s="244">
        <f>V294</f>
        <v>45.71356124775258</v>
      </c>
    </row>
    <row r="297" spans="1:22" ht="14" x14ac:dyDescent="0.3">
      <c r="A297" s="276"/>
      <c r="B297" s="276"/>
      <c r="C297" s="276"/>
      <c r="D297" s="276"/>
      <c r="E297" s="276"/>
      <c r="F297" s="276"/>
      <c r="G297" s="276"/>
      <c r="H297" s="276"/>
      <c r="I297" s="276"/>
      <c r="J297" s="276"/>
      <c r="K297" s="276"/>
      <c r="L297" s="276"/>
      <c r="P297" s="217" t="s">
        <v>66</v>
      </c>
      <c r="Q297" s="217">
        <v>15</v>
      </c>
      <c r="R297" s="217"/>
      <c r="S297" s="244">
        <f>1/(SQRT(1+(SIGMA_ZETA/N_2)*(S296/d^2)^2))</f>
        <v>0.99926511088487302</v>
      </c>
      <c r="T297" s="244">
        <f>1/(SQRT(1+(SIGMA_ZETA/N_2)*(T296/d^2)^2))</f>
        <v>0.99705059984201272</v>
      </c>
      <c r="U297" s="244">
        <f>1/(SQRT(1+(SIGMA_ZETA/N_2)*(U296/d^2)^2))</f>
        <v>0.97985883424024933</v>
      </c>
      <c r="V297" s="244">
        <f>1/(SQRT(1+(SIGMA_ZETA/N_2)*(V296/d^2)^2))</f>
        <v>0.94330350993868861</v>
      </c>
    </row>
    <row r="298" spans="1:22" ht="14" x14ac:dyDescent="0.3">
      <c r="A298" s="276"/>
      <c r="B298" s="276"/>
      <c r="C298" s="276"/>
      <c r="D298" s="276"/>
      <c r="E298" s="276"/>
      <c r="F298" s="276"/>
      <c r="G298" s="276"/>
      <c r="H298" s="276"/>
      <c r="I298" s="276"/>
      <c r="J298" s="276"/>
      <c r="K298" s="276"/>
      <c r="L298" s="276"/>
      <c r="P298" s="217" t="s">
        <v>68</v>
      </c>
      <c r="Q298" s="249">
        <v>22</v>
      </c>
      <c r="R298" s="217"/>
      <c r="S298" s="244">
        <f>(x_T/S297^2)/(1+(x_T*SIGMA_ZETA_1/N_5)*(S296/d^2)^2)</f>
        <v>0.64016670856714286</v>
      </c>
      <c r="T298" s="244">
        <f>(E$11/T297^2)/(1+(E$11*SIGMA_ZETA_1/N_5)*(T296/d^2)^2)</f>
        <v>0.63070620695430624</v>
      </c>
      <c r="U298" s="244">
        <f>(F$11/U297^2)/(1+(F$11*SIGMA_ZETA_1/N_5)*(U296/d^2)^2)</f>
        <v>0.60552142535129116</v>
      </c>
      <c r="V298" s="244">
        <f>(G$11/V297^2)/(1+(G$11*SIGMA_ZETA_1/N_5)*(V296/d^2)^2)</f>
        <v>0.54928483429762731</v>
      </c>
    </row>
    <row r="299" spans="1:22" ht="14" x14ac:dyDescent="0.3">
      <c r="A299" s="276"/>
      <c r="B299" s="276"/>
      <c r="C299" s="276"/>
      <c r="D299" s="276"/>
      <c r="E299" s="276"/>
      <c r="F299" s="276"/>
      <c r="G299" s="276"/>
      <c r="H299" s="276"/>
      <c r="I299" s="276"/>
      <c r="J299" s="276"/>
      <c r="K299" s="276"/>
      <c r="L299" s="276"/>
      <c r="P299" s="217" t="s">
        <v>26</v>
      </c>
      <c r="Q299" s="217">
        <v>12</v>
      </c>
      <c r="R299" s="217"/>
      <c r="S299" s="244">
        <f>1-(x/(3*F_GAMMA*S298))</f>
        <v>0.73965114955804345</v>
      </c>
      <c r="T299" s="244">
        <f>1-(T$4/(3*F_GAMMA*T298))</f>
        <v>0.71150788776117824</v>
      </c>
      <c r="U299" s="244">
        <f>1-(U$4/(3*F_GAMMA*U298))</f>
        <v>0.73764716033709266</v>
      </c>
      <c r="V299" s="244">
        <f>1-(V$4/(3*F_GAMMA*V298))</f>
        <v>0.77243136494049036</v>
      </c>
    </row>
    <row r="300" spans="1:22" ht="14" x14ac:dyDescent="0.3">
      <c r="A300" s="276"/>
      <c r="B300" s="276"/>
      <c r="C300" s="276"/>
      <c r="D300" s="276"/>
      <c r="E300" s="276"/>
      <c r="F300" s="276"/>
      <c r="G300" s="276"/>
      <c r="H300" s="276"/>
      <c r="I300" s="276"/>
      <c r="J300" s="276"/>
      <c r="K300" s="276"/>
      <c r="L300" s="276"/>
      <c r="P300" s="217" t="s">
        <v>71</v>
      </c>
      <c r="Q300" s="249">
        <v>5</v>
      </c>
      <c r="R300" s="217"/>
      <c r="S300" s="244">
        <f>W/(N_6*S297*S299*SQRT(x*P_1*RHO))</f>
        <v>4.9832592131647182</v>
      </c>
      <c r="T300" s="244">
        <f>E$4/(N_6*T297*T299*SQRT(T$4*E$5*E$8))</f>
        <v>9.9998223948371177</v>
      </c>
      <c r="U300" s="244">
        <f>F$4/(N_6*U297*U299*SQRT(U$4*F$5*F$8))</f>
        <v>26.475489836081493</v>
      </c>
      <c r="V300" s="244">
        <f>G$4/(N_6*V297*V299*SQRT(V$4*G$5*G$8))</f>
        <v>45.71356124775258</v>
      </c>
    </row>
    <row r="301" spans="1:22" ht="14" x14ac:dyDescent="0.3">
      <c r="A301" s="276"/>
      <c r="B301" s="276"/>
      <c r="C301" s="276"/>
      <c r="D301" s="276"/>
      <c r="E301" s="276"/>
      <c r="F301" s="276"/>
      <c r="G301" s="276"/>
      <c r="H301" s="276"/>
      <c r="I301" s="276"/>
      <c r="J301" s="276"/>
      <c r="K301" s="276"/>
      <c r="L301" s="276"/>
      <c r="P301" s="217" t="s">
        <v>73</v>
      </c>
      <c r="Q301" s="249">
        <v>5</v>
      </c>
      <c r="R301" s="217"/>
      <c r="S301" s="244">
        <f>W/(0.667*N_6*S297*SQRT(F_GAMMA*S298*P_1*RHO))</f>
        <v>4.883745685685752</v>
      </c>
      <c r="T301" s="244">
        <f>E$4/(0.667*N_6*T297*SQRT(F_GAMMA*T298*E$5*E$8))</f>
        <v>9.9237032915059942</v>
      </c>
      <c r="U301" s="244">
        <f>F$4/(0.667*N_6*U297*SQRT(F_GAMMA*U298*F$5*F$8))</f>
        <v>25.975885239278739</v>
      </c>
      <c r="V301" s="244">
        <f>G$4/(0.667*N_6*V297*SQRT(F_GAMMA*V298*G$5*G$8))</f>
        <v>43.741729608603976</v>
      </c>
    </row>
    <row r="302" spans="1:22" ht="14" x14ac:dyDescent="0.3">
      <c r="A302" s="276"/>
      <c r="B302" s="276"/>
      <c r="C302" s="276"/>
      <c r="D302" s="276"/>
      <c r="E302" s="276"/>
      <c r="F302" s="276"/>
      <c r="G302" s="276"/>
      <c r="H302" s="276"/>
      <c r="I302" s="276"/>
      <c r="J302" s="276"/>
      <c r="K302" s="276"/>
      <c r="L302" s="276"/>
      <c r="P302" s="217" t="s">
        <v>75</v>
      </c>
      <c r="Q302" s="249">
        <v>10</v>
      </c>
      <c r="R302" s="217"/>
      <c r="S302" s="244">
        <f>F_GAMMA*S298</f>
        <v>0.64016670856714286</v>
      </c>
      <c r="T302" s="244">
        <f>F_GAMMA*T298</f>
        <v>0.63070620695430624</v>
      </c>
      <c r="U302" s="244">
        <f>F_GAMMA*U298</f>
        <v>0.60552142535129116</v>
      </c>
      <c r="V302" s="244">
        <f>F_GAMMA*V298</f>
        <v>0.54928483429762731</v>
      </c>
    </row>
    <row r="303" spans="1:22" ht="14" x14ac:dyDescent="0.3">
      <c r="A303" s="276"/>
      <c r="B303" s="276"/>
      <c r="C303" s="276"/>
      <c r="D303" s="276"/>
      <c r="E303" s="276"/>
      <c r="F303" s="276"/>
      <c r="G303" s="276"/>
      <c r="H303" s="276"/>
      <c r="I303" s="276"/>
      <c r="J303" s="276"/>
      <c r="K303" s="276"/>
      <c r="L303" s="276"/>
      <c r="P303" s="217" t="s">
        <v>38</v>
      </c>
      <c r="Q303" s="249"/>
      <c r="S303" s="244">
        <f>IF(S$4&lt;S302,S300,S301)</f>
        <v>4.9832592131647182</v>
      </c>
      <c r="T303" s="244">
        <f>IF(T$4&lt;T302,T300,T301)</f>
        <v>9.9998223948371177</v>
      </c>
      <c r="U303" s="244">
        <f>IF(U$4&lt;U302,U300,U301)</f>
        <v>26.475489836081493</v>
      </c>
      <c r="V303" s="244">
        <f>IF(V$4&lt;V302,V300,V301)</f>
        <v>45.71356124775258</v>
      </c>
    </row>
    <row r="304" spans="1:22" ht="14" x14ac:dyDescent="0.3">
      <c r="A304" s="276"/>
      <c r="B304" s="276"/>
      <c r="C304" s="276"/>
      <c r="D304" s="276"/>
      <c r="E304" s="276"/>
      <c r="F304" s="276"/>
      <c r="G304" s="276"/>
      <c r="H304" s="276"/>
      <c r="I304" s="276"/>
      <c r="J304" s="276"/>
      <c r="K304" s="276"/>
      <c r="L304" s="276"/>
      <c r="P304" s="217"/>
      <c r="Q304" s="249"/>
      <c r="S304" s="244"/>
      <c r="T304" s="244"/>
      <c r="U304" s="244"/>
      <c r="V304" s="244"/>
    </row>
    <row r="305" spans="1:22" ht="14" x14ac:dyDescent="0.3">
      <c r="A305" s="276"/>
      <c r="B305" s="276"/>
      <c r="C305" s="276"/>
      <c r="D305" s="276"/>
      <c r="E305" s="276"/>
      <c r="F305" s="276"/>
      <c r="G305" s="276"/>
      <c r="H305" s="276"/>
      <c r="I305" s="276"/>
      <c r="J305" s="276"/>
      <c r="K305" s="276"/>
      <c r="L305" s="276"/>
      <c r="P305" s="217" t="s">
        <v>63</v>
      </c>
      <c r="R305" s="217"/>
      <c r="S305" s="244">
        <f>S303</f>
        <v>4.9832592131647182</v>
      </c>
      <c r="T305" s="244">
        <f>T303</f>
        <v>9.9998223948371177</v>
      </c>
      <c r="U305" s="244">
        <f>U303</f>
        <v>26.475489836081493</v>
      </c>
      <c r="V305" s="244">
        <f>V303</f>
        <v>45.71356124775258</v>
      </c>
    </row>
    <row r="306" spans="1:22" ht="14" x14ac:dyDescent="0.3">
      <c r="A306" s="276"/>
      <c r="F306" s="276"/>
      <c r="G306" s="276"/>
      <c r="H306" s="276"/>
      <c r="I306" s="276"/>
      <c r="J306" s="276"/>
      <c r="K306" s="276"/>
      <c r="L306" s="276"/>
      <c r="P306" s="217" t="s">
        <v>66</v>
      </c>
      <c r="Q306" s="217">
        <v>15</v>
      </c>
      <c r="R306" s="217"/>
      <c r="S306" s="244">
        <f>1/(SQRT(1+(SIGMA_ZETA/N_2)*(S305/d^2)^2))</f>
        <v>0.99926511088487302</v>
      </c>
      <c r="T306" s="244">
        <f>1/(SQRT(1+(SIGMA_ZETA/N_2)*(T305/d^2)^2))</f>
        <v>0.99705059984201272</v>
      </c>
      <c r="U306" s="244">
        <f>1/(SQRT(1+(SIGMA_ZETA/N_2)*(U305/d^2)^2))</f>
        <v>0.97985883424024933</v>
      </c>
      <c r="V306" s="244">
        <f>1/(SQRT(1+(SIGMA_ZETA/N_2)*(V305/d^2)^2))</f>
        <v>0.94330350993868861</v>
      </c>
    </row>
    <row r="307" spans="1:22" ht="14" x14ac:dyDescent="0.3">
      <c r="A307" s="276"/>
      <c r="B307" s="276"/>
      <c r="C307" s="276"/>
      <c r="D307" s="276"/>
      <c r="E307" s="276"/>
      <c r="F307" s="276"/>
      <c r="G307" s="276"/>
      <c r="H307" s="276"/>
      <c r="I307" s="276"/>
      <c r="J307" s="276"/>
      <c r="K307" s="276"/>
      <c r="L307" s="276"/>
      <c r="P307" s="217" t="s">
        <v>68</v>
      </c>
      <c r="Q307" s="249">
        <v>22</v>
      </c>
      <c r="R307" s="217"/>
      <c r="S307" s="244">
        <f>(x_T/S306^2)/(1+(x_T*SIGMA_ZETA_1/N_5)*(S305/d^2)^2)</f>
        <v>0.64016670856714286</v>
      </c>
      <c r="T307" s="244">
        <f>(E$11/T306^2)/(1+(E$11*SIGMA_ZETA_1/N_5)*(T305/d^2)^2)</f>
        <v>0.63070620695430624</v>
      </c>
      <c r="U307" s="244">
        <f>(F$11/U306^2)/(1+(F$11*SIGMA_ZETA_1/N_5)*(U305/d^2)^2)</f>
        <v>0.60552142535129116</v>
      </c>
      <c r="V307" s="244">
        <f>(G$11/V306^2)/(1+(G$11*SIGMA_ZETA_1/N_5)*(V305/d^2)^2)</f>
        <v>0.54928483429762731</v>
      </c>
    </row>
    <row r="308" spans="1:22" ht="14" x14ac:dyDescent="0.3">
      <c r="A308" s="276"/>
      <c r="B308" s="276"/>
      <c r="C308" s="276"/>
      <c r="D308" s="276"/>
      <c r="E308" s="276"/>
      <c r="F308" s="276"/>
      <c r="G308" s="276"/>
      <c r="H308" s="276"/>
      <c r="I308" s="276"/>
      <c r="J308" s="276"/>
      <c r="K308" s="276"/>
      <c r="L308" s="276"/>
      <c r="P308" s="217" t="s">
        <v>26</v>
      </c>
      <c r="Q308" s="217">
        <v>12</v>
      </c>
      <c r="R308" s="217"/>
      <c r="S308" s="244">
        <f>1-(x/(3*F_GAMMA*S307))</f>
        <v>0.73965114955804345</v>
      </c>
      <c r="T308" s="244">
        <f>1-(T$4/(3*F_GAMMA*T307))</f>
        <v>0.71150788776117824</v>
      </c>
      <c r="U308" s="244">
        <f>1-(U$4/(3*F_GAMMA*U307))</f>
        <v>0.73764716033709266</v>
      </c>
      <c r="V308" s="244">
        <f>1-(V$4/(3*F_GAMMA*V307))</f>
        <v>0.77243136494049036</v>
      </c>
    </row>
    <row r="309" spans="1:22" ht="14" x14ac:dyDescent="0.3">
      <c r="A309" s="276"/>
      <c r="B309" s="276"/>
      <c r="C309" s="276"/>
      <c r="D309" s="276"/>
      <c r="E309" s="276"/>
      <c r="F309" s="276"/>
      <c r="G309" s="276"/>
      <c r="H309" s="276"/>
      <c r="I309" s="276"/>
      <c r="J309" s="276"/>
      <c r="K309" s="276"/>
      <c r="L309" s="276"/>
      <c r="P309" s="217" t="s">
        <v>71</v>
      </c>
      <c r="Q309" s="249">
        <v>5</v>
      </c>
      <c r="R309" s="217"/>
      <c r="S309" s="244">
        <f>W/(N_6*S306*S308*SQRT(x*P_1*RHO))</f>
        <v>4.9832592131647182</v>
      </c>
      <c r="T309" s="244">
        <f>E$4/(N_6*T306*T308*SQRT(T$4*E$5*E$8))</f>
        <v>9.9998223948371177</v>
      </c>
      <c r="U309" s="244">
        <f>F$4/(N_6*U306*U308*SQRT(U$4*F$5*F$8))</f>
        <v>26.475489836081493</v>
      </c>
      <c r="V309" s="244">
        <f>G$4/(N_6*V306*V308*SQRT(V$4*G$5*G$8))</f>
        <v>45.71356124775258</v>
      </c>
    </row>
    <row r="310" spans="1:22" ht="14" x14ac:dyDescent="0.3">
      <c r="A310" s="276"/>
      <c r="B310" s="276"/>
      <c r="C310" s="276"/>
      <c r="D310" s="276"/>
      <c r="E310" s="276"/>
      <c r="F310" s="276"/>
      <c r="G310" s="276"/>
      <c r="H310" s="276"/>
      <c r="I310" s="276"/>
      <c r="J310" s="276"/>
      <c r="K310" s="276"/>
      <c r="L310" s="276"/>
      <c r="P310" s="217" t="s">
        <v>73</v>
      </c>
      <c r="Q310" s="249">
        <v>5</v>
      </c>
      <c r="R310" s="217"/>
      <c r="S310" s="244">
        <f>W/(0.667*N_6*S306*SQRT(F_GAMMA*S307*P_1*RHO))</f>
        <v>4.883745685685752</v>
      </c>
      <c r="T310" s="244">
        <f>E$4/(0.667*N_6*T306*SQRT(F_GAMMA*T307*E$5*E$8))</f>
        <v>9.9237032915059942</v>
      </c>
      <c r="U310" s="244">
        <f>F$4/(0.667*N_6*U306*SQRT(F_GAMMA*U307*F$5*F$8))</f>
        <v>25.975885239278739</v>
      </c>
      <c r="V310" s="244">
        <f>G$4/(0.667*N_6*V306*SQRT(F_GAMMA*V307*G$5*G$8))</f>
        <v>43.741729608603976</v>
      </c>
    </row>
    <row r="311" spans="1:22" ht="14" x14ac:dyDescent="0.3">
      <c r="A311" s="276"/>
      <c r="B311" s="276"/>
      <c r="C311" s="276"/>
      <c r="D311" s="276"/>
      <c r="E311" s="276"/>
      <c r="F311" s="276"/>
      <c r="G311" s="276"/>
      <c r="H311" s="276"/>
      <c r="I311" s="276"/>
      <c r="J311" s="276"/>
      <c r="K311" s="276"/>
      <c r="L311" s="276"/>
      <c r="P311" s="217" t="s">
        <v>75</v>
      </c>
      <c r="Q311" s="249">
        <v>10</v>
      </c>
      <c r="R311" s="217"/>
      <c r="S311" s="244">
        <f>F_GAMMA*S307</f>
        <v>0.64016670856714286</v>
      </c>
      <c r="T311" s="244">
        <f>F_GAMMA*T307</f>
        <v>0.63070620695430624</v>
      </c>
      <c r="U311" s="244">
        <f>F_GAMMA*U307</f>
        <v>0.60552142535129116</v>
      </c>
      <c r="V311" s="244">
        <f>F_GAMMA*V307</f>
        <v>0.54928483429762731</v>
      </c>
    </row>
    <row r="312" spans="1:22" ht="14" x14ac:dyDescent="0.3">
      <c r="A312" s="276"/>
      <c r="B312" s="276"/>
      <c r="C312" s="276"/>
      <c r="D312" s="276"/>
      <c r="E312" s="276"/>
      <c r="F312" s="276"/>
      <c r="G312" s="276"/>
      <c r="H312" s="276"/>
      <c r="I312" s="276"/>
      <c r="J312" s="276"/>
      <c r="K312" s="276"/>
      <c r="L312" s="276"/>
      <c r="P312" s="217" t="s">
        <v>38</v>
      </c>
      <c r="Q312" s="249"/>
      <c r="S312" s="244">
        <f>IF(S$4&lt;S311,S309,S310)</f>
        <v>4.9832592131647182</v>
      </c>
      <c r="T312" s="244">
        <f>IF(T$4&lt;T311,T309,T310)</f>
        <v>9.9998223948371177</v>
      </c>
      <c r="U312" s="244">
        <f>IF(U$4&lt;U311,U309,U310)</f>
        <v>26.475489836081493</v>
      </c>
      <c r="V312" s="244">
        <f>IF(V$4&lt;V311,V309,V310)</f>
        <v>45.71356124775258</v>
      </c>
    </row>
    <row r="313" spans="1:22" ht="14" x14ac:dyDescent="0.3">
      <c r="A313" s="276"/>
      <c r="B313" s="276"/>
      <c r="C313" s="276"/>
      <c r="D313" s="276"/>
      <c r="E313" s="276"/>
      <c r="F313" s="276"/>
      <c r="G313" s="276"/>
      <c r="H313" s="276"/>
      <c r="I313" s="276"/>
      <c r="J313" s="276"/>
      <c r="K313" s="276"/>
      <c r="L313" s="276"/>
      <c r="P313" s="217"/>
      <c r="Q313" s="249"/>
      <c r="S313" s="244"/>
      <c r="T313" s="244"/>
      <c r="U313" s="244"/>
      <c r="V313" s="244"/>
    </row>
    <row r="314" spans="1:22" ht="14" x14ac:dyDescent="0.3">
      <c r="A314" s="276"/>
      <c r="B314" s="276"/>
      <c r="C314" s="276"/>
      <c r="D314" s="276"/>
      <c r="E314" s="276"/>
      <c r="F314" s="276"/>
      <c r="G314" s="276"/>
      <c r="H314" s="276"/>
      <c r="I314" s="276"/>
      <c r="J314" s="276"/>
      <c r="K314" s="276"/>
      <c r="L314" s="276"/>
      <c r="P314" s="217" t="s">
        <v>63</v>
      </c>
      <c r="R314" s="217"/>
      <c r="S314" s="244">
        <f>S312</f>
        <v>4.9832592131647182</v>
      </c>
      <c r="T314" s="244">
        <f>T312</f>
        <v>9.9998223948371177</v>
      </c>
      <c r="U314" s="244">
        <f>U312</f>
        <v>26.475489836081493</v>
      </c>
      <c r="V314" s="244">
        <f>V312</f>
        <v>45.71356124775258</v>
      </c>
    </row>
    <row r="315" spans="1:22" ht="14" x14ac:dyDescent="0.3">
      <c r="A315" s="276"/>
      <c r="B315" s="276"/>
      <c r="C315" s="276"/>
      <c r="D315" s="276"/>
      <c r="E315" s="276"/>
      <c r="F315" s="276"/>
      <c r="G315" s="276"/>
      <c r="H315" s="276"/>
      <c r="I315" s="276"/>
      <c r="J315" s="276"/>
      <c r="K315" s="276"/>
      <c r="L315" s="276"/>
      <c r="P315" s="217" t="s">
        <v>66</v>
      </c>
      <c r="Q315" s="217">
        <v>15</v>
      </c>
      <c r="R315" s="217"/>
      <c r="S315" s="244">
        <f>1/(SQRT(1+(SIGMA_ZETA/N_2)*(S314/d^2)^2))</f>
        <v>0.99926511088487302</v>
      </c>
      <c r="T315" s="244">
        <f>1/(SQRT(1+(SIGMA_ZETA/N_2)*(T314/d^2)^2))</f>
        <v>0.99705059984201272</v>
      </c>
      <c r="U315" s="244">
        <f>1/(SQRT(1+(SIGMA_ZETA/N_2)*(U314/d^2)^2))</f>
        <v>0.97985883424024933</v>
      </c>
      <c r="V315" s="244">
        <f>1/(SQRT(1+(SIGMA_ZETA/N_2)*(V314/d^2)^2))</f>
        <v>0.94330350993868861</v>
      </c>
    </row>
    <row r="316" spans="1:22" ht="14" x14ac:dyDescent="0.3">
      <c r="A316" s="276"/>
      <c r="B316" s="276"/>
      <c r="C316" s="276"/>
      <c r="D316" s="276"/>
      <c r="E316" s="276"/>
      <c r="F316" s="276"/>
      <c r="G316" s="276"/>
      <c r="H316" s="276"/>
      <c r="I316" s="276"/>
      <c r="J316" s="276"/>
      <c r="K316" s="276"/>
      <c r="L316" s="276"/>
      <c r="P316" s="217" t="s">
        <v>68</v>
      </c>
      <c r="Q316" s="249">
        <v>22</v>
      </c>
      <c r="R316" s="217"/>
      <c r="S316" s="244">
        <f>(x_T/S315^2)/(1+(x_T*SIGMA_ZETA_1/N_5)*(S314/d^2)^2)</f>
        <v>0.64016670856714286</v>
      </c>
      <c r="T316" s="244">
        <f>(E$11/T315^2)/(1+(E$11*SIGMA_ZETA_1/N_5)*(T314/d^2)^2)</f>
        <v>0.63070620695430624</v>
      </c>
      <c r="U316" s="244">
        <f>(F$11/U315^2)/(1+(F$11*SIGMA_ZETA_1/N_5)*(U314/d^2)^2)</f>
        <v>0.60552142535129116</v>
      </c>
      <c r="V316" s="244">
        <f>(G$11/V315^2)/(1+(G$11*SIGMA_ZETA_1/N_5)*(V314/d^2)^2)</f>
        <v>0.54928483429762731</v>
      </c>
    </row>
    <row r="317" spans="1:22" ht="14" x14ac:dyDescent="0.3">
      <c r="A317" s="276"/>
      <c r="B317" s="276"/>
      <c r="C317" s="276"/>
      <c r="D317" s="276"/>
      <c r="E317" s="276"/>
      <c r="F317" s="276"/>
      <c r="G317" s="276"/>
      <c r="H317" s="276"/>
      <c r="I317" s="276"/>
      <c r="J317" s="276"/>
      <c r="K317" s="276"/>
      <c r="L317" s="276"/>
      <c r="P317" s="217" t="s">
        <v>26</v>
      </c>
      <c r="Q317" s="217">
        <v>12</v>
      </c>
      <c r="R317" s="217"/>
      <c r="S317" s="244">
        <f>1-(x/(3*F_GAMMA*S316))</f>
        <v>0.73965114955804345</v>
      </c>
      <c r="T317" s="244">
        <f>1-(T$4/(3*F_GAMMA*T316))</f>
        <v>0.71150788776117824</v>
      </c>
      <c r="U317" s="244">
        <f>1-(U$4/(3*F_GAMMA*U316))</f>
        <v>0.73764716033709266</v>
      </c>
      <c r="V317" s="244">
        <f>1-(V$4/(3*F_GAMMA*V316))</f>
        <v>0.77243136494049036</v>
      </c>
    </row>
    <row r="318" spans="1:22" ht="14" x14ac:dyDescent="0.3">
      <c r="A318" s="276"/>
      <c r="B318" s="276"/>
      <c r="C318" s="276"/>
      <c r="D318" s="276"/>
      <c r="E318" s="276"/>
      <c r="F318" s="276"/>
      <c r="G318" s="276"/>
      <c r="H318" s="276"/>
      <c r="I318" s="276"/>
      <c r="J318" s="276"/>
      <c r="K318" s="276"/>
      <c r="L318" s="276"/>
      <c r="P318" s="217" t="s">
        <v>71</v>
      </c>
      <c r="Q318" s="249">
        <v>5</v>
      </c>
      <c r="R318" s="217"/>
      <c r="S318" s="244">
        <f>W/(N_6*S315*S317*SQRT(x*P_1*RHO))</f>
        <v>4.9832592131647182</v>
      </c>
      <c r="T318" s="244">
        <f>E$4/(N_6*T315*T317*SQRT(T$4*E$5*E$8))</f>
        <v>9.9998223948371177</v>
      </c>
      <c r="U318" s="244">
        <f>F$4/(N_6*U315*U317*SQRT(U$4*F$5*F$8))</f>
        <v>26.475489836081493</v>
      </c>
      <c r="V318" s="244">
        <f>G$4/(N_6*V315*V317*SQRT(V$4*G$5*G$8))</f>
        <v>45.71356124775258</v>
      </c>
    </row>
    <row r="319" spans="1:22" ht="14" x14ac:dyDescent="0.3">
      <c r="A319" s="276"/>
      <c r="B319" s="276"/>
      <c r="C319" s="276"/>
      <c r="D319" s="276"/>
      <c r="E319" s="276"/>
      <c r="F319" s="276"/>
      <c r="G319" s="276"/>
      <c r="H319" s="276"/>
      <c r="I319" s="276"/>
      <c r="J319" s="276"/>
      <c r="K319" s="276"/>
      <c r="L319" s="276"/>
      <c r="P319" s="217" t="s">
        <v>73</v>
      </c>
      <c r="Q319" s="249">
        <v>5</v>
      </c>
      <c r="R319" s="217"/>
      <c r="S319" s="244">
        <f>W/(0.667*N_6*S315*SQRT(F_GAMMA*S316*P_1*RHO))</f>
        <v>4.883745685685752</v>
      </c>
      <c r="T319" s="244">
        <f>E$4/(0.667*N_6*T315*SQRT(F_GAMMA*T316*E$5*E$8))</f>
        <v>9.9237032915059942</v>
      </c>
      <c r="U319" s="244">
        <f>F$4/(0.667*N_6*U315*SQRT(F_GAMMA*U316*F$5*F$8))</f>
        <v>25.975885239278739</v>
      </c>
      <c r="V319" s="244">
        <f>G$4/(0.667*N_6*V315*SQRT(F_GAMMA*V316*G$5*G$8))</f>
        <v>43.741729608603976</v>
      </c>
    </row>
    <row r="320" spans="1:22" ht="14" x14ac:dyDescent="0.3">
      <c r="A320" s="276"/>
      <c r="B320" s="276"/>
      <c r="C320" s="276"/>
      <c r="D320" s="276"/>
      <c r="E320" s="276"/>
      <c r="F320" s="276"/>
      <c r="G320" s="276"/>
      <c r="H320" s="276"/>
      <c r="I320" s="276"/>
      <c r="J320" s="276"/>
      <c r="K320" s="276"/>
      <c r="L320" s="276"/>
      <c r="P320" s="217" t="s">
        <v>75</v>
      </c>
      <c r="Q320" s="249">
        <v>10</v>
      </c>
      <c r="R320" s="217"/>
      <c r="S320" s="244">
        <f>F_GAMMA*S316</f>
        <v>0.64016670856714286</v>
      </c>
      <c r="T320" s="244">
        <f>F_GAMMA*T316</f>
        <v>0.63070620695430624</v>
      </c>
      <c r="U320" s="244">
        <f>F_GAMMA*U316</f>
        <v>0.60552142535129116</v>
      </c>
      <c r="V320" s="244">
        <f>F_GAMMA*V316</f>
        <v>0.54928483429762731</v>
      </c>
    </row>
    <row r="321" spans="1:22" ht="14" x14ac:dyDescent="0.3">
      <c r="A321" s="276"/>
      <c r="B321" s="276"/>
      <c r="C321" s="276"/>
      <c r="D321" s="276"/>
      <c r="E321" s="276"/>
      <c r="F321" s="276"/>
      <c r="G321" s="276"/>
      <c r="H321" s="276"/>
      <c r="I321" s="276"/>
      <c r="J321" s="276"/>
      <c r="K321" s="276"/>
      <c r="L321" s="276"/>
      <c r="P321" s="217" t="s">
        <v>38</v>
      </c>
      <c r="Q321" s="249"/>
      <c r="S321" s="244">
        <f>IF(S$4&lt;S320,S318,S319)</f>
        <v>4.9832592131647182</v>
      </c>
      <c r="T321" s="244">
        <f>IF(T$4&lt;T320,T318,T319)</f>
        <v>9.9998223948371177</v>
      </c>
      <c r="U321" s="244">
        <f>IF(U$4&lt;U320,U318,U319)</f>
        <v>26.475489836081493</v>
      </c>
      <c r="V321" s="244">
        <f>IF(V$4&lt;V320,V318,V319)</f>
        <v>45.71356124775258</v>
      </c>
    </row>
    <row r="322" spans="1:22" ht="14" x14ac:dyDescent="0.3">
      <c r="A322" s="276"/>
      <c r="B322" s="276"/>
      <c r="C322" s="276"/>
      <c r="D322" s="276"/>
      <c r="E322" s="276"/>
      <c r="F322" s="276"/>
      <c r="G322" s="276"/>
      <c r="H322" s="276"/>
      <c r="I322" s="276"/>
      <c r="J322" s="276"/>
      <c r="K322" s="276"/>
      <c r="L322" s="276"/>
      <c r="P322" s="217"/>
      <c r="Q322" s="249"/>
      <c r="S322" s="244"/>
      <c r="T322" s="244"/>
      <c r="U322" s="244"/>
      <c r="V322" s="244"/>
    </row>
    <row r="323" spans="1:22" ht="14" x14ac:dyDescent="0.3">
      <c r="A323" s="276"/>
      <c r="B323" s="276"/>
      <c r="C323" s="276"/>
      <c r="D323" s="276"/>
      <c r="E323" s="276"/>
      <c r="F323" s="276"/>
      <c r="G323" s="276"/>
      <c r="H323" s="276"/>
      <c r="I323" s="276"/>
      <c r="J323" s="276"/>
      <c r="K323" s="276"/>
      <c r="L323" s="276"/>
      <c r="P323" s="217" t="s">
        <v>63</v>
      </c>
      <c r="R323" s="217"/>
      <c r="S323" s="244">
        <f>S321</f>
        <v>4.9832592131647182</v>
      </c>
      <c r="T323" s="244">
        <f>T321</f>
        <v>9.9998223948371177</v>
      </c>
      <c r="U323" s="244">
        <f>U321</f>
        <v>26.475489836081493</v>
      </c>
      <c r="V323" s="244">
        <f>V321</f>
        <v>45.71356124775258</v>
      </c>
    </row>
    <row r="324" spans="1:22" ht="14" x14ac:dyDescent="0.3">
      <c r="A324" s="276"/>
      <c r="B324" s="276"/>
      <c r="C324" s="276"/>
      <c r="D324" s="276"/>
      <c r="E324" s="276"/>
      <c r="F324" s="276"/>
      <c r="G324" s="276"/>
      <c r="H324" s="276"/>
      <c r="I324" s="276"/>
      <c r="J324" s="276"/>
      <c r="K324" s="276"/>
      <c r="L324" s="276"/>
      <c r="P324" s="217" t="s">
        <v>66</v>
      </c>
      <c r="Q324" s="217">
        <v>15</v>
      </c>
      <c r="R324" s="217"/>
      <c r="S324" s="244">
        <f>1/(SQRT(1+(SIGMA_ZETA/N_2)*(S323/d^2)^2))</f>
        <v>0.99926511088487302</v>
      </c>
      <c r="T324" s="244">
        <f>1/(SQRT(1+(SIGMA_ZETA/N_2)*(T323/d^2)^2))</f>
        <v>0.99705059984201272</v>
      </c>
      <c r="U324" s="244">
        <f>1/(SQRT(1+(SIGMA_ZETA/N_2)*(U323/d^2)^2))</f>
        <v>0.97985883424024933</v>
      </c>
      <c r="V324" s="244">
        <f>1/(SQRT(1+(SIGMA_ZETA/N_2)*(V323/d^2)^2))</f>
        <v>0.94330350993868861</v>
      </c>
    </row>
    <row r="325" spans="1:22" ht="14" x14ac:dyDescent="0.3">
      <c r="A325" s="276"/>
      <c r="B325" s="276"/>
      <c r="C325" s="276"/>
      <c r="D325" s="276"/>
      <c r="E325" s="276"/>
      <c r="F325" s="276"/>
      <c r="G325" s="276"/>
      <c r="H325" s="276"/>
      <c r="I325" s="276"/>
      <c r="J325" s="276"/>
      <c r="K325" s="276"/>
      <c r="L325" s="276"/>
      <c r="P325" s="217" t="s">
        <v>68</v>
      </c>
      <c r="Q325" s="249">
        <v>22</v>
      </c>
      <c r="R325" s="217"/>
      <c r="S325" s="244">
        <f>(x_T/S324^2)/(1+(x_T*SIGMA_ZETA_1/N_5)*(S323/d^2)^2)</f>
        <v>0.64016670856714286</v>
      </c>
      <c r="T325" s="244">
        <f>(E$11/T324^2)/(1+(E$11*SIGMA_ZETA_1/N_5)*(T323/d^2)^2)</f>
        <v>0.63070620695430624</v>
      </c>
      <c r="U325" s="244">
        <f>(F$11/U324^2)/(1+(F$11*SIGMA_ZETA_1/N_5)*(U323/d^2)^2)</f>
        <v>0.60552142535129116</v>
      </c>
      <c r="V325" s="244">
        <f>(G$11/V324^2)/(1+(G$11*SIGMA_ZETA_1/N_5)*(V323/d^2)^2)</f>
        <v>0.54928483429762731</v>
      </c>
    </row>
    <row r="326" spans="1:22" ht="14" x14ac:dyDescent="0.3">
      <c r="A326" s="276"/>
      <c r="B326" s="276"/>
      <c r="C326" s="276"/>
      <c r="D326" s="276"/>
      <c r="E326" s="276"/>
      <c r="F326" s="276"/>
      <c r="G326" s="276"/>
      <c r="H326" s="276"/>
      <c r="I326" s="276"/>
      <c r="J326" s="276"/>
      <c r="K326" s="276"/>
      <c r="L326" s="276"/>
      <c r="P326" s="217" t="s">
        <v>26</v>
      </c>
      <c r="Q326" s="217">
        <v>12</v>
      </c>
      <c r="R326" s="217"/>
      <c r="S326" s="244">
        <f>1-(x/(3*F_GAMMA*S325))</f>
        <v>0.73965114955804345</v>
      </c>
      <c r="T326" s="244">
        <f>1-(T$4/(3*F_GAMMA*T325))</f>
        <v>0.71150788776117824</v>
      </c>
      <c r="U326" s="244">
        <f>1-(U$4/(3*F_GAMMA*U325))</f>
        <v>0.73764716033709266</v>
      </c>
      <c r="V326" s="244">
        <f>1-(V$4/(3*F_GAMMA*V325))</f>
        <v>0.77243136494049036</v>
      </c>
    </row>
    <row r="327" spans="1:22" ht="14" x14ac:dyDescent="0.3">
      <c r="A327" s="276"/>
      <c r="B327" s="276"/>
      <c r="C327" s="276"/>
      <c r="D327" s="276"/>
      <c r="E327" s="276"/>
      <c r="F327" s="276"/>
      <c r="G327" s="276"/>
      <c r="H327" s="276"/>
      <c r="I327" s="276"/>
      <c r="J327" s="276"/>
      <c r="K327" s="276"/>
      <c r="L327" s="276"/>
      <c r="P327" s="217" t="s">
        <v>71</v>
      </c>
      <c r="Q327" s="249">
        <v>5</v>
      </c>
      <c r="R327" s="217"/>
      <c r="S327" s="244">
        <f>W/(N_6*S324*S326*SQRT(x*P_1*RHO))</f>
        <v>4.9832592131647182</v>
      </c>
      <c r="T327" s="244">
        <f>E$4/(N_6*T324*T326*SQRT(T$4*E$5*E$8))</f>
        <v>9.9998223948371177</v>
      </c>
      <c r="U327" s="244">
        <f>F$4/(N_6*U324*U326*SQRT(U$4*F$5*F$8))</f>
        <v>26.475489836081493</v>
      </c>
      <c r="V327" s="244">
        <f>G$4/(N_6*V324*V326*SQRT(V$4*G$5*G$8))</f>
        <v>45.71356124775258</v>
      </c>
    </row>
    <row r="328" spans="1:22" ht="14" x14ac:dyDescent="0.3">
      <c r="A328" s="276"/>
      <c r="B328" s="276"/>
      <c r="C328" s="276"/>
      <c r="D328" s="276"/>
      <c r="E328" s="276"/>
      <c r="F328" s="276"/>
      <c r="G328" s="276"/>
      <c r="H328" s="276"/>
      <c r="I328" s="276"/>
      <c r="J328" s="276"/>
      <c r="K328" s="276"/>
      <c r="L328" s="276"/>
      <c r="P328" s="217" t="s">
        <v>73</v>
      </c>
      <c r="Q328" s="249">
        <v>5</v>
      </c>
      <c r="R328" s="217"/>
      <c r="S328" s="244">
        <f>W/(0.667*N_6*S324*SQRT(F_GAMMA*S325*P_1*RHO))</f>
        <v>4.883745685685752</v>
      </c>
      <c r="T328" s="244">
        <f>E$4/(0.667*N_6*T324*SQRT(F_GAMMA*T325*E$5*E$8))</f>
        <v>9.9237032915059942</v>
      </c>
      <c r="U328" s="244">
        <f>F$4/(0.667*N_6*U324*SQRT(F_GAMMA*U325*F$5*F$8))</f>
        <v>25.975885239278739</v>
      </c>
      <c r="V328" s="244">
        <f>G$4/(0.667*N_6*V324*SQRT(F_GAMMA*V325*G$5*G$8))</f>
        <v>43.741729608603976</v>
      </c>
    </row>
    <row r="329" spans="1:22" ht="14" x14ac:dyDescent="0.3">
      <c r="A329" s="276"/>
      <c r="B329" s="276"/>
      <c r="C329" s="276"/>
      <c r="D329" s="276"/>
      <c r="E329" s="276"/>
      <c r="F329" s="276"/>
      <c r="G329" s="276"/>
      <c r="H329" s="276"/>
      <c r="I329" s="276"/>
      <c r="J329" s="276"/>
      <c r="K329" s="276"/>
      <c r="L329" s="276"/>
      <c r="P329" s="217" t="s">
        <v>75</v>
      </c>
      <c r="Q329" s="249">
        <v>10</v>
      </c>
      <c r="R329" s="217"/>
      <c r="S329" s="244">
        <f>F_GAMMA*S325</f>
        <v>0.64016670856714286</v>
      </c>
      <c r="T329" s="244">
        <f>F_GAMMA*T325</f>
        <v>0.63070620695430624</v>
      </c>
      <c r="U329" s="244">
        <f>F_GAMMA*U325</f>
        <v>0.60552142535129116</v>
      </c>
      <c r="V329" s="244">
        <f>F_GAMMA*V325</f>
        <v>0.54928483429762731</v>
      </c>
    </row>
    <row r="330" spans="1:22" ht="14" x14ac:dyDescent="0.3">
      <c r="A330" s="276"/>
      <c r="B330" s="276"/>
      <c r="C330" s="276"/>
      <c r="D330" s="276"/>
      <c r="E330" s="276"/>
      <c r="F330" s="276"/>
      <c r="G330" s="276"/>
      <c r="H330" s="276"/>
      <c r="I330" s="276"/>
      <c r="J330" s="276"/>
      <c r="K330" s="276"/>
      <c r="L330" s="276"/>
      <c r="P330" s="217" t="s">
        <v>38</v>
      </c>
      <c r="Q330" s="249"/>
      <c r="S330" s="244">
        <f>IF(S$4&lt;S329,S327,S328)</f>
        <v>4.9832592131647182</v>
      </c>
      <c r="T330" s="244">
        <f>IF(T$4&lt;T329,T327,T328)</f>
        <v>9.9998223948371177</v>
      </c>
      <c r="U330" s="244">
        <f>IF(U$4&lt;U329,U327,U328)</f>
        <v>26.475489836081493</v>
      </c>
      <c r="V330" s="244">
        <f>IF(V$4&lt;V329,V327,V328)</f>
        <v>45.71356124775258</v>
      </c>
    </row>
    <row r="331" spans="1:22" ht="14" x14ac:dyDescent="0.3">
      <c r="A331" s="276"/>
      <c r="B331" s="276"/>
      <c r="C331" s="276"/>
      <c r="D331" s="276"/>
      <c r="E331" s="276"/>
      <c r="F331" s="276"/>
      <c r="G331" s="276"/>
      <c r="H331" s="276"/>
      <c r="I331" s="276"/>
      <c r="J331" s="276"/>
      <c r="K331" s="276"/>
      <c r="L331" s="276"/>
      <c r="P331" s="217"/>
      <c r="Q331" s="249"/>
      <c r="S331" s="244"/>
      <c r="T331" s="244"/>
      <c r="U331" s="244"/>
      <c r="V331" s="244"/>
    </row>
    <row r="332" spans="1:22" ht="14" x14ac:dyDescent="0.3">
      <c r="A332" s="276"/>
      <c r="B332" s="276"/>
      <c r="C332" s="276"/>
      <c r="D332" s="276"/>
      <c r="E332" s="276"/>
      <c r="F332" s="276"/>
      <c r="G332" s="276"/>
      <c r="H332" s="276"/>
      <c r="I332" s="276"/>
      <c r="J332" s="276"/>
      <c r="K332" s="276"/>
      <c r="L332" s="276"/>
      <c r="P332" s="217" t="s">
        <v>63</v>
      </c>
      <c r="R332" s="217"/>
      <c r="S332" s="244">
        <f>S330</f>
        <v>4.9832592131647182</v>
      </c>
      <c r="T332" s="244">
        <f>T330</f>
        <v>9.9998223948371177</v>
      </c>
      <c r="U332" s="244">
        <f>U330</f>
        <v>26.475489836081493</v>
      </c>
      <c r="V332" s="244">
        <f>V330</f>
        <v>45.71356124775258</v>
      </c>
    </row>
    <row r="333" spans="1:22" ht="14" x14ac:dyDescent="0.3">
      <c r="A333" s="276"/>
      <c r="B333" s="276"/>
      <c r="C333" s="276"/>
      <c r="D333" s="276"/>
      <c r="E333" s="276"/>
      <c r="F333" s="276"/>
      <c r="G333" s="276"/>
      <c r="H333" s="276"/>
      <c r="I333" s="276"/>
      <c r="J333" s="276"/>
      <c r="K333" s="276"/>
      <c r="L333" s="276"/>
      <c r="P333" s="217" t="s">
        <v>66</v>
      </c>
      <c r="Q333" s="217">
        <v>15</v>
      </c>
      <c r="R333" s="217"/>
      <c r="S333" s="244">
        <f>1/(SQRT(1+(SIGMA_ZETA/N_2)*(S332/d^2)^2))</f>
        <v>0.99926511088487302</v>
      </c>
      <c r="T333" s="244">
        <f>1/(SQRT(1+(SIGMA_ZETA/N_2)*(T332/d^2)^2))</f>
        <v>0.99705059984201272</v>
      </c>
      <c r="U333" s="244">
        <f>1/(SQRT(1+(SIGMA_ZETA/N_2)*(U332/d^2)^2))</f>
        <v>0.97985883424024933</v>
      </c>
      <c r="V333" s="244">
        <f>1/(SQRT(1+(SIGMA_ZETA/N_2)*(V332/d^2)^2))</f>
        <v>0.94330350993868861</v>
      </c>
    </row>
    <row r="334" spans="1:22" ht="14" x14ac:dyDescent="0.3">
      <c r="A334" s="276"/>
      <c r="B334" s="276"/>
      <c r="C334" s="276"/>
      <c r="D334" s="276"/>
      <c r="E334" s="276"/>
      <c r="F334" s="276"/>
      <c r="G334" s="276"/>
      <c r="H334" s="276"/>
      <c r="I334" s="276"/>
      <c r="J334" s="276"/>
      <c r="K334" s="276"/>
      <c r="L334" s="276"/>
      <c r="P334" s="217" t="s">
        <v>68</v>
      </c>
      <c r="Q334" s="249">
        <v>22</v>
      </c>
      <c r="R334" s="217"/>
      <c r="S334" s="244">
        <f>(x_T/S333^2)/(1+(x_T*SIGMA_ZETA_1/N_5)*(S332/d^2)^2)</f>
        <v>0.64016670856714286</v>
      </c>
      <c r="T334" s="244">
        <f>(E$11/T333^2)/(1+(E$11*SIGMA_ZETA_1/N_5)*(T332/d^2)^2)</f>
        <v>0.63070620695430624</v>
      </c>
      <c r="U334" s="244">
        <f>(F$11/U333^2)/(1+(F$11*SIGMA_ZETA_1/N_5)*(U332/d^2)^2)</f>
        <v>0.60552142535129116</v>
      </c>
      <c r="V334" s="244">
        <f>(G$11/V333^2)/(1+(G$11*SIGMA_ZETA_1/N_5)*(V332/d^2)^2)</f>
        <v>0.54928483429762731</v>
      </c>
    </row>
    <row r="335" spans="1:22" ht="14" x14ac:dyDescent="0.3">
      <c r="A335" s="276"/>
      <c r="B335" s="276"/>
      <c r="C335" s="276"/>
      <c r="D335" s="276"/>
      <c r="E335" s="276"/>
      <c r="F335" s="276"/>
      <c r="G335" s="276"/>
      <c r="H335" s="276"/>
      <c r="I335" s="276"/>
      <c r="J335" s="276"/>
      <c r="K335" s="276"/>
      <c r="L335" s="276"/>
      <c r="P335" s="217" t="s">
        <v>26</v>
      </c>
      <c r="Q335" s="217">
        <v>12</v>
      </c>
      <c r="R335" s="217"/>
      <c r="S335" s="244">
        <f>1-(x/(3*F_GAMMA*S334))</f>
        <v>0.73965114955804345</v>
      </c>
      <c r="T335" s="244">
        <f>1-(T$4/(3*F_GAMMA*T334))</f>
        <v>0.71150788776117824</v>
      </c>
      <c r="U335" s="244">
        <f>1-(U$4/(3*F_GAMMA*U334))</f>
        <v>0.73764716033709266</v>
      </c>
      <c r="V335" s="244">
        <f>1-(V$4/(3*F_GAMMA*V334))</f>
        <v>0.77243136494049036</v>
      </c>
    </row>
    <row r="336" spans="1:22" ht="14" x14ac:dyDescent="0.3">
      <c r="A336" s="276"/>
      <c r="B336" s="276"/>
      <c r="C336" s="276"/>
      <c r="D336" s="276"/>
      <c r="E336" s="276"/>
      <c r="F336" s="276"/>
      <c r="G336" s="276"/>
      <c r="H336" s="276"/>
      <c r="I336" s="276"/>
      <c r="J336" s="276"/>
      <c r="K336" s="276"/>
      <c r="L336" s="276"/>
      <c r="P336" s="217" t="s">
        <v>71</v>
      </c>
      <c r="Q336" s="249">
        <v>5</v>
      </c>
      <c r="R336" s="217"/>
      <c r="S336" s="244">
        <f>W/(N_6*S333*S335*SQRT(x*P_1*RHO))</f>
        <v>4.9832592131647182</v>
      </c>
      <c r="T336" s="244">
        <f>E$4/(N_6*T333*T335*SQRT(T$4*E$5*E$8))</f>
        <v>9.9998223948371177</v>
      </c>
      <c r="U336" s="244">
        <f>F$4/(N_6*U333*U335*SQRT(U$4*F$5*F$8))</f>
        <v>26.475489836081493</v>
      </c>
      <c r="V336" s="244">
        <f>G$4/(N_6*V333*V335*SQRT(V$4*G$5*G$8))</f>
        <v>45.71356124775258</v>
      </c>
    </row>
    <row r="337" spans="1:22" ht="14" x14ac:dyDescent="0.3">
      <c r="A337" s="276"/>
      <c r="B337" s="276"/>
      <c r="C337" s="276"/>
      <c r="D337" s="276"/>
      <c r="E337" s="276"/>
      <c r="F337" s="276"/>
      <c r="G337" s="276"/>
      <c r="H337" s="276"/>
      <c r="I337" s="276"/>
      <c r="J337" s="276"/>
      <c r="K337" s="276"/>
      <c r="L337" s="276"/>
      <c r="P337" s="217" t="s">
        <v>73</v>
      </c>
      <c r="Q337" s="249">
        <v>5</v>
      </c>
      <c r="R337" s="217"/>
      <c r="S337" s="244">
        <f>W/(0.667*N_6*S333*SQRT(F_GAMMA*S334*P_1*RHO))</f>
        <v>4.883745685685752</v>
      </c>
      <c r="T337" s="244">
        <f>E$4/(0.667*N_6*T333*SQRT(F_GAMMA*T334*E$5*E$8))</f>
        <v>9.9237032915059942</v>
      </c>
      <c r="U337" s="244">
        <f>F$4/(0.667*N_6*U333*SQRT(F_GAMMA*U334*F$5*F$8))</f>
        <v>25.975885239278739</v>
      </c>
      <c r="V337" s="244">
        <f>G$4/(0.667*N_6*V333*SQRT(F_GAMMA*V334*G$5*G$8))</f>
        <v>43.741729608603976</v>
      </c>
    </row>
    <row r="338" spans="1:22" ht="14" x14ac:dyDescent="0.3">
      <c r="A338" s="276"/>
      <c r="B338" s="276"/>
      <c r="C338" s="276"/>
      <c r="D338" s="276"/>
      <c r="E338" s="276"/>
      <c r="F338" s="276"/>
      <c r="G338" s="276"/>
      <c r="H338" s="276"/>
      <c r="I338" s="276"/>
      <c r="J338" s="276"/>
      <c r="K338" s="276"/>
      <c r="L338" s="276"/>
      <c r="P338" s="217" t="s">
        <v>75</v>
      </c>
      <c r="Q338" s="249">
        <v>10</v>
      </c>
      <c r="R338" s="217"/>
      <c r="S338" s="244">
        <f>F_GAMMA*S334</f>
        <v>0.64016670856714286</v>
      </c>
      <c r="T338" s="244">
        <f>F_GAMMA*T334</f>
        <v>0.63070620695430624</v>
      </c>
      <c r="U338" s="244">
        <f>F_GAMMA*U334</f>
        <v>0.60552142535129116</v>
      </c>
      <c r="V338" s="244">
        <f>F_GAMMA*V334</f>
        <v>0.54928483429762731</v>
      </c>
    </row>
    <row r="339" spans="1:22" ht="14" x14ac:dyDescent="0.3">
      <c r="A339" s="276"/>
      <c r="B339" s="276"/>
      <c r="C339" s="276"/>
      <c r="D339" s="276"/>
      <c r="E339" s="276"/>
      <c r="F339" s="276"/>
      <c r="G339" s="276"/>
      <c r="H339" s="276"/>
      <c r="I339" s="276"/>
      <c r="J339" s="276"/>
      <c r="K339" s="276"/>
      <c r="L339" s="276"/>
      <c r="P339" s="217" t="s">
        <v>38</v>
      </c>
      <c r="Q339" s="249"/>
      <c r="S339" s="244">
        <f>IF(S$4&lt;S338,S336,S337)</f>
        <v>4.9832592131647182</v>
      </c>
      <c r="T339" s="244">
        <f>IF(T$4&lt;T338,T336,T337)</f>
        <v>9.9998223948371177</v>
      </c>
      <c r="U339" s="244">
        <f>IF(U$4&lt;U338,U336,U337)</f>
        <v>26.475489836081493</v>
      </c>
      <c r="V339" s="244">
        <f>IF(V$4&lt;V338,V336,V337)</f>
        <v>45.71356124775258</v>
      </c>
    </row>
    <row r="340" spans="1:22" ht="14" x14ac:dyDescent="0.3">
      <c r="A340" s="276"/>
      <c r="B340" s="276"/>
      <c r="C340" s="276"/>
      <c r="D340" s="276"/>
      <c r="E340" s="276"/>
      <c r="F340" s="276"/>
      <c r="G340" s="276"/>
      <c r="H340" s="276"/>
      <c r="I340" s="276"/>
      <c r="J340" s="276"/>
      <c r="K340" s="276"/>
      <c r="L340" s="276"/>
      <c r="P340" s="217"/>
      <c r="Q340" s="249"/>
      <c r="S340" s="244"/>
      <c r="T340" s="282"/>
      <c r="U340" s="282"/>
      <c r="V340" s="282"/>
    </row>
    <row r="341" spans="1:22" ht="14" x14ac:dyDescent="0.3">
      <c r="A341" s="276"/>
      <c r="B341" s="276"/>
      <c r="C341" s="276"/>
      <c r="D341" s="276"/>
      <c r="E341" s="276"/>
      <c r="F341" s="276"/>
      <c r="G341" s="276"/>
      <c r="H341" s="276"/>
      <c r="I341" s="276"/>
      <c r="J341" s="276"/>
      <c r="K341" s="276"/>
      <c r="L341" s="276"/>
      <c r="P341" s="217" t="s">
        <v>63</v>
      </c>
      <c r="R341" s="217"/>
      <c r="S341" s="244">
        <f>S339</f>
        <v>4.9832592131647182</v>
      </c>
      <c r="T341" s="244">
        <f>T339</f>
        <v>9.9998223948371177</v>
      </c>
      <c r="U341" s="244">
        <f>U339</f>
        <v>26.475489836081493</v>
      </c>
      <c r="V341" s="244">
        <f>V339</f>
        <v>45.71356124775258</v>
      </c>
    </row>
    <row r="342" spans="1:22" ht="14" x14ac:dyDescent="0.3">
      <c r="A342" s="276"/>
      <c r="B342" s="276"/>
      <c r="C342" s="276"/>
      <c r="D342" s="276"/>
      <c r="E342" s="276"/>
      <c r="F342" s="276"/>
      <c r="G342" s="276"/>
      <c r="H342" s="276"/>
      <c r="I342" s="276"/>
      <c r="J342" s="276"/>
      <c r="K342" s="276"/>
      <c r="L342" s="276"/>
      <c r="P342" s="217" t="s">
        <v>66</v>
      </c>
      <c r="Q342" s="217">
        <v>15</v>
      </c>
      <c r="R342" s="217"/>
      <c r="S342" s="244">
        <f>1/(SQRT(1+(SIGMA_ZETA/N_2)*(S341/d^2)^2))</f>
        <v>0.99926511088487302</v>
      </c>
      <c r="T342" s="244">
        <f>1/(SQRT(1+(SIGMA_ZETA/N_2)*(T341/d^2)^2))</f>
        <v>0.99705059984201272</v>
      </c>
      <c r="U342" s="244">
        <f>1/(SQRT(1+(SIGMA_ZETA/N_2)*(U341/d^2)^2))</f>
        <v>0.97985883424024933</v>
      </c>
      <c r="V342" s="244">
        <f>1/(SQRT(1+(SIGMA_ZETA/N_2)*(V341/d^2)^2))</f>
        <v>0.94330350993868861</v>
      </c>
    </row>
    <row r="343" spans="1:22" ht="14" x14ac:dyDescent="0.3">
      <c r="A343" s="276"/>
      <c r="B343" s="276"/>
      <c r="C343" s="276"/>
      <c r="D343" s="276"/>
      <c r="E343" s="276"/>
      <c r="F343" s="276"/>
      <c r="G343" s="276"/>
      <c r="H343" s="276"/>
      <c r="I343" s="276"/>
      <c r="J343" s="276"/>
      <c r="K343" s="276"/>
      <c r="L343" s="276"/>
      <c r="P343" s="217" t="s">
        <v>68</v>
      </c>
      <c r="Q343" s="249">
        <v>22</v>
      </c>
      <c r="R343" s="217"/>
      <c r="S343" s="244">
        <f>(x_T/S342^2)/(1+(x_T*SIGMA_ZETA_1/N_5)*(S341/d^2)^2)</f>
        <v>0.64016670856714286</v>
      </c>
      <c r="T343" s="244">
        <f>(E$11/T342^2)/(1+(E$11*SIGMA_ZETA_1/N_5)*(T341/d^2)^2)</f>
        <v>0.63070620695430624</v>
      </c>
      <c r="U343" s="244">
        <f>(F$11/U342^2)/(1+(F$11*SIGMA_ZETA_1/N_5)*(U341/d^2)^2)</f>
        <v>0.60552142535129116</v>
      </c>
      <c r="V343" s="244">
        <f>(G$11/V342^2)/(1+(G$11*SIGMA_ZETA_1/N_5)*(V341/d^2)^2)</f>
        <v>0.54928483429762731</v>
      </c>
    </row>
    <row r="344" spans="1:22" ht="14" x14ac:dyDescent="0.3">
      <c r="A344" s="276"/>
      <c r="B344" s="276"/>
      <c r="C344" s="276"/>
      <c r="D344" s="276"/>
      <c r="E344" s="276"/>
      <c r="F344" s="276"/>
      <c r="G344" s="276"/>
      <c r="H344" s="276"/>
      <c r="I344" s="276"/>
      <c r="J344" s="276"/>
      <c r="K344" s="276"/>
      <c r="L344" s="276"/>
      <c r="P344" s="217" t="s">
        <v>26</v>
      </c>
      <c r="Q344" s="217">
        <v>12</v>
      </c>
      <c r="R344" s="217"/>
      <c r="S344" s="244">
        <f>1-(x/(3*F_GAMMA*S343))</f>
        <v>0.73965114955804345</v>
      </c>
      <c r="T344" s="244">
        <f>1-(T$4/(3*F_GAMMA*T343))</f>
        <v>0.71150788776117824</v>
      </c>
      <c r="U344" s="244">
        <f>1-(U$4/(3*F_GAMMA*U343))</f>
        <v>0.73764716033709266</v>
      </c>
      <c r="V344" s="244">
        <f>1-(V$4/(3*F_GAMMA*V343))</f>
        <v>0.77243136494049036</v>
      </c>
    </row>
    <row r="345" spans="1:22" ht="14" x14ac:dyDescent="0.3">
      <c r="A345" s="276"/>
      <c r="B345" s="276"/>
      <c r="C345" s="276"/>
      <c r="D345" s="276"/>
      <c r="E345" s="276"/>
      <c r="F345" s="276"/>
      <c r="G345" s="276"/>
      <c r="H345" s="276"/>
      <c r="I345" s="276"/>
      <c r="J345" s="276"/>
      <c r="K345" s="276"/>
      <c r="L345" s="276"/>
      <c r="P345" s="217" t="s">
        <v>71</v>
      </c>
      <c r="Q345" s="249">
        <v>5</v>
      </c>
      <c r="R345" s="217"/>
      <c r="S345" s="244">
        <f>W/(N_6*S342*S344*SQRT(x*P_1*RHO))</f>
        <v>4.9832592131647182</v>
      </c>
      <c r="T345" s="244">
        <f>E$4/(N_6*T342*T344*SQRT(T$4*E$5*E$8))</f>
        <v>9.9998223948371177</v>
      </c>
      <c r="U345" s="244">
        <f>F$4/(N_6*U342*U344*SQRT(U$4*F$5*F$8))</f>
        <v>26.475489836081493</v>
      </c>
      <c r="V345" s="244">
        <f>G$4/(N_6*V342*V344*SQRT(V$4*G$5*G$8))</f>
        <v>45.71356124775258</v>
      </c>
    </row>
    <row r="346" spans="1:22" ht="14" x14ac:dyDescent="0.3">
      <c r="A346" s="276"/>
      <c r="B346" s="276"/>
      <c r="C346" s="276"/>
      <c r="D346" s="276"/>
      <c r="E346" s="276"/>
      <c r="F346" s="276"/>
      <c r="G346" s="276"/>
      <c r="H346" s="276"/>
      <c r="I346" s="276"/>
      <c r="J346" s="276"/>
      <c r="K346" s="276"/>
      <c r="L346" s="276"/>
      <c r="P346" s="217" t="s">
        <v>73</v>
      </c>
      <c r="Q346" s="249">
        <v>5</v>
      </c>
      <c r="R346" s="217"/>
      <c r="S346" s="244">
        <f>W/(0.667*N_6*S342*SQRT(F_GAMMA*S343*P_1*RHO))</f>
        <v>4.883745685685752</v>
      </c>
      <c r="T346" s="244">
        <f>E$4/(0.667*N_6*T342*SQRT(F_GAMMA*T343*E$5*E$8))</f>
        <v>9.9237032915059942</v>
      </c>
      <c r="U346" s="244">
        <f>F$4/(0.667*N_6*U342*SQRT(F_GAMMA*U343*F$5*F$8))</f>
        <v>25.975885239278739</v>
      </c>
      <c r="V346" s="244">
        <f>G$4/(0.667*N_6*V342*SQRT(F_GAMMA*V343*G$5*G$8))</f>
        <v>43.741729608603976</v>
      </c>
    </row>
    <row r="347" spans="1:22" ht="14" x14ac:dyDescent="0.3">
      <c r="A347" s="276"/>
      <c r="B347" s="276"/>
      <c r="C347" s="276"/>
      <c r="D347" s="276"/>
      <c r="E347" s="276"/>
      <c r="F347" s="276"/>
      <c r="G347" s="276"/>
      <c r="H347" s="276"/>
      <c r="I347" s="276"/>
      <c r="J347" s="276"/>
      <c r="K347" s="276"/>
      <c r="L347" s="276"/>
      <c r="P347" s="217" t="s">
        <v>75</v>
      </c>
      <c r="Q347" s="249">
        <v>10</v>
      </c>
      <c r="R347" s="217"/>
      <c r="S347" s="244">
        <f>F_GAMMA*S343</f>
        <v>0.64016670856714286</v>
      </c>
      <c r="T347" s="244">
        <f>F_GAMMA*T343</f>
        <v>0.63070620695430624</v>
      </c>
      <c r="U347" s="244">
        <f>F_GAMMA*U343</f>
        <v>0.60552142535129116</v>
      </c>
      <c r="V347" s="244">
        <f>F_GAMMA*V343</f>
        <v>0.54928483429762731</v>
      </c>
    </row>
    <row r="348" spans="1:22" ht="14" x14ac:dyDescent="0.3">
      <c r="A348" s="276"/>
      <c r="B348" s="276"/>
      <c r="C348" s="276"/>
      <c r="D348" s="276"/>
      <c r="E348" s="276"/>
      <c r="F348" s="276"/>
      <c r="G348" s="276"/>
      <c r="H348" s="276"/>
      <c r="I348" s="276"/>
      <c r="J348" s="276"/>
      <c r="K348" s="276"/>
      <c r="L348" s="276"/>
      <c r="P348" s="217" t="s">
        <v>38</v>
      </c>
      <c r="Q348" s="249"/>
      <c r="S348" s="244">
        <f>IF(S$4&lt;S347,S345,S346)</f>
        <v>4.9832592131647182</v>
      </c>
      <c r="T348" s="244">
        <f>IF(T$4&lt;T347,T345,T346)</f>
        <v>9.9998223948371177</v>
      </c>
      <c r="U348" s="244">
        <f>IF(U$4&lt;U347,U345,U346)</f>
        <v>26.475489836081493</v>
      </c>
      <c r="V348" s="244">
        <f>IF(V$4&lt;V347,V345,V346)</f>
        <v>45.71356124775258</v>
      </c>
    </row>
    <row r="349" spans="1:22" ht="14" x14ac:dyDescent="0.3">
      <c r="A349" s="276"/>
      <c r="B349" s="276"/>
      <c r="C349" s="276"/>
      <c r="D349" s="276"/>
      <c r="E349" s="276"/>
      <c r="F349" s="276"/>
      <c r="G349" s="276"/>
      <c r="H349" s="276"/>
      <c r="I349" s="276"/>
      <c r="J349" s="276"/>
      <c r="K349" s="276"/>
      <c r="L349" s="276"/>
      <c r="P349" s="217"/>
      <c r="Q349" s="217"/>
      <c r="R349" s="217"/>
      <c r="S349" s="244"/>
      <c r="T349" s="244"/>
      <c r="U349" s="244"/>
      <c r="V349" s="244"/>
    </row>
    <row r="350" spans="1:22" ht="14" x14ac:dyDescent="0.3">
      <c r="A350" s="276"/>
      <c r="B350" s="276"/>
      <c r="C350" s="276"/>
      <c r="D350" s="276"/>
      <c r="E350" s="276"/>
      <c r="F350" s="276"/>
      <c r="G350" s="276"/>
      <c r="H350" s="276"/>
      <c r="I350" s="276"/>
      <c r="J350" s="276"/>
      <c r="K350" s="276"/>
      <c r="L350" s="276"/>
      <c r="P350" s="217" t="s">
        <v>63</v>
      </c>
      <c r="R350" s="217"/>
      <c r="S350" s="244">
        <f>S348</f>
        <v>4.9832592131647182</v>
      </c>
      <c r="T350" s="244">
        <f>T348</f>
        <v>9.9998223948371177</v>
      </c>
      <c r="U350" s="244">
        <f>U348</f>
        <v>26.475489836081493</v>
      </c>
      <c r="V350" s="244">
        <f>V348</f>
        <v>45.71356124775258</v>
      </c>
    </row>
    <row r="351" spans="1:22" ht="14" x14ac:dyDescent="0.3">
      <c r="A351" s="276"/>
      <c r="B351" s="276"/>
      <c r="C351" s="276"/>
      <c r="D351" s="276"/>
      <c r="E351" s="276"/>
      <c r="F351" s="276"/>
      <c r="G351" s="276"/>
      <c r="H351" s="276"/>
      <c r="I351" s="276"/>
      <c r="J351" s="276"/>
      <c r="K351" s="276"/>
      <c r="L351" s="276"/>
      <c r="P351" s="217" t="s">
        <v>66</v>
      </c>
      <c r="Q351" s="217">
        <v>15</v>
      </c>
      <c r="R351" s="217"/>
      <c r="S351" s="244">
        <f>1/(SQRT(1+(SIGMA_ZETA/N_2)*(S350/d^2)^2))</f>
        <v>0.99926511088487302</v>
      </c>
      <c r="T351" s="244">
        <f>1/(SQRT(1+(SIGMA_ZETA/N_2)*(T350/d^2)^2))</f>
        <v>0.99705059984201272</v>
      </c>
      <c r="U351" s="244">
        <f>1/(SQRT(1+(SIGMA_ZETA/N_2)*(U350/d^2)^2))</f>
        <v>0.97985883424024933</v>
      </c>
      <c r="V351" s="244">
        <f>1/(SQRT(1+(SIGMA_ZETA/N_2)*(V350/d^2)^2))</f>
        <v>0.94330350993868861</v>
      </c>
    </row>
    <row r="352" spans="1:22" ht="14" x14ac:dyDescent="0.3">
      <c r="A352" s="276"/>
      <c r="B352" s="276"/>
      <c r="C352" s="276"/>
      <c r="D352" s="276"/>
      <c r="E352" s="276"/>
      <c r="F352" s="276"/>
      <c r="G352" s="276"/>
      <c r="H352" s="276"/>
      <c r="I352" s="276"/>
      <c r="J352" s="276"/>
      <c r="K352" s="276"/>
      <c r="L352" s="276"/>
      <c r="P352" s="217" t="s">
        <v>68</v>
      </c>
      <c r="Q352" s="249">
        <v>22</v>
      </c>
      <c r="R352" s="217"/>
      <c r="S352" s="244">
        <f>(x_T/S351^2)/(1+(x_T*SIGMA_ZETA_1/N_5)*(S350/d^2)^2)</f>
        <v>0.64016670856714286</v>
      </c>
      <c r="T352" s="244">
        <f>(E$11/T351^2)/(1+(E$11*SIGMA_ZETA_1/N_5)*(T350/d^2)^2)</f>
        <v>0.63070620695430624</v>
      </c>
      <c r="U352" s="244">
        <f>(F$11/U351^2)/(1+(F$11*SIGMA_ZETA_1/N_5)*(U350/d^2)^2)</f>
        <v>0.60552142535129116</v>
      </c>
      <c r="V352" s="244">
        <f>(G$11/V351^2)/(1+(G$11*SIGMA_ZETA_1/N_5)*(V350/d^2)^2)</f>
        <v>0.54928483429762731</v>
      </c>
    </row>
    <row r="353" spans="1:22" ht="14" x14ac:dyDescent="0.3">
      <c r="A353" s="276"/>
      <c r="B353" s="276"/>
      <c r="C353" s="276"/>
      <c r="D353" s="276"/>
      <c r="E353" s="276"/>
      <c r="F353" s="276"/>
      <c r="G353" s="276"/>
      <c r="H353" s="276"/>
      <c r="I353" s="276"/>
      <c r="J353" s="276"/>
      <c r="K353" s="276"/>
      <c r="L353" s="276"/>
      <c r="P353" s="217" t="s">
        <v>26</v>
      </c>
      <c r="Q353" s="217">
        <v>12</v>
      </c>
      <c r="R353" s="217"/>
      <c r="S353" s="244">
        <f>1-(x/(3*F_GAMMA*S352))</f>
        <v>0.73965114955804345</v>
      </c>
      <c r="T353" s="244">
        <f>1-(T$4/(3*F_GAMMA*T352))</f>
        <v>0.71150788776117824</v>
      </c>
      <c r="U353" s="244">
        <f>1-(U$4/(3*F_GAMMA*U352))</f>
        <v>0.73764716033709266</v>
      </c>
      <c r="V353" s="244">
        <f>1-(V$4/(3*F_GAMMA*V352))</f>
        <v>0.77243136494049036</v>
      </c>
    </row>
    <row r="354" spans="1:22" ht="14" x14ac:dyDescent="0.3">
      <c r="A354" s="276"/>
      <c r="B354" s="276"/>
      <c r="C354" s="276"/>
      <c r="D354" s="276"/>
      <c r="E354" s="276"/>
      <c r="F354" s="276"/>
      <c r="G354" s="276"/>
      <c r="H354" s="276"/>
      <c r="I354" s="276"/>
      <c r="J354" s="276"/>
      <c r="K354" s="276"/>
      <c r="L354" s="276"/>
      <c r="P354" s="217" t="s">
        <v>71</v>
      </c>
      <c r="Q354" s="249">
        <v>5</v>
      </c>
      <c r="R354" s="217"/>
      <c r="S354" s="244">
        <f>W/(N_6*S351*S353*SQRT(x*P_1*RHO))</f>
        <v>4.9832592131647182</v>
      </c>
      <c r="T354" s="244">
        <f>E$4/(N_6*T351*T353*SQRT(T$4*E$5*E$8))</f>
        <v>9.9998223948371177</v>
      </c>
      <c r="U354" s="244">
        <f>F$4/(N_6*U351*U353*SQRT(U$4*F$5*F$8))</f>
        <v>26.475489836081493</v>
      </c>
      <c r="V354" s="244">
        <f>G$4/(N_6*V351*V353*SQRT(V$4*G$5*G$8))</f>
        <v>45.71356124775258</v>
      </c>
    </row>
    <row r="355" spans="1:22" ht="14" x14ac:dyDescent="0.3">
      <c r="A355" s="276"/>
      <c r="B355" s="276"/>
      <c r="C355" s="276"/>
      <c r="D355" s="276"/>
      <c r="E355" s="276"/>
      <c r="F355" s="276"/>
      <c r="G355" s="276"/>
      <c r="H355" s="276"/>
      <c r="I355" s="276"/>
      <c r="J355" s="276"/>
      <c r="K355" s="276"/>
      <c r="L355" s="276"/>
      <c r="P355" s="217" t="s">
        <v>73</v>
      </c>
      <c r="Q355" s="249">
        <v>5</v>
      </c>
      <c r="R355" s="217"/>
      <c r="S355" s="244">
        <f>W/(0.667*N_6*S351*SQRT(F_GAMMA*S352*P_1*RHO))</f>
        <v>4.883745685685752</v>
      </c>
      <c r="T355" s="244">
        <f>E$4/(0.667*N_6*T351*SQRT(F_GAMMA*T352*E$5*E$8))</f>
        <v>9.9237032915059942</v>
      </c>
      <c r="U355" s="244">
        <f>F$4/(0.667*N_6*U351*SQRT(F_GAMMA*U352*F$5*F$8))</f>
        <v>25.975885239278739</v>
      </c>
      <c r="V355" s="244">
        <f>G$4/(0.667*N_6*V351*SQRT(F_GAMMA*V352*G$5*G$8))</f>
        <v>43.741729608603976</v>
      </c>
    </row>
    <row r="356" spans="1:22" ht="14" x14ac:dyDescent="0.3">
      <c r="A356" s="276"/>
      <c r="B356" s="276"/>
      <c r="C356" s="276"/>
      <c r="D356" s="276"/>
      <c r="E356" s="276"/>
      <c r="F356" s="276"/>
      <c r="G356" s="276"/>
      <c r="H356" s="276"/>
      <c r="I356" s="276"/>
      <c r="J356" s="276"/>
      <c r="K356" s="276"/>
      <c r="L356" s="276"/>
      <c r="P356" s="217" t="s">
        <v>75</v>
      </c>
      <c r="Q356" s="249">
        <v>10</v>
      </c>
      <c r="R356" s="217"/>
      <c r="S356" s="244">
        <f>F_GAMMA*S352</f>
        <v>0.64016670856714286</v>
      </c>
      <c r="T356" s="244">
        <f>F_GAMMA*T352</f>
        <v>0.63070620695430624</v>
      </c>
      <c r="U356" s="244">
        <f>F_GAMMA*U352</f>
        <v>0.60552142535129116</v>
      </c>
      <c r="V356" s="244">
        <f>F_GAMMA*V352</f>
        <v>0.54928483429762731</v>
      </c>
    </row>
    <row r="357" spans="1:22" ht="14" x14ac:dyDescent="0.3">
      <c r="A357" s="276"/>
      <c r="B357" s="276"/>
      <c r="C357" s="276"/>
      <c r="D357" s="276"/>
      <c r="E357" s="276"/>
      <c r="F357" s="276"/>
      <c r="G357" s="276"/>
      <c r="H357" s="276"/>
      <c r="I357" s="276"/>
      <c r="J357" s="276"/>
      <c r="K357" s="276"/>
      <c r="L357" s="276"/>
      <c r="P357" s="217" t="s">
        <v>38</v>
      </c>
      <c r="Q357" s="249"/>
      <c r="S357" s="244">
        <f>IF(S$4&lt;S356,S354,S355)</f>
        <v>4.9832592131647182</v>
      </c>
      <c r="T357" s="244">
        <f>IF(T$4&lt;T356,T354,T355)</f>
        <v>9.9998223948371177</v>
      </c>
      <c r="U357" s="244">
        <f>IF(U$4&lt;U356,U354,U355)</f>
        <v>26.475489836081493</v>
      </c>
      <c r="V357" s="244">
        <f>IF(V$4&lt;V356,V354,V355)</f>
        <v>45.71356124775258</v>
      </c>
    </row>
    <row r="358" spans="1:22" ht="14" x14ac:dyDescent="0.3">
      <c r="A358" s="276"/>
      <c r="B358" s="276"/>
      <c r="C358" s="276"/>
      <c r="D358" s="276"/>
      <c r="E358" s="276"/>
      <c r="F358" s="276"/>
      <c r="G358" s="276"/>
      <c r="H358" s="276"/>
      <c r="I358" s="276"/>
      <c r="J358" s="276"/>
      <c r="K358" s="276"/>
      <c r="L358" s="276"/>
      <c r="P358" s="217"/>
      <c r="Q358" s="249"/>
      <c r="S358" s="244"/>
      <c r="T358" s="244"/>
      <c r="U358" s="244"/>
      <c r="V358" s="244"/>
    </row>
    <row r="359" spans="1:22" ht="14" x14ac:dyDescent="0.3">
      <c r="A359" s="276"/>
      <c r="B359" s="276"/>
      <c r="C359" s="276"/>
      <c r="D359" s="276"/>
      <c r="E359" s="276"/>
      <c r="F359" s="276"/>
      <c r="G359" s="276"/>
      <c r="H359" s="276"/>
      <c r="I359" s="276"/>
      <c r="J359" s="276"/>
      <c r="K359" s="276"/>
      <c r="L359" s="276"/>
      <c r="P359" s="217" t="s">
        <v>63</v>
      </c>
      <c r="R359" s="217"/>
      <c r="S359" s="244">
        <f>S357</f>
        <v>4.9832592131647182</v>
      </c>
      <c r="T359" s="244">
        <f>T357</f>
        <v>9.9998223948371177</v>
      </c>
      <c r="U359" s="244">
        <f>U357</f>
        <v>26.475489836081493</v>
      </c>
      <c r="V359" s="244">
        <f>V357</f>
        <v>45.71356124775258</v>
      </c>
    </row>
    <row r="360" spans="1:22" ht="14" x14ac:dyDescent="0.3">
      <c r="A360" s="276"/>
      <c r="B360" s="276"/>
      <c r="C360" s="276"/>
      <c r="D360" s="276"/>
      <c r="E360" s="276"/>
      <c r="F360" s="276"/>
      <c r="G360" s="276"/>
      <c r="H360" s="276"/>
      <c r="I360" s="276"/>
      <c r="J360" s="276"/>
      <c r="K360" s="276"/>
      <c r="L360" s="276"/>
      <c r="P360" s="217" t="s">
        <v>66</v>
      </c>
      <c r="Q360" s="217">
        <v>15</v>
      </c>
      <c r="R360" s="217"/>
      <c r="S360" s="244">
        <f>1/(SQRT(1+(SIGMA_ZETA/N_2)*(S359/d^2)^2))</f>
        <v>0.99926511088487302</v>
      </c>
      <c r="T360" s="244">
        <f>1/(SQRT(1+(SIGMA_ZETA/N_2)*(T359/d^2)^2))</f>
        <v>0.99705059984201272</v>
      </c>
      <c r="U360" s="244">
        <f>1/(SQRT(1+(SIGMA_ZETA/N_2)*(U359/d^2)^2))</f>
        <v>0.97985883424024933</v>
      </c>
      <c r="V360" s="244">
        <f>1/(SQRT(1+(SIGMA_ZETA/N_2)*(V359/d^2)^2))</f>
        <v>0.94330350993868861</v>
      </c>
    </row>
    <row r="361" spans="1:22" ht="14" x14ac:dyDescent="0.3">
      <c r="A361" s="276"/>
      <c r="B361" s="276"/>
      <c r="C361" s="276"/>
      <c r="D361" s="276"/>
      <c r="E361" s="276"/>
      <c r="F361" s="276"/>
      <c r="G361" s="276"/>
      <c r="H361" s="276"/>
      <c r="I361" s="276"/>
      <c r="J361" s="276"/>
      <c r="K361" s="276"/>
      <c r="L361" s="276"/>
      <c r="P361" s="217" t="s">
        <v>68</v>
      </c>
      <c r="Q361" s="249">
        <v>22</v>
      </c>
      <c r="R361" s="217"/>
      <c r="S361" s="244">
        <f>(x_T/S360^2)/(1+(x_T*SIGMA_ZETA_1/N_5)*(S359/d^2)^2)</f>
        <v>0.64016670856714286</v>
      </c>
      <c r="T361" s="244">
        <f>(E$11/T360^2)/(1+(E$11*SIGMA_ZETA_1/N_5)*(T359/d^2)^2)</f>
        <v>0.63070620695430624</v>
      </c>
      <c r="U361" s="244">
        <f>(F$11/U360^2)/(1+(F$11*SIGMA_ZETA_1/N_5)*(U359/d^2)^2)</f>
        <v>0.60552142535129116</v>
      </c>
      <c r="V361" s="244">
        <f>(G$11/V360^2)/(1+(G$11*SIGMA_ZETA_1/N_5)*(V359/d^2)^2)</f>
        <v>0.54928483429762731</v>
      </c>
    </row>
    <row r="362" spans="1:22" ht="14" x14ac:dyDescent="0.3">
      <c r="A362" s="276"/>
      <c r="B362" s="276"/>
      <c r="C362" s="276"/>
      <c r="D362" s="276"/>
      <c r="E362" s="276"/>
      <c r="F362" s="276"/>
      <c r="G362" s="276"/>
      <c r="H362" s="276"/>
      <c r="I362" s="276"/>
      <c r="J362" s="276"/>
      <c r="K362" s="276"/>
      <c r="L362" s="276"/>
      <c r="P362" s="217" t="s">
        <v>26</v>
      </c>
      <c r="Q362" s="217">
        <v>12</v>
      </c>
      <c r="R362" s="217"/>
      <c r="S362" s="244">
        <f>1-(x/(3*F_GAMMA*S361))</f>
        <v>0.73965114955804345</v>
      </c>
      <c r="T362" s="244">
        <f>1-(T$4/(3*F_GAMMA*T361))</f>
        <v>0.71150788776117824</v>
      </c>
      <c r="U362" s="244">
        <f>1-(U$4/(3*F_GAMMA*U361))</f>
        <v>0.73764716033709266</v>
      </c>
      <c r="V362" s="244">
        <f>1-(V$4/(3*F_GAMMA*V361))</f>
        <v>0.77243136494049036</v>
      </c>
    </row>
    <row r="363" spans="1:22" ht="14" x14ac:dyDescent="0.3">
      <c r="A363" s="276"/>
      <c r="B363" s="276"/>
      <c r="C363" s="276"/>
      <c r="D363" s="276"/>
      <c r="E363" s="276"/>
      <c r="F363" s="276"/>
      <c r="G363" s="276"/>
      <c r="H363" s="276"/>
      <c r="I363" s="276"/>
      <c r="J363" s="276"/>
      <c r="K363" s="276"/>
      <c r="L363" s="276"/>
      <c r="P363" s="217" t="s">
        <v>71</v>
      </c>
      <c r="Q363" s="249">
        <v>5</v>
      </c>
      <c r="R363" s="217"/>
      <c r="S363" s="244">
        <f>W/(N_6*S360*S362*SQRT(x*P_1*RHO))</f>
        <v>4.9832592131647182</v>
      </c>
      <c r="T363" s="244">
        <f>E$4/(N_6*T360*T362*SQRT(T$4*E$5*E$8))</f>
        <v>9.9998223948371177</v>
      </c>
      <c r="U363" s="244">
        <f>F$4/(N_6*U360*U362*SQRT(U$4*F$5*F$8))</f>
        <v>26.475489836081493</v>
      </c>
      <c r="V363" s="244">
        <f>G$4/(N_6*V360*V362*SQRT(V$4*G$5*G$8))</f>
        <v>45.71356124775258</v>
      </c>
    </row>
    <row r="364" spans="1:22" ht="14" x14ac:dyDescent="0.3">
      <c r="A364" s="276"/>
      <c r="B364" s="276"/>
      <c r="C364" s="276"/>
      <c r="D364" s="276"/>
      <c r="E364" s="276"/>
      <c r="F364" s="276"/>
      <c r="G364" s="276"/>
      <c r="H364" s="276"/>
      <c r="I364" s="276"/>
      <c r="J364" s="276"/>
      <c r="K364" s="276"/>
      <c r="L364" s="276"/>
      <c r="P364" s="217" t="s">
        <v>73</v>
      </c>
      <c r="Q364" s="249">
        <v>5</v>
      </c>
      <c r="R364" s="217"/>
      <c r="S364" s="244">
        <f>W/(0.667*N_6*S360*SQRT(F_GAMMA*S361*P_1*RHO))</f>
        <v>4.883745685685752</v>
      </c>
      <c r="T364" s="244">
        <f>E$4/(0.667*N_6*T360*SQRT(F_GAMMA*T361*E$5*E$8))</f>
        <v>9.9237032915059942</v>
      </c>
      <c r="U364" s="244">
        <f>F$4/(0.667*N_6*U360*SQRT(F_GAMMA*U361*F$5*F$8))</f>
        <v>25.975885239278739</v>
      </c>
      <c r="V364" s="244">
        <f>G$4/(0.667*N_6*V360*SQRT(F_GAMMA*V361*G$5*G$8))</f>
        <v>43.741729608603976</v>
      </c>
    </row>
    <row r="365" spans="1:22" ht="14" x14ac:dyDescent="0.3">
      <c r="A365" s="276"/>
      <c r="B365" s="276"/>
      <c r="C365" s="276"/>
      <c r="D365" s="276"/>
      <c r="E365" s="276"/>
      <c r="F365" s="276"/>
      <c r="G365" s="276"/>
      <c r="H365" s="276"/>
      <c r="I365" s="276"/>
      <c r="J365" s="276"/>
      <c r="K365" s="276"/>
      <c r="L365" s="276"/>
      <c r="P365" s="217" t="s">
        <v>75</v>
      </c>
      <c r="Q365" s="249">
        <v>10</v>
      </c>
      <c r="R365" s="217"/>
      <c r="S365" s="244">
        <f>F_GAMMA*S361</f>
        <v>0.64016670856714286</v>
      </c>
      <c r="T365" s="244">
        <f>F_GAMMA*T361</f>
        <v>0.63070620695430624</v>
      </c>
      <c r="U365" s="244">
        <f>F_GAMMA*U361</f>
        <v>0.60552142535129116</v>
      </c>
      <c r="V365" s="244">
        <f>F_GAMMA*V361</f>
        <v>0.54928483429762731</v>
      </c>
    </row>
    <row r="366" spans="1:22" ht="14" x14ac:dyDescent="0.3">
      <c r="A366" s="276"/>
      <c r="B366" s="276"/>
      <c r="C366" s="276"/>
      <c r="D366" s="276"/>
      <c r="E366" s="276"/>
      <c r="F366" s="276"/>
      <c r="G366" s="276"/>
      <c r="H366" s="276"/>
      <c r="I366" s="276"/>
      <c r="J366" s="276"/>
      <c r="K366" s="276"/>
      <c r="L366" s="276"/>
      <c r="P366" s="217" t="s">
        <v>38</v>
      </c>
      <c r="Q366" s="249"/>
      <c r="S366" s="244">
        <f>IF(S$4&lt;S365,S363,S364)</f>
        <v>4.9832592131647182</v>
      </c>
      <c r="T366" s="244">
        <f>IF(T$4&lt;T365,T363,T364)</f>
        <v>9.9998223948371177</v>
      </c>
      <c r="U366" s="244">
        <f>IF(U$4&lt;U365,U363,U364)</f>
        <v>26.475489836081493</v>
      </c>
      <c r="V366" s="244">
        <f>IF(V$4&lt;V365,V363,V364)</f>
        <v>45.71356124775258</v>
      </c>
    </row>
    <row r="367" spans="1:22" ht="14" x14ac:dyDescent="0.3">
      <c r="A367" s="276"/>
      <c r="B367" s="276"/>
      <c r="C367" s="276"/>
      <c r="D367" s="276"/>
      <c r="E367" s="276"/>
      <c r="F367" s="276"/>
      <c r="G367" s="276"/>
      <c r="H367" s="276"/>
      <c r="I367" s="276"/>
      <c r="J367" s="276"/>
      <c r="K367" s="276"/>
      <c r="L367" s="276"/>
      <c r="P367" s="217"/>
      <c r="Q367" s="217"/>
      <c r="S367" s="244"/>
      <c r="T367" s="244"/>
      <c r="U367" s="244"/>
      <c r="V367" s="244"/>
    </row>
    <row r="368" spans="1:22" ht="14" x14ac:dyDescent="0.3">
      <c r="A368" s="276"/>
      <c r="B368" s="276"/>
      <c r="C368" s="276"/>
      <c r="D368" s="276"/>
      <c r="E368" s="276"/>
      <c r="F368" s="276"/>
      <c r="G368" s="276"/>
      <c r="H368" s="276"/>
      <c r="I368" s="276"/>
      <c r="J368" s="276"/>
      <c r="K368" s="276"/>
      <c r="L368" s="276"/>
      <c r="P368" s="217" t="s">
        <v>63</v>
      </c>
      <c r="R368" s="217"/>
      <c r="S368" s="244">
        <f>S366</f>
        <v>4.9832592131647182</v>
      </c>
      <c r="T368" s="244">
        <f>T366</f>
        <v>9.9998223948371177</v>
      </c>
      <c r="U368" s="244">
        <f>U366</f>
        <v>26.475489836081493</v>
      </c>
      <c r="V368" s="244">
        <f>V366</f>
        <v>45.71356124775258</v>
      </c>
    </row>
    <row r="369" spans="16:22" x14ac:dyDescent="0.25">
      <c r="P369" s="217" t="s">
        <v>66</v>
      </c>
      <c r="Q369" s="217">
        <v>15</v>
      </c>
      <c r="R369" s="217"/>
      <c r="S369" s="244">
        <f>1/(SQRT(1+(SIGMA_ZETA/N_2)*(S368/d^2)^2))</f>
        <v>0.99926511088487302</v>
      </c>
      <c r="T369" s="244">
        <f>1/(SQRT(1+(SIGMA_ZETA/N_2)*(T368/d^2)^2))</f>
        <v>0.99705059984201272</v>
      </c>
      <c r="U369" s="244">
        <f>1/(SQRT(1+(SIGMA_ZETA/N_2)*(U368/d^2)^2))</f>
        <v>0.97985883424024933</v>
      </c>
      <c r="V369" s="244">
        <f>1/(SQRT(1+(SIGMA_ZETA/N_2)*(V368/d^2)^2))</f>
        <v>0.94330350993868861</v>
      </c>
    </row>
    <row r="370" spans="16:22" x14ac:dyDescent="0.25">
      <c r="P370" s="217" t="s">
        <v>68</v>
      </c>
      <c r="Q370" s="249">
        <v>22</v>
      </c>
      <c r="R370" s="217"/>
      <c r="S370" s="244">
        <f>(x_T/S369^2)/(1+(x_T*SIGMA_ZETA_1/N_5)*(S368/d^2)^2)</f>
        <v>0.64016670856714286</v>
      </c>
      <c r="T370" s="244">
        <f>(E$11/T369^2)/(1+(E$11*SIGMA_ZETA_1/N_5)*(T368/d^2)^2)</f>
        <v>0.63070620695430624</v>
      </c>
      <c r="U370" s="244">
        <f>(F$11/U369^2)/(1+(F$11*SIGMA_ZETA_1/N_5)*(U368/d^2)^2)</f>
        <v>0.60552142535129116</v>
      </c>
      <c r="V370" s="244">
        <f>(G$11/V369^2)/(1+(G$11*SIGMA_ZETA_1/N_5)*(V368/d^2)^2)</f>
        <v>0.54928483429762731</v>
      </c>
    </row>
    <row r="371" spans="16:22" x14ac:dyDescent="0.25">
      <c r="P371" s="217" t="s">
        <v>26</v>
      </c>
      <c r="Q371" s="217">
        <v>12</v>
      </c>
      <c r="R371" s="217"/>
      <c r="S371" s="244">
        <f>1-(x/(3*F_GAMMA*S370))</f>
        <v>0.73965114955804345</v>
      </c>
      <c r="T371" s="244">
        <f>1-(T$4/(3*F_GAMMA*T370))</f>
        <v>0.71150788776117824</v>
      </c>
      <c r="U371" s="244">
        <f>1-(U$4/(3*F_GAMMA*U370))</f>
        <v>0.73764716033709266</v>
      </c>
      <c r="V371" s="244">
        <f>1-(V$4/(3*F_GAMMA*V370))</f>
        <v>0.77243136494049036</v>
      </c>
    </row>
    <row r="372" spans="16:22" x14ac:dyDescent="0.25">
      <c r="P372" s="217" t="s">
        <v>71</v>
      </c>
      <c r="Q372" s="249">
        <v>5</v>
      </c>
      <c r="R372" s="217"/>
      <c r="S372" s="244">
        <f>W/(N_6*S369*S371*SQRT(x*P_1*RHO))</f>
        <v>4.9832592131647182</v>
      </c>
      <c r="T372" s="244">
        <f>E$4/(N_6*T369*T371*SQRT(T$4*E$5*E$8))</f>
        <v>9.9998223948371177</v>
      </c>
      <c r="U372" s="244">
        <f>F$4/(N_6*U369*U371*SQRT(U$4*F$5*F$8))</f>
        <v>26.475489836081493</v>
      </c>
      <c r="V372" s="244">
        <f>G$4/(N_6*V369*V371*SQRT(V$4*G$5*G$8))</f>
        <v>45.71356124775258</v>
      </c>
    </row>
    <row r="373" spans="16:22" x14ac:dyDescent="0.25">
      <c r="P373" s="217" t="s">
        <v>73</v>
      </c>
      <c r="Q373" s="249">
        <v>5</v>
      </c>
      <c r="R373" s="217"/>
      <c r="S373" s="244">
        <f>W/(0.667*N_6*S369*SQRT(F_GAMMA*S370*P_1*RHO))</f>
        <v>4.883745685685752</v>
      </c>
      <c r="T373" s="244">
        <f>E$4/(0.667*N_6*T369*SQRT(F_GAMMA*T370*E$5*E$8))</f>
        <v>9.9237032915059942</v>
      </c>
      <c r="U373" s="244">
        <f>F$4/(0.667*N_6*U369*SQRT(F_GAMMA*U370*F$5*F$8))</f>
        <v>25.975885239278739</v>
      </c>
      <c r="V373" s="244">
        <f>G$4/(0.667*N_6*V369*SQRT(F_GAMMA*V370*G$5*G$8))</f>
        <v>43.741729608603976</v>
      </c>
    </row>
    <row r="374" spans="16:22" x14ac:dyDescent="0.25">
      <c r="P374" s="217" t="s">
        <v>75</v>
      </c>
      <c r="Q374" s="249">
        <v>10</v>
      </c>
      <c r="R374" s="217"/>
      <c r="S374" s="244">
        <f>F_GAMMA*S370</f>
        <v>0.64016670856714286</v>
      </c>
      <c r="T374" s="244">
        <f>F_GAMMA*T370</f>
        <v>0.63070620695430624</v>
      </c>
      <c r="U374" s="244">
        <f>F_GAMMA*U370</f>
        <v>0.60552142535129116</v>
      </c>
      <c r="V374" s="244">
        <f>F_GAMMA*V370</f>
        <v>0.54928483429762731</v>
      </c>
    </row>
    <row r="375" spans="16:22" x14ac:dyDescent="0.25">
      <c r="P375" s="217" t="s">
        <v>38</v>
      </c>
      <c r="Q375" s="249"/>
      <c r="S375" s="244">
        <f>IF(S$4&lt;S374,S372,S373)</f>
        <v>4.9832592131647182</v>
      </c>
      <c r="T375" s="244">
        <f>IF(T$4&lt;T374,T372,T373)</f>
        <v>9.9998223948371177</v>
      </c>
      <c r="U375" s="244">
        <f>IF(U$4&lt;U374,U372,U373)</f>
        <v>26.475489836081493</v>
      </c>
      <c r="V375" s="244">
        <f>IF(V$4&lt;V374,V372,V373)</f>
        <v>45.71356124775258</v>
      </c>
    </row>
    <row r="376" spans="16:22" x14ac:dyDescent="0.25">
      <c r="P376" s="217"/>
      <c r="S376" s="244"/>
      <c r="T376" s="244"/>
      <c r="U376" s="244"/>
      <c r="V376" s="244"/>
    </row>
    <row r="377" spans="16:22" x14ac:dyDescent="0.25">
      <c r="P377" s="217" t="s">
        <v>63</v>
      </c>
      <c r="R377" s="217"/>
      <c r="S377" s="244">
        <f>S375</f>
        <v>4.9832592131647182</v>
      </c>
      <c r="T377" s="244">
        <f>T375</f>
        <v>9.9998223948371177</v>
      </c>
      <c r="U377" s="244">
        <f>U375</f>
        <v>26.475489836081493</v>
      </c>
      <c r="V377" s="244">
        <f>V375</f>
        <v>45.71356124775258</v>
      </c>
    </row>
    <row r="378" spans="16:22" x14ac:dyDescent="0.25">
      <c r="P378" s="217" t="s">
        <v>66</v>
      </c>
      <c r="Q378" s="217">
        <v>15</v>
      </c>
      <c r="R378" s="217"/>
      <c r="S378" s="244">
        <f>1/(SQRT(1+(SIGMA_ZETA/N_2)*(S377/d^2)^2))</f>
        <v>0.99926511088487302</v>
      </c>
      <c r="T378" s="244">
        <f>1/(SQRT(1+(SIGMA_ZETA/N_2)*(T377/d^2)^2))</f>
        <v>0.99705059984201272</v>
      </c>
      <c r="U378" s="244">
        <f>1/(SQRT(1+(SIGMA_ZETA/N_2)*(U377/d^2)^2))</f>
        <v>0.97985883424024933</v>
      </c>
      <c r="V378" s="244">
        <f>1/(SQRT(1+(SIGMA_ZETA/N_2)*(V377/d^2)^2))</f>
        <v>0.94330350993868861</v>
      </c>
    </row>
    <row r="379" spans="16:22" x14ac:dyDescent="0.25">
      <c r="P379" s="217" t="s">
        <v>68</v>
      </c>
      <c r="Q379" s="249">
        <v>22</v>
      </c>
      <c r="R379" s="217"/>
      <c r="S379" s="244">
        <f>(x_T/S378^2)/(1+(x_T*SIGMA_ZETA_1/N_5)*(S377/d^2)^2)</f>
        <v>0.64016670856714286</v>
      </c>
      <c r="T379" s="244">
        <f>(E$11/T378^2)/(1+(E$11*SIGMA_ZETA_1/N_5)*(T377/d^2)^2)</f>
        <v>0.63070620695430624</v>
      </c>
      <c r="U379" s="244">
        <f>(F$11/U378^2)/(1+(F$11*SIGMA_ZETA_1/N_5)*(U377/d^2)^2)</f>
        <v>0.60552142535129116</v>
      </c>
      <c r="V379" s="244">
        <f>(G$11/V378^2)/(1+(G$11*SIGMA_ZETA_1/N_5)*(V377/d^2)^2)</f>
        <v>0.54928483429762731</v>
      </c>
    </row>
    <row r="380" spans="16:22" x14ac:dyDescent="0.25">
      <c r="P380" s="217" t="s">
        <v>26</v>
      </c>
      <c r="Q380" s="217">
        <v>12</v>
      </c>
      <c r="R380" s="217"/>
      <c r="S380" s="244">
        <f>1-(x/(3*F_GAMMA*S379))</f>
        <v>0.73965114955804345</v>
      </c>
      <c r="T380" s="244">
        <f>1-(T$4/(3*F_GAMMA*T379))</f>
        <v>0.71150788776117824</v>
      </c>
      <c r="U380" s="244">
        <f>1-(U$4/(3*F_GAMMA*U379))</f>
        <v>0.73764716033709266</v>
      </c>
      <c r="V380" s="244">
        <f>1-(V$4/(3*F_GAMMA*V379))</f>
        <v>0.77243136494049036</v>
      </c>
    </row>
    <row r="381" spans="16:22" x14ac:dyDescent="0.25">
      <c r="P381" s="217" t="s">
        <v>71</v>
      </c>
      <c r="Q381" s="249">
        <v>5</v>
      </c>
      <c r="R381" s="217"/>
      <c r="S381" s="244">
        <f>W/(N_6*S378*S380*SQRT(x*P_1*RHO))</f>
        <v>4.9832592131647182</v>
      </c>
      <c r="T381" s="244">
        <f>E$4/(N_6*T378*T380*SQRT(T$4*E$5*E$8))</f>
        <v>9.9998223948371177</v>
      </c>
      <c r="U381" s="244">
        <f>F$4/(N_6*U378*U380*SQRT(U$4*F$5*F$8))</f>
        <v>26.475489836081493</v>
      </c>
      <c r="V381" s="244">
        <f>G$4/(N_6*V378*V380*SQRT(V$4*G$5*G$8))</f>
        <v>45.71356124775258</v>
      </c>
    </row>
    <row r="382" spans="16:22" x14ac:dyDescent="0.25">
      <c r="P382" s="217" t="s">
        <v>73</v>
      </c>
      <c r="Q382" s="249">
        <v>5</v>
      </c>
      <c r="R382" s="217"/>
      <c r="S382" s="244">
        <f>W/(0.667*N_6*S378*SQRT(F_GAMMA*S379*P_1*RHO))</f>
        <v>4.883745685685752</v>
      </c>
      <c r="T382" s="244">
        <f>E$4/(0.667*N_6*T378*SQRT(F_GAMMA*T379*E$5*E$8))</f>
        <v>9.9237032915059942</v>
      </c>
      <c r="U382" s="244">
        <f>F$4/(0.667*N_6*U378*SQRT(F_GAMMA*U379*F$5*F$8))</f>
        <v>25.975885239278739</v>
      </c>
      <c r="V382" s="244">
        <f>G$4/(0.667*N_6*V378*SQRT(F_GAMMA*V379*G$5*G$8))</f>
        <v>43.741729608603976</v>
      </c>
    </row>
    <row r="383" spans="16:22" x14ac:dyDescent="0.25">
      <c r="P383" s="217" t="s">
        <v>75</v>
      </c>
      <c r="Q383" s="249">
        <v>10</v>
      </c>
      <c r="R383" s="217"/>
      <c r="S383" s="244">
        <f>F_GAMMA*S379</f>
        <v>0.64016670856714286</v>
      </c>
      <c r="T383" s="244">
        <f>F_GAMMA*T379</f>
        <v>0.63070620695430624</v>
      </c>
      <c r="U383" s="244">
        <f>F_GAMMA*U379</f>
        <v>0.60552142535129116</v>
      </c>
      <c r="V383" s="244">
        <f>F_GAMMA*V379</f>
        <v>0.54928483429762731</v>
      </c>
    </row>
    <row r="384" spans="16:22" x14ac:dyDescent="0.25">
      <c r="P384" s="217" t="s">
        <v>38</v>
      </c>
      <c r="Q384" s="249"/>
      <c r="S384" s="244">
        <f>IF(S$4&lt;S383,S381,S382)</f>
        <v>4.9832592131647182</v>
      </c>
      <c r="T384" s="244">
        <f>IF(T$4&lt;T383,T381,T382)</f>
        <v>9.9998223948371177</v>
      </c>
      <c r="U384" s="244">
        <f>IF(U$4&lt;U383,U381,U382)</f>
        <v>26.475489836081493</v>
      </c>
      <c r="V384" s="244">
        <f>IF(V$4&lt;V383,V381,V382)</f>
        <v>45.71356124775258</v>
      </c>
    </row>
    <row r="385" spans="16:22" x14ac:dyDescent="0.25">
      <c r="P385" s="217"/>
      <c r="Q385" s="249"/>
      <c r="S385" s="224"/>
    </row>
    <row r="386" spans="16:22" ht="13" x14ac:dyDescent="0.3">
      <c r="P386" s="275" t="s">
        <v>99</v>
      </c>
    </row>
    <row r="387" spans="16:22" x14ac:dyDescent="0.25">
      <c r="P387" s="216" t="s">
        <v>100</v>
      </c>
      <c r="R387" s="244" t="s">
        <v>101</v>
      </c>
      <c r="S387" s="283">
        <f>C_</f>
        <v>4.9832592131647182</v>
      </c>
      <c r="T387" s="283">
        <f>E17</f>
        <v>9.9998223948371177</v>
      </c>
      <c r="U387" s="283">
        <f>F17</f>
        <v>26.475489836081493</v>
      </c>
      <c r="V387" s="283">
        <f>G17</f>
        <v>45.71356124775258</v>
      </c>
    </row>
    <row r="388" spans="16:22" x14ac:dyDescent="0.25">
      <c r="P388" s="216" t="s">
        <v>66</v>
      </c>
      <c r="Q388" s="216">
        <v>15</v>
      </c>
      <c r="R388" s="216" t="s">
        <v>102</v>
      </c>
      <c r="S388" s="244">
        <f>1/(SQRT(1+(SIGMA_ZETA/N_2)*(Final_Calculated_C/d^2)^2))</f>
        <v>0.99926511088487302</v>
      </c>
      <c r="T388" s="244">
        <f>1/(SQRT(1+(SIGMA_ZETA/N_2)*(T387/d^2)^2))</f>
        <v>0.99705059984201272</v>
      </c>
      <c r="U388" s="244">
        <f>1/(SQRT(1+(SIGMA_ZETA/N_2)*(U387/d^2)^2))</f>
        <v>0.97985883424024933</v>
      </c>
      <c r="V388" s="244">
        <f>1/(SQRT(1+(SIGMA_ZETA/N_2)*(V387/d^2)^2))</f>
        <v>0.94330350993868861</v>
      </c>
    </row>
    <row r="389" spans="16:22" ht="14.5" x14ac:dyDescent="0.35">
      <c r="P389" s="284" t="s">
        <v>103</v>
      </c>
      <c r="Q389" s="285">
        <v>22</v>
      </c>
      <c r="R389" s="216" t="s">
        <v>104</v>
      </c>
      <c r="S389" s="283">
        <f>(x_T/Final_F_P^2)/(1+(x_T*SIGMA_ZETA_1/N_5)*(Final_Calculated_C/d^2)^2)</f>
        <v>0.64016670856714286</v>
      </c>
      <c r="T389" s="283">
        <f>(E11/T388^2)/(1+(E11*SIGMA_ZETA_1/N_5)*(T387/d^2)^2)</f>
        <v>0.63070620695430624</v>
      </c>
      <c r="U389" s="283">
        <f>(F11/U388^2)/(1+(F11*SIGMA_ZETA_1/N_5)*(U387/d^2)^2)</f>
        <v>0.60552142535129116</v>
      </c>
      <c r="V389" s="283">
        <f>(G11/V388^2)/(1+(G11*SIGMA_ZETA_1/N_5)*(V387/d^2)^2)</f>
        <v>0.54928483429762731</v>
      </c>
    </row>
    <row r="390" spans="16:22" x14ac:dyDescent="0.25">
      <c r="P390" s="216" t="s">
        <v>26</v>
      </c>
      <c r="Q390" s="216">
        <v>12</v>
      </c>
      <c r="R390" s="279" t="s">
        <v>105</v>
      </c>
      <c r="S390" s="283">
        <f>1-(x/(3*F_GAMMA*Final_x_TP))</f>
        <v>0.73965114955804345</v>
      </c>
      <c r="T390" s="283">
        <f>1-(T4/(3*T5*T389))</f>
        <v>0.71150788776117824</v>
      </c>
      <c r="U390" s="283">
        <f>1-(U4/(3*U5*U389))</f>
        <v>0.73764716033709266</v>
      </c>
      <c r="V390" s="283">
        <f>1-(V4/(3*V5*V389))</f>
        <v>0.77243136494049036</v>
      </c>
    </row>
    <row r="391" spans="16:22" ht="14.5" x14ac:dyDescent="0.35">
      <c r="P391" s="216" t="s">
        <v>106</v>
      </c>
      <c r="Q391" s="285">
        <v>7</v>
      </c>
      <c r="R391" s="216" t="s">
        <v>107</v>
      </c>
      <c r="S391" s="286">
        <f>(Final_Calculated_C*N_6*Final_F_P*Final_Y_W_Reducers*SQRT(x*P_1*RHO))</f>
        <v>1145</v>
      </c>
      <c r="T391" s="286">
        <f>(T387*N_6*T388*T390*SQRT(T4*E5*E8))</f>
        <v>2060.0000000000005</v>
      </c>
      <c r="U391" s="286">
        <f>(U387*N_6*U388*U390*SQRT(U4*F5*F8))</f>
        <v>4960</v>
      </c>
      <c r="V391" s="286">
        <f>(V387*N_6*V388*V390*SQRT(V4*G5*G8))</f>
        <v>7174</v>
      </c>
    </row>
    <row r="392" spans="16:22" x14ac:dyDescent="0.25">
      <c r="P392" s="216" t="s">
        <v>108</v>
      </c>
      <c r="Q392" s="285">
        <v>7</v>
      </c>
      <c r="R392" s="216" t="s">
        <v>109</v>
      </c>
      <c r="S392" s="244">
        <f>(Final_Calculated_C*0.667*N_6*Final_F_P*SQRT(Final_CH_x_W_Reducers*P_1*RHO))</f>
        <v>1168.3310651898566</v>
      </c>
      <c r="T392" s="244">
        <f>(T387*0.667*N_6*T388*SQRT(T393*E5*E8))</f>
        <v>2075.8010924204405</v>
      </c>
      <c r="U392" s="244">
        <f>(U387*0.667*N_6*U388*SQRT(U393*F5*F8))</f>
        <v>5055.3976650772456</v>
      </c>
      <c r="V392" s="244">
        <f>(V387*0.667*N_6*V388*SQRT(V393*G5*G8))</f>
        <v>7497.3964524454832</v>
      </c>
    </row>
    <row r="393" spans="16:22" ht="15.5" x14ac:dyDescent="0.4">
      <c r="P393" s="216" t="s">
        <v>110</v>
      </c>
      <c r="Q393" s="285">
        <v>10</v>
      </c>
      <c r="R393" s="279" t="s">
        <v>111</v>
      </c>
      <c r="S393" s="283">
        <f>F_GAMMA*Final_x_TP</f>
        <v>0.64016670856714286</v>
      </c>
      <c r="T393" s="283">
        <f>T5*T389</f>
        <v>0.63070620695430624</v>
      </c>
      <c r="U393" s="283">
        <f>U5*U389</f>
        <v>0.60552142535129116</v>
      </c>
      <c r="V393" s="283">
        <f>V5*V389</f>
        <v>0.54928483429762731</v>
      </c>
    </row>
    <row r="394" spans="16:22" x14ac:dyDescent="0.25">
      <c r="P394" s="216" t="s">
        <v>112</v>
      </c>
      <c r="R394" s="216" t="s">
        <v>113</v>
      </c>
      <c r="S394" s="283">
        <f>IF(x&lt;Final_CH_x_W_Reducers,Final_Flow_NonCh_W_Reducers,Final_Flow_Ch_W_Reducers)</f>
        <v>1145</v>
      </c>
      <c r="T394" s="283">
        <f>IF(T4&lt;T393,T391,T392)</f>
        <v>2060.0000000000005</v>
      </c>
      <c r="U394" s="283">
        <f>IF(U4&lt;U393,U391,U392)</f>
        <v>4960</v>
      </c>
      <c r="V394" s="283">
        <f>IF(V4&lt;V393,V391,V392)</f>
        <v>7174</v>
      </c>
    </row>
    <row r="395" spans="16:22" ht="12" customHeight="1" x14ac:dyDescent="0.25"/>
    <row r="396" spans="16:22" ht="13" x14ac:dyDescent="0.3">
      <c r="P396" s="287" t="s">
        <v>114</v>
      </c>
      <c r="Q396" s="288"/>
    </row>
    <row r="397" spans="16:22" x14ac:dyDescent="0.25">
      <c r="P397" s="216" t="s">
        <v>115</v>
      </c>
      <c r="R397" s="217" t="s">
        <v>116</v>
      </c>
      <c r="S397" s="224">
        <f>IF(FLAG_1=1,C_,C_*1.156)</f>
        <v>4.9832592131647182</v>
      </c>
      <c r="T397" s="224">
        <f>IF(FLAG_1=1,E17,E17*1.156)</f>
        <v>9.9998223948371177</v>
      </c>
      <c r="U397" s="224">
        <f>IF(FLAG_1=1,F17,F17*1.156)</f>
        <v>26.475489836081493</v>
      </c>
      <c r="V397" s="224">
        <f>IF(FLAG_1=1,G17,G17*1.156)</f>
        <v>45.71356124775258</v>
      </c>
    </row>
    <row r="398" spans="16:22" x14ac:dyDescent="0.25">
      <c r="P398" s="279" t="s">
        <v>117</v>
      </c>
      <c r="Q398" s="288"/>
      <c r="R398" s="216" t="s">
        <v>118</v>
      </c>
      <c r="S398" s="283">
        <f>IF(FLAG_2=3,P_1*0.145,IF(FLAG_2=2,P_1*14.5,P_1))</f>
        <v>100</v>
      </c>
      <c r="T398" s="283">
        <f>IF(FLAG_2=3,E5*0.145,IF(FLAG_2=2,E5*14.5,E5))</f>
        <v>89.4</v>
      </c>
      <c r="U398" s="283">
        <f>IF(FLAG_2=3,F5*0.145,IF(FLAG_2=2,F5*14.5,F5))</f>
        <v>85.4</v>
      </c>
      <c r="V398" s="283">
        <f>IF(FLAG_2=3,G5*0.145,IF(FLAG_2=2,G5*14.5,G5))</f>
        <v>80</v>
      </c>
    </row>
    <row r="399" spans="16:22" x14ac:dyDescent="0.25">
      <c r="P399" s="279" t="s">
        <v>119</v>
      </c>
      <c r="Q399" s="288"/>
      <c r="R399" s="216" t="s">
        <v>120</v>
      </c>
      <c r="S399" s="283">
        <f>IF(FLAG_2=1,T_abs,T_abs*1.8)</f>
        <v>559.67000000000007</v>
      </c>
      <c r="T399" s="283">
        <f>IF(FLAG_2=1,T6,T6*1.8)</f>
        <v>559.67000000000007</v>
      </c>
      <c r="U399" s="283">
        <f>IF(FLAG_2=1,U6,U6*1.8)</f>
        <v>559.67000000000007</v>
      </c>
      <c r="V399" s="283">
        <f>IF(FLAG_2=1,V6,V6*1.8)</f>
        <v>559.67000000000007</v>
      </c>
    </row>
    <row r="400" spans="16:22" x14ac:dyDescent="0.25">
      <c r="P400" s="279" t="s">
        <v>121</v>
      </c>
      <c r="Q400" s="288"/>
      <c r="R400" s="279" t="s">
        <v>122</v>
      </c>
      <c r="S400" s="283">
        <f>(14.696*M)/(10.72*519.67)</f>
        <v>7.6423197959439818E-2</v>
      </c>
      <c r="T400" s="260" t="s">
        <v>22</v>
      </c>
      <c r="U400" s="260" t="s">
        <v>22</v>
      </c>
      <c r="V400" s="260" t="s">
        <v>22</v>
      </c>
    </row>
    <row r="401" spans="16:22" x14ac:dyDescent="0.25">
      <c r="P401" s="279" t="s">
        <v>123</v>
      </c>
      <c r="Q401" s="288"/>
      <c r="R401" s="279"/>
      <c r="S401" s="283"/>
    </row>
    <row r="402" spans="16:22" x14ac:dyDescent="0.25">
      <c r="P402" s="217" t="s">
        <v>124</v>
      </c>
      <c r="Q402" s="217"/>
      <c r="R402" s="217" t="s">
        <v>125</v>
      </c>
      <c r="S402" s="216">
        <v>0</v>
      </c>
      <c r="T402" s="216">
        <v>0</v>
      </c>
      <c r="U402" s="216">
        <v>0</v>
      </c>
      <c r="V402" s="216">
        <v>0</v>
      </c>
    </row>
    <row r="403" spans="16:22" x14ac:dyDescent="0.25">
      <c r="P403" s="217" t="s">
        <v>126</v>
      </c>
      <c r="Q403" s="217"/>
      <c r="R403" s="217" t="s">
        <v>127</v>
      </c>
      <c r="S403" s="216">
        <v>-1</v>
      </c>
      <c r="T403" s="216">
        <v>-1</v>
      </c>
      <c r="U403" s="216">
        <v>-1</v>
      </c>
      <c r="V403" s="216">
        <v>-1</v>
      </c>
    </row>
    <row r="404" spans="16:22" x14ac:dyDescent="0.25">
      <c r="P404" s="217" t="s">
        <v>128</v>
      </c>
      <c r="Q404" s="217"/>
      <c r="R404" s="217" t="s">
        <v>129</v>
      </c>
      <c r="S404" s="244">
        <f>IF(x&lt;0.41,7.32*x+1,4-5.93*(x-0.41))</f>
        <v>3.4662999999999999</v>
      </c>
      <c r="T404" s="244">
        <f>IF(T4&lt;0.41,7.32*T4+1,4-5.93*(T4-0.41))</f>
        <v>3.1943425055928416</v>
      </c>
      <c r="U404" s="244">
        <f>IF(U4&lt;0.41,7.32*U4+1,4-5.93*(U4-0.41))</f>
        <v>3.6051758782201406</v>
      </c>
      <c r="V404" s="244">
        <f>IF(V4&lt;0.41,7.32*V4+1,4-5.93*(V4-0.41))</f>
        <v>3.7450000000000001</v>
      </c>
    </row>
    <row r="405" spans="16:22" x14ac:dyDescent="0.25">
      <c r="P405" s="217" t="s">
        <v>130</v>
      </c>
      <c r="Q405" s="217"/>
      <c r="R405" s="217" t="s">
        <v>131</v>
      </c>
      <c r="S405" s="216">
        <f>IF(x&lt;0.3,6.7*x,IF(x&lt;0.7,2,2-6.7*(x-0.7)))</f>
        <v>2</v>
      </c>
      <c r="T405" s="216">
        <f>IF(T4&lt;0.3,6.7*T4,IF(T4&lt;0.7,2,2-6.7*(T4-0.7)))</f>
        <v>2</v>
      </c>
      <c r="U405" s="216">
        <f>IF(U4&lt;0.3,6.7*U4,IF(U4&lt;0.7,2,2-6.7*(U4-0.7)))</f>
        <v>2</v>
      </c>
      <c r="V405" s="216">
        <f>IF(V4&lt;0.3,6.7*V4,IF(V4&lt;0.7,2,2-6.7*(V4-0.7)))</f>
        <v>2</v>
      </c>
    </row>
    <row r="406" spans="16:22" x14ac:dyDescent="0.25">
      <c r="P406" s="217" t="s">
        <v>132</v>
      </c>
      <c r="Q406" s="217"/>
      <c r="R406" s="217" t="s">
        <v>133</v>
      </c>
      <c r="S406" s="216">
        <f>IF(x&lt;0.3,6.7*x,IF(x&lt;0.7,2,2-6.7*(x-0.7)))</f>
        <v>2</v>
      </c>
      <c r="T406" s="216">
        <f>IF(T4&lt;0.3,6.7*T4,IF(x&lt;0.7,2,2-6.7*(T4-0.7)))</f>
        <v>2</v>
      </c>
      <c r="U406" s="216">
        <f>IF(U4&lt;0.3,6.7*U4,IF(x&lt;0.7,2,2-6.7*(U4-0.7)))</f>
        <v>2</v>
      </c>
      <c r="V406" s="216">
        <f>IF(V4&lt;0.3,6.7*V4,IF(x&lt;0.7,2,2-6.7*(V4-0.7)))</f>
        <v>2</v>
      </c>
    </row>
    <row r="407" spans="16:22" ht="14.5" x14ac:dyDescent="0.35">
      <c r="P407" s="217" t="s">
        <v>268</v>
      </c>
      <c r="R407" s="217" t="s">
        <v>269</v>
      </c>
      <c r="S407" s="244">
        <f>IF(x&lt;0.9,-15,-100*x+75)</f>
        <v>-15</v>
      </c>
      <c r="T407" s="289">
        <f>IF(T4&lt;0.9,-15,-100*T4+75)</f>
        <v>-15</v>
      </c>
      <c r="U407" s="289">
        <f>IF(U4&lt;0.9,-15,-100*U4+75)</f>
        <v>-15</v>
      </c>
      <c r="V407" s="289">
        <f>IF(V4&lt;0.9,-15,-100*V4+75)</f>
        <v>-15</v>
      </c>
    </row>
    <row r="408" spans="16:22" x14ac:dyDescent="0.25">
      <c r="P408" s="217" t="s">
        <v>134</v>
      </c>
      <c r="Q408" s="217"/>
      <c r="R408" s="217" t="s">
        <v>135</v>
      </c>
      <c r="S408" s="224">
        <f>IF(VSC=5,DeltaLg_5,IF(VSC=4,DeltaLg_4,IF(VSC=3,DeltaLg_3,IF(VSC=2,DeltaLg_2,IF(VSC=1,DeltaLg_1,DeltaLg_0)))))</f>
        <v>3.4662999999999999</v>
      </c>
      <c r="T408" s="224">
        <f>IF(VSC=5,T407,IF(VSC=4,T406,IF(VSC=3,T405,IF(VSC=2,T404,IF(VSC=1,T403,T402)))))</f>
        <v>3.1943425055928416</v>
      </c>
      <c r="U408" s="224">
        <f>IF(VSC=5,U407,IF(VSC=4,U406,IF(VSC=3,U405,IF(VSC=2,U404,IF(VSC=1,U403,U402)))))</f>
        <v>3.6051758782201406</v>
      </c>
      <c r="V408" s="224">
        <f>IF(VSC=5,V407,IF(VSC=4,V406,IF(VSC=3,V405,IF(VSC=2,V404,IF(VSC=1,V403,V402)))))</f>
        <v>3.7450000000000001</v>
      </c>
    </row>
    <row r="409" spans="16:22" x14ac:dyDescent="0.25">
      <c r="P409" s="217" t="s">
        <v>136</v>
      </c>
      <c r="Q409" s="249"/>
      <c r="R409" s="216" t="s">
        <v>137</v>
      </c>
      <c r="S409" s="283">
        <f>IF(FLAG_2=3,(P_1-DELTA_P)*0.145,IF(FLAG_2=2,(P_1-DELTA_P)*14.5,(P_1-DELTA_P)))</f>
        <v>50</v>
      </c>
      <c r="T409" s="283">
        <f>IF(FLAG_2=3,(E5-E7)*0.145,IF(FLAG_2=2,(E5-E7)*14.5,(E5-E7)))</f>
        <v>40.600000000000009</v>
      </c>
      <c r="U409" s="283">
        <f>IF(FLAG_2=3,(F5-F7)*0.145,IF(FLAG_2=2,(F5-F7)*14.5,(F5-F7)))</f>
        <v>44.7</v>
      </c>
      <c r="V409" s="283">
        <f>IF(FLAG_2=3,(G5-G7)*0.145,IF(FLAG_2=2,(G5-G7)*14.5,(G5-G7)))</f>
        <v>50</v>
      </c>
    </row>
    <row r="410" spans="16:22" x14ac:dyDescent="0.25">
      <c r="P410" s="217" t="s">
        <v>138</v>
      </c>
      <c r="R410" s="217" t="s">
        <v>139</v>
      </c>
      <c r="S410" s="290">
        <f>IF(P_2_psia&lt;435,0,IF(P_2_psia&lt;798,-(P_2_psia-435)/36.3,-10))</f>
        <v>0</v>
      </c>
      <c r="T410" s="290">
        <f>IF(T409&lt;435,0,IF(T409&lt;798,-(T409-435)/36.3,-10))</f>
        <v>0</v>
      </c>
      <c r="U410" s="290">
        <f>IF(U409&lt;435,0,IF(U409&lt;798,-(U409-435)/36.3,-10))</f>
        <v>0</v>
      </c>
      <c r="V410" s="290">
        <f>IF(V409&lt;435,0,IF(V409&lt;798,-(V409-435)/36.3,-10))</f>
        <v>0</v>
      </c>
    </row>
    <row r="411" spans="16:22" x14ac:dyDescent="0.25">
      <c r="P411" s="279" t="s">
        <v>140</v>
      </c>
      <c r="Q411" s="288"/>
      <c r="R411" s="279" t="s">
        <v>141</v>
      </c>
      <c r="S411" s="283">
        <f>14*LOG(C_v)+18*LOG(P_1_psia)+5*LOG(T_1_degR)-5*LOG(RHO_n)+20*LOG(LOG(P_1_psia/P_2_psia))+22.8+DeltaLg+DeltaLp+DeltaLp2</f>
        <v>78.92721824940638</v>
      </c>
      <c r="T411" s="283">
        <f>14*LOG(T397)+18*LOG(T398)+5*LOG(T399)-5*LOG(RHO_n)+20*LOG(LOG(T398/T409))+22.8+T408+DeltaLp+T410</f>
        <v>83.142951235623826</v>
      </c>
      <c r="U411" s="283">
        <f>14*LOG(U397)+18*LOG(U398)+5*LOG(U399)-5*LOG(RHO_n)+20*LOG(LOG(U398/U409))+22.8+U408+DeltaLp+U410</f>
        <v>87.393540205687586</v>
      </c>
      <c r="V411" s="283">
        <f>14*LOG(V397)+18*LOG(V398)+5*LOG(V399)-5*LOG(RHO_n)+20*LOG(LOG(V398/V409))+22.8+V408+DeltaLp+V410</f>
        <v>87.562495105923915</v>
      </c>
    </row>
    <row r="412" spans="16:22" x14ac:dyDescent="0.25">
      <c r="P412" s="279"/>
      <c r="Q412" s="288"/>
      <c r="R412" s="279"/>
      <c r="S412" s="283"/>
    </row>
    <row r="413" spans="16:22" ht="13" x14ac:dyDescent="0.3">
      <c r="P413" s="287" t="s">
        <v>142</v>
      </c>
      <c r="Q413" s="288"/>
      <c r="R413" s="279"/>
      <c r="S413" s="244"/>
    </row>
    <row r="414" spans="16:22" x14ac:dyDescent="0.25">
      <c r="P414" s="217" t="s">
        <v>143</v>
      </c>
      <c r="Q414" s="249"/>
      <c r="R414" s="217" t="s">
        <v>144</v>
      </c>
      <c r="S414" s="224">
        <f>IF(N_2=890,d,d*0.04)</f>
        <v>2</v>
      </c>
      <c r="T414" s="260" t="s">
        <v>22</v>
      </c>
      <c r="U414" s="260" t="s">
        <v>22</v>
      </c>
      <c r="V414" s="260" t="s">
        <v>22</v>
      </c>
    </row>
    <row r="415" spans="16:22" x14ac:dyDescent="0.25">
      <c r="P415" s="279" t="s">
        <v>145</v>
      </c>
      <c r="R415" s="279" t="s">
        <v>146</v>
      </c>
      <c r="S415" s="283">
        <f>IF(N_6=63.3,W,2.205*W)</f>
        <v>1145</v>
      </c>
      <c r="T415" s="283">
        <f>IF(N_6=63.3,E4,2.205*E4)</f>
        <v>2060</v>
      </c>
      <c r="U415" s="283">
        <f>IF(N_6=63.3,F4,2.205*F4)</f>
        <v>4960</v>
      </c>
      <c r="V415" s="283">
        <f>IF(N_6=63.3,G4,2.205*G4)</f>
        <v>7174</v>
      </c>
    </row>
    <row r="416" spans="16:22" x14ac:dyDescent="0.25">
      <c r="P416" s="279" t="s">
        <v>147</v>
      </c>
      <c r="R416" s="279" t="s">
        <v>148</v>
      </c>
      <c r="S416" s="216">
        <f>IF(N_6=63.3,RHO,RHO*0.0624)</f>
        <v>0.48238219609736288</v>
      </c>
      <c r="T416" s="216">
        <f>IF(N_6=63.3,E8,E8*0.0624)</f>
        <v>0.43124968331104246</v>
      </c>
      <c r="U416" s="216">
        <f>IF(N_6=63.3,F8,F8*0.0624)</f>
        <v>0.41195439546714796</v>
      </c>
      <c r="V416" s="216">
        <f>IF(N_6=63.3,G8,G8*0.0624)</f>
        <v>0.3859057568778903</v>
      </c>
    </row>
    <row r="417" spans="16:22" x14ac:dyDescent="0.25">
      <c r="P417" s="279" t="s">
        <v>149</v>
      </c>
      <c r="R417" s="279" t="s">
        <v>150</v>
      </c>
      <c r="S417" s="216">
        <f>35.34*W_to_lbm_h*P_1_psia/(RHO_lb_ft3*T_1_degR)</f>
        <v>14988.17424874284</v>
      </c>
      <c r="T417" s="216">
        <f>35.34*T415*T398/(T416*T399)</f>
        <v>26965.623539222925</v>
      </c>
      <c r="U417" s="216">
        <f>35.34*U415*U398/(U416*U399)</f>
        <v>64926.938230361993</v>
      </c>
      <c r="V417" s="216">
        <f>35.34*V415*V398/(V416*V399)</f>
        <v>93908.438480769561</v>
      </c>
    </row>
    <row r="418" spans="16:22" x14ac:dyDescent="0.25">
      <c r="P418" s="279" t="s">
        <v>151</v>
      </c>
      <c r="Q418" s="288"/>
      <c r="R418" s="279" t="s">
        <v>152</v>
      </c>
      <c r="S418" s="283">
        <f>(lbm_h_to_scfh/(154861*P_2_psia*d_in^2))*SQRT(M*T_1_degR/GAMMA)</f>
        <v>5.2077835112571309E-2</v>
      </c>
      <c r="T418" s="283">
        <f>(T417/(154861*T409*d_in^2))*SQRT(M*T399/GAMMA)</f>
        <v>0.11538746351872228</v>
      </c>
      <c r="U418" s="283">
        <f>(U417/(154861*U409*d_in^2))*SQRT(M*U399/GAMMA)</f>
        <v>0.25234319251912674</v>
      </c>
      <c r="V418" s="283">
        <f>(V417/(154861*V409*d_in^2))*SQRT(M*V399/GAMMA)</f>
        <v>0.32629378960487915</v>
      </c>
    </row>
    <row r="419" spans="16:22" x14ac:dyDescent="0.25">
      <c r="P419" s="279"/>
      <c r="Q419" s="288"/>
      <c r="R419" s="279"/>
      <c r="S419" s="283"/>
    </row>
  </sheetData>
  <sheetProtection sheet="1" formatCells="0" formatColumns="0"/>
  <mergeCells count="3">
    <mergeCell ref="E2:F2"/>
    <mergeCell ref="N1:N2"/>
    <mergeCell ref="I24:L26"/>
  </mergeCells>
  <phoneticPr fontId="0" type="noConversion"/>
  <pageMargins left="0.75" right="0.75" top="1" bottom="1" header="0.5" footer="0.5"/>
  <pageSetup scale="91"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AV6543"/>
  <sheetViews>
    <sheetView showGridLines="0" topLeftCell="A3" zoomScale="80" zoomScaleNormal="80" workbookViewId="0">
      <selection activeCell="M38" sqref="M38"/>
    </sheetView>
  </sheetViews>
  <sheetFormatPr defaultRowHeight="12.5" x14ac:dyDescent="0.25"/>
  <cols>
    <col min="1" max="1" width="34.1796875" customWidth="1"/>
    <col min="2" max="12" width="8.7265625" customWidth="1"/>
    <col min="13" max="13" width="72" customWidth="1"/>
    <col min="14" max="14" width="63.54296875" style="1" customWidth="1"/>
    <col min="15" max="15" width="52.453125" customWidth="1"/>
    <col min="16" max="16" width="4.81640625" customWidth="1"/>
    <col min="17" max="17" width="29.26953125" customWidth="1"/>
    <col min="18" max="18" width="17.81640625" customWidth="1"/>
    <col min="19" max="47" width="23" customWidth="1"/>
  </cols>
  <sheetData>
    <row r="1" spans="1:21" ht="27" customHeight="1" thickBot="1" x14ac:dyDescent="0.35">
      <c r="A1" s="30"/>
      <c r="B1" s="31"/>
      <c r="C1" s="32"/>
      <c r="D1" s="331"/>
      <c r="E1" s="331"/>
      <c r="F1" s="1"/>
      <c r="G1" s="1"/>
      <c r="H1" s="1"/>
      <c r="I1" s="1"/>
      <c r="J1" s="1"/>
      <c r="K1" s="1"/>
      <c r="L1" s="170"/>
      <c r="O1" s="3" t="s">
        <v>162</v>
      </c>
      <c r="P1" s="2"/>
      <c r="Q1" s="2"/>
      <c r="R1" s="4"/>
      <c r="S1" s="1">
        <v>22.29</v>
      </c>
      <c r="T1" s="1"/>
      <c r="U1" s="1"/>
    </row>
    <row r="2" spans="1:21" ht="12.75" customHeight="1" thickTop="1" thickBot="1" x14ac:dyDescent="0.35">
      <c r="A2" s="178" t="s">
        <v>203</v>
      </c>
      <c r="B2" s="37" t="s">
        <v>204</v>
      </c>
      <c r="C2" s="38"/>
      <c r="D2" s="38"/>
      <c r="E2" s="38"/>
      <c r="F2" s="38"/>
      <c r="G2" s="38"/>
      <c r="H2" s="38"/>
      <c r="I2" s="38"/>
      <c r="J2" s="38"/>
      <c r="K2" s="39"/>
      <c r="L2" s="170"/>
      <c r="M2" s="188" t="s">
        <v>254</v>
      </c>
      <c r="O2" s="2" t="s">
        <v>0</v>
      </c>
      <c r="P2" s="2" t="s">
        <v>163</v>
      </c>
      <c r="Q2" s="2" t="s">
        <v>2</v>
      </c>
      <c r="R2" s="4" t="s">
        <v>3</v>
      </c>
      <c r="S2" s="1"/>
      <c r="T2" s="1"/>
      <c r="U2" s="1"/>
    </row>
    <row r="3" spans="1:21" ht="12.75" customHeight="1" thickTop="1" thickBot="1" x14ac:dyDescent="0.35">
      <c r="A3" s="40" t="s">
        <v>205</v>
      </c>
      <c r="B3" s="325" t="s">
        <v>251</v>
      </c>
      <c r="C3" s="326"/>
      <c r="D3" s="12"/>
      <c r="E3" s="12"/>
      <c r="F3" s="12"/>
      <c r="G3" s="12"/>
      <c r="H3" s="12"/>
      <c r="I3" s="12"/>
      <c r="J3" s="12"/>
      <c r="K3" s="41"/>
      <c r="L3" s="1"/>
      <c r="M3" s="188" t="s">
        <v>255</v>
      </c>
      <c r="O3" s="5" t="s">
        <v>164</v>
      </c>
      <c r="P3" s="5"/>
      <c r="Q3" s="5" t="s">
        <v>164</v>
      </c>
      <c r="R3" s="6"/>
      <c r="S3" s="1"/>
      <c r="T3" s="1"/>
      <c r="U3" s="1"/>
    </row>
    <row r="4" spans="1:21" ht="12.75" customHeight="1" thickTop="1" thickBot="1" x14ac:dyDescent="0.35">
      <c r="A4" s="42" t="s">
        <v>43</v>
      </c>
      <c r="B4" s="161" t="s">
        <v>243</v>
      </c>
      <c r="C4" s="12"/>
      <c r="D4" s="12"/>
      <c r="E4" s="12"/>
      <c r="F4" s="12"/>
      <c r="G4" s="12"/>
      <c r="H4" s="12"/>
      <c r="I4" s="12"/>
      <c r="J4" s="12"/>
      <c r="K4" s="41"/>
      <c r="L4" s="1"/>
      <c r="O4" s="1"/>
      <c r="P4" s="1"/>
      <c r="Q4" s="1"/>
      <c r="R4" s="1"/>
      <c r="S4" s="1"/>
      <c r="T4" s="1"/>
      <c r="U4" s="1"/>
    </row>
    <row r="5" spans="1:21" ht="12.75" customHeight="1" thickTop="1" thickBot="1" x14ac:dyDescent="0.4">
      <c r="A5" s="43" t="s">
        <v>206</v>
      </c>
      <c r="B5" s="44">
        <v>0.1</v>
      </c>
      <c r="C5" s="45">
        <v>0.2</v>
      </c>
      <c r="D5" s="45">
        <v>0.3</v>
      </c>
      <c r="E5" s="45">
        <v>0.4</v>
      </c>
      <c r="F5" s="45">
        <v>0.5</v>
      </c>
      <c r="G5" s="45">
        <v>0.6</v>
      </c>
      <c r="H5" s="46">
        <v>0.7</v>
      </c>
      <c r="I5" s="47">
        <v>0.8</v>
      </c>
      <c r="J5" s="48">
        <v>0.9</v>
      </c>
      <c r="K5" s="49">
        <v>1</v>
      </c>
      <c r="L5" s="1"/>
      <c r="O5" s="13" t="s">
        <v>165</v>
      </c>
      <c r="P5" s="1"/>
      <c r="Q5" s="1"/>
      <c r="R5" s="1"/>
      <c r="S5" s="1"/>
      <c r="T5" s="1"/>
      <c r="U5" s="1"/>
    </row>
    <row r="6" spans="1:21" ht="12.75" customHeight="1" x14ac:dyDescent="0.3">
      <c r="A6" s="50" t="s">
        <v>207</v>
      </c>
      <c r="B6" s="51">
        <v>2</v>
      </c>
      <c r="C6" s="52">
        <v>5</v>
      </c>
      <c r="D6" s="52">
        <v>10</v>
      </c>
      <c r="E6" s="52">
        <v>17.2</v>
      </c>
      <c r="F6" s="52">
        <v>26.6</v>
      </c>
      <c r="G6" s="52">
        <v>38.4</v>
      </c>
      <c r="H6" s="52">
        <v>52.5</v>
      </c>
      <c r="I6" s="53">
        <v>72.400000000000006</v>
      </c>
      <c r="J6" s="54">
        <v>108</v>
      </c>
      <c r="K6" s="55">
        <v>180</v>
      </c>
      <c r="L6" s="1"/>
      <c r="O6" s="7" t="s">
        <v>166</v>
      </c>
      <c r="P6" s="7"/>
      <c r="Q6" s="7" t="s">
        <v>195</v>
      </c>
      <c r="R6" s="7">
        <f>W</f>
        <v>1145</v>
      </c>
      <c r="S6" s="1"/>
      <c r="T6" s="1"/>
      <c r="U6" s="1"/>
    </row>
    <row r="7" spans="1:21" ht="12.75" customHeight="1" thickBot="1" x14ac:dyDescent="0.45">
      <c r="A7" s="56" t="s">
        <v>208</v>
      </c>
      <c r="B7" s="57">
        <v>0.64</v>
      </c>
      <c r="C7" s="58">
        <v>0.64</v>
      </c>
      <c r="D7" s="58">
        <v>0.63</v>
      </c>
      <c r="E7" s="58">
        <v>0.62</v>
      </c>
      <c r="F7" s="58">
        <v>0.6</v>
      </c>
      <c r="G7" s="58">
        <v>0.56000000000000005</v>
      </c>
      <c r="H7" s="58">
        <v>0.51</v>
      </c>
      <c r="I7" s="59">
        <v>0.44</v>
      </c>
      <c r="J7" s="60">
        <v>0.35</v>
      </c>
      <c r="K7" s="61">
        <v>0.2</v>
      </c>
      <c r="L7" s="1"/>
      <c r="O7" s="7" t="s">
        <v>167</v>
      </c>
      <c r="P7" s="7"/>
      <c r="Q7" s="14" t="s">
        <v>196</v>
      </c>
      <c r="R7" s="7">
        <f>'Valve Sizing'!G4</f>
        <v>7174</v>
      </c>
      <c r="S7" s="1"/>
      <c r="T7" s="1"/>
      <c r="U7" s="1"/>
    </row>
    <row r="8" spans="1:21" ht="12.75" customHeight="1" thickTop="1" x14ac:dyDescent="0.25">
      <c r="A8" s="62"/>
      <c r="B8" s="62"/>
      <c r="C8" s="62"/>
      <c r="D8" s="62"/>
      <c r="E8" s="62"/>
      <c r="F8" s="62"/>
      <c r="G8" s="62"/>
      <c r="H8" s="62"/>
      <c r="I8" s="1"/>
      <c r="J8" s="1"/>
      <c r="K8" s="1"/>
      <c r="L8" s="1"/>
      <c r="O8" s="7" t="s">
        <v>168</v>
      </c>
      <c r="P8" s="7"/>
      <c r="Q8" s="14" t="s">
        <v>197</v>
      </c>
      <c r="R8" s="7">
        <f>P_1</f>
        <v>100</v>
      </c>
      <c r="S8" s="1"/>
      <c r="T8" s="1"/>
      <c r="U8" s="1"/>
    </row>
    <row r="9" spans="1:21" ht="12.75" customHeight="1" x14ac:dyDescent="0.25">
      <c r="A9" s="62"/>
      <c r="B9" s="62"/>
      <c r="C9" s="62"/>
      <c r="D9" s="62"/>
      <c r="E9" s="62"/>
      <c r="F9" s="62"/>
      <c r="H9" s="29" t="str">
        <f>B3</f>
        <v>Neles RE Seg Ball</v>
      </c>
      <c r="I9" s="1"/>
      <c r="J9" s="1"/>
      <c r="K9" s="1"/>
      <c r="L9" s="1"/>
      <c r="M9" s="7" t="s">
        <v>256</v>
      </c>
      <c r="O9" s="7" t="s">
        <v>169</v>
      </c>
      <c r="P9" s="7"/>
      <c r="Q9" s="14" t="s">
        <v>198</v>
      </c>
      <c r="R9" s="7">
        <f>'Valve Sizing'!G5</f>
        <v>80</v>
      </c>
      <c r="S9" s="1"/>
      <c r="T9" s="1"/>
      <c r="U9" s="1"/>
    </row>
    <row r="10" spans="1:21" ht="12.75" customHeight="1" x14ac:dyDescent="0.5">
      <c r="A10" s="62"/>
      <c r="B10" s="62"/>
      <c r="C10" s="62"/>
      <c r="D10" s="62"/>
      <c r="E10" s="62"/>
      <c r="F10" s="62"/>
      <c r="H10" s="63" t="str">
        <f>B4</f>
        <v>2 inch</v>
      </c>
      <c r="I10" s="1"/>
      <c r="J10" s="1"/>
      <c r="K10" s="1"/>
      <c r="L10" s="1"/>
      <c r="M10" s="189" t="s">
        <v>257</v>
      </c>
      <c r="O10" s="7" t="s">
        <v>170</v>
      </c>
      <c r="P10" s="7"/>
      <c r="Q10" s="14" t="s">
        <v>199</v>
      </c>
      <c r="R10" s="7">
        <f>DELTA_P</f>
        <v>50</v>
      </c>
      <c r="S10" s="1"/>
      <c r="T10" s="1"/>
      <c r="U10" s="1"/>
    </row>
    <row r="11" spans="1:21" ht="12.75" customHeight="1" x14ac:dyDescent="0.25">
      <c r="A11" s="62"/>
      <c r="B11" s="62"/>
      <c r="C11" s="62"/>
      <c r="D11" s="62"/>
      <c r="E11" s="62"/>
      <c r="F11" s="62"/>
      <c r="H11" s="168" t="str">
        <f>'[5]Valve Sizing'!E1</f>
        <v>PV123</v>
      </c>
      <c r="I11" s="1"/>
      <c r="J11" s="1"/>
      <c r="K11" s="1"/>
      <c r="L11" s="1"/>
      <c r="M11" s="7" t="s">
        <v>258</v>
      </c>
      <c r="O11" s="7" t="s">
        <v>171</v>
      </c>
      <c r="P11" s="7"/>
      <c r="Q11" s="14" t="s">
        <v>200</v>
      </c>
      <c r="R11" s="7">
        <f>'Valve Sizing'!G7</f>
        <v>30</v>
      </c>
      <c r="S11" s="1"/>
      <c r="T11" s="1"/>
      <c r="U11" s="1"/>
    </row>
    <row r="12" spans="1:21" ht="12.75" customHeight="1" x14ac:dyDescent="0.25">
      <c r="A12" s="62"/>
      <c r="B12" s="62"/>
      <c r="C12" s="62"/>
      <c r="D12" s="62"/>
      <c r="E12" s="62"/>
      <c r="F12" s="62"/>
      <c r="G12" s="1"/>
      <c r="H12" s="1"/>
      <c r="I12" s="1"/>
      <c r="J12" s="1"/>
      <c r="K12" s="1"/>
      <c r="L12" s="1"/>
      <c r="M12" s="190" t="s">
        <v>259</v>
      </c>
      <c r="O12" s="7" t="s">
        <v>172</v>
      </c>
      <c r="P12" s="7"/>
      <c r="Q12" s="14" t="s">
        <v>201</v>
      </c>
      <c r="R12" s="7">
        <f>P_1_minW-DELTA_P_minW</f>
        <v>50</v>
      </c>
      <c r="S12" s="1"/>
      <c r="T12" s="1"/>
      <c r="U12" s="1"/>
    </row>
    <row r="13" spans="1:21" ht="12.75" customHeight="1" x14ac:dyDescent="0.25">
      <c r="A13" s="64"/>
      <c r="B13" s="65"/>
      <c r="C13" s="65"/>
      <c r="D13" s="65"/>
      <c r="E13" s="65"/>
      <c r="F13" s="65"/>
      <c r="J13" s="1"/>
      <c r="K13" s="1"/>
      <c r="L13" s="12"/>
      <c r="O13" s="7" t="s">
        <v>173</v>
      </c>
      <c r="P13" s="7"/>
      <c r="Q13" s="14" t="s">
        <v>202</v>
      </c>
      <c r="R13" s="7">
        <f>P_1_maxW-DELTA_P_maxW</f>
        <v>50</v>
      </c>
      <c r="S13" s="1"/>
      <c r="T13" s="1"/>
      <c r="U13" s="1"/>
    </row>
    <row r="14" spans="1:21" ht="12.75" customHeight="1" thickBot="1" x14ac:dyDescent="0.3">
      <c r="A14" s="69"/>
      <c r="B14" s="62"/>
      <c r="C14" s="65"/>
      <c r="D14" s="70"/>
      <c r="E14" s="65"/>
      <c r="F14" s="65"/>
      <c r="J14" s="1"/>
      <c r="K14" s="1"/>
      <c r="L14" s="1"/>
      <c r="O14" s="7" t="s">
        <v>174</v>
      </c>
      <c r="P14" s="7"/>
      <c r="Q14" s="14" t="s">
        <v>175</v>
      </c>
      <c r="R14" s="7">
        <f>P_1_minW-P_1_maxW</f>
        <v>20</v>
      </c>
      <c r="S14" s="1"/>
      <c r="T14" s="1"/>
      <c r="U14" s="1"/>
    </row>
    <row r="15" spans="1:21" ht="12.75" customHeight="1" thickTop="1" x14ac:dyDescent="0.45">
      <c r="A15" s="62"/>
      <c r="B15" s="62"/>
      <c r="C15" s="62"/>
      <c r="D15" s="62"/>
      <c r="E15" s="65"/>
      <c r="F15" s="65"/>
      <c r="G15" s="1"/>
      <c r="H15" s="66" t="s">
        <v>242</v>
      </c>
      <c r="I15" s="67"/>
      <c r="J15" s="68"/>
      <c r="K15" s="1"/>
      <c r="L15" s="1"/>
      <c r="M15" s="183" t="s">
        <v>246</v>
      </c>
      <c r="O15" s="9" t="s">
        <v>176</v>
      </c>
      <c r="P15" s="7"/>
      <c r="Q15" s="15" t="s">
        <v>177</v>
      </c>
      <c r="R15" s="9">
        <f>dp_up/(W_max^2-W_min^2)</f>
        <v>3.9876183652236135E-7</v>
      </c>
      <c r="S15" s="1"/>
      <c r="T15" s="1"/>
      <c r="U15" s="1"/>
    </row>
    <row r="16" spans="1:21" ht="12.75" customHeight="1" thickBot="1" x14ac:dyDescent="0.3">
      <c r="A16" s="72"/>
      <c r="B16" s="73"/>
      <c r="C16" s="69"/>
      <c r="D16" s="74"/>
      <c r="E16" s="65"/>
      <c r="F16" s="65"/>
      <c r="G16" s="165"/>
      <c r="H16" s="71" t="s">
        <v>252</v>
      </c>
      <c r="I16" s="327">
        <f>IF(AND(M17="",M18="",M19=""),AU19,"NOT VALID")</f>
        <v>9954.529345329709</v>
      </c>
      <c r="J16" s="328"/>
      <c r="K16" s="1"/>
      <c r="L16" s="1"/>
      <c r="M16" s="184" t="s">
        <v>253</v>
      </c>
      <c r="O16" s="7" t="s">
        <v>178</v>
      </c>
      <c r="P16" s="7"/>
      <c r="Q16" s="14" t="s">
        <v>179</v>
      </c>
      <c r="R16" s="7">
        <f>P_2_maxW-P_2_minW</f>
        <v>0</v>
      </c>
      <c r="S16" s="1"/>
      <c r="T16" s="1"/>
      <c r="U16" s="1"/>
    </row>
    <row r="17" spans="1:48" ht="12.75" customHeight="1" thickTop="1" x14ac:dyDescent="0.35">
      <c r="A17" s="75"/>
      <c r="B17" s="65"/>
      <c r="C17" s="65"/>
      <c r="D17" s="65"/>
      <c r="E17" s="65"/>
      <c r="F17" s="65"/>
      <c r="G17" s="165"/>
      <c r="H17" s="165"/>
      <c r="I17" s="76"/>
      <c r="J17" s="1"/>
      <c r="K17" s="1"/>
      <c r="L17" s="76"/>
      <c r="M17" s="187" t="str">
        <f>IF(W_max&lt;=W_min,"ERROR! Flow in G2 must be greater than Flow in D2 on the Valve Sizing tab","")</f>
        <v/>
      </c>
      <c r="O17" s="9" t="s">
        <v>180</v>
      </c>
      <c r="P17" s="7"/>
      <c r="Q17" s="15" t="s">
        <v>181</v>
      </c>
      <c r="R17" s="9">
        <f>dp_dn/(W_max^2-W_min^2)</f>
        <v>0</v>
      </c>
      <c r="S17" s="108" t="s">
        <v>224</v>
      </c>
      <c r="T17" s="109">
        <v>0.1</v>
      </c>
      <c r="U17" s="110"/>
      <c r="V17" s="110"/>
      <c r="W17" s="109">
        <v>0.2</v>
      </c>
      <c r="X17" s="110"/>
      <c r="Y17" s="110"/>
      <c r="Z17" s="109">
        <v>0.3</v>
      </c>
      <c r="AA17" s="110"/>
      <c r="AB17" s="110"/>
      <c r="AC17" s="110">
        <v>0.4</v>
      </c>
      <c r="AD17" s="108"/>
      <c r="AE17" s="110"/>
      <c r="AF17" s="110">
        <v>0.5</v>
      </c>
      <c r="AG17" s="108"/>
      <c r="AH17" s="110"/>
      <c r="AI17" s="110">
        <v>0.6</v>
      </c>
      <c r="AJ17" s="108"/>
      <c r="AK17" s="110"/>
      <c r="AL17" s="110">
        <v>0.7</v>
      </c>
      <c r="AM17" s="108"/>
      <c r="AN17" s="110"/>
      <c r="AO17" s="110">
        <v>0.8</v>
      </c>
      <c r="AP17" s="108"/>
      <c r="AQ17" s="110"/>
      <c r="AR17" s="110">
        <v>0.9</v>
      </c>
      <c r="AS17" s="108"/>
      <c r="AT17" s="110"/>
      <c r="AU17" s="109">
        <v>1</v>
      </c>
    </row>
    <row r="18" spans="1:48" ht="12.75" customHeight="1" x14ac:dyDescent="0.35">
      <c r="A18" s="75"/>
      <c r="B18" s="65"/>
      <c r="C18" s="65"/>
      <c r="D18" s="65"/>
      <c r="E18" s="65"/>
      <c r="F18" s="65"/>
      <c r="G18" s="165"/>
      <c r="H18" s="165"/>
      <c r="I18" s="76"/>
      <c r="J18" s="1"/>
      <c r="K18" s="1"/>
      <c r="L18" s="76"/>
      <c r="M18" s="186" t="str">
        <f>IF(P_1_maxQ&gt;P_1_minQ,"ERROR! P1 must be constant or decreasing with increasing flow","")</f>
        <v/>
      </c>
      <c r="O18" s="16" t="s">
        <v>182</v>
      </c>
      <c r="P18" s="7"/>
      <c r="Q18" s="17" t="s">
        <v>240</v>
      </c>
      <c r="R18" s="8">
        <f>R_up*W_min^2</f>
        <v>0.52278673672672882</v>
      </c>
      <c r="S18" s="103" t="s">
        <v>225</v>
      </c>
      <c r="T18" s="111">
        <f>MIN(S45:S5631)</f>
        <v>1.0674920660517451E-2</v>
      </c>
      <c r="U18" s="31"/>
      <c r="V18" s="112"/>
      <c r="W18" s="111">
        <f>MIN(V44:V5631)</f>
        <v>4.6374800222181989E-4</v>
      </c>
      <c r="X18" s="31"/>
      <c r="Y18" s="112"/>
      <c r="Z18" s="111">
        <f>MIN(Y44:Y5631)</f>
        <v>1.8851385133999088E-2</v>
      </c>
      <c r="AA18" s="31"/>
      <c r="AB18" s="112"/>
      <c r="AC18" s="111">
        <f>MIN(AB44:AB5631)</f>
        <v>8.0930198094577577E-2</v>
      </c>
      <c r="AD18" s="107"/>
      <c r="AE18" s="112"/>
      <c r="AF18" s="111">
        <f>MIN(AE44:AE5631)</f>
        <v>0.11940346400340829</v>
      </c>
      <c r="AG18" s="107"/>
      <c r="AH18" s="112"/>
      <c r="AI18" s="111">
        <f>MIN(AH44:AH5631)</f>
        <v>7.7710799476236048E-3</v>
      </c>
      <c r="AJ18" s="107"/>
      <c r="AK18" s="112"/>
      <c r="AL18" s="111">
        <f>MIN(AK44:AK5631)</f>
        <v>0.41470485522864919</v>
      </c>
      <c r="AM18" s="107"/>
      <c r="AN18" s="112"/>
      <c r="AO18" s="111">
        <f>MIN(AN44:AN5631)</f>
        <v>0.36320799017477157</v>
      </c>
      <c r="AP18" s="107"/>
      <c r="AQ18" s="112"/>
      <c r="AR18" s="111">
        <f>MIN(AQ44:AQ5631)</f>
        <v>0.35312810681548967</v>
      </c>
      <c r="AS18" s="107"/>
      <c r="AT18" s="112"/>
      <c r="AU18" s="111">
        <f>MIN(AT44:AT5631)</f>
        <v>3.564683649652352</v>
      </c>
    </row>
    <row r="19" spans="1:48" ht="12.75" customHeight="1" thickBot="1" x14ac:dyDescent="0.4">
      <c r="A19" s="329"/>
      <c r="B19" s="330"/>
      <c r="C19" s="330"/>
      <c r="D19" s="77"/>
      <c r="E19" s="65"/>
      <c r="F19" s="65"/>
      <c r="G19" s="165"/>
      <c r="H19" s="165"/>
      <c r="K19" s="1"/>
      <c r="L19" s="76"/>
      <c r="M19" s="185" t="str">
        <f>IF(P_2_maxQ&lt;P_2_minQ,"ERROR! P2 must be constant or increasing with increasing flow","")</f>
        <v/>
      </c>
      <c r="O19" s="16" t="s">
        <v>183</v>
      </c>
      <c r="P19" s="7"/>
      <c r="Q19" s="17" t="s">
        <v>241</v>
      </c>
      <c r="R19" s="8">
        <f>R_dn*W_min^2</f>
        <v>0</v>
      </c>
      <c r="S19" s="113" t="s">
        <v>226</v>
      </c>
      <c r="T19" s="114">
        <f>VLOOKUP(T18,S45:T5631,2,FALSE)</f>
        <v>464.55549997869338</v>
      </c>
      <c r="U19" s="31"/>
      <c r="V19" s="115"/>
      <c r="W19" s="114">
        <f>VLOOKUP(W18,V44:W5631,2,FALSE)</f>
        <v>1148.9010341998462</v>
      </c>
      <c r="X19" s="31"/>
      <c r="Y19" s="115"/>
      <c r="Z19" s="114">
        <f>VLOOKUP(Z18,Y44:Z5631,2,FALSE)</f>
        <v>2237.7659629019336</v>
      </c>
      <c r="AA19" s="31"/>
      <c r="AB19" s="115"/>
      <c r="AC19" s="114">
        <f>VLOOKUP(AC18,AB44:AC5631,2,FALSE)</f>
        <v>3680.3011124276377</v>
      </c>
      <c r="AD19" s="107"/>
      <c r="AE19" s="115"/>
      <c r="AF19" s="114">
        <f>VLOOKUP(AF18,AE44:AF5631,2,FALSE)</f>
        <v>5161.9056424652827</v>
      </c>
      <c r="AG19" s="107"/>
      <c r="AH19" s="115"/>
      <c r="AI19" s="114">
        <f>VLOOKUP(AI18,AH44:AI5631,2,FALSE)</f>
        <v>6554.2504466905621</v>
      </c>
      <c r="AJ19" s="107"/>
      <c r="AK19" s="115"/>
      <c r="AL19" s="114">
        <f>VLOOKUP(AL18,AK44:AL5631,2,FALSE)</f>
        <v>7685.3741072709645</v>
      </c>
      <c r="AM19" s="107"/>
      <c r="AN19" s="115"/>
      <c r="AO19" s="114">
        <f>VLOOKUP(AO18,AN44:AO5631,2,FALSE)</f>
        <v>8574.3286237634311</v>
      </c>
      <c r="AP19" s="107"/>
      <c r="AQ19" s="115"/>
      <c r="AR19" s="114">
        <f>VLOOKUP(AR18,AQ44:AR5631,2,FALSE)</f>
        <v>9566.1070394392464</v>
      </c>
      <c r="AS19" s="107"/>
      <c r="AT19" s="115"/>
      <c r="AU19" s="114">
        <f>VLOOKUP(AU18,AT44:AU5631,2,FALSE)</f>
        <v>9954.529345329709</v>
      </c>
    </row>
    <row r="20" spans="1:48" ht="12.75" customHeight="1" thickTop="1" thickBot="1" x14ac:dyDescent="0.3">
      <c r="A20" s="65"/>
      <c r="B20" s="65"/>
      <c r="C20" s="65"/>
      <c r="D20" s="72"/>
      <c r="E20" s="65"/>
      <c r="F20" s="65"/>
      <c r="G20" s="76"/>
      <c r="H20" s="101" t="s">
        <v>250</v>
      </c>
      <c r="I20" s="167"/>
      <c r="J20" s="76"/>
      <c r="K20" s="1"/>
      <c r="L20" s="76"/>
      <c r="M20" s="7"/>
      <c r="N20" s="7"/>
      <c r="O20" s="7"/>
      <c r="P20" s="7"/>
      <c r="Q20" s="7"/>
      <c r="R20" s="1"/>
      <c r="S20" s="116" t="s">
        <v>227</v>
      </c>
      <c r="T20" s="117">
        <f>MATCH(T18,S45:S5631,0)+44</f>
        <v>2663</v>
      </c>
      <c r="U20" s="118"/>
      <c r="V20" s="119"/>
      <c r="W20" s="117">
        <f>MATCH(W18,V44:V5631,0)+43</f>
        <v>1319</v>
      </c>
      <c r="X20" s="118"/>
      <c r="Y20" s="119"/>
      <c r="Z20" s="117">
        <f>MATCH(Z18,Y44:Y5631,0)+43</f>
        <v>983</v>
      </c>
      <c r="AA20" s="118"/>
      <c r="AB20" s="119"/>
      <c r="AC20" s="117">
        <f>MATCH(AC18,AB44:AB5631,0)+43</f>
        <v>745</v>
      </c>
      <c r="AD20" s="120"/>
      <c r="AE20" s="119"/>
      <c r="AF20" s="117">
        <f>MATCH(AF18,AE44:AE5631,0)+43</f>
        <v>521</v>
      </c>
      <c r="AG20" s="120"/>
      <c r="AH20" s="119"/>
      <c r="AI20" s="117">
        <f>MATCH(AI18,AH44:AH5631,0)+43</f>
        <v>381</v>
      </c>
      <c r="AJ20" s="120"/>
      <c r="AK20" s="119"/>
      <c r="AL20" s="117">
        <f>MATCH(AL18,AK44:AK5631,0)+43</f>
        <v>269</v>
      </c>
      <c r="AM20" s="120"/>
      <c r="AN20" s="119"/>
      <c r="AO20" s="117">
        <f>MATCH(AO18,AN44:AN5631,0)+43</f>
        <v>199</v>
      </c>
      <c r="AP20" s="120"/>
      <c r="AQ20" s="119"/>
      <c r="AR20" s="117">
        <f>MATCH(AR18,AQ44:AQ5631,0)+43</f>
        <v>199</v>
      </c>
      <c r="AS20" s="120"/>
      <c r="AT20" s="119"/>
      <c r="AU20" s="117">
        <f>MATCH(AU18,AT44:AT5631,0)+43</f>
        <v>101</v>
      </c>
    </row>
    <row r="21" spans="1:48" ht="12.75" customHeight="1" thickTop="1" x14ac:dyDescent="0.35">
      <c r="A21" s="78"/>
      <c r="B21" s="65"/>
      <c r="C21" s="65"/>
      <c r="D21" s="65"/>
      <c r="E21" s="65"/>
      <c r="F21" s="65"/>
      <c r="G21" s="166"/>
      <c r="H21" s="1"/>
      <c r="I21" s="166" t="s">
        <v>247</v>
      </c>
      <c r="J21" s="170">
        <f>W_max</f>
        <v>7174</v>
      </c>
      <c r="K21" s="1"/>
      <c r="L21" s="76"/>
      <c r="M21" s="1"/>
      <c r="O21" s="1"/>
      <c r="P21" s="1"/>
      <c r="Q21" s="1"/>
      <c r="R21" s="1"/>
      <c r="S21" s="21"/>
      <c r="T21" s="19"/>
      <c r="U21" s="34"/>
    </row>
    <row r="22" spans="1:48" ht="12.75" customHeight="1" x14ac:dyDescent="0.3">
      <c r="A22" s="78"/>
      <c r="B22" s="65"/>
      <c r="C22" s="65"/>
      <c r="D22" s="65"/>
      <c r="E22" s="65"/>
      <c r="F22" s="65"/>
      <c r="G22" s="169"/>
      <c r="H22" s="166"/>
      <c r="I22" s="167"/>
      <c r="J22" s="1"/>
      <c r="K22" s="1"/>
      <c r="L22" s="76"/>
      <c r="M22" s="23"/>
      <c r="N22" s="23"/>
      <c r="O22" s="23" t="s">
        <v>216</v>
      </c>
      <c r="P22" s="20"/>
      <c r="Q22" s="20"/>
      <c r="R22" s="18"/>
      <c r="S22" s="20"/>
      <c r="T22" s="12"/>
      <c r="U22" s="35"/>
    </row>
    <row r="23" spans="1:48" ht="12.75" customHeight="1" x14ac:dyDescent="0.25">
      <c r="A23" s="72"/>
      <c r="B23" s="65"/>
      <c r="C23" s="80"/>
      <c r="D23" s="81"/>
      <c r="E23" s="82"/>
      <c r="F23" s="65"/>
      <c r="G23" s="169"/>
      <c r="H23" s="167"/>
      <c r="I23" s="167"/>
      <c r="J23" s="79"/>
      <c r="K23" s="1"/>
      <c r="L23" s="76"/>
      <c r="M23" s="20"/>
      <c r="N23" s="20"/>
      <c r="O23" s="14" t="s">
        <v>217</v>
      </c>
      <c r="P23" s="14"/>
      <c r="Q23" s="14" t="s">
        <v>218</v>
      </c>
      <c r="R23" s="103">
        <f>B6</f>
        <v>2</v>
      </c>
      <c r="S23" s="121"/>
      <c r="T23" s="122"/>
      <c r="U23" s="103">
        <f>C6</f>
        <v>5</v>
      </c>
      <c r="V23" s="121"/>
      <c r="W23" s="122"/>
      <c r="X23" s="123">
        <f>D6</f>
        <v>10</v>
      </c>
      <c r="Y23" s="121"/>
      <c r="Z23" s="122"/>
      <c r="AA23" s="123">
        <f>E6</f>
        <v>17.2</v>
      </c>
      <c r="AB23" s="121"/>
      <c r="AC23" s="122"/>
      <c r="AD23" s="123">
        <f>F6</f>
        <v>26.6</v>
      </c>
      <c r="AE23" s="121"/>
      <c r="AF23" s="122"/>
      <c r="AG23" s="123">
        <f>G6</f>
        <v>38.4</v>
      </c>
      <c r="AH23" s="121"/>
      <c r="AI23" s="122"/>
      <c r="AJ23" s="123">
        <f>H6</f>
        <v>52.5</v>
      </c>
      <c r="AK23" s="121"/>
      <c r="AL23" s="122"/>
      <c r="AM23" s="123">
        <f>I6</f>
        <v>72.400000000000006</v>
      </c>
      <c r="AN23" s="121"/>
      <c r="AO23" s="122"/>
      <c r="AP23" s="123">
        <f>J6</f>
        <v>108</v>
      </c>
      <c r="AQ23" s="1"/>
      <c r="AR23" s="1"/>
      <c r="AS23" s="1">
        <f>K6</f>
        <v>180</v>
      </c>
      <c r="AT23" s="121"/>
      <c r="AU23" s="124"/>
    </row>
    <row r="24" spans="1:48" ht="12.75" customHeight="1" x14ac:dyDescent="0.25">
      <c r="A24" s="72"/>
      <c r="B24" s="65"/>
      <c r="C24" s="65"/>
      <c r="D24" s="65"/>
      <c r="E24" s="83"/>
      <c r="F24" s="65"/>
      <c r="G24" s="169"/>
      <c r="H24" s="101" t="s">
        <v>249</v>
      </c>
      <c r="I24" s="167"/>
      <c r="K24" s="1"/>
      <c r="L24" s="76"/>
      <c r="M24" s="20"/>
      <c r="N24" s="20"/>
      <c r="O24" s="14"/>
      <c r="P24" s="14"/>
      <c r="Q24" s="14"/>
      <c r="R24" s="104"/>
      <c r="S24" s="121"/>
      <c r="T24" s="122"/>
      <c r="U24" s="104"/>
      <c r="V24" s="121"/>
      <c r="W24" s="122"/>
      <c r="X24" s="125"/>
      <c r="Y24" s="121"/>
      <c r="Z24" s="122"/>
      <c r="AA24" s="125"/>
      <c r="AB24" s="121"/>
      <c r="AC24" s="122"/>
      <c r="AD24" s="125"/>
      <c r="AE24" s="121"/>
      <c r="AF24" s="122"/>
      <c r="AG24" s="125"/>
      <c r="AH24" s="121"/>
      <c r="AI24" s="122"/>
      <c r="AJ24" s="125"/>
      <c r="AK24" s="121"/>
      <c r="AL24" s="122"/>
      <c r="AM24" s="125"/>
      <c r="AN24" s="121"/>
      <c r="AO24" s="122"/>
      <c r="AP24" s="125"/>
      <c r="AQ24" s="121"/>
      <c r="AR24" s="122"/>
      <c r="AS24" s="125"/>
      <c r="AT24" s="121"/>
      <c r="AU24" s="124"/>
    </row>
    <row r="25" spans="1:48" ht="12.75" customHeight="1" x14ac:dyDescent="0.25">
      <c r="A25" s="62"/>
      <c r="B25" s="62"/>
      <c r="C25" s="62"/>
      <c r="D25" s="62"/>
      <c r="E25" s="62"/>
      <c r="F25" s="65"/>
      <c r="G25" s="62"/>
      <c r="H25" s="1"/>
      <c r="I25" s="166" t="s">
        <v>247</v>
      </c>
      <c r="J25" s="63">
        <f>W_min</f>
        <v>1145</v>
      </c>
      <c r="K25" s="76"/>
      <c r="L25" s="76"/>
      <c r="M25" s="12"/>
      <c r="N25" s="12"/>
      <c r="O25" s="14"/>
      <c r="P25" s="14"/>
      <c r="Q25" s="14"/>
      <c r="R25" s="104"/>
      <c r="S25" s="121"/>
      <c r="T25" s="122"/>
      <c r="U25" s="105"/>
      <c r="V25" s="121"/>
      <c r="W25" s="122"/>
      <c r="X25" s="126"/>
      <c r="Y25" s="121"/>
      <c r="Z25" s="122"/>
      <c r="AA25" s="126"/>
      <c r="AB25" s="121"/>
      <c r="AC25" s="122"/>
      <c r="AD25" s="126"/>
      <c r="AE25" s="121"/>
      <c r="AF25" s="122"/>
      <c r="AG25" s="126"/>
      <c r="AH25" s="121"/>
      <c r="AI25" s="122"/>
      <c r="AJ25" s="126"/>
      <c r="AK25" s="121"/>
      <c r="AL25" s="122"/>
      <c r="AM25" s="126"/>
      <c r="AN25" s="121"/>
      <c r="AO25" s="122"/>
      <c r="AP25" s="126"/>
      <c r="AQ25" s="121"/>
      <c r="AR25" s="122"/>
      <c r="AS25" s="126"/>
      <c r="AT25" s="121"/>
      <c r="AU25" s="124"/>
    </row>
    <row r="26" spans="1:48" ht="12.75" customHeight="1" x14ac:dyDescent="0.3">
      <c r="A26" s="62"/>
      <c r="B26" s="62"/>
      <c r="C26" s="62"/>
      <c r="D26" s="62"/>
      <c r="E26" s="62"/>
      <c r="F26" s="62"/>
      <c r="G26" s="62"/>
      <c r="H26" s="84"/>
      <c r="I26" s="1"/>
      <c r="J26" s="1"/>
      <c r="K26" s="76"/>
      <c r="L26" s="76"/>
      <c r="M26" s="23"/>
      <c r="N26" s="23"/>
      <c r="O26" s="33" t="s">
        <v>219</v>
      </c>
      <c r="P26" s="14"/>
      <c r="Q26" s="14"/>
      <c r="R26" s="104"/>
      <c r="S26" s="121"/>
      <c r="T26" s="122"/>
      <c r="U26" s="105"/>
      <c r="V26" s="121"/>
      <c r="W26" s="122"/>
      <c r="X26" s="126"/>
      <c r="Y26" s="121"/>
      <c r="Z26" s="122"/>
      <c r="AA26" s="126"/>
      <c r="AB26" s="121"/>
      <c r="AC26" s="122"/>
      <c r="AD26" s="126"/>
      <c r="AE26" s="121"/>
      <c r="AF26" s="122"/>
      <c r="AG26" s="126"/>
      <c r="AH26" s="121"/>
      <c r="AI26" s="122"/>
      <c r="AJ26" s="126"/>
      <c r="AK26" s="121"/>
      <c r="AL26" s="122"/>
      <c r="AM26" s="126"/>
      <c r="AN26" s="121"/>
      <c r="AO26" s="122"/>
      <c r="AP26" s="126"/>
      <c r="AQ26" s="121"/>
      <c r="AR26" s="122"/>
      <c r="AS26" s="126"/>
      <c r="AT26" s="121"/>
      <c r="AU26" s="124"/>
    </row>
    <row r="27" spans="1:48" ht="12.75" customHeight="1" x14ac:dyDescent="0.25">
      <c r="A27" s="62"/>
      <c r="B27" s="62"/>
      <c r="C27" s="62"/>
      <c r="D27" s="62"/>
      <c r="E27" s="62"/>
      <c r="F27" s="62"/>
      <c r="J27" s="1"/>
      <c r="K27" s="76"/>
      <c r="L27" s="76"/>
      <c r="M27" s="20"/>
      <c r="N27" s="20"/>
      <c r="O27" s="14" t="s">
        <v>220</v>
      </c>
      <c r="P27" s="14">
        <v>15</v>
      </c>
      <c r="Q27" s="14" t="s">
        <v>221</v>
      </c>
      <c r="R27" s="106">
        <f>1/(SQRT(1+(SIGMA_ZETA/N_2)*(C_h/d^2)^2))</f>
        <v>0.99988151684723015</v>
      </c>
      <c r="S27" s="121"/>
      <c r="T27" s="122"/>
      <c r="U27" s="136">
        <f>1/(SQRT(1+(SIGMA_ZETA/N_2)*(U23/d^2)^2))</f>
        <v>0.99926017049790605</v>
      </c>
      <c r="V27" s="121"/>
      <c r="W27" s="122"/>
      <c r="X27" s="136">
        <f>1/(SQRT(1+(SIGMA_ZETA/N_2)*(X23/d^2)^2))</f>
        <v>0.99705049553654967</v>
      </c>
      <c r="Y27" s="121"/>
      <c r="Z27" s="122"/>
      <c r="AA27" s="136">
        <f>1/(SQRT(1+(SIGMA_ZETA/N_2)*(AA23/d^2)^2))</f>
        <v>0.99134899717447555</v>
      </c>
      <c r="AB27" s="121"/>
      <c r="AC27" s="122"/>
      <c r="AD27" s="136">
        <f>1/(SQRT(1+(SIGMA_ZETA/N_2)*(AD23/d^2)^2))</f>
        <v>0.97967469738548918</v>
      </c>
      <c r="AE27" s="121"/>
      <c r="AF27" s="122"/>
      <c r="AG27" s="136">
        <f>1/(SQRT(1+(SIGMA_ZETA/N_2)*(AG23/d^2)^2))</f>
        <v>0.95898357643705379</v>
      </c>
      <c r="AH27" s="121"/>
      <c r="AI27" s="122"/>
      <c r="AJ27" s="136">
        <f>1/(SQRT(1+(SIGMA_ZETA/N_2)*(AJ23/d^2)^2))</f>
        <v>0.92715339673879171</v>
      </c>
      <c r="AK27" s="121"/>
      <c r="AL27" s="122"/>
      <c r="AM27" s="136">
        <f>1/(SQRT(1+(SIGMA_ZETA/N_2)*(AM23/d^2)^2))</f>
        <v>0.87350893154708764</v>
      </c>
      <c r="AN27" s="121"/>
      <c r="AO27" s="122"/>
      <c r="AP27" s="136">
        <f>1/(SQRT(1+(SIGMA_ZETA/N_2)*(AP23/d^2)^2))</f>
        <v>0.76897678196330344</v>
      </c>
      <c r="AQ27" s="121"/>
      <c r="AR27" s="122"/>
      <c r="AS27" s="136">
        <f>1/(SQRT(1+(SIGMA_ZETA/N_2)*(AS23/d^2)^2))</f>
        <v>0.58522895936602837</v>
      </c>
      <c r="AT27" s="121"/>
      <c r="AU27" s="124"/>
    </row>
    <row r="28" spans="1:48" ht="12.75" customHeight="1" x14ac:dyDescent="0.25">
      <c r="A28" s="62"/>
      <c r="B28" s="62"/>
      <c r="C28" s="62"/>
      <c r="D28" s="62"/>
      <c r="E28" s="62"/>
      <c r="F28" s="62"/>
      <c r="G28" s="62"/>
      <c r="H28" s="84"/>
      <c r="I28" s="1"/>
      <c r="J28" s="1"/>
      <c r="K28" s="76"/>
      <c r="L28" s="76"/>
      <c r="M28" s="27"/>
      <c r="N28" s="27"/>
      <c r="O28" s="20"/>
      <c r="P28" s="14"/>
      <c r="Q28" s="14"/>
      <c r="R28" s="103"/>
      <c r="S28" s="121"/>
      <c r="T28" s="122"/>
      <c r="U28" s="103"/>
      <c r="V28" s="121"/>
      <c r="W28" s="122"/>
      <c r="X28" s="123"/>
      <c r="Y28" s="121"/>
      <c r="Z28" s="122"/>
      <c r="AA28" s="123"/>
      <c r="AB28" s="121"/>
      <c r="AC28" s="122"/>
      <c r="AD28" s="123"/>
      <c r="AE28" s="121"/>
      <c r="AF28" s="122"/>
      <c r="AG28" s="123"/>
      <c r="AH28" s="121"/>
      <c r="AI28" s="122"/>
      <c r="AJ28" s="123"/>
      <c r="AK28" s="121"/>
      <c r="AL28" s="122"/>
      <c r="AM28" s="123"/>
      <c r="AN28" s="121"/>
      <c r="AO28" s="122"/>
      <c r="AP28" s="123"/>
      <c r="AQ28" s="121"/>
      <c r="AR28" s="122"/>
      <c r="AS28" s="123"/>
      <c r="AT28" s="121"/>
      <c r="AU28" s="124"/>
    </row>
    <row r="29" spans="1:48" ht="12.75" customHeight="1" x14ac:dyDescent="0.35">
      <c r="A29" s="62"/>
      <c r="B29" s="62"/>
      <c r="C29" s="62"/>
      <c r="D29" s="62"/>
      <c r="E29" s="62"/>
      <c r="F29" s="62"/>
      <c r="G29" s="166"/>
      <c r="H29" s="167"/>
      <c r="I29" s="166" t="s">
        <v>209</v>
      </c>
      <c r="J29" s="1" t="str">
        <f>'Valve Sizing'!B4</f>
        <v>lbm/h</v>
      </c>
      <c r="K29" s="76"/>
      <c r="L29" s="76"/>
      <c r="M29" s="20"/>
      <c r="N29" s="20"/>
      <c r="O29" s="14" t="s">
        <v>222</v>
      </c>
      <c r="P29" s="14">
        <v>21</v>
      </c>
      <c r="Q29" s="14" t="s">
        <v>223</v>
      </c>
      <c r="R29" s="179">
        <f>(B7/R27^2)/(1+(B7*SIGMA_ZETA_1/N_5)*(R23/d^2)^2)</f>
        <v>0.64002688015162901</v>
      </c>
      <c r="S29" s="127"/>
      <c r="T29" s="31"/>
      <c r="U29" s="137">
        <f>(C7/U27^2)/(1+(C7*SIGMA_ZETA_1/N_5)*(U23/d^2)^2)</f>
        <v>0.64016782916606918</v>
      </c>
      <c r="V29" s="127"/>
      <c r="W29" s="31"/>
      <c r="X29" s="141">
        <f>(D7/X27^2)/(1+(D7*SIGMA_ZETA_1/N_5)*(X23/d^2)^2)</f>
        <v>0.6307062319203669</v>
      </c>
      <c r="Y29" s="127"/>
      <c r="Z29" s="31"/>
      <c r="AA29" s="141">
        <f>(E7/AA27^2)/(1+(E7*SIGMA_ZETA_1/N_5)*(AA23/d^2)^2)</f>
        <v>0.62217534213893466</v>
      </c>
      <c r="AB29" s="127"/>
      <c r="AC29" s="31"/>
      <c r="AD29" s="141">
        <f>(F7/AD27^2)/(1+(F7*SIGMA_ZETA_1/N_5)*(AD23/d^2)^2)</f>
        <v>0.60557184969146072</v>
      </c>
      <c r="AE29" s="127"/>
      <c r="AF29" s="31"/>
      <c r="AG29" s="141">
        <f>(G7/AG27^2)/(1+(G7*SIGMA_ZETA_1/N_5)*(AG23/d^2)^2)</f>
        <v>0.57289312142622573</v>
      </c>
      <c r="AH29" s="127"/>
      <c r="AI29" s="31"/>
      <c r="AJ29" s="141">
        <f>(H7/AJ27^2)/(1+(H7*SIGMA_ZETA_1/N_5)*(AJ23/d^2)^2)</f>
        <v>0.53590819116049981</v>
      </c>
      <c r="AK29" s="127"/>
      <c r="AL29" s="31"/>
      <c r="AM29" s="141">
        <f>(I7/AM27^2)/(1+(I7*SIGMA_ZETA_1/N_5)*(AM23/d^2)^2)</f>
        <v>0.49048815926850342</v>
      </c>
      <c r="AN29" s="127"/>
      <c r="AO29" s="31"/>
      <c r="AP29" s="141">
        <f>(H7/AP27^2)/(1+(H7*SIGMA_ZETA_1/N_5)*(AP23/d^2)^2)</f>
        <v>0.59352979016280105</v>
      </c>
      <c r="AQ29" s="127"/>
      <c r="AR29" s="31"/>
      <c r="AS29" s="141">
        <f>(K7/AS27^2)/(1+(K7*SIGMA_ZETA_1/N_5)*(AS23/d^2)^2)</f>
        <v>0.39097221161068291</v>
      </c>
      <c r="AT29" s="127"/>
      <c r="AU29" s="124"/>
    </row>
    <row r="30" spans="1:48" ht="12.75" customHeight="1" x14ac:dyDescent="0.25">
      <c r="A30" s="62"/>
      <c r="B30" s="62"/>
      <c r="C30" s="62"/>
      <c r="D30" s="62"/>
      <c r="E30" s="62"/>
      <c r="F30" s="62"/>
      <c r="G30" s="62"/>
      <c r="H30" s="84"/>
      <c r="I30" s="76"/>
      <c r="J30" s="76"/>
      <c r="K30" s="76"/>
      <c r="L30" s="76"/>
      <c r="M30" s="12"/>
      <c r="N30" s="12"/>
      <c r="O30" s="14"/>
      <c r="P30" s="14"/>
      <c r="Q30" s="14"/>
      <c r="R30" s="103"/>
      <c r="S30" s="133"/>
      <c r="T30" s="12"/>
      <c r="U30" s="102"/>
      <c r="V30" s="133"/>
      <c r="X30" s="102"/>
      <c r="Y30" s="133"/>
      <c r="AA30" s="102"/>
      <c r="AB30" s="133"/>
      <c r="AD30" s="102"/>
      <c r="AE30" s="133"/>
      <c r="AG30" s="102"/>
      <c r="AH30" s="133"/>
      <c r="AJ30" s="102"/>
      <c r="AK30" s="133"/>
      <c r="AM30" s="102"/>
      <c r="AN30" s="133"/>
      <c r="AP30" s="102"/>
      <c r="AQ30" s="133"/>
      <c r="AS30" s="102"/>
      <c r="AT30" s="133"/>
      <c r="AV30" s="102"/>
    </row>
    <row r="31" spans="1:48" ht="12.75" customHeight="1" x14ac:dyDescent="0.3">
      <c r="A31" s="1"/>
      <c r="B31" s="1"/>
      <c r="C31" s="1"/>
      <c r="D31" s="1"/>
      <c r="E31" s="1"/>
      <c r="F31" s="1"/>
      <c r="G31" s="1"/>
      <c r="H31" s="86"/>
      <c r="I31" s="76"/>
      <c r="J31" s="76"/>
      <c r="K31" s="76"/>
      <c r="L31" s="76"/>
      <c r="M31" s="12"/>
      <c r="N31" s="12"/>
      <c r="O31" s="14"/>
      <c r="P31" s="14"/>
      <c r="Q31" s="14"/>
      <c r="R31" s="180"/>
      <c r="S31" s="142"/>
      <c r="T31" s="12"/>
      <c r="U31" s="102"/>
      <c r="V31" s="133"/>
      <c r="X31" s="102"/>
      <c r="Y31" s="133"/>
      <c r="AA31" s="102"/>
      <c r="AB31" s="133"/>
      <c r="AD31" s="102"/>
      <c r="AE31" s="133"/>
      <c r="AG31" s="102"/>
      <c r="AH31" s="133"/>
      <c r="AJ31" s="102"/>
      <c r="AK31" s="133"/>
      <c r="AM31" s="102"/>
      <c r="AN31" s="133"/>
      <c r="AP31" s="102"/>
      <c r="AQ31" s="133"/>
      <c r="AS31" s="102"/>
      <c r="AT31" s="133"/>
      <c r="AV31" s="102"/>
    </row>
    <row r="32" spans="1:48" ht="12.75" customHeight="1" x14ac:dyDescent="0.25">
      <c r="A32" s="1"/>
      <c r="B32" s="1"/>
      <c r="C32" s="1"/>
      <c r="D32" s="1"/>
      <c r="E32" s="1"/>
      <c r="F32" s="1"/>
      <c r="G32" s="1"/>
      <c r="H32" s="86"/>
      <c r="I32" s="76"/>
      <c r="K32" s="76"/>
      <c r="L32" s="76"/>
      <c r="M32" s="20"/>
      <c r="N32" s="20"/>
      <c r="O32" s="20" t="s">
        <v>239</v>
      </c>
      <c r="P32" s="20"/>
      <c r="Q32" s="20"/>
      <c r="R32" s="18"/>
      <c r="S32" s="133"/>
      <c r="T32" s="12"/>
      <c r="U32" s="102"/>
      <c r="V32" s="133"/>
      <c r="X32" s="102"/>
      <c r="Y32" s="133"/>
      <c r="AA32" s="102"/>
      <c r="AB32" s="133"/>
      <c r="AD32" s="102"/>
      <c r="AE32" s="133"/>
      <c r="AG32" s="102"/>
      <c r="AH32" s="133"/>
      <c r="AJ32" s="102"/>
      <c r="AK32" s="133"/>
      <c r="AM32" s="102"/>
      <c r="AN32" s="133"/>
      <c r="AP32" s="102"/>
      <c r="AQ32" s="133"/>
      <c r="AS32" s="102"/>
      <c r="AT32" s="133"/>
      <c r="AV32" s="102"/>
    </row>
    <row r="33" spans="1:48" ht="12.75" customHeight="1" x14ac:dyDescent="0.3">
      <c r="A33" s="1"/>
      <c r="B33" s="1"/>
      <c r="C33" s="1"/>
      <c r="D33" s="1"/>
      <c r="E33" s="1"/>
      <c r="F33" s="1"/>
      <c r="G33" s="1"/>
      <c r="H33" s="86"/>
      <c r="I33" s="76"/>
      <c r="J33" s="76"/>
      <c r="K33" s="76"/>
      <c r="L33" s="76"/>
      <c r="M33" s="23"/>
      <c r="N33" s="23"/>
      <c r="O33" s="23" t="s">
        <v>184</v>
      </c>
      <c r="P33" s="20"/>
      <c r="Q33" s="20" t="s">
        <v>231</v>
      </c>
      <c r="R33" s="18">
        <f>W_min/100</f>
        <v>11.45</v>
      </c>
      <c r="S33" s="128" t="s">
        <v>185</v>
      </c>
      <c r="T33" s="129" t="s">
        <v>186</v>
      </c>
      <c r="U33" s="106">
        <f>T19</f>
        <v>464.55549997869338</v>
      </c>
      <c r="V33" s="128" t="s">
        <v>185</v>
      </c>
      <c r="W33" s="129" t="s">
        <v>186</v>
      </c>
      <c r="X33" s="106">
        <f>W19</f>
        <v>1148.9010341998462</v>
      </c>
      <c r="Y33" s="128" t="s">
        <v>185</v>
      </c>
      <c r="Z33" s="129" t="s">
        <v>186</v>
      </c>
      <c r="AA33" s="106">
        <f>Z19</f>
        <v>2237.7659629019336</v>
      </c>
      <c r="AB33" s="128" t="s">
        <v>185</v>
      </c>
      <c r="AC33" s="129" t="s">
        <v>186</v>
      </c>
      <c r="AD33" s="106">
        <f>AC19</f>
        <v>3680.3011124276377</v>
      </c>
      <c r="AE33" s="128" t="s">
        <v>185</v>
      </c>
      <c r="AF33" s="129" t="s">
        <v>186</v>
      </c>
      <c r="AG33" s="106">
        <f>AF19</f>
        <v>5161.9056424652827</v>
      </c>
      <c r="AH33" s="128" t="s">
        <v>185</v>
      </c>
      <c r="AI33" s="129" t="s">
        <v>186</v>
      </c>
      <c r="AJ33" s="106">
        <f>AI19</f>
        <v>6554.2504466905621</v>
      </c>
      <c r="AK33" s="128" t="s">
        <v>185</v>
      </c>
      <c r="AL33" s="129" t="s">
        <v>186</v>
      </c>
      <c r="AM33" s="106">
        <f>AL19</f>
        <v>7685.3741072709645</v>
      </c>
      <c r="AN33" s="128" t="s">
        <v>185</v>
      </c>
      <c r="AO33" s="129" t="s">
        <v>186</v>
      </c>
      <c r="AP33" s="106">
        <f>AO19</f>
        <v>8574.3286237634311</v>
      </c>
      <c r="AQ33" s="128" t="s">
        <v>185</v>
      </c>
      <c r="AR33" s="129" t="s">
        <v>186</v>
      </c>
      <c r="AS33" s="106">
        <f>AR19</f>
        <v>9566.1070394392464</v>
      </c>
      <c r="AT33" s="128" t="s">
        <v>185</v>
      </c>
      <c r="AU33" s="140" t="s">
        <v>186</v>
      </c>
      <c r="AV33" s="102"/>
    </row>
    <row r="34" spans="1:48" ht="12.75" customHeight="1" x14ac:dyDescent="0.3">
      <c r="A34" s="1"/>
      <c r="B34" s="1"/>
      <c r="C34" s="1"/>
      <c r="D34" s="1"/>
      <c r="E34" s="1"/>
      <c r="F34" s="1"/>
      <c r="G34" s="1"/>
      <c r="H34" s="86"/>
      <c r="I34" s="76"/>
      <c r="J34" s="76"/>
      <c r="K34" s="76"/>
      <c r="L34" s="76"/>
      <c r="M34" s="20"/>
      <c r="N34" s="20"/>
      <c r="O34" s="20"/>
      <c r="P34" s="20"/>
      <c r="Q34" s="23"/>
      <c r="R34" s="139"/>
      <c r="S34" s="130" t="s">
        <v>228</v>
      </c>
      <c r="T34" s="131" t="s">
        <v>187</v>
      </c>
      <c r="U34" s="76"/>
      <c r="V34" s="130" t="s">
        <v>228</v>
      </c>
      <c r="W34" s="131" t="s">
        <v>187</v>
      </c>
      <c r="X34" s="76"/>
      <c r="Y34" s="130" t="s">
        <v>228</v>
      </c>
      <c r="Z34" s="131" t="s">
        <v>187</v>
      </c>
      <c r="AA34" s="76"/>
      <c r="AB34" s="130" t="s">
        <v>228</v>
      </c>
      <c r="AC34" s="131" t="s">
        <v>187</v>
      </c>
      <c r="AD34" s="76"/>
      <c r="AE34" s="130" t="s">
        <v>228</v>
      </c>
      <c r="AF34" s="131" t="s">
        <v>187</v>
      </c>
      <c r="AG34" s="76"/>
      <c r="AH34" s="130" t="s">
        <v>228</v>
      </c>
      <c r="AI34" s="131" t="s">
        <v>187</v>
      </c>
      <c r="AJ34" s="76"/>
      <c r="AK34" s="130" t="s">
        <v>228</v>
      </c>
      <c r="AL34" s="131" t="s">
        <v>187</v>
      </c>
      <c r="AM34" s="76"/>
      <c r="AN34" s="130" t="s">
        <v>228</v>
      </c>
      <c r="AO34" s="131" t="s">
        <v>187</v>
      </c>
      <c r="AP34" s="76"/>
      <c r="AQ34" s="130" t="s">
        <v>228</v>
      </c>
      <c r="AR34" s="131" t="s">
        <v>187</v>
      </c>
      <c r="AS34" s="76"/>
      <c r="AT34" s="130" t="s">
        <v>228</v>
      </c>
      <c r="AU34" s="131" t="s">
        <v>187</v>
      </c>
    </row>
    <row r="35" spans="1:48" ht="12.75" customHeight="1" thickBot="1" x14ac:dyDescent="0.3">
      <c r="A35" s="1"/>
      <c r="B35" s="1"/>
      <c r="C35" s="1"/>
      <c r="D35" s="1"/>
      <c r="E35" s="1"/>
      <c r="F35" s="1"/>
      <c r="G35" s="1"/>
      <c r="H35" s="86"/>
      <c r="I35" s="76"/>
      <c r="J35" s="76"/>
      <c r="K35" s="76"/>
      <c r="L35" s="76"/>
      <c r="M35" s="20"/>
      <c r="N35" s="20"/>
      <c r="O35" s="7" t="s">
        <v>188</v>
      </c>
      <c r="P35" s="7"/>
      <c r="Q35" s="7" t="s">
        <v>232</v>
      </c>
      <c r="R35" s="181">
        <f>P_1_minW-(W_i^2*R_up)+dpup_minQ</f>
        <v>100.52273445805305</v>
      </c>
      <c r="S35" s="132"/>
      <c r="T35" s="145"/>
      <c r="U35" s="143">
        <f>P_1_minW-(U33^2*R_up)+dpup_minQ</f>
        <v>100.4367292220069</v>
      </c>
      <c r="W35" s="158"/>
      <c r="X35" s="143">
        <f>P_1_minW-(X33^2*R_up)+dpup_minQ</f>
        <v>99.996431645258653</v>
      </c>
      <c r="Y35" s="1"/>
      <c r="Z35" s="158"/>
      <c r="AA35" s="143">
        <f>P_1_minW-(AA33^2*R_up)+dpup_minQ</f>
        <v>98.525948357940663</v>
      </c>
      <c r="AB35" s="1"/>
      <c r="AC35" s="158"/>
      <c r="AD35" s="143">
        <f>P_1_minW-(AD33^2*R_up)+dpup_minQ</f>
        <v>95.121710674666502</v>
      </c>
      <c r="AE35" s="1"/>
      <c r="AF35" s="158"/>
      <c r="AG35" s="143">
        <f>P_1_minW-(AG33^2*R_up)+dpup_minQ</f>
        <v>89.897669992035361</v>
      </c>
      <c r="AH35" s="1"/>
      <c r="AI35" s="158"/>
      <c r="AJ35" s="143">
        <f>P_1_minW-(AJ33^2*R_up)+dpup_minQ</f>
        <v>83.392696442514691</v>
      </c>
      <c r="AK35" s="1"/>
      <c r="AL35" s="158"/>
      <c r="AM35" s="143">
        <f>P_1_minW-(AM33^2*R_up)+dpup_minQ</f>
        <v>76.969928764303873</v>
      </c>
      <c r="AN35" s="1"/>
      <c r="AO35" s="158"/>
      <c r="AP35" s="143">
        <f>P_1_minW-(AP33^2*R_up)+dpup_minQ</f>
        <v>71.206170875991077</v>
      </c>
      <c r="AQ35" s="1"/>
      <c r="AR35" s="158"/>
      <c r="AS35" s="143">
        <f>P_1_minW-(AS33^2*R_up)+dpup_minQ</f>
        <v>64.031930020643657</v>
      </c>
      <c r="AT35" s="1"/>
      <c r="AU35" s="158"/>
    </row>
    <row r="36" spans="1:48" ht="13.5" thickTop="1" thickBot="1" x14ac:dyDescent="0.3">
      <c r="A36" s="87" t="s">
        <v>210</v>
      </c>
      <c r="B36" s="88">
        <v>0</v>
      </c>
      <c r="C36" s="88">
        <v>0.1</v>
      </c>
      <c r="D36" s="45">
        <v>0.2</v>
      </c>
      <c r="E36" s="45">
        <v>0.3</v>
      </c>
      <c r="F36" s="45">
        <v>0.4</v>
      </c>
      <c r="G36" s="45">
        <v>0.5</v>
      </c>
      <c r="H36" s="45">
        <v>0.6</v>
      </c>
      <c r="I36" s="46">
        <v>0.7</v>
      </c>
      <c r="J36" s="47">
        <v>0.8</v>
      </c>
      <c r="K36" s="48">
        <v>0.9</v>
      </c>
      <c r="L36" s="89">
        <v>1</v>
      </c>
      <c r="M36" s="20"/>
      <c r="N36" s="20"/>
      <c r="O36" s="7" t="s">
        <v>189</v>
      </c>
      <c r="P36" s="1"/>
      <c r="Q36" s="7" t="s">
        <v>233</v>
      </c>
      <c r="R36" s="181">
        <f>P_2_minW+(W_i^2*R_dn)-dpdn_minQ</f>
        <v>50</v>
      </c>
      <c r="S36" s="132"/>
      <c r="T36" s="146"/>
      <c r="U36" s="143">
        <f>P_2_minW+(U33^2*R_dn)-dpdn_minQ</f>
        <v>50</v>
      </c>
      <c r="W36" s="147"/>
      <c r="X36" s="143">
        <f>P_2_minW+(X33^2*R_dn)-dpdn_minQ</f>
        <v>50</v>
      </c>
      <c r="Y36" s="1"/>
      <c r="Z36" s="147"/>
      <c r="AA36" s="143">
        <f>P_2_minW+(AA33^2*R_dn)-dpdn_minQ</f>
        <v>50</v>
      </c>
      <c r="AB36" s="1"/>
      <c r="AC36" s="147"/>
      <c r="AD36" s="143">
        <f>P_2_minW+(AD33^2*R_dn)-dpdn_minQ</f>
        <v>50</v>
      </c>
      <c r="AE36" s="1"/>
      <c r="AF36" s="147"/>
      <c r="AG36" s="143">
        <f>P_2_minW+(AG33^2*R_dn)-dpdn_minQ</f>
        <v>50</v>
      </c>
      <c r="AH36" s="1"/>
      <c r="AI36" s="147"/>
      <c r="AJ36" s="143">
        <f>P_2_minW+(AJ33^2*R_dn)-dpdn_minQ</f>
        <v>50</v>
      </c>
      <c r="AK36" s="1"/>
      <c r="AL36" s="147"/>
      <c r="AM36" s="143">
        <f>P_2_minW+(AM33^2*R_dn)-dpdn_minQ</f>
        <v>50</v>
      </c>
      <c r="AN36" s="1"/>
      <c r="AO36" s="147"/>
      <c r="AP36" s="143">
        <f>P_2_minW+(AP33^2*R_dn)-dpdn_minQ</f>
        <v>50</v>
      </c>
      <c r="AQ36" s="1"/>
      <c r="AR36" s="147"/>
      <c r="AS36" s="143">
        <f>P_2_minW+(AS33^2*R_dn)-dpdn_minQ</f>
        <v>50</v>
      </c>
      <c r="AT36" s="1"/>
      <c r="AU36" s="147"/>
    </row>
    <row r="37" spans="1:48" ht="13" thickBot="1" x14ac:dyDescent="0.3">
      <c r="A37" s="90" t="s">
        <v>211</v>
      </c>
      <c r="B37" s="91">
        <v>0</v>
      </c>
      <c r="C37" s="92">
        <f>T19/Qf</f>
        <v>4.6667751318312738E-2</v>
      </c>
      <c r="D37" s="92">
        <f>W19/Qf</f>
        <v>0.11541490253769431</v>
      </c>
      <c r="E37" s="92">
        <f>Z19/Qf</f>
        <v>0.22479877101892409</v>
      </c>
      <c r="F37" s="92">
        <f>AC19/Qf</f>
        <v>0.36971121232911897</v>
      </c>
      <c r="G37" s="92">
        <f>AF19/Qf</f>
        <v>0.51854843794167471</v>
      </c>
      <c r="H37" s="92">
        <f>AI19/Qf</f>
        <v>0.6584189185966457</v>
      </c>
      <c r="I37" s="92">
        <f>AL19/Qf</f>
        <v>0.77204796336018167</v>
      </c>
      <c r="J37" s="92">
        <f>AO19/Qf</f>
        <v>0.86134947482837887</v>
      </c>
      <c r="K37" s="92">
        <f>AR19/Qf</f>
        <v>0.96098034448281622</v>
      </c>
      <c r="L37" s="93">
        <f>AU19/Qf</f>
        <v>1</v>
      </c>
      <c r="M37" s="20"/>
      <c r="N37" s="20"/>
      <c r="O37" s="7" t="s">
        <v>234</v>
      </c>
      <c r="P37" s="1"/>
      <c r="Q37" s="7" t="s">
        <v>235</v>
      </c>
      <c r="R37" s="179">
        <f>'Valve Sizing'!$G$8*P1_Wi/P_1_maxW</f>
        <v>0.48490377405587681</v>
      </c>
      <c r="S37" s="132"/>
      <c r="T37" s="146"/>
      <c r="U37" s="143">
        <f>'Valve Sizing'!$G$8*U35/P_1_maxW</f>
        <v>0.48448890010947865</v>
      </c>
      <c r="W37" s="147"/>
      <c r="X37" s="143">
        <f>'Valve Sizing'!$G$8*X35/P_1_maxW</f>
        <v>0.48236498298939701</v>
      </c>
      <c r="Y37" s="1"/>
      <c r="Z37" s="147"/>
      <c r="AA37" s="143">
        <f>'Valve Sizing'!$G$8*AA35/P_1_maxW</f>
        <v>0.47527163341478779</v>
      </c>
      <c r="AB37" s="1"/>
      <c r="AC37" s="147"/>
      <c r="AD37" s="143">
        <f>'Valve Sizing'!$G$8*AD35/P_1_maxW</f>
        <v>0.45885019691783591</v>
      </c>
      <c r="AE37" s="1"/>
      <c r="AF37" s="147"/>
      <c r="AG37" s="143">
        <f>'Valve Sizing'!$G$8*AG35/P_1_maxW</f>
        <v>0.43365035474794017</v>
      </c>
      <c r="AH37" s="1"/>
      <c r="AI37" s="147"/>
      <c r="AJ37" s="143">
        <f>'Valve Sizing'!$G$8*AJ35/P_1_maxW</f>
        <v>0.40227152048420978</v>
      </c>
      <c r="AK37" s="1"/>
      <c r="AL37" s="147"/>
      <c r="AM37" s="143">
        <f>'Valve Sizing'!$G$8*AM35/P_1_maxW</f>
        <v>0.37128923270782482</v>
      </c>
      <c r="AN37" s="1"/>
      <c r="AO37" s="147"/>
      <c r="AP37" s="143">
        <f>'Valve Sizing'!$G$8*AP35/P_1_maxW</f>
        <v>0.34348589082844655</v>
      </c>
      <c r="AQ37" s="1"/>
      <c r="AR37" s="147"/>
      <c r="AS37" s="143">
        <f>'Valve Sizing'!$G$8*AS35/P_1_maxW</f>
        <v>0.30887863023710749</v>
      </c>
      <c r="AT37" s="1"/>
      <c r="AU37" s="147"/>
    </row>
    <row r="38" spans="1:48" ht="13.5" thickTop="1" thickBot="1" x14ac:dyDescent="0.3">
      <c r="A38" s="192" t="s">
        <v>212</v>
      </c>
      <c r="B38" s="193">
        <f t="shared" ref="B38:L38" si="0">W_min/Qf</f>
        <v>0.1150230171893753</v>
      </c>
      <c r="C38" s="194">
        <f t="shared" si="0"/>
        <v>0.1150230171893753</v>
      </c>
      <c r="D38" s="194">
        <f t="shared" si="0"/>
        <v>0.1150230171893753</v>
      </c>
      <c r="E38" s="194">
        <f t="shared" si="0"/>
        <v>0.1150230171893753</v>
      </c>
      <c r="F38" s="194">
        <f t="shared" si="0"/>
        <v>0.1150230171893753</v>
      </c>
      <c r="G38" s="194">
        <f t="shared" si="0"/>
        <v>0.1150230171893753</v>
      </c>
      <c r="H38" s="194">
        <f t="shared" si="0"/>
        <v>0.1150230171893753</v>
      </c>
      <c r="I38" s="194">
        <f t="shared" si="0"/>
        <v>0.1150230171893753</v>
      </c>
      <c r="J38" s="194">
        <f t="shared" si="0"/>
        <v>0.1150230171893753</v>
      </c>
      <c r="K38" s="194">
        <f t="shared" si="0"/>
        <v>0.1150230171893753</v>
      </c>
      <c r="L38" s="194">
        <f t="shared" si="0"/>
        <v>0.1150230171893753</v>
      </c>
      <c r="M38" s="20"/>
      <c r="N38" s="20"/>
      <c r="O38" s="7" t="s">
        <v>190</v>
      </c>
      <c r="P38" s="1"/>
      <c r="Q38" s="7" t="s">
        <v>236</v>
      </c>
      <c r="R38" s="181">
        <f>P1_Wi-P2_Wi</f>
        <v>50.522734458053051</v>
      </c>
      <c r="S38" s="132"/>
      <c r="T38" s="146"/>
      <c r="U38" s="143">
        <f>U35-U36</f>
        <v>50.436729222006903</v>
      </c>
      <c r="W38" s="147"/>
      <c r="X38" s="143">
        <f>X35-X36</f>
        <v>49.996431645258653</v>
      </c>
      <c r="Y38" s="1"/>
      <c r="Z38" s="147"/>
      <c r="AA38" s="143">
        <f>AA35-AA36</f>
        <v>48.525948357940663</v>
      </c>
      <c r="AB38" s="1"/>
      <c r="AC38" s="147"/>
      <c r="AD38" s="143">
        <f>AD35-AD36</f>
        <v>45.121710674666502</v>
      </c>
      <c r="AE38" s="1"/>
      <c r="AF38" s="147"/>
      <c r="AG38" s="143">
        <f>AG35-AG36</f>
        <v>39.897669992035361</v>
      </c>
      <c r="AH38" s="1"/>
      <c r="AI38" s="147"/>
      <c r="AJ38" s="143">
        <f>AJ35-AJ36</f>
        <v>33.392696442514691</v>
      </c>
      <c r="AK38" s="1"/>
      <c r="AL38" s="147"/>
      <c r="AM38" s="143">
        <f>AM35-AM36</f>
        <v>26.969928764303873</v>
      </c>
      <c r="AN38" s="1"/>
      <c r="AO38" s="147"/>
      <c r="AP38" s="143">
        <f>AP35-AP36</f>
        <v>21.206170875991077</v>
      </c>
      <c r="AQ38" s="1"/>
      <c r="AR38" s="147"/>
      <c r="AS38" s="143">
        <f>AS35-AS36</f>
        <v>14.031930020643657</v>
      </c>
      <c r="AT38" s="1"/>
      <c r="AU38" s="147"/>
    </row>
    <row r="39" spans="1:48" ht="15.5" thickTop="1" thickBot="1" x14ac:dyDescent="0.4">
      <c r="A39" s="195" t="s">
        <v>213</v>
      </c>
      <c r="B39" s="193">
        <f t="shared" ref="B39:L39" si="1">W_max/Qf</f>
        <v>0.72067696534198988</v>
      </c>
      <c r="C39" s="193">
        <f t="shared" si="1"/>
        <v>0.72067696534198988</v>
      </c>
      <c r="D39" s="193">
        <f t="shared" si="1"/>
        <v>0.72067696534198988</v>
      </c>
      <c r="E39" s="193">
        <f t="shared" si="1"/>
        <v>0.72067696534198988</v>
      </c>
      <c r="F39" s="193">
        <f t="shared" si="1"/>
        <v>0.72067696534198988</v>
      </c>
      <c r="G39" s="193">
        <f t="shared" si="1"/>
        <v>0.72067696534198988</v>
      </c>
      <c r="H39" s="193">
        <f t="shared" si="1"/>
        <v>0.72067696534198988</v>
      </c>
      <c r="I39" s="193">
        <f t="shared" si="1"/>
        <v>0.72067696534198988</v>
      </c>
      <c r="J39" s="193">
        <f t="shared" si="1"/>
        <v>0.72067696534198988</v>
      </c>
      <c r="K39" s="193">
        <f t="shared" si="1"/>
        <v>0.72067696534198988</v>
      </c>
      <c r="L39" s="194">
        <f t="shared" si="1"/>
        <v>0.72067696534198988</v>
      </c>
      <c r="M39" s="27"/>
      <c r="N39" s="27"/>
      <c r="O39" s="2" t="s">
        <v>191</v>
      </c>
      <c r="P39" s="10"/>
      <c r="Q39" s="2" t="s">
        <v>237</v>
      </c>
      <c r="R39" s="181">
        <f>DELTA_P_Wi/P1_Wi</f>
        <v>0.50260008077213214</v>
      </c>
      <c r="S39" s="132"/>
      <c r="T39" s="146"/>
      <c r="U39" s="143">
        <f>U38/U35</f>
        <v>0.50217415095747264</v>
      </c>
      <c r="W39" s="147"/>
      <c r="X39" s="143">
        <f>X38/X35</f>
        <v>0.49998215758961279</v>
      </c>
      <c r="Y39" s="1"/>
      <c r="Z39" s="147"/>
      <c r="AA39" s="143">
        <f>AA38/AA35</f>
        <v>0.4925194749879282</v>
      </c>
      <c r="AB39" s="1"/>
      <c r="AC39" s="147"/>
      <c r="AD39" s="143">
        <f>AD38/AD35</f>
        <v>0.47435764511207051</v>
      </c>
      <c r="AE39" s="1"/>
      <c r="AF39" s="147"/>
      <c r="AG39" s="143">
        <f>AG38/AG35</f>
        <v>0.44381205870597273</v>
      </c>
      <c r="AH39" s="1"/>
      <c r="AI39" s="147"/>
      <c r="AJ39" s="143">
        <f>AJ38/AJ35</f>
        <v>0.40042711013108162</v>
      </c>
      <c r="AK39" s="1"/>
      <c r="AL39" s="147"/>
      <c r="AM39" s="143">
        <f>AM38/AM35</f>
        <v>0.35039565707395642</v>
      </c>
      <c r="AN39" s="1"/>
      <c r="AO39" s="147"/>
      <c r="AP39" s="143">
        <f>AP38/AP35</f>
        <v>0.29781366720199898</v>
      </c>
      <c r="AQ39" s="1"/>
      <c r="AR39" s="147"/>
      <c r="AS39" s="143">
        <f>AS38/AS35</f>
        <v>0.219139576397585</v>
      </c>
      <c r="AT39" s="1"/>
      <c r="AU39" s="147"/>
    </row>
    <row r="40" spans="1:48" ht="13" thickTop="1" x14ac:dyDescent="0.25">
      <c r="M40" s="27"/>
      <c r="N40" s="27"/>
      <c r="O40" s="2" t="s">
        <v>26</v>
      </c>
      <c r="P40" s="7">
        <v>12</v>
      </c>
      <c r="Q40" s="2" t="s">
        <v>229</v>
      </c>
      <c r="R40" s="181">
        <f>1-x_Wi/(3*F_GAMMA*x_TP_h)</f>
        <v>0.73824011857488392</v>
      </c>
      <c r="S40" s="133"/>
      <c r="T40" s="146"/>
      <c r="U40" s="143">
        <f>1-U39/(3*F_GAMMA*U$29)</f>
        <v>0.73851953186940444</v>
      </c>
      <c r="W40" s="147"/>
      <c r="X40" s="143">
        <f>1-X39/(3*F_GAMMA*X$29)</f>
        <v>0.73575539488631492</v>
      </c>
      <c r="Y40" s="1"/>
      <c r="Z40" s="147"/>
      <c r="AA40" s="143">
        <f>1-AA39/(3*F_GAMMA*AA$29)</f>
        <v>0.73613040053160961</v>
      </c>
      <c r="AB40" s="1"/>
      <c r="AC40" s="147"/>
      <c r="AD40" s="143">
        <f>1-AD39/(3*F_GAMMA*AD$29)</f>
        <v>0.73889272574688092</v>
      </c>
      <c r="AE40" s="1"/>
      <c r="AF40" s="147"/>
      <c r="AG40" s="143">
        <f>1-AG39/(3*F_GAMMA*AG$29)</f>
        <v>0.74177146247855319</v>
      </c>
      <c r="AH40" s="1"/>
      <c r="AI40" s="147"/>
      <c r="AJ40" s="143">
        <f>1-AJ39/(3*F_GAMMA*AJ$29)</f>
        <v>0.75093550429227829</v>
      </c>
      <c r="AK40" s="1"/>
      <c r="AL40" s="147"/>
      <c r="AM40" s="143">
        <f>1-AM39/(3*F_GAMMA*AM$29)</f>
        <v>0.76187284004536493</v>
      </c>
      <c r="AN40" s="1"/>
      <c r="AO40" s="147"/>
      <c r="AP40" s="143">
        <f>1-AP39/(3*F_GAMMA*AP$29)</f>
        <v>0.83274433053573116</v>
      </c>
      <c r="AQ40" s="1"/>
      <c r="AR40" s="147"/>
      <c r="AS40" s="143">
        <f>1-AS39/(3*F_GAMMA*AS$29)</f>
        <v>0.81316696354215845</v>
      </c>
      <c r="AT40" s="1"/>
      <c r="AU40" s="147"/>
    </row>
    <row r="41" spans="1:48" ht="13" thickBot="1" x14ac:dyDescent="0.3">
      <c r="M41" s="27"/>
      <c r="N41" s="27"/>
      <c r="O41" s="2" t="s">
        <v>71</v>
      </c>
      <c r="P41" s="11">
        <v>5</v>
      </c>
      <c r="Q41" s="2" t="s">
        <v>230</v>
      </c>
      <c r="R41" s="179">
        <f>W_i/((N_6*F_P_h*Y_C_h)*SQRT(x_Wi*P1_Wi*RHO_Wi))</f>
        <v>4.9509026580879585E-2</v>
      </c>
      <c r="S41" s="133"/>
      <c r="T41" s="146"/>
      <c r="U41" s="143">
        <f>U33/((N_6*U$27*U40)*SQRT(U39*U35*U37))</f>
        <v>2.0117682964495338</v>
      </c>
      <c r="W41" s="147"/>
      <c r="X41" s="143">
        <f>X33/((N_6*X$27*X40)*SQRT(X39*X35*X37))</f>
        <v>5.0381478773050539</v>
      </c>
      <c r="Y41" s="1"/>
      <c r="Z41" s="147"/>
      <c r="AA41" s="143">
        <f>AA33/((N_6*AA$27*AA40)*SQRT(AA39*AA35*AA37))</f>
        <v>10.087224017165955</v>
      </c>
      <c r="AB41" s="1"/>
      <c r="AC41" s="147"/>
      <c r="AD41" s="143">
        <f>AD33/((N_6*AD$27*AD40)*SQRT(AD39*AD35*AD37))</f>
        <v>17.651764350830792</v>
      </c>
      <c r="AE41" s="1"/>
      <c r="AF41" s="147"/>
      <c r="AG41" s="143">
        <f>AG33/((N_6*AG$27*AG40)*SQRT(AG39*AG35*AG37))</f>
        <v>27.560141375640356</v>
      </c>
      <c r="AH41" s="1"/>
      <c r="AI41" s="147"/>
      <c r="AJ41" s="143">
        <f>AJ33/((N_6*AJ$27*AJ40)*SQRT(AJ39*AJ35*AJ37))</f>
        <v>40.576978234759785</v>
      </c>
      <c r="AK41" s="1"/>
      <c r="AL41" s="147"/>
      <c r="AM41" s="143">
        <f>AM33/((N_6*AM$27*AM40)*SQRT(AM39*AM35*AM37))</f>
        <v>57.652133550603047</v>
      </c>
      <c r="AN41" s="1"/>
      <c r="AO41" s="147"/>
      <c r="AP41" s="143">
        <f>AP33/((N_6*AP$27*AP40)*SQRT(AP39*AP35*AP37))</f>
        <v>78.376510380183745</v>
      </c>
      <c r="AQ41" s="1"/>
      <c r="AR41" s="147"/>
      <c r="AS41" s="143">
        <f>AS33/((N_6*AS$27*AS40)*SQRT(AS39*AS35*AS37))</f>
        <v>152.53635167413026</v>
      </c>
      <c r="AT41" s="1"/>
      <c r="AU41" s="147"/>
    </row>
    <row r="42" spans="1:48" ht="13" thickTop="1" x14ac:dyDescent="0.25">
      <c r="A42" s="332" t="s">
        <v>260</v>
      </c>
      <c r="B42" s="333"/>
      <c r="C42" s="333"/>
      <c r="D42" s="333"/>
      <c r="E42" s="333"/>
      <c r="F42" s="333"/>
      <c r="G42" s="333"/>
      <c r="H42" s="334"/>
      <c r="M42" s="27"/>
      <c r="N42" s="27"/>
      <c r="O42" s="2" t="s">
        <v>73</v>
      </c>
      <c r="P42" s="11">
        <v>5</v>
      </c>
      <c r="Q42" s="2" t="s">
        <v>33</v>
      </c>
      <c r="R42" s="179">
        <f>W_i/((N_6*F_P_h*0.667)*SQRT(CH_x_W_Reducers*P1_Wi*RHO_Wi))</f>
        <v>4.8558847010428702E-2</v>
      </c>
      <c r="S42" s="133"/>
      <c r="T42" s="147"/>
      <c r="U42" s="143">
        <f>U33/((N_6*U$27*0.667)*SQRT(U43*U35*U37))</f>
        <v>1.9728513614765386</v>
      </c>
      <c r="W42" s="147"/>
      <c r="X42" s="143">
        <f>X33/((N_6*X$27*0.667)*SQRT(X43*X35*X37))</f>
        <v>4.9481427925104065</v>
      </c>
      <c r="Y42" s="1"/>
      <c r="Z42" s="147"/>
      <c r="AA42" s="143">
        <f>AA33/((N_6*AA$27*0.667)*SQRT(AA43*AA35*AA37))</f>
        <v>9.9050321975517743</v>
      </c>
      <c r="AB42" s="1"/>
      <c r="AC42" s="147"/>
      <c r="AD42" s="143">
        <f>AD33/((N_6*AD$27*0.667)*SQRT(AD43*AD35*AD37))</f>
        <v>17.306681092044123</v>
      </c>
      <c r="AE42" s="1"/>
      <c r="AF42" s="147"/>
      <c r="AG42" s="143">
        <f>AG33/((N_6*AG$27*0.667)*SQRT(AG43*AG35*AG37))</f>
        <v>26.976678326591564</v>
      </c>
      <c r="AH42" s="1"/>
      <c r="AI42" s="147"/>
      <c r="AJ42" s="143">
        <f>AJ33/((N_6*AJ$27*0.667)*SQRT(AJ43*AJ35*AJ37))</f>
        <v>39.488718968261743</v>
      </c>
      <c r="AK42" s="1"/>
      <c r="AL42" s="147"/>
      <c r="AM42" s="143">
        <f>AM33/((N_6*AM$27*0.667)*SQRT(AM43*AM35*AM37))</f>
        <v>55.659222489855999</v>
      </c>
      <c r="AN42" s="1"/>
      <c r="AO42" s="147"/>
      <c r="AP42" s="143">
        <f>AP33/((N_6*AP$27*0.667)*SQRT(AP43*AP35*AP37))</f>
        <v>69.314297365634289</v>
      </c>
      <c r="AQ42" s="1"/>
      <c r="AR42" s="147"/>
      <c r="AS42" s="143">
        <f>AS33/((N_6*AS$27*0.667)*SQRT(AS43*AS35*AS37))</f>
        <v>139.2241934480609</v>
      </c>
      <c r="AT42" s="1"/>
      <c r="AU42" s="147"/>
    </row>
    <row r="43" spans="1:48" ht="15.5" x14ac:dyDescent="0.4">
      <c r="A43" s="335"/>
      <c r="B43" s="336"/>
      <c r="C43" s="336"/>
      <c r="D43" s="336"/>
      <c r="E43" s="336"/>
      <c r="F43" s="336"/>
      <c r="G43" s="336"/>
      <c r="H43" s="337"/>
      <c r="M43" s="27"/>
      <c r="N43" s="27"/>
      <c r="O43" s="2" t="s">
        <v>192</v>
      </c>
      <c r="P43" s="11">
        <v>10</v>
      </c>
      <c r="Q43" s="2" t="s">
        <v>76</v>
      </c>
      <c r="R43" s="181">
        <f>F_GAMMA*x_TP_h</f>
        <v>0.64002688015162901</v>
      </c>
      <c r="S43" s="133"/>
      <c r="T43" s="147"/>
      <c r="U43" s="143">
        <f>F_GAMMA*U$29</f>
        <v>0.64016782916606918</v>
      </c>
      <c r="W43" s="147"/>
      <c r="X43" s="143">
        <f>F_GAMMA*X$29</f>
        <v>0.6307062319203669</v>
      </c>
      <c r="Y43" s="1"/>
      <c r="Z43" s="147"/>
      <c r="AA43" s="143">
        <f>F_GAMMA*AA$29</f>
        <v>0.62217534213893466</v>
      </c>
      <c r="AB43" s="1"/>
      <c r="AC43" s="147"/>
      <c r="AD43" s="143">
        <f>F_GAMMA*AD$29</f>
        <v>0.60557184969146072</v>
      </c>
      <c r="AE43" s="1"/>
      <c r="AF43" s="147"/>
      <c r="AG43" s="143">
        <f>F_GAMMA*AG$29</f>
        <v>0.57289312142622573</v>
      </c>
      <c r="AH43" s="1"/>
      <c r="AI43" s="147"/>
      <c r="AJ43" s="143">
        <f>F_GAMMA*AJ$29</f>
        <v>0.53590819116049981</v>
      </c>
      <c r="AK43" s="1"/>
      <c r="AL43" s="147"/>
      <c r="AM43" s="143">
        <f>F_GAMMA*AM$29</f>
        <v>0.49048815926850342</v>
      </c>
      <c r="AN43" s="1"/>
      <c r="AO43" s="147"/>
      <c r="AP43" s="143">
        <f>F_GAMMA*AP$29</f>
        <v>0.59352979016280105</v>
      </c>
      <c r="AQ43" s="1"/>
      <c r="AR43" s="147"/>
      <c r="AS43" s="143">
        <f>F_GAMMA*AS$29</f>
        <v>0.39097221161068291</v>
      </c>
      <c r="AT43" s="1"/>
      <c r="AU43" s="147"/>
    </row>
    <row r="44" spans="1:48" x14ac:dyDescent="0.25">
      <c r="A44" s="335"/>
      <c r="B44" s="336"/>
      <c r="C44" s="336"/>
      <c r="D44" s="336"/>
      <c r="E44" s="336"/>
      <c r="F44" s="336"/>
      <c r="G44" s="336"/>
      <c r="H44" s="337"/>
      <c r="M44" s="27"/>
      <c r="N44" s="27"/>
      <c r="O44" s="2" t="s">
        <v>193</v>
      </c>
      <c r="P44" s="134"/>
      <c r="Q44" s="2" t="s">
        <v>64</v>
      </c>
      <c r="R44" s="181">
        <f>IF(x_Wi&lt;CH_x_W_Reducers,C_N_Ch,C_Ch)</f>
        <v>4.9509026580879585E-2</v>
      </c>
      <c r="S44" s="133"/>
      <c r="T44" s="147"/>
      <c r="U44" s="143">
        <f>IF(U39&lt;U43,U41,U42)</f>
        <v>2.0117682964495338</v>
      </c>
      <c r="W44" s="147"/>
      <c r="X44" s="143">
        <f>IF(X39&lt;X43,X41,X42)</f>
        <v>5.0381478773050539</v>
      </c>
      <c r="Y44" s="1"/>
      <c r="Z44" s="147"/>
      <c r="AA44" s="143">
        <f>IF(AA39&lt;AA43,AA41,AA42)</f>
        <v>10.087224017165955</v>
      </c>
      <c r="AB44" s="1"/>
      <c r="AC44" s="147"/>
      <c r="AD44" s="143">
        <f>IF(AD39&lt;AD43,AD41,AD42)</f>
        <v>17.651764350830792</v>
      </c>
      <c r="AE44" s="1"/>
      <c r="AF44" s="147"/>
      <c r="AG44" s="143">
        <f>IF(AG39&lt;AG43,AG41,AG42)</f>
        <v>27.560141375640356</v>
      </c>
      <c r="AH44" s="1"/>
      <c r="AI44" s="147"/>
      <c r="AJ44" s="143">
        <f>IF(AJ39&lt;AJ43,AJ41,AJ42)</f>
        <v>40.576978234759785</v>
      </c>
      <c r="AK44" s="1"/>
      <c r="AL44" s="147"/>
      <c r="AM44" s="143">
        <f>IF(AM39&lt;AM43,AM41,AM42)</f>
        <v>57.652133550603047</v>
      </c>
      <c r="AN44" s="1"/>
      <c r="AO44" s="147"/>
      <c r="AP44" s="143">
        <f>IF(AP39&lt;AP43,AP41,AP42)</f>
        <v>78.376510380183745</v>
      </c>
      <c r="AQ44" s="1"/>
      <c r="AR44" s="147"/>
      <c r="AS44" s="143">
        <f>IF(AS39&lt;AS43,AS41,AS42)</f>
        <v>152.53635167413026</v>
      </c>
      <c r="AT44" s="1"/>
      <c r="AU44" s="147"/>
    </row>
    <row r="45" spans="1:48" ht="13" x14ac:dyDescent="0.3">
      <c r="A45" s="335"/>
      <c r="B45" s="336"/>
      <c r="C45" s="336"/>
      <c r="D45" s="336"/>
      <c r="E45" s="336"/>
      <c r="F45" s="336"/>
      <c r="G45" s="336"/>
      <c r="H45" s="337"/>
      <c r="M45" s="28"/>
      <c r="N45" s="28"/>
      <c r="O45" s="9" t="s">
        <v>194</v>
      </c>
      <c r="P45" s="1"/>
      <c r="Q45" s="1"/>
      <c r="R45" s="135"/>
      <c r="S45" s="132">
        <f>ABS(C_h-C_i)</f>
        <v>1.9504909734191205</v>
      </c>
      <c r="T45" s="151">
        <f>W_i</f>
        <v>11.45</v>
      </c>
      <c r="U45" s="156"/>
      <c r="V45" s="26">
        <f>ABS(U$23-U44)</f>
        <v>2.9882317035504662</v>
      </c>
      <c r="W45" s="155">
        <f>U33</f>
        <v>464.55549997869338</v>
      </c>
      <c r="X45" s="156"/>
      <c r="Y45" s="26">
        <f>ABS(X$23-X44)</f>
        <v>4.9618521226949461</v>
      </c>
      <c r="Z45" s="155">
        <f>X33</f>
        <v>1148.9010341998462</v>
      </c>
      <c r="AA45" s="156"/>
      <c r="AB45" s="26">
        <f>ABS(AA$23-AA44)</f>
        <v>7.1127759828340444</v>
      </c>
      <c r="AC45" s="155">
        <f>AA33</f>
        <v>2237.7659629019336</v>
      </c>
      <c r="AD45" s="156"/>
      <c r="AE45" s="26">
        <f>ABS(AD$23-AD44)</f>
        <v>8.9482356491692094</v>
      </c>
      <c r="AF45" s="155">
        <f>AD33</f>
        <v>3680.3011124276377</v>
      </c>
      <c r="AG45" s="156"/>
      <c r="AH45" s="26">
        <f>ABS(AG$23-AG44)</f>
        <v>10.839858624359643</v>
      </c>
      <c r="AI45" s="155">
        <f>AG33</f>
        <v>5161.9056424652827</v>
      </c>
      <c r="AJ45" s="156"/>
      <c r="AK45" s="26">
        <f>ABS(AJ$23-AJ44)</f>
        <v>11.923021765240215</v>
      </c>
      <c r="AL45" s="155">
        <f>AJ33</f>
        <v>6554.2504466905621</v>
      </c>
      <c r="AM45" s="156"/>
      <c r="AN45" s="26">
        <f>ABS(AM$23-AM44)</f>
        <v>14.747866449396959</v>
      </c>
      <c r="AO45" s="155">
        <f>AM33</f>
        <v>7685.3741072709645</v>
      </c>
      <c r="AP45" s="156"/>
      <c r="AQ45" s="26">
        <f>ABS(AP$23-AP44)</f>
        <v>29.623489619816255</v>
      </c>
      <c r="AR45" s="155">
        <f>AP33</f>
        <v>8574.3286237634311</v>
      </c>
      <c r="AS45" s="156"/>
      <c r="AT45" s="26">
        <f>ABS(AS$23-AS44)</f>
        <v>27.463648325869741</v>
      </c>
      <c r="AU45" s="155">
        <f>AS33</f>
        <v>9566.1070394392464</v>
      </c>
    </row>
    <row r="46" spans="1:48" ht="13" x14ac:dyDescent="0.25">
      <c r="A46" s="335"/>
      <c r="B46" s="336"/>
      <c r="C46" s="336"/>
      <c r="D46" s="336"/>
      <c r="E46" s="336"/>
      <c r="F46" s="336"/>
      <c r="G46" s="336"/>
      <c r="H46" s="337"/>
      <c r="M46" s="12"/>
      <c r="N46" s="12"/>
      <c r="O46" s="12"/>
      <c r="P46" s="12"/>
      <c r="Q46" s="12"/>
      <c r="R46" s="182"/>
      <c r="S46" s="22"/>
      <c r="T46" s="152"/>
      <c r="U46" s="157"/>
      <c r="W46" s="147"/>
      <c r="X46" s="157"/>
      <c r="Y46" s="1"/>
      <c r="Z46" s="147"/>
      <c r="AA46" s="157"/>
      <c r="AB46" s="1"/>
      <c r="AC46" s="147"/>
      <c r="AD46" s="157"/>
      <c r="AE46" s="1"/>
      <c r="AF46" s="147"/>
      <c r="AG46" s="157"/>
      <c r="AH46" s="1"/>
      <c r="AI46" s="147"/>
      <c r="AJ46" s="157"/>
      <c r="AK46" s="1"/>
      <c r="AL46" s="147"/>
      <c r="AM46" s="157"/>
      <c r="AN46" s="1"/>
      <c r="AO46" s="147"/>
      <c r="AP46" s="157"/>
      <c r="AQ46" s="1"/>
      <c r="AR46" s="147"/>
      <c r="AS46" s="157"/>
      <c r="AT46" s="1"/>
      <c r="AU46" s="147"/>
    </row>
    <row r="47" spans="1:48" ht="14" x14ac:dyDescent="0.3">
      <c r="A47" s="335"/>
      <c r="B47" s="336"/>
      <c r="C47" s="336"/>
      <c r="D47" s="336"/>
      <c r="E47" s="336"/>
      <c r="F47" s="336"/>
      <c r="G47" s="336"/>
      <c r="H47" s="337"/>
      <c r="M47" s="23"/>
      <c r="N47" s="23"/>
      <c r="O47" s="23" t="s">
        <v>238</v>
      </c>
      <c r="P47" s="20"/>
      <c r="Q47" s="20"/>
      <c r="R47" s="18">
        <f>R33*1.02</f>
        <v>11.679</v>
      </c>
      <c r="S47" s="128" t="s">
        <v>185</v>
      </c>
      <c r="T47" s="153" t="s">
        <v>186</v>
      </c>
      <c r="U47" s="143">
        <f>U33*1.01</f>
        <v>469.20105497848033</v>
      </c>
      <c r="V47" s="128" t="s">
        <v>185</v>
      </c>
      <c r="W47" s="153" t="s">
        <v>186</v>
      </c>
      <c r="X47" s="143">
        <f>X33*1.01</f>
        <v>1160.3900445418446</v>
      </c>
      <c r="Y47" s="128" t="s">
        <v>185</v>
      </c>
      <c r="Z47" s="153" t="s">
        <v>186</v>
      </c>
      <c r="AA47" s="143">
        <f>AA33*1.01</f>
        <v>2260.1436225309531</v>
      </c>
      <c r="AB47" s="128" t="s">
        <v>185</v>
      </c>
      <c r="AC47" s="153" t="s">
        <v>186</v>
      </c>
      <c r="AD47" s="143">
        <f>AD33*1.01</f>
        <v>3717.1041235519142</v>
      </c>
      <c r="AE47" s="128" t="s">
        <v>185</v>
      </c>
      <c r="AF47" s="153" t="s">
        <v>186</v>
      </c>
      <c r="AG47" s="143">
        <f>AG33*1.01</f>
        <v>5213.5246988899353</v>
      </c>
      <c r="AH47" s="128" t="s">
        <v>185</v>
      </c>
      <c r="AI47" s="153" t="s">
        <v>186</v>
      </c>
      <c r="AJ47" s="143">
        <f>AJ33*1.01</f>
        <v>6619.7929511574675</v>
      </c>
      <c r="AK47" s="128" t="s">
        <v>185</v>
      </c>
      <c r="AL47" s="153" t="s">
        <v>186</v>
      </c>
      <c r="AM47" s="143">
        <f>AM33*1.01</f>
        <v>7762.2278483436739</v>
      </c>
      <c r="AN47" s="128" t="s">
        <v>185</v>
      </c>
      <c r="AO47" s="153" t="s">
        <v>186</v>
      </c>
      <c r="AP47" s="143">
        <f>AP33*1.01</f>
        <v>8660.0719100010647</v>
      </c>
      <c r="AQ47" s="128" t="s">
        <v>185</v>
      </c>
      <c r="AR47" s="153" t="s">
        <v>186</v>
      </c>
      <c r="AS47" s="143">
        <f>AS33*1.01</f>
        <v>9661.7681098336398</v>
      </c>
      <c r="AT47" s="128" t="s">
        <v>185</v>
      </c>
      <c r="AU47" s="153" t="s">
        <v>186</v>
      </c>
    </row>
    <row r="48" spans="1:48" ht="14" x14ac:dyDescent="0.3">
      <c r="A48" s="335"/>
      <c r="B48" s="336"/>
      <c r="C48" s="336"/>
      <c r="D48" s="336"/>
      <c r="E48" s="336"/>
      <c r="F48" s="336"/>
      <c r="G48" s="336"/>
      <c r="H48" s="337"/>
      <c r="M48" s="12"/>
      <c r="N48" s="12"/>
      <c r="O48" s="20"/>
      <c r="P48" s="20"/>
      <c r="Q48" s="23"/>
      <c r="R48" s="139"/>
      <c r="S48" s="130" t="s">
        <v>228</v>
      </c>
      <c r="T48" s="154" t="s">
        <v>187</v>
      </c>
      <c r="U48" s="144"/>
      <c r="V48" s="130" t="s">
        <v>228</v>
      </c>
      <c r="W48" s="154" t="s">
        <v>187</v>
      </c>
      <c r="X48" s="144"/>
      <c r="Y48" s="130" t="s">
        <v>228</v>
      </c>
      <c r="Z48" s="154" t="s">
        <v>187</v>
      </c>
      <c r="AA48" s="144"/>
      <c r="AB48" s="130" t="s">
        <v>228</v>
      </c>
      <c r="AC48" s="154" t="s">
        <v>187</v>
      </c>
      <c r="AD48" s="144"/>
      <c r="AE48" s="130" t="s">
        <v>228</v>
      </c>
      <c r="AF48" s="154" t="s">
        <v>187</v>
      </c>
      <c r="AG48" s="144"/>
      <c r="AH48" s="130" t="s">
        <v>228</v>
      </c>
      <c r="AI48" s="154" t="s">
        <v>187</v>
      </c>
      <c r="AJ48" s="144"/>
      <c r="AK48" s="130" t="s">
        <v>228</v>
      </c>
      <c r="AL48" s="154" t="s">
        <v>187</v>
      </c>
      <c r="AM48" s="144"/>
      <c r="AN48" s="130" t="s">
        <v>228</v>
      </c>
      <c r="AO48" s="154" t="s">
        <v>187</v>
      </c>
      <c r="AP48" s="144"/>
      <c r="AQ48" s="130" t="s">
        <v>228</v>
      </c>
      <c r="AR48" s="154" t="s">
        <v>187</v>
      </c>
      <c r="AS48" s="144"/>
      <c r="AT48" s="130" t="s">
        <v>228</v>
      </c>
      <c r="AU48" s="154" t="s">
        <v>187</v>
      </c>
    </row>
    <row r="49" spans="1:47" x14ac:dyDescent="0.25">
      <c r="A49" s="335"/>
      <c r="B49" s="336"/>
      <c r="C49" s="336"/>
      <c r="D49" s="336"/>
      <c r="E49" s="336"/>
      <c r="F49" s="336"/>
      <c r="G49" s="336"/>
      <c r="H49" s="337"/>
      <c r="M49" s="20"/>
      <c r="N49" s="20"/>
      <c r="O49" s="7" t="s">
        <v>188</v>
      </c>
      <c r="P49" s="7"/>
      <c r="Q49" s="7"/>
      <c r="R49" s="181">
        <f>P_1_minW-(R47^2*R_up)+dpup_minQ</f>
        <v>100.52273234599464</v>
      </c>
      <c r="S49" s="132"/>
      <c r="T49" s="145"/>
      <c r="U49" s="138">
        <f>P_1_minW-(U47^2*R_up)+dpup_minQ</f>
        <v>100.43499946596104</v>
      </c>
      <c r="V49" s="132"/>
      <c r="W49" s="145"/>
      <c r="X49" s="138">
        <f>P_1_minW-(X47^2*R_up)+dpup_minQ</f>
        <v>99.985851907920136</v>
      </c>
      <c r="Y49" s="132"/>
      <c r="Z49" s="145"/>
      <c r="AA49" s="138">
        <f>P_1_minW-(AA47^2*R_up)+dpup_minQ</f>
        <v>98.485811906527061</v>
      </c>
      <c r="AB49" s="132"/>
      <c r="AC49" s="145"/>
      <c r="AD49" s="138">
        <f>P_1_minW-(AD47^2*R_up)+dpup_minQ</f>
        <v>95.013149045819091</v>
      </c>
      <c r="AE49" s="132"/>
      <c r="AF49" s="145"/>
      <c r="AG49" s="138">
        <f>P_1_minW-(AG47^2*R_up)+dpup_minQ</f>
        <v>89.684105145467072</v>
      </c>
      <c r="AH49" s="132"/>
      <c r="AI49" s="145"/>
      <c r="AJ49" s="138">
        <f>P_1_minW-(AJ47^2*R_up)+dpup_minQ</f>
        <v>83.048381627601032</v>
      </c>
      <c r="AK49" s="132"/>
      <c r="AL49" s="145"/>
      <c r="AM49" s="138">
        <f>P_1_minW-(AM47^2*R_up)+dpup_minQ</f>
        <v>76.496516319058173</v>
      </c>
      <c r="AN49" s="132"/>
      <c r="AO49" s="145"/>
      <c r="AP49" s="138">
        <f>P_1_minW-(AP47^2*R_up)+dpup_minQ</f>
        <v>70.61690689719029</v>
      </c>
      <c r="AQ49" s="132"/>
      <c r="AR49" s="145"/>
      <c r="AS49" s="138">
        <f>P_1_minW-(AS47^2*R_up)+dpup_minQ</f>
        <v>63.298463800650381</v>
      </c>
      <c r="AT49" s="132"/>
      <c r="AU49" s="145"/>
    </row>
    <row r="50" spans="1:47" x14ac:dyDescent="0.25">
      <c r="A50" s="335"/>
      <c r="B50" s="336"/>
      <c r="C50" s="336"/>
      <c r="D50" s="336"/>
      <c r="E50" s="336"/>
      <c r="F50" s="336"/>
      <c r="G50" s="336"/>
      <c r="H50" s="337"/>
      <c r="M50" s="20"/>
      <c r="N50" s="20"/>
      <c r="O50" s="7" t="s">
        <v>189</v>
      </c>
      <c r="P50" s="1"/>
      <c r="Q50" s="7"/>
      <c r="R50" s="181">
        <f>P_2_minW+(R47^2*R_dn)-dpdn_minQ</f>
        <v>50</v>
      </c>
      <c r="S50" s="132"/>
      <c r="T50" s="146"/>
      <c r="U50" s="138">
        <f>P_2_minW+(U47^2*R_dn)-dpdn_minQ</f>
        <v>50</v>
      </c>
      <c r="V50" s="132"/>
      <c r="W50" s="146"/>
      <c r="X50" s="138">
        <f>P_2_minW+(X47^2*R_dn)-dpdn_minQ</f>
        <v>50</v>
      </c>
      <c r="Y50" s="132"/>
      <c r="Z50" s="146"/>
      <c r="AA50" s="138">
        <f>P_2_minW+(AA47^2*R_dn)-dpdn_minQ</f>
        <v>50</v>
      </c>
      <c r="AB50" s="132"/>
      <c r="AC50" s="146"/>
      <c r="AD50" s="138">
        <f>P_2_minW+(AD47^2*R_dn)-dpdn_minQ</f>
        <v>50</v>
      </c>
      <c r="AE50" s="132"/>
      <c r="AF50" s="146"/>
      <c r="AG50" s="138">
        <f>P_2_minW+(AG47^2*R_dn)-dpdn_minQ</f>
        <v>50</v>
      </c>
      <c r="AH50" s="132"/>
      <c r="AI50" s="146"/>
      <c r="AJ50" s="138">
        <f>P_2_minW+(AJ47^2*R_dn)-dpdn_minQ</f>
        <v>50</v>
      </c>
      <c r="AK50" s="132"/>
      <c r="AL50" s="146"/>
      <c r="AM50" s="138">
        <f>P_2_minW+(AM47^2*R_dn)-dpdn_minQ</f>
        <v>50</v>
      </c>
      <c r="AN50" s="132"/>
      <c r="AO50" s="146"/>
      <c r="AP50" s="138">
        <f>P_2_minW+(AP47^2*R_dn)-dpdn_minQ</f>
        <v>50</v>
      </c>
      <c r="AQ50" s="132"/>
      <c r="AR50" s="146"/>
      <c r="AS50" s="138">
        <f>P_2_minW+(AS47^2*R_dn)-dpdn_minQ</f>
        <v>50</v>
      </c>
      <c r="AT50" s="132"/>
      <c r="AU50" s="146"/>
    </row>
    <row r="51" spans="1:47" x14ac:dyDescent="0.25">
      <c r="A51" s="335"/>
      <c r="B51" s="336"/>
      <c r="C51" s="336"/>
      <c r="D51" s="336"/>
      <c r="E51" s="336"/>
      <c r="F51" s="336"/>
      <c r="G51" s="336"/>
      <c r="H51" s="337"/>
      <c r="M51" s="20"/>
      <c r="N51" s="20"/>
      <c r="O51" s="7" t="s">
        <v>234</v>
      </c>
      <c r="P51" s="1"/>
      <c r="Q51" s="7"/>
      <c r="R51" s="179">
        <f>'Valve Sizing'!$G$8*R49/P_1_maxW</f>
        <v>0.48490376386768308</v>
      </c>
      <c r="S51" s="132"/>
      <c r="T51" s="146"/>
      <c r="U51" s="143">
        <f>'Valve Sizing'!$G$8*U49/P_1_maxW</f>
        <v>0.48448055607427759</v>
      </c>
      <c r="V51" s="132"/>
      <c r="W51" s="146"/>
      <c r="X51" s="143">
        <f>'Valve Sizing'!$G$8*X49/P_1_maxW</f>
        <v>0.48231394822008217</v>
      </c>
      <c r="Y51" s="132"/>
      <c r="Z51" s="146"/>
      <c r="AA51" s="143">
        <f>'Valve Sizing'!$G$8*AA49/P_1_maxW</f>
        <v>0.4750780223190233</v>
      </c>
      <c r="AB51" s="132"/>
      <c r="AC51" s="146"/>
      <c r="AD51" s="143">
        <f>'Valve Sizing'!$G$8*AD49/P_1_maxW</f>
        <v>0.4583265149484827</v>
      </c>
      <c r="AE51" s="132"/>
      <c r="AF51" s="146"/>
      <c r="AG51" s="143">
        <f>'Valve Sizing'!$G$8*AG49/P_1_maxW</f>
        <v>0.43262015595097203</v>
      </c>
      <c r="AH51" s="132"/>
      <c r="AI51" s="146"/>
      <c r="AJ51" s="143">
        <f>'Valve Sizing'!$G$8*AJ49/P_1_maxW</f>
        <v>0.40061060711854068</v>
      </c>
      <c r="AK51" s="132"/>
      <c r="AL51" s="146"/>
      <c r="AM51" s="143">
        <f>'Valve Sizing'!$G$8*AM49/P_1_maxW</f>
        <v>0.36900557535785039</v>
      </c>
      <c r="AN51" s="132"/>
      <c r="AO51" s="146"/>
      <c r="AP51" s="143">
        <f>'Valve Sizing'!$G$8*AP49/P_1_maxW</f>
        <v>0.34064338630669666</v>
      </c>
      <c r="AQ51" s="132"/>
      <c r="AR51" s="146"/>
      <c r="AS51" s="143">
        <f>'Valve Sizing'!$G$8*AS49/P_1_maxW</f>
        <v>0.30534051977747156</v>
      </c>
      <c r="AT51" s="132"/>
      <c r="AU51" s="146"/>
    </row>
    <row r="52" spans="1:47" x14ac:dyDescent="0.25">
      <c r="A52" s="335"/>
      <c r="B52" s="336"/>
      <c r="C52" s="336"/>
      <c r="D52" s="336"/>
      <c r="E52" s="336"/>
      <c r="F52" s="336"/>
      <c r="G52" s="336"/>
      <c r="H52" s="337"/>
      <c r="M52" s="20"/>
      <c r="N52" s="20"/>
      <c r="O52" s="7" t="s">
        <v>190</v>
      </c>
      <c r="P52" s="1"/>
      <c r="Q52" s="7"/>
      <c r="R52" s="181">
        <f>R49-R50</f>
        <v>50.52273234599464</v>
      </c>
      <c r="S52" s="132"/>
      <c r="T52" s="146"/>
      <c r="U52" s="138">
        <f>U49-U50</f>
        <v>50.434999465961042</v>
      </c>
      <c r="V52" s="132"/>
      <c r="W52" s="146"/>
      <c r="X52" s="138">
        <f>X49-X50</f>
        <v>49.985851907920136</v>
      </c>
      <c r="Y52" s="132"/>
      <c r="Z52" s="146"/>
      <c r="AA52" s="138">
        <f>AA49-AA50</f>
        <v>48.485811906527061</v>
      </c>
      <c r="AB52" s="132"/>
      <c r="AC52" s="146"/>
      <c r="AD52" s="138">
        <f>AD49-AD50</f>
        <v>45.013149045819091</v>
      </c>
      <c r="AE52" s="132"/>
      <c r="AF52" s="146"/>
      <c r="AG52" s="138">
        <f>AG49-AG50</f>
        <v>39.684105145467072</v>
      </c>
      <c r="AH52" s="132"/>
      <c r="AI52" s="146"/>
      <c r="AJ52" s="138">
        <f>AJ49-AJ50</f>
        <v>33.048381627601032</v>
      </c>
      <c r="AK52" s="132"/>
      <c r="AL52" s="146"/>
      <c r="AM52" s="138">
        <f>AM49-AM50</f>
        <v>26.496516319058173</v>
      </c>
      <c r="AN52" s="132"/>
      <c r="AO52" s="146"/>
      <c r="AP52" s="138">
        <f>AP49-AP50</f>
        <v>20.61690689719029</v>
      </c>
      <c r="AQ52" s="132"/>
      <c r="AR52" s="146"/>
      <c r="AS52" s="138">
        <f>AS49-AS50</f>
        <v>13.298463800650381</v>
      </c>
      <c r="AT52" s="132"/>
      <c r="AU52" s="146"/>
    </row>
    <row r="53" spans="1:47" ht="14.5" x14ac:dyDescent="0.35">
      <c r="A53" s="335"/>
      <c r="B53" s="336"/>
      <c r="C53" s="336"/>
      <c r="D53" s="336"/>
      <c r="E53" s="336"/>
      <c r="F53" s="336"/>
      <c r="G53" s="336"/>
      <c r="H53" s="337"/>
      <c r="M53" s="27"/>
      <c r="N53" s="27"/>
      <c r="O53" s="2" t="s">
        <v>191</v>
      </c>
      <c r="P53" s="10"/>
      <c r="Q53" s="2"/>
      <c r="R53" s="181">
        <f>R52/R49</f>
        <v>0.50260007032138476</v>
      </c>
      <c r="S53" s="132"/>
      <c r="T53" s="146"/>
      <c r="U53" s="138">
        <f>U52/U49</f>
        <v>0.50216557708106757</v>
      </c>
      <c r="V53" s="132"/>
      <c r="W53" s="146"/>
      <c r="X53" s="138">
        <f>X52/X49</f>
        <v>0.49992924952975898</v>
      </c>
      <c r="Y53" s="132"/>
      <c r="Z53" s="146"/>
      <c r="AA53" s="138">
        <f>AA52/AA49</f>
        <v>0.49231265872636532</v>
      </c>
      <c r="AB53" s="132"/>
      <c r="AC53" s="146"/>
      <c r="AD53" s="138">
        <f>AD52/AD49</f>
        <v>0.4737570483440347</v>
      </c>
      <c r="AE53" s="132"/>
      <c r="AF53" s="146"/>
      <c r="AG53" s="138">
        <f>AG52/AG49</f>
        <v>0.44248760782191776</v>
      </c>
      <c r="AH53" s="132"/>
      <c r="AI53" s="146"/>
      <c r="AJ53" s="138">
        <f>AJ52/AJ49</f>
        <v>0.39794130818579904</v>
      </c>
      <c r="AK53" s="132"/>
      <c r="AL53" s="146"/>
      <c r="AM53" s="138">
        <f>AM52/AM49</f>
        <v>0.34637546379947881</v>
      </c>
      <c r="AN53" s="132"/>
      <c r="AO53" s="146"/>
      <c r="AP53" s="138">
        <f>AP52/AP49</f>
        <v>0.29195426142362796</v>
      </c>
      <c r="AQ53" s="132"/>
      <c r="AR53" s="146"/>
      <c r="AS53" s="138">
        <f>AS52/AS49</f>
        <v>0.21009141458048688</v>
      </c>
      <c r="AT53" s="132"/>
      <c r="AU53" s="146"/>
    </row>
    <row r="54" spans="1:47" x14ac:dyDescent="0.25">
      <c r="A54" s="335"/>
      <c r="B54" s="336"/>
      <c r="C54" s="336"/>
      <c r="D54" s="336"/>
      <c r="E54" s="336"/>
      <c r="F54" s="336"/>
      <c r="G54" s="336"/>
      <c r="H54" s="337"/>
      <c r="M54" s="27"/>
      <c r="N54" s="27"/>
      <c r="O54" s="2" t="s">
        <v>26</v>
      </c>
      <c r="P54" s="7">
        <v>12</v>
      </c>
      <c r="Q54" s="2"/>
      <c r="R54" s="181">
        <f>1-R53/(3*F_GAMMA*R$29)</f>
        <v>0.73824012401775296</v>
      </c>
      <c r="S54" s="133"/>
      <c r="T54" s="146"/>
      <c r="U54" s="138">
        <f>1-U53/(3*F_GAMMA*U$29)</f>
        <v>0.73852399625932141</v>
      </c>
      <c r="V54" s="133"/>
      <c r="W54" s="146"/>
      <c r="X54" s="138">
        <f>1-X53/(3*F_GAMMA*X$29)</f>
        <v>0.73578335722291277</v>
      </c>
      <c r="Y54" s="133"/>
      <c r="Z54" s="146"/>
      <c r="AA54" s="138">
        <f>1-AA53/(3*F_GAMMA*AA$29)</f>
        <v>0.73624120330565934</v>
      </c>
      <c r="AB54" s="133"/>
      <c r="AC54" s="146"/>
      <c r="AD54" s="138">
        <f>1-AD53/(3*F_GAMMA*AD$29)</f>
        <v>0.73922332057684303</v>
      </c>
      <c r="AE54" s="133"/>
      <c r="AF54" s="146"/>
      <c r="AG54" s="138">
        <f>1-AG53/(3*F_GAMMA*AG$29)</f>
        <v>0.74254208375415742</v>
      </c>
      <c r="AH54" s="133"/>
      <c r="AI54" s="146"/>
      <c r="AJ54" s="138">
        <f>1-AJ53/(3*F_GAMMA*AJ$29)</f>
        <v>0.7524816658589325</v>
      </c>
      <c r="AK54" s="133"/>
      <c r="AL54" s="146"/>
      <c r="AM54" s="138">
        <f>1-AM53/(3*F_GAMMA*AM$29)</f>
        <v>0.76460494356204178</v>
      </c>
      <c r="AN54" s="133"/>
      <c r="AO54" s="146"/>
      <c r="AP54" s="138">
        <f>1-AP53/(3*F_GAMMA*AP$29)</f>
        <v>0.83603504195717682</v>
      </c>
      <c r="AQ54" s="133"/>
      <c r="AR54" s="146"/>
      <c r="AS54" s="138">
        <f>1-AS53/(3*F_GAMMA*AS$29)</f>
        <v>0.82088120473236348</v>
      </c>
      <c r="AT54" s="133"/>
      <c r="AU54" s="146"/>
    </row>
    <row r="55" spans="1:47" x14ac:dyDescent="0.25">
      <c r="A55" s="335"/>
      <c r="B55" s="336"/>
      <c r="C55" s="336"/>
      <c r="D55" s="336"/>
      <c r="E55" s="336"/>
      <c r="F55" s="336"/>
      <c r="G55" s="336"/>
      <c r="H55" s="337"/>
      <c r="M55" s="27"/>
      <c r="N55" s="27"/>
      <c r="O55" s="2" t="s">
        <v>71</v>
      </c>
      <c r="P55" s="85">
        <v>5</v>
      </c>
      <c r="Q55" s="2"/>
      <c r="R55" s="179">
        <f>R47/((N_6*R$27*R54)*SQRT(R53*R49*R51))</f>
        <v>5.04992083262292E-2</v>
      </c>
      <c r="S55" s="133"/>
      <c r="T55" s="146"/>
      <c r="U55" s="143">
        <f>U47/((N_6*U$27*U54)*SQRT(U53*U49*U51))</f>
        <v>2.0319260369935161</v>
      </c>
      <c r="V55" s="133"/>
      <c r="W55" s="146"/>
      <c r="X55" s="143">
        <f>X47/((N_6*X$27*X54)*SQRT(X53*X49*X51))</f>
        <v>5.08914365640097</v>
      </c>
      <c r="Y55" s="133"/>
      <c r="Z55" s="146"/>
      <c r="AA55" s="143">
        <f>AA47/((N_6*AA$27*AA54)*SQRT(AA53*AA49*AA51))</f>
        <v>10.192854645082926</v>
      </c>
      <c r="AB55" s="133"/>
      <c r="AC55" s="146"/>
      <c r="AD55" s="143">
        <f>AD47/((N_6*AD$27*AD54)*SQRT(AD53*AD49*AD51))</f>
        <v>17.851975264544066</v>
      </c>
      <c r="AE55" s="133"/>
      <c r="AF55" s="146"/>
      <c r="AG55" s="143">
        <f>AG47/((N_6*AG$27*AG54)*SQRT(AG53*AG49*AG51))</f>
        <v>27.914754503106337</v>
      </c>
      <c r="AH55" s="133"/>
      <c r="AI55" s="146"/>
      <c r="AJ55" s="143">
        <f>AJ47/((N_6*AJ$27*AJ54)*SQRT(AJ53*AJ49*AJ51))</f>
        <v>41.196171642289706</v>
      </c>
      <c r="AK55" s="133"/>
      <c r="AL55" s="146"/>
      <c r="AM55" s="143">
        <f>AM47/((N_6*AM$27*AM54)*SQRT(AM53*AM49*AM51))</f>
        <v>58.717475065457947</v>
      </c>
      <c r="AN55" s="133"/>
      <c r="AO55" s="146"/>
      <c r="AP55" s="143">
        <f>AP47/((N_6*AP$27*AP54)*SQRT(AP53*AP49*AP51))</f>
        <v>80.30051756507973</v>
      </c>
      <c r="AQ55" s="133"/>
      <c r="AR55" s="146"/>
      <c r="AS55" s="143">
        <f>AS47/((N_6*AS$27*AS54)*SQRT(AS53*AS49*AS51))</f>
        <v>157.67172583674983</v>
      </c>
      <c r="AT55" s="133"/>
      <c r="AU55" s="146"/>
    </row>
    <row r="56" spans="1:47" x14ac:dyDescent="0.25">
      <c r="A56" s="335"/>
      <c r="B56" s="336"/>
      <c r="C56" s="336"/>
      <c r="D56" s="336"/>
      <c r="E56" s="336"/>
      <c r="F56" s="336"/>
      <c r="G56" s="336"/>
      <c r="H56" s="337"/>
      <c r="M56" s="27"/>
      <c r="N56" s="27"/>
      <c r="O56" s="2" t="s">
        <v>73</v>
      </c>
      <c r="P56" s="85">
        <v>5</v>
      </c>
      <c r="Q56" s="2"/>
      <c r="R56" s="179">
        <f>R47/((N_6*R$27*0.667)*SQRT(R57*R49*R51))</f>
        <v>4.9530024991300436E-2</v>
      </c>
      <c r="S56" s="133"/>
      <c r="T56" s="155"/>
      <c r="U56" s="143">
        <f>U47/((N_6*U$27*0.667)*SQRT(U57*U49*U51))</f>
        <v>1.9926141925812637</v>
      </c>
      <c r="V56" s="133"/>
      <c r="W56" s="155"/>
      <c r="X56" s="143">
        <f>X47/((N_6*X$27*0.667)*SQRT(X57*X49*X51))</f>
        <v>4.9981530307677708</v>
      </c>
      <c r="Y56" s="133"/>
      <c r="Z56" s="155"/>
      <c r="AA56" s="143">
        <f>AA47/((N_6*AA$27*0.667)*SQRT(AA57*AA49*AA51))</f>
        <v>10.008159536959647</v>
      </c>
      <c r="AB56" s="133"/>
      <c r="AC56" s="155"/>
      <c r="AD56" s="143">
        <f>AD47/((N_6*AD$27*0.667)*SQRT(AD57*AD49*AD51))</f>
        <v>17.499720190203174</v>
      </c>
      <c r="AE56" s="133"/>
      <c r="AF56" s="155"/>
      <c r="AG56" s="143">
        <f>AG47/((N_6*AG$27*0.667)*SQRT(AG57*AG49*AG51))</f>
        <v>27.311327096024147</v>
      </c>
      <c r="AH56" s="133"/>
      <c r="AI56" s="155"/>
      <c r="AJ56" s="143">
        <f>AJ47/((N_6*AJ$27*0.667)*SQRT(AJ57*AJ49*AJ51))</f>
        <v>40.048961775997697</v>
      </c>
      <c r="AK56" s="133"/>
      <c r="AL56" s="155"/>
      <c r="AM56" s="143">
        <f>AM47/((N_6*AM$27*0.667)*SQRT(AM57*AM49*AM51))</f>
        <v>56.563716391670013</v>
      </c>
      <c r="AN56" s="133"/>
      <c r="AO56" s="155"/>
      <c r="AP56" s="143">
        <f>AP47/((N_6*AP$27*0.667)*SQRT(AP57*AP49*AP51))</f>
        <v>70.591618614049224</v>
      </c>
      <c r="AQ56" s="133"/>
      <c r="AR56" s="155"/>
      <c r="AS56" s="143">
        <f>AS47/((N_6*AS$27*0.667)*SQRT(AS57*AS49*AS51))</f>
        <v>142.24581782148633</v>
      </c>
      <c r="AT56" s="133"/>
      <c r="AU56" s="155"/>
    </row>
    <row r="57" spans="1:47" ht="15.5" x14ac:dyDescent="0.4">
      <c r="A57" s="335"/>
      <c r="B57" s="336"/>
      <c r="C57" s="336"/>
      <c r="D57" s="336"/>
      <c r="E57" s="336"/>
      <c r="F57" s="336"/>
      <c r="G57" s="336"/>
      <c r="H57" s="337"/>
      <c r="M57" s="27"/>
      <c r="N57" s="27"/>
      <c r="O57" s="2" t="s">
        <v>192</v>
      </c>
      <c r="P57" s="85">
        <v>10</v>
      </c>
      <c r="Q57" s="2"/>
      <c r="R57" s="181">
        <f>F_GAMMA*R$29</f>
        <v>0.64002688015162901</v>
      </c>
      <c r="S57" s="133"/>
      <c r="T57" s="155"/>
      <c r="U57" s="138">
        <f>F_GAMMA*U$29</f>
        <v>0.64016782916606918</v>
      </c>
      <c r="V57" s="133"/>
      <c r="W57" s="155"/>
      <c r="X57" s="138">
        <f>F_GAMMA*X$29</f>
        <v>0.6307062319203669</v>
      </c>
      <c r="Y57" s="133"/>
      <c r="Z57" s="155"/>
      <c r="AA57" s="138">
        <f>F_GAMMA*AA$29</f>
        <v>0.62217534213893466</v>
      </c>
      <c r="AB57" s="133"/>
      <c r="AC57" s="155"/>
      <c r="AD57" s="138">
        <f>F_GAMMA*AD$29</f>
        <v>0.60557184969146072</v>
      </c>
      <c r="AE57" s="133"/>
      <c r="AF57" s="155"/>
      <c r="AG57" s="138">
        <f>F_GAMMA*AG$29</f>
        <v>0.57289312142622573</v>
      </c>
      <c r="AH57" s="133"/>
      <c r="AI57" s="155"/>
      <c r="AJ57" s="138">
        <f>F_GAMMA*AJ$29</f>
        <v>0.53590819116049981</v>
      </c>
      <c r="AK57" s="133"/>
      <c r="AL57" s="155"/>
      <c r="AM57" s="138">
        <f>F_GAMMA*AM$29</f>
        <v>0.49048815926850342</v>
      </c>
      <c r="AN57" s="133"/>
      <c r="AO57" s="155"/>
      <c r="AP57" s="138">
        <f>F_GAMMA*AP$29</f>
        <v>0.59352979016280105</v>
      </c>
      <c r="AQ57" s="133"/>
      <c r="AR57" s="155"/>
      <c r="AS57" s="138">
        <f>F_GAMMA*AS$29</f>
        <v>0.39097221161068291</v>
      </c>
      <c r="AT57" s="133"/>
      <c r="AU57" s="155"/>
    </row>
    <row r="58" spans="1:47" x14ac:dyDescent="0.25">
      <c r="A58" s="335"/>
      <c r="B58" s="336"/>
      <c r="C58" s="336"/>
      <c r="D58" s="336"/>
      <c r="E58" s="336"/>
      <c r="F58" s="336"/>
      <c r="G58" s="336"/>
      <c r="H58" s="337"/>
      <c r="M58" s="27"/>
      <c r="N58" s="27"/>
      <c r="O58" s="2" t="s">
        <v>193</v>
      </c>
      <c r="P58" s="134"/>
      <c r="Q58" s="2"/>
      <c r="R58" s="181">
        <f>IF(R53&lt;R57,R55,R56)</f>
        <v>5.04992083262292E-2</v>
      </c>
      <c r="S58" s="133"/>
      <c r="T58" s="155"/>
      <c r="U58" s="138">
        <f>IF(U53&lt;U57,U55,U56)</f>
        <v>2.0319260369935161</v>
      </c>
      <c r="V58" s="133"/>
      <c r="W58" s="155"/>
      <c r="X58" s="138">
        <f>IF(X53&lt;X57,X55,X56)</f>
        <v>5.08914365640097</v>
      </c>
      <c r="Y58" s="133"/>
      <c r="Z58" s="155"/>
      <c r="AA58" s="138">
        <f>IF(AA53&lt;AA57,AA55,AA56)</f>
        <v>10.192854645082926</v>
      </c>
      <c r="AB58" s="133"/>
      <c r="AC58" s="155"/>
      <c r="AD58" s="138">
        <f>IF(AD53&lt;AD57,AD55,AD56)</f>
        <v>17.851975264544066</v>
      </c>
      <c r="AE58" s="133"/>
      <c r="AF58" s="155"/>
      <c r="AG58" s="138">
        <f>IF(AG53&lt;AG57,AG55,AG56)</f>
        <v>27.914754503106337</v>
      </c>
      <c r="AH58" s="133"/>
      <c r="AI58" s="155"/>
      <c r="AJ58" s="138">
        <f>IF(AJ53&lt;AJ57,AJ55,AJ56)</f>
        <v>41.196171642289706</v>
      </c>
      <c r="AK58" s="133"/>
      <c r="AL58" s="155"/>
      <c r="AM58" s="138">
        <f>IF(AM53&lt;AM57,AM55,AM56)</f>
        <v>58.717475065457947</v>
      </c>
      <c r="AN58" s="133"/>
      <c r="AO58" s="155"/>
      <c r="AP58" s="138">
        <f>IF(AP53&lt;AP57,AP55,AP56)</f>
        <v>80.30051756507973</v>
      </c>
      <c r="AQ58" s="133"/>
      <c r="AR58" s="155"/>
      <c r="AS58" s="138">
        <f>IF(AS53&lt;AS57,AS55,AS56)</f>
        <v>157.67172583674983</v>
      </c>
      <c r="AT58" s="133"/>
      <c r="AU58" s="155"/>
    </row>
    <row r="59" spans="1:47" ht="13" x14ac:dyDescent="0.3">
      <c r="A59" s="335"/>
      <c r="B59" s="336"/>
      <c r="C59" s="336"/>
      <c r="D59" s="336"/>
      <c r="E59" s="336"/>
      <c r="F59" s="336"/>
      <c r="G59" s="336"/>
      <c r="H59" s="337"/>
      <c r="M59" s="28"/>
      <c r="N59" s="28"/>
      <c r="O59" s="9" t="s">
        <v>194</v>
      </c>
      <c r="P59" s="1"/>
      <c r="Q59" s="1"/>
      <c r="R59" s="135"/>
      <c r="S59" s="132">
        <f>IF(R52&lt;=0,W_max,ABS(R$23-R58))</f>
        <v>1.9495007916737708</v>
      </c>
      <c r="T59" s="151">
        <f>R47</f>
        <v>11.679</v>
      </c>
      <c r="U59" s="135"/>
      <c r="V59" s="132">
        <f>IF(U52&lt;=0,W_max,ABS(U$23-U58))</f>
        <v>2.9680739630064839</v>
      </c>
      <c r="W59" s="151">
        <f>U47</f>
        <v>469.20105497848033</v>
      </c>
      <c r="X59" s="135"/>
      <c r="Y59" s="132">
        <f>IF(X52&lt;=0,W_max,ABS(X$23-X58))</f>
        <v>4.91085634359903</v>
      </c>
      <c r="Z59" s="151">
        <f>X47</f>
        <v>1160.3900445418446</v>
      </c>
      <c r="AA59" s="135"/>
      <c r="AB59" s="132">
        <f>IF(AA52&lt;=0,W_max,ABS(AA$23-AA58))</f>
        <v>7.007145354917073</v>
      </c>
      <c r="AC59" s="151">
        <f>AA47</f>
        <v>2260.1436225309531</v>
      </c>
      <c r="AD59" s="135"/>
      <c r="AE59" s="132">
        <f>IF(AD52&lt;=0,W_max,ABS(AD$23-AD58))</f>
        <v>8.7480247354559353</v>
      </c>
      <c r="AF59" s="151">
        <f>AD47</f>
        <v>3717.1041235519142</v>
      </c>
      <c r="AG59" s="135"/>
      <c r="AH59" s="132">
        <f>IF(AG52&lt;=0,W_max,ABS(AG$23-AG58))</f>
        <v>10.485245496893661</v>
      </c>
      <c r="AI59" s="151">
        <f>AG47</f>
        <v>5213.5246988899353</v>
      </c>
      <c r="AJ59" s="135"/>
      <c r="AK59" s="132">
        <f>IF(AJ52&lt;=0,W_max,ABS(AJ$23-AJ58))</f>
        <v>11.303828357710294</v>
      </c>
      <c r="AL59" s="151">
        <f>AJ47</f>
        <v>6619.7929511574675</v>
      </c>
      <c r="AM59" s="135"/>
      <c r="AN59" s="132">
        <f>IF(AM52&lt;=0,W_max,ABS(AM$23-AM58))</f>
        <v>13.682524934542059</v>
      </c>
      <c r="AO59" s="151">
        <f>AM47</f>
        <v>7762.2278483436739</v>
      </c>
      <c r="AP59" s="135"/>
      <c r="AQ59" s="132">
        <f>IF(AP52&lt;=0,W_max,ABS(AP$23-AP58))</f>
        <v>27.69948243492027</v>
      </c>
      <c r="AR59" s="151">
        <f>AP47</f>
        <v>8660.0719100010647</v>
      </c>
      <c r="AS59" s="135"/>
      <c r="AT59" s="132">
        <f>IF(AS52&lt;=0,W_max,ABS(AS$23-AS58))</f>
        <v>22.328274163250171</v>
      </c>
      <c r="AU59" s="151">
        <f>AS47</f>
        <v>9661.7681098336398</v>
      </c>
    </row>
    <row r="60" spans="1:47" ht="13" x14ac:dyDescent="0.25">
      <c r="A60" s="335"/>
      <c r="B60" s="336"/>
      <c r="C60" s="336"/>
      <c r="D60" s="336"/>
      <c r="E60" s="336"/>
      <c r="F60" s="336"/>
      <c r="G60" s="336"/>
      <c r="H60" s="337"/>
      <c r="M60" s="12"/>
      <c r="N60" s="12"/>
      <c r="O60" s="2"/>
      <c r="P60" s="85"/>
      <c r="Q60" s="2"/>
      <c r="R60" s="18"/>
      <c r="S60" s="150"/>
      <c r="T60" s="152"/>
      <c r="U60" s="157"/>
      <c r="V60" s="1"/>
      <c r="W60" s="147"/>
      <c r="X60" s="157"/>
      <c r="Y60" s="1"/>
      <c r="Z60" s="147"/>
      <c r="AA60" s="157"/>
      <c r="AB60" s="1"/>
      <c r="AC60" s="147"/>
      <c r="AD60" s="157"/>
      <c r="AE60" s="1"/>
      <c r="AF60" s="147"/>
      <c r="AG60" s="157"/>
      <c r="AH60" s="1"/>
      <c r="AI60" s="147"/>
      <c r="AJ60" s="157"/>
      <c r="AK60" s="1"/>
      <c r="AL60" s="147"/>
      <c r="AM60" s="157"/>
      <c r="AN60" s="1"/>
      <c r="AO60" s="147"/>
      <c r="AP60" s="157"/>
      <c r="AQ60" s="1"/>
      <c r="AR60" s="147"/>
      <c r="AS60" s="157"/>
      <c r="AT60" s="1"/>
      <c r="AU60" s="147"/>
    </row>
    <row r="61" spans="1:47" ht="14" x14ac:dyDescent="0.3">
      <c r="A61" s="335"/>
      <c r="B61" s="336"/>
      <c r="C61" s="336"/>
      <c r="D61" s="336"/>
      <c r="E61" s="336"/>
      <c r="F61" s="336"/>
      <c r="G61" s="336"/>
      <c r="H61" s="337"/>
      <c r="M61" s="23"/>
      <c r="N61" s="23"/>
      <c r="O61" s="23" t="s">
        <v>238</v>
      </c>
      <c r="P61" s="20"/>
      <c r="Q61" s="20"/>
      <c r="R61" s="181">
        <f>R47*1.02</f>
        <v>11.91258</v>
      </c>
      <c r="S61" s="128" t="s">
        <v>185</v>
      </c>
      <c r="T61" s="153" t="s">
        <v>186</v>
      </c>
      <c r="U61" s="143">
        <f>U47*1.01</f>
        <v>473.89306552826514</v>
      </c>
      <c r="V61" s="128" t="s">
        <v>185</v>
      </c>
      <c r="W61" s="153" t="s">
        <v>186</v>
      </c>
      <c r="X61" s="143">
        <f>X47*1.01</f>
        <v>1171.9939449872631</v>
      </c>
      <c r="Y61" s="128" t="s">
        <v>185</v>
      </c>
      <c r="Z61" s="153" t="s">
        <v>186</v>
      </c>
      <c r="AA61" s="143">
        <f>AA47*1.01</f>
        <v>2282.7450587562626</v>
      </c>
      <c r="AB61" s="128" t="s">
        <v>185</v>
      </c>
      <c r="AC61" s="153" t="s">
        <v>186</v>
      </c>
      <c r="AD61" s="143">
        <f>AD47*1.01</f>
        <v>3754.2751647874334</v>
      </c>
      <c r="AE61" s="128" t="s">
        <v>185</v>
      </c>
      <c r="AF61" s="153" t="s">
        <v>186</v>
      </c>
      <c r="AG61" s="143">
        <f>AG47*1.01</f>
        <v>5265.6599458788351</v>
      </c>
      <c r="AH61" s="128" t="s">
        <v>185</v>
      </c>
      <c r="AI61" s="153" t="s">
        <v>186</v>
      </c>
      <c r="AJ61" s="143">
        <f>AJ47*1.01</f>
        <v>6685.9908806690419</v>
      </c>
      <c r="AK61" s="128" t="s">
        <v>185</v>
      </c>
      <c r="AL61" s="153" t="s">
        <v>186</v>
      </c>
      <c r="AM61" s="143">
        <f>AM47*1.01</f>
        <v>7839.8501268271111</v>
      </c>
      <c r="AN61" s="128" t="s">
        <v>185</v>
      </c>
      <c r="AO61" s="153" t="s">
        <v>186</v>
      </c>
      <c r="AP61" s="143">
        <f>AP47*1.01</f>
        <v>8746.6726291010746</v>
      </c>
      <c r="AQ61" s="128" t="s">
        <v>185</v>
      </c>
      <c r="AR61" s="153" t="s">
        <v>186</v>
      </c>
      <c r="AS61" s="143">
        <f>AS47*1.01</f>
        <v>9758.3857909319759</v>
      </c>
      <c r="AT61" s="128" t="s">
        <v>185</v>
      </c>
      <c r="AU61" s="153" t="s">
        <v>186</v>
      </c>
    </row>
    <row r="62" spans="1:47" ht="14" x14ac:dyDescent="0.3">
      <c r="A62" s="335"/>
      <c r="B62" s="336"/>
      <c r="C62" s="336"/>
      <c r="D62" s="336"/>
      <c r="E62" s="336"/>
      <c r="F62" s="336"/>
      <c r="G62" s="336"/>
      <c r="H62" s="337"/>
      <c r="M62" s="12"/>
      <c r="N62" s="12"/>
      <c r="O62" s="20"/>
      <c r="P62" s="20"/>
      <c r="Q62" s="23"/>
      <c r="R62" s="139"/>
      <c r="S62" s="130" t="s">
        <v>228</v>
      </c>
      <c r="T62" s="154" t="s">
        <v>187</v>
      </c>
      <c r="U62" s="144"/>
      <c r="V62" s="130" t="s">
        <v>228</v>
      </c>
      <c r="W62" s="154" t="s">
        <v>187</v>
      </c>
      <c r="X62" s="144"/>
      <c r="Y62" s="130" t="s">
        <v>228</v>
      </c>
      <c r="Z62" s="154" t="s">
        <v>187</v>
      </c>
      <c r="AA62" s="144"/>
      <c r="AB62" s="130" t="s">
        <v>228</v>
      </c>
      <c r="AC62" s="154" t="s">
        <v>187</v>
      </c>
      <c r="AD62" s="144"/>
      <c r="AE62" s="130" t="s">
        <v>228</v>
      </c>
      <c r="AF62" s="154" t="s">
        <v>187</v>
      </c>
      <c r="AG62" s="144"/>
      <c r="AH62" s="130" t="s">
        <v>228</v>
      </c>
      <c r="AI62" s="154" t="s">
        <v>187</v>
      </c>
      <c r="AJ62" s="144"/>
      <c r="AK62" s="130" t="s">
        <v>228</v>
      </c>
      <c r="AL62" s="154" t="s">
        <v>187</v>
      </c>
      <c r="AM62" s="144"/>
      <c r="AN62" s="130" t="s">
        <v>228</v>
      </c>
      <c r="AO62" s="154" t="s">
        <v>187</v>
      </c>
      <c r="AP62" s="144"/>
      <c r="AQ62" s="130" t="s">
        <v>228</v>
      </c>
      <c r="AR62" s="154" t="s">
        <v>187</v>
      </c>
      <c r="AS62" s="144"/>
      <c r="AT62" s="130" t="s">
        <v>228</v>
      </c>
      <c r="AU62" s="154" t="s">
        <v>187</v>
      </c>
    </row>
    <row r="63" spans="1:47" x14ac:dyDescent="0.25">
      <c r="A63" s="335"/>
      <c r="B63" s="336"/>
      <c r="C63" s="336"/>
      <c r="D63" s="336"/>
      <c r="E63" s="336"/>
      <c r="F63" s="336"/>
      <c r="G63" s="336"/>
      <c r="H63" s="337"/>
      <c r="M63" s="20"/>
      <c r="N63" s="20"/>
      <c r="O63" s="7" t="s">
        <v>188</v>
      </c>
      <c r="P63" s="7"/>
      <c r="Q63" s="7"/>
      <c r="R63" s="181">
        <f>P_1_minW-(R61^2*R_up)+dpup_minQ</f>
        <v>100.52273014860907</v>
      </c>
      <c r="S63" s="132"/>
      <c r="T63" s="145"/>
      <c r="U63" s="138">
        <f>P_1_minW-(U61^2*R_up)+dpup_minQ</f>
        <v>100.43323494181864</v>
      </c>
      <c r="V63" s="132"/>
      <c r="W63" s="145"/>
      <c r="X63" s="138">
        <f>P_1_minW-(X61^2*R_up)+dpup_minQ</f>
        <v>99.975059517861126</v>
      </c>
      <c r="Y63" s="132"/>
      <c r="Z63" s="145"/>
      <c r="AA63" s="138">
        <f>P_1_minW-(AA61^2*R_up)+dpup_minQ</f>
        <v>98.444868712440041</v>
      </c>
      <c r="AB63" s="132"/>
      <c r="AC63" s="145"/>
      <c r="AD63" s="138">
        <f>P_1_minW-(AD61^2*R_up)+dpup_minQ</f>
        <v>94.90240532823185</v>
      </c>
      <c r="AE63" s="132"/>
      <c r="AF63" s="145"/>
      <c r="AG63" s="138">
        <f>P_1_minW-(AG61^2*R_up)+dpup_minQ</f>
        <v>89.466247645482738</v>
      </c>
      <c r="AH63" s="132"/>
      <c r="AI63" s="145"/>
      <c r="AJ63" s="138">
        <f>P_1_minW-(AJ61^2*R_up)+dpup_minQ</f>
        <v>82.697146084907601</v>
      </c>
      <c r="AK63" s="132"/>
      <c r="AL63" s="145"/>
      <c r="AM63" s="138">
        <f>P_1_minW-(AM61^2*R_up)+dpup_minQ</f>
        <v>76.013588283663026</v>
      </c>
      <c r="AN63" s="132"/>
      <c r="AO63" s="145"/>
      <c r="AP63" s="138">
        <f>P_1_minW-(AP61^2*R_up)+dpup_minQ</f>
        <v>70.015798712415616</v>
      </c>
      <c r="AQ63" s="132"/>
      <c r="AR63" s="145"/>
      <c r="AS63" s="138">
        <f>P_1_minW-(AS61^2*R_up)+dpup_minQ</f>
        <v>62.55025490963525</v>
      </c>
      <c r="AT63" s="132"/>
      <c r="AU63" s="145"/>
    </row>
    <row r="64" spans="1:47" x14ac:dyDescent="0.25">
      <c r="A64" s="335"/>
      <c r="B64" s="336"/>
      <c r="C64" s="336"/>
      <c r="D64" s="336"/>
      <c r="E64" s="336"/>
      <c r="F64" s="336"/>
      <c r="G64" s="336"/>
      <c r="H64" s="337"/>
      <c r="M64" s="20"/>
      <c r="N64" s="20"/>
      <c r="O64" s="7" t="s">
        <v>189</v>
      </c>
      <c r="P64" s="1"/>
      <c r="Q64" s="7"/>
      <c r="R64" s="181">
        <f>P_2_minW+(R61^2*R_dn)-dpdn_minQ</f>
        <v>50</v>
      </c>
      <c r="S64" s="132"/>
      <c r="T64" s="146"/>
      <c r="U64" s="138">
        <f>P_2_minW+(U61^2*R_dn)-dpdn_minQ</f>
        <v>50</v>
      </c>
      <c r="V64" s="132"/>
      <c r="W64" s="146"/>
      <c r="X64" s="138">
        <f>P_2_minW+(X61^2*R_dn)-dpdn_minQ</f>
        <v>50</v>
      </c>
      <c r="Y64" s="132"/>
      <c r="Z64" s="146"/>
      <c r="AA64" s="138">
        <f>P_2_minW+(AA61^2*R_dn)-dpdn_minQ</f>
        <v>50</v>
      </c>
      <c r="AB64" s="132"/>
      <c r="AC64" s="146"/>
      <c r="AD64" s="138">
        <f>P_2_minW+(AD61^2*R_dn)-dpdn_minQ</f>
        <v>50</v>
      </c>
      <c r="AE64" s="132"/>
      <c r="AF64" s="146"/>
      <c r="AG64" s="138">
        <f>P_2_minW+(AG61^2*R_dn)-dpdn_minQ</f>
        <v>50</v>
      </c>
      <c r="AH64" s="132"/>
      <c r="AI64" s="146"/>
      <c r="AJ64" s="138">
        <f>P_2_minW+(AJ61^2*R_dn)-dpdn_minQ</f>
        <v>50</v>
      </c>
      <c r="AK64" s="132"/>
      <c r="AL64" s="146"/>
      <c r="AM64" s="138">
        <f>P_2_minW+(AM61^2*R_dn)-dpdn_minQ</f>
        <v>50</v>
      </c>
      <c r="AN64" s="132"/>
      <c r="AO64" s="146"/>
      <c r="AP64" s="138">
        <f>P_2_minW+(AP61^2*R_dn)-dpdn_minQ</f>
        <v>50</v>
      </c>
      <c r="AQ64" s="132"/>
      <c r="AR64" s="146"/>
      <c r="AS64" s="138">
        <f>P_2_minW+(AS61^2*R_dn)-dpdn_minQ</f>
        <v>50</v>
      </c>
      <c r="AT64" s="132"/>
      <c r="AU64" s="146"/>
    </row>
    <row r="65" spans="1:47" x14ac:dyDescent="0.25">
      <c r="A65" s="335"/>
      <c r="B65" s="336"/>
      <c r="C65" s="336"/>
      <c r="D65" s="336"/>
      <c r="E65" s="336"/>
      <c r="F65" s="336"/>
      <c r="G65" s="336"/>
      <c r="H65" s="337"/>
      <c r="M65" s="20"/>
      <c r="N65" s="20"/>
      <c r="O65" s="7" t="s">
        <v>234</v>
      </c>
      <c r="P65" s="1"/>
      <c r="Q65" s="7"/>
      <c r="R65" s="179">
        <f>'Valve Sizing'!G$8*R63/P_1_maxW</f>
        <v>0.48490375326788626</v>
      </c>
      <c r="S65" s="132"/>
      <c r="T65" s="146"/>
      <c r="U65" s="143">
        <f>'Valve Sizing'!$G$8*U63/P_1_maxW</f>
        <v>0.48447204432396873</v>
      </c>
      <c r="V65" s="132"/>
      <c r="W65" s="146"/>
      <c r="X65" s="143">
        <f>'Valve Sizing'!$G$8*X63/P_1_maxW</f>
        <v>0.48226188765190409</v>
      </c>
      <c r="Y65" s="132"/>
      <c r="Z65" s="146"/>
      <c r="AA65" s="143">
        <f>'Valve Sizing'!$G$8*AA63/P_1_maxW</f>
        <v>0.47488051964023398</v>
      </c>
      <c r="AB65" s="132"/>
      <c r="AC65" s="146"/>
      <c r="AD65" s="143">
        <f>'Valve Sizing'!$G$8*AD63/P_1_maxW</f>
        <v>0.45779230697154549</v>
      </c>
      <c r="AE65" s="132"/>
      <c r="AF65" s="146"/>
      <c r="AG65" s="143">
        <f>'Valve Sizing'!$G$8*AG63/P_1_maxW</f>
        <v>0.43156925015818481</v>
      </c>
      <c r="AH65" s="132"/>
      <c r="AI65" s="146"/>
      <c r="AJ65" s="143">
        <f>'Valve Sizing'!$G$8*AJ63/P_1_maxW</f>
        <v>0.39891630939422162</v>
      </c>
      <c r="AK65" s="132"/>
      <c r="AL65" s="146"/>
      <c r="AM65" s="143">
        <f>'Valve Sizing'!$G$8*AM63/P_1_maxW</f>
        <v>0.36667601649514142</v>
      </c>
      <c r="AN65" s="132"/>
      <c r="AO65" s="146"/>
      <c r="AP65" s="143">
        <f>'Valve Sizing'!$G$8*AP63/P_1_maxW</f>
        <v>0.33774374744405955</v>
      </c>
      <c r="AQ65" s="132"/>
      <c r="AR65" s="146"/>
      <c r="AS65" s="143">
        <f>'Valve Sizing'!$G$8*AS63/P_1_maxW</f>
        <v>0.30173129329759707</v>
      </c>
      <c r="AT65" s="132"/>
      <c r="AU65" s="146"/>
    </row>
    <row r="66" spans="1:47" x14ac:dyDescent="0.25">
      <c r="A66" s="335"/>
      <c r="B66" s="336"/>
      <c r="C66" s="336"/>
      <c r="D66" s="336"/>
      <c r="E66" s="336"/>
      <c r="F66" s="336"/>
      <c r="G66" s="336"/>
      <c r="H66" s="337"/>
      <c r="M66" s="20"/>
      <c r="N66" s="20"/>
      <c r="O66" s="7" t="s">
        <v>190</v>
      </c>
      <c r="P66" s="1"/>
      <c r="Q66" s="7"/>
      <c r="R66" s="181">
        <f>R63-R64</f>
        <v>50.522730148609071</v>
      </c>
      <c r="S66" s="132"/>
      <c r="T66" s="146"/>
      <c r="U66" s="138">
        <f>U63-U64</f>
        <v>50.43323494181864</v>
      </c>
      <c r="V66" s="132"/>
      <c r="W66" s="146"/>
      <c r="X66" s="138">
        <f>X63-X64</f>
        <v>49.975059517861126</v>
      </c>
      <c r="Y66" s="132"/>
      <c r="Z66" s="146"/>
      <c r="AA66" s="138">
        <f>AA63-AA64</f>
        <v>48.444868712440041</v>
      </c>
      <c r="AB66" s="132"/>
      <c r="AC66" s="146"/>
      <c r="AD66" s="138">
        <f>AD63-AD64</f>
        <v>44.90240532823185</v>
      </c>
      <c r="AE66" s="132"/>
      <c r="AF66" s="146"/>
      <c r="AG66" s="138">
        <f>AG63-AG64</f>
        <v>39.466247645482738</v>
      </c>
      <c r="AH66" s="132"/>
      <c r="AI66" s="146"/>
      <c r="AJ66" s="138">
        <f>AJ63-AJ64</f>
        <v>32.697146084907601</v>
      </c>
      <c r="AK66" s="132"/>
      <c r="AL66" s="146"/>
      <c r="AM66" s="138">
        <f>AM63-AM64</f>
        <v>26.013588283663026</v>
      </c>
      <c r="AN66" s="132"/>
      <c r="AO66" s="146"/>
      <c r="AP66" s="138">
        <f>AP63-AP64</f>
        <v>20.015798712415616</v>
      </c>
      <c r="AQ66" s="132"/>
      <c r="AR66" s="146"/>
      <c r="AS66" s="138">
        <f>AS63-AS64</f>
        <v>12.55025490963525</v>
      </c>
      <c r="AT66" s="132"/>
      <c r="AU66" s="146"/>
    </row>
    <row r="67" spans="1:47" ht="14.5" x14ac:dyDescent="0.35">
      <c r="A67" s="335"/>
      <c r="B67" s="336"/>
      <c r="C67" s="336"/>
      <c r="D67" s="336"/>
      <c r="E67" s="336"/>
      <c r="F67" s="336"/>
      <c r="G67" s="336"/>
      <c r="H67" s="337"/>
      <c r="M67" s="27"/>
      <c r="N67" s="27"/>
      <c r="O67" s="2" t="s">
        <v>191</v>
      </c>
      <c r="P67" s="10"/>
      <c r="Q67" s="2"/>
      <c r="R67" s="181">
        <f>R66/R63</f>
        <v>0.50260005944842667</v>
      </c>
      <c r="S67" s="132"/>
      <c r="T67" s="146"/>
      <c r="U67" s="138">
        <f>U66/U63</f>
        <v>0.5021568305654478</v>
      </c>
      <c r="V67" s="132"/>
      <c r="W67" s="146"/>
      <c r="X67" s="138">
        <f>X66/X63</f>
        <v>0.49987526648016439</v>
      </c>
      <c r="Y67" s="132"/>
      <c r="Z67" s="146"/>
      <c r="AA67" s="138">
        <f>AA66/AA63</f>
        <v>0.4921015116993932</v>
      </c>
      <c r="AB67" s="132"/>
      <c r="AC67" s="146"/>
      <c r="AD67" s="138">
        <f>AD66/AD63</f>
        <v>0.47314296379455567</v>
      </c>
      <c r="AE67" s="132"/>
      <c r="AF67" s="146"/>
      <c r="AG67" s="138">
        <f>AG66/AG63</f>
        <v>0.44113002036109689</v>
      </c>
      <c r="AH67" s="132"/>
      <c r="AI67" s="146"/>
      <c r="AJ67" s="138">
        <f>AJ66/AJ63</f>
        <v>0.39538421375916016</v>
      </c>
      <c r="AK67" s="132"/>
      <c r="AL67" s="146"/>
      <c r="AM67" s="138">
        <f>AM66/AM63</f>
        <v>0.34222286923999762</v>
      </c>
      <c r="AN67" s="132"/>
      <c r="AO67" s="146"/>
      <c r="AP67" s="138">
        <f>AP66/AP63</f>
        <v>0.28587546068893588</v>
      </c>
      <c r="AQ67" s="132"/>
      <c r="AR67" s="146"/>
      <c r="AS67" s="138">
        <f>AS66/AS63</f>
        <v>0.20064274602503668</v>
      </c>
      <c r="AT67" s="132"/>
      <c r="AU67" s="146"/>
    </row>
    <row r="68" spans="1:47" x14ac:dyDescent="0.25">
      <c r="A68" s="335"/>
      <c r="B68" s="336"/>
      <c r="C68" s="336"/>
      <c r="D68" s="336"/>
      <c r="E68" s="336"/>
      <c r="F68" s="336"/>
      <c r="G68" s="336"/>
      <c r="H68" s="337"/>
      <c r="M68" s="27"/>
      <c r="N68" s="27"/>
      <c r="O68" s="2" t="s">
        <v>26</v>
      </c>
      <c r="P68" s="7">
        <v>12</v>
      </c>
      <c r="Q68" s="2"/>
      <c r="R68" s="181">
        <f>1-R67/(3*F_GAMMA*R$29)</f>
        <v>0.73824012968051411</v>
      </c>
      <c r="S68" s="133"/>
      <c r="T68" s="146"/>
      <c r="U68" s="138">
        <f>1-U67/(3*F_GAMMA*U$29)</f>
        <v>0.73852855054192323</v>
      </c>
      <c r="V68" s="133"/>
      <c r="W68" s="146"/>
      <c r="X68" s="138">
        <f>1-X67/(3*F_GAMMA*X$29)</f>
        <v>0.73581188770026362</v>
      </c>
      <c r="Y68" s="133"/>
      <c r="Z68" s="146"/>
      <c r="AA68" s="138">
        <f>1-AA67/(3*F_GAMMA*AA$29)</f>
        <v>0.7363543263074197</v>
      </c>
      <c r="AB68" s="133"/>
      <c r="AC68" s="146"/>
      <c r="AD68" s="138">
        <f>1-AD67/(3*F_GAMMA*AD$29)</f>
        <v>0.73956133967388438</v>
      </c>
      <c r="AE68" s="133"/>
      <c r="AF68" s="146"/>
      <c r="AG68" s="138">
        <f>1-AG67/(3*F_GAMMA*AG$29)</f>
        <v>0.74333198528497069</v>
      </c>
      <c r="AH68" s="133"/>
      <c r="AI68" s="146"/>
      <c r="AJ68" s="138">
        <f>1-AJ67/(3*F_GAMMA*AJ$29)</f>
        <v>0.75407217114125302</v>
      </c>
      <c r="AK68" s="133"/>
      <c r="AL68" s="146"/>
      <c r="AM68" s="138">
        <f>1-AM67/(3*F_GAMMA*AM$29)</f>
        <v>0.76742702633883719</v>
      </c>
      <c r="AN68" s="133"/>
      <c r="AO68" s="146"/>
      <c r="AP68" s="138">
        <f>1-AP67/(3*F_GAMMA*AP$29)</f>
        <v>0.83944896817477788</v>
      </c>
      <c r="AQ68" s="133"/>
      <c r="AR68" s="146"/>
      <c r="AS68" s="138">
        <f>1-AS67/(3*F_GAMMA*AS$29)</f>
        <v>0.82893690815991627</v>
      </c>
      <c r="AT68" s="133"/>
      <c r="AU68" s="146"/>
    </row>
    <row r="69" spans="1:47" ht="13" thickBot="1" x14ac:dyDescent="0.3">
      <c r="A69" s="338"/>
      <c r="B69" s="339"/>
      <c r="C69" s="339"/>
      <c r="D69" s="339"/>
      <c r="E69" s="339"/>
      <c r="F69" s="339"/>
      <c r="G69" s="339"/>
      <c r="H69" s="340"/>
      <c r="M69" s="27"/>
      <c r="N69" s="27"/>
      <c r="O69" s="2" t="s">
        <v>71</v>
      </c>
      <c r="P69" s="85">
        <v>5</v>
      </c>
      <c r="Q69" s="2"/>
      <c r="R69" s="179">
        <f>R61/((N_6*R$27*R68)*SQRT(R67*R63*R65))</f>
        <v>5.1509193780776001E-2</v>
      </c>
      <c r="S69" s="133"/>
      <c r="T69" s="146"/>
      <c r="U69" s="143">
        <f>U61/((N_6*U$27*U68)*SQRT(U67*U63*U65))</f>
        <v>2.0522865707437057</v>
      </c>
      <c r="V69" s="133"/>
      <c r="W69" s="146"/>
      <c r="X69" s="143">
        <f>X61/((N_6*X$27*X68)*SQRT(X67*X63*X65))</f>
        <v>5.140668197717094</v>
      </c>
      <c r="Y69" s="133"/>
      <c r="Z69" s="146"/>
      <c r="AA69" s="143">
        <f>AA61/((N_6*AA$27*AA68)*SQRT(AA67*AA63*AA65))</f>
        <v>10.299691531575435</v>
      </c>
      <c r="AB69" s="133"/>
      <c r="AC69" s="146"/>
      <c r="AD69" s="143">
        <f>AD61/((N_6*AD$27*AD68)*SQRT(AD67*AD63*AD65))</f>
        <v>18.054989929589478</v>
      </c>
      <c r="AE69" s="133"/>
      <c r="AF69" s="146"/>
      <c r="AG69" s="143">
        <f>AG61/((N_6*AG$27*AG68)*SQRT(AG67*AG63*AG65))</f>
        <v>28.275933003159647</v>
      </c>
      <c r="AH69" s="133"/>
      <c r="AI69" s="146"/>
      <c r="AJ69" s="143">
        <f>AJ61/((N_6*AJ$27*AJ68)*SQRT(AJ67*AJ63*AJ65))</f>
        <v>41.831336705825677</v>
      </c>
      <c r="AK69" s="133"/>
      <c r="AL69" s="146"/>
      <c r="AM69" s="143">
        <f>AM61/((N_6*AM$27*AM68)*SQRT(AM67*AM63*AM65))</f>
        <v>59.821627930368521</v>
      </c>
      <c r="AN69" s="133"/>
      <c r="AO69" s="146"/>
      <c r="AP69" s="143">
        <f>AP61/((N_6*AP$27*AP68)*SQRT(AP67*AP63*AP65))</f>
        <v>82.328748543493248</v>
      </c>
      <c r="AQ69" s="133"/>
      <c r="AR69" s="146"/>
      <c r="AS69" s="143">
        <f>AS61/((N_6*AS$27*AS68)*SQRT(AS67*AS63*AS65))</f>
        <v>163.30163674065406</v>
      </c>
      <c r="AT69" s="133"/>
      <c r="AU69" s="146"/>
    </row>
    <row r="70" spans="1:47" ht="13" thickTop="1" x14ac:dyDescent="0.25">
      <c r="A70" s="169"/>
      <c r="B70" s="169"/>
      <c r="C70" s="169"/>
      <c r="D70" s="169"/>
      <c r="E70" s="169"/>
      <c r="F70" s="169"/>
      <c r="G70" s="169"/>
      <c r="H70" s="169"/>
      <c r="M70" s="27"/>
      <c r="N70" s="27"/>
      <c r="O70" s="2" t="s">
        <v>73</v>
      </c>
      <c r="P70" s="85">
        <v>5</v>
      </c>
      <c r="Q70" s="2"/>
      <c r="R70" s="179">
        <f>R61/((N_6*R$27*0.667)*SQRT(R71*R63*R65))</f>
        <v>5.0520626595486555E-2</v>
      </c>
      <c r="S70" s="133"/>
      <c r="T70" s="155"/>
      <c r="U70" s="143">
        <f>U61/((N_6*U$27*0.667)*SQRT(U71*U63*U65))</f>
        <v>2.0125756930814553</v>
      </c>
      <c r="V70" s="133"/>
      <c r="W70" s="155"/>
      <c r="X70" s="143">
        <f>X61/((N_6*X$27*0.667)*SQRT(X71*X63*X65))</f>
        <v>5.0486795113612128</v>
      </c>
      <c r="Y70" s="133"/>
      <c r="Z70" s="155"/>
      <c r="AA70" s="143">
        <f>AA61/((N_6*AA$27*0.667)*SQRT(AA71*AA63*AA65))</f>
        <v>10.112445147063299</v>
      </c>
      <c r="AB70" s="133"/>
      <c r="AC70" s="155"/>
      <c r="AD70" s="143">
        <f>AD61/((N_6*AD$27*0.667)*SQRT(AD71*AD63*AD65))</f>
        <v>17.695342411086923</v>
      </c>
      <c r="AE70" s="133"/>
      <c r="AF70" s="155"/>
      <c r="AG70" s="143">
        <f>AG61/((N_6*AG$27*0.667)*SQRT(AG71*AG63*AG65))</f>
        <v>27.651610695180459</v>
      </c>
      <c r="AH70" s="133"/>
      <c r="AI70" s="155"/>
      <c r="AJ70" s="143">
        <f>AJ61/((N_6*AJ$27*0.667)*SQRT(AJ71*AJ63*AJ65))</f>
        <v>40.621250369714481</v>
      </c>
      <c r="AK70" s="133"/>
      <c r="AL70" s="155"/>
      <c r="AM70" s="143">
        <f>AM61/((N_6*AM$27*0.667)*SQRT(AM71*AM63*AM65))</f>
        <v>57.492306641988037</v>
      </c>
      <c r="AN70" s="133"/>
      <c r="AO70" s="155"/>
      <c r="AP70" s="143">
        <f>AP61/((N_6*AP$27*0.667)*SQRT(AP71*AP63*AP65))</f>
        <v>71.909647102138663</v>
      </c>
      <c r="AQ70" s="133"/>
      <c r="AR70" s="155"/>
      <c r="AS70" s="143">
        <f>AS61/((N_6*AS$27*0.667)*SQRT(AS71*AS63*AS65))</f>
        <v>145.38679627775736</v>
      </c>
      <c r="AT70" s="133"/>
      <c r="AU70" s="155"/>
    </row>
    <row r="71" spans="1:47" ht="15.5" x14ac:dyDescent="0.4">
      <c r="A71" s="169"/>
      <c r="B71" s="169"/>
      <c r="C71" s="169"/>
      <c r="D71" s="169"/>
      <c r="E71" s="169"/>
      <c r="F71" s="169"/>
      <c r="G71" s="169"/>
      <c r="H71" s="169"/>
      <c r="M71" s="27"/>
      <c r="N71" s="27"/>
      <c r="O71" s="2" t="s">
        <v>192</v>
      </c>
      <c r="P71" s="85">
        <v>10</v>
      </c>
      <c r="Q71" s="2"/>
      <c r="R71" s="181">
        <f>F_GAMMA*R$29</f>
        <v>0.64002688015162901</v>
      </c>
      <c r="S71" s="133"/>
      <c r="T71" s="155"/>
      <c r="U71" s="138">
        <f>F_GAMMA*U$29</f>
        <v>0.64016782916606918</v>
      </c>
      <c r="V71" s="133"/>
      <c r="W71" s="155"/>
      <c r="X71" s="138">
        <f>F_GAMMA*X$29</f>
        <v>0.6307062319203669</v>
      </c>
      <c r="Y71" s="133"/>
      <c r="Z71" s="155"/>
      <c r="AA71" s="138">
        <f>F_GAMMA*AA$29</f>
        <v>0.62217534213893466</v>
      </c>
      <c r="AB71" s="133"/>
      <c r="AC71" s="155"/>
      <c r="AD71" s="138">
        <f>F_GAMMA*AD$29</f>
        <v>0.60557184969146072</v>
      </c>
      <c r="AE71" s="133"/>
      <c r="AF71" s="155"/>
      <c r="AG71" s="138">
        <f>F_GAMMA*AG$29</f>
        <v>0.57289312142622573</v>
      </c>
      <c r="AH71" s="133"/>
      <c r="AI71" s="155"/>
      <c r="AJ71" s="138">
        <f>F_GAMMA*AJ$29</f>
        <v>0.53590819116049981</v>
      </c>
      <c r="AK71" s="133"/>
      <c r="AL71" s="155"/>
      <c r="AM71" s="138">
        <f>F_GAMMA*AM$29</f>
        <v>0.49048815926850342</v>
      </c>
      <c r="AN71" s="133"/>
      <c r="AO71" s="155"/>
      <c r="AP71" s="138">
        <f>F_GAMMA*AP$29</f>
        <v>0.59352979016280105</v>
      </c>
      <c r="AQ71" s="133"/>
      <c r="AR71" s="155"/>
      <c r="AS71" s="138">
        <f>F_GAMMA*AS$29</f>
        <v>0.39097221161068291</v>
      </c>
      <c r="AT71" s="133"/>
      <c r="AU71" s="155"/>
    </row>
    <row r="72" spans="1:47" x14ac:dyDescent="0.25">
      <c r="A72" s="169"/>
      <c r="B72" s="169"/>
      <c r="C72" s="169"/>
      <c r="D72" s="169"/>
      <c r="E72" s="169"/>
      <c r="F72" s="169"/>
      <c r="G72" s="169"/>
      <c r="H72" s="169"/>
      <c r="M72" s="27"/>
      <c r="N72" s="27"/>
      <c r="O72" s="2" t="s">
        <v>193</v>
      </c>
      <c r="P72" s="134"/>
      <c r="Q72" s="2"/>
      <c r="R72" s="181">
        <f>IF(R67&lt;R71,R69,R70)</f>
        <v>5.1509193780776001E-2</v>
      </c>
      <c r="S72" s="133"/>
      <c r="T72" s="155"/>
      <c r="U72" s="138">
        <f>IF(U67&lt;U71,U69,U70)</f>
        <v>2.0522865707437057</v>
      </c>
      <c r="V72" s="133"/>
      <c r="W72" s="155"/>
      <c r="X72" s="138">
        <f>IF(X67&lt;X71,X69,X70)</f>
        <v>5.140668197717094</v>
      </c>
      <c r="Y72" s="133"/>
      <c r="Z72" s="155"/>
      <c r="AA72" s="138">
        <f>IF(AA67&lt;AA71,AA69,AA70)</f>
        <v>10.299691531575435</v>
      </c>
      <c r="AB72" s="133"/>
      <c r="AC72" s="155"/>
      <c r="AD72" s="138">
        <f>IF(AD67&lt;AD71,AD69,AD70)</f>
        <v>18.054989929589478</v>
      </c>
      <c r="AE72" s="133"/>
      <c r="AF72" s="155"/>
      <c r="AG72" s="138">
        <f>IF(AG67&lt;AG71,AG69,AG70)</f>
        <v>28.275933003159647</v>
      </c>
      <c r="AH72" s="133"/>
      <c r="AI72" s="155"/>
      <c r="AJ72" s="138">
        <f>IF(AJ67&lt;AJ71,AJ69,AJ70)</f>
        <v>41.831336705825677</v>
      </c>
      <c r="AK72" s="133"/>
      <c r="AL72" s="155"/>
      <c r="AM72" s="138">
        <f>IF(AM67&lt;AM71,AM69,AM70)</f>
        <v>59.821627930368521</v>
      </c>
      <c r="AN72" s="133"/>
      <c r="AO72" s="155"/>
      <c r="AP72" s="138">
        <f>IF(AP67&lt;AP71,AP69,AP70)</f>
        <v>82.328748543493248</v>
      </c>
      <c r="AQ72" s="133"/>
      <c r="AR72" s="155"/>
      <c r="AS72" s="138">
        <f>IF(AS67&lt;AS71,AS69,AS70)</f>
        <v>163.30163674065406</v>
      </c>
      <c r="AT72" s="133"/>
      <c r="AU72" s="155"/>
    </row>
    <row r="73" spans="1:47" ht="13" x14ac:dyDescent="0.3">
      <c r="A73" s="169"/>
      <c r="B73" s="169"/>
      <c r="C73" s="169"/>
      <c r="D73" s="169"/>
      <c r="E73" s="169"/>
      <c r="F73" s="169"/>
      <c r="G73" s="169"/>
      <c r="H73" s="169"/>
      <c r="M73" s="28"/>
      <c r="N73" s="28"/>
      <c r="O73" s="9" t="s">
        <v>194</v>
      </c>
      <c r="P73" s="1"/>
      <c r="Q73" s="1"/>
      <c r="R73" s="135"/>
      <c r="S73" s="132">
        <f>IF(R66&lt;=0,W_max,ABS(R$23-R72))</f>
        <v>1.9484908062192241</v>
      </c>
      <c r="T73" s="151">
        <f>R61</f>
        <v>11.91258</v>
      </c>
      <c r="U73" s="135"/>
      <c r="V73" s="132">
        <f>IF(U66&lt;=0,W_max,ABS(U$23-U72))</f>
        <v>2.9477134292562943</v>
      </c>
      <c r="W73" s="151">
        <f>U61</f>
        <v>473.89306552826514</v>
      </c>
      <c r="X73" s="135"/>
      <c r="Y73" s="132">
        <f>IF(X66&lt;=0,W_max,ABS(X$23-X72))</f>
        <v>4.859331802282906</v>
      </c>
      <c r="Z73" s="151">
        <f>X61</f>
        <v>1171.9939449872631</v>
      </c>
      <c r="AA73" s="135"/>
      <c r="AB73" s="132">
        <f>IF(AA66&lt;=0,W_max,ABS(AA$23-AA72))</f>
        <v>6.9003084684245639</v>
      </c>
      <c r="AC73" s="151">
        <f>AA61</f>
        <v>2282.7450587562626</v>
      </c>
      <c r="AD73" s="135"/>
      <c r="AE73" s="132">
        <f>IF(AD66&lt;=0,W_max,ABS(AD$23-AD72))</f>
        <v>8.5450100704105232</v>
      </c>
      <c r="AF73" s="151">
        <f>AD61</f>
        <v>3754.2751647874334</v>
      </c>
      <c r="AG73" s="135"/>
      <c r="AH73" s="132">
        <f>IF(AG66&lt;=0,W_max,ABS(AG$23-AG72))</f>
        <v>10.124066996840352</v>
      </c>
      <c r="AI73" s="151">
        <f>AG61</f>
        <v>5265.6599458788351</v>
      </c>
      <c r="AJ73" s="135"/>
      <c r="AK73" s="132">
        <f>IF(AJ66&lt;=0,W_max,ABS(AJ$23-AJ72))</f>
        <v>10.668663294174323</v>
      </c>
      <c r="AL73" s="151">
        <f>AJ61</f>
        <v>6685.9908806690419</v>
      </c>
      <c r="AM73" s="135"/>
      <c r="AN73" s="132">
        <f>IF(AM66&lt;=0,W_max,ABS(AM$23-AM72))</f>
        <v>12.578372069631484</v>
      </c>
      <c r="AO73" s="151">
        <f>AM61</f>
        <v>7839.8501268271111</v>
      </c>
      <c r="AP73" s="135"/>
      <c r="AQ73" s="132">
        <f>IF(AP66&lt;=0,W_max,ABS(AP$23-AP72))</f>
        <v>25.671251456506752</v>
      </c>
      <c r="AR73" s="151">
        <f>AP61</f>
        <v>8746.6726291010746</v>
      </c>
      <c r="AS73" s="135"/>
      <c r="AT73" s="132">
        <f>IF(AS66&lt;=0,W_max,ABS(AS$23-AS72))</f>
        <v>16.698363259345939</v>
      </c>
      <c r="AU73" s="151">
        <f>AS61</f>
        <v>9758.3857909319759</v>
      </c>
    </row>
    <row r="74" spans="1:47" ht="13" x14ac:dyDescent="0.25">
      <c r="A74" s="169"/>
      <c r="B74" s="169"/>
      <c r="C74" s="169"/>
      <c r="D74" s="169"/>
      <c r="E74" s="169"/>
      <c r="F74" s="169"/>
      <c r="G74" s="169"/>
      <c r="H74" s="169"/>
      <c r="M74" s="12"/>
      <c r="N74" s="12"/>
      <c r="O74" s="2"/>
      <c r="P74" s="85"/>
      <c r="Q74" s="2"/>
      <c r="R74" s="18"/>
      <c r="S74" s="150"/>
      <c r="T74" s="148"/>
      <c r="U74" s="157"/>
      <c r="V74" s="1"/>
      <c r="W74" s="147"/>
      <c r="X74" s="157"/>
      <c r="Y74" s="1"/>
      <c r="Z74" s="147"/>
      <c r="AA74" s="157"/>
      <c r="AB74" s="1"/>
      <c r="AC74" s="147"/>
      <c r="AD74" s="157"/>
      <c r="AE74" s="1"/>
      <c r="AF74" s="147"/>
      <c r="AG74" s="157"/>
      <c r="AH74" s="1"/>
      <c r="AI74" s="147"/>
      <c r="AJ74" s="157"/>
      <c r="AK74" s="1"/>
      <c r="AL74" s="147"/>
      <c r="AM74" s="157"/>
      <c r="AN74" s="1"/>
      <c r="AO74" s="147"/>
      <c r="AP74" s="157"/>
      <c r="AQ74" s="1"/>
      <c r="AR74" s="147"/>
      <c r="AS74" s="157"/>
      <c r="AT74" s="1"/>
      <c r="AU74" s="147"/>
    </row>
    <row r="75" spans="1:47" ht="14" x14ac:dyDescent="0.3">
      <c r="A75" s="169"/>
      <c r="B75" s="169"/>
      <c r="C75" s="169"/>
      <c r="D75" s="169"/>
      <c r="E75" s="169"/>
      <c r="F75" s="169"/>
      <c r="G75" s="169"/>
      <c r="H75" s="169"/>
      <c r="M75" s="23"/>
      <c r="N75" s="23"/>
      <c r="O75" s="23" t="s">
        <v>238</v>
      </c>
      <c r="P75" s="20"/>
      <c r="Q75" s="20"/>
      <c r="R75" s="181">
        <f>R61*1.02</f>
        <v>12.1508316</v>
      </c>
      <c r="S75" s="128" t="s">
        <v>185</v>
      </c>
      <c r="T75" s="149" t="s">
        <v>186</v>
      </c>
      <c r="U75" s="143">
        <f>U61*1.01</f>
        <v>478.63199618354781</v>
      </c>
      <c r="V75" s="128" t="s">
        <v>185</v>
      </c>
      <c r="W75" s="153" t="s">
        <v>186</v>
      </c>
      <c r="X75" s="143">
        <f>X61*1.01</f>
        <v>1183.7138844371359</v>
      </c>
      <c r="Y75" s="128" t="s">
        <v>185</v>
      </c>
      <c r="Z75" s="153" t="s">
        <v>186</v>
      </c>
      <c r="AA75" s="143">
        <f>AA61*1.01</f>
        <v>2305.572509343825</v>
      </c>
      <c r="AB75" s="128" t="s">
        <v>185</v>
      </c>
      <c r="AC75" s="153" t="s">
        <v>186</v>
      </c>
      <c r="AD75" s="143">
        <f>AD61*1.01</f>
        <v>3791.8179164353078</v>
      </c>
      <c r="AE75" s="128" t="s">
        <v>185</v>
      </c>
      <c r="AF75" s="153" t="s">
        <v>186</v>
      </c>
      <c r="AG75" s="143">
        <f>AG61*1.01</f>
        <v>5318.3165453376232</v>
      </c>
      <c r="AH75" s="128" t="s">
        <v>185</v>
      </c>
      <c r="AI75" s="153" t="s">
        <v>186</v>
      </c>
      <c r="AJ75" s="143">
        <f>AJ61*1.01</f>
        <v>6752.8507894757322</v>
      </c>
      <c r="AK75" s="128" t="s">
        <v>185</v>
      </c>
      <c r="AL75" s="153" t="s">
        <v>186</v>
      </c>
      <c r="AM75" s="143">
        <f>AM61*1.01</f>
        <v>7918.2486280953826</v>
      </c>
      <c r="AN75" s="128" t="s">
        <v>185</v>
      </c>
      <c r="AO75" s="153" t="s">
        <v>186</v>
      </c>
      <c r="AP75" s="143">
        <f>AP61*1.01</f>
        <v>8834.1393553920861</v>
      </c>
      <c r="AQ75" s="128" t="s">
        <v>185</v>
      </c>
      <c r="AR75" s="153" t="s">
        <v>186</v>
      </c>
      <c r="AS75" s="143">
        <f>AS61*1.01</f>
        <v>9855.9696488412956</v>
      </c>
      <c r="AT75" s="128" t="s">
        <v>185</v>
      </c>
      <c r="AU75" s="153" t="s">
        <v>186</v>
      </c>
    </row>
    <row r="76" spans="1:47" ht="14" x14ac:dyDescent="0.3">
      <c r="M76" s="12"/>
      <c r="N76" s="12"/>
      <c r="O76" s="20"/>
      <c r="P76" s="20"/>
      <c r="Q76" s="23"/>
      <c r="R76" s="139"/>
      <c r="S76" s="130" t="s">
        <v>228</v>
      </c>
      <c r="T76" s="131" t="s">
        <v>187</v>
      </c>
      <c r="U76" s="144"/>
      <c r="V76" s="130" t="s">
        <v>228</v>
      </c>
      <c r="W76" s="154" t="s">
        <v>187</v>
      </c>
      <c r="X76" s="144"/>
      <c r="Y76" s="130" t="s">
        <v>228</v>
      </c>
      <c r="Z76" s="154" t="s">
        <v>187</v>
      </c>
      <c r="AA76" s="144"/>
      <c r="AB76" s="130" t="s">
        <v>228</v>
      </c>
      <c r="AC76" s="154" t="s">
        <v>187</v>
      </c>
      <c r="AD76" s="144"/>
      <c r="AE76" s="130" t="s">
        <v>228</v>
      </c>
      <c r="AF76" s="154" t="s">
        <v>187</v>
      </c>
      <c r="AG76" s="144"/>
      <c r="AH76" s="130" t="s">
        <v>228</v>
      </c>
      <c r="AI76" s="154" t="s">
        <v>187</v>
      </c>
      <c r="AJ76" s="144"/>
      <c r="AK76" s="130" t="s">
        <v>228</v>
      </c>
      <c r="AL76" s="154" t="s">
        <v>187</v>
      </c>
      <c r="AM76" s="144"/>
      <c r="AN76" s="130" t="s">
        <v>228</v>
      </c>
      <c r="AO76" s="154" t="s">
        <v>187</v>
      </c>
      <c r="AP76" s="144"/>
      <c r="AQ76" s="130" t="s">
        <v>228</v>
      </c>
      <c r="AR76" s="154" t="s">
        <v>187</v>
      </c>
      <c r="AS76" s="144"/>
      <c r="AT76" s="130" t="s">
        <v>228</v>
      </c>
      <c r="AU76" s="154" t="s">
        <v>187</v>
      </c>
    </row>
    <row r="77" spans="1:47" x14ac:dyDescent="0.25">
      <c r="M77" s="20"/>
      <c r="N77" s="20"/>
      <c r="O77" s="7" t="s">
        <v>188</v>
      </c>
      <c r="P77" s="7"/>
      <c r="Q77" s="7"/>
      <c r="R77" s="181">
        <f>P_1_minW-(R75^2*R_up)+dpup_minQ</f>
        <v>100.52272786244912</v>
      </c>
      <c r="S77" s="132"/>
      <c r="T77" s="145"/>
      <c r="U77" s="138">
        <f>P_1_minW-(U75^2*R_up)+dpup_minQ</f>
        <v>100.43143495074099</v>
      </c>
      <c r="V77" s="132"/>
      <c r="W77" s="145"/>
      <c r="X77" s="138">
        <f>P_1_minW-(X75^2*R_up)+dpup_minQ</f>
        <v>99.964050200761932</v>
      </c>
      <c r="Y77" s="132"/>
      <c r="Z77" s="145"/>
      <c r="AA77" s="138">
        <f>P_1_minW-(AA75^2*R_up)+dpup_minQ</f>
        <v>98.403102560151879</v>
      </c>
      <c r="AB77" s="132"/>
      <c r="AC77" s="145"/>
      <c r="AD77" s="138">
        <f>P_1_minW-(AD75^2*R_up)+dpup_minQ</f>
        <v>94.789435661921104</v>
      </c>
      <c r="AE77" s="132"/>
      <c r="AF77" s="145"/>
      <c r="AG77" s="138">
        <f>P_1_minW-(AG75^2*R_up)+dpup_minQ</f>
        <v>89.244011209748734</v>
      </c>
      <c r="AH77" s="132"/>
      <c r="AI77" s="145"/>
      <c r="AJ77" s="138">
        <f>P_1_minW-(AJ75^2*R_up)+dpup_minQ</f>
        <v>82.338850707806046</v>
      </c>
      <c r="AK77" s="132"/>
      <c r="AL77" s="145"/>
      <c r="AM77" s="138">
        <f>P_1_minW-(AM75^2*R_up)+dpup_minQ</f>
        <v>75.520953394756447</v>
      </c>
      <c r="AN77" s="132"/>
      <c r="AO77" s="145"/>
      <c r="AP77" s="138">
        <f>P_1_minW-(AP75^2*R_up)+dpup_minQ</f>
        <v>69.402608253126957</v>
      </c>
      <c r="AQ77" s="132"/>
      <c r="AR77" s="145"/>
      <c r="AS77" s="138">
        <f>P_1_minW-(AS75^2*R_up)+dpup_minQ</f>
        <v>61.78700701991071</v>
      </c>
      <c r="AT77" s="132"/>
      <c r="AU77" s="145"/>
    </row>
    <row r="78" spans="1:47" x14ac:dyDescent="0.25">
      <c r="M78" s="20"/>
      <c r="N78" s="20"/>
      <c r="O78" s="7" t="s">
        <v>189</v>
      </c>
      <c r="P78" s="1"/>
      <c r="Q78" s="7"/>
      <c r="R78" s="181">
        <f>P_2_minW+(R75^2*R_dn)-dpdn_minQ</f>
        <v>50</v>
      </c>
      <c r="S78" s="132"/>
      <c r="T78" s="146"/>
      <c r="U78" s="138">
        <f>P_2_minW+(U75^2*R_dn)-dpdn_minQ</f>
        <v>50</v>
      </c>
      <c r="V78" s="132"/>
      <c r="W78" s="146"/>
      <c r="X78" s="138">
        <f>P_2_minW+(X75^2*R_dn)-dpdn_minQ</f>
        <v>50</v>
      </c>
      <c r="Y78" s="132"/>
      <c r="Z78" s="146"/>
      <c r="AA78" s="138">
        <f>P_2_minW+(AA75^2*R_dn)-dpdn_minQ</f>
        <v>50</v>
      </c>
      <c r="AB78" s="132"/>
      <c r="AC78" s="146"/>
      <c r="AD78" s="138">
        <f>P_2_minW+(AD75^2*R_dn)-dpdn_minQ</f>
        <v>50</v>
      </c>
      <c r="AE78" s="132"/>
      <c r="AF78" s="146"/>
      <c r="AG78" s="138">
        <f>P_2_minW+(AG75^2*R_dn)-dpdn_minQ</f>
        <v>50</v>
      </c>
      <c r="AH78" s="132"/>
      <c r="AI78" s="146"/>
      <c r="AJ78" s="138">
        <f>P_2_minW+(AJ75^2*R_dn)-dpdn_minQ</f>
        <v>50</v>
      </c>
      <c r="AK78" s="132"/>
      <c r="AL78" s="146"/>
      <c r="AM78" s="138">
        <f>P_2_minW+(AM75^2*R_dn)-dpdn_minQ</f>
        <v>50</v>
      </c>
      <c r="AN78" s="132"/>
      <c r="AO78" s="146"/>
      <c r="AP78" s="138">
        <f>P_2_minW+(AP75^2*R_dn)-dpdn_minQ</f>
        <v>50</v>
      </c>
      <c r="AQ78" s="132"/>
      <c r="AR78" s="146"/>
      <c r="AS78" s="138">
        <f>P_2_minW+(AS75^2*R_dn)-dpdn_minQ</f>
        <v>50</v>
      </c>
      <c r="AT78" s="132"/>
      <c r="AU78" s="146"/>
    </row>
    <row r="79" spans="1:47" x14ac:dyDescent="0.25">
      <c r="M79" s="20"/>
      <c r="N79" s="20"/>
      <c r="O79" s="7" t="s">
        <v>234</v>
      </c>
      <c r="P79" s="1"/>
      <c r="Q79" s="7"/>
      <c r="R79" s="179">
        <f>'Valve Sizing'!G$8*R77/P_1_maxW</f>
        <v>0.48490374223985777</v>
      </c>
      <c r="S79" s="132"/>
      <c r="T79" s="146"/>
      <c r="U79" s="143">
        <f>'Valve Sizing'!$G$8*U77/P_1_maxW</f>
        <v>0.48446336148747882</v>
      </c>
      <c r="V79" s="132"/>
      <c r="W79" s="146"/>
      <c r="X79" s="143">
        <f>'Valve Sizing'!$G$8*X77/P_1_maxW</f>
        <v>0.48220878066630568</v>
      </c>
      <c r="Y79" s="132"/>
      <c r="Z79" s="146"/>
      <c r="AA79" s="143">
        <f>'Valve Sizing'!$G$8*AA77/P_1_maxW</f>
        <v>0.4746790471576009</v>
      </c>
      <c r="AB79" s="132"/>
      <c r="AC79" s="146"/>
      <c r="AD79" s="143">
        <f>'Valve Sizing'!$G$8*AD77/P_1_maxW</f>
        <v>0.45724736141427186</v>
      </c>
      <c r="AE79" s="132"/>
      <c r="AF79" s="146"/>
      <c r="AG79" s="143">
        <f>'Valve Sizing'!$G$8*AG77/P_1_maxW</f>
        <v>0.43049722115896272</v>
      </c>
      <c r="AH79" s="132"/>
      <c r="AI79" s="146"/>
      <c r="AJ79" s="143">
        <f>'Valve Sizing'!$G$8*AJ77/P_1_maxW</f>
        <v>0.39718795628564385</v>
      </c>
      <c r="AK79" s="132"/>
      <c r="AL79" s="146"/>
      <c r="AM79" s="143">
        <f>'Valve Sizing'!$G$8*AM77/P_1_maxW</f>
        <v>0.36429963349929206</v>
      </c>
      <c r="AN79" s="132"/>
      <c r="AO79" s="146"/>
      <c r="AP79" s="143">
        <f>'Valve Sizing'!$G$8*AP77/P_1_maxW</f>
        <v>0.33478582584028344</v>
      </c>
      <c r="AQ79" s="132"/>
      <c r="AR79" s="146"/>
      <c r="AS79" s="143">
        <f>'Valve Sizing'!$G$8*AS77/P_1_maxW</f>
        <v>0.29804952136547708</v>
      </c>
      <c r="AT79" s="132"/>
      <c r="AU79" s="146"/>
    </row>
    <row r="80" spans="1:47" x14ac:dyDescent="0.25">
      <c r="M80" s="20"/>
      <c r="N80" s="20"/>
      <c r="O80" s="7" t="s">
        <v>190</v>
      </c>
      <c r="P80" s="1"/>
      <c r="Q80" s="7"/>
      <c r="R80" s="181">
        <f>R77-R78</f>
        <v>50.522727862449116</v>
      </c>
      <c r="S80" s="132"/>
      <c r="T80" s="146"/>
      <c r="U80" s="138">
        <f>U77-U78</f>
        <v>50.431434950740993</v>
      </c>
      <c r="V80" s="132"/>
      <c r="W80" s="146"/>
      <c r="X80" s="138">
        <f>X77-X78</f>
        <v>49.964050200761932</v>
      </c>
      <c r="Y80" s="132"/>
      <c r="Z80" s="146"/>
      <c r="AA80" s="138">
        <f>AA77-AA78</f>
        <v>48.403102560151879</v>
      </c>
      <c r="AB80" s="132"/>
      <c r="AC80" s="146"/>
      <c r="AD80" s="138">
        <f>AD77-AD78</f>
        <v>44.789435661921104</v>
      </c>
      <c r="AE80" s="132"/>
      <c r="AF80" s="146"/>
      <c r="AG80" s="138">
        <f>AG77-AG78</f>
        <v>39.244011209748734</v>
      </c>
      <c r="AH80" s="132"/>
      <c r="AI80" s="146"/>
      <c r="AJ80" s="138">
        <f>AJ77-AJ78</f>
        <v>32.338850707806046</v>
      </c>
      <c r="AK80" s="132"/>
      <c r="AL80" s="146"/>
      <c r="AM80" s="138">
        <f>AM77-AM78</f>
        <v>25.520953394756447</v>
      </c>
      <c r="AN80" s="132"/>
      <c r="AO80" s="146"/>
      <c r="AP80" s="138">
        <f>AP77-AP78</f>
        <v>19.402608253126957</v>
      </c>
      <c r="AQ80" s="132"/>
      <c r="AR80" s="146"/>
      <c r="AS80" s="138">
        <f>AS77-AS78</f>
        <v>11.78700701991071</v>
      </c>
      <c r="AT80" s="132"/>
      <c r="AU80" s="146"/>
    </row>
    <row r="81" spans="13:47" ht="14.5" x14ac:dyDescent="0.35">
      <c r="M81" s="27"/>
      <c r="N81" s="27"/>
      <c r="O81" s="2" t="s">
        <v>191</v>
      </c>
      <c r="P81" s="10"/>
      <c r="Q81" s="2"/>
      <c r="R81" s="181">
        <f>R80/R77</f>
        <v>0.50260004813620052</v>
      </c>
      <c r="S81" s="132"/>
      <c r="T81" s="146"/>
      <c r="U81" s="138">
        <f>U80/U77</f>
        <v>0.50214790792819297</v>
      </c>
      <c r="V81" s="132"/>
      <c r="W81" s="146"/>
      <c r="X81" s="138">
        <f>X80/X77</f>
        <v>0.49982018636116748</v>
      </c>
      <c r="Y81" s="132"/>
      <c r="Z81" s="146"/>
      <c r="AA81" s="138">
        <f>AA80/AA77</f>
        <v>0.49188593957760646</v>
      </c>
      <c r="AB81" s="132"/>
      <c r="AC81" s="146"/>
      <c r="AD81" s="138">
        <f>AD80/AD77</f>
        <v>0.47251505770820784</v>
      </c>
      <c r="AE81" s="132"/>
      <c r="AF81" s="146"/>
      <c r="AG81" s="138">
        <f>AG80/AG77</f>
        <v>0.43973831608167163</v>
      </c>
      <c r="AH81" s="132"/>
      <c r="AI81" s="146"/>
      <c r="AJ81" s="138">
        <f>AJ80/AJ77</f>
        <v>0.39275324381884036</v>
      </c>
      <c r="AK81" s="132"/>
      <c r="AL81" s="146"/>
      <c r="AM81" s="138">
        <f>AM80/AM77</f>
        <v>0.33793208702431993</v>
      </c>
      <c r="AN81" s="132"/>
      <c r="AO81" s="146"/>
      <c r="AP81" s="138">
        <f>AP80/AP77</f>
        <v>0.27956598089745088</v>
      </c>
      <c r="AQ81" s="132"/>
      <c r="AR81" s="146"/>
      <c r="AS81" s="138">
        <f>AS80/AS77</f>
        <v>0.19076837653120787</v>
      </c>
      <c r="AT81" s="132"/>
      <c r="AU81" s="146"/>
    </row>
    <row r="82" spans="13:47" x14ac:dyDescent="0.25">
      <c r="M82" s="27"/>
      <c r="N82" s="27"/>
      <c r="O82" s="2" t="s">
        <v>26</v>
      </c>
      <c r="P82" s="7">
        <v>12</v>
      </c>
      <c r="Q82" s="2"/>
      <c r="R82" s="181">
        <f>1-R81/(3*F_GAMMA*R$29)</f>
        <v>0.73824013557205115</v>
      </c>
      <c r="S82" s="133"/>
      <c r="T82" s="146"/>
      <c r="U82" s="138">
        <f>1-U81/(3*F_GAMMA*U$29)</f>
        <v>0.73853319653049487</v>
      </c>
      <c r="V82" s="133"/>
      <c r="W82" s="146"/>
      <c r="X82" s="138">
        <f>1-X81/(3*F_GAMMA*X$29)</f>
        <v>0.73584099798764691</v>
      </c>
      <c r="Y82" s="133"/>
      <c r="Z82" s="146"/>
      <c r="AA82" s="138">
        <f>1-AA81/(3*F_GAMMA*AA$29)</f>
        <v>0.7364698200743085</v>
      </c>
      <c r="AB82" s="133"/>
      <c r="AC82" s="146"/>
      <c r="AD82" s="138">
        <f>1-AD81/(3*F_GAMMA*AD$29)</f>
        <v>0.73990696675164447</v>
      </c>
      <c r="AE82" s="133"/>
      <c r="AF82" s="146"/>
      <c r="AG82" s="138">
        <f>1-AG81/(3*F_GAMMA*AG$29)</f>
        <v>0.74414173741695677</v>
      </c>
      <c r="AH82" s="133"/>
      <c r="AI82" s="146"/>
      <c r="AJ82" s="138">
        <f>1-AJ81/(3*F_GAMMA*AJ$29)</f>
        <v>0.75570862677781925</v>
      </c>
      <c r="AK82" s="133"/>
      <c r="AL82" s="146"/>
      <c r="AM82" s="138">
        <f>1-AM81/(3*F_GAMMA*AM$29)</f>
        <v>0.77034302076506811</v>
      </c>
      <c r="AN82" s="133"/>
      <c r="AO82" s="146"/>
      <c r="AP82" s="138">
        <f>1-AP81/(3*F_GAMMA*AP$29)</f>
        <v>0.8429924464725026</v>
      </c>
      <c r="AQ82" s="133"/>
      <c r="AR82" s="146"/>
      <c r="AS82" s="138">
        <f>1-AS81/(3*F_GAMMA*AS$29)</f>
        <v>0.83735555378279358</v>
      </c>
      <c r="AT82" s="133"/>
      <c r="AU82" s="146"/>
    </row>
    <row r="83" spans="13:47" x14ac:dyDescent="0.25">
      <c r="M83" s="27"/>
      <c r="N83" s="27"/>
      <c r="O83" s="2" t="s">
        <v>71</v>
      </c>
      <c r="P83" s="85">
        <v>5</v>
      </c>
      <c r="Q83" s="2"/>
      <c r="R83" s="179">
        <f>R75/((N_6*R$27*R82)*SQRT(R81*R77*R79))</f>
        <v>5.2539379023251072E-2</v>
      </c>
      <c r="S83" s="133"/>
      <c r="T83" s="146"/>
      <c r="U83" s="143">
        <f>U75/((N_6*U$27*U82)*SQRT(U81*U77*U79))</f>
        <v>2.0728519625751614</v>
      </c>
      <c r="V83" s="133"/>
      <c r="W83" s="146"/>
      <c r="X83" s="143">
        <f>X75/((N_6*X$27*X82)*SQRT(X81*X77*X79))</f>
        <v>5.1927273684915241</v>
      </c>
      <c r="Y83" s="133"/>
      <c r="Z83" s="146"/>
      <c r="AA83" s="143">
        <f>AA75/((N_6*AA$27*AA82)*SQRT(AA81*AA77*AA79))</f>
        <v>10.407751589615311</v>
      </c>
      <c r="AB83" s="133"/>
      <c r="AC83" s="146"/>
      <c r="AD83" s="143">
        <f>AD75/((N_6*AD$27*AD82)*SQRT(AD81*AD77*AD79))</f>
        <v>18.260865474017088</v>
      </c>
      <c r="AE83" s="133"/>
      <c r="AF83" s="146"/>
      <c r="AG83" s="143">
        <f>AG75/((N_6*AG$27*AG82)*SQRT(AG81*AG77*AG79))</f>
        <v>28.643874858814545</v>
      </c>
      <c r="AH83" s="133"/>
      <c r="AI83" s="146"/>
      <c r="AJ83" s="143">
        <f>AJ75/((N_6*AJ$27*AJ82)*SQRT(AJ81*AJ77*AJ79))</f>
        <v>42.483192336255506</v>
      </c>
      <c r="AK83" s="133"/>
      <c r="AL83" s="146"/>
      <c r="AM83" s="143">
        <f>AM75/((N_6*AM$27*AM82)*SQRT(AM81*AM77*AM79))</f>
        <v>60.967180019062113</v>
      </c>
      <c r="AN83" s="133"/>
      <c r="AO83" s="146"/>
      <c r="AP83" s="143">
        <f>AP75/((N_6*AP$27*AP82)*SQRT(AP81*AP77*AP79))</f>
        <v>84.471467001745793</v>
      </c>
      <c r="AQ83" s="133"/>
      <c r="AR83" s="146"/>
      <c r="AS83" s="143">
        <f>AS75/((N_6*AS$27*AS82)*SQRT(AS81*AS77*AS79))</f>
        <v>169.51726946821347</v>
      </c>
      <c r="AT83" s="133"/>
      <c r="AU83" s="146"/>
    </row>
    <row r="84" spans="13:47" x14ac:dyDescent="0.25">
      <c r="M84" s="27"/>
      <c r="N84" s="27"/>
      <c r="O84" s="2" t="s">
        <v>73</v>
      </c>
      <c r="P84" s="85">
        <v>5</v>
      </c>
      <c r="Q84" s="2"/>
      <c r="R84" s="179">
        <f>R75/((N_6*R$27*0.667)*SQRT(R85*R77*R79))</f>
        <v>5.153104029935212E-2</v>
      </c>
      <c r="S84" s="133"/>
      <c r="T84" s="147"/>
      <c r="U84" s="143">
        <f>U75/((N_6*U$27*0.667)*SQRT(U85*U77*U79))</f>
        <v>2.0327378812797843</v>
      </c>
      <c r="V84" s="133"/>
      <c r="W84" s="155"/>
      <c r="X84" s="143">
        <f>X75/((N_6*X$27*0.667)*SQRT(X85*X77*X79))</f>
        <v>5.0997278917517006</v>
      </c>
      <c r="Y84" s="133"/>
      <c r="Z84" s="155"/>
      <c r="AA84" s="143">
        <f>AA75/((N_6*AA$27*0.667)*SQRT(AA85*AA77*AA79))</f>
        <v>10.217904639728363</v>
      </c>
      <c r="AB84" s="133"/>
      <c r="AC84" s="155"/>
      <c r="AD84" s="143">
        <f>AD75/((N_6*AD$27*0.667)*SQRT(AD85*AD77*AD79))</f>
        <v>17.8935959651396</v>
      </c>
      <c r="AE84" s="133"/>
      <c r="AF84" s="155"/>
      <c r="AG84" s="143">
        <f>AG75/((N_6*AG$27*0.667)*SQRT(AG85*AG77*AG79))</f>
        <v>27.997673736129272</v>
      </c>
      <c r="AH84" s="133"/>
      <c r="AI84" s="155"/>
      <c r="AJ84" s="143">
        <f>AJ75/((N_6*AJ$27*0.667)*SQRT(AJ85*AJ77*AJ79))</f>
        <v>41.205992815903961</v>
      </c>
      <c r="AK84" s="133"/>
      <c r="AL84" s="155"/>
      <c r="AM84" s="143">
        <f>AM75/((N_6*AM$27*0.667)*SQRT(AM85*AM77*AM79))</f>
        <v>58.446011251418746</v>
      </c>
      <c r="AN84" s="133"/>
      <c r="AO84" s="155"/>
      <c r="AP84" s="143">
        <f>AP75/((N_6*AP$27*0.667)*SQRT(AP85*AP77*AP79))</f>
        <v>73.27043779402787</v>
      </c>
      <c r="AQ84" s="133"/>
      <c r="AR84" s="155"/>
      <c r="AS84" s="143">
        <f>AS75/((N_6*AS$27*0.667)*SQRT(AS85*AS77*AS79))</f>
        <v>148.65457031096852</v>
      </c>
      <c r="AT84" s="133"/>
      <c r="AU84" s="155"/>
    </row>
    <row r="85" spans="13:47" ht="15.5" x14ac:dyDescent="0.4">
      <c r="M85" s="27"/>
      <c r="N85" s="27"/>
      <c r="O85" s="2" t="s">
        <v>192</v>
      </c>
      <c r="P85" s="85">
        <v>10</v>
      </c>
      <c r="Q85" s="2"/>
      <c r="R85" s="181">
        <f>F_GAMMA*R$29</f>
        <v>0.64002688015162901</v>
      </c>
      <c r="S85" s="133"/>
      <c r="T85" s="147"/>
      <c r="U85" s="138">
        <f>F_GAMMA*U$29</f>
        <v>0.64016782916606918</v>
      </c>
      <c r="V85" s="133"/>
      <c r="W85" s="155"/>
      <c r="X85" s="138">
        <f>F_GAMMA*X$29</f>
        <v>0.6307062319203669</v>
      </c>
      <c r="Y85" s="133"/>
      <c r="Z85" s="155"/>
      <c r="AA85" s="138">
        <f>F_GAMMA*AA$29</f>
        <v>0.62217534213893466</v>
      </c>
      <c r="AB85" s="133"/>
      <c r="AC85" s="155"/>
      <c r="AD85" s="138">
        <f>F_GAMMA*AD$29</f>
        <v>0.60557184969146072</v>
      </c>
      <c r="AE85" s="133"/>
      <c r="AF85" s="155"/>
      <c r="AG85" s="138">
        <f>F_GAMMA*AG$29</f>
        <v>0.57289312142622573</v>
      </c>
      <c r="AH85" s="133"/>
      <c r="AI85" s="155"/>
      <c r="AJ85" s="138">
        <f>F_GAMMA*AJ$29</f>
        <v>0.53590819116049981</v>
      </c>
      <c r="AK85" s="133"/>
      <c r="AL85" s="155"/>
      <c r="AM85" s="138">
        <f>F_GAMMA*AM$29</f>
        <v>0.49048815926850342</v>
      </c>
      <c r="AN85" s="133"/>
      <c r="AO85" s="155"/>
      <c r="AP85" s="138">
        <f>F_GAMMA*AP$29</f>
        <v>0.59352979016280105</v>
      </c>
      <c r="AQ85" s="133"/>
      <c r="AR85" s="155"/>
      <c r="AS85" s="138">
        <f>F_GAMMA*AS$29</f>
        <v>0.39097221161068291</v>
      </c>
      <c r="AT85" s="133"/>
      <c r="AU85" s="155"/>
    </row>
    <row r="86" spans="13:47" x14ac:dyDescent="0.25">
      <c r="M86" s="27"/>
      <c r="N86" s="27"/>
      <c r="O86" s="2" t="s">
        <v>193</v>
      </c>
      <c r="P86" s="134"/>
      <c r="Q86" s="2"/>
      <c r="R86" s="181">
        <f>IF(R81&lt;R85,R83,R84)</f>
        <v>5.2539379023251072E-2</v>
      </c>
      <c r="S86" s="133"/>
      <c r="T86" s="147"/>
      <c r="U86" s="138">
        <f>IF(U81&lt;U85,U83,U84)</f>
        <v>2.0728519625751614</v>
      </c>
      <c r="V86" s="133"/>
      <c r="W86" s="155"/>
      <c r="X86" s="138">
        <f>IF(X81&lt;X85,X83,X84)</f>
        <v>5.1927273684915241</v>
      </c>
      <c r="Y86" s="133"/>
      <c r="Z86" s="155"/>
      <c r="AA86" s="138">
        <f>IF(AA81&lt;AA85,AA83,AA84)</f>
        <v>10.407751589615311</v>
      </c>
      <c r="AB86" s="133"/>
      <c r="AC86" s="155"/>
      <c r="AD86" s="138">
        <f>IF(AD81&lt;AD85,AD83,AD84)</f>
        <v>18.260865474017088</v>
      </c>
      <c r="AE86" s="133"/>
      <c r="AF86" s="155"/>
      <c r="AG86" s="138">
        <f>IF(AG81&lt;AG85,AG83,AG84)</f>
        <v>28.643874858814545</v>
      </c>
      <c r="AH86" s="133"/>
      <c r="AI86" s="155"/>
      <c r="AJ86" s="138">
        <f>IF(AJ81&lt;AJ85,AJ83,AJ84)</f>
        <v>42.483192336255506</v>
      </c>
      <c r="AK86" s="133"/>
      <c r="AL86" s="155"/>
      <c r="AM86" s="138">
        <f>IF(AM81&lt;AM85,AM83,AM84)</f>
        <v>60.967180019062113</v>
      </c>
      <c r="AN86" s="133"/>
      <c r="AO86" s="155"/>
      <c r="AP86" s="138">
        <f>IF(AP81&lt;AP85,AP83,AP84)</f>
        <v>84.471467001745793</v>
      </c>
      <c r="AQ86" s="133"/>
      <c r="AR86" s="155"/>
      <c r="AS86" s="138">
        <f>IF(AS81&lt;AS85,AS83,AS84)</f>
        <v>169.51726946821347</v>
      </c>
      <c r="AT86" s="133"/>
      <c r="AU86" s="155"/>
    </row>
    <row r="87" spans="13:47" ht="13" x14ac:dyDescent="0.3">
      <c r="M87" s="28"/>
      <c r="N87" s="28"/>
      <c r="O87" s="9" t="s">
        <v>194</v>
      </c>
      <c r="P87" s="1"/>
      <c r="Q87" s="1"/>
      <c r="R87" s="135"/>
      <c r="S87" s="132">
        <f>IF(R80&lt;=0,W_max,ABS(R$23-R86))</f>
        <v>1.9474606209767489</v>
      </c>
      <c r="T87" s="151">
        <f>R75</f>
        <v>12.1508316</v>
      </c>
      <c r="U87" s="135"/>
      <c r="V87" s="132">
        <f>IF(U80&lt;=0,W_max,ABS(U$23-U86))</f>
        <v>2.9271480374248386</v>
      </c>
      <c r="W87" s="151">
        <f>U75</f>
        <v>478.63199618354781</v>
      </c>
      <c r="X87" s="135"/>
      <c r="Y87" s="132">
        <f>IF(X80&lt;=0,W_max,ABS(X$23-X86))</f>
        <v>4.8072726315084759</v>
      </c>
      <c r="Z87" s="151">
        <f>X75</f>
        <v>1183.7138844371359</v>
      </c>
      <c r="AA87" s="135"/>
      <c r="AB87" s="132">
        <f>IF(AA80&lt;=0,W_max,ABS(AA$23-AA86))</f>
        <v>6.7922484103846887</v>
      </c>
      <c r="AC87" s="151">
        <f>AA75</f>
        <v>2305.572509343825</v>
      </c>
      <c r="AD87" s="135"/>
      <c r="AE87" s="132">
        <f>IF(AD80&lt;=0,W_max,ABS(AD$23-AD86))</f>
        <v>8.3391345259829137</v>
      </c>
      <c r="AF87" s="151">
        <f>AD75</f>
        <v>3791.8179164353078</v>
      </c>
      <c r="AG87" s="135"/>
      <c r="AH87" s="132">
        <f>IF(AG80&lt;=0,W_max,ABS(AG$23-AG86))</f>
        <v>9.7561251411854535</v>
      </c>
      <c r="AI87" s="151">
        <f>AG75</f>
        <v>5318.3165453376232</v>
      </c>
      <c r="AJ87" s="135"/>
      <c r="AK87" s="132">
        <f>IF(AJ80&lt;=0,W_max,ABS(AJ$23-AJ86))</f>
        <v>10.016807663744494</v>
      </c>
      <c r="AL87" s="151">
        <f>AJ75</f>
        <v>6752.8507894757322</v>
      </c>
      <c r="AM87" s="135"/>
      <c r="AN87" s="132">
        <f>IF(AM80&lt;=0,W_max,ABS(AM$23-AM86))</f>
        <v>11.432819980937893</v>
      </c>
      <c r="AO87" s="151">
        <f>AM75</f>
        <v>7918.2486280953826</v>
      </c>
      <c r="AP87" s="135"/>
      <c r="AQ87" s="132">
        <f>IF(AP80&lt;=0,W_max,ABS(AP$23-AP86))</f>
        <v>23.528532998254207</v>
      </c>
      <c r="AR87" s="151">
        <f>AP75</f>
        <v>8834.1393553920861</v>
      </c>
      <c r="AS87" s="135"/>
      <c r="AT87" s="132">
        <f>IF(AS80&lt;=0,W_max,ABS(AS$23-AS86))</f>
        <v>10.48273053178653</v>
      </c>
      <c r="AU87" s="151">
        <f>AS75</f>
        <v>9855.9696488412956</v>
      </c>
    </row>
    <row r="88" spans="13:47" ht="13" x14ac:dyDescent="0.25">
      <c r="M88" s="12"/>
      <c r="N88" s="12"/>
      <c r="O88" s="12"/>
      <c r="P88" s="12"/>
      <c r="Q88" s="12"/>
      <c r="R88" s="182"/>
      <c r="S88" s="22"/>
      <c r="T88" s="152"/>
      <c r="U88" s="157"/>
      <c r="V88" s="1"/>
      <c r="W88" s="147"/>
      <c r="X88" s="157"/>
      <c r="Y88" s="1"/>
      <c r="Z88" s="147"/>
      <c r="AA88" s="157"/>
      <c r="AB88" s="1"/>
      <c r="AC88" s="147"/>
      <c r="AD88" s="157"/>
      <c r="AE88" s="1"/>
      <c r="AF88" s="147"/>
      <c r="AG88" s="157"/>
      <c r="AH88" s="1"/>
      <c r="AI88" s="147"/>
      <c r="AJ88" s="157"/>
      <c r="AK88" s="1"/>
      <c r="AL88" s="147"/>
      <c r="AM88" s="157"/>
      <c r="AN88" s="1"/>
      <c r="AO88" s="147"/>
      <c r="AP88" s="157"/>
      <c r="AQ88" s="1"/>
      <c r="AR88" s="147"/>
      <c r="AS88" s="157"/>
      <c r="AT88" s="1"/>
      <c r="AU88" s="147"/>
    </row>
    <row r="89" spans="13:47" ht="14" x14ac:dyDescent="0.3">
      <c r="M89" s="23"/>
      <c r="N89" s="23"/>
      <c r="O89" s="23" t="s">
        <v>238</v>
      </c>
      <c r="P89" s="20"/>
      <c r="Q89" s="20"/>
      <c r="R89" s="18">
        <f>R75*1.02</f>
        <v>12.393848232</v>
      </c>
      <c r="S89" s="128" t="s">
        <v>185</v>
      </c>
      <c r="T89" s="153" t="s">
        <v>186</v>
      </c>
      <c r="U89" s="143">
        <f>U75*1.01</f>
        <v>483.4183161453833</v>
      </c>
      <c r="V89" s="128" t="s">
        <v>185</v>
      </c>
      <c r="W89" s="153" t="s">
        <v>186</v>
      </c>
      <c r="X89" s="143">
        <f>X75*1.01</f>
        <v>1195.5510232815072</v>
      </c>
      <c r="Y89" s="128" t="s">
        <v>185</v>
      </c>
      <c r="Z89" s="153" t="s">
        <v>186</v>
      </c>
      <c r="AA89" s="143">
        <f>AA75*1.01</f>
        <v>2328.6282344372635</v>
      </c>
      <c r="AB89" s="128" t="s">
        <v>185</v>
      </c>
      <c r="AC89" s="153" t="s">
        <v>186</v>
      </c>
      <c r="AD89" s="143">
        <f>AD75*1.01</f>
        <v>3829.736095599661</v>
      </c>
      <c r="AE89" s="128" t="s">
        <v>185</v>
      </c>
      <c r="AF89" s="153" t="s">
        <v>186</v>
      </c>
      <c r="AG89" s="143">
        <f>AG75*1.01</f>
        <v>5371.4997107909994</v>
      </c>
      <c r="AH89" s="128" t="s">
        <v>185</v>
      </c>
      <c r="AI89" s="153" t="s">
        <v>186</v>
      </c>
      <c r="AJ89" s="143">
        <f>AJ75*1.01</f>
        <v>6820.3792973704894</v>
      </c>
      <c r="AK89" s="128" t="s">
        <v>185</v>
      </c>
      <c r="AL89" s="153" t="s">
        <v>186</v>
      </c>
      <c r="AM89" s="143">
        <f>AM75*1.01</f>
        <v>7997.4311143763362</v>
      </c>
      <c r="AN89" s="128" t="s">
        <v>185</v>
      </c>
      <c r="AO89" s="153" t="s">
        <v>186</v>
      </c>
      <c r="AP89" s="143">
        <f>AP75*1.01</f>
        <v>8922.4807489460072</v>
      </c>
      <c r="AQ89" s="128" t="s">
        <v>185</v>
      </c>
      <c r="AR89" s="153" t="s">
        <v>186</v>
      </c>
      <c r="AS89" s="143">
        <f>AS75*1.01</f>
        <v>9954.529345329709</v>
      </c>
      <c r="AT89" s="128" t="s">
        <v>185</v>
      </c>
      <c r="AU89" s="153" t="s">
        <v>186</v>
      </c>
    </row>
    <row r="90" spans="13:47" ht="14" x14ac:dyDescent="0.3">
      <c r="M90" s="12"/>
      <c r="N90" s="12"/>
      <c r="O90" s="20"/>
      <c r="P90" s="20"/>
      <c r="Q90" s="23"/>
      <c r="R90" s="139"/>
      <c r="S90" s="130" t="s">
        <v>228</v>
      </c>
      <c r="T90" s="154" t="s">
        <v>187</v>
      </c>
      <c r="U90" s="144"/>
      <c r="V90" s="130" t="s">
        <v>228</v>
      </c>
      <c r="W90" s="154" t="s">
        <v>187</v>
      </c>
      <c r="X90" s="144"/>
      <c r="Y90" s="130" t="s">
        <v>228</v>
      </c>
      <c r="Z90" s="154" t="s">
        <v>187</v>
      </c>
      <c r="AA90" s="144"/>
      <c r="AB90" s="130" t="s">
        <v>228</v>
      </c>
      <c r="AC90" s="154" t="s">
        <v>187</v>
      </c>
      <c r="AD90" s="144"/>
      <c r="AE90" s="130" t="s">
        <v>228</v>
      </c>
      <c r="AF90" s="154" t="s">
        <v>187</v>
      </c>
      <c r="AG90" s="144"/>
      <c r="AH90" s="130" t="s">
        <v>228</v>
      </c>
      <c r="AI90" s="154" t="s">
        <v>187</v>
      </c>
      <c r="AJ90" s="144"/>
      <c r="AK90" s="130" t="s">
        <v>228</v>
      </c>
      <c r="AL90" s="154" t="s">
        <v>187</v>
      </c>
      <c r="AM90" s="144"/>
      <c r="AN90" s="130" t="s">
        <v>228</v>
      </c>
      <c r="AO90" s="154" t="s">
        <v>187</v>
      </c>
      <c r="AP90" s="144"/>
      <c r="AQ90" s="130" t="s">
        <v>228</v>
      </c>
      <c r="AR90" s="154" t="s">
        <v>187</v>
      </c>
      <c r="AS90" s="144"/>
      <c r="AT90" s="130" t="s">
        <v>228</v>
      </c>
      <c r="AU90" s="154" t="s">
        <v>187</v>
      </c>
    </row>
    <row r="91" spans="13:47" x14ac:dyDescent="0.25">
      <c r="M91" s="20"/>
      <c r="N91" s="20"/>
      <c r="O91" s="7" t="s">
        <v>188</v>
      </c>
      <c r="P91" s="7"/>
      <c r="Q91" s="7"/>
      <c r="R91" s="181">
        <f>P_1_minW-(R89^2*R_up)+dpup_minQ</f>
        <v>100.5227254839283</v>
      </c>
      <c r="S91" s="132"/>
      <c r="T91" s="145"/>
      <c r="U91" s="138">
        <f>P_1_minW-(U89^2*R_up)+dpup_minQ</f>
        <v>100.42959877984268</v>
      </c>
      <c r="V91" s="132"/>
      <c r="W91" s="145"/>
      <c r="X91" s="138">
        <f>P_1_minW-(X89^2*R_up)+dpup_minQ</f>
        <v>99.952819596389034</v>
      </c>
      <c r="Y91" s="132"/>
      <c r="Z91" s="145"/>
      <c r="AA91" s="138">
        <f>P_1_minW-(AA89^2*R_up)+dpup_minQ</f>
        <v>98.360496908202734</v>
      </c>
      <c r="AB91" s="132"/>
      <c r="AC91" s="145"/>
      <c r="AD91" s="138">
        <f>P_1_minW-(AD89^2*R_up)+dpup_minQ</f>
        <v>94.674195305317511</v>
      </c>
      <c r="AE91" s="132"/>
      <c r="AF91" s="145"/>
      <c r="AG91" s="138">
        <f>P_1_minW-(AG89^2*R_up)+dpup_minQ</f>
        <v>89.017307821656487</v>
      </c>
      <c r="AH91" s="132"/>
      <c r="AI91" s="145"/>
      <c r="AJ91" s="138">
        <f>P_1_minW-(AJ89^2*R_up)+dpup_minQ</f>
        <v>81.973353593624736</v>
      </c>
      <c r="AK91" s="132"/>
      <c r="AL91" s="145"/>
      <c r="AM91" s="138">
        <f>P_1_minW-(AM89^2*R_up)+dpup_minQ</f>
        <v>75.018416544582848</v>
      </c>
      <c r="AN91" s="132"/>
      <c r="AO91" s="145"/>
      <c r="AP91" s="138">
        <f>P_1_minW-(AP89^2*R_up)+dpup_minQ</f>
        <v>68.777092665606588</v>
      </c>
      <c r="AQ91" s="132"/>
      <c r="AR91" s="145"/>
      <c r="AS91" s="138">
        <f>P_1_minW-(AS89^2*R_up)+dpup_minQ</f>
        <v>61.008417847602708</v>
      </c>
      <c r="AT91" s="132"/>
      <c r="AU91" s="145"/>
    </row>
    <row r="92" spans="13:47" x14ac:dyDescent="0.25">
      <c r="M92" s="20"/>
      <c r="N92" s="20"/>
      <c r="O92" s="7" t="s">
        <v>189</v>
      </c>
      <c r="P92" s="1"/>
      <c r="Q92" s="7"/>
      <c r="R92" s="181">
        <f>P_2_minW+(R89^2*R_dn)-dpdn_minQ</f>
        <v>50</v>
      </c>
      <c r="S92" s="132"/>
      <c r="T92" s="146"/>
      <c r="U92" s="138">
        <f>P_2_minW+(U89^2*R_dn)-dpdn_minQ</f>
        <v>50</v>
      </c>
      <c r="V92" s="132"/>
      <c r="W92" s="146"/>
      <c r="X92" s="138">
        <f>P_2_minW+(X89^2*R_dn)-dpdn_minQ</f>
        <v>50</v>
      </c>
      <c r="Y92" s="132"/>
      <c r="Z92" s="146"/>
      <c r="AA92" s="138">
        <f>P_2_minW+(AA89^2*R_dn)-dpdn_minQ</f>
        <v>50</v>
      </c>
      <c r="AB92" s="132"/>
      <c r="AC92" s="146"/>
      <c r="AD92" s="138">
        <f>P_2_minW+(AD89^2*R_dn)-dpdn_minQ</f>
        <v>50</v>
      </c>
      <c r="AE92" s="132"/>
      <c r="AF92" s="146"/>
      <c r="AG92" s="138">
        <f>P_2_minW+(AG89^2*R_dn)-dpdn_minQ</f>
        <v>50</v>
      </c>
      <c r="AH92" s="132"/>
      <c r="AI92" s="146"/>
      <c r="AJ92" s="138">
        <f>P_2_minW+(AJ89^2*R_dn)-dpdn_minQ</f>
        <v>50</v>
      </c>
      <c r="AK92" s="132"/>
      <c r="AL92" s="146"/>
      <c r="AM92" s="138">
        <f>P_2_minW+(AM89^2*R_dn)-dpdn_minQ</f>
        <v>50</v>
      </c>
      <c r="AN92" s="132"/>
      <c r="AO92" s="146"/>
      <c r="AP92" s="138">
        <f>P_2_minW+(AP89^2*R_dn)-dpdn_minQ</f>
        <v>50</v>
      </c>
      <c r="AQ92" s="132"/>
      <c r="AR92" s="146"/>
      <c r="AS92" s="138">
        <f>P_2_minW+(AS89^2*R_dn)-dpdn_minQ</f>
        <v>50</v>
      </c>
      <c r="AT92" s="132"/>
      <c r="AU92" s="146"/>
    </row>
    <row r="93" spans="13:47" x14ac:dyDescent="0.25">
      <c r="M93" s="20"/>
      <c r="N93" s="20"/>
      <c r="O93" s="7" t="s">
        <v>234</v>
      </c>
      <c r="P93" s="1"/>
      <c r="Q93" s="7"/>
      <c r="R93" s="179">
        <f>'Valve Sizing'!G$8*R91/P_1_maxW</f>
        <v>0.48490373076629678</v>
      </c>
      <c r="S93" s="132"/>
      <c r="T93" s="146"/>
      <c r="U93" s="143">
        <f>'Valve Sizing'!$G$8*U91/P_1_maxW</f>
        <v>0.48445450412597546</v>
      </c>
      <c r="V93" s="132"/>
      <c r="W93" s="146"/>
      <c r="X93" s="143">
        <f>'Valve Sizing'!$G$8*X91/P_1_maxW</f>
        <v>0.48215460623029671</v>
      </c>
      <c r="Y93" s="132"/>
      <c r="Z93" s="146"/>
      <c r="AA93" s="143">
        <f>'Valve Sizing'!$G$8*AA91/P_1_maxW</f>
        <v>0.47447352507806706</v>
      </c>
      <c r="AB93" s="132"/>
      <c r="AC93" s="146"/>
      <c r="AD93" s="143">
        <f>'Valve Sizing'!$G$8*AD91/P_1_maxW</f>
        <v>0.4566914624512971</v>
      </c>
      <c r="AE93" s="132"/>
      <c r="AF93" s="146"/>
      <c r="AG93" s="143">
        <f>'Valve Sizing'!$G$8*AG91/P_1_maxW</f>
        <v>0.42940364437685619</v>
      </c>
      <c r="AH93" s="132"/>
      <c r="AI93" s="146"/>
      <c r="AJ93" s="143">
        <f>'Valve Sizing'!$G$8*AJ91/P_1_maxW</f>
        <v>0.39542486327958354</v>
      </c>
      <c r="AK93" s="132"/>
      <c r="AL93" s="146"/>
      <c r="AM93" s="143">
        <f>'Valve Sizing'!$G$8*AM91/P_1_maxW</f>
        <v>0.36187548520522617</v>
      </c>
      <c r="AN93" s="132"/>
      <c r="AO93" s="146"/>
      <c r="AP93" s="143">
        <f>'Valve Sizing'!$G$8*AP91/P_1_maxW</f>
        <v>0.3317684500122714</v>
      </c>
      <c r="AQ93" s="132"/>
      <c r="AR93" s="146"/>
      <c r="AS93" s="143">
        <f>'Valve Sizing'!$G$8*AS91/P_1_maxW</f>
        <v>0.29429374581752143</v>
      </c>
      <c r="AT93" s="132"/>
      <c r="AU93" s="146"/>
    </row>
    <row r="94" spans="13:47" x14ac:dyDescent="0.25">
      <c r="M94" s="20"/>
      <c r="N94" s="20"/>
      <c r="O94" s="7" t="s">
        <v>190</v>
      </c>
      <c r="P94" s="1"/>
      <c r="Q94" s="7"/>
      <c r="R94" s="181">
        <f>R91-R92</f>
        <v>50.522725483928298</v>
      </c>
      <c r="S94" s="132"/>
      <c r="T94" s="146"/>
      <c r="U94" s="138">
        <f>U91-U92</f>
        <v>50.429598779842678</v>
      </c>
      <c r="V94" s="132"/>
      <c r="W94" s="146"/>
      <c r="X94" s="138">
        <f>X91-X92</f>
        <v>49.952819596389034</v>
      </c>
      <c r="Y94" s="132"/>
      <c r="Z94" s="146"/>
      <c r="AA94" s="138">
        <f>AA91-AA92</f>
        <v>48.360496908202734</v>
      </c>
      <c r="AB94" s="132"/>
      <c r="AC94" s="146"/>
      <c r="AD94" s="138">
        <f>AD91-AD92</f>
        <v>44.674195305317511</v>
      </c>
      <c r="AE94" s="132"/>
      <c r="AF94" s="146"/>
      <c r="AG94" s="138">
        <f>AG91-AG92</f>
        <v>39.017307821656487</v>
      </c>
      <c r="AH94" s="132"/>
      <c r="AI94" s="146"/>
      <c r="AJ94" s="138">
        <f>AJ91-AJ92</f>
        <v>31.973353593624736</v>
      </c>
      <c r="AK94" s="132"/>
      <c r="AL94" s="146"/>
      <c r="AM94" s="138">
        <f>AM91-AM92</f>
        <v>25.018416544582848</v>
      </c>
      <c r="AN94" s="132"/>
      <c r="AO94" s="146"/>
      <c r="AP94" s="138">
        <f>AP91-AP92</f>
        <v>18.777092665606588</v>
      </c>
      <c r="AQ94" s="132"/>
      <c r="AR94" s="146"/>
      <c r="AS94" s="138">
        <f>AS91-AS92</f>
        <v>11.008417847602708</v>
      </c>
      <c r="AT94" s="132"/>
      <c r="AU94" s="146"/>
    </row>
    <row r="95" spans="13:47" ht="14.5" x14ac:dyDescent="0.35">
      <c r="M95" s="27"/>
      <c r="N95" s="27"/>
      <c r="O95" s="2" t="s">
        <v>191</v>
      </c>
      <c r="P95" s="10"/>
      <c r="Q95" s="2"/>
      <c r="R95" s="181">
        <f>R94/R91</f>
        <v>0.50260003636695993</v>
      </c>
      <c r="S95" s="132"/>
      <c r="T95" s="146"/>
      <c r="U95" s="138">
        <f>U94/U91</f>
        <v>0.50213880561638224</v>
      </c>
      <c r="V95" s="132"/>
      <c r="W95" s="146"/>
      <c r="X95" s="138">
        <f>X94/X91</f>
        <v>0.49976398662988458</v>
      </c>
      <c r="Y95" s="132"/>
      <c r="Z95" s="146"/>
      <c r="AA95" s="138">
        <f>AA94/AA91</f>
        <v>0.49166584582565004</v>
      </c>
      <c r="AB95" s="132"/>
      <c r="AC95" s="146"/>
      <c r="AD95" s="138">
        <f>AD94/AD91</f>
        <v>0.47187298673357009</v>
      </c>
      <c r="AE95" s="132"/>
      <c r="AF95" s="146"/>
      <c r="AG95" s="138">
        <f>AG94/AG91</f>
        <v>0.43831147870509063</v>
      </c>
      <c r="AH95" s="132"/>
      <c r="AI95" s="146"/>
      <c r="AJ95" s="138">
        <f>AJ94/AJ91</f>
        <v>0.39004569402064065</v>
      </c>
      <c r="AK95" s="132"/>
      <c r="AL95" s="146"/>
      <c r="AM95" s="138">
        <f>AM94/AM91</f>
        <v>0.33349699576389491</v>
      </c>
      <c r="AN95" s="132"/>
      <c r="AO95" s="146"/>
      <c r="AP95" s="138">
        <f>AP94/AP91</f>
        <v>0.27301375992876858</v>
      </c>
      <c r="AQ95" s="132"/>
      <c r="AR95" s="146"/>
      <c r="AS95" s="138">
        <f>AS94/AS91</f>
        <v>0.18044096595164003</v>
      </c>
      <c r="AT95" s="132"/>
      <c r="AU95" s="146"/>
    </row>
    <row r="96" spans="13:47" x14ac:dyDescent="0.25">
      <c r="M96" s="27"/>
      <c r="N96" s="27"/>
      <c r="O96" s="2" t="s">
        <v>26</v>
      </c>
      <c r="P96" s="7">
        <v>12</v>
      </c>
      <c r="Q96" s="2"/>
      <c r="R96" s="181">
        <f>1-R95/(3*F_GAMMA*R$29)</f>
        <v>0.73824014170160646</v>
      </c>
      <c r="S96" s="133"/>
      <c r="T96" s="146"/>
      <c r="U96" s="138">
        <f>1-U95/(3*F_GAMMA*U$29)</f>
        <v>0.73853793607503104</v>
      </c>
      <c r="V96" s="133"/>
      <c r="W96" s="146"/>
      <c r="X96" s="138">
        <f>1-X95/(3*F_GAMMA*X$29)</f>
        <v>0.73587069999915855</v>
      </c>
      <c r="Y96" s="133"/>
      <c r="Z96" s="146"/>
      <c r="AA96" s="138">
        <f>1-AA95/(3*F_GAMMA*AA$29)</f>
        <v>0.73658773632559105</v>
      </c>
      <c r="AB96" s="133"/>
      <c r="AC96" s="146"/>
      <c r="AD96" s="138">
        <f>1-AD95/(3*F_GAMMA*AD$29)</f>
        <v>0.74026039080582007</v>
      </c>
      <c r="AE96" s="133"/>
      <c r="AF96" s="146"/>
      <c r="AG96" s="138">
        <f>1-AG95/(3*F_GAMMA*AG$29)</f>
        <v>0.74497193146375607</v>
      </c>
      <c r="AH96" s="133"/>
      <c r="AI96" s="146"/>
      <c r="AJ96" s="138">
        <f>1-AJ95/(3*F_GAMMA*AJ$29)</f>
        <v>0.75739271486284276</v>
      </c>
      <c r="AK96" s="133"/>
      <c r="AL96" s="146"/>
      <c r="AM96" s="138">
        <f>1-AM95/(3*F_GAMMA*AM$29)</f>
        <v>0.77335708690619542</v>
      </c>
      <c r="AN96" s="133"/>
      <c r="AO96" s="146"/>
      <c r="AP96" s="138">
        <f>1-AP95/(3*F_GAMMA*AP$29)</f>
        <v>0.84667225107949351</v>
      </c>
      <c r="AQ96" s="133"/>
      <c r="AR96" s="146"/>
      <c r="AS96" s="138">
        <f>1-AS95/(3*F_GAMMA*AS$29)</f>
        <v>0.84616045114111837</v>
      </c>
      <c r="AT96" s="133"/>
      <c r="AU96" s="146"/>
    </row>
    <row r="97" spans="13:47" x14ac:dyDescent="0.25">
      <c r="M97" s="27"/>
      <c r="N97" s="27"/>
      <c r="O97" s="2" t="s">
        <v>71</v>
      </c>
      <c r="P97" s="85">
        <v>5</v>
      </c>
      <c r="Q97" s="2"/>
      <c r="R97" s="179">
        <f>R89/((N_6*R$27*R96)*SQRT(R95*R91*R93))</f>
        <v>5.3590168054238489E-2</v>
      </c>
      <c r="S97" s="133"/>
      <c r="T97" s="146"/>
      <c r="U97" s="143">
        <f>U89/((N_6*U$27*U96)*SQRT(U95*U91*U93))</f>
        <v>2.0936242991363705</v>
      </c>
      <c r="V97" s="133"/>
      <c r="W97" s="146"/>
      <c r="X97" s="143">
        <f>X89/((N_6*X$27*X96)*SQRT(X95*X91*X93))</f>
        <v>5.2453271127063861</v>
      </c>
      <c r="Y97" s="133"/>
      <c r="Z97" s="146"/>
      <c r="AA97" s="143">
        <f>AA89/((N_6*AA$27*AA96)*SQRT(AA95*AA91*AA93))</f>
        <v>10.517052064856152</v>
      </c>
      <c r="AB97" s="133"/>
      <c r="AC97" s="146"/>
      <c r="AD97" s="143">
        <f>AD89/((N_6*AD$27*AD96)*SQRT(AD95*AD91*AD93))</f>
        <v>18.46966076665159</v>
      </c>
      <c r="AE97" s="133"/>
      <c r="AF97" s="146"/>
      <c r="AG97" s="143">
        <f>AG89/((N_6*AG$27*AG96)*SQRT(AG95*AG91*AG93))</f>
        <v>29.018786961733426</v>
      </c>
      <c r="AH97" s="133"/>
      <c r="AI97" s="146"/>
      <c r="AJ97" s="143">
        <f>AJ89/((N_6*AJ$27*AJ96)*SQRT(AJ95*AJ91*AJ93))</f>
        <v>43.152505681205625</v>
      </c>
      <c r="AK97" s="133"/>
      <c r="AL97" s="146"/>
      <c r="AM97" s="143">
        <f>AM89/((N_6*AM$27*AM96)*SQRT(AM95*AM91*AM93))</f>
        <v>62.156977385922346</v>
      </c>
      <c r="AN97" s="133"/>
      <c r="AO97" s="146"/>
      <c r="AP97" s="143">
        <f>AP89/((N_6*AP$27*AP96)*SQRT(AP95*AP91*AP93))</f>
        <v>86.740443700569415</v>
      </c>
      <c r="AQ97" s="133"/>
      <c r="AR97" s="146"/>
      <c r="AS97" s="143">
        <f>AS89/((N_6*AS$27*AS96)*SQRT(AS95*AS91*AS93))</f>
        <v>176.43531635034765</v>
      </c>
      <c r="AT97" s="133"/>
      <c r="AU97" s="146"/>
    </row>
    <row r="98" spans="13:47" x14ac:dyDescent="0.25">
      <c r="M98" s="27"/>
      <c r="N98" s="27"/>
      <c r="O98" s="2" t="s">
        <v>73</v>
      </c>
      <c r="P98" s="85">
        <v>5</v>
      </c>
      <c r="Q98" s="2"/>
      <c r="R98" s="179">
        <f>R89/((N_6*R$27*0.667)*SQRT(R99*R91*R93))</f>
        <v>5.2561662349028142E-2</v>
      </c>
      <c r="S98" s="133"/>
      <c r="T98" s="155"/>
      <c r="U98" s="143">
        <f>U89/((N_6*U$27*0.667)*SQRT(U99*U91*U93))</f>
        <v>2.0531027966229352</v>
      </c>
      <c r="V98" s="133"/>
      <c r="W98" s="155"/>
      <c r="X98" s="143">
        <f>X89/((N_6*X$27*0.667)*SQRT(X99*X91*X93))</f>
        <v>5.15130390128291</v>
      </c>
      <c r="Y98" s="133"/>
      <c r="Z98" s="155"/>
      <c r="AA98" s="143">
        <f>AA89/((N_6*AA$27*0.667)*SQRT(AA99*AA91*AA93))</f>
        <v>10.3245539145958</v>
      </c>
      <c r="AB98" s="133"/>
      <c r="AC98" s="155"/>
      <c r="AD98" s="143">
        <f>AD89/((N_6*AD$27*0.667)*SQRT(AD99*AD91*AD93))</f>
        <v>18.094530369214276</v>
      </c>
      <c r="AE98" s="133"/>
      <c r="AF98" s="155"/>
      <c r="AG98" s="143">
        <f>AG89/((N_6*AG$27*0.667)*SQRT(AG99*AG91*AG93))</f>
        <v>28.349666122205445</v>
      </c>
      <c r="AH98" s="133"/>
      <c r="AI98" s="155"/>
      <c r="AJ98" s="143">
        <f>AJ89/((N_6*AJ$27*0.667)*SQRT(AJ99*AJ91*AJ93))</f>
        <v>41.803616436518595</v>
      </c>
      <c r="AK98" s="133"/>
      <c r="AL98" s="155"/>
      <c r="AM98" s="143">
        <f>AM89/((N_6*AM$27*0.667)*SQRT(AM99*AM91*AM93))</f>
        <v>59.425907424968209</v>
      </c>
      <c r="AN98" s="133"/>
      <c r="AO98" s="155"/>
      <c r="AP98" s="143">
        <f>AP89/((N_6*AP$27*0.667)*SQRT(AP99*AP91*AP93))</f>
        <v>74.676187762585272</v>
      </c>
      <c r="AQ98" s="133"/>
      <c r="AR98" s="155"/>
      <c r="AS98" s="143">
        <f>AS89/((N_6*AS$27*0.667)*SQRT(AS99*AS91*AS93))</f>
        <v>152.05721630598887</v>
      </c>
      <c r="AT98" s="133"/>
      <c r="AU98" s="155"/>
    </row>
    <row r="99" spans="13:47" ht="15.5" x14ac:dyDescent="0.4">
      <c r="M99" s="27"/>
      <c r="N99" s="27"/>
      <c r="O99" s="2" t="s">
        <v>192</v>
      </c>
      <c r="P99" s="85">
        <v>10</v>
      </c>
      <c r="Q99" s="2"/>
      <c r="R99" s="181">
        <f>F_GAMMA*R$29</f>
        <v>0.64002688015162901</v>
      </c>
      <c r="S99" s="133"/>
      <c r="T99" s="155"/>
      <c r="U99" s="138">
        <f>F_GAMMA*U$29</f>
        <v>0.64016782916606918</v>
      </c>
      <c r="V99" s="133"/>
      <c r="W99" s="155"/>
      <c r="X99" s="138">
        <f>F_GAMMA*X$29</f>
        <v>0.6307062319203669</v>
      </c>
      <c r="Y99" s="133"/>
      <c r="Z99" s="155"/>
      <c r="AA99" s="138">
        <f>F_GAMMA*AA$29</f>
        <v>0.62217534213893466</v>
      </c>
      <c r="AB99" s="133"/>
      <c r="AC99" s="155"/>
      <c r="AD99" s="138">
        <f>F_GAMMA*AD$29</f>
        <v>0.60557184969146072</v>
      </c>
      <c r="AE99" s="133"/>
      <c r="AF99" s="155"/>
      <c r="AG99" s="138">
        <f>F_GAMMA*AG$29</f>
        <v>0.57289312142622573</v>
      </c>
      <c r="AH99" s="133"/>
      <c r="AI99" s="155"/>
      <c r="AJ99" s="138">
        <f>F_GAMMA*AJ$29</f>
        <v>0.53590819116049981</v>
      </c>
      <c r="AK99" s="133"/>
      <c r="AL99" s="155"/>
      <c r="AM99" s="138">
        <f>F_GAMMA*AM$29</f>
        <v>0.49048815926850342</v>
      </c>
      <c r="AN99" s="133"/>
      <c r="AO99" s="155"/>
      <c r="AP99" s="138">
        <f>F_GAMMA*AP$29</f>
        <v>0.59352979016280105</v>
      </c>
      <c r="AQ99" s="133"/>
      <c r="AR99" s="155"/>
      <c r="AS99" s="138">
        <f>F_GAMMA*AS$29</f>
        <v>0.39097221161068291</v>
      </c>
      <c r="AT99" s="133"/>
      <c r="AU99" s="155"/>
    </row>
    <row r="100" spans="13:47" x14ac:dyDescent="0.25">
      <c r="M100" s="27"/>
      <c r="N100" s="27"/>
      <c r="O100" s="2" t="s">
        <v>193</v>
      </c>
      <c r="P100" s="134"/>
      <c r="Q100" s="2"/>
      <c r="R100" s="181">
        <f>IF(R95&lt;R99,R97,R98)</f>
        <v>5.3590168054238489E-2</v>
      </c>
      <c r="S100" s="133"/>
      <c r="T100" s="155"/>
      <c r="U100" s="138">
        <f>IF(U95&lt;U99,U97,U98)</f>
        <v>2.0936242991363705</v>
      </c>
      <c r="V100" s="133"/>
      <c r="W100" s="155"/>
      <c r="X100" s="138">
        <f>IF(X95&lt;X99,X97,X98)</f>
        <v>5.2453271127063861</v>
      </c>
      <c r="Y100" s="133"/>
      <c r="Z100" s="155"/>
      <c r="AA100" s="138">
        <f>IF(AA95&lt;AA99,AA97,AA98)</f>
        <v>10.517052064856152</v>
      </c>
      <c r="AB100" s="133"/>
      <c r="AC100" s="155"/>
      <c r="AD100" s="138">
        <f>IF(AD95&lt;AD99,AD97,AD98)</f>
        <v>18.46966076665159</v>
      </c>
      <c r="AE100" s="133"/>
      <c r="AF100" s="155"/>
      <c r="AG100" s="138">
        <f>IF(AG95&lt;AG99,AG97,AG98)</f>
        <v>29.018786961733426</v>
      </c>
      <c r="AH100" s="133"/>
      <c r="AI100" s="155"/>
      <c r="AJ100" s="138">
        <f>IF(AJ95&lt;AJ99,AJ97,AJ98)</f>
        <v>43.152505681205625</v>
      </c>
      <c r="AK100" s="133"/>
      <c r="AL100" s="155"/>
      <c r="AM100" s="138">
        <f>IF(AM95&lt;AM99,AM97,AM98)</f>
        <v>62.156977385922346</v>
      </c>
      <c r="AN100" s="133"/>
      <c r="AO100" s="155"/>
      <c r="AP100" s="138">
        <f>IF(AP95&lt;AP99,AP97,AP98)</f>
        <v>86.740443700569415</v>
      </c>
      <c r="AQ100" s="133"/>
      <c r="AR100" s="155"/>
      <c r="AS100" s="138">
        <f>IF(AS95&lt;AS99,AS97,AS98)</f>
        <v>176.43531635034765</v>
      </c>
      <c r="AT100" s="133"/>
      <c r="AU100" s="155"/>
    </row>
    <row r="101" spans="13:47" ht="13" x14ac:dyDescent="0.3">
      <c r="M101" s="28"/>
      <c r="N101" s="28"/>
      <c r="O101" s="9" t="s">
        <v>194</v>
      </c>
      <c r="P101" s="1"/>
      <c r="Q101" s="1"/>
      <c r="R101" s="135"/>
      <c r="S101" s="132">
        <f>IF(R94&lt;=0,W_max,ABS(R$23-R100))</f>
        <v>1.9464098319457614</v>
      </c>
      <c r="T101" s="151">
        <f>R89</f>
        <v>12.393848232</v>
      </c>
      <c r="U101" s="135"/>
      <c r="V101" s="132">
        <f>IF(U94&lt;=0,W_max,ABS(U$23-U100))</f>
        <v>2.9063757008636295</v>
      </c>
      <c r="W101" s="151">
        <f>U89</f>
        <v>483.4183161453833</v>
      </c>
      <c r="X101" s="135"/>
      <c r="Y101" s="132">
        <f>IF(X94&lt;=0,W_max,ABS(X$23-X100))</f>
        <v>4.7546728872936139</v>
      </c>
      <c r="Z101" s="151">
        <f>X89</f>
        <v>1195.5510232815072</v>
      </c>
      <c r="AA101" s="135"/>
      <c r="AB101" s="132">
        <f>IF(AA94&lt;=0,W_max,ABS(AA$23-AA100))</f>
        <v>6.6829479351438472</v>
      </c>
      <c r="AC101" s="151">
        <f>AA89</f>
        <v>2328.6282344372635</v>
      </c>
      <c r="AD101" s="135"/>
      <c r="AE101" s="132">
        <f>IF(AD94&lt;=0,W_max,ABS(AD$23-AD100))</f>
        <v>8.1303392333484119</v>
      </c>
      <c r="AF101" s="151">
        <f>AD89</f>
        <v>3829.736095599661</v>
      </c>
      <c r="AG101" s="135"/>
      <c r="AH101" s="132">
        <f>IF(AG94&lt;=0,W_max,ABS(AG$23-AG100))</f>
        <v>9.3812130382665728</v>
      </c>
      <c r="AI101" s="151">
        <f>AG89</f>
        <v>5371.4997107909994</v>
      </c>
      <c r="AJ101" s="135"/>
      <c r="AK101" s="132">
        <f>IF(AJ94&lt;=0,W_max,ABS(AJ$23-AJ100))</f>
        <v>9.3474943187943751</v>
      </c>
      <c r="AL101" s="151">
        <f>AJ89</f>
        <v>6820.3792973704894</v>
      </c>
      <c r="AM101" s="135"/>
      <c r="AN101" s="132">
        <f>IF(AM94&lt;=0,W_max,ABS(AM$23-AM100))</f>
        <v>10.24302261407766</v>
      </c>
      <c r="AO101" s="151">
        <f>AM89</f>
        <v>7997.4311143763362</v>
      </c>
      <c r="AP101" s="135"/>
      <c r="AQ101" s="132">
        <f>IF(AP94&lt;=0,W_max,ABS(AP$23-AP100))</f>
        <v>21.259556299430585</v>
      </c>
      <c r="AR101" s="151">
        <f>AP89</f>
        <v>8922.4807489460072</v>
      </c>
      <c r="AS101" s="135"/>
      <c r="AT101" s="132">
        <f>IF(AS94&lt;=0,W_max,ABS(AS$23-AS100))</f>
        <v>3.564683649652352</v>
      </c>
      <c r="AU101" s="151">
        <f>AS89</f>
        <v>9954.529345329709</v>
      </c>
    </row>
    <row r="102" spans="13:47" ht="13" x14ac:dyDescent="0.25">
      <c r="M102" s="12"/>
      <c r="N102" s="12"/>
      <c r="O102" s="2"/>
      <c r="P102" s="85"/>
      <c r="Q102" s="2"/>
      <c r="R102" s="18"/>
      <c r="S102" s="150"/>
      <c r="T102" s="152"/>
      <c r="U102" s="157"/>
      <c r="V102" s="1"/>
      <c r="W102" s="147"/>
      <c r="X102" s="157"/>
      <c r="Y102" s="1"/>
      <c r="Z102" s="147"/>
      <c r="AA102" s="157"/>
      <c r="AB102" s="1"/>
      <c r="AC102" s="147"/>
      <c r="AD102" s="157"/>
      <c r="AE102" s="1"/>
      <c r="AF102" s="147"/>
      <c r="AG102" s="157"/>
      <c r="AH102" s="1"/>
      <c r="AI102" s="147"/>
      <c r="AJ102" s="157"/>
      <c r="AK102" s="1"/>
      <c r="AL102" s="147"/>
      <c r="AM102" s="157"/>
      <c r="AN102" s="1"/>
      <c r="AO102" s="147"/>
      <c r="AP102" s="157"/>
      <c r="AQ102" s="1"/>
      <c r="AR102" s="147"/>
      <c r="AS102" s="157"/>
      <c r="AT102" s="1"/>
      <c r="AU102" s="147"/>
    </row>
    <row r="103" spans="13:47" ht="14" x14ac:dyDescent="0.3">
      <c r="M103" s="23"/>
      <c r="N103" s="23"/>
      <c r="O103" s="23" t="s">
        <v>238</v>
      </c>
      <c r="P103" s="20"/>
      <c r="Q103" s="20"/>
      <c r="R103" s="181">
        <f>R89*1.02</f>
        <v>12.641725196639999</v>
      </c>
      <c r="S103" s="128" t="s">
        <v>185</v>
      </c>
      <c r="T103" s="153" t="s">
        <v>186</v>
      </c>
      <c r="U103" s="143">
        <f>U89*1.01</f>
        <v>488.25249930683714</v>
      </c>
      <c r="V103" s="128" t="s">
        <v>185</v>
      </c>
      <c r="W103" s="153" t="s">
        <v>186</v>
      </c>
      <c r="X103" s="143">
        <f>X89*1.01</f>
        <v>1207.5065335143224</v>
      </c>
      <c r="Y103" s="128" t="s">
        <v>185</v>
      </c>
      <c r="Z103" s="153" t="s">
        <v>186</v>
      </c>
      <c r="AA103" s="143">
        <f>AA89*1.01</f>
        <v>2351.9145167816359</v>
      </c>
      <c r="AB103" s="128" t="s">
        <v>185</v>
      </c>
      <c r="AC103" s="153" t="s">
        <v>186</v>
      </c>
      <c r="AD103" s="143">
        <f>AD89*1.01</f>
        <v>3868.0334565556577</v>
      </c>
      <c r="AE103" s="128" t="s">
        <v>185</v>
      </c>
      <c r="AF103" s="153" t="s">
        <v>186</v>
      </c>
      <c r="AG103" s="143">
        <f>AG89*1.01</f>
        <v>5425.2147078989092</v>
      </c>
      <c r="AH103" s="128" t="s">
        <v>185</v>
      </c>
      <c r="AI103" s="153" t="s">
        <v>186</v>
      </c>
      <c r="AJ103" s="143">
        <f>AJ89*1.01</f>
        <v>6888.5830903441947</v>
      </c>
      <c r="AK103" s="128" t="s">
        <v>185</v>
      </c>
      <c r="AL103" s="153" t="s">
        <v>186</v>
      </c>
      <c r="AM103" s="143">
        <f>AM89*1.01</f>
        <v>8077.4054255200999</v>
      </c>
      <c r="AN103" s="128" t="s">
        <v>185</v>
      </c>
      <c r="AO103" s="153" t="s">
        <v>186</v>
      </c>
      <c r="AP103" s="143">
        <f>AP89*1.01</f>
        <v>9011.7055564354669</v>
      </c>
      <c r="AQ103" s="128" t="s">
        <v>185</v>
      </c>
      <c r="AR103" s="153" t="s">
        <v>186</v>
      </c>
      <c r="AS103" s="143">
        <f>AS89*1.01</f>
        <v>10054.074638783006</v>
      </c>
      <c r="AT103" s="128" t="s">
        <v>185</v>
      </c>
      <c r="AU103" s="153" t="s">
        <v>186</v>
      </c>
    </row>
    <row r="104" spans="13:47" ht="14" x14ac:dyDescent="0.3">
      <c r="M104" s="12"/>
      <c r="N104" s="12"/>
      <c r="O104" s="20"/>
      <c r="P104" s="20"/>
      <c r="Q104" s="23"/>
      <c r="R104" s="139"/>
      <c r="S104" s="130" t="s">
        <v>228</v>
      </c>
      <c r="T104" s="154" t="s">
        <v>187</v>
      </c>
      <c r="U104" s="144"/>
      <c r="V104" s="130" t="s">
        <v>228</v>
      </c>
      <c r="W104" s="154" t="s">
        <v>187</v>
      </c>
      <c r="X104" s="144"/>
      <c r="Y104" s="130" t="s">
        <v>228</v>
      </c>
      <c r="Z104" s="154" t="s">
        <v>187</v>
      </c>
      <c r="AA104" s="144"/>
      <c r="AB104" s="130" t="s">
        <v>228</v>
      </c>
      <c r="AC104" s="154" t="s">
        <v>187</v>
      </c>
      <c r="AD104" s="144"/>
      <c r="AE104" s="130" t="s">
        <v>228</v>
      </c>
      <c r="AF104" s="154" t="s">
        <v>187</v>
      </c>
      <c r="AG104" s="144"/>
      <c r="AH104" s="130" t="s">
        <v>228</v>
      </c>
      <c r="AI104" s="154" t="s">
        <v>187</v>
      </c>
      <c r="AJ104" s="144"/>
      <c r="AK104" s="130" t="s">
        <v>228</v>
      </c>
      <c r="AL104" s="154" t="s">
        <v>187</v>
      </c>
      <c r="AM104" s="144"/>
      <c r="AN104" s="130" t="s">
        <v>228</v>
      </c>
      <c r="AO104" s="154" t="s">
        <v>187</v>
      </c>
      <c r="AP104" s="144"/>
      <c r="AQ104" s="130" t="s">
        <v>228</v>
      </c>
      <c r="AR104" s="154" t="s">
        <v>187</v>
      </c>
      <c r="AS104" s="144"/>
      <c r="AT104" s="130" t="s">
        <v>228</v>
      </c>
      <c r="AU104" s="154" t="s">
        <v>187</v>
      </c>
    </row>
    <row r="105" spans="13:47" x14ac:dyDescent="0.25">
      <c r="M105" s="20"/>
      <c r="N105" s="20"/>
      <c r="O105" s="7" t="s">
        <v>188</v>
      </c>
      <c r="P105" s="7"/>
      <c r="Q105" s="7"/>
      <c r="R105" s="181">
        <f>P_1_minW-(R103^2*R_up)+dpup_minQ</f>
        <v>100.52272300931524</v>
      </c>
      <c r="S105" s="132"/>
      <c r="T105" s="145"/>
      <c r="U105" s="138">
        <f>P_1_minW-(U103^2*R_up)+dpup_minQ</f>
        <v>100.42772570190931</v>
      </c>
      <c r="V105" s="132"/>
      <c r="W105" s="145"/>
      <c r="X105" s="138">
        <f>P_1_minW-(X103^2*R_up)+dpup_minQ</f>
        <v>99.941363256868243</v>
      </c>
      <c r="Y105" s="132"/>
      <c r="Z105" s="145"/>
      <c r="AA105" s="138">
        <f>P_1_minW-(AA103^2*R_up)+dpup_minQ</f>
        <v>98.317034882649395</v>
      </c>
      <c r="AB105" s="132"/>
      <c r="AC105" s="145"/>
      <c r="AD105" s="138">
        <f>P_1_minW-(AD103^2*R_up)+dpup_minQ</f>
        <v>94.556638617546184</v>
      </c>
      <c r="AE105" s="132"/>
      <c r="AF105" s="145"/>
      <c r="AG105" s="138">
        <f>P_1_minW-(AG103^2*R_up)+dpup_minQ</f>
        <v>88.78604769546358</v>
      </c>
      <c r="AH105" s="132"/>
      <c r="AI105" s="145"/>
      <c r="AJ105" s="138">
        <f>P_1_minW-(AJ103^2*R_up)+dpup_minQ</f>
        <v>81.600509987448376</v>
      </c>
      <c r="AK105" s="132"/>
      <c r="AL105" s="145"/>
      <c r="AM105" s="138">
        <f>P_1_minW-(AM103^2*R_up)+dpup_minQ</f>
        <v>74.50577870372075</v>
      </c>
      <c r="AN105" s="132"/>
      <c r="AO105" s="145"/>
      <c r="AP105" s="138">
        <f>P_1_minW-(AP103^2*R_up)+dpup_minQ</f>
        <v>68.139004214777088</v>
      </c>
      <c r="AQ105" s="132"/>
      <c r="AR105" s="145"/>
      <c r="AS105" s="138">
        <f>P_1_minW-(AS103^2*R_up)+dpup_minQ</f>
        <v>60.214179032931312</v>
      </c>
      <c r="AT105" s="132"/>
      <c r="AU105" s="145"/>
    </row>
    <row r="106" spans="13:47" x14ac:dyDescent="0.25">
      <c r="M106" s="20"/>
      <c r="N106" s="20"/>
      <c r="O106" s="7" t="s">
        <v>189</v>
      </c>
      <c r="P106" s="1"/>
      <c r="Q106" s="7"/>
      <c r="R106" s="181">
        <f>P_2_minW+(R103^2*R_dn)-dpdn_minQ</f>
        <v>50</v>
      </c>
      <c r="S106" s="132"/>
      <c r="T106" s="146"/>
      <c r="U106" s="138">
        <f>P_2_minW+(U103^2*R_dn)-dpdn_minQ</f>
        <v>50</v>
      </c>
      <c r="V106" s="132"/>
      <c r="W106" s="146"/>
      <c r="X106" s="138">
        <f>P_2_minW+(X103^2*R_dn)-dpdn_minQ</f>
        <v>50</v>
      </c>
      <c r="Y106" s="132"/>
      <c r="Z106" s="146"/>
      <c r="AA106" s="138">
        <f>P_2_minW+(AA103^2*R_dn)-dpdn_minQ</f>
        <v>50</v>
      </c>
      <c r="AB106" s="132"/>
      <c r="AC106" s="146"/>
      <c r="AD106" s="138">
        <f>P_2_minW+(AD103^2*R_dn)-dpdn_minQ</f>
        <v>50</v>
      </c>
      <c r="AE106" s="132"/>
      <c r="AF106" s="146"/>
      <c r="AG106" s="138">
        <f>P_2_minW+(AG103^2*R_dn)-dpdn_minQ</f>
        <v>50</v>
      </c>
      <c r="AH106" s="132"/>
      <c r="AI106" s="146"/>
      <c r="AJ106" s="138">
        <f>P_2_minW+(AJ103^2*R_dn)-dpdn_minQ</f>
        <v>50</v>
      </c>
      <c r="AK106" s="132"/>
      <c r="AL106" s="146"/>
      <c r="AM106" s="138">
        <f>P_2_minW+(AM103^2*R_dn)-dpdn_minQ</f>
        <v>50</v>
      </c>
      <c r="AN106" s="132"/>
      <c r="AO106" s="146"/>
      <c r="AP106" s="138">
        <f>P_2_minW+(AP103^2*R_dn)-dpdn_minQ</f>
        <v>50</v>
      </c>
      <c r="AQ106" s="132"/>
      <c r="AR106" s="146"/>
      <c r="AS106" s="138">
        <f>P_2_minW+(AS103^2*R_dn)-dpdn_minQ</f>
        <v>50</v>
      </c>
      <c r="AT106" s="132"/>
      <c r="AU106" s="146"/>
    </row>
    <row r="107" spans="13:47" x14ac:dyDescent="0.25">
      <c r="M107" s="20"/>
      <c r="N107" s="20"/>
      <c r="O107" s="7" t="s">
        <v>234</v>
      </c>
      <c r="P107" s="1"/>
      <c r="Q107" s="7"/>
      <c r="R107" s="179">
        <f>'Valve Sizing'!G$8*R105/P_1_maxW</f>
        <v>0.48490371882920397</v>
      </c>
      <c r="S107" s="132"/>
      <c r="T107" s="146"/>
      <c r="U107" s="143">
        <f>'Valve Sizing'!$G$8*U105/P_1_maxW</f>
        <v>0.4844454687315059</v>
      </c>
      <c r="V107" s="132"/>
      <c r="W107" s="146"/>
      <c r="X107" s="143">
        <f>'Valve Sizing'!$G$8*X105/P_1_maxW</f>
        <v>0.48209934288812395</v>
      </c>
      <c r="Y107" s="132"/>
      <c r="Z107" s="146"/>
      <c r="AA107" s="143">
        <f>'Valve Sizing'!$G$8*AA105/P_1_maxW</f>
        <v>0.47426387200473447</v>
      </c>
      <c r="AB107" s="132"/>
      <c r="AC107" s="146"/>
      <c r="AD107" s="143">
        <f>'Valve Sizing'!$G$8*AD105/P_1_maxW</f>
        <v>0.45612438991916637</v>
      </c>
      <c r="AE107" s="132"/>
      <c r="AF107" s="146"/>
      <c r="AG107" s="143">
        <f>'Valve Sizing'!$G$8*AG105/P_1_maxW</f>
        <v>0.42828808670142926</v>
      </c>
      <c r="AH107" s="132"/>
      <c r="AI107" s="146"/>
      <c r="AJ107" s="143">
        <f>'Valve Sizing'!$G$8*AJ105/P_1_maxW</f>
        <v>0.39362633210410142</v>
      </c>
      <c r="AK107" s="132"/>
      <c r="AL107" s="146"/>
      <c r="AM107" s="143">
        <f>'Valve Sizing'!$G$8*AM105/P_1_maxW</f>
        <v>0.3594026115304495</v>
      </c>
      <c r="AN107" s="132"/>
      <c r="AO107" s="146"/>
      <c r="AP107" s="143">
        <f>'Valve Sizing'!$G$8*AP105/P_1_maxW</f>
        <v>0.32869042493011635</v>
      </c>
      <c r="AQ107" s="132"/>
      <c r="AR107" s="146"/>
      <c r="AS107" s="143">
        <f>'Valve Sizing'!$G$8*AS105/P_1_maxW</f>
        <v>0.29046247918105189</v>
      </c>
      <c r="AT107" s="132"/>
      <c r="AU107" s="146"/>
    </row>
    <row r="108" spans="13:47" x14ac:dyDescent="0.25">
      <c r="M108" s="20"/>
      <c r="N108" s="20"/>
      <c r="O108" s="7" t="s">
        <v>190</v>
      </c>
      <c r="P108" s="1"/>
      <c r="Q108" s="7"/>
      <c r="R108" s="181">
        <f>R105-R106</f>
        <v>50.522723009315243</v>
      </c>
      <c r="S108" s="132"/>
      <c r="T108" s="146"/>
      <c r="U108" s="138">
        <f>U105-U106</f>
        <v>50.42772570190931</v>
      </c>
      <c r="V108" s="132"/>
      <c r="W108" s="146"/>
      <c r="X108" s="138">
        <f>X105-X106</f>
        <v>49.941363256868243</v>
      </c>
      <c r="Y108" s="132"/>
      <c r="Z108" s="146"/>
      <c r="AA108" s="138">
        <f>AA105-AA106</f>
        <v>48.317034882649395</v>
      </c>
      <c r="AB108" s="132"/>
      <c r="AC108" s="146"/>
      <c r="AD108" s="138">
        <f>AD105-AD106</f>
        <v>44.556638617546184</v>
      </c>
      <c r="AE108" s="132"/>
      <c r="AF108" s="146"/>
      <c r="AG108" s="138">
        <f>AG105-AG106</f>
        <v>38.78604769546358</v>
      </c>
      <c r="AH108" s="132"/>
      <c r="AI108" s="146"/>
      <c r="AJ108" s="138">
        <f>AJ105-AJ106</f>
        <v>31.600509987448376</v>
      </c>
      <c r="AK108" s="132"/>
      <c r="AL108" s="146"/>
      <c r="AM108" s="138">
        <f>AM105-AM106</f>
        <v>24.50577870372075</v>
      </c>
      <c r="AN108" s="132"/>
      <c r="AO108" s="146"/>
      <c r="AP108" s="138">
        <f>AP105-AP106</f>
        <v>18.139004214777088</v>
      </c>
      <c r="AQ108" s="132"/>
      <c r="AR108" s="146"/>
      <c r="AS108" s="138">
        <f>AS105-AS106</f>
        <v>10.214179032931312</v>
      </c>
      <c r="AT108" s="132"/>
      <c r="AU108" s="146"/>
    </row>
    <row r="109" spans="13:47" ht="14.5" x14ac:dyDescent="0.35">
      <c r="M109" s="27"/>
      <c r="N109" s="27"/>
      <c r="O109" s="2" t="s">
        <v>191</v>
      </c>
      <c r="P109" s="10"/>
      <c r="Q109" s="2"/>
      <c r="R109" s="181">
        <f>R108/R105</f>
        <v>0.50260002412224147</v>
      </c>
      <c r="S109" s="132"/>
      <c r="T109" s="146"/>
      <c r="U109" s="138">
        <f>U108/U105</f>
        <v>0.5021295200051572</v>
      </c>
      <c r="V109" s="132"/>
      <c r="W109" s="146"/>
      <c r="X109" s="138">
        <f>X108/X105</f>
        <v>0.49970664427009542</v>
      </c>
      <c r="Y109" s="132"/>
      <c r="Z109" s="146"/>
      <c r="AA109" s="138">
        <f>AA108/AA105</f>
        <v>0.49144113164438197</v>
      </c>
      <c r="AB109" s="132"/>
      <c r="AC109" s="146"/>
      <c r="AD109" s="138">
        <f>AD108/AD105</f>
        <v>0.47121639758964673</v>
      </c>
      <c r="AE109" s="132"/>
      <c r="AF109" s="146"/>
      <c r="AG109" s="138">
        <f>AG108/AG105</f>
        <v>0.43684845425826191</v>
      </c>
      <c r="AH109" s="132"/>
      <c r="AI109" s="146"/>
      <c r="AJ109" s="138">
        <f>AJ108/AJ105</f>
        <v>0.38725873149946122</v>
      </c>
      <c r="AK109" s="132"/>
      <c r="AL109" s="146"/>
      <c r="AM109" s="138">
        <f>AM108/AM105</f>
        <v>0.32891111441396093</v>
      </c>
      <c r="AN109" s="132"/>
      <c r="AO109" s="146"/>
      <c r="AP109" s="138">
        <f>AP108/AP105</f>
        <v>0.26620588932591621</v>
      </c>
      <c r="AQ109" s="132"/>
      <c r="AR109" s="146"/>
      <c r="AS109" s="138">
        <f>AS108/AS105</f>
        <v>0.16963079455663005</v>
      </c>
      <c r="AT109" s="132"/>
      <c r="AU109" s="146"/>
    </row>
    <row r="110" spans="13:47" x14ac:dyDescent="0.25">
      <c r="M110" s="27"/>
      <c r="N110" s="27"/>
      <c r="O110" s="2" t="s">
        <v>26</v>
      </c>
      <c r="P110" s="7">
        <v>12</v>
      </c>
      <c r="Q110" s="2"/>
      <c r="R110" s="181">
        <f>1-R109/(3*F_GAMMA*R$29)</f>
        <v>0.73824014807879612</v>
      </c>
      <c r="S110" s="133"/>
      <c r="T110" s="146"/>
      <c r="U110" s="138">
        <f>1-U109/(3*F_GAMMA*U$29)</f>
        <v>0.73854277106298372</v>
      </c>
      <c r="V110" s="133"/>
      <c r="W110" s="146"/>
      <c r="X110" s="138">
        <f>1-X109/(3*F_GAMMA*X$29)</f>
        <v>0.73590100589905671</v>
      </c>
      <c r="Y110" s="133"/>
      <c r="Z110" s="146"/>
      <c r="AA110" s="138">
        <f>1-AA109/(3*F_GAMMA*AA$29)</f>
        <v>0.73670812799336727</v>
      </c>
      <c r="AB110" s="133"/>
      <c r="AC110" s="146"/>
      <c r="AD110" s="138">
        <f>1-AD109/(3*F_GAMMA*AD$29)</f>
        <v>0.74062180629778185</v>
      </c>
      <c r="AE110" s="133"/>
      <c r="AF110" s="146"/>
      <c r="AG110" s="138">
        <f>1-AG109/(3*F_GAMMA*AG$29)</f>
        <v>0.74582318067127928</v>
      </c>
      <c r="AH110" s="133"/>
      <c r="AI110" s="146"/>
      <c r="AJ110" s="138">
        <f>1-AJ109/(3*F_GAMMA*AJ$29)</f>
        <v>0.75912619743016108</v>
      </c>
      <c r="AK110" s="133"/>
      <c r="AL110" s="146"/>
      <c r="AM110" s="138">
        <f>1-AM109/(3*F_GAMMA*AM$29)</f>
        <v>0.77647362924826613</v>
      </c>
      <c r="AN110" s="133"/>
      <c r="AO110" s="146"/>
      <c r="AP110" s="138">
        <f>1-AP109/(3*F_GAMMA*AP$29)</f>
        <v>0.85049563153749608</v>
      </c>
      <c r="AQ110" s="133"/>
      <c r="AR110" s="146"/>
      <c r="AS110" s="138">
        <f>1-AS109/(3*F_GAMMA*AS$29)</f>
        <v>0.8553769385486466</v>
      </c>
      <c r="AT110" s="133"/>
      <c r="AU110" s="146"/>
    </row>
    <row r="111" spans="13:47" x14ac:dyDescent="0.25">
      <c r="M111" s="27"/>
      <c r="N111" s="27"/>
      <c r="O111" s="2" t="s">
        <v>71</v>
      </c>
      <c r="P111" s="85">
        <v>5</v>
      </c>
      <c r="Q111" s="2"/>
      <c r="R111" s="179">
        <f>R103/((N_6*R$27*R110)*SQRT(R109*R105*R107))</f>
        <v>5.4661972954629344E-2</v>
      </c>
      <c r="S111" s="133"/>
      <c r="T111" s="146"/>
      <c r="U111" s="143">
        <f>U103/((N_6*U$27*U110)*SQRT(U109*U105*U107))</f>
        <v>2.1146056891013325</v>
      </c>
      <c r="V111" s="133"/>
      <c r="W111" s="146"/>
      <c r="X111" s="143">
        <f>X103/((N_6*X$27*X110)*SQRT(X109*X105*X107))</f>
        <v>5.2984734524293717</v>
      </c>
      <c r="Y111" s="133"/>
      <c r="Z111" s="146"/>
      <c r="AA111" s="143">
        <f>AA103/((N_6*AA$27*AA110)*SQRT(AA109*AA105*AA107))</f>
        <v>10.627610544833187</v>
      </c>
      <c r="AB111" s="133"/>
      <c r="AC111" s="146"/>
      <c r="AD111" s="143">
        <f>AD103/((N_6*AD$27*AD110)*SQRT(AD109*AD105*AD107))</f>
        <v>18.68143648826981</v>
      </c>
      <c r="AE111" s="133"/>
      <c r="AF111" s="146"/>
      <c r="AG111" s="143">
        <f>AG103/((N_6*AG$27*AG110)*SQRT(AG109*AG105*AG107))</f>
        <v>29.400885643579784</v>
      </c>
      <c r="AH111" s="133"/>
      <c r="AI111" s="146"/>
      <c r="AJ111" s="143">
        <f>AJ103/((N_6*AJ$27*AJ110)*SQRT(AJ109*AJ105*AJ107))</f>
        <v>43.840096439400028</v>
      </c>
      <c r="AK111" s="133"/>
      <c r="AL111" s="146"/>
      <c r="AM111" s="143">
        <f>AM103/((N_6*AM$27*AM110)*SQRT(AM109*AM105*AM107))</f>
        <v>63.394158762177</v>
      </c>
      <c r="AN111" s="133"/>
      <c r="AO111" s="146"/>
      <c r="AP111" s="143">
        <f>AP103/((N_6*AP$27*AP110)*SQRT(AP109*AP105*AP107))</f>
        <v>89.149255705224959</v>
      </c>
      <c r="AQ111" s="133"/>
      <c r="AR111" s="146"/>
      <c r="AS111" s="143">
        <f>AS103/((N_6*AS$27*AS110)*SQRT(AS109*AS105*AS107))</f>
        <v>184.20791899052361</v>
      </c>
      <c r="AT111" s="133"/>
      <c r="AU111" s="146"/>
    </row>
    <row r="112" spans="13:47" x14ac:dyDescent="0.25">
      <c r="M112" s="27"/>
      <c r="N112" s="27"/>
      <c r="O112" s="2" t="s">
        <v>73</v>
      </c>
      <c r="P112" s="85">
        <v>5</v>
      </c>
      <c r="Q112" s="2"/>
      <c r="R112" s="179">
        <f>R103/((N_6*R$27*0.667)*SQRT(R113*R105*R107))</f>
        <v>5.3612896915821447E-2</v>
      </c>
      <c r="S112" s="133"/>
      <c r="T112" s="155"/>
      <c r="U112" s="143">
        <f>U103/((N_6*U$27*0.667)*SQRT(U113*U105*U107))</f>
        <v>2.0736724999423255</v>
      </c>
      <c r="V112" s="133"/>
      <c r="W112" s="155"/>
      <c r="X112" s="143">
        <f>X103/((N_6*X$27*0.667)*SQRT(X113*X105*X107))</f>
        <v>5.2034133423798226</v>
      </c>
      <c r="Y112" s="133"/>
      <c r="Z112" s="155"/>
      <c r="AA112" s="143">
        <f>AA103/((N_6*AA$27*0.667)*SQRT(AA113*AA105*AA107))</f>
        <v>10.432409166462085</v>
      </c>
      <c r="AB112" s="133"/>
      <c r="AC112" s="155"/>
      <c r="AD112" s="143">
        <f>AD103/((N_6*AD$27*0.667)*SQRT(AD113*AD105*AD107))</f>
        <v>18.298196493136103</v>
      </c>
      <c r="AE112" s="133"/>
      <c r="AF112" s="155"/>
      <c r="AG112" s="143">
        <f>AG103/((N_6*AG$27*0.667)*SQRT(AG113*AG105*AG107))</f>
        <v>28.707743294785661</v>
      </c>
      <c r="AH112" s="133"/>
      <c r="AI112" s="155"/>
      <c r="AJ112" s="143">
        <f>AJ103/((N_6*AJ$27*0.667)*SQRT(AJ113*AJ105*AJ107))</f>
        <v>42.414568959088655</v>
      </c>
      <c r="AK112" s="133"/>
      <c r="AL112" s="155"/>
      <c r="AM112" s="143">
        <f>AM103/((N_6*AM$27*0.667)*SQRT(AM113*AM105*AM107))</f>
        <v>60.433135923840602</v>
      </c>
      <c r="AN112" s="133"/>
      <c r="AO112" s="155"/>
      <c r="AP112" s="143">
        <f>AP103/((N_6*AP$27*0.667)*SQRT(AP113*AP105*AP107))</f>
        <v>76.129248677708318</v>
      </c>
      <c r="AQ112" s="133"/>
      <c r="AR112" s="155"/>
      <c r="AS112" s="143">
        <f>AS103/((N_6*AS$27*0.667)*SQRT(AS113*AS105*AS107))</f>
        <v>155.6035146789304</v>
      </c>
      <c r="AT112" s="133"/>
      <c r="AU112" s="155"/>
    </row>
    <row r="113" spans="13:47" ht="15.5" x14ac:dyDescent="0.4">
      <c r="M113" s="27"/>
      <c r="N113" s="27"/>
      <c r="O113" s="2" t="s">
        <v>192</v>
      </c>
      <c r="P113" s="85">
        <v>10</v>
      </c>
      <c r="Q113" s="2"/>
      <c r="R113" s="181">
        <f>F_GAMMA*R$29</f>
        <v>0.64002688015162901</v>
      </c>
      <c r="S113" s="133"/>
      <c r="T113" s="155"/>
      <c r="U113" s="138">
        <f>F_GAMMA*U$29</f>
        <v>0.64016782916606918</v>
      </c>
      <c r="V113" s="133"/>
      <c r="W113" s="155"/>
      <c r="X113" s="138">
        <f>F_GAMMA*X$29</f>
        <v>0.6307062319203669</v>
      </c>
      <c r="Y113" s="133"/>
      <c r="Z113" s="155"/>
      <c r="AA113" s="138">
        <f>F_GAMMA*AA$29</f>
        <v>0.62217534213893466</v>
      </c>
      <c r="AB113" s="133"/>
      <c r="AC113" s="155"/>
      <c r="AD113" s="138">
        <f>F_GAMMA*AD$29</f>
        <v>0.60557184969146072</v>
      </c>
      <c r="AE113" s="133"/>
      <c r="AF113" s="155"/>
      <c r="AG113" s="138">
        <f>F_GAMMA*AG$29</f>
        <v>0.57289312142622573</v>
      </c>
      <c r="AH113" s="133"/>
      <c r="AI113" s="155"/>
      <c r="AJ113" s="138">
        <f>F_GAMMA*AJ$29</f>
        <v>0.53590819116049981</v>
      </c>
      <c r="AK113" s="133"/>
      <c r="AL113" s="155"/>
      <c r="AM113" s="138">
        <f>F_GAMMA*AM$29</f>
        <v>0.49048815926850342</v>
      </c>
      <c r="AN113" s="133"/>
      <c r="AO113" s="155"/>
      <c r="AP113" s="138">
        <f>F_GAMMA*AP$29</f>
        <v>0.59352979016280105</v>
      </c>
      <c r="AQ113" s="133"/>
      <c r="AR113" s="155"/>
      <c r="AS113" s="138">
        <f>F_GAMMA*AS$29</f>
        <v>0.39097221161068291</v>
      </c>
      <c r="AT113" s="133"/>
      <c r="AU113" s="155"/>
    </row>
    <row r="114" spans="13:47" x14ac:dyDescent="0.25">
      <c r="M114" s="27"/>
      <c r="N114" s="27"/>
      <c r="O114" s="2" t="s">
        <v>193</v>
      </c>
      <c r="P114" s="134"/>
      <c r="Q114" s="2"/>
      <c r="R114" s="181">
        <f>IF(R109&lt;R113,R111,R112)</f>
        <v>5.4661972954629344E-2</v>
      </c>
      <c r="S114" s="133"/>
      <c r="T114" s="155"/>
      <c r="U114" s="138">
        <f>IF(U109&lt;U113,U111,U112)</f>
        <v>2.1146056891013325</v>
      </c>
      <c r="V114" s="133"/>
      <c r="W114" s="155"/>
      <c r="X114" s="138">
        <f>IF(X109&lt;X113,X111,X112)</f>
        <v>5.2984734524293717</v>
      </c>
      <c r="Y114" s="133"/>
      <c r="Z114" s="155"/>
      <c r="AA114" s="138">
        <f>IF(AA109&lt;AA113,AA111,AA112)</f>
        <v>10.627610544833187</v>
      </c>
      <c r="AB114" s="133"/>
      <c r="AC114" s="155"/>
      <c r="AD114" s="138">
        <f>IF(AD109&lt;AD113,AD111,AD112)</f>
        <v>18.68143648826981</v>
      </c>
      <c r="AE114" s="133"/>
      <c r="AF114" s="155"/>
      <c r="AG114" s="138">
        <f>IF(AG109&lt;AG113,AG111,AG112)</f>
        <v>29.400885643579784</v>
      </c>
      <c r="AH114" s="133"/>
      <c r="AI114" s="155"/>
      <c r="AJ114" s="138">
        <f>IF(AJ109&lt;AJ113,AJ111,AJ112)</f>
        <v>43.840096439400028</v>
      </c>
      <c r="AK114" s="133"/>
      <c r="AL114" s="155"/>
      <c r="AM114" s="138">
        <f>IF(AM109&lt;AM113,AM111,AM112)</f>
        <v>63.394158762177</v>
      </c>
      <c r="AN114" s="133"/>
      <c r="AO114" s="155"/>
      <c r="AP114" s="138">
        <f>IF(AP109&lt;AP113,AP111,AP112)</f>
        <v>89.149255705224959</v>
      </c>
      <c r="AQ114" s="133"/>
      <c r="AR114" s="155"/>
      <c r="AS114" s="138">
        <f>IF(AS109&lt;AS113,AS111,AS112)</f>
        <v>184.20791899052361</v>
      </c>
      <c r="AT114" s="133"/>
      <c r="AU114" s="155"/>
    </row>
    <row r="115" spans="13:47" ht="13" x14ac:dyDescent="0.3">
      <c r="M115" s="28"/>
      <c r="N115" s="28"/>
      <c r="O115" s="9" t="s">
        <v>194</v>
      </c>
      <c r="P115" s="1"/>
      <c r="Q115" s="1"/>
      <c r="R115" s="135"/>
      <c r="S115" s="132">
        <f>IF(R108&lt;=0,W_max,ABS(R$23-R114))</f>
        <v>1.9453380270453706</v>
      </c>
      <c r="T115" s="151">
        <f>R103</f>
        <v>12.641725196639999</v>
      </c>
      <c r="U115" s="135"/>
      <c r="V115" s="132">
        <f>IF(U108&lt;=0,W_max,ABS(U$23-U114))</f>
        <v>2.8853943108986675</v>
      </c>
      <c r="W115" s="151">
        <f>U103</f>
        <v>488.25249930683714</v>
      </c>
      <c r="X115" s="135"/>
      <c r="Y115" s="132">
        <f>IF(X108&lt;=0,W_max,ABS(X$23-X114))</f>
        <v>4.7015265475706283</v>
      </c>
      <c r="Z115" s="151">
        <f>X103</f>
        <v>1207.5065335143224</v>
      </c>
      <c r="AA115" s="135"/>
      <c r="AB115" s="132">
        <f>IF(AA108&lt;=0,W_max,ABS(AA$23-AA114))</f>
        <v>6.5723894551668121</v>
      </c>
      <c r="AC115" s="151">
        <f>AA103</f>
        <v>2351.9145167816359</v>
      </c>
      <c r="AD115" s="135"/>
      <c r="AE115" s="132">
        <f>IF(AD108&lt;=0,W_max,ABS(AD$23-AD114))</f>
        <v>7.9185635117301914</v>
      </c>
      <c r="AF115" s="151">
        <f>AD103</f>
        <v>3868.0334565556577</v>
      </c>
      <c r="AG115" s="135"/>
      <c r="AH115" s="132">
        <f>IF(AG108&lt;=0,W_max,ABS(AG$23-AG114))</f>
        <v>8.9991143564202147</v>
      </c>
      <c r="AI115" s="151">
        <f>AG103</f>
        <v>5425.2147078989092</v>
      </c>
      <c r="AJ115" s="135"/>
      <c r="AK115" s="132">
        <f>IF(AJ108&lt;=0,W_max,ABS(AJ$23-AJ114))</f>
        <v>8.6599035605999717</v>
      </c>
      <c r="AL115" s="151">
        <f>AJ103</f>
        <v>6888.5830903441947</v>
      </c>
      <c r="AM115" s="135"/>
      <c r="AN115" s="132">
        <f>IF(AM108&lt;=0,W_max,ABS(AM$23-AM114))</f>
        <v>9.0058412378230059</v>
      </c>
      <c r="AO115" s="151">
        <f>AM103</f>
        <v>8077.4054255200999</v>
      </c>
      <c r="AP115" s="135"/>
      <c r="AQ115" s="132">
        <f>IF(AP108&lt;=0,W_max,ABS(AP$23-AP114))</f>
        <v>18.850744294775041</v>
      </c>
      <c r="AR115" s="151">
        <f>AP103</f>
        <v>9011.7055564354669</v>
      </c>
      <c r="AS115" s="135"/>
      <c r="AT115" s="132">
        <f>IF(AS108&lt;=0,W_max,ABS(AS$23-AS114))</f>
        <v>4.2079189905236092</v>
      </c>
      <c r="AU115" s="151">
        <f>AS103</f>
        <v>10054.074638783006</v>
      </c>
    </row>
    <row r="116" spans="13:47" ht="13" x14ac:dyDescent="0.25">
      <c r="M116" s="12"/>
      <c r="N116" s="12"/>
      <c r="O116" s="2"/>
      <c r="P116" s="85"/>
      <c r="Q116" s="2"/>
      <c r="R116" s="18"/>
      <c r="S116" s="150"/>
      <c r="T116" s="148"/>
      <c r="U116" s="157"/>
      <c r="V116" s="1"/>
      <c r="W116" s="147"/>
      <c r="X116" s="157"/>
      <c r="Y116" s="1"/>
      <c r="Z116" s="147"/>
      <c r="AA116" s="157"/>
      <c r="AB116" s="1"/>
      <c r="AC116" s="147"/>
      <c r="AD116" s="157"/>
      <c r="AE116" s="1"/>
      <c r="AF116" s="147"/>
      <c r="AG116" s="157"/>
      <c r="AH116" s="1"/>
      <c r="AI116" s="147"/>
      <c r="AJ116" s="157"/>
      <c r="AK116" s="1"/>
      <c r="AL116" s="147"/>
      <c r="AM116" s="157"/>
      <c r="AN116" s="1"/>
      <c r="AO116" s="147"/>
      <c r="AP116" s="157"/>
      <c r="AQ116" s="1"/>
      <c r="AR116" s="147"/>
      <c r="AS116" s="157"/>
      <c r="AT116" s="1"/>
      <c r="AU116" s="147"/>
    </row>
    <row r="117" spans="13:47" ht="14" x14ac:dyDescent="0.3">
      <c r="M117" s="23"/>
      <c r="N117" s="23"/>
      <c r="O117" s="23" t="s">
        <v>238</v>
      </c>
      <c r="P117" s="20"/>
      <c r="Q117" s="20"/>
      <c r="R117" s="181">
        <f>R103*1.02</f>
        <v>12.894559700572799</v>
      </c>
      <c r="S117" s="128" t="s">
        <v>185</v>
      </c>
      <c r="T117" s="149" t="s">
        <v>186</v>
      </c>
      <c r="U117" s="143">
        <f>U103*1.01</f>
        <v>493.13502429990552</v>
      </c>
      <c r="V117" s="128" t="s">
        <v>185</v>
      </c>
      <c r="W117" s="153" t="s">
        <v>186</v>
      </c>
      <c r="X117" s="143">
        <f>X103*1.01</f>
        <v>1219.5815988494658</v>
      </c>
      <c r="Y117" s="128" t="s">
        <v>185</v>
      </c>
      <c r="Z117" s="153" t="s">
        <v>186</v>
      </c>
      <c r="AA117" s="143">
        <f>AA103*1.01</f>
        <v>2375.4336619494525</v>
      </c>
      <c r="AB117" s="128" t="s">
        <v>185</v>
      </c>
      <c r="AC117" s="153" t="s">
        <v>186</v>
      </c>
      <c r="AD117" s="143">
        <f>AD103*1.01</f>
        <v>3906.7137911212144</v>
      </c>
      <c r="AE117" s="128" t="s">
        <v>185</v>
      </c>
      <c r="AF117" s="153" t="s">
        <v>186</v>
      </c>
      <c r="AG117" s="143">
        <f>AG103*1.01</f>
        <v>5479.466854977898</v>
      </c>
      <c r="AH117" s="128" t="s">
        <v>185</v>
      </c>
      <c r="AI117" s="153" t="s">
        <v>186</v>
      </c>
      <c r="AJ117" s="143">
        <f>AJ103*1.01</f>
        <v>6957.4689212476369</v>
      </c>
      <c r="AK117" s="128" t="s">
        <v>185</v>
      </c>
      <c r="AL117" s="153" t="s">
        <v>186</v>
      </c>
      <c r="AM117" s="143">
        <f>AM103*1.01</f>
        <v>8158.1794797753009</v>
      </c>
      <c r="AN117" s="128" t="s">
        <v>185</v>
      </c>
      <c r="AO117" s="153" t="s">
        <v>186</v>
      </c>
      <c r="AP117" s="143">
        <f>AP103*1.01</f>
        <v>9101.8226119998217</v>
      </c>
      <c r="AQ117" s="128" t="s">
        <v>185</v>
      </c>
      <c r="AR117" s="153" t="s">
        <v>186</v>
      </c>
      <c r="AS117" s="143">
        <f>AS103*1.01</f>
        <v>10154.615385170837</v>
      </c>
      <c r="AT117" s="128" t="s">
        <v>185</v>
      </c>
      <c r="AU117" s="153" t="s">
        <v>186</v>
      </c>
    </row>
    <row r="118" spans="13:47" ht="14" x14ac:dyDescent="0.3">
      <c r="M118" s="12"/>
      <c r="N118" s="12"/>
      <c r="O118" s="20"/>
      <c r="P118" s="20"/>
      <c r="Q118" s="23"/>
      <c r="R118" s="139"/>
      <c r="S118" s="130" t="s">
        <v>228</v>
      </c>
      <c r="T118" s="131" t="s">
        <v>187</v>
      </c>
      <c r="U118" s="144"/>
      <c r="V118" s="130" t="s">
        <v>228</v>
      </c>
      <c r="W118" s="154" t="s">
        <v>187</v>
      </c>
      <c r="X118" s="144"/>
      <c r="Y118" s="130" t="s">
        <v>228</v>
      </c>
      <c r="Z118" s="154" t="s">
        <v>187</v>
      </c>
      <c r="AA118" s="144"/>
      <c r="AB118" s="130" t="s">
        <v>228</v>
      </c>
      <c r="AC118" s="154" t="s">
        <v>187</v>
      </c>
      <c r="AD118" s="144"/>
      <c r="AE118" s="130" t="s">
        <v>228</v>
      </c>
      <c r="AF118" s="154" t="s">
        <v>187</v>
      </c>
      <c r="AG118" s="144"/>
      <c r="AH118" s="130" t="s">
        <v>228</v>
      </c>
      <c r="AI118" s="154" t="s">
        <v>187</v>
      </c>
      <c r="AJ118" s="144"/>
      <c r="AK118" s="130" t="s">
        <v>228</v>
      </c>
      <c r="AL118" s="154" t="s">
        <v>187</v>
      </c>
      <c r="AM118" s="144"/>
      <c r="AN118" s="130" t="s">
        <v>228</v>
      </c>
      <c r="AO118" s="154" t="s">
        <v>187</v>
      </c>
      <c r="AP118" s="144"/>
      <c r="AQ118" s="130" t="s">
        <v>228</v>
      </c>
      <c r="AR118" s="154" t="s">
        <v>187</v>
      </c>
      <c r="AS118" s="144"/>
      <c r="AT118" s="130" t="s">
        <v>228</v>
      </c>
      <c r="AU118" s="154" t="s">
        <v>187</v>
      </c>
    </row>
    <row r="119" spans="13:47" x14ac:dyDescent="0.25">
      <c r="M119" s="20"/>
      <c r="N119" s="20"/>
      <c r="O119" s="7" t="s">
        <v>188</v>
      </c>
      <c r="P119" s="7"/>
      <c r="Q119" s="7"/>
      <c r="R119" s="181">
        <f>P_1_minW-(R117^2*R_up)+dpup_minQ</f>
        <v>100.52272043472782</v>
      </c>
      <c r="S119" s="132"/>
      <c r="T119" s="145"/>
      <c r="U119" s="138">
        <f>P_1_minW-(U117^2*R_up)+dpup_minQ</f>
        <v>100.42581497510947</v>
      </c>
      <c r="V119" s="132"/>
      <c r="W119" s="145"/>
      <c r="X119" s="138">
        <f>P_1_minW-(X117^2*R_up)+dpup_minQ</f>
        <v>99.929676644923092</v>
      </c>
      <c r="Y119" s="132"/>
      <c r="Z119" s="145"/>
      <c r="AA119" s="138">
        <f>P_1_minW-(AA117^2*R_up)+dpup_minQ</f>
        <v>98.272699270382446</v>
      </c>
      <c r="AB119" s="132"/>
      <c r="AC119" s="145"/>
      <c r="AD119" s="138">
        <f>P_1_minW-(AD117^2*R_up)+dpup_minQ</f>
        <v>94.436719040350653</v>
      </c>
      <c r="AE119" s="132"/>
      <c r="AF119" s="145"/>
      <c r="AG119" s="138">
        <f>P_1_minW-(AG117^2*R_up)+dpup_minQ</f>
        <v>88.550139240734183</v>
      </c>
      <c r="AH119" s="132"/>
      <c r="AI119" s="145"/>
      <c r="AJ119" s="138">
        <f>P_1_minW-(AJ117^2*R_up)+dpup_minQ</f>
        <v>81.220172224787888</v>
      </c>
      <c r="AK119" s="132"/>
      <c r="AL119" s="145"/>
      <c r="AM119" s="138">
        <f>P_1_minW-(AM117^2*R_up)+dpup_minQ</f>
        <v>73.982836842257328</v>
      </c>
      <c r="AN119" s="132"/>
      <c r="AO119" s="145"/>
      <c r="AP119" s="138">
        <f>P_1_minW-(AP117^2*R_up)+dpup_minQ</f>
        <v>67.488090186085898</v>
      </c>
      <c r="AQ119" s="132"/>
      <c r="AR119" s="145"/>
      <c r="AS119" s="138">
        <f>P_1_minW-(AS117^2*R_up)+dpup_minQ</f>
        <v>59.403976018085018</v>
      </c>
      <c r="AT119" s="132"/>
      <c r="AU119" s="145"/>
    </row>
    <row r="120" spans="13:47" x14ac:dyDescent="0.25">
      <c r="M120" s="20"/>
      <c r="N120" s="20"/>
      <c r="O120" s="7" t="s">
        <v>189</v>
      </c>
      <c r="P120" s="1"/>
      <c r="Q120" s="7"/>
      <c r="R120" s="181">
        <f>P_2_minW+(R117^2*R_dn)-dpdn_minQ</f>
        <v>50</v>
      </c>
      <c r="S120" s="132"/>
      <c r="T120" s="146"/>
      <c r="U120" s="138">
        <f>P_2_minW+(U117^2*R_dn)-dpdn_minQ</f>
        <v>50</v>
      </c>
      <c r="V120" s="132"/>
      <c r="W120" s="146"/>
      <c r="X120" s="138">
        <f>P_2_minW+(X117^2*R_dn)-dpdn_minQ</f>
        <v>50</v>
      </c>
      <c r="Y120" s="132"/>
      <c r="Z120" s="146"/>
      <c r="AA120" s="138">
        <f>P_2_minW+(AA117^2*R_dn)-dpdn_minQ</f>
        <v>50</v>
      </c>
      <c r="AB120" s="132"/>
      <c r="AC120" s="146"/>
      <c r="AD120" s="138">
        <f>P_2_minW+(AD117^2*R_dn)-dpdn_minQ</f>
        <v>50</v>
      </c>
      <c r="AE120" s="132"/>
      <c r="AF120" s="146"/>
      <c r="AG120" s="138">
        <f>P_2_minW+(AG117^2*R_dn)-dpdn_minQ</f>
        <v>50</v>
      </c>
      <c r="AH120" s="132"/>
      <c r="AI120" s="146"/>
      <c r="AJ120" s="138">
        <f>P_2_minW+(AJ117^2*R_dn)-dpdn_minQ</f>
        <v>50</v>
      </c>
      <c r="AK120" s="132"/>
      <c r="AL120" s="146"/>
      <c r="AM120" s="138">
        <f>P_2_minW+(AM117^2*R_dn)-dpdn_minQ</f>
        <v>50</v>
      </c>
      <c r="AN120" s="132"/>
      <c r="AO120" s="146"/>
      <c r="AP120" s="138">
        <f>P_2_minW+(AP117^2*R_dn)-dpdn_minQ</f>
        <v>50</v>
      </c>
      <c r="AQ120" s="132"/>
      <c r="AR120" s="146"/>
      <c r="AS120" s="138">
        <f>P_2_minW+(AS117^2*R_dn)-dpdn_minQ</f>
        <v>50</v>
      </c>
      <c r="AT120" s="132"/>
      <c r="AU120" s="146"/>
    </row>
    <row r="121" spans="13:47" x14ac:dyDescent="0.25">
      <c r="M121" s="20"/>
      <c r="N121" s="20"/>
      <c r="O121" s="7" t="s">
        <v>234</v>
      </c>
      <c r="P121" s="1"/>
      <c r="Q121" s="7"/>
      <c r="R121" s="179">
        <f>'Valve Sizing'!G$8*R119/P_1_maxW</f>
        <v>0.48490370640985259</v>
      </c>
      <c r="S121" s="132"/>
      <c r="T121" s="146"/>
      <c r="U121" s="143">
        <f>'Valve Sizing'!$G$8*U119/P_1_maxW</f>
        <v>0.48443625172560739</v>
      </c>
      <c r="V121" s="132"/>
      <c r="W121" s="146"/>
      <c r="X121" s="143">
        <f>'Valve Sizing'!$G$8*X119/P_1_maxW</f>
        <v>0.48204296875277353</v>
      </c>
      <c r="Y121" s="132"/>
      <c r="Z121" s="146"/>
      <c r="AA121" s="143">
        <f>'Valve Sizing'!$G$8*AA119/P_1_maxW</f>
        <v>0.47405000490462801</v>
      </c>
      <c r="AB121" s="132"/>
      <c r="AC121" s="146"/>
      <c r="AD121" s="143">
        <f>'Valve Sizing'!$G$8*AD119/P_1_maxW</f>
        <v>0.4555459192291399</v>
      </c>
      <c r="AE121" s="132"/>
      <c r="AF121" s="146"/>
      <c r="AG121" s="143">
        <f>'Valve Sizing'!$G$8*AG119/P_1_maxW</f>
        <v>0.42715010631672623</v>
      </c>
      <c r="AH121" s="132"/>
      <c r="AI121" s="146"/>
      <c r="AJ121" s="143">
        <f>'Valve Sizing'!$G$8*AJ119/P_1_maxW</f>
        <v>0.39179165045199216</v>
      </c>
      <c r="AK121" s="132"/>
      <c r="AL121" s="146"/>
      <c r="AM121" s="143">
        <f>'Valve Sizing'!$G$8*AM119/P_1_maxW</f>
        <v>0.35688003309480976</v>
      </c>
      <c r="AN121" s="132"/>
      <c r="AO121" s="146"/>
      <c r="AP121" s="143">
        <f>'Valve Sizing'!$G$8*AP119/P_1_maxW</f>
        <v>0.32555053154380997</v>
      </c>
      <c r="AQ121" s="132"/>
      <c r="AR121" s="146"/>
      <c r="AS121" s="143">
        <f>'Valve Sizing'!$G$8*AS119/P_1_maxW</f>
        <v>0.28655420408518928</v>
      </c>
      <c r="AT121" s="132"/>
      <c r="AU121" s="146"/>
    </row>
    <row r="122" spans="13:47" x14ac:dyDescent="0.25">
      <c r="M122" s="20"/>
      <c r="N122" s="20"/>
      <c r="O122" s="7" t="s">
        <v>190</v>
      </c>
      <c r="P122" s="1"/>
      <c r="Q122" s="7"/>
      <c r="R122" s="181">
        <f>R119-R120</f>
        <v>50.522720434727816</v>
      </c>
      <c r="S122" s="132"/>
      <c r="T122" s="146"/>
      <c r="U122" s="138">
        <f>U119-U120</f>
        <v>50.425814975109475</v>
      </c>
      <c r="V122" s="132"/>
      <c r="W122" s="146"/>
      <c r="X122" s="138">
        <f>X119-X120</f>
        <v>49.929676644923092</v>
      </c>
      <c r="Y122" s="132"/>
      <c r="Z122" s="146"/>
      <c r="AA122" s="138">
        <f>AA119-AA120</f>
        <v>48.272699270382446</v>
      </c>
      <c r="AB122" s="132"/>
      <c r="AC122" s="146"/>
      <c r="AD122" s="138">
        <f>AD119-AD120</f>
        <v>44.436719040350653</v>
      </c>
      <c r="AE122" s="132"/>
      <c r="AF122" s="146"/>
      <c r="AG122" s="138">
        <f>AG119-AG120</f>
        <v>38.550139240734183</v>
      </c>
      <c r="AH122" s="132"/>
      <c r="AI122" s="146"/>
      <c r="AJ122" s="138">
        <f>AJ119-AJ120</f>
        <v>31.220172224787888</v>
      </c>
      <c r="AK122" s="132"/>
      <c r="AL122" s="146"/>
      <c r="AM122" s="138">
        <f>AM119-AM120</f>
        <v>23.982836842257328</v>
      </c>
      <c r="AN122" s="132"/>
      <c r="AO122" s="146"/>
      <c r="AP122" s="138">
        <f>AP119-AP120</f>
        <v>17.488090186085898</v>
      </c>
      <c r="AQ122" s="132"/>
      <c r="AR122" s="146"/>
      <c r="AS122" s="138">
        <f>AS119-AS120</f>
        <v>9.403976018085018</v>
      </c>
      <c r="AT122" s="132"/>
      <c r="AU122" s="146"/>
    </row>
    <row r="123" spans="13:47" ht="14.5" x14ac:dyDescent="0.35">
      <c r="M123" s="27"/>
      <c r="N123" s="27"/>
      <c r="O123" s="2" t="s">
        <v>191</v>
      </c>
      <c r="P123" s="10"/>
      <c r="Q123" s="2"/>
      <c r="R123" s="181">
        <f>R122/R119</f>
        <v>0.50260001138283572</v>
      </c>
      <c r="S123" s="132"/>
      <c r="T123" s="146"/>
      <c r="U123" s="138">
        <f>U122/U119</f>
        <v>0.50212004739625471</v>
      </c>
      <c r="V123" s="132"/>
      <c r="W123" s="146"/>
      <c r="X123" s="138">
        <f>X122/X119</f>
        <v>0.49964813578189199</v>
      </c>
      <c r="Y123" s="132"/>
      <c r="Z123" s="146"/>
      <c r="AA123" s="138">
        <f>AA122/AA119</f>
        <v>0.49121169591126651</v>
      </c>
      <c r="AB123" s="132"/>
      <c r="AC123" s="146"/>
      <c r="AD123" s="138">
        <f>AD122/AD119</f>
        <v>0.47054492671821707</v>
      </c>
      <c r="AE123" s="132"/>
      <c r="AF123" s="146"/>
      <c r="AG123" s="138">
        <f>AG122/AG119</f>
        <v>0.4353481493228486</v>
      </c>
      <c r="AH123" s="132"/>
      <c r="AI123" s="146"/>
      <c r="AJ123" s="138">
        <f>AJ122/AJ119</f>
        <v>0.38438938713872473</v>
      </c>
      <c r="AK123" s="132"/>
      <c r="AL123" s="146"/>
      <c r="AM123" s="138">
        <f>AM122/AM119</f>
        <v>0.32416757542553265</v>
      </c>
      <c r="AN123" s="132"/>
      <c r="AO123" s="146"/>
      <c r="AP123" s="138">
        <f>AP122/AP119</f>
        <v>0.25912853864831159</v>
      </c>
      <c r="AQ123" s="132"/>
      <c r="AR123" s="146"/>
      <c r="AS123" s="138">
        <f>AS122/AS119</f>
        <v>0.15830549819126685</v>
      </c>
      <c r="AT123" s="132"/>
      <c r="AU123" s="146"/>
    </row>
    <row r="124" spans="13:47" x14ac:dyDescent="0.25">
      <c r="M124" s="27"/>
      <c r="N124" s="27"/>
      <c r="O124" s="2" t="s">
        <v>26</v>
      </c>
      <c r="P124" s="7">
        <v>12</v>
      </c>
      <c r="Q124" s="2"/>
      <c r="R124" s="181">
        <f>1-R123/(3*F_GAMMA*R$29)</f>
        <v>0.73824015471362459</v>
      </c>
      <c r="S124" s="133"/>
      <c r="T124" s="146"/>
      <c r="U124" s="138">
        <f>1-U123/(3*F_GAMMA*U$29)</f>
        <v>0.73854770342002651</v>
      </c>
      <c r="V124" s="133"/>
      <c r="W124" s="146"/>
      <c r="X124" s="138">
        <f>1-X123/(3*F_GAMMA*X$29)</f>
        <v>0.7359319281072324</v>
      </c>
      <c r="Y124" s="133"/>
      <c r="Z124" s="146"/>
      <c r="AA124" s="138">
        <f>1-AA123/(3*F_GAMMA*AA$29)</f>
        <v>0.73683104925450604</v>
      </c>
      <c r="AB124" s="133"/>
      <c r="AC124" s="146"/>
      <c r="AD124" s="138">
        <f>1-AD123/(3*F_GAMMA*AD$29)</f>
        <v>0.74099141334593632</v>
      </c>
      <c r="AE124" s="133"/>
      <c r="AF124" s="146"/>
      <c r="AG124" s="138">
        <f>1-AG123/(3*F_GAMMA*AG$29)</f>
        <v>0.74669612123634099</v>
      </c>
      <c r="AH124" s="133"/>
      <c r="AI124" s="146"/>
      <c r="AJ124" s="138">
        <f>1-AJ123/(3*F_GAMMA*AJ$29)</f>
        <v>0.76091092126163362</v>
      </c>
      <c r="AK124" s="133"/>
      <c r="AL124" s="146"/>
      <c r="AM124" s="138">
        <f>1-AM123/(3*F_GAMMA*AM$29)</f>
        <v>0.77969731494369166</v>
      </c>
      <c r="AN124" s="133"/>
      <c r="AO124" s="146"/>
      <c r="AP124" s="138">
        <f>1-AP123/(3*F_GAMMA*AP$29)</f>
        <v>0.85447035518512926</v>
      </c>
      <c r="AQ124" s="133"/>
      <c r="AR124" s="146"/>
      <c r="AS124" s="138">
        <f>1-AS123/(3*F_GAMMA*AS$29)</f>
        <v>0.86503260889130895</v>
      </c>
      <c r="AT124" s="133"/>
      <c r="AU124" s="146"/>
    </row>
    <row r="125" spans="13:47" x14ac:dyDescent="0.25">
      <c r="M125" s="27"/>
      <c r="N125" s="27"/>
      <c r="O125" s="2" t="s">
        <v>71</v>
      </c>
      <c r="P125" s="85">
        <v>5</v>
      </c>
      <c r="Q125" s="2"/>
      <c r="R125" s="179">
        <f>R117/((N_6*R$27*R124)*SQRT(R123*R119*R121))</f>
        <v>5.5755214047245975E-2</v>
      </c>
      <c r="S125" s="133"/>
      <c r="T125" s="146"/>
      <c r="U125" s="143">
        <f>U117/((N_6*U$27*U124)*SQRT(U123*U119*U121))</f>
        <v>2.1357982634252153</v>
      </c>
      <c r="V125" s="133"/>
      <c r="W125" s="146"/>
      <c r="X125" s="143">
        <f>X117/((N_6*X$27*X124)*SQRT(X123*X119*X121))</f>
        <v>5.3521724891874749</v>
      </c>
      <c r="Y125" s="133"/>
      <c r="Z125" s="146"/>
      <c r="AA125" s="143">
        <f>AA117/((N_6*AA$27*AA124)*SQRT(AA123*AA119*AA121))</f>
        <v>10.739444968485371</v>
      </c>
      <c r="AB125" s="133"/>
      <c r="AC125" s="146"/>
      <c r="AD125" s="143">
        <f>AD117/((N_6*AD$27*AD124)*SQRT(AD123*AD119*AD121))</f>
        <v>18.896255206374416</v>
      </c>
      <c r="AE125" s="133"/>
      <c r="AF125" s="146"/>
      <c r="AG125" s="143">
        <f>AG117/((N_6*AG$27*AG124)*SQRT(AG123*AG119*AG121))</f>
        <v>29.790397246933008</v>
      </c>
      <c r="AH125" s="133"/>
      <c r="AI125" s="146"/>
      <c r="AJ125" s="143">
        <f>AJ117/((N_6*AJ$27*AJ124)*SQRT(AJ123*AJ119*AJ121))</f>
        <v>44.546841660369672</v>
      </c>
      <c r="AK125" s="133"/>
      <c r="AL125" s="146"/>
      <c r="AM125" s="143">
        <f>AM117/((N_6*AM$27*AM124)*SQRT(AM123*AM119*AM121))</f>
        <v>64.682195878403789</v>
      </c>
      <c r="AN125" s="133"/>
      <c r="AO125" s="146"/>
      <c r="AP125" s="143">
        <f>AP117/((N_6*AP$27*AP124)*SQRT(AP123*AP119*AP121))</f>
        <v>91.71366176567139</v>
      </c>
      <c r="AQ125" s="133"/>
      <c r="AR125" s="146"/>
      <c r="AS125" s="143">
        <f>AS117/((N_6*AS$27*AS124)*SQRT(AS123*AS119*AS121))</f>
        <v>193.03778795158559</v>
      </c>
      <c r="AT125" s="133"/>
      <c r="AU125" s="146"/>
    </row>
    <row r="126" spans="13:47" x14ac:dyDescent="0.25">
      <c r="M126" s="27"/>
      <c r="N126" s="27"/>
      <c r="O126" s="2" t="s">
        <v>73</v>
      </c>
      <c r="P126" s="85">
        <v>5</v>
      </c>
      <c r="Q126" s="2"/>
      <c r="R126" s="179">
        <f>R117/((N_6*R$27*0.667)*SQRT(R127*R119*R121))</f>
        <v>5.4685156254733795E-2</v>
      </c>
      <c r="S126" s="133"/>
      <c r="T126" s="147"/>
      <c r="U126" s="143">
        <f>U117/((N_6*U$27*0.667)*SQRT(U127*U119*U121))</f>
        <v>2.0944490736981365</v>
      </c>
      <c r="V126" s="133"/>
      <c r="W126" s="155"/>
      <c r="X126" s="143">
        <f>X117/((N_6*X$27*0.667)*SQRT(X127*X119*X121))</f>
        <v>5.2560620917746714</v>
      </c>
      <c r="Y126" s="133"/>
      <c r="Z126" s="155"/>
      <c r="AA126" s="143">
        <f>AA117/((N_6*AA$27*0.667)*SQRT(AA127*AA119*AA121))</f>
        <v>10.541486892897714</v>
      </c>
      <c r="AB126" s="133"/>
      <c r="AC126" s="155"/>
      <c r="AD126" s="143">
        <f>AD117/((N_6*AD$27*0.667)*SQRT(AD127*AD119*AD121))</f>
        <v>18.504646608266746</v>
      </c>
      <c r="AE126" s="133"/>
      <c r="AF126" s="155"/>
      <c r="AG126" s="143">
        <f>AG117/((N_6*AG$27*0.667)*SQRT(AG127*AG119*AG121))</f>
        <v>29.072066493936546</v>
      </c>
      <c r="AH126" s="133"/>
      <c r="AI126" s="155"/>
      <c r="AJ126" s="143">
        <f>AJ117/((N_6*AJ$27*0.667)*SQRT(AJ127*AJ119*AJ121))</f>
        <v>43.039319750077695</v>
      </c>
      <c r="AK126" s="133"/>
      <c r="AL126" s="155"/>
      <c r="AM126" s="143">
        <f>AM117/((N_6*AM$27*0.667)*SQRT(AM127*AM119*AM121))</f>
        <v>61.468905818317701</v>
      </c>
      <c r="AN126" s="133"/>
      <c r="AO126" s="155"/>
      <c r="AP126" s="143">
        <f>AP117/((N_6*AP$27*0.667)*SQRT(AP127*AP119*AP121))</f>
        <v>77.632140634549216</v>
      </c>
      <c r="AQ126" s="133"/>
      <c r="AR126" s="155"/>
      <c r="AS126" s="143">
        <f>AS117/((N_6*AS$27*0.667)*SQRT(AS127*AS119*AS121))</f>
        <v>159.30302825285256</v>
      </c>
      <c r="AT126" s="133"/>
      <c r="AU126" s="155"/>
    </row>
    <row r="127" spans="13:47" ht="15.5" x14ac:dyDescent="0.4">
      <c r="M127" s="27"/>
      <c r="N127" s="27"/>
      <c r="O127" s="2" t="s">
        <v>192</v>
      </c>
      <c r="P127" s="85">
        <v>10</v>
      </c>
      <c r="Q127" s="2"/>
      <c r="R127" s="181">
        <f>F_GAMMA*R$29</f>
        <v>0.64002688015162901</v>
      </c>
      <c r="S127" s="133"/>
      <c r="T127" s="147"/>
      <c r="U127" s="138">
        <f>F_GAMMA*U$29</f>
        <v>0.64016782916606918</v>
      </c>
      <c r="V127" s="133"/>
      <c r="W127" s="155"/>
      <c r="X127" s="138">
        <f>F_GAMMA*X$29</f>
        <v>0.6307062319203669</v>
      </c>
      <c r="Y127" s="133"/>
      <c r="Z127" s="155"/>
      <c r="AA127" s="138">
        <f>F_GAMMA*AA$29</f>
        <v>0.62217534213893466</v>
      </c>
      <c r="AB127" s="133"/>
      <c r="AC127" s="155"/>
      <c r="AD127" s="138">
        <f>F_GAMMA*AD$29</f>
        <v>0.60557184969146072</v>
      </c>
      <c r="AE127" s="133"/>
      <c r="AF127" s="155"/>
      <c r="AG127" s="138">
        <f>F_GAMMA*AG$29</f>
        <v>0.57289312142622573</v>
      </c>
      <c r="AH127" s="133"/>
      <c r="AI127" s="155"/>
      <c r="AJ127" s="138">
        <f>F_GAMMA*AJ$29</f>
        <v>0.53590819116049981</v>
      </c>
      <c r="AK127" s="133"/>
      <c r="AL127" s="155"/>
      <c r="AM127" s="138">
        <f>F_GAMMA*AM$29</f>
        <v>0.49048815926850342</v>
      </c>
      <c r="AN127" s="133"/>
      <c r="AO127" s="155"/>
      <c r="AP127" s="138">
        <f>F_GAMMA*AP$29</f>
        <v>0.59352979016280105</v>
      </c>
      <c r="AQ127" s="133"/>
      <c r="AR127" s="155"/>
      <c r="AS127" s="138">
        <f>F_GAMMA*AS$29</f>
        <v>0.39097221161068291</v>
      </c>
      <c r="AT127" s="133"/>
      <c r="AU127" s="155"/>
    </row>
    <row r="128" spans="13:47" x14ac:dyDescent="0.25">
      <c r="M128" s="27"/>
      <c r="N128" s="27"/>
      <c r="O128" s="2" t="s">
        <v>193</v>
      </c>
      <c r="P128" s="134"/>
      <c r="Q128" s="2"/>
      <c r="R128" s="181">
        <f>IF(R123&lt;R127,R125,R126)</f>
        <v>5.5755214047245975E-2</v>
      </c>
      <c r="S128" s="133"/>
      <c r="T128" s="147"/>
      <c r="U128" s="138">
        <f>IF(U123&lt;U127,U125,U126)</f>
        <v>2.1357982634252153</v>
      </c>
      <c r="V128" s="133"/>
      <c r="W128" s="155"/>
      <c r="X128" s="138">
        <f>IF(X123&lt;X127,X125,X126)</f>
        <v>5.3521724891874749</v>
      </c>
      <c r="Y128" s="133"/>
      <c r="Z128" s="155"/>
      <c r="AA128" s="138">
        <f>IF(AA123&lt;AA127,AA125,AA126)</f>
        <v>10.739444968485371</v>
      </c>
      <c r="AB128" s="133"/>
      <c r="AC128" s="155"/>
      <c r="AD128" s="138">
        <f>IF(AD123&lt;AD127,AD125,AD126)</f>
        <v>18.896255206374416</v>
      </c>
      <c r="AE128" s="133"/>
      <c r="AF128" s="155"/>
      <c r="AG128" s="138">
        <f>IF(AG123&lt;AG127,AG125,AG126)</f>
        <v>29.790397246933008</v>
      </c>
      <c r="AH128" s="133"/>
      <c r="AI128" s="155"/>
      <c r="AJ128" s="138">
        <f>IF(AJ123&lt;AJ127,AJ125,AJ126)</f>
        <v>44.546841660369672</v>
      </c>
      <c r="AK128" s="133"/>
      <c r="AL128" s="155"/>
      <c r="AM128" s="138">
        <f>IF(AM123&lt;AM127,AM125,AM126)</f>
        <v>64.682195878403789</v>
      </c>
      <c r="AN128" s="133"/>
      <c r="AO128" s="155"/>
      <c r="AP128" s="138">
        <f>IF(AP123&lt;AP127,AP125,AP126)</f>
        <v>91.71366176567139</v>
      </c>
      <c r="AQ128" s="133"/>
      <c r="AR128" s="155"/>
      <c r="AS128" s="138">
        <f>IF(AS123&lt;AS127,AS125,AS126)</f>
        <v>193.03778795158559</v>
      </c>
      <c r="AT128" s="133"/>
      <c r="AU128" s="155"/>
    </row>
    <row r="129" spans="13:47" ht="13" x14ac:dyDescent="0.3">
      <c r="M129" s="28"/>
      <c r="N129" s="28"/>
      <c r="O129" s="9" t="s">
        <v>194</v>
      </c>
      <c r="P129" s="1"/>
      <c r="Q129" s="1"/>
      <c r="R129" s="135"/>
      <c r="S129" s="132">
        <f>IF(R122&lt;=0,W_max,ABS(R$23-R128))</f>
        <v>1.9442447859527541</v>
      </c>
      <c r="T129" s="151">
        <f>R117</f>
        <v>12.894559700572799</v>
      </c>
      <c r="U129" s="135"/>
      <c r="V129" s="132">
        <f>IF(U122&lt;=0,W_max,ABS(U$23-U128))</f>
        <v>2.8642017365747847</v>
      </c>
      <c r="W129" s="151">
        <f>U117</f>
        <v>493.13502429990552</v>
      </c>
      <c r="X129" s="135"/>
      <c r="Y129" s="132">
        <f>IF(X122&lt;=0,W_max,ABS(X$23-X128))</f>
        <v>4.6478275108125251</v>
      </c>
      <c r="Z129" s="151">
        <f>X117</f>
        <v>1219.5815988494658</v>
      </c>
      <c r="AA129" s="135"/>
      <c r="AB129" s="132">
        <f>IF(AA122&lt;=0,W_max,ABS(AA$23-AA128))</f>
        <v>6.4605550315146285</v>
      </c>
      <c r="AC129" s="151">
        <f>AA117</f>
        <v>2375.4336619494525</v>
      </c>
      <c r="AD129" s="135"/>
      <c r="AE129" s="132">
        <f>IF(AD122&lt;=0,W_max,ABS(AD$23-AD128))</f>
        <v>7.7037447936255852</v>
      </c>
      <c r="AF129" s="151">
        <f>AD117</f>
        <v>3906.7137911212144</v>
      </c>
      <c r="AG129" s="135"/>
      <c r="AH129" s="132">
        <f>IF(AG122&lt;=0,W_max,ABS(AG$23-AG128))</f>
        <v>8.6096027530669907</v>
      </c>
      <c r="AI129" s="151">
        <f>AG117</f>
        <v>5479.466854977898</v>
      </c>
      <c r="AJ129" s="135"/>
      <c r="AK129" s="132">
        <f>IF(AJ122&lt;=0,W_max,ABS(AJ$23-AJ128))</f>
        <v>7.9531583396303276</v>
      </c>
      <c r="AL129" s="151">
        <f>AJ117</f>
        <v>6957.4689212476369</v>
      </c>
      <c r="AM129" s="135"/>
      <c r="AN129" s="132">
        <f>IF(AM122&lt;=0,W_max,ABS(AM$23-AM128))</f>
        <v>7.7178041215962168</v>
      </c>
      <c r="AO129" s="151">
        <f>AM117</f>
        <v>8158.1794797753009</v>
      </c>
      <c r="AP129" s="135"/>
      <c r="AQ129" s="132">
        <f>IF(AP122&lt;=0,W_max,ABS(AP$23-AP128))</f>
        <v>16.28633823432861</v>
      </c>
      <c r="AR129" s="151">
        <f>AP117</f>
        <v>9101.8226119998217</v>
      </c>
      <c r="AS129" s="135"/>
      <c r="AT129" s="132">
        <f>IF(AS122&lt;=0,W_max,ABS(AS$23-AS128))</f>
        <v>13.037787951585585</v>
      </c>
      <c r="AU129" s="151">
        <f>AS117</f>
        <v>10154.615385170837</v>
      </c>
    </row>
    <row r="130" spans="13:47" ht="13" x14ac:dyDescent="0.25">
      <c r="M130" s="12"/>
      <c r="N130" s="12"/>
      <c r="O130" s="12"/>
      <c r="P130" s="12"/>
      <c r="Q130" s="12"/>
      <c r="R130" s="182"/>
      <c r="S130" s="22"/>
      <c r="T130" s="152"/>
      <c r="U130" s="157"/>
      <c r="V130" s="1"/>
      <c r="W130" s="147"/>
      <c r="X130" s="157"/>
      <c r="Y130" s="1"/>
      <c r="Z130" s="147"/>
      <c r="AA130" s="157"/>
      <c r="AB130" s="1"/>
      <c r="AC130" s="147"/>
      <c r="AD130" s="157"/>
      <c r="AE130" s="1"/>
      <c r="AF130" s="147"/>
      <c r="AG130" s="157"/>
      <c r="AH130" s="1"/>
      <c r="AI130" s="147"/>
      <c r="AJ130" s="157"/>
      <c r="AK130" s="1"/>
      <c r="AL130" s="147"/>
      <c r="AM130" s="157"/>
      <c r="AN130" s="1"/>
      <c r="AO130" s="147"/>
      <c r="AP130" s="157"/>
      <c r="AQ130" s="1"/>
      <c r="AR130" s="147"/>
      <c r="AS130" s="157"/>
      <c r="AT130" s="1"/>
      <c r="AU130" s="147"/>
    </row>
    <row r="131" spans="13:47" ht="14" x14ac:dyDescent="0.3">
      <c r="M131" s="23"/>
      <c r="N131" s="23"/>
      <c r="O131" s="23" t="s">
        <v>238</v>
      </c>
      <c r="P131" s="20"/>
      <c r="Q131" s="20"/>
      <c r="R131" s="18">
        <f>R117*1.02</f>
        <v>13.152450894584256</v>
      </c>
      <c r="S131" s="128" t="s">
        <v>185</v>
      </c>
      <c r="T131" s="153" t="s">
        <v>186</v>
      </c>
      <c r="U131" s="143">
        <f>U117*1.01</f>
        <v>498.06637454290461</v>
      </c>
      <c r="V131" s="128" t="s">
        <v>185</v>
      </c>
      <c r="W131" s="153" t="s">
        <v>186</v>
      </c>
      <c r="X131" s="143">
        <f>X117*1.01</f>
        <v>1231.7774148379604</v>
      </c>
      <c r="Y131" s="128" t="s">
        <v>185</v>
      </c>
      <c r="Z131" s="153" t="s">
        <v>186</v>
      </c>
      <c r="AA131" s="143">
        <f>AA117*1.01</f>
        <v>2399.187998568947</v>
      </c>
      <c r="AB131" s="128" t="s">
        <v>185</v>
      </c>
      <c r="AC131" s="153" t="s">
        <v>186</v>
      </c>
      <c r="AD131" s="143">
        <f>AD117*1.01</f>
        <v>3945.7809290324267</v>
      </c>
      <c r="AE131" s="128" t="s">
        <v>185</v>
      </c>
      <c r="AF131" s="153" t="s">
        <v>186</v>
      </c>
      <c r="AG131" s="143">
        <f>AG117*1.01</f>
        <v>5534.2615235276771</v>
      </c>
      <c r="AH131" s="128" t="s">
        <v>185</v>
      </c>
      <c r="AI131" s="153" t="s">
        <v>186</v>
      </c>
      <c r="AJ131" s="143">
        <f>AJ117*1.01</f>
        <v>7027.0436104601131</v>
      </c>
      <c r="AK131" s="128" t="s">
        <v>185</v>
      </c>
      <c r="AL131" s="153" t="s">
        <v>186</v>
      </c>
      <c r="AM131" s="143">
        <f>AM117*1.01</f>
        <v>8239.7612745730548</v>
      </c>
      <c r="AN131" s="128" t="s">
        <v>185</v>
      </c>
      <c r="AO131" s="153" t="s">
        <v>186</v>
      </c>
      <c r="AP131" s="143">
        <f>AP117*1.01</f>
        <v>9192.8408381198205</v>
      </c>
      <c r="AQ131" s="128" t="s">
        <v>185</v>
      </c>
      <c r="AR131" s="153" t="s">
        <v>186</v>
      </c>
      <c r="AS131" s="143">
        <f>AS117*1.01</f>
        <v>10256.161539022545</v>
      </c>
      <c r="AT131" s="128" t="s">
        <v>185</v>
      </c>
      <c r="AU131" s="153" t="s">
        <v>186</v>
      </c>
    </row>
    <row r="132" spans="13:47" ht="14" x14ac:dyDescent="0.3">
      <c r="M132" s="12"/>
      <c r="N132" s="12"/>
      <c r="O132" s="20"/>
      <c r="P132" s="20"/>
      <c r="Q132" s="23"/>
      <c r="R132" s="139"/>
      <c r="S132" s="130" t="s">
        <v>228</v>
      </c>
      <c r="T132" s="154" t="s">
        <v>187</v>
      </c>
      <c r="U132" s="144"/>
      <c r="V132" s="130" t="s">
        <v>228</v>
      </c>
      <c r="W132" s="154" t="s">
        <v>187</v>
      </c>
      <c r="X132" s="144"/>
      <c r="Y132" s="130" t="s">
        <v>228</v>
      </c>
      <c r="Z132" s="154" t="s">
        <v>187</v>
      </c>
      <c r="AA132" s="144"/>
      <c r="AB132" s="130" t="s">
        <v>228</v>
      </c>
      <c r="AC132" s="154" t="s">
        <v>187</v>
      </c>
      <c r="AD132" s="144"/>
      <c r="AE132" s="130" t="s">
        <v>228</v>
      </c>
      <c r="AF132" s="154" t="s">
        <v>187</v>
      </c>
      <c r="AG132" s="144"/>
      <c r="AH132" s="130" t="s">
        <v>228</v>
      </c>
      <c r="AI132" s="154" t="s">
        <v>187</v>
      </c>
      <c r="AJ132" s="144"/>
      <c r="AK132" s="130" t="s">
        <v>228</v>
      </c>
      <c r="AL132" s="154" t="s">
        <v>187</v>
      </c>
      <c r="AM132" s="144"/>
      <c r="AN132" s="130" t="s">
        <v>228</v>
      </c>
      <c r="AO132" s="154" t="s">
        <v>187</v>
      </c>
      <c r="AP132" s="144"/>
      <c r="AQ132" s="130" t="s">
        <v>228</v>
      </c>
      <c r="AR132" s="154" t="s">
        <v>187</v>
      </c>
      <c r="AS132" s="144"/>
      <c r="AT132" s="130" t="s">
        <v>228</v>
      </c>
      <c r="AU132" s="154" t="s">
        <v>187</v>
      </c>
    </row>
    <row r="133" spans="13:47" x14ac:dyDescent="0.25">
      <c r="M133" s="20"/>
      <c r="N133" s="20"/>
      <c r="O133" s="7" t="s">
        <v>188</v>
      </c>
      <c r="P133" s="7"/>
      <c r="Q133" s="7"/>
      <c r="R133" s="181">
        <f>P_1_minW-(R131^2*R_up)+dpup_minQ</f>
        <v>100.52271775612705</v>
      </c>
      <c r="S133" s="132"/>
      <c r="T133" s="145"/>
      <c r="U133" s="138">
        <f>P_1_minW-(U131^2*R_up)+dpup_minQ</f>
        <v>100.42386584270098</v>
      </c>
      <c r="V133" s="132"/>
      <c r="W133" s="145"/>
      <c r="X133" s="138">
        <f>P_1_minW-(X131^2*R_up)+dpup_minQ</f>
        <v>99.917755132077843</v>
      </c>
      <c r="Y133" s="132"/>
      <c r="Z133" s="145"/>
      <c r="AA133" s="138">
        <f>P_1_minW-(AA131^2*R_up)+dpup_minQ</f>
        <v>98.227472512308921</v>
      </c>
      <c r="AB133" s="132"/>
      <c r="AC133" s="145"/>
      <c r="AD133" s="138">
        <f>P_1_minW-(AD131^2*R_up)+dpup_minQ</f>
        <v>94.314389079653495</v>
      </c>
      <c r="AE133" s="132"/>
      <c r="AF133" s="145"/>
      <c r="AG133" s="138">
        <f>P_1_minW-(AG131^2*R_up)+dpup_minQ</f>
        <v>88.309489026064739</v>
      </c>
      <c r="AH133" s="132"/>
      <c r="AI133" s="145"/>
      <c r="AJ133" s="138">
        <f>P_1_minW-(AJ131^2*R_up)+dpup_minQ</f>
        <v>80.832189673097915</v>
      </c>
      <c r="AK133" s="132"/>
      <c r="AL133" s="145"/>
      <c r="AM133" s="138">
        <f>P_1_minW-(AM131^2*R_up)+dpup_minQ</f>
        <v>73.449383849378492</v>
      </c>
      <c r="AN133" s="132"/>
      <c r="AO133" s="145"/>
      <c r="AP133" s="138">
        <f>P_1_minW-(AP131^2*R_up)+dpup_minQ</f>
        <v>66.824092785418017</v>
      </c>
      <c r="AQ133" s="132"/>
      <c r="AR133" s="145"/>
      <c r="AS133" s="138">
        <f>P_1_minW-(AS131^2*R_up)+dpup_minQ</f>
        <v>58.577487922640316</v>
      </c>
      <c r="AT133" s="132"/>
      <c r="AU133" s="145"/>
    </row>
    <row r="134" spans="13:47" x14ac:dyDescent="0.25">
      <c r="M134" s="20"/>
      <c r="N134" s="20"/>
      <c r="O134" s="7" t="s">
        <v>189</v>
      </c>
      <c r="P134" s="1"/>
      <c r="Q134" s="7"/>
      <c r="R134" s="181">
        <f>P_2_minW+(R131^2*R_dn)-dpdn_minQ</f>
        <v>50</v>
      </c>
      <c r="S134" s="132"/>
      <c r="T134" s="146"/>
      <c r="U134" s="138">
        <f>P_2_minW+(U131^2*R_dn)-dpdn_minQ</f>
        <v>50</v>
      </c>
      <c r="V134" s="132"/>
      <c r="W134" s="146"/>
      <c r="X134" s="138">
        <f>P_2_minW+(X131^2*R_dn)-dpdn_minQ</f>
        <v>50</v>
      </c>
      <c r="Y134" s="132"/>
      <c r="Z134" s="146"/>
      <c r="AA134" s="138">
        <f>P_2_minW+(AA131^2*R_dn)-dpdn_minQ</f>
        <v>50</v>
      </c>
      <c r="AB134" s="132"/>
      <c r="AC134" s="146"/>
      <c r="AD134" s="138">
        <f>P_2_minW+(AD131^2*R_dn)-dpdn_minQ</f>
        <v>50</v>
      </c>
      <c r="AE134" s="132"/>
      <c r="AF134" s="146"/>
      <c r="AG134" s="138">
        <f>P_2_minW+(AG131^2*R_dn)-dpdn_minQ</f>
        <v>50</v>
      </c>
      <c r="AH134" s="132"/>
      <c r="AI134" s="146"/>
      <c r="AJ134" s="138">
        <f>P_2_minW+(AJ131^2*R_dn)-dpdn_minQ</f>
        <v>50</v>
      </c>
      <c r="AK134" s="132"/>
      <c r="AL134" s="146"/>
      <c r="AM134" s="138">
        <f>P_2_minW+(AM131^2*R_dn)-dpdn_minQ</f>
        <v>50</v>
      </c>
      <c r="AN134" s="132"/>
      <c r="AO134" s="146"/>
      <c r="AP134" s="138">
        <f>P_2_minW+(AP131^2*R_dn)-dpdn_minQ</f>
        <v>50</v>
      </c>
      <c r="AQ134" s="132"/>
      <c r="AR134" s="146"/>
      <c r="AS134" s="138">
        <f>P_2_minW+(AS131^2*R_dn)-dpdn_minQ</f>
        <v>50</v>
      </c>
      <c r="AT134" s="132"/>
      <c r="AU134" s="146"/>
    </row>
    <row r="135" spans="13:47" x14ac:dyDescent="0.25">
      <c r="M135" s="20"/>
      <c r="N135" s="20"/>
      <c r="O135" s="7" t="s">
        <v>234</v>
      </c>
      <c r="P135" s="1"/>
      <c r="Q135" s="7"/>
      <c r="R135" s="179">
        <f>'Valve Sizing'!G$8*R133/P_1_maxW</f>
        <v>0.48490369348875939</v>
      </c>
      <c r="S135" s="132"/>
      <c r="T135" s="146"/>
      <c r="U135" s="143">
        <f>'Valve Sizing'!$G$8*U133/P_1_maxW</f>
        <v>0.48442684945789044</v>
      </c>
      <c r="V135" s="132"/>
      <c r="W135" s="146"/>
      <c r="X135" s="143">
        <f>'Valve Sizing'!$G$8*X133/P_1_maxW</f>
        <v>0.48198546149730259</v>
      </c>
      <c r="Y135" s="132"/>
      <c r="Z135" s="146"/>
      <c r="AA135" s="143">
        <f>'Valve Sizing'!$G$8*AA133/P_1_maxW</f>
        <v>0.47383183907580922</v>
      </c>
      <c r="AB135" s="132"/>
      <c r="AC135" s="146"/>
      <c r="AD135" s="143">
        <f>'Valve Sizing'!$G$8*AD133/P_1_maxW</f>
        <v>0.45495582127824391</v>
      </c>
      <c r="AE135" s="132"/>
      <c r="AF135" s="146"/>
      <c r="AG135" s="143">
        <f>'Valve Sizing'!$G$8*AG133/P_1_maxW</f>
        <v>0.42598925252629077</v>
      </c>
      <c r="AH135" s="132"/>
      <c r="AI135" s="146"/>
      <c r="AJ135" s="143">
        <f>'Valve Sizing'!$G$8*AJ133/P_1_maxW</f>
        <v>0.38992009169867548</v>
      </c>
      <c r="AK135" s="132"/>
      <c r="AL135" s="146"/>
      <c r="AM135" s="143">
        <f>'Valve Sizing'!$G$8*AM133/P_1_maxW</f>
        <v>0.35430675083261376</v>
      </c>
      <c r="AN135" s="132"/>
      <c r="AO135" s="146"/>
      <c r="AP135" s="143">
        <f>'Valve Sizing'!$G$8*AP133/P_1_maxW</f>
        <v>0.32234752630043884</v>
      </c>
      <c r="AQ135" s="132"/>
      <c r="AR135" s="146"/>
      <c r="AS135" s="143">
        <f>'Valve Sizing'!$G$8*AS133/P_1_maxW</f>
        <v>0.2825673726598999</v>
      </c>
      <c r="AT135" s="132"/>
      <c r="AU135" s="146"/>
    </row>
    <row r="136" spans="13:47" x14ac:dyDescent="0.25">
      <c r="M136" s="20"/>
      <c r="N136" s="20"/>
      <c r="O136" s="7" t="s">
        <v>190</v>
      </c>
      <c r="P136" s="1"/>
      <c r="Q136" s="7"/>
      <c r="R136" s="181">
        <f>R133-R134</f>
        <v>50.522717756127051</v>
      </c>
      <c r="S136" s="132"/>
      <c r="T136" s="146"/>
      <c r="U136" s="138">
        <f>U133-U134</f>
        <v>50.423865842700977</v>
      </c>
      <c r="V136" s="132"/>
      <c r="W136" s="146"/>
      <c r="X136" s="138">
        <f>X133-X134</f>
        <v>49.917755132077843</v>
      </c>
      <c r="Y136" s="132"/>
      <c r="Z136" s="146"/>
      <c r="AA136" s="138">
        <f>AA133-AA134</f>
        <v>48.227472512308921</v>
      </c>
      <c r="AB136" s="132"/>
      <c r="AC136" s="146"/>
      <c r="AD136" s="138">
        <f>AD133-AD134</f>
        <v>44.314389079653495</v>
      </c>
      <c r="AE136" s="132"/>
      <c r="AF136" s="146"/>
      <c r="AG136" s="138">
        <f>AG133-AG134</f>
        <v>38.309489026064739</v>
      </c>
      <c r="AH136" s="132"/>
      <c r="AI136" s="146"/>
      <c r="AJ136" s="138">
        <f>AJ133-AJ134</f>
        <v>30.832189673097915</v>
      </c>
      <c r="AK136" s="132"/>
      <c r="AL136" s="146"/>
      <c r="AM136" s="138">
        <f>AM133-AM134</f>
        <v>23.449383849378492</v>
      </c>
      <c r="AN136" s="132"/>
      <c r="AO136" s="146"/>
      <c r="AP136" s="138">
        <f>AP133-AP134</f>
        <v>16.824092785418017</v>
      </c>
      <c r="AQ136" s="132"/>
      <c r="AR136" s="146"/>
      <c r="AS136" s="138">
        <f>AS133-AS134</f>
        <v>8.5774879226403158</v>
      </c>
      <c r="AT136" s="132"/>
      <c r="AU136" s="146"/>
    </row>
    <row r="137" spans="13:47" ht="14.5" x14ac:dyDescent="0.35">
      <c r="M137" s="27"/>
      <c r="N137" s="27"/>
      <c r="O137" s="2" t="s">
        <v>191</v>
      </c>
      <c r="P137" s="10"/>
      <c r="Q137" s="2"/>
      <c r="R137" s="181">
        <f>R136/R133</f>
        <v>0.50259999812875722</v>
      </c>
      <c r="S137" s="132"/>
      <c r="T137" s="146"/>
      <c r="U137" s="138">
        <f>U136/U133</f>
        <v>0.50211038401650909</v>
      </c>
      <c r="V137" s="132"/>
      <c r="W137" s="146"/>
      <c r="X137" s="138">
        <f>X136/X133</f>
        <v>0.49958843717108414</v>
      </c>
      <c r="Y137" s="132"/>
      <c r="Z137" s="146"/>
      <c r="AA137" s="138">
        <f>AA136/AA133</f>
        <v>0.49097743511893294</v>
      </c>
      <c r="AB137" s="132"/>
      <c r="AC137" s="146"/>
      <c r="AD137" s="138">
        <f>AD136/AD133</f>
        <v>0.46985819992141015</v>
      </c>
      <c r="AE137" s="132"/>
      <c r="AF137" s="146"/>
      <c r="AG137" s="138">
        <f>AG136/AG133</f>
        <v>0.43380942918555004</v>
      </c>
      <c r="AH137" s="132"/>
      <c r="AI137" s="146"/>
      <c r="AJ137" s="138">
        <f>AJ136/AJ133</f>
        <v>0.38143454727367482</v>
      </c>
      <c r="AK137" s="132"/>
      <c r="AL137" s="146"/>
      <c r="AM137" s="138">
        <f>AM136/AM133</f>
        <v>0.31925909545362258</v>
      </c>
      <c r="AN137" s="132"/>
      <c r="AO137" s="146"/>
      <c r="AP137" s="138">
        <f>AP136/AP133</f>
        <v>0.2517668715599724</v>
      </c>
      <c r="AQ137" s="132"/>
      <c r="AR137" s="146"/>
      <c r="AS137" s="138">
        <f>AS136/AS133</f>
        <v>0.14642976725065568</v>
      </c>
      <c r="AT137" s="132"/>
      <c r="AU137" s="146"/>
    </row>
    <row r="138" spans="13:47" x14ac:dyDescent="0.25">
      <c r="M138" s="27"/>
      <c r="N138" s="27"/>
      <c r="O138" s="2" t="s">
        <v>26</v>
      </c>
      <c r="P138" s="7">
        <v>12</v>
      </c>
      <c r="Q138" s="2"/>
      <c r="R138" s="181">
        <f>1-R137/(3*F_GAMMA*R$29)</f>
        <v>0.73824016161650063</v>
      </c>
      <c r="S138" s="133"/>
      <c r="T138" s="146"/>
      <c r="U138" s="138">
        <f>1-U137/(3*F_GAMMA*U$29)</f>
        <v>0.73855273511083497</v>
      </c>
      <c r="V138" s="133"/>
      <c r="W138" s="146"/>
      <c r="X138" s="138">
        <f>1-X137/(3*F_GAMMA*X$29)</f>
        <v>0.73596347930480877</v>
      </c>
      <c r="Y138" s="133"/>
      <c r="Z138" s="146"/>
      <c r="AA138" s="138">
        <f>1-AA137/(3*F_GAMMA*AA$29)</f>
        <v>0.73695655556356254</v>
      </c>
      <c r="AB138" s="133"/>
      <c r="AC138" s="146"/>
      <c r="AD138" s="138">
        <f>1-AD137/(3*F_GAMMA*AD$29)</f>
        <v>0.74136941792522049</v>
      </c>
      <c r="AE138" s="133"/>
      <c r="AF138" s="146"/>
      <c r="AG138" s="138">
        <f>1-AG137/(3*F_GAMMA*AG$29)</f>
        <v>0.74759141338290402</v>
      </c>
      <c r="AH138" s="133"/>
      <c r="AI138" s="146"/>
      <c r="AJ138" s="138">
        <f>1-AJ137/(3*F_GAMMA*AJ$29)</f>
        <v>0.762748823047666</v>
      </c>
      <c r="AK138" s="133"/>
      <c r="AL138" s="146"/>
      <c r="AM138" s="138">
        <f>1-AM137/(3*F_GAMMA*AM$29)</f>
        <v>0.7830330937177945</v>
      </c>
      <c r="AN138" s="133"/>
      <c r="AO138" s="146"/>
      <c r="AP138" s="138">
        <f>1-AP137/(3*F_GAMMA*AP$29)</f>
        <v>0.85860475428373784</v>
      </c>
      <c r="AQ138" s="133"/>
      <c r="AR138" s="146"/>
      <c r="AS138" s="138">
        <f>1-AS137/(3*F_GAMMA*AS$29)</f>
        <v>0.87515756627356289</v>
      </c>
      <c r="AT138" s="133"/>
      <c r="AU138" s="146"/>
    </row>
    <row r="139" spans="13:47" x14ac:dyDescent="0.25">
      <c r="M139" s="27"/>
      <c r="N139" s="27"/>
      <c r="O139" s="2" t="s">
        <v>71</v>
      </c>
      <c r="P139" s="85">
        <v>5</v>
      </c>
      <c r="Q139" s="2"/>
      <c r="R139" s="179">
        <f>R131/((N_6*R$27*R138)*SQRT(R137*R133*R135))</f>
        <v>5.6870320061699793E-2</v>
      </c>
      <c r="S139" s="133"/>
      <c r="T139" s="146"/>
      <c r="U139" s="143">
        <f>U131/((N_6*U$27*U138)*SQRT(U137*U133*U135))</f>
        <v>2.1572041756036575</v>
      </c>
      <c r="V139" s="133"/>
      <c r="W139" s="146"/>
      <c r="X139" s="143">
        <f>X131/((N_6*X$27*X138)*SQRT(X137*X133*X135))</f>
        <v>5.4064304053739054</v>
      </c>
      <c r="Y139" s="133"/>
      <c r="Z139" s="146"/>
      <c r="AA139" s="143">
        <f>AA131/((N_6*AA$27*AA138)*SQRT(AA137*AA133*AA135))</f>
        <v>10.852573636013094</v>
      </c>
      <c r="AB139" s="133"/>
      <c r="AC139" s="146"/>
      <c r="AD139" s="143">
        <f>AD131/((N_6*AD$27*AD138)*SQRT(AD137*AD133*AD135))</f>
        <v>19.114181453780994</v>
      </c>
      <c r="AE139" s="133"/>
      <c r="AF139" s="146"/>
      <c r="AG139" s="143">
        <f>AG131/((N_6*AG$27*AG138)*SQRT(AG137*AG133*AG135))</f>
        <v>30.187558739319147</v>
      </c>
      <c r="AH139" s="133"/>
      <c r="AI139" s="146"/>
      <c r="AJ139" s="143">
        <f>AJ131/((N_6*AJ$27*AJ138)*SQRT(AJ137*AJ133*AJ135))</f>
        <v>45.273681095677674</v>
      </c>
      <c r="AK139" s="133"/>
      <c r="AL139" s="146"/>
      <c r="AM139" s="143">
        <f>AM131/((N_6*AM$27*AM138)*SQRT(AM137*AM133*AM135))</f>
        <v>66.024940813848147</v>
      </c>
      <c r="AN139" s="133"/>
      <c r="AO139" s="146"/>
      <c r="AP139" s="143">
        <f>AP131/((N_6*AP$27*AP138)*SQRT(AP137*AP133*AP135))</f>
        <v>94.452077876911872</v>
      </c>
      <c r="AQ139" s="133"/>
      <c r="AR139" s="146"/>
      <c r="AS139" s="143">
        <f>AS131/((N_6*AS$27*AS138)*SQRT(AS137*AS133*AS135))</f>
        <v>203.20201852950225</v>
      </c>
      <c r="AT139" s="133"/>
      <c r="AU139" s="146"/>
    </row>
    <row r="140" spans="13:47" x14ac:dyDescent="0.25">
      <c r="M140" s="27"/>
      <c r="N140" s="27"/>
      <c r="O140" s="2" t="s">
        <v>73</v>
      </c>
      <c r="P140" s="85">
        <v>5</v>
      </c>
      <c r="Q140" s="2"/>
      <c r="R140" s="179">
        <f>R131/((N_6*R$27*0.667)*SQRT(R141*R133*R135))</f>
        <v>5.5778860866152143E-2</v>
      </c>
      <c r="S140" s="133"/>
      <c r="T140" s="155"/>
      <c r="U140" s="143">
        <f>U131/((N_6*U$27*0.667)*SQRT(U141*U133*U135))</f>
        <v>2.1154346222266951</v>
      </c>
      <c r="V140" s="133"/>
      <c r="W140" s="155"/>
      <c r="X140" s="143">
        <f>X131/((N_6*X$27*0.667)*SQRT(X141*X133*X135))</f>
        <v>5.3092561017610205</v>
      </c>
      <c r="Y140" s="133"/>
      <c r="Z140" s="155"/>
      <c r="AA140" s="143">
        <f>AA131/((N_6*AA$27*0.667)*SQRT(AA141*AA133*AA135))</f>
        <v>10.651803902112899</v>
      </c>
      <c r="AB140" s="133"/>
      <c r="AC140" s="155"/>
      <c r="AD140" s="143">
        <f>AD131/((N_6*AD$27*0.667)*SQRT(AD141*AD133*AD135))</f>
        <v>18.71393443817033</v>
      </c>
      <c r="AE140" s="133"/>
      <c r="AF140" s="155"/>
      <c r="AG140" s="143">
        <f>AG131/((N_6*AG$27*0.667)*SQRT(AG141*AG133*AG135))</f>
        <v>29.4428030338516</v>
      </c>
      <c r="AH140" s="133"/>
      <c r="AI140" s="155"/>
      <c r="AJ140" s="143">
        <f>AJ131/((N_6*AJ$27*0.667)*SQRT(AJ141*AJ133*AJ135))</f>
        <v>43.678361138588023</v>
      </c>
      <c r="AK140" s="133"/>
      <c r="AL140" s="155"/>
      <c r="AM140" s="143">
        <f>AM131/((N_6*AM$27*0.667)*SQRT(AM141*AM133*AM135))</f>
        <v>62.534499673244468</v>
      </c>
      <c r="AN140" s="133"/>
      <c r="AO140" s="155"/>
      <c r="AP140" s="143">
        <f>AP131/((N_6*AP$27*0.667)*SQRT(AP141*AP133*AP135))</f>
        <v>79.187567492467423</v>
      </c>
      <c r="AQ140" s="133"/>
      <c r="AR140" s="155"/>
      <c r="AS140" s="143">
        <f>AS131/((N_6*AS$27*0.667)*SQRT(AS141*AS133*AS135))</f>
        <v>163.16619134065064</v>
      </c>
      <c r="AT140" s="133"/>
      <c r="AU140" s="155"/>
    </row>
    <row r="141" spans="13:47" ht="15.5" x14ac:dyDescent="0.4">
      <c r="M141" s="27"/>
      <c r="N141" s="27"/>
      <c r="O141" s="2" t="s">
        <v>192</v>
      </c>
      <c r="P141" s="85">
        <v>10</v>
      </c>
      <c r="Q141" s="2"/>
      <c r="R141" s="181">
        <f>F_GAMMA*R$29</f>
        <v>0.64002688015162901</v>
      </c>
      <c r="S141" s="133"/>
      <c r="T141" s="155"/>
      <c r="U141" s="138">
        <f>F_GAMMA*U$29</f>
        <v>0.64016782916606918</v>
      </c>
      <c r="V141" s="133"/>
      <c r="W141" s="155"/>
      <c r="X141" s="138">
        <f>F_GAMMA*X$29</f>
        <v>0.6307062319203669</v>
      </c>
      <c r="Y141" s="133"/>
      <c r="Z141" s="155"/>
      <c r="AA141" s="138">
        <f>F_GAMMA*AA$29</f>
        <v>0.62217534213893466</v>
      </c>
      <c r="AB141" s="133"/>
      <c r="AC141" s="155"/>
      <c r="AD141" s="138">
        <f>F_GAMMA*AD$29</f>
        <v>0.60557184969146072</v>
      </c>
      <c r="AE141" s="133"/>
      <c r="AF141" s="155"/>
      <c r="AG141" s="138">
        <f>F_GAMMA*AG$29</f>
        <v>0.57289312142622573</v>
      </c>
      <c r="AH141" s="133"/>
      <c r="AI141" s="155"/>
      <c r="AJ141" s="138">
        <f>F_GAMMA*AJ$29</f>
        <v>0.53590819116049981</v>
      </c>
      <c r="AK141" s="133"/>
      <c r="AL141" s="155"/>
      <c r="AM141" s="138">
        <f>F_GAMMA*AM$29</f>
        <v>0.49048815926850342</v>
      </c>
      <c r="AN141" s="133"/>
      <c r="AO141" s="155"/>
      <c r="AP141" s="138">
        <f>F_GAMMA*AP$29</f>
        <v>0.59352979016280105</v>
      </c>
      <c r="AQ141" s="133"/>
      <c r="AR141" s="155"/>
      <c r="AS141" s="138">
        <f>F_GAMMA*AS$29</f>
        <v>0.39097221161068291</v>
      </c>
      <c r="AT141" s="133"/>
      <c r="AU141" s="155"/>
    </row>
    <row r="142" spans="13:47" x14ac:dyDescent="0.25">
      <c r="M142" s="27"/>
      <c r="N142" s="27"/>
      <c r="O142" s="2" t="s">
        <v>193</v>
      </c>
      <c r="P142" s="134"/>
      <c r="Q142" s="2"/>
      <c r="R142" s="181">
        <f>IF(R137&lt;R141,R139,R140)</f>
        <v>5.6870320061699793E-2</v>
      </c>
      <c r="S142" s="133"/>
      <c r="T142" s="155"/>
      <c r="U142" s="138">
        <f>IF(U137&lt;U141,U139,U140)</f>
        <v>2.1572041756036575</v>
      </c>
      <c r="V142" s="133"/>
      <c r="W142" s="155"/>
      <c r="X142" s="138">
        <f>IF(X137&lt;X141,X139,X140)</f>
        <v>5.4064304053739054</v>
      </c>
      <c r="Y142" s="133"/>
      <c r="Z142" s="155"/>
      <c r="AA142" s="138">
        <f>IF(AA137&lt;AA141,AA139,AA140)</f>
        <v>10.852573636013094</v>
      </c>
      <c r="AB142" s="133"/>
      <c r="AC142" s="155"/>
      <c r="AD142" s="138">
        <f>IF(AD137&lt;AD141,AD139,AD140)</f>
        <v>19.114181453780994</v>
      </c>
      <c r="AE142" s="133"/>
      <c r="AF142" s="155"/>
      <c r="AG142" s="138">
        <f>IF(AG137&lt;AG141,AG139,AG140)</f>
        <v>30.187558739319147</v>
      </c>
      <c r="AH142" s="133"/>
      <c r="AI142" s="155"/>
      <c r="AJ142" s="138">
        <f>IF(AJ137&lt;AJ141,AJ139,AJ140)</f>
        <v>45.273681095677674</v>
      </c>
      <c r="AK142" s="133"/>
      <c r="AL142" s="155"/>
      <c r="AM142" s="138">
        <f>IF(AM137&lt;AM141,AM139,AM140)</f>
        <v>66.024940813848147</v>
      </c>
      <c r="AN142" s="133"/>
      <c r="AO142" s="155"/>
      <c r="AP142" s="138">
        <f>IF(AP137&lt;AP141,AP139,AP140)</f>
        <v>94.452077876911872</v>
      </c>
      <c r="AQ142" s="133"/>
      <c r="AR142" s="155"/>
      <c r="AS142" s="138">
        <f>IF(AS137&lt;AS141,AS139,AS140)</f>
        <v>203.20201852950225</v>
      </c>
      <c r="AT142" s="133"/>
      <c r="AU142" s="155"/>
    </row>
    <row r="143" spans="13:47" ht="13" x14ac:dyDescent="0.3">
      <c r="M143" s="28"/>
      <c r="N143" s="28"/>
      <c r="O143" s="9" t="s">
        <v>194</v>
      </c>
      <c r="P143" s="1"/>
      <c r="Q143" s="1"/>
      <c r="R143" s="135"/>
      <c r="S143" s="132">
        <f>IF(R136&lt;=0,W_max,ABS(R$23-R142))</f>
        <v>1.9431296799383002</v>
      </c>
      <c r="T143" s="151">
        <f>R131</f>
        <v>13.152450894584256</v>
      </c>
      <c r="U143" s="135"/>
      <c r="V143" s="132">
        <f>IF(U136&lt;=0,W_max,ABS(U$23-U142))</f>
        <v>2.8427958243963425</v>
      </c>
      <c r="W143" s="151">
        <f>U131</f>
        <v>498.06637454290461</v>
      </c>
      <c r="X143" s="135"/>
      <c r="Y143" s="132">
        <f>IF(X136&lt;=0,W_max,ABS(X$23-X142))</f>
        <v>4.5935695946260946</v>
      </c>
      <c r="Z143" s="151">
        <f>X131</f>
        <v>1231.7774148379604</v>
      </c>
      <c r="AA143" s="135"/>
      <c r="AB143" s="132">
        <f>IF(AA136&lt;=0,W_max,ABS(AA$23-AA142))</f>
        <v>6.3474263639869051</v>
      </c>
      <c r="AC143" s="151">
        <f>AA131</f>
        <v>2399.187998568947</v>
      </c>
      <c r="AD143" s="135"/>
      <c r="AE143" s="132">
        <f>IF(AD136&lt;=0,W_max,ABS(AD$23-AD142))</f>
        <v>7.4858185462190079</v>
      </c>
      <c r="AF143" s="151">
        <f>AD131</f>
        <v>3945.7809290324267</v>
      </c>
      <c r="AG143" s="135"/>
      <c r="AH143" s="132">
        <f>IF(AG136&lt;=0,W_max,ABS(AG$23-AG142))</f>
        <v>8.2124412606808512</v>
      </c>
      <c r="AI143" s="151">
        <f>AG131</f>
        <v>5534.2615235276771</v>
      </c>
      <c r="AJ143" s="135"/>
      <c r="AK143" s="132">
        <f>IF(AJ136&lt;=0,W_max,ABS(AJ$23-AJ142))</f>
        <v>7.2263189043223264</v>
      </c>
      <c r="AL143" s="151">
        <f>AJ131</f>
        <v>7027.0436104601131</v>
      </c>
      <c r="AM143" s="135"/>
      <c r="AN143" s="132">
        <f>IF(AM136&lt;=0,W_max,ABS(AM$23-AM142))</f>
        <v>6.3750591861518586</v>
      </c>
      <c r="AO143" s="151">
        <f>AM131</f>
        <v>8239.7612745730548</v>
      </c>
      <c r="AP143" s="135"/>
      <c r="AQ143" s="132">
        <f>IF(AP136&lt;=0,W_max,ABS(AP$23-AP142))</f>
        <v>13.547922123088128</v>
      </c>
      <c r="AR143" s="151">
        <f>AP131</f>
        <v>9192.8408381198205</v>
      </c>
      <c r="AS143" s="135"/>
      <c r="AT143" s="132">
        <f>IF(AS136&lt;=0,W_max,ABS(AS$23-AS142))</f>
        <v>23.202018529502254</v>
      </c>
      <c r="AU143" s="151">
        <f>AS131</f>
        <v>10256.161539022545</v>
      </c>
    </row>
    <row r="144" spans="13:47" ht="13" x14ac:dyDescent="0.25">
      <c r="M144" s="12"/>
      <c r="N144" s="12"/>
      <c r="O144" s="2"/>
      <c r="P144" s="85"/>
      <c r="Q144" s="2"/>
      <c r="R144" s="18"/>
      <c r="S144" s="150"/>
      <c r="T144" s="152"/>
      <c r="U144" s="157"/>
      <c r="V144" s="1"/>
      <c r="W144" s="147"/>
      <c r="X144" s="157"/>
      <c r="Y144" s="1"/>
      <c r="Z144" s="147"/>
      <c r="AA144" s="157"/>
      <c r="AB144" s="1"/>
      <c r="AC144" s="147"/>
      <c r="AD144" s="157"/>
      <c r="AE144" s="1"/>
      <c r="AF144" s="147"/>
      <c r="AG144" s="157"/>
      <c r="AH144" s="1"/>
      <c r="AI144" s="147"/>
      <c r="AJ144" s="157"/>
      <c r="AK144" s="1"/>
      <c r="AL144" s="147"/>
      <c r="AM144" s="157"/>
      <c r="AN144" s="1"/>
      <c r="AO144" s="147"/>
      <c r="AP144" s="157"/>
      <c r="AQ144" s="1"/>
      <c r="AR144" s="147"/>
      <c r="AS144" s="157"/>
      <c r="AT144" s="1"/>
      <c r="AU144" s="147"/>
    </row>
    <row r="145" spans="13:47" ht="14" x14ac:dyDescent="0.3">
      <c r="M145" s="23"/>
      <c r="N145" s="23"/>
      <c r="O145" s="23" t="s">
        <v>238</v>
      </c>
      <c r="P145" s="20"/>
      <c r="Q145" s="20"/>
      <c r="R145" s="181">
        <f>R131*1.02</f>
        <v>13.415499912475941</v>
      </c>
      <c r="S145" s="128" t="s">
        <v>185</v>
      </c>
      <c r="T145" s="153" t="s">
        <v>186</v>
      </c>
      <c r="U145" s="143">
        <f>U131*1.01</f>
        <v>503.04703828833368</v>
      </c>
      <c r="V145" s="128" t="s">
        <v>185</v>
      </c>
      <c r="W145" s="153" t="s">
        <v>186</v>
      </c>
      <c r="X145" s="143">
        <f>X131*1.01</f>
        <v>1244.09518898634</v>
      </c>
      <c r="Y145" s="128" t="s">
        <v>185</v>
      </c>
      <c r="Z145" s="153" t="s">
        <v>186</v>
      </c>
      <c r="AA145" s="143">
        <f>AA131*1.01</f>
        <v>2423.1798785546366</v>
      </c>
      <c r="AB145" s="128" t="s">
        <v>185</v>
      </c>
      <c r="AC145" s="153" t="s">
        <v>186</v>
      </c>
      <c r="AD145" s="143">
        <f>AD131*1.01</f>
        <v>3985.238738322751</v>
      </c>
      <c r="AE145" s="128" t="s">
        <v>185</v>
      </c>
      <c r="AF145" s="153" t="s">
        <v>186</v>
      </c>
      <c r="AG145" s="143">
        <f>AG131*1.01</f>
        <v>5589.6041387629539</v>
      </c>
      <c r="AH145" s="128" t="s">
        <v>185</v>
      </c>
      <c r="AI145" s="153" t="s">
        <v>186</v>
      </c>
      <c r="AJ145" s="143">
        <f>AJ131*1.01</f>
        <v>7097.3140465647139</v>
      </c>
      <c r="AK145" s="128" t="s">
        <v>185</v>
      </c>
      <c r="AL145" s="153" t="s">
        <v>186</v>
      </c>
      <c r="AM145" s="143">
        <f>AM131*1.01</f>
        <v>8322.1588873187848</v>
      </c>
      <c r="AN145" s="128" t="s">
        <v>185</v>
      </c>
      <c r="AO145" s="153" t="s">
        <v>186</v>
      </c>
      <c r="AP145" s="143">
        <f>AP131*1.01</f>
        <v>9284.7692465010186</v>
      </c>
      <c r="AQ145" s="128" t="s">
        <v>185</v>
      </c>
      <c r="AR145" s="153" t="s">
        <v>186</v>
      </c>
      <c r="AS145" s="143">
        <f>AS131*1.01</f>
        <v>10358.72315441277</v>
      </c>
      <c r="AT145" s="128" t="s">
        <v>185</v>
      </c>
      <c r="AU145" s="153" t="s">
        <v>186</v>
      </c>
    </row>
    <row r="146" spans="13:47" ht="14" x14ac:dyDescent="0.3">
      <c r="M146" s="12"/>
      <c r="N146" s="12"/>
      <c r="O146" s="20"/>
      <c r="P146" s="20"/>
      <c r="Q146" s="23"/>
      <c r="R146" s="139"/>
      <c r="S146" s="130" t="s">
        <v>228</v>
      </c>
      <c r="T146" s="154" t="s">
        <v>187</v>
      </c>
      <c r="U146" s="144"/>
      <c r="V146" s="130" t="s">
        <v>228</v>
      </c>
      <c r="W146" s="154" t="s">
        <v>187</v>
      </c>
      <c r="X146" s="144"/>
      <c r="Y146" s="130" t="s">
        <v>228</v>
      </c>
      <c r="Z146" s="154" t="s">
        <v>187</v>
      </c>
      <c r="AA146" s="144"/>
      <c r="AB146" s="130" t="s">
        <v>228</v>
      </c>
      <c r="AC146" s="154" t="s">
        <v>187</v>
      </c>
      <c r="AD146" s="144"/>
      <c r="AE146" s="130" t="s">
        <v>228</v>
      </c>
      <c r="AF146" s="154" t="s">
        <v>187</v>
      </c>
      <c r="AG146" s="144"/>
      <c r="AH146" s="130" t="s">
        <v>228</v>
      </c>
      <c r="AI146" s="154" t="s">
        <v>187</v>
      </c>
      <c r="AJ146" s="144"/>
      <c r="AK146" s="130" t="s">
        <v>228</v>
      </c>
      <c r="AL146" s="154" t="s">
        <v>187</v>
      </c>
      <c r="AM146" s="144"/>
      <c r="AN146" s="130" t="s">
        <v>228</v>
      </c>
      <c r="AO146" s="154" t="s">
        <v>187</v>
      </c>
      <c r="AP146" s="144"/>
      <c r="AQ146" s="130" t="s">
        <v>228</v>
      </c>
      <c r="AR146" s="154" t="s">
        <v>187</v>
      </c>
      <c r="AS146" s="144"/>
      <c r="AT146" s="130" t="s">
        <v>228</v>
      </c>
      <c r="AU146" s="154" t="s">
        <v>187</v>
      </c>
    </row>
    <row r="147" spans="13:47" x14ac:dyDescent="0.25">
      <c r="M147" s="20"/>
      <c r="N147" s="20"/>
      <c r="O147" s="7" t="s">
        <v>188</v>
      </c>
      <c r="P147" s="7"/>
      <c r="Q147" s="7"/>
      <c r="R147" s="181">
        <f>P_1_minW-(R145^2*R_up)+dpup_minQ</f>
        <v>100.52271496931083</v>
      </c>
      <c r="S147" s="132"/>
      <c r="T147" s="145"/>
      <c r="U147" s="138">
        <f>P_1_minW-(U145^2*R_up)+dpup_minQ</f>
        <v>100.42187753273106</v>
      </c>
      <c r="V147" s="132"/>
      <c r="W147" s="145"/>
      <c r="X147" s="138">
        <f>P_1_minW-(X145^2*R_up)+dpup_minQ</f>
        <v>99.905593996824393</v>
      </c>
      <c r="Y147" s="132"/>
      <c r="Z147" s="145"/>
      <c r="AA147" s="138">
        <f>P_1_minW-(AA145^2*R_up)+dpup_minQ</f>
        <v>98.18133669639812</v>
      </c>
      <c r="AB147" s="132"/>
      <c r="AC147" s="145"/>
      <c r="AD147" s="138">
        <f>P_1_minW-(AD145^2*R_up)+dpup_minQ</f>
        <v>94.189600286746327</v>
      </c>
      <c r="AE147" s="132"/>
      <c r="AF147" s="145"/>
      <c r="AG147" s="138">
        <f>P_1_minW-(AG145^2*R_up)+dpup_minQ</f>
        <v>88.064001742080436</v>
      </c>
      <c r="AH147" s="132"/>
      <c r="AI147" s="145"/>
      <c r="AJ147" s="138">
        <f>P_1_minW-(AJ145^2*R_up)+dpup_minQ</f>
        <v>80.436408672118986</v>
      </c>
      <c r="AK147" s="132"/>
      <c r="AL147" s="145"/>
      <c r="AM147" s="138">
        <f>P_1_minW-(AM145^2*R_up)+dpup_minQ</f>
        <v>72.905208451342801</v>
      </c>
      <c r="AN147" s="132"/>
      <c r="AO147" s="145"/>
      <c r="AP147" s="138">
        <f>P_1_minW-(AP145^2*R_up)+dpup_minQ</f>
        <v>66.146749036996695</v>
      </c>
      <c r="AQ147" s="132"/>
      <c r="AR147" s="145"/>
      <c r="AS147" s="138">
        <f>P_1_minW-(AS145^2*R_up)+dpup_minQ</f>
        <v>57.73438741647719</v>
      </c>
      <c r="AT147" s="132"/>
      <c r="AU147" s="145"/>
    </row>
    <row r="148" spans="13:47" x14ac:dyDescent="0.25">
      <c r="M148" s="20"/>
      <c r="N148" s="20"/>
      <c r="O148" s="7" t="s">
        <v>189</v>
      </c>
      <c r="P148" s="1"/>
      <c r="Q148" s="7"/>
      <c r="R148" s="181">
        <f>P_2_minW+(R145^2*R_dn)-dpdn_minQ</f>
        <v>50</v>
      </c>
      <c r="S148" s="132"/>
      <c r="T148" s="146"/>
      <c r="U148" s="138">
        <f>P_2_minW+(U145^2*R_dn)-dpdn_minQ</f>
        <v>50</v>
      </c>
      <c r="V148" s="132"/>
      <c r="W148" s="146"/>
      <c r="X148" s="138">
        <f>P_2_minW+(X145^2*R_dn)-dpdn_minQ</f>
        <v>50</v>
      </c>
      <c r="Y148" s="132"/>
      <c r="Z148" s="146"/>
      <c r="AA148" s="138">
        <f>P_2_minW+(AA145^2*R_dn)-dpdn_minQ</f>
        <v>50</v>
      </c>
      <c r="AB148" s="132"/>
      <c r="AC148" s="146"/>
      <c r="AD148" s="138">
        <f>P_2_minW+(AD145^2*R_dn)-dpdn_minQ</f>
        <v>50</v>
      </c>
      <c r="AE148" s="132"/>
      <c r="AF148" s="146"/>
      <c r="AG148" s="138">
        <f>P_2_minW+(AG145^2*R_dn)-dpdn_minQ</f>
        <v>50</v>
      </c>
      <c r="AH148" s="132"/>
      <c r="AI148" s="146"/>
      <c r="AJ148" s="138">
        <f>P_2_minW+(AJ145^2*R_dn)-dpdn_minQ</f>
        <v>50</v>
      </c>
      <c r="AK148" s="132"/>
      <c r="AL148" s="146"/>
      <c r="AM148" s="138">
        <f>P_2_minW+(AM145^2*R_dn)-dpdn_minQ</f>
        <v>50</v>
      </c>
      <c r="AN148" s="132"/>
      <c r="AO148" s="146"/>
      <c r="AP148" s="138">
        <f>P_2_minW+(AP145^2*R_dn)-dpdn_minQ</f>
        <v>50</v>
      </c>
      <c r="AQ148" s="132"/>
      <c r="AR148" s="146"/>
      <c r="AS148" s="138">
        <f>P_2_minW+(AS145^2*R_dn)-dpdn_minQ</f>
        <v>50</v>
      </c>
      <c r="AT148" s="132"/>
      <c r="AU148" s="146"/>
    </row>
    <row r="149" spans="13:47" x14ac:dyDescent="0.25">
      <c r="M149" s="20"/>
      <c r="N149" s="20"/>
      <c r="O149" s="7" t="s">
        <v>234</v>
      </c>
      <c r="P149" s="1"/>
      <c r="Q149" s="7"/>
      <c r="R149" s="179">
        <f>'Valve Sizing'!G$8*R147/P_1_maxW</f>
        <v>0.4849036800456541</v>
      </c>
      <c r="S149" s="132"/>
      <c r="T149" s="146"/>
      <c r="U149" s="143">
        <f>'Valve Sizing'!$G$8*U147/P_1_maxW</f>
        <v>0.4844172582045923</v>
      </c>
      <c r="V149" s="132"/>
      <c r="W149" s="146"/>
      <c r="X149" s="143">
        <f>'Valve Sizing'!$G$8*X147/P_1_maxW</f>
        <v>0.48192679834599667</v>
      </c>
      <c r="Y149" s="132"/>
      <c r="Z149" s="146"/>
      <c r="AA149" s="143">
        <f>'Valve Sizing'!$G$8*AA147/P_1_maxW</f>
        <v>0.47360928811383129</v>
      </c>
      <c r="AB149" s="132"/>
      <c r="AC149" s="146"/>
      <c r="AD149" s="143">
        <f>'Valve Sizing'!$G$8*AD147/P_1_maxW</f>
        <v>0.45435386235853492</v>
      </c>
      <c r="AE149" s="132"/>
      <c r="AF149" s="146"/>
      <c r="AG149" s="143">
        <f>'Valve Sizing'!$G$8*AG147/P_1_maxW</f>
        <v>0.42480506557466746</v>
      </c>
      <c r="AH149" s="132"/>
      <c r="AI149" s="146"/>
      <c r="AJ149" s="143">
        <f>'Valve Sizing'!$G$8*AJ147/P_1_maxW</f>
        <v>0.38801091461441717</v>
      </c>
      <c r="AK149" s="132"/>
      <c r="AL149" s="146"/>
      <c r="AM149" s="143">
        <f>'Valve Sizing'!$G$8*AM147/P_1_maxW</f>
        <v>0.35168174559694759</v>
      </c>
      <c r="AN149" s="132"/>
      <c r="AO149" s="146"/>
      <c r="AP149" s="143">
        <f>'Valve Sizing'!$G$8*AP147/P_1_maxW</f>
        <v>0.31908014065167589</v>
      </c>
      <c r="AQ149" s="132"/>
      <c r="AR149" s="146"/>
      <c r="AS149" s="143">
        <f>'Valve Sizing'!$G$8*AS147/P_1_maxW</f>
        <v>0.27850040592296221</v>
      </c>
      <c r="AT149" s="132"/>
      <c r="AU149" s="146"/>
    </row>
    <row r="150" spans="13:47" x14ac:dyDescent="0.25">
      <c r="M150" s="20"/>
      <c r="N150" s="20"/>
      <c r="O150" s="7" t="s">
        <v>190</v>
      </c>
      <c r="P150" s="1"/>
      <c r="Q150" s="7"/>
      <c r="R150" s="181">
        <f>R147-R148</f>
        <v>50.522714969310826</v>
      </c>
      <c r="S150" s="132"/>
      <c r="T150" s="146"/>
      <c r="U150" s="138">
        <f>U147-U148</f>
        <v>50.42187753273106</v>
      </c>
      <c r="V150" s="132"/>
      <c r="W150" s="146"/>
      <c r="X150" s="138">
        <f>X147-X148</f>
        <v>49.905593996824393</v>
      </c>
      <c r="Y150" s="132"/>
      <c r="Z150" s="146"/>
      <c r="AA150" s="138">
        <f>AA147-AA148</f>
        <v>48.18133669639812</v>
      </c>
      <c r="AB150" s="132"/>
      <c r="AC150" s="146"/>
      <c r="AD150" s="138">
        <f>AD147-AD148</f>
        <v>44.189600286746327</v>
      </c>
      <c r="AE150" s="132"/>
      <c r="AF150" s="146"/>
      <c r="AG150" s="138">
        <f>AG147-AG148</f>
        <v>38.064001742080436</v>
      </c>
      <c r="AH150" s="132"/>
      <c r="AI150" s="146"/>
      <c r="AJ150" s="138">
        <f>AJ147-AJ148</f>
        <v>30.436408672118986</v>
      </c>
      <c r="AK150" s="132"/>
      <c r="AL150" s="146"/>
      <c r="AM150" s="138">
        <f>AM147-AM148</f>
        <v>22.905208451342801</v>
      </c>
      <c r="AN150" s="132"/>
      <c r="AO150" s="146"/>
      <c r="AP150" s="138">
        <f>AP147-AP148</f>
        <v>16.146749036996695</v>
      </c>
      <c r="AQ150" s="132"/>
      <c r="AR150" s="146"/>
      <c r="AS150" s="138">
        <f>AS147-AS148</f>
        <v>7.7343874164771904</v>
      </c>
      <c r="AT150" s="132"/>
      <c r="AU150" s="146"/>
    </row>
    <row r="151" spans="13:47" ht="14.5" x14ac:dyDescent="0.35">
      <c r="M151" s="27"/>
      <c r="N151" s="27"/>
      <c r="O151" s="2" t="s">
        <v>191</v>
      </c>
      <c r="P151" s="10"/>
      <c r="Q151" s="2"/>
      <c r="R151" s="181">
        <f>R150/R147</f>
        <v>0.50259998433921338</v>
      </c>
      <c r="S151" s="132"/>
      <c r="T151" s="146"/>
      <c r="U151" s="138">
        <f>U150/U147</f>
        <v>0.50210052601632327</v>
      </c>
      <c r="V151" s="132"/>
      <c r="W151" s="146"/>
      <c r="X151" s="138">
        <f>X150/X147</f>
        <v>0.4995275239383562</v>
      </c>
      <c r="Y151" s="132"/>
      <c r="Z151" s="146"/>
      <c r="AA151" s="138">
        <f>AA150/AA147</f>
        <v>0.49073824331183402</v>
      </c>
      <c r="AB151" s="132"/>
      <c r="AC151" s="146"/>
      <c r="AD151" s="138">
        <f>AD150/AD147</f>
        <v>0.4691558319837606</v>
      </c>
      <c r="AE151" s="132"/>
      <c r="AF151" s="146"/>
      <c r="AG151" s="138">
        <f>AG150/AG147</f>
        <v>0.43223111588275648</v>
      </c>
      <c r="AH151" s="132"/>
      <c r="AI151" s="146"/>
      <c r="AJ151" s="138">
        <f>AJ150/AJ147</f>
        <v>0.37839094477957352</v>
      </c>
      <c r="AK151" s="132"/>
      <c r="AL151" s="146"/>
      <c r="AM151" s="138">
        <f>AM150/AM147</f>
        <v>0.31417794335818711</v>
      </c>
      <c r="AN151" s="132"/>
      <c r="AO151" s="146"/>
      <c r="AP151" s="138">
        <f>AP150/AP147</f>
        <v>0.24410495257999179</v>
      </c>
      <c r="AQ151" s="132"/>
      <c r="AR151" s="146"/>
      <c r="AS151" s="138">
        <f>AS150/AS147</f>
        <v>0.13396500357202756</v>
      </c>
      <c r="AT151" s="132"/>
      <c r="AU151" s="146"/>
    </row>
    <row r="152" spans="13:47" x14ac:dyDescent="0.25">
      <c r="M152" s="27"/>
      <c r="N152" s="27"/>
      <c r="O152" s="2" t="s">
        <v>26</v>
      </c>
      <c r="P152" s="7">
        <v>12</v>
      </c>
      <c r="Q152" s="2"/>
      <c r="R152" s="181">
        <f>1-R151/(3*F_GAMMA*R$29)</f>
        <v>0.73824016879825305</v>
      </c>
      <c r="S152" s="133"/>
      <c r="T152" s="146"/>
      <c r="U152" s="138">
        <f>1-U151/(3*F_GAMMA*U$29)</f>
        <v>0.73855786813988178</v>
      </c>
      <c r="V152" s="133"/>
      <c r="W152" s="146"/>
      <c r="X152" s="138">
        <f>1-X151/(3*F_GAMMA*X$29)</f>
        <v>0.73599567243987174</v>
      </c>
      <c r="Y152" s="133"/>
      <c r="Z152" s="146"/>
      <c r="AA152" s="138">
        <f>1-AA151/(3*F_GAMMA*AA$29)</f>
        <v>0.73708470368671408</v>
      </c>
      <c r="AB152" s="133"/>
      <c r="AC152" s="146"/>
      <c r="AD152" s="138">
        <f>1-AD151/(3*F_GAMMA*AD$29)</f>
        <v>0.74175603207513929</v>
      </c>
      <c r="AE152" s="133"/>
      <c r="AF152" s="146"/>
      <c r="AG152" s="138">
        <f>1-AG151/(3*F_GAMMA*AG$29)</f>
        <v>0.74850974249978153</v>
      </c>
      <c r="AH152" s="133"/>
      <c r="AI152" s="146"/>
      <c r="AJ152" s="138">
        <f>1-AJ151/(3*F_GAMMA*AJ$29)</f>
        <v>0.7646419349303254</v>
      </c>
      <c r="AK152" s="133"/>
      <c r="AL152" s="146"/>
      <c r="AM152" s="138">
        <f>1-AM151/(3*F_GAMMA*AM$29)</f>
        <v>0.78648621961520893</v>
      </c>
      <c r="AN152" s="133"/>
      <c r="AO152" s="146"/>
      <c r="AP152" s="138">
        <f>1-AP151/(3*F_GAMMA*AP$29)</f>
        <v>0.86290777838742483</v>
      </c>
      <c r="AQ152" s="133"/>
      <c r="AR152" s="146"/>
      <c r="AS152" s="138">
        <f>1-AS151/(3*F_GAMMA*AS$29)</f>
        <v>0.88578471854377772</v>
      </c>
      <c r="AT152" s="133"/>
      <c r="AU152" s="146"/>
    </row>
    <row r="153" spans="13:47" x14ac:dyDescent="0.25">
      <c r="M153" s="27"/>
      <c r="N153" s="27"/>
      <c r="O153" s="2" t="s">
        <v>71</v>
      </c>
      <c r="P153" s="85">
        <v>5</v>
      </c>
      <c r="Q153" s="2"/>
      <c r="R153" s="179">
        <f>R145/((N_6*R$27*R152)*SQRT(R151*R147*R149))</f>
        <v>5.8007728302547454E-2</v>
      </c>
      <c r="S153" s="133"/>
      <c r="T153" s="146"/>
      <c r="U153" s="143">
        <f>U145/((N_6*U$27*U152)*SQRT(U151*U147*U149))</f>
        <v>2.1788256019357872</v>
      </c>
      <c r="V153" s="133"/>
      <c r="W153" s="146"/>
      <c r="X153" s="143">
        <f>X145/((N_6*X$27*X152)*SQRT(X151*X147*X149))</f>
        <v>5.4612534656891727</v>
      </c>
      <c r="Y153" s="133"/>
      <c r="Z153" s="146"/>
      <c r="AA153" s="143">
        <f>AA145/((N_6*AA$27*AA152)*SQRT(AA151*AA147*AA149))</f>
        <v>10.967015219085408</v>
      </c>
      <c r="AB153" s="133"/>
      <c r="AC153" s="146"/>
      <c r="AD153" s="143">
        <f>AD145/((N_6*AD$27*AD152)*SQRT(AD151*AD147*AD149))</f>
        <v>19.335281811250667</v>
      </c>
      <c r="AE153" s="133"/>
      <c r="AF153" s="146"/>
      <c r="AG153" s="143">
        <f>AG145/((N_6*AG$27*AG152)*SQRT(AG151*AG147*AG149))</f>
        <v>30.592618374286889</v>
      </c>
      <c r="AH153" s="133"/>
      <c r="AI153" s="146"/>
      <c r="AJ153" s="143">
        <f>AJ145/((N_6*AJ$27*AJ152)*SQRT(AJ151*AJ147*AJ149))</f>
        <v>46.021623178475608</v>
      </c>
      <c r="AK153" s="133"/>
      <c r="AL153" s="146"/>
      <c r="AM153" s="143">
        <f>AM145/((N_6*AM$27*AM152)*SQRT(AM151*AM147*AM149))</f>
        <v>67.426681867716979</v>
      </c>
      <c r="AN153" s="133"/>
      <c r="AO153" s="146"/>
      <c r="AP153" s="143">
        <f>AP145/((N_6*AP$27*AP152)*SQRT(AP151*AP147*AP149))</f>
        <v>97.3861862479134</v>
      </c>
      <c r="AQ153" s="133"/>
      <c r="AR153" s="146"/>
      <c r="AS153" s="143">
        <f>AS145/((N_6*AS$27*AS152)*SQRT(AS151*AS147*AS149))</f>
        <v>215.09120214363543</v>
      </c>
      <c r="AT153" s="133"/>
      <c r="AU153" s="146"/>
    </row>
    <row r="154" spans="13:47" x14ac:dyDescent="0.25">
      <c r="M154" s="27"/>
      <c r="N154" s="27"/>
      <c r="O154" s="2" t="s">
        <v>73</v>
      </c>
      <c r="P154" s="85">
        <v>5</v>
      </c>
      <c r="Q154" s="2"/>
      <c r="R154" s="179">
        <f>R145/((N_6*R$27*0.667)*SQRT(R155*R147*R149))</f>
        <v>5.6894439660773843E-2</v>
      </c>
      <c r="S154" s="133"/>
      <c r="T154" s="155"/>
      <c r="U154" s="143">
        <f>U145/((N_6*U$27*0.667)*SQRT(U155*U147*U149))</f>
        <v>2.1366312719912979</v>
      </c>
      <c r="V154" s="133"/>
      <c r="W154" s="155"/>
      <c r="X154" s="143">
        <f>X145/((N_6*X$27*0.667)*SQRT(X155*X147*X149))</f>
        <v>5.3630014014767884</v>
      </c>
      <c r="Y154" s="133"/>
      <c r="Z154" s="155"/>
      <c r="AA154" s="143">
        <f>AA145/((N_6*AA$27*0.667)*SQRT(AA155*AA147*AA149))</f>
        <v>10.763377321079812</v>
      </c>
      <c r="AB154" s="133"/>
      <c r="AC154" s="155"/>
      <c r="AD154" s="143">
        <f>AD145/((N_6*AD$27*0.667)*SQRT(AD155*AD147*AD149))</f>
        <v>18.926115211486792</v>
      </c>
      <c r="AE154" s="133"/>
      <c r="AF154" s="155"/>
      <c r="AG154" s="143">
        <f>AG145/((N_6*AG$27*0.667)*SQRT(AG155*AG147*AG149))</f>
        <v>29.820126594063289</v>
      </c>
      <c r="AH154" s="133"/>
      <c r="AI154" s="155"/>
      <c r="AJ154" s="143">
        <f>AJ145/((N_6*AJ$27*0.667)*SQRT(AJ155*AJ147*AJ149))</f>
        <v>44.332209838230717</v>
      </c>
      <c r="AK154" s="133"/>
      <c r="AL154" s="155"/>
      <c r="AM154" s="143">
        <f>AM145/((N_6*AM$27*0.667)*SQRT(AM155*AM147*AM149))</f>
        <v>63.631279212765392</v>
      </c>
      <c r="AN154" s="133"/>
      <c r="AO154" s="155"/>
      <c r="AP154" s="143">
        <f>AP145/((N_6*AP$27*0.667)*SQRT(AP155*AP147*AP149))</f>
        <v>80.798433920835663</v>
      </c>
      <c r="AQ154" s="133"/>
      <c r="AR154" s="155"/>
      <c r="AS154" s="143">
        <f>AS145/((N_6*AS$27*0.667)*SQRT(AS155*AS147*AS149))</f>
        <v>167.20441128143887</v>
      </c>
      <c r="AT154" s="133"/>
      <c r="AU154" s="155"/>
    </row>
    <row r="155" spans="13:47" ht="15.5" x14ac:dyDescent="0.4">
      <c r="M155" s="27"/>
      <c r="N155" s="27"/>
      <c r="O155" s="2" t="s">
        <v>192</v>
      </c>
      <c r="P155" s="85">
        <v>10</v>
      </c>
      <c r="Q155" s="2"/>
      <c r="R155" s="181">
        <f>F_GAMMA*R$29</f>
        <v>0.64002688015162901</v>
      </c>
      <c r="S155" s="133"/>
      <c r="T155" s="155"/>
      <c r="U155" s="138">
        <f>F_GAMMA*U$29</f>
        <v>0.64016782916606918</v>
      </c>
      <c r="V155" s="133"/>
      <c r="W155" s="155"/>
      <c r="X155" s="138">
        <f>F_GAMMA*X$29</f>
        <v>0.6307062319203669</v>
      </c>
      <c r="Y155" s="133"/>
      <c r="Z155" s="155"/>
      <c r="AA155" s="138">
        <f>F_GAMMA*AA$29</f>
        <v>0.62217534213893466</v>
      </c>
      <c r="AB155" s="133"/>
      <c r="AC155" s="155"/>
      <c r="AD155" s="138">
        <f>F_GAMMA*AD$29</f>
        <v>0.60557184969146072</v>
      </c>
      <c r="AE155" s="133"/>
      <c r="AF155" s="155"/>
      <c r="AG155" s="138">
        <f>F_GAMMA*AG$29</f>
        <v>0.57289312142622573</v>
      </c>
      <c r="AH155" s="133"/>
      <c r="AI155" s="155"/>
      <c r="AJ155" s="138">
        <f>F_GAMMA*AJ$29</f>
        <v>0.53590819116049981</v>
      </c>
      <c r="AK155" s="133"/>
      <c r="AL155" s="155"/>
      <c r="AM155" s="138">
        <f>F_GAMMA*AM$29</f>
        <v>0.49048815926850342</v>
      </c>
      <c r="AN155" s="133"/>
      <c r="AO155" s="155"/>
      <c r="AP155" s="138">
        <f>F_GAMMA*AP$29</f>
        <v>0.59352979016280105</v>
      </c>
      <c r="AQ155" s="133"/>
      <c r="AR155" s="155"/>
      <c r="AS155" s="138">
        <f>F_GAMMA*AS$29</f>
        <v>0.39097221161068291</v>
      </c>
      <c r="AT155" s="133"/>
      <c r="AU155" s="155"/>
    </row>
    <row r="156" spans="13:47" x14ac:dyDescent="0.25">
      <c r="M156" s="27"/>
      <c r="N156" s="27"/>
      <c r="O156" s="2" t="s">
        <v>193</v>
      </c>
      <c r="P156" s="134"/>
      <c r="Q156" s="2"/>
      <c r="R156" s="181">
        <f>IF(R151&lt;R155,R153,R154)</f>
        <v>5.8007728302547454E-2</v>
      </c>
      <c r="S156" s="133"/>
      <c r="T156" s="155"/>
      <c r="U156" s="138">
        <f>IF(U151&lt;U155,U153,U154)</f>
        <v>2.1788256019357872</v>
      </c>
      <c r="V156" s="133"/>
      <c r="W156" s="155"/>
      <c r="X156" s="138">
        <f>IF(X151&lt;X155,X153,X154)</f>
        <v>5.4612534656891727</v>
      </c>
      <c r="Y156" s="133"/>
      <c r="Z156" s="155"/>
      <c r="AA156" s="138">
        <f>IF(AA151&lt;AA155,AA153,AA154)</f>
        <v>10.967015219085408</v>
      </c>
      <c r="AB156" s="133"/>
      <c r="AC156" s="155"/>
      <c r="AD156" s="138">
        <f>IF(AD151&lt;AD155,AD153,AD154)</f>
        <v>19.335281811250667</v>
      </c>
      <c r="AE156" s="133"/>
      <c r="AF156" s="155"/>
      <c r="AG156" s="138">
        <f>IF(AG151&lt;AG155,AG153,AG154)</f>
        <v>30.592618374286889</v>
      </c>
      <c r="AH156" s="133"/>
      <c r="AI156" s="155"/>
      <c r="AJ156" s="138">
        <f>IF(AJ151&lt;AJ155,AJ153,AJ154)</f>
        <v>46.021623178475608</v>
      </c>
      <c r="AK156" s="133"/>
      <c r="AL156" s="155"/>
      <c r="AM156" s="138">
        <f>IF(AM151&lt;AM155,AM153,AM154)</f>
        <v>67.426681867716979</v>
      </c>
      <c r="AN156" s="133"/>
      <c r="AO156" s="155"/>
      <c r="AP156" s="138">
        <f>IF(AP151&lt;AP155,AP153,AP154)</f>
        <v>97.3861862479134</v>
      </c>
      <c r="AQ156" s="133"/>
      <c r="AR156" s="155"/>
      <c r="AS156" s="138">
        <f>IF(AS151&lt;AS155,AS153,AS154)</f>
        <v>215.09120214363543</v>
      </c>
      <c r="AT156" s="133"/>
      <c r="AU156" s="155"/>
    </row>
    <row r="157" spans="13:47" ht="13" x14ac:dyDescent="0.3">
      <c r="M157" s="28"/>
      <c r="N157" s="28"/>
      <c r="O157" s="9" t="s">
        <v>194</v>
      </c>
      <c r="P157" s="1"/>
      <c r="Q157" s="1"/>
      <c r="R157" s="135"/>
      <c r="S157" s="132">
        <f>IF(R150&lt;=0,W_max,ABS(R$23-R156))</f>
        <v>1.9419922716974525</v>
      </c>
      <c r="T157" s="151">
        <f>R145</f>
        <v>13.415499912475941</v>
      </c>
      <c r="U157" s="135"/>
      <c r="V157" s="132">
        <f>IF(U150&lt;=0,W_max,ABS(U$23-U156))</f>
        <v>2.8211743980642128</v>
      </c>
      <c r="W157" s="151">
        <f>U145</f>
        <v>503.04703828833368</v>
      </c>
      <c r="X157" s="135"/>
      <c r="Y157" s="132">
        <f>IF(X150&lt;=0,W_max,ABS(X$23-X156))</f>
        <v>4.5387465343108273</v>
      </c>
      <c r="Z157" s="151">
        <f>X145</f>
        <v>1244.09518898634</v>
      </c>
      <c r="AA157" s="135"/>
      <c r="AB157" s="132">
        <f>IF(AA150&lt;=0,W_max,ABS(AA$23-AA156))</f>
        <v>6.2329847809145917</v>
      </c>
      <c r="AC157" s="151">
        <f>AA145</f>
        <v>2423.1798785546366</v>
      </c>
      <c r="AD157" s="135"/>
      <c r="AE157" s="132">
        <f>IF(AD150&lt;=0,W_max,ABS(AD$23-AD156))</f>
        <v>7.2647181887493346</v>
      </c>
      <c r="AF157" s="151">
        <f>AD145</f>
        <v>3985.238738322751</v>
      </c>
      <c r="AG157" s="135"/>
      <c r="AH157" s="132">
        <f>IF(AG150&lt;=0,W_max,ABS(AG$23-AG156))</f>
        <v>7.8073816257131092</v>
      </c>
      <c r="AI157" s="151">
        <f>AG145</f>
        <v>5589.6041387629539</v>
      </c>
      <c r="AJ157" s="135"/>
      <c r="AK157" s="132">
        <f>IF(AJ150&lt;=0,W_max,ABS(AJ$23-AJ156))</f>
        <v>6.4783768215243924</v>
      </c>
      <c r="AL157" s="151">
        <f>AJ145</f>
        <v>7097.3140465647139</v>
      </c>
      <c r="AM157" s="135"/>
      <c r="AN157" s="132">
        <f>IF(AM150&lt;=0,W_max,ABS(AM$23-AM156))</f>
        <v>4.9733181322830262</v>
      </c>
      <c r="AO157" s="151">
        <f>AM145</f>
        <v>8322.1588873187848</v>
      </c>
      <c r="AP157" s="135"/>
      <c r="AQ157" s="132">
        <f>IF(AP150&lt;=0,W_max,ABS(AP$23-AP156))</f>
        <v>10.6138137520866</v>
      </c>
      <c r="AR157" s="151">
        <f>AP145</f>
        <v>9284.7692465010186</v>
      </c>
      <c r="AS157" s="135"/>
      <c r="AT157" s="132">
        <f>IF(AS150&lt;=0,W_max,ABS(AS$23-AS156))</f>
        <v>35.091202143635428</v>
      </c>
      <c r="AU157" s="151">
        <f>AS145</f>
        <v>10358.72315441277</v>
      </c>
    </row>
    <row r="158" spans="13:47" ht="13" x14ac:dyDescent="0.25">
      <c r="M158" s="12"/>
      <c r="N158" s="12"/>
      <c r="O158" s="2"/>
      <c r="P158" s="85"/>
      <c r="Q158" s="2"/>
      <c r="R158" s="18"/>
      <c r="S158" s="150"/>
      <c r="T158" s="148"/>
      <c r="U158" s="157"/>
      <c r="V158" s="1"/>
      <c r="W158" s="147"/>
      <c r="X158" s="157"/>
      <c r="Y158" s="1"/>
      <c r="Z158" s="147"/>
      <c r="AA158" s="157"/>
      <c r="AB158" s="1"/>
      <c r="AC158" s="147"/>
      <c r="AD158" s="157"/>
      <c r="AE158" s="1"/>
      <c r="AF158" s="147"/>
      <c r="AG158" s="157"/>
      <c r="AH158" s="1"/>
      <c r="AI158" s="147"/>
      <c r="AJ158" s="157"/>
      <c r="AK158" s="1"/>
      <c r="AL158" s="147"/>
      <c r="AM158" s="157"/>
      <c r="AN158" s="1"/>
      <c r="AO158" s="147"/>
      <c r="AP158" s="157"/>
      <c r="AQ158" s="1"/>
      <c r="AR158" s="147"/>
      <c r="AS158" s="157"/>
      <c r="AT158" s="1"/>
      <c r="AU158" s="147"/>
    </row>
    <row r="159" spans="13:47" ht="14" x14ac:dyDescent="0.3">
      <c r="M159" s="23"/>
      <c r="N159" s="23"/>
      <c r="O159" s="23" t="s">
        <v>238</v>
      </c>
      <c r="P159" s="20"/>
      <c r="Q159" s="20"/>
      <c r="R159" s="181">
        <f>R145*1.02</f>
        <v>13.68380991072546</v>
      </c>
      <c r="S159" s="128" t="s">
        <v>185</v>
      </c>
      <c r="T159" s="149" t="s">
        <v>186</v>
      </c>
      <c r="U159" s="143">
        <f>U145*1.01</f>
        <v>508.077508671217</v>
      </c>
      <c r="V159" s="128" t="s">
        <v>185</v>
      </c>
      <c r="W159" s="153" t="s">
        <v>186</v>
      </c>
      <c r="X159" s="143">
        <f>X145*1.01</f>
        <v>1256.5361408762033</v>
      </c>
      <c r="Y159" s="128" t="s">
        <v>185</v>
      </c>
      <c r="Z159" s="153" t="s">
        <v>186</v>
      </c>
      <c r="AA159" s="143">
        <f>AA145*1.01</f>
        <v>2447.4116773401829</v>
      </c>
      <c r="AB159" s="128" t="s">
        <v>185</v>
      </c>
      <c r="AC159" s="153" t="s">
        <v>186</v>
      </c>
      <c r="AD159" s="143">
        <f>AD145*1.01</f>
        <v>4025.0911257059784</v>
      </c>
      <c r="AE159" s="128" t="s">
        <v>185</v>
      </c>
      <c r="AF159" s="153" t="s">
        <v>186</v>
      </c>
      <c r="AG159" s="143">
        <f>AG145*1.01</f>
        <v>5645.5001801505832</v>
      </c>
      <c r="AH159" s="128" t="s">
        <v>185</v>
      </c>
      <c r="AI159" s="153" t="s">
        <v>186</v>
      </c>
      <c r="AJ159" s="143">
        <f>AJ145*1.01</f>
        <v>7168.2871870303607</v>
      </c>
      <c r="AK159" s="128" t="s">
        <v>185</v>
      </c>
      <c r="AL159" s="153" t="s">
        <v>186</v>
      </c>
      <c r="AM159" s="143">
        <f>AM145*1.01</f>
        <v>8405.3804761919728</v>
      </c>
      <c r="AN159" s="128" t="s">
        <v>185</v>
      </c>
      <c r="AO159" s="153" t="s">
        <v>186</v>
      </c>
      <c r="AP159" s="143">
        <f>AP145*1.01</f>
        <v>9377.6169389660281</v>
      </c>
      <c r="AQ159" s="128" t="s">
        <v>185</v>
      </c>
      <c r="AR159" s="153" t="s">
        <v>186</v>
      </c>
      <c r="AS159" s="143">
        <f>AS145*1.01</f>
        <v>10462.310385956898</v>
      </c>
      <c r="AT159" s="128" t="s">
        <v>185</v>
      </c>
      <c r="AU159" s="153" t="s">
        <v>186</v>
      </c>
    </row>
    <row r="160" spans="13:47" ht="14" x14ac:dyDescent="0.3">
      <c r="M160" s="12"/>
      <c r="N160" s="12"/>
      <c r="O160" s="20"/>
      <c r="P160" s="20"/>
      <c r="Q160" s="23"/>
      <c r="R160" s="139"/>
      <c r="S160" s="130" t="s">
        <v>228</v>
      </c>
      <c r="T160" s="131" t="s">
        <v>187</v>
      </c>
      <c r="U160" s="144"/>
      <c r="V160" s="130" t="s">
        <v>228</v>
      </c>
      <c r="W160" s="154" t="s">
        <v>187</v>
      </c>
      <c r="X160" s="144"/>
      <c r="Y160" s="130" t="s">
        <v>228</v>
      </c>
      <c r="Z160" s="154" t="s">
        <v>187</v>
      </c>
      <c r="AA160" s="144"/>
      <c r="AB160" s="130" t="s">
        <v>228</v>
      </c>
      <c r="AC160" s="154" t="s">
        <v>187</v>
      </c>
      <c r="AD160" s="144"/>
      <c r="AE160" s="130" t="s">
        <v>228</v>
      </c>
      <c r="AF160" s="154" t="s">
        <v>187</v>
      </c>
      <c r="AG160" s="144"/>
      <c r="AH160" s="130" t="s">
        <v>228</v>
      </c>
      <c r="AI160" s="154" t="s">
        <v>187</v>
      </c>
      <c r="AJ160" s="144"/>
      <c r="AK160" s="130" t="s">
        <v>228</v>
      </c>
      <c r="AL160" s="154" t="s">
        <v>187</v>
      </c>
      <c r="AM160" s="144"/>
      <c r="AN160" s="130" t="s">
        <v>228</v>
      </c>
      <c r="AO160" s="154" t="s">
        <v>187</v>
      </c>
      <c r="AP160" s="144"/>
      <c r="AQ160" s="130" t="s">
        <v>228</v>
      </c>
      <c r="AR160" s="154" t="s">
        <v>187</v>
      </c>
      <c r="AS160" s="144"/>
      <c r="AT160" s="130" t="s">
        <v>228</v>
      </c>
      <c r="AU160" s="154" t="s">
        <v>187</v>
      </c>
    </row>
    <row r="161" spans="13:47" x14ac:dyDescent="0.25">
      <c r="M161" s="20"/>
      <c r="N161" s="20"/>
      <c r="O161" s="7" t="s">
        <v>188</v>
      </c>
      <c r="P161" s="7"/>
      <c r="Q161" s="7"/>
      <c r="R161" s="181">
        <f>P_1_minW-(R159^2*R_up)+dpup_minQ</f>
        <v>100.52271206990723</v>
      </c>
      <c r="S161" s="132"/>
      <c r="T161" s="145"/>
      <c r="U161" s="138">
        <f>P_1_minW-(U159^2*R_up)+dpup_minQ</f>
        <v>100.41984925773075</v>
      </c>
      <c r="V161" s="132"/>
      <c r="W161" s="145"/>
      <c r="X161" s="138">
        <f>P_1_minW-(X159^2*R_up)+dpup_minQ</f>
        <v>99.89318842275236</v>
      </c>
      <c r="Y161" s="132"/>
      <c r="Z161" s="145"/>
      <c r="AA161" s="138">
        <f>P_1_minW-(AA159^2*R_up)+dpup_minQ</f>
        <v>98.134273550587523</v>
      </c>
      <c r="AB161" s="132"/>
      <c r="AC161" s="145"/>
      <c r="AD161" s="138">
        <f>P_1_minW-(AD159^2*R_up)+dpup_minQ</f>
        <v>94.062303239101723</v>
      </c>
      <c r="AE161" s="132"/>
      <c r="AF161" s="145"/>
      <c r="AG161" s="138">
        <f>P_1_minW-(AG159^2*R_up)+dpup_minQ</f>
        <v>87.813580163688044</v>
      </c>
      <c r="AH161" s="132"/>
      <c r="AI161" s="145"/>
      <c r="AJ161" s="138">
        <f>P_1_minW-(AJ159^2*R_up)+dpup_minQ</f>
        <v>80.032672473020369</v>
      </c>
      <c r="AK161" s="132"/>
      <c r="AL161" s="145"/>
      <c r="AM161" s="138">
        <f>P_1_minW-(AM159^2*R_up)+dpup_minQ</f>
        <v>72.350095127806583</v>
      </c>
      <c r="AN161" s="132"/>
      <c r="AO161" s="145"/>
      <c r="AP161" s="138">
        <f>P_1_minW-(AP159^2*R_up)+dpup_minQ</f>
        <v>65.455790679232138</v>
      </c>
      <c r="AQ161" s="132"/>
      <c r="AR161" s="145"/>
      <c r="AS161" s="138">
        <f>P_1_minW-(AS159^2*R_up)+dpup_minQ</f>
        <v>56.874340590140172</v>
      </c>
      <c r="AT161" s="132"/>
      <c r="AU161" s="145"/>
    </row>
    <row r="162" spans="13:47" x14ac:dyDescent="0.25">
      <c r="M162" s="20"/>
      <c r="N162" s="20"/>
      <c r="O162" s="7" t="s">
        <v>189</v>
      </c>
      <c r="P162" s="1"/>
      <c r="Q162" s="7"/>
      <c r="R162" s="181">
        <f>P_2_minW+(R159^2*R_dn)-dpdn_minQ</f>
        <v>50</v>
      </c>
      <c r="S162" s="132"/>
      <c r="T162" s="146"/>
      <c r="U162" s="138">
        <f>P_2_minW+(U159^2*R_dn)-dpdn_minQ</f>
        <v>50</v>
      </c>
      <c r="V162" s="132"/>
      <c r="W162" s="146"/>
      <c r="X162" s="138">
        <f>P_2_minW+(X159^2*R_dn)-dpdn_minQ</f>
        <v>50</v>
      </c>
      <c r="Y162" s="132"/>
      <c r="Z162" s="146"/>
      <c r="AA162" s="138">
        <f>P_2_minW+(AA159^2*R_dn)-dpdn_minQ</f>
        <v>50</v>
      </c>
      <c r="AB162" s="132"/>
      <c r="AC162" s="146"/>
      <c r="AD162" s="138">
        <f>P_2_minW+(AD159^2*R_dn)-dpdn_minQ</f>
        <v>50</v>
      </c>
      <c r="AE162" s="132"/>
      <c r="AF162" s="146"/>
      <c r="AG162" s="138">
        <f>P_2_minW+(AG159^2*R_dn)-dpdn_minQ</f>
        <v>50</v>
      </c>
      <c r="AH162" s="132"/>
      <c r="AI162" s="146"/>
      <c r="AJ162" s="138">
        <f>P_2_minW+(AJ159^2*R_dn)-dpdn_minQ</f>
        <v>50</v>
      </c>
      <c r="AK162" s="132"/>
      <c r="AL162" s="146"/>
      <c r="AM162" s="138">
        <f>P_2_minW+(AM159^2*R_dn)-dpdn_minQ</f>
        <v>50</v>
      </c>
      <c r="AN162" s="132"/>
      <c r="AO162" s="146"/>
      <c r="AP162" s="138">
        <f>P_2_minW+(AP159^2*R_dn)-dpdn_minQ</f>
        <v>50</v>
      </c>
      <c r="AQ162" s="132"/>
      <c r="AR162" s="146"/>
      <c r="AS162" s="138">
        <f>P_2_minW+(AS159^2*R_dn)-dpdn_minQ</f>
        <v>50</v>
      </c>
      <c r="AT162" s="132"/>
      <c r="AU162" s="146"/>
    </row>
    <row r="163" spans="13:47" x14ac:dyDescent="0.25">
      <c r="M163" s="20"/>
      <c r="N163" s="20"/>
      <c r="O163" s="7" t="s">
        <v>234</v>
      </c>
      <c r="P163" s="1"/>
      <c r="Q163" s="7"/>
      <c r="R163" s="179">
        <f>'Valve Sizing'!G$8*R161/P_1_maxW</f>
        <v>0.48490366605944735</v>
      </c>
      <c r="S163" s="132"/>
      <c r="T163" s="146"/>
      <c r="U163" s="143">
        <f>'Valve Sizing'!$G$8*U161/P_1_maxW</f>
        <v>0.48440747416710295</v>
      </c>
      <c r="V163" s="132"/>
      <c r="W163" s="146"/>
      <c r="X163" s="143">
        <f>'Valve Sizing'!$G$8*X161/P_1_maxW</f>
        <v>0.48186695606534952</v>
      </c>
      <c r="Y163" s="132"/>
      <c r="Z163" s="146"/>
      <c r="AA163" s="143">
        <f>'Valve Sizing'!$G$8*AA161/P_1_maxW</f>
        <v>0.47338226387751758</v>
      </c>
      <c r="AB163" s="132"/>
      <c r="AC163" s="146"/>
      <c r="AD163" s="143">
        <f>'Valve Sizing'!$G$8*AD161/P_1_maxW</f>
        <v>0.45373980406453979</v>
      </c>
      <c r="AE163" s="132"/>
      <c r="AF163" s="146"/>
      <c r="AG163" s="143">
        <f>'Valve Sizing'!$G$8*AG161/P_1_maxW</f>
        <v>0.42359707646531664</v>
      </c>
      <c r="AH163" s="132"/>
      <c r="AI163" s="146"/>
      <c r="AJ163" s="143">
        <f>'Valve Sizing'!$G$8*AJ161/P_1_maxW</f>
        <v>0.38606336307076528</v>
      </c>
      <c r="AK163" s="132"/>
      <c r="AL163" s="146"/>
      <c r="AM163" s="143">
        <f>'Valve Sizing'!$G$8*AM161/P_1_maxW</f>
        <v>0.34900397775604453</v>
      </c>
      <c r="AN163" s="132"/>
      <c r="AO163" s="146"/>
      <c r="AP163" s="143">
        <f>'Valve Sizing'!$G$8*AP161/P_1_maxW</f>
        <v>0.31574708055137296</v>
      </c>
      <c r="AQ163" s="132"/>
      <c r="AR163" s="146"/>
      <c r="AS163" s="143">
        <f>'Valve Sizing'!$G$8*AS161/P_1_maxW</f>
        <v>0.27435169315461205</v>
      </c>
      <c r="AT163" s="132"/>
      <c r="AU163" s="146"/>
    </row>
    <row r="164" spans="13:47" x14ac:dyDescent="0.25">
      <c r="M164" s="20"/>
      <c r="N164" s="20"/>
      <c r="O164" s="7" t="s">
        <v>190</v>
      </c>
      <c r="P164" s="1"/>
      <c r="Q164" s="7"/>
      <c r="R164" s="181">
        <f>R161-R162</f>
        <v>50.522712069907229</v>
      </c>
      <c r="S164" s="132"/>
      <c r="T164" s="146"/>
      <c r="U164" s="138">
        <f>U161-U162</f>
        <v>50.419849257730746</v>
      </c>
      <c r="V164" s="132"/>
      <c r="W164" s="146"/>
      <c r="X164" s="138">
        <f>X161-X162</f>
        <v>49.89318842275236</v>
      </c>
      <c r="Y164" s="132"/>
      <c r="Z164" s="146"/>
      <c r="AA164" s="138">
        <f>AA161-AA162</f>
        <v>48.134273550587523</v>
      </c>
      <c r="AB164" s="132"/>
      <c r="AC164" s="146"/>
      <c r="AD164" s="138">
        <f>AD161-AD162</f>
        <v>44.062303239101723</v>
      </c>
      <c r="AE164" s="132"/>
      <c r="AF164" s="146"/>
      <c r="AG164" s="138">
        <f>AG161-AG162</f>
        <v>37.813580163688044</v>
      </c>
      <c r="AH164" s="132"/>
      <c r="AI164" s="146"/>
      <c r="AJ164" s="138">
        <f>AJ161-AJ162</f>
        <v>30.032672473020369</v>
      </c>
      <c r="AK164" s="132"/>
      <c r="AL164" s="146"/>
      <c r="AM164" s="138">
        <f>AM161-AM162</f>
        <v>22.350095127806583</v>
      </c>
      <c r="AN164" s="132"/>
      <c r="AO164" s="146"/>
      <c r="AP164" s="138">
        <f>AP161-AP162</f>
        <v>15.455790679232138</v>
      </c>
      <c r="AQ164" s="132"/>
      <c r="AR164" s="146"/>
      <c r="AS164" s="138">
        <f>AS161-AS162</f>
        <v>6.8743405901401715</v>
      </c>
      <c r="AT164" s="132"/>
      <c r="AU164" s="146"/>
    </row>
    <row r="165" spans="13:47" ht="14.5" x14ac:dyDescent="0.35">
      <c r="M165" s="27"/>
      <c r="N165" s="27"/>
      <c r="O165" s="2" t="s">
        <v>191</v>
      </c>
      <c r="P165" s="10"/>
      <c r="Q165" s="2"/>
      <c r="R165" s="181">
        <f>R164/R161</f>
        <v>0.50259996999257106</v>
      </c>
      <c r="S165" s="132"/>
      <c r="T165" s="146"/>
      <c r="U165" s="138">
        <f>U164/U161</f>
        <v>0.50209046946810876</v>
      </c>
      <c r="V165" s="132"/>
      <c r="W165" s="146"/>
      <c r="X165" s="138">
        <f>X164/X161</f>
        <v>0.4994653710681673</v>
      </c>
      <c r="Y165" s="132"/>
      <c r="Z165" s="146"/>
      <c r="AA165" s="138">
        <f>AA164/AA161</f>
        <v>0.49049401202093423</v>
      </c>
      <c r="AB165" s="132"/>
      <c r="AC165" s="146"/>
      <c r="AD165" s="138">
        <f>AD164/AD161</f>
        <v>0.46843742627795887</v>
      </c>
      <c r="AE165" s="132"/>
      <c r="AF165" s="146"/>
      <c r="AG165" s="138">
        <f>AG164/AG161</f>
        <v>0.43061198613246393</v>
      </c>
      <c r="AH165" s="132"/>
      <c r="AI165" s="146"/>
      <c r="AJ165" s="138">
        <f>AJ164/AJ161</f>
        <v>0.37525514949091093</v>
      </c>
      <c r="AK165" s="132"/>
      <c r="AL165" s="146"/>
      <c r="AM165" s="138">
        <f>AM164/AM161</f>
        <v>0.30891590520130063</v>
      </c>
      <c r="AN165" s="132"/>
      <c r="AO165" s="146"/>
      <c r="AP165" s="138">
        <f>AP164/AP161</f>
        <v>0.23612564326009985</v>
      </c>
      <c r="AQ165" s="132"/>
      <c r="AR165" s="146"/>
      <c r="AS165" s="138">
        <f>AS164/AS161</f>
        <v>0.12086892821631973</v>
      </c>
      <c r="AT165" s="132"/>
      <c r="AU165" s="146"/>
    </row>
    <row r="166" spans="13:47" x14ac:dyDescent="0.25">
      <c r="M166" s="27"/>
      <c r="N166" s="27"/>
      <c r="O166" s="2" t="s">
        <v>26</v>
      </c>
      <c r="P166" s="7">
        <v>12</v>
      </c>
      <c r="Q166" s="2"/>
      <c r="R166" s="181">
        <f>1-R165/(3*F_GAMMA*R$29)</f>
        <v>0.73824017627014871</v>
      </c>
      <c r="S166" s="133"/>
      <c r="T166" s="146"/>
      <c r="U166" s="138">
        <f>1-U165/(3*F_GAMMA*U$29)</f>
        <v>0.73856310455224972</v>
      </c>
      <c r="V166" s="133"/>
      <c r="W166" s="146"/>
      <c r="X166" s="138">
        <f>1-X165/(3*F_GAMMA*X$29)</f>
        <v>0.7360285207333368</v>
      </c>
      <c r="Y166" s="133"/>
      <c r="Z166" s="146"/>
      <c r="AA166" s="138">
        <f>1-AA165/(3*F_GAMMA*AA$29)</f>
        <v>0.73721555173675113</v>
      </c>
      <c r="AB166" s="133"/>
      <c r="AC166" s="146"/>
      <c r="AD166" s="138">
        <f>1-AD165/(3*F_GAMMA*AD$29)</f>
        <v>0.7421514741167774</v>
      </c>
      <c r="AE166" s="133"/>
      <c r="AF166" s="146"/>
      <c r="AG166" s="138">
        <f>1-AG165/(3*F_GAMMA*AG$29)</f>
        <v>0.74945182034393598</v>
      </c>
      <c r="AH166" s="133"/>
      <c r="AI166" s="146"/>
      <c r="AJ166" s="138">
        <f>1-AJ165/(3*F_GAMMA*AJ$29)</f>
        <v>0.76659239046256378</v>
      </c>
      <c r="AK166" s="133"/>
      <c r="AL166" s="146"/>
      <c r="AM166" s="138">
        <f>1-AM165/(3*F_GAMMA*AM$29)</f>
        <v>0.79006227478762736</v>
      </c>
      <c r="AN166" s="133"/>
      <c r="AO166" s="146"/>
      <c r="AP166" s="138">
        <f>1-AP165/(3*F_GAMMA*AP$29)</f>
        <v>0.86738905265095889</v>
      </c>
      <c r="AQ166" s="133"/>
      <c r="AR166" s="146"/>
      <c r="AS166" s="138">
        <f>1-AS165/(3*F_GAMMA*AS$29)</f>
        <v>0.89695011169005456</v>
      </c>
      <c r="AT166" s="133"/>
      <c r="AU166" s="146"/>
    </row>
    <row r="167" spans="13:47" x14ac:dyDescent="0.25">
      <c r="M167" s="27"/>
      <c r="N167" s="27"/>
      <c r="O167" s="2" t="s">
        <v>71</v>
      </c>
      <c r="P167" s="85">
        <v>5</v>
      </c>
      <c r="Q167" s="2"/>
      <c r="R167" s="179">
        <f>R159/((N_6*R$27*R166)*SQRT(R165*R161*R163))</f>
        <v>5.9167884820811291E-2</v>
      </c>
      <c r="S167" s="133"/>
      <c r="T167" s="146"/>
      <c r="U167" s="143">
        <f>U159/((N_6*U$27*U166)*SQRT(U165*U161*U163))</f>
        <v>2.2006647417910199</v>
      </c>
      <c r="V167" s="133"/>
      <c r="W167" s="146"/>
      <c r="X167" s="143">
        <f>X159/((N_6*X$27*X166)*SQRT(X165*X161*X163))</f>
        <v>5.5166480186173557</v>
      </c>
      <c r="Y167" s="133"/>
      <c r="Z167" s="146"/>
      <c r="AA167" s="143">
        <f>AA159/((N_6*AA$27*AA166)*SQRT(AA165*AA161*AA163))</f>
        <v>11.082788771411398</v>
      </c>
      <c r="AB167" s="133"/>
      <c r="AC167" s="146"/>
      <c r="AD167" s="143">
        <f>AD159/((N_6*AD$27*AD166)*SQRT(AD165*AD161*AD163))</f>
        <v>19.55962499441717</v>
      </c>
      <c r="AE167" s="133"/>
      <c r="AF167" s="146"/>
      <c r="AG167" s="143">
        <f>AG159/((N_6*AG$27*AG166)*SQRT(AG165*AG161*AG163))</f>
        <v>31.005836403879506</v>
      </c>
      <c r="AH167" s="133"/>
      <c r="AI167" s="146"/>
      <c r="AJ167" s="143">
        <f>AJ159/((N_6*AJ$27*AJ166)*SQRT(AJ165*AJ161*AJ163))</f>
        <v>46.791751720842477</v>
      </c>
      <c r="AK167" s="133"/>
      <c r="AL167" s="146"/>
      <c r="AM167" s="143">
        <f>AM159/((N_6*AM$27*AM166)*SQRT(AM165*AM161*AM163))</f>
        <v>68.89220982699851</v>
      </c>
      <c r="AN167" s="133"/>
      <c r="AO167" s="146"/>
      <c r="AP167" s="143">
        <f>AP159/((N_6*AP$27*AP166)*SQRT(AP165*AP161*AP163))</f>
        <v>100.54172431147839</v>
      </c>
      <c r="AQ167" s="133"/>
      <c r="AR167" s="146"/>
      <c r="AS167" s="143">
        <f>AS159/((N_6*AS$27*AS166)*SQRT(AS165*AS161*AS163))</f>
        <v>229.27697762748798</v>
      </c>
      <c r="AT167" s="133"/>
      <c r="AU167" s="146"/>
    </row>
    <row r="168" spans="13:47" x14ac:dyDescent="0.25">
      <c r="M168" s="27"/>
      <c r="N168" s="27"/>
      <c r="O168" s="2" t="s">
        <v>73</v>
      </c>
      <c r="P168" s="85">
        <v>5</v>
      </c>
      <c r="Q168" s="2"/>
      <c r="R168" s="179">
        <f>R159/((N_6*R$27*0.667)*SQRT(R169*R161*R163))</f>
        <v>5.8032330127831371E-2</v>
      </c>
      <c r="S168" s="133"/>
      <c r="T168" s="147"/>
      <c r="U168" s="143">
        <f>U159/((N_6*U$27*0.667)*SQRT(U169*U161*U163))</f>
        <v>2.1580411718365067</v>
      </c>
      <c r="V168" s="133"/>
      <c r="W168" s="155"/>
      <c r="X168" s="143">
        <f>X159/((N_6*X$27*0.667)*SQRT(X169*X161*X163))</f>
        <v>5.4173040982170431</v>
      </c>
      <c r="Y168" s="133"/>
      <c r="Z168" s="155"/>
      <c r="AA168" s="143">
        <f>AA159/((N_6*AA$27*0.667)*SQRT(AA169*AA161*AA163))</f>
        <v>10.876224603921122</v>
      </c>
      <c r="AB168" s="133"/>
      <c r="AC168" s="155"/>
      <c r="AD168" s="143">
        <f>AD159/((N_6*AD$27*0.667)*SQRT(AD169*AD161*AD163))</f>
        <v>19.141245717124892</v>
      </c>
      <c r="AE168" s="133"/>
      <c r="AF168" s="155"/>
      <c r="AG168" s="143">
        <f>AG159/((N_6*AG$27*0.667)*SQRT(AG169*AG161*AG163))</f>
        <v>30.204217527492506</v>
      </c>
      <c r="AH168" s="133"/>
      <c r="AI168" s="155"/>
      <c r="AJ168" s="143">
        <f>AJ159/((N_6*AJ$27*0.667)*SQRT(AJ169*AJ161*AJ163))</f>
        <v>45.001408475757714</v>
      </c>
      <c r="AK168" s="133"/>
      <c r="AL168" s="155"/>
      <c r="AM168" s="143">
        <f>AM159/((N_6*AM$27*0.667)*SQRT(AM169*AM161*AM163))</f>
        <v>64.760691516793969</v>
      </c>
      <c r="AN168" s="133"/>
      <c r="AO168" s="155"/>
      <c r="AP168" s="143">
        <f>AP159/((N_6*AP$27*0.667)*SQRT(AP169*AP161*AP163))</f>
        <v>82.467864377475109</v>
      </c>
      <c r="AQ168" s="133"/>
      <c r="AR168" s="155"/>
      <c r="AS168" s="143">
        <f>AS159/((N_6*AS$27*0.667)*SQRT(AS169*AS161*AS163))</f>
        <v>171.43018451001649</v>
      </c>
      <c r="AT168" s="133"/>
      <c r="AU168" s="155"/>
    </row>
    <row r="169" spans="13:47" ht="15.5" x14ac:dyDescent="0.4">
      <c r="M169" s="27"/>
      <c r="N169" s="27"/>
      <c r="O169" s="2" t="s">
        <v>192</v>
      </c>
      <c r="P169" s="85">
        <v>10</v>
      </c>
      <c r="Q169" s="2"/>
      <c r="R169" s="181">
        <f>F_GAMMA*R$29</f>
        <v>0.64002688015162901</v>
      </c>
      <c r="S169" s="133"/>
      <c r="T169" s="147"/>
      <c r="U169" s="138">
        <f>F_GAMMA*U$29</f>
        <v>0.64016782916606918</v>
      </c>
      <c r="V169" s="133"/>
      <c r="W169" s="155"/>
      <c r="X169" s="138">
        <f>F_GAMMA*X$29</f>
        <v>0.6307062319203669</v>
      </c>
      <c r="Y169" s="133"/>
      <c r="Z169" s="155"/>
      <c r="AA169" s="138">
        <f>F_GAMMA*AA$29</f>
        <v>0.62217534213893466</v>
      </c>
      <c r="AB169" s="133"/>
      <c r="AC169" s="155"/>
      <c r="AD169" s="138">
        <f>F_GAMMA*AD$29</f>
        <v>0.60557184969146072</v>
      </c>
      <c r="AE169" s="133"/>
      <c r="AF169" s="155"/>
      <c r="AG169" s="138">
        <f>F_GAMMA*AG$29</f>
        <v>0.57289312142622573</v>
      </c>
      <c r="AH169" s="133"/>
      <c r="AI169" s="155"/>
      <c r="AJ169" s="138">
        <f>F_GAMMA*AJ$29</f>
        <v>0.53590819116049981</v>
      </c>
      <c r="AK169" s="133"/>
      <c r="AL169" s="155"/>
      <c r="AM169" s="138">
        <f>F_GAMMA*AM$29</f>
        <v>0.49048815926850342</v>
      </c>
      <c r="AN169" s="133"/>
      <c r="AO169" s="155"/>
      <c r="AP169" s="138">
        <f>F_GAMMA*AP$29</f>
        <v>0.59352979016280105</v>
      </c>
      <c r="AQ169" s="133"/>
      <c r="AR169" s="155"/>
      <c r="AS169" s="138">
        <f>F_GAMMA*AS$29</f>
        <v>0.39097221161068291</v>
      </c>
      <c r="AT169" s="133"/>
      <c r="AU169" s="155"/>
    </row>
    <row r="170" spans="13:47" x14ac:dyDescent="0.25">
      <c r="M170" s="27"/>
      <c r="N170" s="27"/>
      <c r="O170" s="2" t="s">
        <v>193</v>
      </c>
      <c r="P170" s="134"/>
      <c r="Q170" s="2"/>
      <c r="R170" s="181">
        <f>IF(R165&lt;R169,R167,R168)</f>
        <v>5.9167884820811291E-2</v>
      </c>
      <c r="S170" s="133"/>
      <c r="T170" s="147"/>
      <c r="U170" s="138">
        <f>IF(U165&lt;U169,U167,U168)</f>
        <v>2.2006647417910199</v>
      </c>
      <c r="V170" s="133"/>
      <c r="W170" s="155"/>
      <c r="X170" s="138">
        <f>IF(X165&lt;X169,X167,X168)</f>
        <v>5.5166480186173557</v>
      </c>
      <c r="Y170" s="133"/>
      <c r="Z170" s="155"/>
      <c r="AA170" s="138">
        <f>IF(AA165&lt;AA169,AA167,AA168)</f>
        <v>11.082788771411398</v>
      </c>
      <c r="AB170" s="133"/>
      <c r="AC170" s="155"/>
      <c r="AD170" s="138">
        <f>IF(AD165&lt;AD169,AD167,AD168)</f>
        <v>19.55962499441717</v>
      </c>
      <c r="AE170" s="133"/>
      <c r="AF170" s="155"/>
      <c r="AG170" s="138">
        <f>IF(AG165&lt;AG169,AG167,AG168)</f>
        <v>31.005836403879506</v>
      </c>
      <c r="AH170" s="133"/>
      <c r="AI170" s="155"/>
      <c r="AJ170" s="138">
        <f>IF(AJ165&lt;AJ169,AJ167,AJ168)</f>
        <v>46.791751720842477</v>
      </c>
      <c r="AK170" s="133"/>
      <c r="AL170" s="155"/>
      <c r="AM170" s="138">
        <f>IF(AM165&lt;AM169,AM167,AM168)</f>
        <v>68.89220982699851</v>
      </c>
      <c r="AN170" s="133"/>
      <c r="AO170" s="155"/>
      <c r="AP170" s="138">
        <f>IF(AP165&lt;AP169,AP167,AP168)</f>
        <v>100.54172431147839</v>
      </c>
      <c r="AQ170" s="133"/>
      <c r="AR170" s="155"/>
      <c r="AS170" s="138">
        <f>IF(AS165&lt;AS169,AS167,AS168)</f>
        <v>229.27697762748798</v>
      </c>
      <c r="AT170" s="133"/>
      <c r="AU170" s="155"/>
    </row>
    <row r="171" spans="13:47" ht="13" x14ac:dyDescent="0.3">
      <c r="M171" s="28"/>
      <c r="N171" s="28"/>
      <c r="O171" s="9" t="s">
        <v>194</v>
      </c>
      <c r="P171" s="1"/>
      <c r="Q171" s="1"/>
      <c r="R171" s="135"/>
      <c r="S171" s="132">
        <f>IF(R164&lt;=0,W_max,ABS(R$23-R170))</f>
        <v>1.9408321151791887</v>
      </c>
      <c r="T171" s="151">
        <f>R159</f>
        <v>13.68380991072546</v>
      </c>
      <c r="U171" s="135"/>
      <c r="V171" s="132">
        <f>IF(U164&lt;=0,W_max,ABS(U$23-U170))</f>
        <v>2.7993352582089801</v>
      </c>
      <c r="W171" s="151">
        <f>U159</f>
        <v>508.077508671217</v>
      </c>
      <c r="X171" s="135"/>
      <c r="Y171" s="132">
        <f>IF(X164&lt;=0,W_max,ABS(X$23-X170))</f>
        <v>4.4833519813826443</v>
      </c>
      <c r="Z171" s="151">
        <f>X159</f>
        <v>1256.5361408762033</v>
      </c>
      <c r="AA171" s="135"/>
      <c r="AB171" s="132">
        <f>IF(AA164&lt;=0,W_max,ABS(AA$23-AA170))</f>
        <v>6.1172112285886016</v>
      </c>
      <c r="AC171" s="151">
        <f>AA159</f>
        <v>2447.4116773401829</v>
      </c>
      <c r="AD171" s="135"/>
      <c r="AE171" s="132">
        <f>IF(AD164&lt;=0,W_max,ABS(AD$23-AD170))</f>
        <v>7.0403750055828311</v>
      </c>
      <c r="AF171" s="151">
        <f>AD159</f>
        <v>4025.0911257059784</v>
      </c>
      <c r="AG171" s="135"/>
      <c r="AH171" s="132">
        <f>IF(AG164&lt;=0,W_max,ABS(AG$23-AG170))</f>
        <v>7.3941635961204923</v>
      </c>
      <c r="AI171" s="151">
        <f>AG159</f>
        <v>5645.5001801505832</v>
      </c>
      <c r="AJ171" s="135"/>
      <c r="AK171" s="132">
        <f>IF(AJ164&lt;=0,W_max,ABS(AJ$23-AJ170))</f>
        <v>5.7082482791575231</v>
      </c>
      <c r="AL171" s="151">
        <f>AJ159</f>
        <v>7168.2871870303607</v>
      </c>
      <c r="AM171" s="135"/>
      <c r="AN171" s="132">
        <f>IF(AM164&lt;=0,W_max,ABS(AM$23-AM170))</f>
        <v>3.5077901730014958</v>
      </c>
      <c r="AO171" s="151">
        <f>AM159</f>
        <v>8405.3804761919728</v>
      </c>
      <c r="AP171" s="135"/>
      <c r="AQ171" s="132">
        <f>IF(AP164&lt;=0,W_max,ABS(AP$23-AP170))</f>
        <v>7.4582756885216099</v>
      </c>
      <c r="AR171" s="151">
        <f>AP159</f>
        <v>9377.6169389660281</v>
      </c>
      <c r="AS171" s="135"/>
      <c r="AT171" s="132">
        <f>IF(AS164&lt;=0,W_max,ABS(AS$23-AS170))</f>
        <v>49.27697762748798</v>
      </c>
      <c r="AU171" s="151">
        <f>AS159</f>
        <v>10462.310385956898</v>
      </c>
    </row>
    <row r="172" spans="13:47" ht="13" x14ac:dyDescent="0.25">
      <c r="M172" s="12"/>
      <c r="N172" s="12"/>
      <c r="O172" s="12"/>
      <c r="P172" s="12"/>
      <c r="Q172" s="12"/>
      <c r="R172" s="182"/>
      <c r="S172" s="22"/>
      <c r="T172" s="152"/>
      <c r="U172" s="157"/>
      <c r="V172" s="1"/>
      <c r="W172" s="147"/>
      <c r="X172" s="157"/>
      <c r="Y172" s="1"/>
      <c r="Z172" s="147"/>
      <c r="AA172" s="157"/>
      <c r="AB172" s="1"/>
      <c r="AC172" s="147"/>
      <c r="AD172" s="157"/>
      <c r="AE172" s="1"/>
      <c r="AF172" s="147"/>
      <c r="AG172" s="157"/>
      <c r="AH172" s="1"/>
      <c r="AI172" s="147"/>
      <c r="AJ172" s="157"/>
      <c r="AK172" s="1"/>
      <c r="AL172" s="147"/>
      <c r="AM172" s="157"/>
      <c r="AN172" s="1"/>
      <c r="AO172" s="147"/>
      <c r="AP172" s="157"/>
      <c r="AQ172" s="1"/>
      <c r="AR172" s="147"/>
      <c r="AS172" s="157"/>
      <c r="AT172" s="1"/>
      <c r="AU172" s="147"/>
    </row>
    <row r="173" spans="13:47" ht="14" x14ac:dyDescent="0.3">
      <c r="M173" s="23"/>
      <c r="N173" s="23"/>
      <c r="O173" s="23" t="s">
        <v>238</v>
      </c>
      <c r="P173" s="20"/>
      <c r="Q173" s="20"/>
      <c r="R173" s="18">
        <f>R159*1.02</f>
        <v>13.957486108939969</v>
      </c>
      <c r="S173" s="128" t="s">
        <v>185</v>
      </c>
      <c r="T173" s="153" t="s">
        <v>186</v>
      </c>
      <c r="U173" s="143">
        <f>U159*1.01</f>
        <v>513.15828375792921</v>
      </c>
      <c r="V173" s="128" t="s">
        <v>185</v>
      </c>
      <c r="W173" s="153" t="s">
        <v>186</v>
      </c>
      <c r="X173" s="143">
        <f>X159*1.01</f>
        <v>1269.1015022849654</v>
      </c>
      <c r="Y173" s="128" t="s">
        <v>185</v>
      </c>
      <c r="Z173" s="153" t="s">
        <v>186</v>
      </c>
      <c r="AA173" s="143">
        <f>AA159*1.01</f>
        <v>2471.8857941135848</v>
      </c>
      <c r="AB173" s="128" t="s">
        <v>185</v>
      </c>
      <c r="AC173" s="153" t="s">
        <v>186</v>
      </c>
      <c r="AD173" s="143">
        <f>AD159*1.01</f>
        <v>4065.342036963038</v>
      </c>
      <c r="AE173" s="128" t="s">
        <v>185</v>
      </c>
      <c r="AF173" s="153" t="s">
        <v>186</v>
      </c>
      <c r="AG173" s="143">
        <f>AG159*1.01</f>
        <v>5701.9551819520893</v>
      </c>
      <c r="AH173" s="128" t="s">
        <v>185</v>
      </c>
      <c r="AI173" s="153" t="s">
        <v>186</v>
      </c>
      <c r="AJ173" s="143">
        <f>AJ159*1.01</f>
        <v>7239.9700589006643</v>
      </c>
      <c r="AK173" s="128" t="s">
        <v>185</v>
      </c>
      <c r="AL173" s="153" t="s">
        <v>186</v>
      </c>
      <c r="AM173" s="143">
        <f>AM159*1.01</f>
        <v>8489.4342809538921</v>
      </c>
      <c r="AN173" s="128" t="s">
        <v>185</v>
      </c>
      <c r="AO173" s="153" t="s">
        <v>186</v>
      </c>
      <c r="AP173" s="143">
        <f>AP159*1.01</f>
        <v>9471.393108355689</v>
      </c>
      <c r="AQ173" s="128" t="s">
        <v>185</v>
      </c>
      <c r="AR173" s="153" t="s">
        <v>186</v>
      </c>
      <c r="AS173" s="143">
        <f>AS159*1.01</f>
        <v>10566.933489816467</v>
      </c>
      <c r="AT173" s="128" t="s">
        <v>185</v>
      </c>
      <c r="AU173" s="153" t="s">
        <v>186</v>
      </c>
    </row>
    <row r="174" spans="13:47" ht="14" x14ac:dyDescent="0.3">
      <c r="M174" s="12"/>
      <c r="N174" s="12"/>
      <c r="O174" s="20"/>
      <c r="P174" s="20"/>
      <c r="Q174" s="23"/>
      <c r="R174" s="139"/>
      <c r="S174" s="130" t="s">
        <v>228</v>
      </c>
      <c r="T174" s="154" t="s">
        <v>187</v>
      </c>
      <c r="U174" s="144"/>
      <c r="V174" s="130" t="s">
        <v>228</v>
      </c>
      <c r="W174" s="154" t="s">
        <v>187</v>
      </c>
      <c r="X174" s="144"/>
      <c r="Y174" s="130" t="s">
        <v>228</v>
      </c>
      <c r="Z174" s="154" t="s">
        <v>187</v>
      </c>
      <c r="AA174" s="144"/>
      <c r="AB174" s="130" t="s">
        <v>228</v>
      </c>
      <c r="AC174" s="154" t="s">
        <v>187</v>
      </c>
      <c r="AD174" s="144"/>
      <c r="AE174" s="130" t="s">
        <v>228</v>
      </c>
      <c r="AF174" s="154" t="s">
        <v>187</v>
      </c>
      <c r="AG174" s="144"/>
      <c r="AH174" s="130" t="s">
        <v>228</v>
      </c>
      <c r="AI174" s="154" t="s">
        <v>187</v>
      </c>
      <c r="AJ174" s="144"/>
      <c r="AK174" s="130" t="s">
        <v>228</v>
      </c>
      <c r="AL174" s="154" t="s">
        <v>187</v>
      </c>
      <c r="AM174" s="144"/>
      <c r="AN174" s="130" t="s">
        <v>228</v>
      </c>
      <c r="AO174" s="154" t="s">
        <v>187</v>
      </c>
      <c r="AP174" s="144"/>
      <c r="AQ174" s="130" t="s">
        <v>228</v>
      </c>
      <c r="AR174" s="154" t="s">
        <v>187</v>
      </c>
      <c r="AS174" s="144"/>
      <c r="AT174" s="130" t="s">
        <v>228</v>
      </c>
      <c r="AU174" s="154" t="s">
        <v>187</v>
      </c>
    </row>
    <row r="175" spans="13:47" x14ac:dyDescent="0.25">
      <c r="M175" s="20"/>
      <c r="N175" s="20"/>
      <c r="O175" s="7" t="s">
        <v>188</v>
      </c>
      <c r="P175" s="7"/>
      <c r="Q175" s="7"/>
      <c r="R175" s="181">
        <f>P_1_minW-(R173^2*R_up)+dpup_minQ</f>
        <v>100.52270905336772</v>
      </c>
      <c r="S175" s="132"/>
      <c r="T175" s="145"/>
      <c r="U175" s="138">
        <f>P_1_minW-(U173^2*R_up)+dpup_minQ</f>
        <v>100.41778021440292</v>
      </c>
      <c r="V175" s="132"/>
      <c r="W175" s="145"/>
      <c r="X175" s="138">
        <f>P_1_minW-(X173^2*R_up)+dpup_minQ</f>
        <v>99.880533496641476</v>
      </c>
      <c r="Y175" s="132"/>
      <c r="Z175" s="145"/>
      <c r="AA175" s="138">
        <f>P_1_minW-(AA173^2*R_up)+dpup_minQ</f>
        <v>98.086264435546127</v>
      </c>
      <c r="AB175" s="132"/>
      <c r="AC175" s="145"/>
      <c r="AD175" s="138">
        <f>P_1_minW-(AD173^2*R_up)+dpup_minQ</f>
        <v>93.932447520799457</v>
      </c>
      <c r="AE175" s="132"/>
      <c r="AF175" s="145"/>
      <c r="AG175" s="138">
        <f>P_1_minW-(AG173^2*R_up)+dpup_minQ</f>
        <v>87.558125111569964</v>
      </c>
      <c r="AH175" s="132"/>
      <c r="AI175" s="145"/>
      <c r="AJ175" s="138">
        <f>P_1_minW-(AJ173^2*R_up)+dpup_minQ</f>
        <v>79.620821176319865</v>
      </c>
      <c r="AK175" s="132"/>
      <c r="AL175" s="145"/>
      <c r="AM175" s="138">
        <f>P_1_minW-(AM173^2*R_up)+dpup_minQ</f>
        <v>71.783824026467286</v>
      </c>
      <c r="AN175" s="132"/>
      <c r="AO175" s="145"/>
      <c r="AP175" s="138">
        <f>P_1_minW-(AP173^2*R_up)+dpup_minQ</f>
        <v>64.750944058476492</v>
      </c>
      <c r="AQ175" s="132"/>
      <c r="AR175" s="145"/>
      <c r="AS175" s="138">
        <f>P_1_minW-(AS173^2*R_up)+dpup_minQ</f>
        <v>55.997006822593782</v>
      </c>
      <c r="AT175" s="132"/>
      <c r="AU175" s="145"/>
    </row>
    <row r="176" spans="13:47" x14ac:dyDescent="0.25">
      <c r="M176" s="20"/>
      <c r="N176" s="20"/>
      <c r="O176" s="7" t="s">
        <v>189</v>
      </c>
      <c r="P176" s="1"/>
      <c r="Q176" s="7"/>
      <c r="R176" s="181">
        <f>P_2_minW+(R173^2*R_dn)-dpdn_minQ</f>
        <v>50</v>
      </c>
      <c r="S176" s="132"/>
      <c r="T176" s="146"/>
      <c r="U176" s="138">
        <f>P_2_minW+(U173^2*R_dn)-dpdn_minQ</f>
        <v>50</v>
      </c>
      <c r="V176" s="132"/>
      <c r="W176" s="146"/>
      <c r="X176" s="138">
        <f>P_2_minW+(X173^2*R_dn)-dpdn_minQ</f>
        <v>50</v>
      </c>
      <c r="Y176" s="132"/>
      <c r="Z176" s="146"/>
      <c r="AA176" s="138">
        <f>P_2_minW+(AA173^2*R_dn)-dpdn_minQ</f>
        <v>50</v>
      </c>
      <c r="AB176" s="132"/>
      <c r="AC176" s="146"/>
      <c r="AD176" s="138">
        <f>P_2_minW+(AD173^2*R_dn)-dpdn_minQ</f>
        <v>50</v>
      </c>
      <c r="AE176" s="132"/>
      <c r="AF176" s="146"/>
      <c r="AG176" s="138">
        <f>P_2_minW+(AG173^2*R_dn)-dpdn_minQ</f>
        <v>50</v>
      </c>
      <c r="AH176" s="132"/>
      <c r="AI176" s="146"/>
      <c r="AJ176" s="138">
        <f>P_2_minW+(AJ173^2*R_dn)-dpdn_minQ</f>
        <v>50</v>
      </c>
      <c r="AK176" s="132"/>
      <c r="AL176" s="146"/>
      <c r="AM176" s="138">
        <f>P_2_minW+(AM173^2*R_dn)-dpdn_minQ</f>
        <v>50</v>
      </c>
      <c r="AN176" s="132"/>
      <c r="AO176" s="146"/>
      <c r="AP176" s="138">
        <f>P_2_minW+(AP173^2*R_dn)-dpdn_minQ</f>
        <v>50</v>
      </c>
      <c r="AQ176" s="132"/>
      <c r="AR176" s="146"/>
      <c r="AS176" s="138">
        <f>P_2_minW+(AS173^2*R_dn)-dpdn_minQ</f>
        <v>50</v>
      </c>
      <c r="AT176" s="132"/>
      <c r="AU176" s="146"/>
    </row>
    <row r="177" spans="13:47" x14ac:dyDescent="0.25">
      <c r="M177" s="20"/>
      <c r="N177" s="20"/>
      <c r="O177" s="7" t="s">
        <v>234</v>
      </c>
      <c r="P177" s="1"/>
      <c r="Q177" s="7"/>
      <c r="R177" s="179">
        <f>'Valve Sizing'!G$8*R175/P_1_maxW</f>
        <v>0.48490365150819781</v>
      </c>
      <c r="S177" s="132"/>
      <c r="T177" s="146"/>
      <c r="U177" s="143">
        <f>'Valve Sizing'!$G$8*U175/P_1_maxW</f>
        <v>0.48439749347046002</v>
      </c>
      <c r="V177" s="132"/>
      <c r="W177" s="146"/>
      <c r="X177" s="143">
        <f>'Valve Sizing'!$G$8*X175/P_1_maxW</f>
        <v>0.48180591095486125</v>
      </c>
      <c r="Y177" s="132"/>
      <c r="Z177" s="146"/>
      <c r="AA177" s="143">
        <f>'Valve Sizing'!$G$8*AA175/P_1_maxW</f>
        <v>0.47315067645405406</v>
      </c>
      <c r="AB177" s="132"/>
      <c r="AC177" s="146"/>
      <c r="AD177" s="143">
        <f>'Valve Sizing'!$G$8*AD175/P_1_maxW</f>
        <v>0.45311340319883531</v>
      </c>
      <c r="AE177" s="132"/>
      <c r="AF177" s="146"/>
      <c r="AG177" s="143">
        <f>'Valve Sizing'!$G$8*AG175/P_1_maxW</f>
        <v>0.42236480677486776</v>
      </c>
      <c r="AH177" s="132"/>
      <c r="AI177" s="146"/>
      <c r="AJ177" s="143">
        <f>'Valve Sizing'!$G$8*AJ175/P_1_maxW</f>
        <v>0.38407666574108595</v>
      </c>
      <c r="AK177" s="132"/>
      <c r="AL177" s="146"/>
      <c r="AM177" s="143">
        <f>'Valve Sizing'!$G$8*AM175/P_1_maxW</f>
        <v>0.34627238678153932</v>
      </c>
      <c r="AN177" s="132"/>
      <c r="AO177" s="146"/>
      <c r="AP177" s="143">
        <f>'Valve Sizing'!$G$8*AP175/P_1_maxW</f>
        <v>0.3123470259430538</v>
      </c>
      <c r="AQ177" s="132"/>
      <c r="AR177" s="146"/>
      <c r="AS177" s="143">
        <f>'Valve Sizing'!$G$8*AS175/P_1_maxW</f>
        <v>0.27011959125961804</v>
      </c>
      <c r="AT177" s="132"/>
      <c r="AU177" s="146"/>
    </row>
    <row r="178" spans="13:47" x14ac:dyDescent="0.25">
      <c r="M178" s="20"/>
      <c r="N178" s="20"/>
      <c r="O178" s="7" t="s">
        <v>190</v>
      </c>
      <c r="P178" s="1"/>
      <c r="Q178" s="7"/>
      <c r="R178" s="181">
        <f>R175-R176</f>
        <v>50.52270905336772</v>
      </c>
      <c r="S178" s="132"/>
      <c r="T178" s="146"/>
      <c r="U178" s="138">
        <f>U175-U176</f>
        <v>50.417780214402924</v>
      </c>
      <c r="V178" s="132"/>
      <c r="W178" s="146"/>
      <c r="X178" s="138">
        <f>X175-X176</f>
        <v>49.880533496641476</v>
      </c>
      <c r="Y178" s="132"/>
      <c r="Z178" s="146"/>
      <c r="AA178" s="138">
        <f>AA175-AA176</f>
        <v>48.086264435546127</v>
      </c>
      <c r="AB178" s="132"/>
      <c r="AC178" s="146"/>
      <c r="AD178" s="138">
        <f>AD175-AD176</f>
        <v>43.932447520799457</v>
      </c>
      <c r="AE178" s="132"/>
      <c r="AF178" s="146"/>
      <c r="AG178" s="138">
        <f>AG175-AG176</f>
        <v>37.558125111569964</v>
      </c>
      <c r="AH178" s="132"/>
      <c r="AI178" s="146"/>
      <c r="AJ178" s="138">
        <f>AJ175-AJ176</f>
        <v>29.620821176319865</v>
      </c>
      <c r="AK178" s="132"/>
      <c r="AL178" s="146"/>
      <c r="AM178" s="138">
        <f>AM175-AM176</f>
        <v>21.783824026467286</v>
      </c>
      <c r="AN178" s="132"/>
      <c r="AO178" s="146"/>
      <c r="AP178" s="138">
        <f>AP175-AP176</f>
        <v>14.750944058476492</v>
      </c>
      <c r="AQ178" s="132"/>
      <c r="AR178" s="146"/>
      <c r="AS178" s="138">
        <f>AS175-AS176</f>
        <v>5.9970068225937823</v>
      </c>
      <c r="AT178" s="132"/>
      <c r="AU178" s="146"/>
    </row>
    <row r="179" spans="13:47" ht="14.5" x14ac:dyDescent="0.35">
      <c r="M179" s="27"/>
      <c r="N179" s="27"/>
      <c r="O179" s="2" t="s">
        <v>191</v>
      </c>
      <c r="P179" s="10"/>
      <c r="Q179" s="2"/>
      <c r="R179" s="181">
        <f>R178/R175</f>
        <v>0.50259995506632349</v>
      </c>
      <c r="S179" s="132"/>
      <c r="T179" s="146"/>
      <c r="U179" s="138">
        <f>U178/U175</f>
        <v>0.50208021036469297</v>
      </c>
      <c r="V179" s="132"/>
      <c r="W179" s="146"/>
      <c r="X179" s="138">
        <f>X178/X175</f>
        <v>0.49940195301738882</v>
      </c>
      <c r="Y179" s="132"/>
      <c r="Z179" s="146"/>
      <c r="AA179" s="138">
        <f>AA178/AA175</f>
        <v>0.49024463019635428</v>
      </c>
      <c r="AB179" s="132"/>
      <c r="AC179" s="146"/>
      <c r="AD179" s="138">
        <f>AD178/AD175</f>
        <v>0.46770257435346285</v>
      </c>
      <c r="AE179" s="132"/>
      <c r="AF179" s="146"/>
      <c r="AG179" s="138">
        <f>AG178/AG175</f>
        <v>0.42895076914577535</v>
      </c>
      <c r="AH179" s="132"/>
      <c r="AI179" s="146"/>
      <c r="AJ179" s="138">
        <f>AJ178/AJ175</f>
        <v>0.37202355789228447</v>
      </c>
      <c r="AK179" s="132"/>
      <c r="AL179" s="146"/>
      <c r="AM179" s="138">
        <f>AM178/AM175</f>
        <v>0.30346424590636756</v>
      </c>
      <c r="AN179" s="132"/>
      <c r="AO179" s="146"/>
      <c r="AP179" s="138">
        <f>AP178/AP175</f>
        <v>0.22781048636379625</v>
      </c>
      <c r="AQ179" s="132"/>
      <c r="AR179" s="146"/>
      <c r="AS179" s="138">
        <f>AS178/AS175</f>
        <v>0.10709513173790029</v>
      </c>
      <c r="AT179" s="132"/>
      <c r="AU179" s="146"/>
    </row>
    <row r="180" spans="13:47" x14ac:dyDescent="0.25">
      <c r="M180" s="27"/>
      <c r="N180" s="27"/>
      <c r="O180" s="2" t="s">
        <v>26</v>
      </c>
      <c r="P180" s="7">
        <v>12</v>
      </c>
      <c r="Q180" s="2"/>
      <c r="R180" s="181">
        <f>1-R179/(3*F_GAMMA*R$29)</f>
        <v>0.73824018404390956</v>
      </c>
      <c r="S180" s="133"/>
      <c r="T180" s="146"/>
      <c r="U180" s="138">
        <f>1-U179/(3*F_GAMMA*U$29)</f>
        <v>0.73856844643446062</v>
      </c>
      <c r="V180" s="133"/>
      <c r="W180" s="146"/>
      <c r="X180" s="138">
        <f>1-X179/(3*F_GAMMA*X$29)</f>
        <v>0.73606203768495326</v>
      </c>
      <c r="Y180" s="133"/>
      <c r="Z180" s="146"/>
      <c r="AA180" s="138">
        <f>1-AA179/(3*F_GAMMA*AA$29)</f>
        <v>0.73734915920916255</v>
      </c>
      <c r="AB180" s="133"/>
      <c r="AC180" s="146"/>
      <c r="AD180" s="138">
        <f>1-AD179/(3*F_GAMMA*AD$29)</f>
        <v>0.74255596887924602</v>
      </c>
      <c r="AE180" s="133"/>
      <c r="AF180" s="146"/>
      <c r="AG180" s="138">
        <f>1-AG179/(3*F_GAMMA*AG$29)</f>
        <v>0.75041838631384028</v>
      </c>
      <c r="AH180" s="133"/>
      <c r="AI180" s="146"/>
      <c r="AJ180" s="138">
        <f>1-AJ179/(3*F_GAMMA*AJ$29)</f>
        <v>0.76860243102046144</v>
      </c>
      <c r="AK180" s="133"/>
      <c r="AL180" s="146"/>
      <c r="AM180" s="138">
        <f>1-AM179/(3*F_GAMMA*AM$29)</f>
        <v>0.79376719555001196</v>
      </c>
      <c r="AN180" s="133"/>
      <c r="AO180" s="146"/>
      <c r="AP180" s="138">
        <f>1-AP179/(3*F_GAMMA*AP$29)</f>
        <v>0.87205894287613916</v>
      </c>
      <c r="AQ180" s="133"/>
      <c r="AR180" s="146"/>
      <c r="AS180" s="138">
        <f>1-AS179/(3*F_GAMMA*AS$29)</f>
        <v>0.90869331326924585</v>
      </c>
      <c r="AT180" s="133"/>
      <c r="AU180" s="146"/>
    </row>
    <row r="181" spans="13:47" x14ac:dyDescent="0.25">
      <c r="M181" s="27"/>
      <c r="N181" s="27"/>
      <c r="O181" s="2" t="s">
        <v>71</v>
      </c>
      <c r="P181" s="85">
        <v>5</v>
      </c>
      <c r="Q181" s="2"/>
      <c r="R181" s="179">
        <f>R173/((N_6*R$27*R180)*SQRT(R179*R175*R177))</f>
        <v>6.035124458893161E-2</v>
      </c>
      <c r="S181" s="133"/>
      <c r="T181" s="146"/>
      <c r="U181" s="143">
        <f>U173/((N_6*U$27*U180)*SQRT(U179*U175*U177))</f>
        <v>2.2227238178797237</v>
      </c>
      <c r="V181" s="133"/>
      <c r="W181" s="146"/>
      <c r="X181" s="143">
        <f>X173/((N_6*X$27*X180)*SQRT(X179*X175*X177))</f>
        <v>5.5726204979386731</v>
      </c>
      <c r="Y181" s="133"/>
      <c r="Z181" s="146"/>
      <c r="AA181" s="143">
        <f>AA173/((N_6*AA$27*AA180)*SQRT(AA179*AA175*AA177))</f>
        <v>11.199913739691018</v>
      </c>
      <c r="AB181" s="133"/>
      <c r="AC181" s="146"/>
      <c r="AD181" s="143">
        <f>AD173/((N_6*AD$27*AD180)*SQRT(AD179*AD175*AD177))</f>
        <v>19.78728194527508</v>
      </c>
      <c r="AE181" s="133"/>
      <c r="AF181" s="146"/>
      <c r="AG181" s="143">
        <f>AG173/((N_6*AG$27*AG180)*SQRT(AG179*AG175*AG177))</f>
        <v>31.42748584732648</v>
      </c>
      <c r="AH181" s="133"/>
      <c r="AI181" s="146"/>
      <c r="AJ181" s="143">
        <f>AJ173/((N_6*AJ$27*AJ180)*SQRT(AJ179*AJ175*AJ177))</f>
        <v>47.585233433404078</v>
      </c>
      <c r="AK181" s="133"/>
      <c r="AL181" s="146"/>
      <c r="AM181" s="143">
        <f>AM173/((N_6*AM$27*AM180)*SQRT(AM179*AM175*AM177))</f>
        <v>70.426896997624382</v>
      </c>
      <c r="AN181" s="133"/>
      <c r="AO181" s="146"/>
      <c r="AP181" s="143">
        <f>AP173/((N_6*AP$27*AP180)*SQRT(AP179*AP175*AP177))</f>
        <v>103.94952028897669</v>
      </c>
      <c r="AQ181" s="133"/>
      <c r="AR181" s="146"/>
      <c r="AS181" s="143">
        <f>AS173/((N_6*AS$27*AS180)*SQRT(AS179*AS175*AS177))</f>
        <v>246.63619388573022</v>
      </c>
      <c r="AT181" s="133"/>
      <c r="AU181" s="146"/>
    </row>
    <row r="182" spans="13:47" x14ac:dyDescent="0.25">
      <c r="M182" s="27"/>
      <c r="N182" s="27"/>
      <c r="O182" s="2" t="s">
        <v>73</v>
      </c>
      <c r="P182" s="85">
        <v>5</v>
      </c>
      <c r="Q182" s="2"/>
      <c r="R182" s="179">
        <f>R173/((N_6*R$27*0.667)*SQRT(R183*R175*R177))</f>
        <v>5.9192978506682668E-2</v>
      </c>
      <c r="S182" s="133"/>
      <c r="T182" s="155"/>
      <c r="U182" s="143">
        <f>U173/((N_6*U$27*0.667)*SQRT(U183*U175*U177))</f>
        <v>2.1796664932460139</v>
      </c>
      <c r="V182" s="133"/>
      <c r="W182" s="155"/>
      <c r="X182" s="143">
        <f>X173/((N_6*X$27*0.667)*SQRT(X183*X175*X177))</f>
        <v>5.4721703787774372</v>
      </c>
      <c r="Y182" s="133"/>
      <c r="Z182" s="155"/>
      <c r="AA182" s="143">
        <f>AA173/((N_6*AA$27*0.667)*SQRT(AA183*AA175*AA177))</f>
        <v>10.990363540574894</v>
      </c>
      <c r="AB182" s="133"/>
      <c r="AC182" s="155"/>
      <c r="AD182" s="143">
        <f>AD173/((N_6*AD$27*0.667)*SQRT(AD183*AD175*AD177))</f>
        <v>19.359384361893454</v>
      </c>
      <c r="AE182" s="133"/>
      <c r="AF182" s="155"/>
      <c r="AG182" s="143">
        <f>AG173/((N_6*AG$27*0.667)*SQRT(AG183*AG175*AG177))</f>
        <v>30.59526318648032</v>
      </c>
      <c r="AH182" s="133"/>
      <c r="AI182" s="155"/>
      <c r="AJ182" s="143">
        <f>AJ173/((N_6*AJ$27*0.667)*SQRT(AJ183*AJ175*AJ177))</f>
        <v>45.686527235923968</v>
      </c>
      <c r="AK182" s="133"/>
      <c r="AL182" s="155"/>
      <c r="AM182" s="143">
        <f>AM173/((N_6*AM$27*0.667)*SQRT(AM183*AM175*AM177))</f>
        <v>65.924275808371107</v>
      </c>
      <c r="AN182" s="133"/>
      <c r="AO182" s="155"/>
      <c r="AP182" s="143">
        <f>AP173/((N_6*AP$27*0.667)*SQRT(AP183*AP175*AP177))</f>
        <v>84.199224280285293</v>
      </c>
      <c r="AQ182" s="133"/>
      <c r="AR182" s="155"/>
      <c r="AS182" s="143">
        <f>AS173/((N_6*AS$27*0.667)*SQRT(AS183*AS175*AS177))</f>
        <v>175.85722964557635</v>
      </c>
      <c r="AT182" s="133"/>
      <c r="AU182" s="155"/>
    </row>
    <row r="183" spans="13:47" ht="15.5" x14ac:dyDescent="0.4">
      <c r="M183" s="27"/>
      <c r="N183" s="27"/>
      <c r="O183" s="2" t="s">
        <v>192</v>
      </c>
      <c r="P183" s="85">
        <v>10</v>
      </c>
      <c r="Q183" s="2"/>
      <c r="R183" s="181">
        <f>F_GAMMA*R$29</f>
        <v>0.64002688015162901</v>
      </c>
      <c r="S183" s="133"/>
      <c r="T183" s="155"/>
      <c r="U183" s="138">
        <f>F_GAMMA*U$29</f>
        <v>0.64016782916606918</v>
      </c>
      <c r="V183" s="133"/>
      <c r="W183" s="155"/>
      <c r="X183" s="138">
        <f>F_GAMMA*X$29</f>
        <v>0.6307062319203669</v>
      </c>
      <c r="Y183" s="133"/>
      <c r="Z183" s="155"/>
      <c r="AA183" s="138">
        <f>F_GAMMA*AA$29</f>
        <v>0.62217534213893466</v>
      </c>
      <c r="AB183" s="133"/>
      <c r="AC183" s="155"/>
      <c r="AD183" s="138">
        <f>F_GAMMA*AD$29</f>
        <v>0.60557184969146072</v>
      </c>
      <c r="AE183" s="133"/>
      <c r="AF183" s="155"/>
      <c r="AG183" s="138">
        <f>F_GAMMA*AG$29</f>
        <v>0.57289312142622573</v>
      </c>
      <c r="AH183" s="133"/>
      <c r="AI183" s="155"/>
      <c r="AJ183" s="138">
        <f>F_GAMMA*AJ$29</f>
        <v>0.53590819116049981</v>
      </c>
      <c r="AK183" s="133"/>
      <c r="AL183" s="155"/>
      <c r="AM183" s="138">
        <f>F_GAMMA*AM$29</f>
        <v>0.49048815926850342</v>
      </c>
      <c r="AN183" s="133"/>
      <c r="AO183" s="155"/>
      <c r="AP183" s="138">
        <f>F_GAMMA*AP$29</f>
        <v>0.59352979016280105</v>
      </c>
      <c r="AQ183" s="133"/>
      <c r="AR183" s="155"/>
      <c r="AS183" s="138">
        <f>F_GAMMA*AS$29</f>
        <v>0.39097221161068291</v>
      </c>
      <c r="AT183" s="133"/>
      <c r="AU183" s="155"/>
    </row>
    <row r="184" spans="13:47" x14ac:dyDescent="0.25">
      <c r="M184" s="27"/>
      <c r="N184" s="27"/>
      <c r="O184" s="2" t="s">
        <v>193</v>
      </c>
      <c r="P184" s="134"/>
      <c r="Q184" s="2"/>
      <c r="R184" s="181">
        <f>IF(R179&lt;R183,R181,R182)</f>
        <v>6.035124458893161E-2</v>
      </c>
      <c r="S184" s="133"/>
      <c r="T184" s="155"/>
      <c r="U184" s="138">
        <f>IF(U179&lt;U183,U181,U182)</f>
        <v>2.2227238178797237</v>
      </c>
      <c r="V184" s="133"/>
      <c r="W184" s="155"/>
      <c r="X184" s="138">
        <f>IF(X179&lt;X183,X181,X182)</f>
        <v>5.5726204979386731</v>
      </c>
      <c r="Y184" s="133"/>
      <c r="Z184" s="155"/>
      <c r="AA184" s="138">
        <f>IF(AA179&lt;AA183,AA181,AA182)</f>
        <v>11.199913739691018</v>
      </c>
      <c r="AB184" s="133"/>
      <c r="AC184" s="155"/>
      <c r="AD184" s="138">
        <f>IF(AD179&lt;AD183,AD181,AD182)</f>
        <v>19.78728194527508</v>
      </c>
      <c r="AE184" s="133"/>
      <c r="AF184" s="155"/>
      <c r="AG184" s="138">
        <f>IF(AG179&lt;AG183,AG181,AG182)</f>
        <v>31.42748584732648</v>
      </c>
      <c r="AH184" s="133"/>
      <c r="AI184" s="155"/>
      <c r="AJ184" s="138">
        <f>IF(AJ179&lt;AJ183,AJ181,AJ182)</f>
        <v>47.585233433404078</v>
      </c>
      <c r="AK184" s="133"/>
      <c r="AL184" s="155"/>
      <c r="AM184" s="138">
        <f>IF(AM179&lt;AM183,AM181,AM182)</f>
        <v>70.426896997624382</v>
      </c>
      <c r="AN184" s="133"/>
      <c r="AO184" s="155"/>
      <c r="AP184" s="138">
        <f>IF(AP179&lt;AP183,AP181,AP182)</f>
        <v>103.94952028897669</v>
      </c>
      <c r="AQ184" s="133"/>
      <c r="AR184" s="155"/>
      <c r="AS184" s="138">
        <f>IF(AS179&lt;AS183,AS181,AS182)</f>
        <v>246.63619388573022</v>
      </c>
      <c r="AT184" s="133"/>
      <c r="AU184" s="155"/>
    </row>
    <row r="185" spans="13:47" ht="13" x14ac:dyDescent="0.3">
      <c r="M185" s="28"/>
      <c r="N185" s="28"/>
      <c r="O185" s="9" t="s">
        <v>194</v>
      </c>
      <c r="P185" s="1"/>
      <c r="Q185" s="1"/>
      <c r="R185" s="135"/>
      <c r="S185" s="132">
        <f>IF(R178&lt;=0,W_max,ABS(R$23-R184))</f>
        <v>1.9396487554110684</v>
      </c>
      <c r="T185" s="151">
        <f>R173</f>
        <v>13.957486108939969</v>
      </c>
      <c r="U185" s="135"/>
      <c r="V185" s="132">
        <f>IF(U178&lt;=0,W_max,ABS(U$23-U184))</f>
        <v>2.7772761821202763</v>
      </c>
      <c r="W185" s="151">
        <f>U173</f>
        <v>513.15828375792921</v>
      </c>
      <c r="X185" s="135"/>
      <c r="Y185" s="132">
        <f>IF(X178&lt;=0,W_max,ABS(X$23-X184))</f>
        <v>4.4273795020613269</v>
      </c>
      <c r="Z185" s="151">
        <f>X173</f>
        <v>1269.1015022849654</v>
      </c>
      <c r="AA185" s="135"/>
      <c r="AB185" s="132">
        <f>IF(AA178&lt;=0,W_max,ABS(AA$23-AA184))</f>
        <v>6.0000862603089811</v>
      </c>
      <c r="AC185" s="151">
        <f>AA173</f>
        <v>2471.8857941135848</v>
      </c>
      <c r="AD185" s="135"/>
      <c r="AE185" s="132">
        <f>IF(AD178&lt;=0,W_max,ABS(AD$23-AD184))</f>
        <v>6.8127180547249218</v>
      </c>
      <c r="AF185" s="151">
        <f>AD173</f>
        <v>4065.342036963038</v>
      </c>
      <c r="AG185" s="135"/>
      <c r="AH185" s="132">
        <f>IF(AG178&lt;=0,W_max,ABS(AG$23-AG184))</f>
        <v>6.9725141526735186</v>
      </c>
      <c r="AI185" s="151">
        <f>AG173</f>
        <v>5701.9551819520893</v>
      </c>
      <c r="AJ185" s="135"/>
      <c r="AK185" s="132">
        <f>IF(AJ178&lt;=0,W_max,ABS(AJ$23-AJ184))</f>
        <v>4.9147665665959224</v>
      </c>
      <c r="AL185" s="151">
        <f>AJ173</f>
        <v>7239.9700589006643</v>
      </c>
      <c r="AM185" s="135"/>
      <c r="AN185" s="132">
        <f>IF(AM178&lt;=0,W_max,ABS(AM$23-AM184))</f>
        <v>1.9731030023756233</v>
      </c>
      <c r="AO185" s="151">
        <f>AM173</f>
        <v>8489.4342809538921</v>
      </c>
      <c r="AP185" s="135"/>
      <c r="AQ185" s="132">
        <f>IF(AP178&lt;=0,W_max,ABS(AP$23-AP184))</f>
        <v>4.0504797110233142</v>
      </c>
      <c r="AR185" s="151">
        <f>AP173</f>
        <v>9471.393108355689</v>
      </c>
      <c r="AS185" s="135"/>
      <c r="AT185" s="132">
        <f>IF(AS178&lt;=0,W_max,ABS(AS$23-AS184))</f>
        <v>66.636193885730222</v>
      </c>
      <c r="AU185" s="151">
        <f>AS173</f>
        <v>10566.933489816467</v>
      </c>
    </row>
    <row r="186" spans="13:47" ht="13" x14ac:dyDescent="0.25">
      <c r="M186" s="12"/>
      <c r="N186" s="12"/>
      <c r="O186" s="2"/>
      <c r="P186" s="85"/>
      <c r="Q186" s="2"/>
      <c r="R186" s="18"/>
      <c r="S186" s="150"/>
      <c r="T186" s="152"/>
      <c r="U186" s="157"/>
      <c r="V186" s="1"/>
      <c r="W186" s="147"/>
      <c r="X186" s="157"/>
      <c r="Y186" s="1"/>
      <c r="Z186" s="147"/>
      <c r="AA186" s="157"/>
      <c r="AB186" s="1"/>
      <c r="AC186" s="147"/>
      <c r="AD186" s="157"/>
      <c r="AE186" s="1"/>
      <c r="AF186" s="147"/>
      <c r="AG186" s="157"/>
      <c r="AH186" s="1"/>
      <c r="AI186" s="147"/>
      <c r="AJ186" s="157"/>
      <c r="AK186" s="1"/>
      <c r="AL186" s="147"/>
      <c r="AM186" s="157"/>
      <c r="AN186" s="1"/>
      <c r="AO186" s="147"/>
      <c r="AP186" s="157"/>
      <c r="AQ186" s="1"/>
      <c r="AR186" s="147"/>
      <c r="AS186" s="157"/>
      <c r="AT186" s="1"/>
      <c r="AU186" s="147"/>
    </row>
    <row r="187" spans="13:47" ht="14" x14ac:dyDescent="0.3">
      <c r="M187" s="23"/>
      <c r="N187" s="23"/>
      <c r="O187" s="23" t="s">
        <v>238</v>
      </c>
      <c r="P187" s="20"/>
      <c r="Q187" s="20"/>
      <c r="R187" s="181">
        <f>R173*1.02</f>
        <v>14.236635831118768</v>
      </c>
      <c r="S187" s="128" t="s">
        <v>185</v>
      </c>
      <c r="T187" s="153" t="s">
        <v>186</v>
      </c>
      <c r="U187" s="143">
        <f>U173*1.01</f>
        <v>518.28986659550856</v>
      </c>
      <c r="V187" s="128" t="s">
        <v>185</v>
      </c>
      <c r="W187" s="153" t="s">
        <v>186</v>
      </c>
      <c r="X187" s="143">
        <f>X173*1.01</f>
        <v>1281.7925173078149</v>
      </c>
      <c r="Y187" s="128" t="s">
        <v>185</v>
      </c>
      <c r="Z187" s="153" t="s">
        <v>186</v>
      </c>
      <c r="AA187" s="143">
        <f>AA173*1.01</f>
        <v>2496.6046520547206</v>
      </c>
      <c r="AB187" s="128" t="s">
        <v>185</v>
      </c>
      <c r="AC187" s="153" t="s">
        <v>186</v>
      </c>
      <c r="AD187" s="143">
        <f>AD173*1.01</f>
        <v>4105.9954573326686</v>
      </c>
      <c r="AE187" s="128" t="s">
        <v>185</v>
      </c>
      <c r="AF187" s="153" t="s">
        <v>186</v>
      </c>
      <c r="AG187" s="143">
        <f>AG173*1.01</f>
        <v>5758.9747337716099</v>
      </c>
      <c r="AH187" s="128" t="s">
        <v>185</v>
      </c>
      <c r="AI187" s="153" t="s">
        <v>186</v>
      </c>
      <c r="AJ187" s="143">
        <f>AJ173*1.01</f>
        <v>7312.3697594896712</v>
      </c>
      <c r="AK187" s="128" t="s">
        <v>185</v>
      </c>
      <c r="AL187" s="153" t="s">
        <v>186</v>
      </c>
      <c r="AM187" s="143">
        <f>AM173*1.01</f>
        <v>8574.3286237634311</v>
      </c>
      <c r="AN187" s="128" t="s">
        <v>185</v>
      </c>
      <c r="AO187" s="153" t="s">
        <v>186</v>
      </c>
      <c r="AP187" s="143">
        <f>AP173*1.01</f>
        <v>9566.1070394392464</v>
      </c>
      <c r="AQ187" s="128" t="s">
        <v>185</v>
      </c>
      <c r="AR187" s="153" t="s">
        <v>186</v>
      </c>
      <c r="AS187" s="143">
        <f>AS173*1.01</f>
        <v>10672.602824714631</v>
      </c>
      <c r="AT187" s="128" t="s">
        <v>185</v>
      </c>
      <c r="AU187" s="153" t="s">
        <v>186</v>
      </c>
    </row>
    <row r="188" spans="13:47" ht="14" x14ac:dyDescent="0.3">
      <c r="M188" s="12"/>
      <c r="N188" s="12"/>
      <c r="O188" s="20"/>
      <c r="P188" s="20"/>
      <c r="Q188" s="23"/>
      <c r="R188" s="139"/>
      <c r="S188" s="130" t="s">
        <v>228</v>
      </c>
      <c r="T188" s="154" t="s">
        <v>187</v>
      </c>
      <c r="U188" s="144"/>
      <c r="V188" s="130" t="s">
        <v>228</v>
      </c>
      <c r="W188" s="154" t="s">
        <v>187</v>
      </c>
      <c r="X188" s="144"/>
      <c r="Y188" s="130" t="s">
        <v>228</v>
      </c>
      <c r="Z188" s="154" t="s">
        <v>187</v>
      </c>
      <c r="AA188" s="144"/>
      <c r="AB188" s="130" t="s">
        <v>228</v>
      </c>
      <c r="AC188" s="154" t="s">
        <v>187</v>
      </c>
      <c r="AD188" s="144"/>
      <c r="AE188" s="130" t="s">
        <v>228</v>
      </c>
      <c r="AF188" s="154" t="s">
        <v>187</v>
      </c>
      <c r="AG188" s="144"/>
      <c r="AH188" s="130" t="s">
        <v>228</v>
      </c>
      <c r="AI188" s="154" t="s">
        <v>187</v>
      </c>
      <c r="AJ188" s="144"/>
      <c r="AK188" s="130" t="s">
        <v>228</v>
      </c>
      <c r="AL188" s="154" t="s">
        <v>187</v>
      </c>
      <c r="AM188" s="144"/>
      <c r="AN188" s="130" t="s">
        <v>228</v>
      </c>
      <c r="AO188" s="154" t="s">
        <v>187</v>
      </c>
      <c r="AP188" s="144"/>
      <c r="AQ188" s="130" t="s">
        <v>228</v>
      </c>
      <c r="AR188" s="154" t="s">
        <v>187</v>
      </c>
      <c r="AS188" s="144"/>
      <c r="AT188" s="130" t="s">
        <v>228</v>
      </c>
      <c r="AU188" s="154" t="s">
        <v>187</v>
      </c>
    </row>
    <row r="189" spans="13:47" x14ac:dyDescent="0.25">
      <c r="M189" s="20"/>
      <c r="N189" s="20"/>
      <c r="O189" s="7" t="s">
        <v>188</v>
      </c>
      <c r="P189" s="7"/>
      <c r="Q189" s="7"/>
      <c r="R189" s="181">
        <f>P_1_minW-(R187^2*R_up)+dpup_minQ</f>
        <v>100.52270591496001</v>
      </c>
      <c r="S189" s="132"/>
      <c r="T189" s="145"/>
      <c r="U189" s="138">
        <f>P_1_minW-(U187^2*R_up)+dpup_minQ</f>
        <v>100.41566958330421</v>
      </c>
      <c r="V189" s="132"/>
      <c r="W189" s="145"/>
      <c r="X189" s="138">
        <f>P_1_minW-(X187^2*R_up)+dpup_minQ</f>
        <v>99.867624206515757</v>
      </c>
      <c r="Y189" s="132"/>
      <c r="Z189" s="145"/>
      <c r="AA189" s="138">
        <f>P_1_minW-(AA187^2*R_up)+dpup_minQ</f>
        <v>98.03729033729239</v>
      </c>
      <c r="AB189" s="132"/>
      <c r="AC189" s="145"/>
      <c r="AD189" s="138">
        <f>P_1_minW-(AD187^2*R_up)+dpup_minQ</f>
        <v>93.799981702559322</v>
      </c>
      <c r="AE189" s="132"/>
      <c r="AF189" s="145"/>
      <c r="AG189" s="138">
        <f>P_1_minW-(AG187^2*R_up)+dpup_minQ</f>
        <v>87.29753541290431</v>
      </c>
      <c r="AH189" s="132"/>
      <c r="AI189" s="145"/>
      <c r="AJ189" s="138">
        <f>P_1_minW-(AJ187^2*R_up)+dpup_minQ</f>
        <v>79.200691668555692</v>
      </c>
      <c r="AK189" s="132"/>
      <c r="AL189" s="145"/>
      <c r="AM189" s="138">
        <f>P_1_minW-(AM187^2*R_up)+dpup_minQ</f>
        <v>71.206170875991077</v>
      </c>
      <c r="AN189" s="132"/>
      <c r="AO189" s="145"/>
      <c r="AP189" s="138">
        <f>P_1_minW-(AP187^2*R_up)+dpup_minQ</f>
        <v>64.031930020643657</v>
      </c>
      <c r="AQ189" s="132"/>
      <c r="AR189" s="145"/>
      <c r="AS189" s="138">
        <f>P_1_minW-(AS187^2*R_up)+dpup_minQ</f>
        <v>55.102038646319713</v>
      </c>
      <c r="AT189" s="132"/>
      <c r="AU189" s="145"/>
    </row>
    <row r="190" spans="13:47" x14ac:dyDescent="0.25">
      <c r="M190" s="20"/>
      <c r="N190" s="20"/>
      <c r="O190" s="7" t="s">
        <v>189</v>
      </c>
      <c r="P190" s="1"/>
      <c r="Q190" s="7"/>
      <c r="R190" s="181">
        <f>P_2_minW+(R187^2*R_dn)-dpdn_minQ</f>
        <v>50</v>
      </c>
      <c r="S190" s="132"/>
      <c r="T190" s="146"/>
      <c r="U190" s="138">
        <f>P_2_minW+(U187^2*R_dn)-dpdn_minQ</f>
        <v>50</v>
      </c>
      <c r="V190" s="132"/>
      <c r="W190" s="146"/>
      <c r="X190" s="138">
        <f>P_2_minW+(X187^2*R_dn)-dpdn_minQ</f>
        <v>50</v>
      </c>
      <c r="Y190" s="132"/>
      <c r="Z190" s="146"/>
      <c r="AA190" s="138">
        <f>P_2_minW+(AA187^2*R_dn)-dpdn_minQ</f>
        <v>50</v>
      </c>
      <c r="AB190" s="132"/>
      <c r="AC190" s="146"/>
      <c r="AD190" s="138">
        <f>P_2_minW+(AD187^2*R_dn)-dpdn_minQ</f>
        <v>50</v>
      </c>
      <c r="AE190" s="132"/>
      <c r="AF190" s="146"/>
      <c r="AG190" s="138">
        <f>P_2_minW+(AG187^2*R_dn)-dpdn_minQ</f>
        <v>50</v>
      </c>
      <c r="AH190" s="132"/>
      <c r="AI190" s="146"/>
      <c r="AJ190" s="138">
        <f>P_2_minW+(AJ187^2*R_dn)-dpdn_minQ</f>
        <v>50</v>
      </c>
      <c r="AK190" s="132"/>
      <c r="AL190" s="146"/>
      <c r="AM190" s="138">
        <f>P_2_minW+(AM187^2*R_dn)-dpdn_minQ</f>
        <v>50</v>
      </c>
      <c r="AN190" s="132"/>
      <c r="AO190" s="146"/>
      <c r="AP190" s="138">
        <f>P_2_minW+(AP187^2*R_dn)-dpdn_minQ</f>
        <v>50</v>
      </c>
      <c r="AQ190" s="132"/>
      <c r="AR190" s="146"/>
      <c r="AS190" s="138">
        <f>P_2_minW+(AS187^2*R_dn)-dpdn_minQ</f>
        <v>50</v>
      </c>
      <c r="AT190" s="132"/>
      <c r="AU190" s="146"/>
    </row>
    <row r="191" spans="13:47" x14ac:dyDescent="0.25">
      <c r="M191" s="20"/>
      <c r="N191" s="20"/>
      <c r="O191" s="7" t="s">
        <v>234</v>
      </c>
      <c r="P191" s="1"/>
      <c r="Q191" s="7"/>
      <c r="R191" s="179">
        <f>'Valve Sizing'!G$8*R189/P_1_maxW</f>
        <v>0.4849036363690778</v>
      </c>
      <c r="S191" s="132"/>
      <c r="T191" s="146"/>
      <c r="U191" s="143">
        <f>'Valve Sizing'!$G$8*U189/P_1_maxW</f>
        <v>0.48438731216181441</v>
      </c>
      <c r="V191" s="132"/>
      <c r="W191" s="146"/>
      <c r="X191" s="143">
        <f>'Valve Sizing'!$G$8*X189/P_1_maxW</f>
        <v>0.48174363883765225</v>
      </c>
      <c r="Y191" s="132"/>
      <c r="Z191" s="146"/>
      <c r="AA191" s="143">
        <f>'Valve Sizing'!$G$8*AA189/P_1_maxW</f>
        <v>0.47291443412337875</v>
      </c>
      <c r="AB191" s="132"/>
      <c r="AC191" s="146"/>
      <c r="AD191" s="143">
        <f>'Valve Sizing'!$G$8*AD189/P_1_maxW</f>
        <v>0.45247441167573016</v>
      </c>
      <c r="AE191" s="132"/>
      <c r="AF191" s="146"/>
      <c r="AG191" s="143">
        <f>'Valve Sizing'!$G$8*AG189/P_1_maxW</f>
        <v>0.42110776846364084</v>
      </c>
      <c r="AH191" s="132"/>
      <c r="AI191" s="146"/>
      <c r="AJ191" s="143">
        <f>'Valve Sizing'!$G$8*AJ189/P_1_maxW</f>
        <v>0.38205003579508007</v>
      </c>
      <c r="AK191" s="132"/>
      <c r="AL191" s="146"/>
      <c r="AM191" s="143">
        <f>'Valve Sizing'!$G$8*AM189/P_1_maxW</f>
        <v>0.34348589082844655</v>
      </c>
      <c r="AN191" s="132"/>
      <c r="AO191" s="146"/>
      <c r="AP191" s="143">
        <f>'Valve Sizing'!$G$8*AP189/P_1_maxW</f>
        <v>0.30887863023710749</v>
      </c>
      <c r="AQ191" s="132"/>
      <c r="AR191" s="146"/>
      <c r="AS191" s="143">
        <f>'Valve Sizing'!$G$8*AS189/P_1_maxW</f>
        <v>0.26580242411653465</v>
      </c>
      <c r="AT191" s="132"/>
      <c r="AU191" s="146"/>
    </row>
    <row r="192" spans="13:47" x14ac:dyDescent="0.25">
      <c r="M192" s="20"/>
      <c r="N192" s="20"/>
      <c r="O192" s="7" t="s">
        <v>190</v>
      </c>
      <c r="P192" s="1"/>
      <c r="Q192" s="7"/>
      <c r="R192" s="181">
        <f>R189-R190</f>
        <v>50.522705914960014</v>
      </c>
      <c r="S192" s="132"/>
      <c r="T192" s="146"/>
      <c r="U192" s="138">
        <f>U189-U190</f>
        <v>50.415669583304208</v>
      </c>
      <c r="V192" s="132"/>
      <c r="W192" s="146"/>
      <c r="X192" s="138">
        <f>X189-X190</f>
        <v>49.867624206515757</v>
      </c>
      <c r="Y192" s="132"/>
      <c r="Z192" s="146"/>
      <c r="AA192" s="138">
        <f>AA189-AA190</f>
        <v>48.03729033729239</v>
      </c>
      <c r="AB192" s="132"/>
      <c r="AC192" s="146"/>
      <c r="AD192" s="138">
        <f>AD189-AD190</f>
        <v>43.799981702559322</v>
      </c>
      <c r="AE192" s="132"/>
      <c r="AF192" s="146"/>
      <c r="AG192" s="138">
        <f>AG189-AG190</f>
        <v>37.29753541290431</v>
      </c>
      <c r="AH192" s="132"/>
      <c r="AI192" s="146"/>
      <c r="AJ192" s="138">
        <f>AJ189-AJ190</f>
        <v>29.200691668555692</v>
      </c>
      <c r="AK192" s="132"/>
      <c r="AL192" s="146"/>
      <c r="AM192" s="138">
        <f>AM189-AM190</f>
        <v>21.206170875991077</v>
      </c>
      <c r="AN192" s="132"/>
      <c r="AO192" s="146"/>
      <c r="AP192" s="138">
        <f>AP189-AP190</f>
        <v>14.031930020643657</v>
      </c>
      <c r="AQ192" s="132"/>
      <c r="AR192" s="146"/>
      <c r="AS192" s="138">
        <f>AS189-AS190</f>
        <v>5.1020386463197127</v>
      </c>
      <c r="AT192" s="132"/>
      <c r="AU192" s="146"/>
    </row>
    <row r="193" spans="13:47" ht="14.5" x14ac:dyDescent="0.35">
      <c r="M193" s="27"/>
      <c r="N193" s="27"/>
      <c r="O193" s="2" t="s">
        <v>191</v>
      </c>
      <c r="P193" s="10"/>
      <c r="Q193" s="2"/>
      <c r="R193" s="181">
        <f>R192/R189</f>
        <v>0.50259993953705451</v>
      </c>
      <c r="S193" s="132"/>
      <c r="T193" s="146"/>
      <c r="U193" s="138">
        <f>U192/U189</f>
        <v>0.50206974461769316</v>
      </c>
      <c r="V193" s="132"/>
      <c r="W193" s="146"/>
      <c r="X193" s="138">
        <f>X192/X189</f>
        <v>0.49933724370367266</v>
      </c>
      <c r="Y193" s="132"/>
      <c r="Z193" s="146"/>
      <c r="AA193" s="138">
        <f>AA192/AA189</f>
        <v>0.4899899841378979</v>
      </c>
      <c r="AB193" s="132"/>
      <c r="AC193" s="146"/>
      <c r="AD193" s="138">
        <f>AD192/AD189</f>
        <v>0.46695085550708848</v>
      </c>
      <c r="AE193" s="132"/>
      <c r="AF193" s="146"/>
      <c r="AG193" s="138">
        <f>AG192/AG189</f>
        <v>0.42724614430971658</v>
      </c>
      <c r="AH193" s="132"/>
      <c r="AI193" s="146"/>
      <c r="AJ193" s="138">
        <f>AJ192/AJ189</f>
        <v>0.36869238201550919</v>
      </c>
      <c r="AK193" s="132"/>
      <c r="AL193" s="146"/>
      <c r="AM193" s="138">
        <f>AM192/AM189</f>
        <v>0.29781366720199898</v>
      </c>
      <c r="AN193" s="132"/>
      <c r="AO193" s="146"/>
      <c r="AP193" s="138">
        <f>AP192/AP189</f>
        <v>0.219139576397585</v>
      </c>
      <c r="AQ193" s="132"/>
      <c r="AR193" s="146"/>
      <c r="AS193" s="138">
        <f>AS192/AS189</f>
        <v>9.2592556857430897E-2</v>
      </c>
      <c r="AT193" s="132"/>
      <c r="AU193" s="146"/>
    </row>
    <row r="194" spans="13:47" x14ac:dyDescent="0.25">
      <c r="M194" s="27"/>
      <c r="N194" s="27"/>
      <c r="O194" s="2" t="s">
        <v>26</v>
      </c>
      <c r="P194" s="7">
        <v>12</v>
      </c>
      <c r="Q194" s="2"/>
      <c r="R194" s="181">
        <f>1-R193/(3*F_GAMMA*R$29)</f>
        <v>0.73824019213173075</v>
      </c>
      <c r="S194" s="133"/>
      <c r="T194" s="146"/>
      <c r="U194" s="138">
        <f>1-U193/(3*F_GAMMA*U$29)</f>
        <v>0.73857389591532219</v>
      </c>
      <c r="V194" s="133"/>
      <c r="W194" s="146"/>
      <c r="X194" s="138">
        <f>1-X193/(3*F_GAMMA*X$29)</f>
        <v>0.73609623707945271</v>
      </c>
      <c r="Y194" s="133"/>
      <c r="Z194" s="146"/>
      <c r="AA194" s="138">
        <f>1-AA193/(3*F_GAMMA*AA$29)</f>
        <v>0.73748558701935785</v>
      </c>
      <c r="AB194" s="133"/>
      <c r="AC194" s="146"/>
      <c r="AD194" s="138">
        <f>1-AD193/(3*F_GAMMA*AD$29)</f>
        <v>0.74296974793604853</v>
      </c>
      <c r="AE194" s="133"/>
      <c r="AF194" s="146"/>
      <c r="AG194" s="138">
        <f>1-AG193/(3*F_GAMMA*AG$29)</f>
        <v>0.75141020879771248</v>
      </c>
      <c r="AH194" s="133"/>
      <c r="AI194" s="146"/>
      <c r="AJ194" s="138">
        <f>1-AJ193/(3*F_GAMMA*AJ$29)</f>
        <v>0.77067441270919168</v>
      </c>
      <c r="AK194" s="133"/>
      <c r="AL194" s="146"/>
      <c r="AM194" s="138">
        <f>1-AM193/(3*F_GAMMA*AM$29)</f>
        <v>0.79760730096172783</v>
      </c>
      <c r="AN194" s="133"/>
      <c r="AO194" s="146"/>
      <c r="AP194" s="138">
        <f>1-AP193/(3*F_GAMMA*AP$29)</f>
        <v>0.87692862822298179</v>
      </c>
      <c r="AQ194" s="133"/>
      <c r="AR194" s="146"/>
      <c r="AS194" s="138">
        <f>1-AS193/(3*F_GAMMA*AS$29)</f>
        <v>0.9210578534674041</v>
      </c>
      <c r="AT194" s="133"/>
      <c r="AU194" s="146"/>
    </row>
    <row r="195" spans="13:47" x14ac:dyDescent="0.25">
      <c r="M195" s="27"/>
      <c r="N195" s="27"/>
      <c r="O195" s="2" t="s">
        <v>71</v>
      </c>
      <c r="P195" s="85">
        <v>5</v>
      </c>
      <c r="Q195" s="2"/>
      <c r="R195" s="179">
        <f>R187/((N_6*R$27*R194)*SQRT(R193*R189*R191))</f>
        <v>6.1558271679219408E-2</v>
      </c>
      <c r="S195" s="133"/>
      <c r="T195" s="146"/>
      <c r="U195" s="143">
        <f>U187/((N_6*U$27*U194)*SQRT(U193*U189*U191))</f>
        <v>2.2450050765278147</v>
      </c>
      <c r="V195" s="133"/>
      <c r="W195" s="146"/>
      <c r="X195" s="143">
        <f>X187/((N_6*X$27*X194)*SQRT(X193*X189*X191))</f>
        <v>5.6291774242793897</v>
      </c>
      <c r="Y195" s="133"/>
      <c r="Z195" s="146"/>
      <c r="AA195" s="143">
        <f>AA187/((N_6*AA$27*AA194)*SQRT(AA193*AA189*AA191))</f>
        <v>11.318409974961384</v>
      </c>
      <c r="AB195" s="133"/>
      <c r="AC195" s="146"/>
      <c r="AD195" s="143">
        <f>AD187/((N_6*AD$27*AD194)*SQRT(AD193*AD189*AD191))</f>
        <v>20.018325928515559</v>
      </c>
      <c r="AE195" s="133"/>
      <c r="AF195" s="146"/>
      <c r="AG195" s="143">
        <f>AG187/((N_6*AG$27*AG194)*SQRT(AG193*AG189*AG191))</f>
        <v>31.857853321311485</v>
      </c>
      <c r="AH195" s="133"/>
      <c r="AI195" s="146"/>
      <c r="AJ195" s="143">
        <f>AJ187/((N_6*AJ$27*AJ194)*SQRT(AJ193*AJ189*AJ191))</f>
        <v>48.40332638971126</v>
      </c>
      <c r="AK195" s="133"/>
      <c r="AL195" s="146"/>
      <c r="AM195" s="143">
        <f>AM187/((N_6*AM$27*AM194)*SQRT(AM193*AM189*AM191))</f>
        <v>72.036792009825234</v>
      </c>
      <c r="AN195" s="133"/>
      <c r="AO195" s="146"/>
      <c r="AP195" s="143">
        <f>AP187/((N_6*AP$27*AP194)*SQRT(AP193*AP189*AP191))</f>
        <v>107.64687189318451</v>
      </c>
      <c r="AQ195" s="133"/>
      <c r="AR195" s="146"/>
      <c r="AS195" s="143">
        <f>AS187/((N_6*AS$27*AS194)*SQRT(AS193*AS189*AS191))</f>
        <v>268.59787876040195</v>
      </c>
      <c r="AT195" s="133"/>
      <c r="AU195" s="146"/>
    </row>
    <row r="196" spans="13:47" x14ac:dyDescent="0.25">
      <c r="M196" s="27"/>
      <c r="N196" s="27"/>
      <c r="O196" s="2" t="s">
        <v>73</v>
      </c>
      <c r="P196" s="85">
        <v>5</v>
      </c>
      <c r="Q196" s="2"/>
      <c r="R196" s="179">
        <f>R187/((N_6*R$27*0.667)*SQRT(R197*R189*R191))</f>
        <v>6.0376839961834558E-2</v>
      </c>
      <c r="S196" s="133"/>
      <c r="T196" s="155"/>
      <c r="U196" s="143">
        <f>U187/((N_6*U$27*0.667)*SQRT(U197*U189*U191))</f>
        <v>2.2015094306041187</v>
      </c>
      <c r="V196" s="133"/>
      <c r="W196" s="155"/>
      <c r="X196" s="143">
        <f>X187/((N_6*X$27*0.667)*SQRT(X197*X189*X191))</f>
        <v>5.5276065108291688</v>
      </c>
      <c r="Y196" s="133"/>
      <c r="Z196" s="155"/>
      <c r="AA196" s="143">
        <f>AA187/((N_6*AA$27*0.667)*SQRT(AA197*AA189*AA191))</f>
        <v>11.105812265746476</v>
      </c>
      <c r="AB196" s="133"/>
      <c r="AC196" s="155"/>
      <c r="AD196" s="143">
        <f>AD187/((N_6*AD$27*0.667)*SQRT(AD197*AD189*AD191))</f>
        <v>19.580591230696527</v>
      </c>
      <c r="AE196" s="133"/>
      <c r="AF196" s="155"/>
      <c r="AG196" s="143">
        <f>AG187/((N_6*AG$27*0.667)*SQRT(AG197*AG189*AG191))</f>
        <v>30.993458268036484</v>
      </c>
      <c r="AH196" s="133"/>
      <c r="AI196" s="155"/>
      <c r="AJ196" s="143">
        <f>AJ187/((N_6*AJ$27*0.667)*SQRT(AJ197*AJ189*AJ191))</f>
        <v>46.388165633020591</v>
      </c>
      <c r="AK196" s="133"/>
      <c r="AL196" s="155"/>
      <c r="AM196" s="143">
        <f>AM187/((N_6*AM$27*0.667)*SQRT(AM197*AM189*AM191))</f>
        <v>67.123670898711055</v>
      </c>
      <c r="AN196" s="133"/>
      <c r="AO196" s="155"/>
      <c r="AP196" s="143">
        <f>AP187/((N_6*AP$27*0.667)*SQRT(AP197*AP189*AP191))</f>
        <v>85.996143673570245</v>
      </c>
      <c r="AQ196" s="133"/>
      <c r="AR196" s="155"/>
      <c r="AS196" s="143">
        <f>AS187/((N_6*AS$27*0.667)*SQRT(AS197*AS189*AS191))</f>
        <v>180.50064058406184</v>
      </c>
      <c r="AT196" s="133"/>
      <c r="AU196" s="155"/>
    </row>
    <row r="197" spans="13:47" ht="15.5" x14ac:dyDescent="0.4">
      <c r="M197" s="27"/>
      <c r="N197" s="27"/>
      <c r="O197" s="2" t="s">
        <v>192</v>
      </c>
      <c r="P197" s="85">
        <v>10</v>
      </c>
      <c r="Q197" s="2"/>
      <c r="R197" s="181">
        <f>F_GAMMA*R$29</f>
        <v>0.64002688015162901</v>
      </c>
      <c r="S197" s="133"/>
      <c r="T197" s="155"/>
      <c r="U197" s="138">
        <f>F_GAMMA*U$29</f>
        <v>0.64016782916606918</v>
      </c>
      <c r="V197" s="133"/>
      <c r="W197" s="155"/>
      <c r="X197" s="138">
        <f>F_GAMMA*X$29</f>
        <v>0.6307062319203669</v>
      </c>
      <c r="Y197" s="133"/>
      <c r="Z197" s="155"/>
      <c r="AA197" s="138">
        <f>F_GAMMA*AA$29</f>
        <v>0.62217534213893466</v>
      </c>
      <c r="AB197" s="133"/>
      <c r="AC197" s="155"/>
      <c r="AD197" s="138">
        <f>F_GAMMA*AD$29</f>
        <v>0.60557184969146072</v>
      </c>
      <c r="AE197" s="133"/>
      <c r="AF197" s="155"/>
      <c r="AG197" s="138">
        <f>F_GAMMA*AG$29</f>
        <v>0.57289312142622573</v>
      </c>
      <c r="AH197" s="133"/>
      <c r="AI197" s="155"/>
      <c r="AJ197" s="138">
        <f>F_GAMMA*AJ$29</f>
        <v>0.53590819116049981</v>
      </c>
      <c r="AK197" s="133"/>
      <c r="AL197" s="155"/>
      <c r="AM197" s="138">
        <f>F_GAMMA*AM$29</f>
        <v>0.49048815926850342</v>
      </c>
      <c r="AN197" s="133"/>
      <c r="AO197" s="155"/>
      <c r="AP197" s="138">
        <f>F_GAMMA*AP$29</f>
        <v>0.59352979016280105</v>
      </c>
      <c r="AQ197" s="133"/>
      <c r="AR197" s="155"/>
      <c r="AS197" s="138">
        <f>F_GAMMA*AS$29</f>
        <v>0.39097221161068291</v>
      </c>
      <c r="AT197" s="133"/>
      <c r="AU197" s="155"/>
    </row>
    <row r="198" spans="13:47" x14ac:dyDescent="0.25">
      <c r="M198" s="27"/>
      <c r="N198" s="27"/>
      <c r="O198" s="2" t="s">
        <v>193</v>
      </c>
      <c r="P198" s="134"/>
      <c r="Q198" s="2"/>
      <c r="R198" s="181">
        <f>IF(R193&lt;R197,R195,R196)</f>
        <v>6.1558271679219408E-2</v>
      </c>
      <c r="S198" s="133"/>
      <c r="T198" s="155"/>
      <c r="U198" s="138">
        <f>IF(U193&lt;U197,U195,U196)</f>
        <v>2.2450050765278147</v>
      </c>
      <c r="V198" s="133"/>
      <c r="W198" s="155"/>
      <c r="X198" s="138">
        <f>IF(X193&lt;X197,X195,X196)</f>
        <v>5.6291774242793897</v>
      </c>
      <c r="Y198" s="133"/>
      <c r="Z198" s="155"/>
      <c r="AA198" s="138">
        <f>IF(AA193&lt;AA197,AA195,AA196)</f>
        <v>11.318409974961384</v>
      </c>
      <c r="AB198" s="133"/>
      <c r="AC198" s="155"/>
      <c r="AD198" s="138">
        <f>IF(AD193&lt;AD197,AD195,AD196)</f>
        <v>20.018325928515559</v>
      </c>
      <c r="AE198" s="133"/>
      <c r="AF198" s="155"/>
      <c r="AG198" s="138">
        <f>IF(AG193&lt;AG197,AG195,AG196)</f>
        <v>31.857853321311485</v>
      </c>
      <c r="AH198" s="133"/>
      <c r="AI198" s="155"/>
      <c r="AJ198" s="138">
        <f>IF(AJ193&lt;AJ197,AJ195,AJ196)</f>
        <v>48.40332638971126</v>
      </c>
      <c r="AK198" s="133"/>
      <c r="AL198" s="155"/>
      <c r="AM198" s="138">
        <f>IF(AM193&lt;AM197,AM195,AM196)</f>
        <v>72.036792009825234</v>
      </c>
      <c r="AN198" s="133"/>
      <c r="AO198" s="155"/>
      <c r="AP198" s="138">
        <f>IF(AP193&lt;AP197,AP195,AP196)</f>
        <v>107.64687189318451</v>
      </c>
      <c r="AQ198" s="133"/>
      <c r="AR198" s="155"/>
      <c r="AS198" s="138">
        <f>IF(AS193&lt;AS197,AS195,AS196)</f>
        <v>268.59787876040195</v>
      </c>
      <c r="AT198" s="133"/>
      <c r="AU198" s="155"/>
    </row>
    <row r="199" spans="13:47" ht="13" x14ac:dyDescent="0.3">
      <c r="M199" s="28"/>
      <c r="N199" s="28"/>
      <c r="O199" s="9" t="s">
        <v>194</v>
      </c>
      <c r="P199" s="1"/>
      <c r="Q199" s="1"/>
      <c r="R199" s="135"/>
      <c r="S199" s="132">
        <f>IF(R192&lt;=0,W_max,ABS(R$23-R198))</f>
        <v>1.9384417283207807</v>
      </c>
      <c r="T199" s="151">
        <f>R187</f>
        <v>14.236635831118768</v>
      </c>
      <c r="U199" s="135"/>
      <c r="V199" s="132">
        <f>IF(U192&lt;=0,W_max,ABS(U$23-U198))</f>
        <v>2.7549949234721853</v>
      </c>
      <c r="W199" s="151">
        <f>U187</f>
        <v>518.28986659550856</v>
      </c>
      <c r="X199" s="135"/>
      <c r="Y199" s="132">
        <f>IF(X192&lt;=0,W_max,ABS(X$23-X198))</f>
        <v>4.3708225757206103</v>
      </c>
      <c r="Z199" s="151">
        <f>X187</f>
        <v>1281.7925173078149</v>
      </c>
      <c r="AA199" s="135"/>
      <c r="AB199" s="132">
        <f>IF(AA192&lt;=0,W_max,ABS(AA$23-AA198))</f>
        <v>5.8815900250386157</v>
      </c>
      <c r="AC199" s="151">
        <f>AA187</f>
        <v>2496.6046520547206</v>
      </c>
      <c r="AD199" s="135"/>
      <c r="AE199" s="132">
        <f>IF(AD192&lt;=0,W_max,ABS(AD$23-AD198))</f>
        <v>6.5816740714844428</v>
      </c>
      <c r="AF199" s="151">
        <f>AD187</f>
        <v>4105.9954573326686</v>
      </c>
      <c r="AG199" s="135"/>
      <c r="AH199" s="132">
        <f>IF(AG192&lt;=0,W_max,ABS(AG$23-AG198))</f>
        <v>6.5421466786885141</v>
      </c>
      <c r="AI199" s="151">
        <f>AG187</f>
        <v>5758.9747337716099</v>
      </c>
      <c r="AJ199" s="135"/>
      <c r="AK199" s="132">
        <f>IF(AJ192&lt;=0,W_max,ABS(AJ$23-AJ198))</f>
        <v>4.0966736102887396</v>
      </c>
      <c r="AL199" s="151">
        <f>AJ187</f>
        <v>7312.3697594896712</v>
      </c>
      <c r="AM199" s="135"/>
      <c r="AN199" s="132">
        <f>IF(AM192&lt;=0,W_max,ABS(AM$23-AM198))</f>
        <v>0.36320799017477157</v>
      </c>
      <c r="AO199" s="151">
        <f>AM187</f>
        <v>8574.3286237634311</v>
      </c>
      <c r="AP199" s="135"/>
      <c r="AQ199" s="132">
        <f>IF(AP192&lt;=0,W_max,ABS(AP$23-AP198))</f>
        <v>0.35312810681548967</v>
      </c>
      <c r="AR199" s="151">
        <f>AP187</f>
        <v>9566.1070394392464</v>
      </c>
      <c r="AS199" s="135"/>
      <c r="AT199" s="132">
        <f>IF(AS192&lt;=0,W_max,ABS(AS$23-AS198))</f>
        <v>88.597878760401954</v>
      </c>
      <c r="AU199" s="151">
        <f>AS187</f>
        <v>10672.602824714631</v>
      </c>
    </row>
    <row r="200" spans="13:47" ht="13" x14ac:dyDescent="0.25">
      <c r="M200" s="12"/>
      <c r="N200" s="12"/>
      <c r="O200" s="2"/>
      <c r="P200" s="85"/>
      <c r="Q200" s="2"/>
      <c r="R200" s="18"/>
      <c r="S200" s="150"/>
      <c r="T200" s="148"/>
      <c r="U200" s="157"/>
      <c r="V200" s="1"/>
      <c r="W200" s="147"/>
      <c r="X200" s="157"/>
      <c r="Y200" s="1"/>
      <c r="Z200" s="147"/>
      <c r="AA200" s="157"/>
      <c r="AB200" s="1"/>
      <c r="AC200" s="147"/>
      <c r="AD200" s="157"/>
      <c r="AE200" s="1"/>
      <c r="AF200" s="147"/>
      <c r="AG200" s="157"/>
      <c r="AH200" s="1"/>
      <c r="AI200" s="147"/>
      <c r="AJ200" s="157"/>
      <c r="AK200" s="1"/>
      <c r="AL200" s="147"/>
      <c r="AM200" s="157"/>
      <c r="AN200" s="1"/>
      <c r="AO200" s="147"/>
      <c r="AP200" s="157"/>
      <c r="AQ200" s="1"/>
      <c r="AR200" s="147"/>
      <c r="AS200" s="157"/>
      <c r="AT200" s="1"/>
      <c r="AU200" s="147"/>
    </row>
    <row r="201" spans="13:47" ht="14" x14ac:dyDescent="0.3">
      <c r="M201" s="23"/>
      <c r="N201" s="23"/>
      <c r="O201" s="23" t="s">
        <v>238</v>
      </c>
      <c r="P201" s="20"/>
      <c r="Q201" s="20"/>
      <c r="R201" s="181">
        <f>R187*1.02</f>
        <v>14.521368547741144</v>
      </c>
      <c r="S201" s="128" t="s">
        <v>185</v>
      </c>
      <c r="T201" s="149" t="s">
        <v>186</v>
      </c>
      <c r="U201" s="143">
        <f>U187*1.01</f>
        <v>523.47276526146368</v>
      </c>
      <c r="V201" s="128" t="s">
        <v>185</v>
      </c>
      <c r="W201" s="153" t="s">
        <v>186</v>
      </c>
      <c r="X201" s="143">
        <f>X187*1.01</f>
        <v>1294.6104424808932</v>
      </c>
      <c r="Y201" s="128" t="s">
        <v>185</v>
      </c>
      <c r="Z201" s="153" t="s">
        <v>186</v>
      </c>
      <c r="AA201" s="143">
        <f>AA187*1.01</f>
        <v>2521.5706985752677</v>
      </c>
      <c r="AB201" s="128" t="s">
        <v>185</v>
      </c>
      <c r="AC201" s="153" t="s">
        <v>186</v>
      </c>
      <c r="AD201" s="143">
        <f>AD187*1.01</f>
        <v>4147.0554119059952</v>
      </c>
      <c r="AE201" s="128" t="s">
        <v>185</v>
      </c>
      <c r="AF201" s="153" t="s">
        <v>186</v>
      </c>
      <c r="AG201" s="143">
        <f>AG187*1.01</f>
        <v>5816.5644811093262</v>
      </c>
      <c r="AH201" s="128" t="s">
        <v>185</v>
      </c>
      <c r="AI201" s="153" t="s">
        <v>186</v>
      </c>
      <c r="AJ201" s="143">
        <f>AJ187*1.01</f>
        <v>7385.493457084568</v>
      </c>
      <c r="AK201" s="128" t="s">
        <v>185</v>
      </c>
      <c r="AL201" s="153" t="s">
        <v>186</v>
      </c>
      <c r="AM201" s="143">
        <f>AM187*1.01</f>
        <v>8660.0719100010647</v>
      </c>
      <c r="AN201" s="128" t="s">
        <v>185</v>
      </c>
      <c r="AO201" s="153" t="s">
        <v>186</v>
      </c>
      <c r="AP201" s="143">
        <f>AP187*1.01</f>
        <v>9661.7681098336398</v>
      </c>
      <c r="AQ201" s="128" t="s">
        <v>185</v>
      </c>
      <c r="AR201" s="153" t="s">
        <v>186</v>
      </c>
      <c r="AS201" s="143">
        <f>AS187*1.01</f>
        <v>10779.328852961778</v>
      </c>
      <c r="AT201" s="128" t="s">
        <v>185</v>
      </c>
      <c r="AU201" s="153" t="s">
        <v>186</v>
      </c>
    </row>
    <row r="202" spans="13:47" ht="14" x14ac:dyDescent="0.3">
      <c r="M202" s="12"/>
      <c r="N202" s="12"/>
      <c r="O202" s="20"/>
      <c r="P202" s="20"/>
      <c r="Q202" s="23"/>
      <c r="R202" s="139"/>
      <c r="S202" s="130" t="s">
        <v>228</v>
      </c>
      <c r="T202" s="131" t="s">
        <v>187</v>
      </c>
      <c r="U202" s="144"/>
      <c r="V202" s="130" t="s">
        <v>228</v>
      </c>
      <c r="W202" s="154" t="s">
        <v>187</v>
      </c>
      <c r="X202" s="144"/>
      <c r="Y202" s="130" t="s">
        <v>228</v>
      </c>
      <c r="Z202" s="154" t="s">
        <v>187</v>
      </c>
      <c r="AA202" s="144"/>
      <c r="AB202" s="130" t="s">
        <v>228</v>
      </c>
      <c r="AC202" s="154" t="s">
        <v>187</v>
      </c>
      <c r="AD202" s="144"/>
      <c r="AE202" s="130" t="s">
        <v>228</v>
      </c>
      <c r="AF202" s="154" t="s">
        <v>187</v>
      </c>
      <c r="AG202" s="144"/>
      <c r="AH202" s="130" t="s">
        <v>228</v>
      </c>
      <c r="AI202" s="154" t="s">
        <v>187</v>
      </c>
      <c r="AJ202" s="144"/>
      <c r="AK202" s="130" t="s">
        <v>228</v>
      </c>
      <c r="AL202" s="154" t="s">
        <v>187</v>
      </c>
      <c r="AM202" s="144"/>
      <c r="AN202" s="130" t="s">
        <v>228</v>
      </c>
      <c r="AO202" s="154" t="s">
        <v>187</v>
      </c>
      <c r="AP202" s="144"/>
      <c r="AQ202" s="130" t="s">
        <v>228</v>
      </c>
      <c r="AR202" s="154" t="s">
        <v>187</v>
      </c>
      <c r="AS202" s="144"/>
      <c r="AT202" s="130" t="s">
        <v>228</v>
      </c>
      <c r="AU202" s="154" t="s">
        <v>187</v>
      </c>
    </row>
    <row r="203" spans="13:47" x14ac:dyDescent="0.25">
      <c r="M203" s="20"/>
      <c r="N203" s="20"/>
      <c r="O203" s="7" t="s">
        <v>188</v>
      </c>
      <c r="P203" s="7"/>
      <c r="Q203" s="7"/>
      <c r="R203" s="181">
        <f>P_1_minW-(R201^2*R_up)+dpup_minQ</f>
        <v>100.52270264976065</v>
      </c>
      <c r="S203" s="132"/>
      <c r="T203" s="145"/>
      <c r="U203" s="138">
        <f>P_1_minW-(U201^2*R_up)+dpup_minQ</f>
        <v>100.41351652852042</v>
      </c>
      <c r="V203" s="132"/>
      <c r="W203" s="145"/>
      <c r="X203" s="138">
        <f>P_1_minW-(X201^2*R_up)+dpup_minQ</f>
        <v>99.854455439658523</v>
      </c>
      <c r="Y203" s="132"/>
      <c r="Z203" s="145"/>
      <c r="AA203" s="138">
        <f>P_1_minW-(AA201^2*R_up)+dpup_minQ</f>
        <v>97.987331859663769</v>
      </c>
      <c r="AB203" s="132"/>
      <c r="AC203" s="145"/>
      <c r="AD203" s="138">
        <f>P_1_minW-(AD201^2*R_up)+dpup_minQ</f>
        <v>93.664853321372547</v>
      </c>
      <c r="AE203" s="132"/>
      <c r="AF203" s="145"/>
      <c r="AG203" s="138">
        <f>P_1_minW-(AG201^2*R_up)+dpup_minQ</f>
        <v>87.031707861295473</v>
      </c>
      <c r="AH203" s="132"/>
      <c r="AI203" s="145"/>
      <c r="AJ203" s="138">
        <f>P_1_minW-(AJ201^2*R_up)+dpup_minQ</f>
        <v>78.772117557685448</v>
      </c>
      <c r="AK203" s="132"/>
      <c r="AL203" s="145"/>
      <c r="AM203" s="138">
        <f>P_1_minW-(AM201^2*R_up)+dpup_minQ</f>
        <v>70.61690689719029</v>
      </c>
      <c r="AN203" s="132"/>
      <c r="AO203" s="145"/>
      <c r="AP203" s="138">
        <f>P_1_minW-(AP201^2*R_up)+dpup_minQ</f>
        <v>63.298463800650381</v>
      </c>
      <c r="AQ203" s="132"/>
      <c r="AR203" s="145"/>
      <c r="AS203" s="138">
        <f>P_1_minW-(AS201^2*R_up)+dpup_minQ</f>
        <v>54.189081609702527</v>
      </c>
      <c r="AT203" s="132"/>
      <c r="AU203" s="145"/>
    </row>
    <row r="204" spans="13:47" x14ac:dyDescent="0.25">
      <c r="M204" s="20"/>
      <c r="N204" s="20"/>
      <c r="O204" s="7" t="s">
        <v>189</v>
      </c>
      <c r="P204" s="1"/>
      <c r="Q204" s="7"/>
      <c r="R204" s="181">
        <f>P_2_minW+(R201^2*R_dn)-dpdn_minQ</f>
        <v>50</v>
      </c>
      <c r="S204" s="132"/>
      <c r="T204" s="146"/>
      <c r="U204" s="138">
        <f>P_2_minW+(U201^2*R_dn)-dpdn_minQ</f>
        <v>50</v>
      </c>
      <c r="V204" s="132"/>
      <c r="W204" s="146"/>
      <c r="X204" s="138">
        <f>P_2_minW+(X201^2*R_dn)-dpdn_minQ</f>
        <v>50</v>
      </c>
      <c r="Y204" s="132"/>
      <c r="Z204" s="146"/>
      <c r="AA204" s="138">
        <f>P_2_minW+(AA201^2*R_dn)-dpdn_minQ</f>
        <v>50</v>
      </c>
      <c r="AB204" s="132"/>
      <c r="AC204" s="146"/>
      <c r="AD204" s="138">
        <f>P_2_minW+(AD201^2*R_dn)-dpdn_minQ</f>
        <v>50</v>
      </c>
      <c r="AE204" s="132"/>
      <c r="AF204" s="146"/>
      <c r="AG204" s="138">
        <f>P_2_minW+(AG201^2*R_dn)-dpdn_minQ</f>
        <v>50</v>
      </c>
      <c r="AH204" s="132"/>
      <c r="AI204" s="146"/>
      <c r="AJ204" s="138">
        <f>P_2_minW+(AJ201^2*R_dn)-dpdn_minQ</f>
        <v>50</v>
      </c>
      <c r="AK204" s="132"/>
      <c r="AL204" s="146"/>
      <c r="AM204" s="138">
        <f>P_2_minW+(AM201^2*R_dn)-dpdn_minQ</f>
        <v>50</v>
      </c>
      <c r="AN204" s="132"/>
      <c r="AO204" s="146"/>
      <c r="AP204" s="138">
        <f>P_2_minW+(AP201^2*R_dn)-dpdn_minQ</f>
        <v>50</v>
      </c>
      <c r="AQ204" s="132"/>
      <c r="AR204" s="146"/>
      <c r="AS204" s="138">
        <f>P_2_minW+(AS201^2*R_dn)-dpdn_minQ</f>
        <v>50</v>
      </c>
      <c r="AT204" s="132"/>
      <c r="AU204" s="146"/>
    </row>
    <row r="205" spans="13:47" x14ac:dyDescent="0.25">
      <c r="M205" s="20"/>
      <c r="N205" s="20"/>
      <c r="O205" s="7" t="s">
        <v>234</v>
      </c>
      <c r="P205" s="1"/>
      <c r="Q205" s="7"/>
      <c r="R205" s="179">
        <f>'Valve Sizing'!G$8*R203/P_1_maxW</f>
        <v>0.48490362061833742</v>
      </c>
      <c r="S205" s="132"/>
      <c r="T205" s="146"/>
      <c r="U205" s="143">
        <f>'Valve Sizing'!$G$8*U203/P_1_maxW</f>
        <v>0.48437692620886519</v>
      </c>
      <c r="V205" s="132"/>
      <c r="W205" s="146"/>
      <c r="X205" s="143">
        <f>'Valve Sizing'!$G$8*X203/P_1_maxW</f>
        <v>0.48168011505088737</v>
      </c>
      <c r="Y205" s="132"/>
      <c r="Z205" s="146"/>
      <c r="AA205" s="143">
        <f>'Valve Sizing'!$G$8*AA203/P_1_maxW</f>
        <v>0.47267344332185701</v>
      </c>
      <c r="AB205" s="132"/>
      <c r="AC205" s="146"/>
      <c r="AD205" s="143">
        <f>'Valve Sizing'!$G$8*AD203/P_1_maxW</f>
        <v>0.4518225764230106</v>
      </c>
      <c r="AE205" s="132"/>
      <c r="AF205" s="146"/>
      <c r="AG205" s="143">
        <f>'Valve Sizing'!$G$8*AG203/P_1_maxW</f>
        <v>0.41982546368235835</v>
      </c>
      <c r="AH205" s="132"/>
      <c r="AI205" s="146"/>
      <c r="AJ205" s="143">
        <f>'Valve Sizing'!$G$8*AJ203/P_1_maxW</f>
        <v>0.37998267058715945</v>
      </c>
      <c r="AK205" s="132"/>
      <c r="AL205" s="146"/>
      <c r="AM205" s="143">
        <f>'Valve Sizing'!$G$8*AM203/P_1_maxW</f>
        <v>0.34064338630669666</v>
      </c>
      <c r="AN205" s="132"/>
      <c r="AO205" s="146"/>
      <c r="AP205" s="143">
        <f>'Valve Sizing'!$G$8*AP203/P_1_maxW</f>
        <v>0.30534051977747156</v>
      </c>
      <c r="AQ205" s="132"/>
      <c r="AR205" s="146"/>
      <c r="AS205" s="143">
        <f>'Valve Sizing'!$G$8*AS203/P_1_maxW</f>
        <v>0.26139848191387527</v>
      </c>
      <c r="AT205" s="132"/>
      <c r="AU205" s="146"/>
    </row>
    <row r="206" spans="13:47" x14ac:dyDescent="0.25">
      <c r="M206" s="20"/>
      <c r="N206" s="20"/>
      <c r="O206" s="7" t="s">
        <v>190</v>
      </c>
      <c r="P206" s="1"/>
      <c r="Q206" s="7"/>
      <c r="R206" s="181">
        <f>R203-R204</f>
        <v>50.522702649760646</v>
      </c>
      <c r="S206" s="132"/>
      <c r="T206" s="146"/>
      <c r="U206" s="138">
        <f>U203-U204</f>
        <v>50.413516528520418</v>
      </c>
      <c r="V206" s="132"/>
      <c r="W206" s="146"/>
      <c r="X206" s="138">
        <f>X203-X204</f>
        <v>49.854455439658523</v>
      </c>
      <c r="Y206" s="132"/>
      <c r="Z206" s="146"/>
      <c r="AA206" s="138">
        <f>AA203-AA204</f>
        <v>47.987331859663769</v>
      </c>
      <c r="AB206" s="132"/>
      <c r="AC206" s="146"/>
      <c r="AD206" s="138">
        <f>AD203-AD204</f>
        <v>43.664853321372547</v>
      </c>
      <c r="AE206" s="132"/>
      <c r="AF206" s="146"/>
      <c r="AG206" s="138">
        <f>AG203-AG204</f>
        <v>37.031707861295473</v>
      </c>
      <c r="AH206" s="132"/>
      <c r="AI206" s="146"/>
      <c r="AJ206" s="138">
        <f>AJ203-AJ204</f>
        <v>28.772117557685448</v>
      </c>
      <c r="AK206" s="132"/>
      <c r="AL206" s="146"/>
      <c r="AM206" s="138">
        <f>AM203-AM204</f>
        <v>20.61690689719029</v>
      </c>
      <c r="AN206" s="132"/>
      <c r="AO206" s="146"/>
      <c r="AP206" s="138">
        <f>AP203-AP204</f>
        <v>13.298463800650381</v>
      </c>
      <c r="AQ206" s="132"/>
      <c r="AR206" s="146"/>
      <c r="AS206" s="138">
        <f>AS203-AS204</f>
        <v>4.1890816097025265</v>
      </c>
      <c r="AT206" s="132"/>
      <c r="AU206" s="146"/>
    </row>
    <row r="207" spans="13:47" ht="14.5" x14ac:dyDescent="0.35">
      <c r="M207" s="27"/>
      <c r="N207" s="27"/>
      <c r="O207" s="2" t="s">
        <v>191</v>
      </c>
      <c r="P207" s="10"/>
      <c r="Q207" s="2"/>
      <c r="R207" s="181">
        <f>R206/R203</f>
        <v>0.50259992338040216</v>
      </c>
      <c r="S207" s="132"/>
      <c r="T207" s="146"/>
      <c r="U207" s="138">
        <f>U206/U203</f>
        <v>0.50205906805585765</v>
      </c>
      <c r="V207" s="132"/>
      <c r="W207" s="146"/>
      <c r="X207" s="138">
        <f>X206/X203</f>
        <v>0.49927121649354228</v>
      </c>
      <c r="Y207" s="132"/>
      <c r="Z207" s="146"/>
      <c r="AA207" s="138">
        <f>AA206/AA203</f>
        <v>0.48972995742338027</v>
      </c>
      <c r="AB207" s="132"/>
      <c r="AC207" s="146"/>
      <c r="AD207" s="138">
        <f>AD206/AD203</f>
        <v>0.46618183633464416</v>
      </c>
      <c r="AE207" s="132"/>
      <c r="AF207" s="146"/>
      <c r="AG207" s="138">
        <f>AG206/AG203</f>
        <v>0.4254967387324376</v>
      </c>
      <c r="AH207" s="132"/>
      <c r="AI207" s="146"/>
      <c r="AJ207" s="138">
        <f>AJ206/AJ203</f>
        <v>0.36525763747071288</v>
      </c>
      <c r="AK207" s="132"/>
      <c r="AL207" s="146"/>
      <c r="AM207" s="138">
        <f>AM206/AM203</f>
        <v>0.29195426142362796</v>
      </c>
      <c r="AN207" s="132"/>
      <c r="AO207" s="146"/>
      <c r="AP207" s="138">
        <f>AP206/AP203</f>
        <v>0.21009141458048688</v>
      </c>
      <c r="AQ207" s="132"/>
      <c r="AR207" s="146"/>
      <c r="AS207" s="138">
        <f>AS206/AS203</f>
        <v>7.7304901379846858E-2</v>
      </c>
      <c r="AT207" s="132"/>
      <c r="AU207" s="146"/>
    </row>
    <row r="208" spans="13:47" x14ac:dyDescent="0.25">
      <c r="M208" s="27"/>
      <c r="N208" s="27"/>
      <c r="O208" s="2" t="s">
        <v>26</v>
      </c>
      <c r="P208" s="7">
        <v>12</v>
      </c>
      <c r="Q208" s="2"/>
      <c r="R208" s="181">
        <f>1-R207/(3*F_GAMMA*R$29)</f>
        <v>0.73824020054630046</v>
      </c>
      <c r="S208" s="133"/>
      <c r="T208" s="146"/>
      <c r="U208" s="138">
        <f>1-U207/(3*F_GAMMA*U$29)</f>
        <v>0.73857945516679191</v>
      </c>
      <c r="V208" s="133"/>
      <c r="W208" s="146"/>
      <c r="X208" s="138">
        <f>1-X207/(3*F_GAMMA*X$29)</f>
        <v>0.73613113299284239</v>
      </c>
      <c r="Y208" s="133"/>
      <c r="Z208" s="146"/>
      <c r="AA208" s="138">
        <f>1-AA207/(3*F_GAMMA*AA$29)</f>
        <v>0.73762489754106364</v>
      </c>
      <c r="AB208" s="133"/>
      <c r="AC208" s="146"/>
      <c r="AD208" s="138">
        <f>1-AD207/(3*F_GAMMA*AD$29)</f>
        <v>0.74339304985188015</v>
      </c>
      <c r="AE208" s="133"/>
      <c r="AF208" s="146"/>
      <c r="AG208" s="138">
        <f>1-AG207/(3*F_GAMMA*AG$29)</f>
        <v>0.75242808660182126</v>
      </c>
      <c r="AH208" s="133"/>
      <c r="AI208" s="146"/>
      <c r="AJ208" s="138">
        <f>1-AJ207/(3*F_GAMMA*AJ$29)</f>
        <v>0.77281081380764505</v>
      </c>
      <c r="AK208" s="133"/>
      <c r="AL208" s="146"/>
      <c r="AM208" s="138">
        <f>1-AM207/(3*F_GAMMA*AM$29)</f>
        <v>0.80158932422273754</v>
      </c>
      <c r="AN208" s="133"/>
      <c r="AO208" s="146"/>
      <c r="AP208" s="138">
        <f>1-AP207/(3*F_GAMMA*AP$29)</f>
        <v>0.88201018266055342</v>
      </c>
      <c r="AQ208" s="133"/>
      <c r="AR208" s="146"/>
      <c r="AS208" s="138">
        <f>1-AS207/(3*F_GAMMA*AS$29)</f>
        <v>0.93409173415729052</v>
      </c>
      <c r="AT208" s="133"/>
      <c r="AU208" s="146"/>
    </row>
    <row r="209" spans="13:47" x14ac:dyDescent="0.25">
      <c r="M209" s="27"/>
      <c r="N209" s="27"/>
      <c r="O209" s="2" t="s">
        <v>71</v>
      </c>
      <c r="P209" s="85">
        <v>5</v>
      </c>
      <c r="Q209" s="2"/>
      <c r="R209" s="179">
        <f>R201/((N_6*R$27*R208)*SQRT(R207*R203*R205))</f>
        <v>6.2789439445879489E-2</v>
      </c>
      <c r="S209" s="133"/>
      <c r="T209" s="146"/>
      <c r="U209" s="143">
        <f>U201/((N_6*U$27*U208)*SQRT(U207*U203*U205))</f>
        <v>2.2675107879553633</v>
      </c>
      <c r="V209" s="133"/>
      <c r="W209" s="146"/>
      <c r="X209" s="143">
        <f>X201/((N_6*X$27*X208)*SQRT(X207*X203*X205))</f>
        <v>5.6863254067002815</v>
      </c>
      <c r="Y209" s="133"/>
      <c r="Z209" s="146"/>
      <c r="AA209" s="143">
        <f>AA201/((N_6*AA$27*AA208)*SQRT(AA207*AA203*AA205))</f>
        <v>11.438297744355443</v>
      </c>
      <c r="AB209" s="133"/>
      <c r="AC209" s="146"/>
      <c r="AD209" s="143">
        <f>AD201/((N_6*AD$27*AD208)*SQRT(AD207*AD203*AD205))</f>
        <v>20.252832633016592</v>
      </c>
      <c r="AE209" s="133"/>
      <c r="AF209" s="146"/>
      <c r="AG209" s="143">
        <f>AG201/((N_6*AG$27*AG208)*SQRT(AG207*AG203*AG205))</f>
        <v>32.297239937773604</v>
      </c>
      <c r="AH209" s="133"/>
      <c r="AI209" s="146"/>
      <c r="AJ209" s="143">
        <f>AJ201/((N_6*AJ$27*AJ208)*SQRT(AJ207*AJ203*AJ205))</f>
        <v>49.247389579427463</v>
      </c>
      <c r="AK209" s="133"/>
      <c r="AL209" s="146"/>
      <c r="AM209" s="143">
        <f>AM201/((N_6*AM$27*AM208)*SQRT(AM207*AM203*AM205))</f>
        <v>73.72873425858684</v>
      </c>
      <c r="AN209" s="133"/>
      <c r="AO209" s="146"/>
      <c r="AP209" s="143">
        <f>AP201/((N_6*AP$27*AP208)*SQRT(AP207*AP203*AP205))</f>
        <v>111.67941122012347</v>
      </c>
      <c r="AQ209" s="133"/>
      <c r="AR209" s="146"/>
      <c r="AS209" s="143">
        <f>AS201/((N_6*AS$27*AS208)*SQRT(AS207*AS203*AS205))</f>
        <v>297.68827727006919</v>
      </c>
      <c r="AT209" s="133"/>
      <c r="AU209" s="146"/>
    </row>
    <row r="210" spans="13:47" x14ac:dyDescent="0.25">
      <c r="M210" s="27"/>
      <c r="N210" s="27"/>
      <c r="O210" s="2" t="s">
        <v>73</v>
      </c>
      <c r="P210" s="85">
        <v>5</v>
      </c>
      <c r="Q210" s="2"/>
      <c r="R210" s="179">
        <f>R201/((N_6*R$27*0.667)*SQRT(R211*R203*R205))</f>
        <v>6.1584378761467808E-2</v>
      </c>
      <c r="S210" s="133"/>
      <c r="T210" s="147"/>
      <c r="U210" s="143">
        <f>U201/((N_6*U$27*0.667)*SQRT(U211*U203*U205))</f>
        <v>2.223572201460895</v>
      </c>
      <c r="V210" s="133"/>
      <c r="W210" s="155"/>
      <c r="X210" s="143">
        <f>X201/((N_6*X$27*0.667)*SQRT(X211*X203*X205))</f>
        <v>5.5836188443263888</v>
      </c>
      <c r="Y210" s="133"/>
      <c r="Z210" s="155"/>
      <c r="AA210" s="143">
        <f>AA201/((N_6*AA$27*0.667)*SQRT(AA211*AA203*AA205))</f>
        <v>11.222589268158364</v>
      </c>
      <c r="AB210" s="133"/>
      <c r="AC210" s="155"/>
      <c r="AD210" s="143">
        <f>AD201/((N_6*AD$27*0.667)*SQRT(AD211*AD203*AD205))</f>
        <v>19.804928149425631</v>
      </c>
      <c r="AE210" s="133"/>
      <c r="AF210" s="155"/>
      <c r="AG210" s="143">
        <f>AG201/((N_6*AG$27*0.667)*SQRT(AG211*AG203*AG205))</f>
        <v>31.399005179637445</v>
      </c>
      <c r="AH210" s="133"/>
      <c r="AI210" s="155"/>
      <c r="AJ210" s="143">
        <f>AJ201/((N_6*AJ$27*0.667)*SQRT(AJ211*AJ203*AJ205))</f>
        <v>47.106954420605447</v>
      </c>
      <c r="AK210" s="133"/>
      <c r="AL210" s="155"/>
      <c r="AM210" s="143">
        <f>AM201/((N_6*AM$27*0.667)*SQRT(AM211*AM203*AM205))</f>
        <v>68.360623365505347</v>
      </c>
      <c r="AN210" s="133"/>
      <c r="AO210" s="155"/>
      <c r="AP210" s="143">
        <f>AP201/((N_6*AP$27*0.667)*SQRT(AP211*AP203*AP205))</f>
        <v>87.862543738883559</v>
      </c>
      <c r="AQ210" s="133"/>
      <c r="AR210" s="155"/>
      <c r="AS210" s="143">
        <f>AS201/((N_6*AS$27*0.667)*SQRT(AS211*AS203*AS205))</f>
        <v>185.37706319203053</v>
      </c>
      <c r="AT210" s="133"/>
      <c r="AU210" s="155"/>
    </row>
    <row r="211" spans="13:47" ht="15.5" x14ac:dyDescent="0.4">
      <c r="M211" s="27"/>
      <c r="N211" s="27"/>
      <c r="O211" s="2" t="s">
        <v>192</v>
      </c>
      <c r="P211" s="85">
        <v>10</v>
      </c>
      <c r="Q211" s="2"/>
      <c r="R211" s="181">
        <f>F_GAMMA*R$29</f>
        <v>0.64002688015162901</v>
      </c>
      <c r="S211" s="133"/>
      <c r="T211" s="147"/>
      <c r="U211" s="138">
        <f>F_GAMMA*U$29</f>
        <v>0.64016782916606918</v>
      </c>
      <c r="V211" s="133"/>
      <c r="W211" s="155"/>
      <c r="X211" s="138">
        <f>F_GAMMA*X$29</f>
        <v>0.6307062319203669</v>
      </c>
      <c r="Y211" s="133"/>
      <c r="Z211" s="155"/>
      <c r="AA211" s="138">
        <f>F_GAMMA*AA$29</f>
        <v>0.62217534213893466</v>
      </c>
      <c r="AB211" s="133"/>
      <c r="AC211" s="155"/>
      <c r="AD211" s="138">
        <f>F_GAMMA*AD$29</f>
        <v>0.60557184969146072</v>
      </c>
      <c r="AE211" s="133"/>
      <c r="AF211" s="155"/>
      <c r="AG211" s="138">
        <f>F_GAMMA*AG$29</f>
        <v>0.57289312142622573</v>
      </c>
      <c r="AH211" s="133"/>
      <c r="AI211" s="155"/>
      <c r="AJ211" s="138">
        <f>F_GAMMA*AJ$29</f>
        <v>0.53590819116049981</v>
      </c>
      <c r="AK211" s="133"/>
      <c r="AL211" s="155"/>
      <c r="AM211" s="138">
        <f>F_GAMMA*AM$29</f>
        <v>0.49048815926850342</v>
      </c>
      <c r="AN211" s="133"/>
      <c r="AO211" s="155"/>
      <c r="AP211" s="138">
        <f>F_GAMMA*AP$29</f>
        <v>0.59352979016280105</v>
      </c>
      <c r="AQ211" s="133"/>
      <c r="AR211" s="155"/>
      <c r="AS211" s="138">
        <f>F_GAMMA*AS$29</f>
        <v>0.39097221161068291</v>
      </c>
      <c r="AT211" s="133"/>
      <c r="AU211" s="155"/>
    </row>
    <row r="212" spans="13:47" x14ac:dyDescent="0.25">
      <c r="M212" s="27"/>
      <c r="N212" s="27"/>
      <c r="O212" s="2" t="s">
        <v>193</v>
      </c>
      <c r="P212" s="134"/>
      <c r="Q212" s="2"/>
      <c r="R212" s="181">
        <f>IF(R207&lt;R211,R209,R210)</f>
        <v>6.2789439445879489E-2</v>
      </c>
      <c r="S212" s="133"/>
      <c r="T212" s="147"/>
      <c r="U212" s="138">
        <f>IF(U207&lt;U211,U209,U210)</f>
        <v>2.2675107879553633</v>
      </c>
      <c r="V212" s="133"/>
      <c r="W212" s="155"/>
      <c r="X212" s="138">
        <f>IF(X207&lt;X211,X209,X210)</f>
        <v>5.6863254067002815</v>
      </c>
      <c r="Y212" s="133"/>
      <c r="Z212" s="155"/>
      <c r="AA212" s="138">
        <f>IF(AA207&lt;AA211,AA209,AA210)</f>
        <v>11.438297744355443</v>
      </c>
      <c r="AB212" s="133"/>
      <c r="AC212" s="155"/>
      <c r="AD212" s="138">
        <f>IF(AD207&lt;AD211,AD209,AD210)</f>
        <v>20.252832633016592</v>
      </c>
      <c r="AE212" s="133"/>
      <c r="AF212" s="155"/>
      <c r="AG212" s="138">
        <f>IF(AG207&lt;AG211,AG209,AG210)</f>
        <v>32.297239937773604</v>
      </c>
      <c r="AH212" s="133"/>
      <c r="AI212" s="155"/>
      <c r="AJ212" s="138">
        <f>IF(AJ207&lt;AJ211,AJ209,AJ210)</f>
        <v>49.247389579427463</v>
      </c>
      <c r="AK212" s="133"/>
      <c r="AL212" s="155"/>
      <c r="AM212" s="138">
        <f>IF(AM207&lt;AM211,AM209,AM210)</f>
        <v>73.72873425858684</v>
      </c>
      <c r="AN212" s="133"/>
      <c r="AO212" s="155"/>
      <c r="AP212" s="138">
        <f>IF(AP207&lt;AP211,AP209,AP210)</f>
        <v>111.67941122012347</v>
      </c>
      <c r="AQ212" s="133"/>
      <c r="AR212" s="155"/>
      <c r="AS212" s="138">
        <f>IF(AS207&lt;AS211,AS209,AS210)</f>
        <v>297.68827727006919</v>
      </c>
      <c r="AT212" s="133"/>
      <c r="AU212" s="155"/>
    </row>
    <row r="213" spans="13:47" ht="13" x14ac:dyDescent="0.3">
      <c r="M213" s="28"/>
      <c r="N213" s="28"/>
      <c r="O213" s="9" t="s">
        <v>194</v>
      </c>
      <c r="P213" s="1"/>
      <c r="Q213" s="1"/>
      <c r="R213" s="135"/>
      <c r="S213" s="132">
        <f>IF(R206&lt;=0,W_max,ABS(R$23-R212))</f>
        <v>1.9372105605541206</v>
      </c>
      <c r="T213" s="151">
        <f>R201</f>
        <v>14.521368547741144</v>
      </c>
      <c r="U213" s="135"/>
      <c r="V213" s="132">
        <f>IF(U206&lt;=0,W_max,ABS(U$23-U212))</f>
        <v>2.7324892120446367</v>
      </c>
      <c r="W213" s="151">
        <f>U201</f>
        <v>523.47276526146368</v>
      </c>
      <c r="X213" s="135"/>
      <c r="Y213" s="132">
        <f>IF(X206&lt;=0,W_max,ABS(X$23-X212))</f>
        <v>4.3136745932997185</v>
      </c>
      <c r="Z213" s="151">
        <f>X201</f>
        <v>1294.6104424808932</v>
      </c>
      <c r="AA213" s="135"/>
      <c r="AB213" s="132">
        <f>IF(AA206&lt;=0,W_max,ABS(AA$23-AA212))</f>
        <v>5.7617022556445558</v>
      </c>
      <c r="AC213" s="151">
        <f>AA201</f>
        <v>2521.5706985752677</v>
      </c>
      <c r="AD213" s="135"/>
      <c r="AE213" s="132">
        <f>IF(AD206&lt;=0,W_max,ABS(AD$23-AD212))</f>
        <v>6.3471673669834097</v>
      </c>
      <c r="AF213" s="151">
        <f>AD201</f>
        <v>4147.0554119059952</v>
      </c>
      <c r="AG213" s="135"/>
      <c r="AH213" s="132">
        <f>IF(AG206&lt;=0,W_max,ABS(AG$23-AG212))</f>
        <v>6.1027600622263947</v>
      </c>
      <c r="AI213" s="151">
        <f>AG201</f>
        <v>5816.5644811093262</v>
      </c>
      <c r="AJ213" s="135"/>
      <c r="AK213" s="132">
        <f>IF(AJ206&lt;=0,W_max,ABS(AJ$23-AJ212))</f>
        <v>3.2526104205725375</v>
      </c>
      <c r="AL213" s="151">
        <f>AJ201</f>
        <v>7385.493457084568</v>
      </c>
      <c r="AM213" s="135"/>
      <c r="AN213" s="132">
        <f>IF(AM206&lt;=0,W_max,ABS(AM$23-AM212))</f>
        <v>1.3287342585868345</v>
      </c>
      <c r="AO213" s="151">
        <f>AM201</f>
        <v>8660.0719100010647</v>
      </c>
      <c r="AP213" s="135"/>
      <c r="AQ213" s="132">
        <f>IF(AP206&lt;=0,W_max,ABS(AP$23-AP212))</f>
        <v>3.6794112201234697</v>
      </c>
      <c r="AR213" s="151">
        <f>AP201</f>
        <v>9661.7681098336398</v>
      </c>
      <c r="AS213" s="135"/>
      <c r="AT213" s="132">
        <f>IF(AS206&lt;=0,W_max,ABS(AS$23-AS212))</f>
        <v>117.68827727006919</v>
      </c>
      <c r="AU213" s="151">
        <f>AS201</f>
        <v>10779.328852961778</v>
      </c>
    </row>
    <row r="214" spans="13:47" ht="13" x14ac:dyDescent="0.25">
      <c r="M214" s="12"/>
      <c r="N214" s="12"/>
      <c r="O214" s="12"/>
      <c r="P214" s="12"/>
      <c r="Q214" s="12"/>
      <c r="R214" s="182"/>
      <c r="S214" s="22"/>
      <c r="T214" s="152"/>
      <c r="U214" s="157"/>
      <c r="V214" s="1"/>
      <c r="W214" s="147"/>
      <c r="X214" s="157"/>
      <c r="Y214" s="1"/>
      <c r="Z214" s="147"/>
      <c r="AA214" s="157"/>
      <c r="AB214" s="1"/>
      <c r="AC214" s="147"/>
      <c r="AD214" s="157"/>
      <c r="AE214" s="1"/>
      <c r="AF214" s="147"/>
      <c r="AG214" s="157"/>
      <c r="AH214" s="1"/>
      <c r="AI214" s="147"/>
      <c r="AJ214" s="157"/>
      <c r="AK214" s="1"/>
      <c r="AL214" s="147"/>
      <c r="AM214" s="157"/>
      <c r="AN214" s="1"/>
      <c r="AO214" s="147"/>
      <c r="AP214" s="157"/>
      <c r="AQ214" s="1"/>
      <c r="AR214" s="147"/>
      <c r="AS214" s="157"/>
      <c r="AT214" s="1"/>
      <c r="AU214" s="147"/>
    </row>
    <row r="215" spans="13:47" ht="14" x14ac:dyDescent="0.3">
      <c r="M215" s="23"/>
      <c r="N215" s="23"/>
      <c r="O215" s="23" t="s">
        <v>238</v>
      </c>
      <c r="P215" s="20"/>
      <c r="Q215" s="20"/>
      <c r="R215" s="18">
        <f>R201*1.02</f>
        <v>14.811795918695967</v>
      </c>
      <c r="S215" s="128" t="s">
        <v>185</v>
      </c>
      <c r="T215" s="153" t="s">
        <v>186</v>
      </c>
      <c r="U215" s="143">
        <f>U201*1.01</f>
        <v>528.70749291407833</v>
      </c>
      <c r="V215" s="128" t="s">
        <v>185</v>
      </c>
      <c r="W215" s="153" t="s">
        <v>186</v>
      </c>
      <c r="X215" s="143">
        <f>X201*1.01</f>
        <v>1307.5565469057021</v>
      </c>
      <c r="Y215" s="128" t="s">
        <v>185</v>
      </c>
      <c r="Z215" s="153" t="s">
        <v>186</v>
      </c>
      <c r="AA215" s="143">
        <f>AA201*1.01</f>
        <v>2546.7864055610203</v>
      </c>
      <c r="AB215" s="128" t="s">
        <v>185</v>
      </c>
      <c r="AC215" s="153" t="s">
        <v>186</v>
      </c>
      <c r="AD215" s="143">
        <f>AD201*1.01</f>
        <v>4188.5259660250549</v>
      </c>
      <c r="AE215" s="128" t="s">
        <v>185</v>
      </c>
      <c r="AF215" s="153" t="s">
        <v>186</v>
      </c>
      <c r="AG215" s="143">
        <f>AG201*1.01</f>
        <v>5874.7301259204196</v>
      </c>
      <c r="AH215" s="128" t="s">
        <v>185</v>
      </c>
      <c r="AI215" s="153" t="s">
        <v>186</v>
      </c>
      <c r="AJ215" s="143">
        <f>AJ201*1.01</f>
        <v>7459.3483916554142</v>
      </c>
      <c r="AK215" s="128" t="s">
        <v>185</v>
      </c>
      <c r="AL215" s="153" t="s">
        <v>186</v>
      </c>
      <c r="AM215" s="143">
        <f>AM201*1.01</f>
        <v>8746.6726291010746</v>
      </c>
      <c r="AN215" s="128" t="s">
        <v>185</v>
      </c>
      <c r="AO215" s="153" t="s">
        <v>186</v>
      </c>
      <c r="AP215" s="143">
        <f>AP201*1.01</f>
        <v>9758.3857909319759</v>
      </c>
      <c r="AQ215" s="128" t="s">
        <v>185</v>
      </c>
      <c r="AR215" s="153" t="s">
        <v>186</v>
      </c>
      <c r="AS215" s="143">
        <f>AS201*1.01</f>
        <v>10887.122141491396</v>
      </c>
      <c r="AT215" s="128" t="s">
        <v>185</v>
      </c>
      <c r="AU215" s="153" t="s">
        <v>186</v>
      </c>
    </row>
    <row r="216" spans="13:47" ht="14" x14ac:dyDescent="0.3">
      <c r="M216" s="12"/>
      <c r="N216" s="12"/>
      <c r="O216" s="20"/>
      <c r="P216" s="20"/>
      <c r="Q216" s="23"/>
      <c r="R216" s="139"/>
      <c r="S216" s="130" t="s">
        <v>228</v>
      </c>
      <c r="T216" s="154" t="s">
        <v>187</v>
      </c>
      <c r="U216" s="144"/>
      <c r="V216" s="130" t="s">
        <v>228</v>
      </c>
      <c r="W216" s="154" t="s">
        <v>187</v>
      </c>
      <c r="X216" s="144"/>
      <c r="Y216" s="130" t="s">
        <v>228</v>
      </c>
      <c r="Z216" s="154" t="s">
        <v>187</v>
      </c>
      <c r="AA216" s="144"/>
      <c r="AB216" s="130" t="s">
        <v>228</v>
      </c>
      <c r="AC216" s="154" t="s">
        <v>187</v>
      </c>
      <c r="AD216" s="144"/>
      <c r="AE216" s="130" t="s">
        <v>228</v>
      </c>
      <c r="AF216" s="154" t="s">
        <v>187</v>
      </c>
      <c r="AG216" s="144"/>
      <c r="AH216" s="130" t="s">
        <v>228</v>
      </c>
      <c r="AI216" s="154" t="s">
        <v>187</v>
      </c>
      <c r="AJ216" s="144"/>
      <c r="AK216" s="130" t="s">
        <v>228</v>
      </c>
      <c r="AL216" s="154" t="s">
        <v>187</v>
      </c>
      <c r="AM216" s="144"/>
      <c r="AN216" s="130" t="s">
        <v>228</v>
      </c>
      <c r="AO216" s="154" t="s">
        <v>187</v>
      </c>
      <c r="AP216" s="144"/>
      <c r="AQ216" s="130" t="s">
        <v>228</v>
      </c>
      <c r="AR216" s="154" t="s">
        <v>187</v>
      </c>
      <c r="AS216" s="144"/>
      <c r="AT216" s="130" t="s">
        <v>228</v>
      </c>
      <c r="AU216" s="154" t="s">
        <v>187</v>
      </c>
    </row>
    <row r="217" spans="13:47" x14ac:dyDescent="0.25">
      <c r="M217" s="20"/>
      <c r="N217" s="20"/>
      <c r="O217" s="7" t="s">
        <v>188</v>
      </c>
      <c r="P217" s="7"/>
      <c r="Q217" s="7"/>
      <c r="R217" s="181">
        <f>P_1_minW-(R215^2*R_up)+dpup_minQ</f>
        <v>100.52269925264721</v>
      </c>
      <c r="S217" s="132"/>
      <c r="T217" s="145"/>
      <c r="U217" s="138">
        <f>P_1_minW-(U215^2*R_up)+dpup_minQ</f>
        <v>100.41132019733547</v>
      </c>
      <c r="V217" s="132"/>
      <c r="W217" s="145"/>
      <c r="X217" s="138">
        <f>P_1_minW-(X215^2*R_up)+dpup_minQ</f>
        <v>99.841021980587456</v>
      </c>
      <c r="Y217" s="132"/>
      <c r="Z217" s="145"/>
      <c r="AA217" s="138">
        <f>P_1_minW-(AA215^2*R_up)+dpup_minQ</f>
        <v>97.936369216634802</v>
      </c>
      <c r="AB217" s="132"/>
      <c r="AC217" s="145"/>
      <c r="AD217" s="138">
        <f>P_1_minW-(AD215^2*R_up)+dpup_minQ</f>
        <v>93.527008859723935</v>
      </c>
      <c r="AE217" s="132"/>
      <c r="AF217" s="145"/>
      <c r="AG217" s="138">
        <f>P_1_minW-(AG215^2*R_up)+dpup_minQ</f>
        <v>86.760537175899316</v>
      </c>
      <c r="AH217" s="132"/>
      <c r="AI217" s="145"/>
      <c r="AJ217" s="138">
        <f>P_1_minW-(AJ215^2*R_up)+dpup_minQ</f>
        <v>78.33492910718671</v>
      </c>
      <c r="AK217" s="132"/>
      <c r="AL217" s="145"/>
      <c r="AM217" s="138">
        <f>P_1_minW-(AM215^2*R_up)+dpup_minQ</f>
        <v>70.015798712415616</v>
      </c>
      <c r="AN217" s="132"/>
      <c r="AO217" s="145"/>
      <c r="AP217" s="138">
        <f>P_1_minW-(AP215^2*R_up)+dpup_minQ</f>
        <v>62.55025490963525</v>
      </c>
      <c r="AQ217" s="132"/>
      <c r="AR217" s="145"/>
      <c r="AS217" s="138">
        <f>P_1_minW-(AS215^2*R_up)+dpup_minQ</f>
        <v>53.257774136649338</v>
      </c>
      <c r="AT217" s="132"/>
      <c r="AU217" s="145"/>
    </row>
    <row r="218" spans="13:47" x14ac:dyDescent="0.25">
      <c r="M218" s="20"/>
      <c r="N218" s="20"/>
      <c r="O218" s="7" t="s">
        <v>189</v>
      </c>
      <c r="P218" s="1"/>
      <c r="Q218" s="7"/>
      <c r="R218" s="181">
        <f>P_2_minW+(R215^2*R_dn)-dpdn_minQ</f>
        <v>50</v>
      </c>
      <c r="S218" s="132"/>
      <c r="T218" s="146"/>
      <c r="U218" s="138">
        <f>P_2_minW+(U215^2*R_dn)-dpdn_minQ</f>
        <v>50</v>
      </c>
      <c r="V218" s="132"/>
      <c r="W218" s="146"/>
      <c r="X218" s="138">
        <f>P_2_minW+(X215^2*R_dn)-dpdn_minQ</f>
        <v>50</v>
      </c>
      <c r="Y218" s="132"/>
      <c r="Z218" s="146"/>
      <c r="AA218" s="138">
        <f>P_2_minW+(AA215^2*R_dn)-dpdn_minQ</f>
        <v>50</v>
      </c>
      <c r="AB218" s="132"/>
      <c r="AC218" s="146"/>
      <c r="AD218" s="138">
        <f>P_2_minW+(AD215^2*R_dn)-dpdn_minQ</f>
        <v>50</v>
      </c>
      <c r="AE218" s="132"/>
      <c r="AF218" s="146"/>
      <c r="AG218" s="138">
        <f>P_2_minW+(AG215^2*R_dn)-dpdn_minQ</f>
        <v>50</v>
      </c>
      <c r="AH218" s="132"/>
      <c r="AI218" s="146"/>
      <c r="AJ218" s="138">
        <f>P_2_minW+(AJ215^2*R_dn)-dpdn_minQ</f>
        <v>50</v>
      </c>
      <c r="AK218" s="132"/>
      <c r="AL218" s="146"/>
      <c r="AM218" s="138">
        <f>P_2_minW+(AM215^2*R_dn)-dpdn_minQ</f>
        <v>50</v>
      </c>
      <c r="AN218" s="132"/>
      <c r="AO218" s="146"/>
      <c r="AP218" s="138">
        <f>P_2_minW+(AP215^2*R_dn)-dpdn_minQ</f>
        <v>50</v>
      </c>
      <c r="AQ218" s="132"/>
      <c r="AR218" s="146"/>
      <c r="AS218" s="138">
        <f>P_2_minW+(AS215^2*R_dn)-dpdn_minQ</f>
        <v>50</v>
      </c>
      <c r="AT218" s="132"/>
      <c r="AU218" s="146"/>
    </row>
    <row r="219" spans="13:47" x14ac:dyDescent="0.25">
      <c r="M219" s="20"/>
      <c r="N219" s="20"/>
      <c r="O219" s="7" t="s">
        <v>234</v>
      </c>
      <c r="P219" s="1"/>
      <c r="Q219" s="7"/>
      <c r="R219" s="179">
        <f>'Valve Sizing'!G$8*R217/P_1_maxW</f>
        <v>0.48490360423126705</v>
      </c>
      <c r="S219" s="132"/>
      <c r="T219" s="146"/>
      <c r="U219" s="143">
        <f>'Valve Sizing'!$G$8*U217/P_1_maxW</f>
        <v>0.48436633149826169</v>
      </c>
      <c r="V219" s="132"/>
      <c r="W219" s="146"/>
      <c r="X219" s="143">
        <f>'Valve Sizing'!$G$8*X217/P_1_maxW</f>
        <v>0.48161531443600858</v>
      </c>
      <c r="Y219" s="132"/>
      <c r="Z219" s="146"/>
      <c r="AA219" s="143">
        <f>'Valve Sizing'!$G$8*AA217/P_1_maxW</f>
        <v>0.47242760860522459</v>
      </c>
      <c r="AB219" s="132"/>
      <c r="AC219" s="146"/>
      <c r="AD219" s="143">
        <f>'Valve Sizing'!$G$8*AD217/P_1_maxW</f>
        <v>0.45115763928171149</v>
      </c>
      <c r="AE219" s="132"/>
      <c r="AF219" s="146"/>
      <c r="AG219" s="143">
        <f>'Valve Sizing'!$G$8*AG217/P_1_maxW</f>
        <v>0.41851738457497206</v>
      </c>
      <c r="AH219" s="132"/>
      <c r="AI219" s="146"/>
      <c r="AJ219" s="143">
        <f>'Valve Sizing'!$G$8*AJ217/P_1_maxW</f>
        <v>0.3778737513385596</v>
      </c>
      <c r="AK219" s="132"/>
      <c r="AL219" s="146"/>
      <c r="AM219" s="143">
        <f>'Valve Sizing'!$G$8*AM217/P_1_maxW</f>
        <v>0.33774374744405955</v>
      </c>
      <c r="AN219" s="132"/>
      <c r="AO219" s="146"/>
      <c r="AP219" s="143">
        <f>'Valve Sizing'!$G$8*AP217/P_1_maxW</f>
        <v>0.30173129329759707</v>
      </c>
      <c r="AQ219" s="132"/>
      <c r="AR219" s="146"/>
      <c r="AS219" s="143">
        <f>'Valve Sizing'!$G$8*AS217/P_1_maxW</f>
        <v>0.25690602047294242</v>
      </c>
      <c r="AT219" s="132"/>
      <c r="AU219" s="146"/>
    </row>
    <row r="220" spans="13:47" x14ac:dyDescent="0.25">
      <c r="M220" s="20"/>
      <c r="N220" s="20"/>
      <c r="O220" s="7" t="s">
        <v>190</v>
      </c>
      <c r="P220" s="1"/>
      <c r="Q220" s="7"/>
      <c r="R220" s="181">
        <f>R217-R218</f>
        <v>50.522699252647215</v>
      </c>
      <c r="S220" s="132"/>
      <c r="T220" s="146"/>
      <c r="U220" s="138">
        <f>U217-U218</f>
        <v>50.411320197335471</v>
      </c>
      <c r="V220" s="132"/>
      <c r="W220" s="146"/>
      <c r="X220" s="138">
        <f>X217-X218</f>
        <v>49.841021980587456</v>
      </c>
      <c r="Y220" s="132"/>
      <c r="Z220" s="146"/>
      <c r="AA220" s="138">
        <f>AA217-AA218</f>
        <v>47.936369216634802</v>
      </c>
      <c r="AB220" s="132"/>
      <c r="AC220" s="146"/>
      <c r="AD220" s="138">
        <f>AD217-AD218</f>
        <v>43.527008859723935</v>
      </c>
      <c r="AE220" s="132"/>
      <c r="AF220" s="146"/>
      <c r="AG220" s="138">
        <f>AG217-AG218</f>
        <v>36.760537175899316</v>
      </c>
      <c r="AH220" s="132"/>
      <c r="AI220" s="146"/>
      <c r="AJ220" s="138">
        <f>AJ217-AJ218</f>
        <v>28.33492910718671</v>
      </c>
      <c r="AK220" s="132"/>
      <c r="AL220" s="146"/>
      <c r="AM220" s="138">
        <f>AM217-AM218</f>
        <v>20.015798712415616</v>
      </c>
      <c r="AN220" s="132"/>
      <c r="AO220" s="146"/>
      <c r="AP220" s="138">
        <f>AP217-AP218</f>
        <v>12.55025490963525</v>
      </c>
      <c r="AQ220" s="132"/>
      <c r="AR220" s="146"/>
      <c r="AS220" s="138">
        <f>AS217-AS218</f>
        <v>3.2577741366493385</v>
      </c>
      <c r="AT220" s="132"/>
      <c r="AU220" s="146"/>
    </row>
    <row r="221" spans="13:47" ht="14.5" x14ac:dyDescent="0.35">
      <c r="M221" s="27"/>
      <c r="N221" s="27"/>
      <c r="O221" s="2" t="s">
        <v>191</v>
      </c>
      <c r="P221" s="10"/>
      <c r="Q221" s="2"/>
      <c r="R221" s="181">
        <f>R220/R217</f>
        <v>0.50259990657101983</v>
      </c>
      <c r="S221" s="132"/>
      <c r="T221" s="146"/>
      <c r="U221" s="138">
        <f>U220/U217</f>
        <v>0.50204817642337096</v>
      </c>
      <c r="V221" s="132"/>
      <c r="W221" s="146"/>
      <c r="X221" s="138">
        <f>X220/X217</f>
        <v>0.49920384419019942</v>
      </c>
      <c r="Y221" s="132"/>
      <c r="Z221" s="146"/>
      <c r="AA221" s="138">
        <f>AA220/AA217</f>
        <v>0.48946443083467567</v>
      </c>
      <c r="AB221" s="132"/>
      <c r="AC221" s="146"/>
      <c r="AD221" s="138">
        <f>AD220/AD217</f>
        <v>0.46539507026262034</v>
      </c>
      <c r="AE221" s="132"/>
      <c r="AF221" s="146"/>
      <c r="AG221" s="138">
        <f>AG220/AG217</f>
        <v>0.42370112464115545</v>
      </c>
      <c r="AH221" s="132"/>
      <c r="AI221" s="146"/>
      <c r="AJ221" s="138">
        <f>AJ220/AJ217</f>
        <v>0.36171513053156218</v>
      </c>
      <c r="AK221" s="132"/>
      <c r="AL221" s="146"/>
      <c r="AM221" s="138">
        <f>AM220/AM217</f>
        <v>0.28587546068893588</v>
      </c>
      <c r="AN221" s="132"/>
      <c r="AO221" s="146"/>
      <c r="AP221" s="138">
        <f>AP220/AP217</f>
        <v>0.20064274602503668</v>
      </c>
      <c r="AQ221" s="132"/>
      <c r="AR221" s="146"/>
      <c r="AS221" s="138">
        <f>AS220/AS217</f>
        <v>6.1169926634382213E-2</v>
      </c>
      <c r="AT221" s="132"/>
      <c r="AU221" s="146"/>
    </row>
    <row r="222" spans="13:47" x14ac:dyDescent="0.25">
      <c r="M222" s="27"/>
      <c r="N222" s="27"/>
      <c r="O222" s="2" t="s">
        <v>26</v>
      </c>
      <c r="P222" s="7">
        <v>12</v>
      </c>
      <c r="Q222" s="2"/>
      <c r="R222" s="181">
        <f>1-R221/(3*F_GAMMA*R$29)</f>
        <v>0.73824020930081935</v>
      </c>
      <c r="S222" s="133"/>
      <c r="T222" s="146"/>
      <c r="U222" s="138">
        <f>1-U221/(3*F_GAMMA*U$29)</f>
        <v>0.73858512640485929</v>
      </c>
      <c r="V222" s="133"/>
      <c r="W222" s="146"/>
      <c r="X222" s="138">
        <f>1-X221/(3*F_GAMMA*X$29)</f>
        <v>0.73616673979884983</v>
      </c>
      <c r="Y222" s="133"/>
      <c r="Z222" s="146"/>
      <c r="AA222" s="138">
        <f>1-AA221/(3*F_GAMMA*AA$29)</f>
        <v>0.73776715464594544</v>
      </c>
      <c r="AB222" s="133"/>
      <c r="AC222" s="146"/>
      <c r="AD222" s="138">
        <f>1-AD221/(3*F_GAMMA*AD$29)</f>
        <v>0.74382612044040719</v>
      </c>
      <c r="AE222" s="133"/>
      <c r="AF222" s="146"/>
      <c r="AG222" s="138">
        <f>1-AG221/(3*F_GAMMA*AG$29)</f>
        <v>0.7534728504644721</v>
      </c>
      <c r="AH222" s="133"/>
      <c r="AI222" s="146"/>
      <c r="AJ222" s="138">
        <f>1-AJ221/(3*F_GAMMA*AJ$29)</f>
        <v>0.77501424280138087</v>
      </c>
      <c r="AK222" s="133"/>
      <c r="AL222" s="146"/>
      <c r="AM222" s="138">
        <f>1-AM221/(3*F_GAMMA*AM$29)</f>
        <v>0.80572044721373071</v>
      </c>
      <c r="AN222" s="133"/>
      <c r="AO222" s="146"/>
      <c r="AP222" s="138">
        <f>1-AP221/(3*F_GAMMA*AP$29)</f>
        <v>0.88731666640804341</v>
      </c>
      <c r="AQ222" s="133"/>
      <c r="AR222" s="146"/>
      <c r="AS222" s="138">
        <f>1-AS221/(3*F_GAMMA*AS$29)</f>
        <v>0.9478480185054744</v>
      </c>
      <c r="AT222" s="133"/>
      <c r="AU222" s="146"/>
    </row>
    <row r="223" spans="13:47" x14ac:dyDescent="0.25">
      <c r="M223" s="27"/>
      <c r="N223" s="27"/>
      <c r="O223" s="2" t="s">
        <v>71</v>
      </c>
      <c r="P223" s="85">
        <v>5</v>
      </c>
      <c r="Q223" s="2"/>
      <c r="R223" s="179">
        <f>R215/((N_6*R$27*R222)*SQRT(R221*R217*R219))</f>
        <v>6.4045230710675929E-2</v>
      </c>
      <c r="S223" s="133"/>
      <c r="T223" s="146"/>
      <c r="U223" s="143">
        <f>U215/((N_6*U$27*U222)*SQRT(U221*U217*U219))</f>
        <v>2.2902432465593026</v>
      </c>
      <c r="V223" s="133"/>
      <c r="W223" s="146"/>
      <c r="X223" s="143">
        <f>X215/((N_6*X$27*X222)*SQRT(X221*X217*X219))</f>
        <v>5.7440711443247787</v>
      </c>
      <c r="Y223" s="133"/>
      <c r="Z223" s="146"/>
      <c r="AA223" s="143">
        <f>AA215/((N_6*AA$27*AA222)*SQRT(AA221*AA217*AA219))</f>
        <v>11.559597743290654</v>
      </c>
      <c r="AB223" s="133"/>
      <c r="AC223" s="146"/>
      <c r="AD223" s="143">
        <f>AD215/((N_6*AD$27*AD222)*SQRT(AD221*AD217*AD219))</f>
        <v>20.490880278818008</v>
      </c>
      <c r="AE223" s="133"/>
      <c r="AF223" s="146"/>
      <c r="AG223" s="143">
        <f>AG215/((N_6*AG$27*AG222)*SQRT(AG221*AG217*AG219))</f>
        <v>32.745962275876842</v>
      </c>
      <c r="AH223" s="133"/>
      <c r="AI223" s="146"/>
      <c r="AJ223" s="143">
        <f>AJ215/((N_6*AJ$27*AJ222)*SQRT(AJ221*AJ217*AJ219))</f>
        <v>50.118893720357526</v>
      </c>
      <c r="AK223" s="133"/>
      <c r="AL223" s="146"/>
      <c r="AM223" s="143">
        <f>AM215/((N_6*AM$27*AM222)*SQRT(AM221*AM217*AM219))</f>
        <v>75.510492972712896</v>
      </c>
      <c r="AN223" s="133"/>
      <c r="AO223" s="146"/>
      <c r="AP223" s="143">
        <f>AP215/((N_6*AP$27*AP222)*SQRT(AP221*AP217*AP219))</f>
        <v>116.10367242977993</v>
      </c>
      <c r="AQ223" s="133"/>
      <c r="AR223" s="146"/>
      <c r="AS223" s="143">
        <f>AS215/((N_6*AS$27*AS222)*SQRT(AS221*AS217*AS219))</f>
        <v>338.92003585254281</v>
      </c>
      <c r="AT223" s="133"/>
      <c r="AU223" s="146"/>
    </row>
    <row r="224" spans="13:47" x14ac:dyDescent="0.25">
      <c r="M224" s="27"/>
      <c r="N224" s="27"/>
      <c r="O224" s="2" t="s">
        <v>73</v>
      </c>
      <c r="P224" s="85">
        <v>5</v>
      </c>
      <c r="Q224" s="2"/>
      <c r="R224" s="179">
        <f>R215/((N_6*R$27*0.667)*SQRT(R225*R217*R219))</f>
        <v>6.281606845953415E-2</v>
      </c>
      <c r="S224" s="133"/>
      <c r="T224" s="155"/>
      <c r="U224" s="143">
        <f>U215/((N_6*U$27*0.667)*SQRT(U225*U217*U219))</f>
        <v>2.2458570468011216</v>
      </c>
      <c r="V224" s="133"/>
      <c r="W224" s="155"/>
      <c r="X224" s="143">
        <f>X215/((N_6*X$27*0.667)*SQRT(X225*X217*X219))</f>
        <v>5.6402138129470085</v>
      </c>
      <c r="Y224" s="133"/>
      <c r="Z224" s="155"/>
      <c r="AA224" s="143">
        <f>AA215/((N_6*AA$27*0.667)*SQRT(AA225*AA217*AA219))</f>
        <v>11.340713400109603</v>
      </c>
      <c r="AB224" s="133"/>
      <c r="AC224" s="155"/>
      <c r="AD224" s="143">
        <f>AD215/((N_6*AD$27*0.667)*SQRT(AD225*AD217*AD219))</f>
        <v>20.032458750689987</v>
      </c>
      <c r="AE224" s="133"/>
      <c r="AF224" s="155"/>
      <c r="AG224" s="143">
        <f>AG215/((N_6*AG$27*0.667)*SQRT(AG225*AG217*AG219))</f>
        <v>31.812114427012776</v>
      </c>
      <c r="AH224" s="133"/>
      <c r="AI224" s="155"/>
      <c r="AJ224" s="143">
        <f>AJ215/((N_6*AJ$27*0.667)*SQRT(AJ225*AJ217*AJ219))</f>
        <v>47.84355765217218</v>
      </c>
      <c r="AK224" s="133"/>
      <c r="AL224" s="155"/>
      <c r="AM224" s="143">
        <f>AM215/((N_6*AM$27*0.667)*SQRT(AM225*AM217*AM219))</f>
        <v>69.636996550145113</v>
      </c>
      <c r="AN224" s="133"/>
      <c r="AO224" s="155"/>
      <c r="AP224" s="143">
        <f>AP215/((N_6*AP$27*0.667)*SQRT(AP225*AP217*AP219))</f>
        <v>89.802666557421134</v>
      </c>
      <c r="AQ224" s="133"/>
      <c r="AR224" s="155"/>
      <c r="AS224" s="143">
        <f>AS215/((N_6*AS$27*0.667)*SQRT(AS225*AS217*AS219))</f>
        <v>190.50489995894975</v>
      </c>
      <c r="AT224" s="133"/>
      <c r="AU224" s="155"/>
    </row>
    <row r="225" spans="13:47" ht="15.5" x14ac:dyDescent="0.4">
      <c r="M225" s="27"/>
      <c r="N225" s="27"/>
      <c r="O225" s="2" t="s">
        <v>192</v>
      </c>
      <c r="P225" s="85">
        <v>10</v>
      </c>
      <c r="Q225" s="2"/>
      <c r="R225" s="181">
        <f>F_GAMMA*R$29</f>
        <v>0.64002688015162901</v>
      </c>
      <c r="S225" s="133"/>
      <c r="T225" s="155"/>
      <c r="U225" s="138">
        <f>F_GAMMA*U$29</f>
        <v>0.64016782916606918</v>
      </c>
      <c r="V225" s="133"/>
      <c r="W225" s="155"/>
      <c r="X225" s="138">
        <f>F_GAMMA*X$29</f>
        <v>0.6307062319203669</v>
      </c>
      <c r="Y225" s="133"/>
      <c r="Z225" s="155"/>
      <c r="AA225" s="138">
        <f>F_GAMMA*AA$29</f>
        <v>0.62217534213893466</v>
      </c>
      <c r="AB225" s="133"/>
      <c r="AC225" s="155"/>
      <c r="AD225" s="138">
        <f>F_GAMMA*AD$29</f>
        <v>0.60557184969146072</v>
      </c>
      <c r="AE225" s="133"/>
      <c r="AF225" s="155"/>
      <c r="AG225" s="138">
        <f>F_GAMMA*AG$29</f>
        <v>0.57289312142622573</v>
      </c>
      <c r="AH225" s="133"/>
      <c r="AI225" s="155"/>
      <c r="AJ225" s="138">
        <f>F_GAMMA*AJ$29</f>
        <v>0.53590819116049981</v>
      </c>
      <c r="AK225" s="133"/>
      <c r="AL225" s="155"/>
      <c r="AM225" s="138">
        <f>F_GAMMA*AM$29</f>
        <v>0.49048815926850342</v>
      </c>
      <c r="AN225" s="133"/>
      <c r="AO225" s="155"/>
      <c r="AP225" s="138">
        <f>F_GAMMA*AP$29</f>
        <v>0.59352979016280105</v>
      </c>
      <c r="AQ225" s="133"/>
      <c r="AR225" s="155"/>
      <c r="AS225" s="138">
        <f>F_GAMMA*AS$29</f>
        <v>0.39097221161068291</v>
      </c>
      <c r="AT225" s="133"/>
      <c r="AU225" s="155"/>
    </row>
    <row r="226" spans="13:47" x14ac:dyDescent="0.25">
      <c r="M226" s="27"/>
      <c r="N226" s="27"/>
      <c r="O226" s="2" t="s">
        <v>193</v>
      </c>
      <c r="P226" s="134"/>
      <c r="Q226" s="2"/>
      <c r="R226" s="181">
        <f>IF(R221&lt;R225,R223,R224)</f>
        <v>6.4045230710675929E-2</v>
      </c>
      <c r="S226" s="133"/>
      <c r="T226" s="155"/>
      <c r="U226" s="138">
        <f>IF(U221&lt;U225,U223,U224)</f>
        <v>2.2902432465593026</v>
      </c>
      <c r="V226" s="133"/>
      <c r="W226" s="155"/>
      <c r="X226" s="138">
        <f>IF(X221&lt;X225,X223,X224)</f>
        <v>5.7440711443247787</v>
      </c>
      <c r="Y226" s="133"/>
      <c r="Z226" s="155"/>
      <c r="AA226" s="138">
        <f>IF(AA221&lt;AA225,AA223,AA224)</f>
        <v>11.559597743290654</v>
      </c>
      <c r="AB226" s="133"/>
      <c r="AC226" s="155"/>
      <c r="AD226" s="138">
        <f>IF(AD221&lt;AD225,AD223,AD224)</f>
        <v>20.490880278818008</v>
      </c>
      <c r="AE226" s="133"/>
      <c r="AF226" s="155"/>
      <c r="AG226" s="138">
        <f>IF(AG221&lt;AG225,AG223,AG224)</f>
        <v>32.745962275876842</v>
      </c>
      <c r="AH226" s="133"/>
      <c r="AI226" s="155"/>
      <c r="AJ226" s="138">
        <f>IF(AJ221&lt;AJ225,AJ223,AJ224)</f>
        <v>50.118893720357526</v>
      </c>
      <c r="AK226" s="133"/>
      <c r="AL226" s="155"/>
      <c r="AM226" s="138">
        <f>IF(AM221&lt;AM225,AM223,AM224)</f>
        <v>75.510492972712896</v>
      </c>
      <c r="AN226" s="133"/>
      <c r="AO226" s="155"/>
      <c r="AP226" s="138">
        <f>IF(AP221&lt;AP225,AP223,AP224)</f>
        <v>116.10367242977993</v>
      </c>
      <c r="AQ226" s="133"/>
      <c r="AR226" s="155"/>
      <c r="AS226" s="138">
        <f>IF(AS221&lt;AS225,AS223,AS224)</f>
        <v>338.92003585254281</v>
      </c>
      <c r="AT226" s="133"/>
      <c r="AU226" s="155"/>
    </row>
    <row r="227" spans="13:47" ht="13" x14ac:dyDescent="0.3">
      <c r="M227" s="28"/>
      <c r="N227" s="28"/>
      <c r="O227" s="9" t="s">
        <v>194</v>
      </c>
      <c r="P227" s="1"/>
      <c r="Q227" s="1"/>
      <c r="R227" s="135"/>
      <c r="S227" s="132">
        <f>IF(R220&lt;=0,W_max,ABS(R$23-R226))</f>
        <v>1.935954769289324</v>
      </c>
      <c r="T227" s="151">
        <f>R215</f>
        <v>14.811795918695967</v>
      </c>
      <c r="U227" s="135"/>
      <c r="V227" s="132">
        <f>IF(U220&lt;=0,W_max,ABS(U$23-U226))</f>
        <v>2.7097567534406974</v>
      </c>
      <c r="W227" s="151">
        <f>U215</f>
        <v>528.70749291407833</v>
      </c>
      <c r="X227" s="135"/>
      <c r="Y227" s="132">
        <f>IF(X220&lt;=0,W_max,ABS(X$23-X226))</f>
        <v>4.2559288556752213</v>
      </c>
      <c r="Z227" s="151">
        <f>X215</f>
        <v>1307.5565469057021</v>
      </c>
      <c r="AA227" s="135"/>
      <c r="AB227" s="132">
        <f>IF(AA220&lt;=0,W_max,ABS(AA$23-AA226))</f>
        <v>5.6404022567093453</v>
      </c>
      <c r="AC227" s="151">
        <f>AA215</f>
        <v>2546.7864055610203</v>
      </c>
      <c r="AD227" s="135"/>
      <c r="AE227" s="132">
        <f>IF(AD220&lt;=0,W_max,ABS(AD$23-AD226))</f>
        <v>6.1091197211819939</v>
      </c>
      <c r="AF227" s="151">
        <f>AD215</f>
        <v>4188.5259660250549</v>
      </c>
      <c r="AG227" s="135"/>
      <c r="AH227" s="132">
        <f>IF(AG220&lt;=0,W_max,ABS(AG$23-AG226))</f>
        <v>5.6540377241231567</v>
      </c>
      <c r="AI227" s="151">
        <f>AG215</f>
        <v>5874.7301259204196</v>
      </c>
      <c r="AJ227" s="135"/>
      <c r="AK227" s="132">
        <f>IF(AJ220&lt;=0,W_max,ABS(AJ$23-AJ226))</f>
        <v>2.3811062796424736</v>
      </c>
      <c r="AL227" s="151">
        <f>AJ215</f>
        <v>7459.3483916554142</v>
      </c>
      <c r="AM227" s="135"/>
      <c r="AN227" s="132">
        <f>IF(AM220&lt;=0,W_max,ABS(AM$23-AM226))</f>
        <v>3.1104929727128905</v>
      </c>
      <c r="AO227" s="151">
        <f>AM215</f>
        <v>8746.6726291010746</v>
      </c>
      <c r="AP227" s="135"/>
      <c r="AQ227" s="132">
        <f>IF(AP220&lt;=0,W_max,ABS(AP$23-AP226))</f>
        <v>8.1036724297799339</v>
      </c>
      <c r="AR227" s="151">
        <f>AP215</f>
        <v>9758.3857909319759</v>
      </c>
      <c r="AS227" s="135"/>
      <c r="AT227" s="132">
        <f>IF(AS220&lt;=0,W_max,ABS(AS$23-AS226))</f>
        <v>158.92003585254281</v>
      </c>
      <c r="AU227" s="151">
        <f>AS215</f>
        <v>10887.122141491396</v>
      </c>
    </row>
    <row r="228" spans="13:47" ht="13" x14ac:dyDescent="0.25">
      <c r="M228" s="12"/>
      <c r="N228" s="12"/>
      <c r="O228" s="2"/>
      <c r="P228" s="85"/>
      <c r="Q228" s="2"/>
      <c r="R228" s="18"/>
      <c r="S228" s="150"/>
      <c r="T228" s="152"/>
      <c r="U228" s="157"/>
      <c r="V228" s="1"/>
      <c r="W228" s="147"/>
      <c r="X228" s="157"/>
      <c r="Y228" s="1"/>
      <c r="Z228" s="147"/>
      <c r="AA228" s="157"/>
      <c r="AB228" s="1"/>
      <c r="AC228" s="147"/>
      <c r="AD228" s="157"/>
      <c r="AE228" s="1"/>
      <c r="AF228" s="147"/>
      <c r="AG228" s="157"/>
      <c r="AH228" s="1"/>
      <c r="AI228" s="147"/>
      <c r="AJ228" s="157"/>
      <c r="AK228" s="1"/>
      <c r="AL228" s="147"/>
      <c r="AM228" s="157"/>
      <c r="AN228" s="1"/>
      <c r="AO228" s="147"/>
      <c r="AP228" s="157"/>
      <c r="AQ228" s="1"/>
      <c r="AR228" s="147"/>
      <c r="AS228" s="157"/>
      <c r="AT228" s="1"/>
      <c r="AU228" s="147"/>
    </row>
    <row r="229" spans="13:47" ht="14" x14ac:dyDescent="0.3">
      <c r="M229" s="23"/>
      <c r="N229" s="23"/>
      <c r="O229" s="23" t="s">
        <v>238</v>
      </c>
      <c r="P229" s="20"/>
      <c r="Q229" s="20"/>
      <c r="R229" s="181">
        <f>R215*1.02</f>
        <v>15.108031837069888</v>
      </c>
      <c r="S229" s="128" t="s">
        <v>185</v>
      </c>
      <c r="T229" s="153" t="s">
        <v>186</v>
      </c>
      <c r="U229" s="143">
        <f>U215*1.01</f>
        <v>533.9945678432191</v>
      </c>
      <c r="V229" s="128" t="s">
        <v>185</v>
      </c>
      <c r="W229" s="153" t="s">
        <v>186</v>
      </c>
      <c r="X229" s="143">
        <f>X215*1.01</f>
        <v>1320.6321123747591</v>
      </c>
      <c r="Y229" s="128" t="s">
        <v>185</v>
      </c>
      <c r="Z229" s="153" t="s">
        <v>186</v>
      </c>
      <c r="AA229" s="143">
        <f>AA215*1.01</f>
        <v>2572.2542696166306</v>
      </c>
      <c r="AB229" s="128" t="s">
        <v>185</v>
      </c>
      <c r="AC229" s="153" t="s">
        <v>186</v>
      </c>
      <c r="AD229" s="143">
        <f>AD215*1.01</f>
        <v>4230.4112256853059</v>
      </c>
      <c r="AE229" s="128" t="s">
        <v>185</v>
      </c>
      <c r="AF229" s="153" t="s">
        <v>186</v>
      </c>
      <c r="AG229" s="143">
        <f>AG215*1.01</f>
        <v>5933.4774271796241</v>
      </c>
      <c r="AH229" s="128" t="s">
        <v>185</v>
      </c>
      <c r="AI229" s="153" t="s">
        <v>186</v>
      </c>
      <c r="AJ229" s="143">
        <f>AJ215*1.01</f>
        <v>7533.941875571968</v>
      </c>
      <c r="AK229" s="128" t="s">
        <v>185</v>
      </c>
      <c r="AL229" s="153" t="s">
        <v>186</v>
      </c>
      <c r="AM229" s="143">
        <f>AM215*1.01</f>
        <v>8834.1393553920861</v>
      </c>
      <c r="AN229" s="128" t="s">
        <v>185</v>
      </c>
      <c r="AO229" s="153" t="s">
        <v>186</v>
      </c>
      <c r="AP229" s="143">
        <f>AP215*1.01</f>
        <v>9855.9696488412956</v>
      </c>
      <c r="AQ229" s="128" t="s">
        <v>185</v>
      </c>
      <c r="AR229" s="153" t="s">
        <v>186</v>
      </c>
      <c r="AS229" s="143">
        <f>AS215*1.01</f>
        <v>10995.993362906311</v>
      </c>
      <c r="AT229" s="128" t="s">
        <v>185</v>
      </c>
      <c r="AU229" s="153" t="s">
        <v>186</v>
      </c>
    </row>
    <row r="230" spans="13:47" ht="14" x14ac:dyDescent="0.3">
      <c r="M230" s="12"/>
      <c r="N230" s="12"/>
      <c r="O230" s="20"/>
      <c r="P230" s="20"/>
      <c r="Q230" s="23"/>
      <c r="R230" s="139"/>
      <c r="S230" s="130" t="s">
        <v>228</v>
      </c>
      <c r="T230" s="154" t="s">
        <v>187</v>
      </c>
      <c r="U230" s="144"/>
      <c r="V230" s="130" t="s">
        <v>228</v>
      </c>
      <c r="W230" s="154" t="s">
        <v>187</v>
      </c>
      <c r="X230" s="144"/>
      <c r="Y230" s="130" t="s">
        <v>228</v>
      </c>
      <c r="Z230" s="154" t="s">
        <v>187</v>
      </c>
      <c r="AA230" s="144"/>
      <c r="AB230" s="130" t="s">
        <v>228</v>
      </c>
      <c r="AC230" s="154" t="s">
        <v>187</v>
      </c>
      <c r="AD230" s="144"/>
      <c r="AE230" s="130" t="s">
        <v>228</v>
      </c>
      <c r="AF230" s="154" t="s">
        <v>187</v>
      </c>
      <c r="AG230" s="144"/>
      <c r="AH230" s="130" t="s">
        <v>228</v>
      </c>
      <c r="AI230" s="154" t="s">
        <v>187</v>
      </c>
      <c r="AJ230" s="144"/>
      <c r="AK230" s="130" t="s">
        <v>228</v>
      </c>
      <c r="AL230" s="154" t="s">
        <v>187</v>
      </c>
      <c r="AM230" s="144"/>
      <c r="AN230" s="130" t="s">
        <v>228</v>
      </c>
      <c r="AO230" s="154" t="s">
        <v>187</v>
      </c>
      <c r="AP230" s="144"/>
      <c r="AQ230" s="130" t="s">
        <v>228</v>
      </c>
      <c r="AR230" s="154" t="s">
        <v>187</v>
      </c>
      <c r="AS230" s="144"/>
      <c r="AT230" s="130" t="s">
        <v>228</v>
      </c>
      <c r="AU230" s="154" t="s">
        <v>187</v>
      </c>
    </row>
    <row r="231" spans="13:47" x14ac:dyDescent="0.25">
      <c r="M231" s="20"/>
      <c r="N231" s="20"/>
      <c r="O231" s="7" t="s">
        <v>188</v>
      </c>
      <c r="P231" s="7"/>
      <c r="Q231" s="7"/>
      <c r="R231" s="181">
        <f>P_1_minW-(R229^2*R_up)+dpup_minQ</f>
        <v>100.52269571829039</v>
      </c>
      <c r="S231" s="132"/>
      <c r="T231" s="145"/>
      <c r="U231" s="138">
        <f>P_1_minW-(U229^2*R_up)+dpup_minQ</f>
        <v>100.40907971989371</v>
      </c>
      <c r="V231" s="132"/>
      <c r="W231" s="145"/>
      <c r="X231" s="138">
        <f>P_1_minW-(X229^2*R_up)+dpup_minQ</f>
        <v>99.827318508989052</v>
      </c>
      <c r="Y231" s="132"/>
      <c r="Z231" s="145"/>
      <c r="AA231" s="138">
        <f>P_1_minW-(AA229^2*R_up)+dpup_minQ</f>
        <v>97.884382224480945</v>
      </c>
      <c r="AB231" s="132"/>
      <c r="AC231" s="145"/>
      <c r="AD231" s="138">
        <f>P_1_minW-(AD229^2*R_up)+dpup_minQ</f>
        <v>93.386393724396171</v>
      </c>
      <c r="AE231" s="132"/>
      <c r="AF231" s="145"/>
      <c r="AG231" s="138">
        <f>P_1_minW-(AG229^2*R_up)+dpup_minQ</f>
        <v>86.483915959726673</v>
      </c>
      <c r="AH231" s="132"/>
      <c r="AI231" s="145"/>
      <c r="AJ231" s="138">
        <f>P_1_minW-(AJ229^2*R_up)+dpup_minQ</f>
        <v>77.88895316883297</v>
      </c>
      <c r="AK231" s="132"/>
      <c r="AL231" s="145"/>
      <c r="AM231" s="138">
        <f>P_1_minW-(AM229^2*R_up)+dpup_minQ</f>
        <v>69.402608253126957</v>
      </c>
      <c r="AN231" s="132"/>
      <c r="AO231" s="145"/>
      <c r="AP231" s="138">
        <f>P_1_minW-(AP229^2*R_up)+dpup_minQ</f>
        <v>61.78700701991071</v>
      </c>
      <c r="AQ231" s="132"/>
      <c r="AR231" s="145"/>
      <c r="AS231" s="138">
        <f>P_1_minW-(AS229^2*R_up)+dpup_minQ</f>
        <v>52.307747383387778</v>
      </c>
      <c r="AT231" s="132"/>
      <c r="AU231" s="145"/>
    </row>
    <row r="232" spans="13:47" x14ac:dyDescent="0.25">
      <c r="M232" s="20"/>
      <c r="N232" s="20"/>
      <c r="O232" s="7" t="s">
        <v>189</v>
      </c>
      <c r="P232" s="1"/>
      <c r="Q232" s="7"/>
      <c r="R232" s="181">
        <f>P_2_minW+(R229^2*R_dn)-dpdn_minQ</f>
        <v>50</v>
      </c>
      <c r="S232" s="132"/>
      <c r="T232" s="146"/>
      <c r="U232" s="138">
        <f>P_2_minW+(U229^2*R_dn)-dpdn_minQ</f>
        <v>50</v>
      </c>
      <c r="V232" s="132"/>
      <c r="W232" s="146"/>
      <c r="X232" s="138">
        <f>P_2_minW+(X229^2*R_dn)-dpdn_minQ</f>
        <v>50</v>
      </c>
      <c r="Y232" s="132"/>
      <c r="Z232" s="146"/>
      <c r="AA232" s="138">
        <f>P_2_minW+(AA229^2*R_dn)-dpdn_minQ</f>
        <v>50</v>
      </c>
      <c r="AB232" s="132"/>
      <c r="AC232" s="146"/>
      <c r="AD232" s="138">
        <f>P_2_minW+(AD229^2*R_dn)-dpdn_minQ</f>
        <v>50</v>
      </c>
      <c r="AE232" s="132"/>
      <c r="AF232" s="146"/>
      <c r="AG232" s="138">
        <f>P_2_minW+(AG229^2*R_dn)-dpdn_minQ</f>
        <v>50</v>
      </c>
      <c r="AH232" s="132"/>
      <c r="AI232" s="146"/>
      <c r="AJ232" s="138">
        <f>P_2_minW+(AJ229^2*R_dn)-dpdn_minQ</f>
        <v>50</v>
      </c>
      <c r="AK232" s="132"/>
      <c r="AL232" s="146"/>
      <c r="AM232" s="138">
        <f>P_2_minW+(AM229^2*R_dn)-dpdn_minQ</f>
        <v>50</v>
      </c>
      <c r="AN232" s="132"/>
      <c r="AO232" s="146"/>
      <c r="AP232" s="138">
        <f>P_2_minW+(AP229^2*R_dn)-dpdn_minQ</f>
        <v>50</v>
      </c>
      <c r="AQ232" s="132"/>
      <c r="AR232" s="146"/>
      <c r="AS232" s="138">
        <f>P_2_minW+(AS229^2*R_dn)-dpdn_minQ</f>
        <v>50</v>
      </c>
      <c r="AT232" s="132"/>
      <c r="AU232" s="146"/>
    </row>
    <row r="233" spans="13:47" x14ac:dyDescent="0.25">
      <c r="M233" s="20"/>
      <c r="N233" s="20"/>
      <c r="O233" s="7" t="s">
        <v>234</v>
      </c>
      <c r="P233" s="1"/>
      <c r="Q233" s="7"/>
      <c r="R233" s="179">
        <f>'Valve Sizing'!G$8*R231/P_1_maxW</f>
        <v>0.48490358718215898</v>
      </c>
      <c r="S233" s="132"/>
      <c r="T233" s="146"/>
      <c r="U233" s="143">
        <f>'Valve Sizing'!$G$8*U231/P_1_maxW</f>
        <v>0.48435552383397507</v>
      </c>
      <c r="V233" s="132"/>
      <c r="W233" s="146"/>
      <c r="X233" s="143">
        <f>'Valve Sizing'!$G$8*X231/P_1_maxW</f>
        <v>0.4815492113287706</v>
      </c>
      <c r="Y233" s="132"/>
      <c r="Z233" s="146"/>
      <c r="AA233" s="143">
        <f>'Valve Sizing'!$G$8*AA231/P_1_maxW</f>
        <v>0.47217683261078786</v>
      </c>
      <c r="AB233" s="132"/>
      <c r="AC233" s="146"/>
      <c r="AD233" s="143">
        <f>'Valve Sizing'!$G$8*AD231/P_1_maxW</f>
        <v>0.45047933690387215</v>
      </c>
      <c r="AE233" s="132"/>
      <c r="AF233" s="146"/>
      <c r="AG233" s="143">
        <f>'Valve Sizing'!$G$8*AG231/P_1_maxW</f>
        <v>0.41718301307752725</v>
      </c>
      <c r="AH233" s="132"/>
      <c r="AI233" s="146"/>
      <c r="AJ233" s="143">
        <f>'Valve Sizing'!$G$8*AJ231/P_1_maxW</f>
        <v>0.375722442813063</v>
      </c>
      <c r="AK233" s="132"/>
      <c r="AL233" s="146"/>
      <c r="AM233" s="143">
        <f>'Valve Sizing'!$G$8*AM231/P_1_maxW</f>
        <v>0.33478582584028344</v>
      </c>
      <c r="AN233" s="132"/>
      <c r="AO233" s="146"/>
      <c r="AP233" s="143">
        <f>'Valve Sizing'!$G$8*AP231/P_1_maxW</f>
        <v>0.29804952136547708</v>
      </c>
      <c r="AQ233" s="132"/>
      <c r="AR233" s="146"/>
      <c r="AS233" s="143">
        <f>'Valve Sizing'!$G$8*AS231/P_1_maxW</f>
        <v>0.25232326055704679</v>
      </c>
      <c r="AT233" s="132"/>
      <c r="AU233" s="146"/>
    </row>
    <row r="234" spans="13:47" x14ac:dyDescent="0.25">
      <c r="M234" s="20"/>
      <c r="N234" s="20"/>
      <c r="O234" s="7" t="s">
        <v>190</v>
      </c>
      <c r="P234" s="1"/>
      <c r="Q234" s="7"/>
      <c r="R234" s="181">
        <f>R231-R232</f>
        <v>50.522695718290393</v>
      </c>
      <c r="S234" s="132"/>
      <c r="T234" s="146"/>
      <c r="U234" s="138">
        <f>U231-U232</f>
        <v>50.409079719893711</v>
      </c>
      <c r="V234" s="132"/>
      <c r="W234" s="146"/>
      <c r="X234" s="138">
        <f>X231-X232</f>
        <v>49.827318508989052</v>
      </c>
      <c r="Y234" s="132"/>
      <c r="Z234" s="146"/>
      <c r="AA234" s="138">
        <f>AA231-AA232</f>
        <v>47.884382224480945</v>
      </c>
      <c r="AB234" s="132"/>
      <c r="AC234" s="146"/>
      <c r="AD234" s="138">
        <f>AD231-AD232</f>
        <v>43.386393724396171</v>
      </c>
      <c r="AE234" s="132"/>
      <c r="AF234" s="146"/>
      <c r="AG234" s="138">
        <f>AG231-AG232</f>
        <v>36.483915959726673</v>
      </c>
      <c r="AH234" s="132"/>
      <c r="AI234" s="146"/>
      <c r="AJ234" s="138">
        <f>AJ231-AJ232</f>
        <v>27.88895316883297</v>
      </c>
      <c r="AK234" s="132"/>
      <c r="AL234" s="146"/>
      <c r="AM234" s="138">
        <f>AM231-AM232</f>
        <v>19.402608253126957</v>
      </c>
      <c r="AN234" s="132"/>
      <c r="AO234" s="146"/>
      <c r="AP234" s="138">
        <f>AP231-AP232</f>
        <v>11.78700701991071</v>
      </c>
      <c r="AQ234" s="132"/>
      <c r="AR234" s="146"/>
      <c r="AS234" s="138">
        <f>AS231-AS232</f>
        <v>2.3077473833877775</v>
      </c>
      <c r="AT234" s="132"/>
      <c r="AU234" s="146"/>
    </row>
    <row r="235" spans="13:47" ht="14.5" x14ac:dyDescent="0.35">
      <c r="M235" s="27"/>
      <c r="N235" s="27"/>
      <c r="O235" s="2" t="s">
        <v>191</v>
      </c>
      <c r="P235" s="10"/>
      <c r="Q235" s="2"/>
      <c r="R235" s="181">
        <f>R234/R231</f>
        <v>0.50259988908253728</v>
      </c>
      <c r="S235" s="132"/>
      <c r="T235" s="146"/>
      <c r="U235" s="138">
        <f>U234/U231</f>
        <v>0.50203706537812565</v>
      </c>
      <c r="V235" s="132"/>
      <c r="W235" s="146"/>
      <c r="X235" s="138">
        <f>X234/X231</f>
        <v>0.49913509902103903</v>
      </c>
      <c r="Y235" s="132"/>
      <c r="Z235" s="146"/>
      <c r="AA235" s="138">
        <f>AA234/AA231</f>
        <v>0.48919328228139985</v>
      </c>
      <c r="AB235" s="132"/>
      <c r="AC235" s="146"/>
      <c r="AD235" s="138">
        <f>AD234/AD231</f>
        <v>0.46459009705888182</v>
      </c>
      <c r="AE235" s="132"/>
      <c r="AF235" s="146"/>
      <c r="AG235" s="138">
        <f>AG234/AG231</f>
        <v>0.42185781662241439</v>
      </c>
      <c r="AH235" s="132"/>
      <c r="AI235" s="146"/>
      <c r="AJ235" s="138">
        <f>AJ234/AJ231</f>
        <v>0.35806044418623217</v>
      </c>
      <c r="AK235" s="132"/>
      <c r="AL235" s="146"/>
      <c r="AM235" s="138">
        <f>AM234/AM231</f>
        <v>0.27956598089745088</v>
      </c>
      <c r="AN235" s="132"/>
      <c r="AO235" s="146"/>
      <c r="AP235" s="138">
        <f>AP234/AP231</f>
        <v>0.19076837653120787</v>
      </c>
      <c r="AQ235" s="132"/>
      <c r="AR235" s="146"/>
      <c r="AS235" s="138">
        <f>AS234/AS231</f>
        <v>4.4118653523219517E-2</v>
      </c>
      <c r="AT235" s="132"/>
      <c r="AU235" s="146"/>
    </row>
    <row r="236" spans="13:47" x14ac:dyDescent="0.25">
      <c r="M236" s="27"/>
      <c r="N236" s="27"/>
      <c r="O236" s="2" t="s">
        <v>26</v>
      </c>
      <c r="P236" s="7">
        <v>12</v>
      </c>
      <c r="Q236" s="2"/>
      <c r="R236" s="181">
        <f>1-R235/(3*F_GAMMA*R$29)</f>
        <v>0.73824021840902154</v>
      </c>
      <c r="S236" s="133"/>
      <c r="T236" s="146"/>
      <c r="U236" s="138">
        <f>1-U235/(3*F_GAMMA*U$29)</f>
        <v>0.73859091189044546</v>
      </c>
      <c r="V236" s="133"/>
      <c r="W236" s="146"/>
      <c r="X236" s="138">
        <f>1-X235/(3*F_GAMMA*X$29)</f>
        <v>0.73620307217552061</v>
      </c>
      <c r="Y236" s="133"/>
      <c r="Z236" s="146"/>
      <c r="AA236" s="138">
        <f>1-AA235/(3*F_GAMMA*AA$29)</f>
        <v>0.73791242374449451</v>
      </c>
      <c r="AB236" s="133"/>
      <c r="AC236" s="146"/>
      <c r="AD236" s="138">
        <f>1-AD235/(3*F_GAMMA*AD$29)</f>
        <v>0.74426921303360305</v>
      </c>
      <c r="AE236" s="133"/>
      <c r="AF236" s="146"/>
      <c r="AG236" s="138">
        <f>1-AG235/(3*F_GAMMA*AG$29)</f>
        <v>0.75454536466174049</v>
      </c>
      <c r="AH236" s="133"/>
      <c r="AI236" s="146"/>
      <c r="AJ236" s="138">
        <f>1-AJ235/(3*F_GAMMA*AJ$29)</f>
        <v>0.77728744705888364</v>
      </c>
      <c r="AK236" s="133"/>
      <c r="AL236" s="146"/>
      <c r="AM236" s="138">
        <f>1-AM235/(3*F_GAMMA*AM$29)</f>
        <v>0.81000833855372056</v>
      </c>
      <c r="AN236" s="133"/>
      <c r="AO236" s="146"/>
      <c r="AP236" s="138">
        <f>1-AP235/(3*F_GAMMA*AP$29)</f>
        <v>0.89286222882545829</v>
      </c>
      <c r="AQ236" s="133"/>
      <c r="AR236" s="146"/>
      <c r="AS236" s="138">
        <f>1-AS235/(3*F_GAMMA*AS$29)</f>
        <v>0.96238551640156689</v>
      </c>
      <c r="AT236" s="133"/>
      <c r="AU236" s="146"/>
    </row>
    <row r="237" spans="13:47" x14ac:dyDescent="0.25">
      <c r="M237" s="27"/>
      <c r="N237" s="27"/>
      <c r="O237" s="2" t="s">
        <v>71</v>
      </c>
      <c r="P237" s="85">
        <v>5</v>
      </c>
      <c r="Q237" s="2"/>
      <c r="R237" s="179">
        <f>R229/((N_6*R$27*R236)*SQRT(R235*R231*R233))</f>
        <v>6.5326137952312152E-2</v>
      </c>
      <c r="S237" s="133"/>
      <c r="T237" s="146"/>
      <c r="U237" s="143">
        <f>U229/((N_6*U$27*U236)*SQRT(U235*U231*U233))</f>
        <v>2.3132047712002972</v>
      </c>
      <c r="V237" s="133"/>
      <c r="W237" s="146"/>
      <c r="X237" s="143">
        <f>X229/((N_6*X$27*X236)*SQRT(X235*X231*X233))</f>
        <v>5.8024214280080626</v>
      </c>
      <c r="Y237" s="133"/>
      <c r="Z237" s="146"/>
      <c r="AA237" s="143">
        <f>AA229/((N_6*AA$27*AA236)*SQRT(AA235*AA231*AA233))</f>
        <v>11.682331108106126</v>
      </c>
      <c r="AB237" s="133"/>
      <c r="AC237" s="146"/>
      <c r="AD237" s="143">
        <f>AD229/((N_6*AD$27*AD236)*SQRT(AD235*AD231*AD233))</f>
        <v>20.732549729935894</v>
      </c>
      <c r="AE237" s="133"/>
      <c r="AF237" s="146"/>
      <c r="AG237" s="143">
        <f>AG229/((N_6*AG$27*AG236)*SQRT(AG235*AG231*AG233))</f>
        <v>33.204353435550217</v>
      </c>
      <c r="AH237" s="133"/>
      <c r="AI237" s="146"/>
      <c r="AJ237" s="143">
        <f>AJ229/((N_6*AJ$27*AJ236)*SQRT(AJ235*AJ231*AJ233))</f>
        <v>51.019433530775565</v>
      </c>
      <c r="AK237" s="133"/>
      <c r="AL237" s="146"/>
      <c r="AM237" s="143">
        <f>AM229/((N_6*AM$27*AM236)*SQRT(AM235*AM231*AM233))</f>
        <v>77.390937430353816</v>
      </c>
      <c r="AN237" s="133"/>
      <c r="AO237" s="146"/>
      <c r="AP237" s="143">
        <f>AP229/((N_6*AP$27*AP236)*SQRT(AP235*AP231*AP233))</f>
        <v>120.99069839010745</v>
      </c>
      <c r="AQ237" s="133"/>
      <c r="AR237" s="146"/>
      <c r="AS237" s="143">
        <f>AS229/((N_6*AS$27*AS236)*SQRT(AS235*AS231*AS233))</f>
        <v>404.18770119008093</v>
      </c>
      <c r="AT237" s="133"/>
      <c r="AU237" s="146"/>
    </row>
    <row r="238" spans="13:47" x14ac:dyDescent="0.25">
      <c r="M238" s="27"/>
      <c r="N238" s="27"/>
      <c r="O238" s="2" t="s">
        <v>73</v>
      </c>
      <c r="P238" s="85">
        <v>5</v>
      </c>
      <c r="Q238" s="2"/>
      <c r="R238" s="179">
        <f>R229/((N_6*R$27*0.667)*SQRT(R239*R231*R233))</f>
        <v>6.4072392081496565E-2</v>
      </c>
      <c r="S238" s="133"/>
      <c r="T238" s="155"/>
      <c r="U238" s="143">
        <f>U229/((N_6*U$27*0.667)*SQRT(U239*U231*U233))</f>
        <v>2.2683662313170401</v>
      </c>
      <c r="V238" s="133"/>
      <c r="W238" s="155"/>
      <c r="X238" s="143">
        <f>X229/((N_6*X$27*0.667)*SQRT(X239*X231*X233))</f>
        <v>5.6973979355678832</v>
      </c>
      <c r="Y238" s="133"/>
      <c r="Z238" s="155"/>
      <c r="AA238" s="143">
        <f>AA229/((N_6*AA$27*0.667)*SQRT(AA239*AA231*AA233))</f>
        <v>11.460203887356682</v>
      </c>
      <c r="AB238" s="133"/>
      <c r="AC238" s="155"/>
      <c r="AD238" s="143">
        <f>AD229/((N_6*AD$27*0.667)*SQRT(AD239*AD231*AD233))</f>
        <v>20.263248542534409</v>
      </c>
      <c r="AE238" s="133"/>
      <c r="AF238" s="155"/>
      <c r="AG238" s="143">
        <f>AG229/((N_6*AG$27*0.667)*SQRT(AG239*AG231*AG233))</f>
        <v>32.233005025475755</v>
      </c>
      <c r="AH238" s="133"/>
      <c r="AI238" s="155"/>
      <c r="AJ238" s="143">
        <f>AJ229/((N_6*AJ$27*0.667)*SQRT(AJ239*AJ231*AJ233))</f>
        <v>48.598674906859181</v>
      </c>
      <c r="AK238" s="133"/>
      <c r="AL238" s="155"/>
      <c r="AM238" s="143">
        <f>AM229/((N_6*AM$27*0.667)*SQRT(AM239*AM231*AM233))</f>
        <v>70.954780471153114</v>
      </c>
      <c r="AN238" s="133"/>
      <c r="AO238" s="155"/>
      <c r="AP238" s="143">
        <f>AP229/((N_6*AP$27*0.667)*SQRT(AP239*AP231*AP233))</f>
        <v>91.821108598944789</v>
      </c>
      <c r="AQ238" s="133"/>
      <c r="AR238" s="155"/>
      <c r="AS238" s="143">
        <f>AS229/((N_6*AS$27*0.667)*SQRT(AS239*AS231*AS233))</f>
        <v>195.90454790894935</v>
      </c>
      <c r="AT238" s="133"/>
      <c r="AU238" s="155"/>
    </row>
    <row r="239" spans="13:47" ht="15.5" x14ac:dyDescent="0.4">
      <c r="M239" s="27"/>
      <c r="N239" s="27"/>
      <c r="O239" s="2" t="s">
        <v>192</v>
      </c>
      <c r="P239" s="85">
        <v>10</v>
      </c>
      <c r="Q239" s="2"/>
      <c r="R239" s="181">
        <f>F_GAMMA*R$29</f>
        <v>0.64002688015162901</v>
      </c>
      <c r="S239" s="133"/>
      <c r="T239" s="155"/>
      <c r="U239" s="138">
        <f>F_GAMMA*U$29</f>
        <v>0.64016782916606918</v>
      </c>
      <c r="V239" s="133"/>
      <c r="W239" s="155"/>
      <c r="X239" s="138">
        <f>F_GAMMA*X$29</f>
        <v>0.6307062319203669</v>
      </c>
      <c r="Y239" s="133"/>
      <c r="Z239" s="155"/>
      <c r="AA239" s="138">
        <f>F_GAMMA*AA$29</f>
        <v>0.62217534213893466</v>
      </c>
      <c r="AB239" s="133"/>
      <c r="AC239" s="155"/>
      <c r="AD239" s="138">
        <f>F_GAMMA*AD$29</f>
        <v>0.60557184969146072</v>
      </c>
      <c r="AE239" s="133"/>
      <c r="AF239" s="155"/>
      <c r="AG239" s="138">
        <f>F_GAMMA*AG$29</f>
        <v>0.57289312142622573</v>
      </c>
      <c r="AH239" s="133"/>
      <c r="AI239" s="155"/>
      <c r="AJ239" s="138">
        <f>F_GAMMA*AJ$29</f>
        <v>0.53590819116049981</v>
      </c>
      <c r="AK239" s="133"/>
      <c r="AL239" s="155"/>
      <c r="AM239" s="138">
        <f>F_GAMMA*AM$29</f>
        <v>0.49048815926850342</v>
      </c>
      <c r="AN239" s="133"/>
      <c r="AO239" s="155"/>
      <c r="AP239" s="138">
        <f>F_GAMMA*AP$29</f>
        <v>0.59352979016280105</v>
      </c>
      <c r="AQ239" s="133"/>
      <c r="AR239" s="155"/>
      <c r="AS239" s="138">
        <f>F_GAMMA*AS$29</f>
        <v>0.39097221161068291</v>
      </c>
      <c r="AT239" s="133"/>
      <c r="AU239" s="155"/>
    </row>
    <row r="240" spans="13:47" x14ac:dyDescent="0.25">
      <c r="M240" s="27"/>
      <c r="N240" s="27"/>
      <c r="O240" s="2" t="s">
        <v>193</v>
      </c>
      <c r="P240" s="134"/>
      <c r="Q240" s="2"/>
      <c r="R240" s="181">
        <f>IF(R235&lt;R239,R237,R238)</f>
        <v>6.5326137952312152E-2</v>
      </c>
      <c r="S240" s="133"/>
      <c r="T240" s="155"/>
      <c r="U240" s="138">
        <f>IF(U235&lt;U239,U237,U238)</f>
        <v>2.3132047712002972</v>
      </c>
      <c r="V240" s="133"/>
      <c r="W240" s="155"/>
      <c r="X240" s="138">
        <f>IF(X235&lt;X239,X237,X238)</f>
        <v>5.8024214280080626</v>
      </c>
      <c r="Y240" s="133"/>
      <c r="Z240" s="155"/>
      <c r="AA240" s="138">
        <f>IF(AA235&lt;AA239,AA237,AA238)</f>
        <v>11.682331108106126</v>
      </c>
      <c r="AB240" s="133"/>
      <c r="AC240" s="155"/>
      <c r="AD240" s="138">
        <f>IF(AD235&lt;AD239,AD237,AD238)</f>
        <v>20.732549729935894</v>
      </c>
      <c r="AE240" s="133"/>
      <c r="AF240" s="155"/>
      <c r="AG240" s="138">
        <f>IF(AG235&lt;AG239,AG237,AG238)</f>
        <v>33.204353435550217</v>
      </c>
      <c r="AH240" s="133"/>
      <c r="AI240" s="155"/>
      <c r="AJ240" s="138">
        <f>IF(AJ235&lt;AJ239,AJ237,AJ238)</f>
        <v>51.019433530775565</v>
      </c>
      <c r="AK240" s="133"/>
      <c r="AL240" s="155"/>
      <c r="AM240" s="138">
        <f>IF(AM235&lt;AM239,AM237,AM238)</f>
        <v>77.390937430353816</v>
      </c>
      <c r="AN240" s="133"/>
      <c r="AO240" s="155"/>
      <c r="AP240" s="138">
        <f>IF(AP235&lt;AP239,AP237,AP238)</f>
        <v>120.99069839010745</v>
      </c>
      <c r="AQ240" s="133"/>
      <c r="AR240" s="155"/>
      <c r="AS240" s="138">
        <f>IF(AS235&lt;AS239,AS237,AS238)</f>
        <v>404.18770119008093</v>
      </c>
      <c r="AT240" s="133"/>
      <c r="AU240" s="155"/>
    </row>
    <row r="241" spans="13:47" ht="13" x14ac:dyDescent="0.3">
      <c r="M241" s="28"/>
      <c r="N241" s="28"/>
      <c r="O241" s="9" t="s">
        <v>194</v>
      </c>
      <c r="P241" s="1"/>
      <c r="Q241" s="1"/>
      <c r="R241" s="135"/>
      <c r="S241" s="132">
        <f>IF(R234&lt;=0,W_max,ABS(R$23-R240))</f>
        <v>1.9346738620476878</v>
      </c>
      <c r="T241" s="151">
        <f>R229</f>
        <v>15.108031837069888</v>
      </c>
      <c r="U241" s="135"/>
      <c r="V241" s="132">
        <f>IF(U234&lt;=0,W_max,ABS(U$23-U240))</f>
        <v>2.6867952287997028</v>
      </c>
      <c r="W241" s="151">
        <f>U229</f>
        <v>533.9945678432191</v>
      </c>
      <c r="X241" s="135"/>
      <c r="Y241" s="132">
        <f>IF(X234&lt;=0,W_max,ABS(X$23-X240))</f>
        <v>4.1975785719919374</v>
      </c>
      <c r="Z241" s="151">
        <f>X229</f>
        <v>1320.6321123747591</v>
      </c>
      <c r="AA241" s="135"/>
      <c r="AB241" s="132">
        <f>IF(AA234&lt;=0,W_max,ABS(AA$23-AA240))</f>
        <v>5.517668891893873</v>
      </c>
      <c r="AC241" s="151">
        <f>AA229</f>
        <v>2572.2542696166306</v>
      </c>
      <c r="AD241" s="135"/>
      <c r="AE241" s="132">
        <f>IF(AD234&lt;=0,W_max,ABS(AD$23-AD240))</f>
        <v>5.8674502700641078</v>
      </c>
      <c r="AF241" s="151">
        <f>AD229</f>
        <v>4230.4112256853059</v>
      </c>
      <c r="AG241" s="135"/>
      <c r="AH241" s="132">
        <f>IF(AG234&lt;=0,W_max,ABS(AG$23-AG240))</f>
        <v>5.1956465644497811</v>
      </c>
      <c r="AI241" s="151">
        <f>AG229</f>
        <v>5933.4774271796241</v>
      </c>
      <c r="AJ241" s="135"/>
      <c r="AK241" s="132">
        <f>IF(AJ234&lt;=0,W_max,ABS(AJ$23-AJ240))</f>
        <v>1.4805664692244349</v>
      </c>
      <c r="AL241" s="151">
        <f>AJ229</f>
        <v>7533.941875571968</v>
      </c>
      <c r="AM241" s="135"/>
      <c r="AN241" s="132">
        <f>IF(AM234&lt;=0,W_max,ABS(AM$23-AM240))</f>
        <v>4.9909374303538101</v>
      </c>
      <c r="AO241" s="151">
        <f>AM229</f>
        <v>8834.1393553920861</v>
      </c>
      <c r="AP241" s="135"/>
      <c r="AQ241" s="132">
        <f>IF(AP234&lt;=0,W_max,ABS(AP$23-AP240))</f>
        <v>12.990698390107454</v>
      </c>
      <c r="AR241" s="151">
        <f>AP229</f>
        <v>9855.9696488412956</v>
      </c>
      <c r="AS241" s="135"/>
      <c r="AT241" s="132">
        <f>IF(AS234&lt;=0,W_max,ABS(AS$23-AS240))</f>
        <v>224.18770119008093</v>
      </c>
      <c r="AU241" s="151">
        <f>AS229</f>
        <v>10995.993362906311</v>
      </c>
    </row>
    <row r="242" spans="13:47" ht="13" x14ac:dyDescent="0.25">
      <c r="M242" s="12"/>
      <c r="N242" s="12"/>
      <c r="O242" s="2"/>
      <c r="P242" s="85"/>
      <c r="Q242" s="2"/>
      <c r="R242" s="18"/>
      <c r="S242" s="150"/>
      <c r="T242" s="148"/>
      <c r="U242" s="157"/>
      <c r="V242" s="1"/>
      <c r="W242" s="147"/>
      <c r="X242" s="157"/>
      <c r="Y242" s="1"/>
      <c r="Z242" s="147"/>
      <c r="AA242" s="157"/>
      <c r="AB242" s="1"/>
      <c r="AC242" s="147"/>
      <c r="AD242" s="157"/>
      <c r="AE242" s="1"/>
      <c r="AF242" s="147"/>
      <c r="AG242" s="157"/>
      <c r="AH242" s="1"/>
      <c r="AI242" s="147"/>
      <c r="AJ242" s="157"/>
      <c r="AK242" s="1"/>
      <c r="AL242" s="147"/>
      <c r="AM242" s="157"/>
      <c r="AN242" s="1"/>
      <c r="AO242" s="147"/>
      <c r="AP242" s="157"/>
      <c r="AQ242" s="1"/>
      <c r="AR242" s="147"/>
      <c r="AS242" s="157"/>
      <c r="AT242" s="1"/>
      <c r="AU242" s="147"/>
    </row>
    <row r="243" spans="13:47" ht="14" x14ac:dyDescent="0.3">
      <c r="M243" s="23"/>
      <c r="N243" s="23"/>
      <c r="O243" s="23" t="s">
        <v>238</v>
      </c>
      <c r="P243" s="20"/>
      <c r="Q243" s="20"/>
      <c r="R243" s="181">
        <f>R229*1.02</f>
        <v>15.410192473811286</v>
      </c>
      <c r="S243" s="128" t="s">
        <v>185</v>
      </c>
      <c r="T243" s="149" t="s">
        <v>186</v>
      </c>
      <c r="U243" s="143">
        <f>U229*1.01</f>
        <v>539.33451352165127</v>
      </c>
      <c r="V243" s="128" t="s">
        <v>185</v>
      </c>
      <c r="W243" s="153" t="s">
        <v>186</v>
      </c>
      <c r="X243" s="143">
        <f>X229*1.01</f>
        <v>1333.8384334985067</v>
      </c>
      <c r="Y243" s="128" t="s">
        <v>185</v>
      </c>
      <c r="Z243" s="153" t="s">
        <v>186</v>
      </c>
      <c r="AA243" s="143">
        <f>AA229*1.01</f>
        <v>2597.9768123127969</v>
      </c>
      <c r="AB243" s="128" t="s">
        <v>185</v>
      </c>
      <c r="AC243" s="153" t="s">
        <v>186</v>
      </c>
      <c r="AD243" s="143">
        <f>AD229*1.01</f>
        <v>4272.7153379421588</v>
      </c>
      <c r="AE243" s="128" t="s">
        <v>185</v>
      </c>
      <c r="AF243" s="153" t="s">
        <v>186</v>
      </c>
      <c r="AG243" s="143">
        <f>AG229*1.01</f>
        <v>5992.8122014514202</v>
      </c>
      <c r="AH243" s="128" t="s">
        <v>185</v>
      </c>
      <c r="AI243" s="153" t="s">
        <v>186</v>
      </c>
      <c r="AJ243" s="143">
        <f>AJ229*1.01</f>
        <v>7609.2812943276876</v>
      </c>
      <c r="AK243" s="128" t="s">
        <v>185</v>
      </c>
      <c r="AL243" s="153" t="s">
        <v>186</v>
      </c>
      <c r="AM243" s="143">
        <f>AM229*1.01</f>
        <v>8922.4807489460072</v>
      </c>
      <c r="AN243" s="128" t="s">
        <v>185</v>
      </c>
      <c r="AO243" s="153" t="s">
        <v>186</v>
      </c>
      <c r="AP243" s="143">
        <f>AP229*1.01</f>
        <v>9954.529345329709</v>
      </c>
      <c r="AQ243" s="128" t="s">
        <v>185</v>
      </c>
      <c r="AR243" s="153" t="s">
        <v>186</v>
      </c>
      <c r="AS243" s="143">
        <f>AS229*1.01</f>
        <v>11105.953296535374</v>
      </c>
      <c r="AT243" s="128" t="s">
        <v>185</v>
      </c>
      <c r="AU243" s="153" t="s">
        <v>186</v>
      </c>
    </row>
    <row r="244" spans="13:47" ht="14" x14ac:dyDescent="0.3">
      <c r="M244" s="12"/>
      <c r="N244" s="12"/>
      <c r="O244" s="20"/>
      <c r="P244" s="20"/>
      <c r="Q244" s="23"/>
      <c r="R244" s="139"/>
      <c r="S244" s="130" t="s">
        <v>228</v>
      </c>
      <c r="T244" s="131" t="s">
        <v>187</v>
      </c>
      <c r="U244" s="144"/>
      <c r="V244" s="130" t="s">
        <v>228</v>
      </c>
      <c r="W244" s="154" t="s">
        <v>187</v>
      </c>
      <c r="X244" s="144"/>
      <c r="Y244" s="130" t="s">
        <v>228</v>
      </c>
      <c r="Z244" s="154" t="s">
        <v>187</v>
      </c>
      <c r="AA244" s="144"/>
      <c r="AB244" s="130" t="s">
        <v>228</v>
      </c>
      <c r="AC244" s="154" t="s">
        <v>187</v>
      </c>
      <c r="AD244" s="144"/>
      <c r="AE244" s="130" t="s">
        <v>228</v>
      </c>
      <c r="AF244" s="154" t="s">
        <v>187</v>
      </c>
      <c r="AG244" s="144"/>
      <c r="AH244" s="130" t="s">
        <v>228</v>
      </c>
      <c r="AI244" s="154" t="s">
        <v>187</v>
      </c>
      <c r="AJ244" s="144"/>
      <c r="AK244" s="130" t="s">
        <v>228</v>
      </c>
      <c r="AL244" s="154" t="s">
        <v>187</v>
      </c>
      <c r="AM244" s="144"/>
      <c r="AN244" s="130" t="s">
        <v>228</v>
      </c>
      <c r="AO244" s="154" t="s">
        <v>187</v>
      </c>
      <c r="AP244" s="144"/>
      <c r="AQ244" s="130" t="s">
        <v>228</v>
      </c>
      <c r="AR244" s="154" t="s">
        <v>187</v>
      </c>
      <c r="AS244" s="144"/>
      <c r="AT244" s="130" t="s">
        <v>228</v>
      </c>
      <c r="AU244" s="154" t="s">
        <v>187</v>
      </c>
    </row>
    <row r="245" spans="13:47" x14ac:dyDescent="0.25">
      <c r="M245" s="20"/>
      <c r="N245" s="20"/>
      <c r="O245" s="7" t="s">
        <v>188</v>
      </c>
      <c r="P245" s="7"/>
      <c r="Q245" s="7"/>
      <c r="R245" s="181">
        <f>P_1_minW-(R243^2*R_up)+dpup_minQ</f>
        <v>100.52269204114558</v>
      </c>
      <c r="S245" s="132"/>
      <c r="T245" s="145"/>
      <c r="U245" s="138">
        <f>P_1_minW-(U243^2*R_up)+dpup_minQ</f>
        <v>100.40679420885536</v>
      </c>
      <c r="V245" s="132"/>
      <c r="W245" s="145"/>
      <c r="X245" s="138">
        <f>P_1_minW-(X243^2*R_up)+dpup_minQ</f>
        <v>99.813339597611531</v>
      </c>
      <c r="Y245" s="132"/>
      <c r="Z245" s="145"/>
      <c r="AA245" s="138">
        <f>P_1_minW-(AA243^2*R_up)+dpup_minQ</f>
        <v>97.831350293784809</v>
      </c>
      <c r="AB245" s="132"/>
      <c r="AC245" s="145"/>
      <c r="AD245" s="138">
        <f>P_1_minW-(AD243^2*R_up)+dpup_minQ</f>
        <v>93.242952224848338</v>
      </c>
      <c r="AE245" s="132"/>
      <c r="AF245" s="145"/>
      <c r="AG245" s="138">
        <f>P_1_minW-(AG243^2*R_up)+dpup_minQ</f>
        <v>86.201734657108972</v>
      </c>
      <c r="AH245" s="132"/>
      <c r="AI245" s="145"/>
      <c r="AJ245" s="138">
        <f>P_1_minW-(AJ243^2*R_up)+dpup_minQ</f>
        <v>77.434013114118301</v>
      </c>
      <c r="AK245" s="132"/>
      <c r="AL245" s="145"/>
      <c r="AM245" s="138">
        <f>P_1_minW-(AM243^2*R_up)+dpup_minQ</f>
        <v>68.777092665606588</v>
      </c>
      <c r="AN245" s="132"/>
      <c r="AO245" s="145"/>
      <c r="AP245" s="138">
        <f>P_1_minW-(AP243^2*R_up)+dpup_minQ</f>
        <v>61.008417847602708</v>
      </c>
      <c r="AQ245" s="132"/>
      <c r="AR245" s="145"/>
      <c r="AS245" s="138">
        <f>P_1_minW-(AS243^2*R_up)+dpup_minQ</f>
        <v>51.338625092385662</v>
      </c>
      <c r="AT245" s="132"/>
      <c r="AU245" s="145"/>
    </row>
    <row r="246" spans="13:47" x14ac:dyDescent="0.25">
      <c r="M246" s="20"/>
      <c r="N246" s="20"/>
      <c r="O246" s="7" t="s">
        <v>189</v>
      </c>
      <c r="P246" s="1"/>
      <c r="Q246" s="7"/>
      <c r="R246" s="181">
        <f>P_2_minW+(R243^2*R_dn)-dpdn_minQ</f>
        <v>50</v>
      </c>
      <c r="S246" s="132"/>
      <c r="T246" s="146"/>
      <c r="U246" s="138">
        <f>P_2_minW+(U243^2*R_dn)-dpdn_minQ</f>
        <v>50</v>
      </c>
      <c r="V246" s="132"/>
      <c r="W246" s="146"/>
      <c r="X246" s="138">
        <f>P_2_minW+(X243^2*R_dn)-dpdn_minQ</f>
        <v>50</v>
      </c>
      <c r="Y246" s="132"/>
      <c r="Z246" s="146"/>
      <c r="AA246" s="138">
        <f>P_2_minW+(AA243^2*R_dn)-dpdn_minQ</f>
        <v>50</v>
      </c>
      <c r="AB246" s="132"/>
      <c r="AC246" s="146"/>
      <c r="AD246" s="138">
        <f>P_2_minW+(AD243^2*R_dn)-dpdn_minQ</f>
        <v>50</v>
      </c>
      <c r="AE246" s="132"/>
      <c r="AF246" s="146"/>
      <c r="AG246" s="138">
        <f>P_2_minW+(AG243^2*R_dn)-dpdn_minQ</f>
        <v>50</v>
      </c>
      <c r="AH246" s="132"/>
      <c r="AI246" s="146"/>
      <c r="AJ246" s="138">
        <f>P_2_minW+(AJ243^2*R_dn)-dpdn_minQ</f>
        <v>50</v>
      </c>
      <c r="AK246" s="132"/>
      <c r="AL246" s="146"/>
      <c r="AM246" s="138">
        <f>P_2_minW+(AM243^2*R_dn)-dpdn_minQ</f>
        <v>50</v>
      </c>
      <c r="AN246" s="132"/>
      <c r="AO246" s="146"/>
      <c r="AP246" s="138">
        <f>P_2_minW+(AP243^2*R_dn)-dpdn_minQ</f>
        <v>50</v>
      </c>
      <c r="AQ246" s="132"/>
      <c r="AR246" s="146"/>
      <c r="AS246" s="138">
        <f>P_2_minW+(AS243^2*R_dn)-dpdn_minQ</f>
        <v>50</v>
      </c>
      <c r="AT246" s="132"/>
      <c r="AU246" s="146"/>
    </row>
    <row r="247" spans="13:47" x14ac:dyDescent="0.25">
      <c r="M247" s="20"/>
      <c r="N247" s="20"/>
      <c r="O247" s="7" t="s">
        <v>234</v>
      </c>
      <c r="P247" s="1"/>
      <c r="Q247" s="7"/>
      <c r="R247" s="179">
        <f>'Valve Sizing'!G$8*R245/P_1_maxW</f>
        <v>0.48490356944426705</v>
      </c>
      <c r="S247" s="132"/>
      <c r="T247" s="146"/>
      <c r="U247" s="143">
        <f>'Valve Sizing'!$G$8*U245/P_1_maxW</f>
        <v>0.4843444989356363</v>
      </c>
      <c r="V247" s="132"/>
      <c r="W247" s="146"/>
      <c r="X247" s="143">
        <f>'Valve Sizing'!$G$8*X245/P_1_maxW</f>
        <v>0.48148177954907723</v>
      </c>
      <c r="Y247" s="132"/>
      <c r="Z247" s="146"/>
      <c r="AA247" s="143">
        <f>'Valve Sizing'!$G$8*AA245/P_1_maxW</f>
        <v>0.47192101601886305</v>
      </c>
      <c r="AB247" s="132"/>
      <c r="AC247" s="146"/>
      <c r="AD247" s="143">
        <f>'Valve Sizing'!$G$8*AD245/P_1_maxW</f>
        <v>0.4497874006482383</v>
      </c>
      <c r="AE247" s="132"/>
      <c r="AF247" s="146"/>
      <c r="AG247" s="143">
        <f>'Valve Sizing'!$G$8*AG245/P_1_maxW</f>
        <v>0.41582182071298385</v>
      </c>
      <c r="AH247" s="132"/>
      <c r="AI247" s="146"/>
      <c r="AJ247" s="143">
        <f>'Valve Sizing'!$G$8*AJ245/P_1_maxW</f>
        <v>0.37352789298620381</v>
      </c>
      <c r="AK247" s="132"/>
      <c r="AL247" s="146"/>
      <c r="AM247" s="143">
        <f>'Valve Sizing'!$G$8*AM245/P_1_maxW</f>
        <v>0.3317684500122714</v>
      </c>
      <c r="AN247" s="132"/>
      <c r="AO247" s="146"/>
      <c r="AP247" s="143">
        <f>'Valve Sizing'!$G$8*AP245/P_1_maxW</f>
        <v>0.29429374581752143</v>
      </c>
      <c r="AQ247" s="132"/>
      <c r="AR247" s="146"/>
      <c r="AS247" s="143">
        <f>'Valve Sizing'!$G$8*AS245/P_1_maxW</f>
        <v>0.24764838716684173</v>
      </c>
      <c r="AT247" s="132"/>
      <c r="AU247" s="146"/>
    </row>
    <row r="248" spans="13:47" x14ac:dyDescent="0.25">
      <c r="M248" s="20"/>
      <c r="N248" s="20"/>
      <c r="O248" s="7" t="s">
        <v>190</v>
      </c>
      <c r="P248" s="1"/>
      <c r="Q248" s="7"/>
      <c r="R248" s="181">
        <f>R245-R246</f>
        <v>50.522692041145575</v>
      </c>
      <c r="S248" s="132"/>
      <c r="T248" s="146"/>
      <c r="U248" s="138">
        <f>U245-U246</f>
        <v>50.406794208855359</v>
      </c>
      <c r="V248" s="132"/>
      <c r="W248" s="146"/>
      <c r="X248" s="138">
        <f>X245-X246</f>
        <v>49.813339597611531</v>
      </c>
      <c r="Y248" s="132"/>
      <c r="Z248" s="146"/>
      <c r="AA248" s="138">
        <f>AA245-AA246</f>
        <v>47.831350293784809</v>
      </c>
      <c r="AB248" s="132"/>
      <c r="AC248" s="146"/>
      <c r="AD248" s="138">
        <f>AD245-AD246</f>
        <v>43.242952224848338</v>
      </c>
      <c r="AE248" s="132"/>
      <c r="AF248" s="146"/>
      <c r="AG248" s="138">
        <f>AG245-AG246</f>
        <v>36.201734657108972</v>
      </c>
      <c r="AH248" s="132"/>
      <c r="AI248" s="146"/>
      <c r="AJ248" s="138">
        <f>AJ245-AJ246</f>
        <v>27.434013114118301</v>
      </c>
      <c r="AK248" s="132"/>
      <c r="AL248" s="146"/>
      <c r="AM248" s="138">
        <f>AM245-AM246</f>
        <v>18.777092665606588</v>
      </c>
      <c r="AN248" s="132"/>
      <c r="AO248" s="146"/>
      <c r="AP248" s="138">
        <f>AP245-AP246</f>
        <v>11.008417847602708</v>
      </c>
      <c r="AQ248" s="132"/>
      <c r="AR248" s="146"/>
      <c r="AS248" s="138">
        <f>AS245-AS246</f>
        <v>1.3386250923856622</v>
      </c>
      <c r="AT248" s="132"/>
      <c r="AU248" s="146"/>
    </row>
    <row r="249" spans="13:47" ht="14.5" x14ac:dyDescent="0.35">
      <c r="M249" s="27"/>
      <c r="N249" s="27"/>
      <c r="O249" s="2" t="s">
        <v>191</v>
      </c>
      <c r="P249" s="10"/>
      <c r="Q249" s="2"/>
      <c r="R249" s="181">
        <f>R248/R245</f>
        <v>0.50259987088751878</v>
      </c>
      <c r="S249" s="132"/>
      <c r="T249" s="146"/>
      <c r="U249" s="138">
        <f>U248/U245</f>
        <v>0.50202573048995669</v>
      </c>
      <c r="V249" s="132"/>
      <c r="W249" s="146"/>
      <c r="X249" s="138">
        <f>X248/X245</f>
        <v>0.49906495262486472</v>
      </c>
      <c r="Y249" s="132"/>
      <c r="Z249" s="146"/>
      <c r="AA249" s="138">
        <f>AA248/AA245</f>
        <v>0.48891638672213561</v>
      </c>
      <c r="AB249" s="132"/>
      <c r="AC249" s="146"/>
      <c r="AD249" s="138">
        <f>AD248/AD245</f>
        <v>0.46376644232125153</v>
      </c>
      <c r="AE249" s="132"/>
      <c r="AF249" s="146"/>
      <c r="AG249" s="138">
        <f>AG248/AG245</f>
        <v>0.41996526869338874</v>
      </c>
      <c r="AH249" s="132"/>
      <c r="AI249" s="146"/>
      <c r="AJ249" s="138">
        <f>AJ248/AJ245</f>
        <v>0.35428892305616977</v>
      </c>
      <c r="AK249" s="132"/>
      <c r="AL249" s="146"/>
      <c r="AM249" s="138">
        <f>AM248/AM245</f>
        <v>0.27301375992876858</v>
      </c>
      <c r="AN249" s="132"/>
      <c r="AO249" s="146"/>
      <c r="AP249" s="138">
        <f>AP248/AP245</f>
        <v>0.18044096595164003</v>
      </c>
      <c r="AQ249" s="132"/>
      <c r="AR249" s="146"/>
      <c r="AS249" s="138">
        <f>AS248/AS245</f>
        <v>2.6074424275616247E-2</v>
      </c>
      <c r="AT249" s="132"/>
      <c r="AU249" s="146"/>
    </row>
    <row r="250" spans="13:47" x14ac:dyDescent="0.25">
      <c r="M250" s="27"/>
      <c r="N250" s="27"/>
      <c r="O250" s="2" t="s">
        <v>26</v>
      </c>
      <c r="P250" s="7">
        <v>12</v>
      </c>
      <c r="Q250" s="2"/>
      <c r="R250" s="181">
        <f>1-R249/(3*F_GAMMA*R$29)</f>
        <v>0.73824022788519561</v>
      </c>
      <c r="S250" s="133"/>
      <c r="T250" s="146"/>
      <c r="U250" s="138">
        <f>1-U249/(3*F_GAMMA*U$29)</f>
        <v>0.73859681393032339</v>
      </c>
      <c r="V250" s="133"/>
      <c r="W250" s="146"/>
      <c r="X250" s="138">
        <f>1-X249/(3*F_GAMMA*X$29)</f>
        <v>0.73624014511197622</v>
      </c>
      <c r="Y250" s="133"/>
      <c r="Z250" s="146"/>
      <c r="AA250" s="138">
        <f>1-AA249/(3*F_GAMMA*AA$29)</f>
        <v>0.73806077182823149</v>
      </c>
      <c r="AB250" s="133"/>
      <c r="AC250" s="146"/>
      <c r="AD250" s="138">
        <f>1-AD249/(3*F_GAMMA*AD$29)</f>
        <v>0.74472258876325426</v>
      </c>
      <c r="AE250" s="133"/>
      <c r="AF250" s="146"/>
      <c r="AG250" s="138">
        <f>1-AG249/(3*F_GAMMA*AG$29)</f>
        <v>0.75564652871151072</v>
      </c>
      <c r="AH250" s="133"/>
      <c r="AI250" s="146"/>
      <c r="AJ250" s="138">
        <f>1-AJ249/(3*F_GAMMA*AJ$29)</f>
        <v>0.77963332221204817</v>
      </c>
      <c r="AK250" s="133"/>
      <c r="AL250" s="146"/>
      <c r="AM250" s="138">
        <f>1-AM249/(3*F_GAMMA*AM$29)</f>
        <v>0.81446119560022845</v>
      </c>
      <c r="AN250" s="133"/>
      <c r="AO250" s="146"/>
      <c r="AP250" s="138">
        <f>1-AP249/(3*F_GAMMA*AP$29)</f>
        <v>0.89866222446214739</v>
      </c>
      <c r="AQ250" s="133"/>
      <c r="AR250" s="146"/>
      <c r="AS250" s="138">
        <f>1-AS249/(3*F_GAMMA*AS$29)</f>
        <v>0.97776958438367623</v>
      </c>
      <c r="AT250" s="133"/>
      <c r="AU250" s="146"/>
    </row>
    <row r="251" spans="13:47" x14ac:dyDescent="0.25">
      <c r="M251" s="27"/>
      <c r="N251" s="27"/>
      <c r="O251" s="2" t="s">
        <v>71</v>
      </c>
      <c r="P251" s="85">
        <v>5</v>
      </c>
      <c r="Q251" s="2"/>
      <c r="R251" s="179">
        <f>R243/((N_6*R$27*R250)*SQRT(R249*R245*R247))</f>
        <v>6.6632663499600633E-2</v>
      </c>
      <c r="S251" s="133"/>
      <c r="T251" s="146"/>
      <c r="U251" s="143">
        <f>U243/((N_6*U$27*U250)*SQRT(U249*U245*U247))</f>
        <v>2.3363977054938787</v>
      </c>
      <c r="V251" s="133"/>
      <c r="W251" s="146"/>
      <c r="X251" s="143">
        <f>X243/((N_6*X$27*X250)*SQRT(X249*X245*X247))</f>
        <v>5.861383142048334</v>
      </c>
      <c r="Y251" s="133"/>
      <c r="Z251" s="146"/>
      <c r="AA251" s="143">
        <f>AA243/((N_6*AA$27*AA250)*SQRT(AA249*AA245*AA247))</f>
        <v>11.806519429167867</v>
      </c>
      <c r="AB251" s="133"/>
      <c r="AC251" s="146"/>
      <c r="AD251" s="143">
        <f>AD243/((N_6*AD$27*AD250)*SQRT(AD249*AD245*AD247))</f>
        <v>20.977924613398113</v>
      </c>
      <c r="AE251" s="133"/>
      <c r="AF251" s="146"/>
      <c r="AG251" s="143">
        <f>AG243/((N_6*AG$27*AG250)*SQRT(AG249*AG245*AG247))</f>
        <v>33.672764180870168</v>
      </c>
      <c r="AH251" s="133"/>
      <c r="AI251" s="146"/>
      <c r="AJ251" s="143">
        <f>AJ243/((N_6*AJ$27*AJ250)*SQRT(AJ249*AJ245*AJ247))</f>
        <v>51.950741701684628</v>
      </c>
      <c r="AK251" s="133"/>
      <c r="AL251" s="146"/>
      <c r="AM251" s="143">
        <f>AM243/((N_6*AM$27*AM250)*SQRT(AM249*AM245*AM247))</f>
        <v>79.380246912811188</v>
      </c>
      <c r="AN251" s="133"/>
      <c r="AO251" s="146"/>
      <c r="AP251" s="143">
        <f>AP243/((N_6*AP$27*AP250)*SQRT(AP249*AP245*AP247))</f>
        <v>126.43122281958368</v>
      </c>
      <c r="AQ251" s="133"/>
      <c r="AR251" s="146"/>
      <c r="AS251" s="143">
        <f>AS243/((N_6*AS$27*AS250)*SQRT(AS249*AS245*AS247))</f>
        <v>532.5281476179573</v>
      </c>
      <c r="AT251" s="133"/>
      <c r="AU251" s="146"/>
    </row>
    <row r="252" spans="13:47" x14ac:dyDescent="0.25">
      <c r="M252" s="27"/>
      <c r="N252" s="27"/>
      <c r="O252" s="2" t="s">
        <v>73</v>
      </c>
      <c r="P252" s="85">
        <v>5</v>
      </c>
      <c r="Q252" s="2"/>
      <c r="R252" s="179">
        <f>R243/((N_6*R$27*0.667)*SQRT(R253*R245*R247))</f>
        <v>6.5353842313786048E-2</v>
      </c>
      <c r="S252" s="133"/>
      <c r="T252" s="147"/>
      <c r="U252" s="143">
        <f>U243/((N_6*U$27*0.667)*SQRT(U253*U245*U247))</f>
        <v>2.2911020436850205</v>
      </c>
      <c r="V252" s="133"/>
      <c r="W252" s="155"/>
      <c r="X252" s="143">
        <f>X243/((N_6*X$27*0.667)*SQRT(X253*X245*X247))</f>
        <v>5.7551778177753885</v>
      </c>
      <c r="Y252" s="133"/>
      <c r="Z252" s="155"/>
      <c r="AA252" s="143">
        <f>AA243/((N_6*AA$27*0.667)*SQRT(AA253*AA245*AA247))</f>
        <v>11.58108033932848</v>
      </c>
      <c r="AB252" s="133"/>
      <c r="AC252" s="155"/>
      <c r="AD252" s="143">
        <f>AD243/((N_6*AD$27*0.667)*SQRT(AD253*AD245*AD247))</f>
        <v>20.497364980303292</v>
      </c>
      <c r="AE252" s="133"/>
      <c r="AF252" s="155"/>
      <c r="AG252" s="143">
        <f>AG243/((N_6*AG$27*0.667)*SQRT(AG253*AG245*AG247))</f>
        <v>32.661904936480617</v>
      </c>
      <c r="AH252" s="133"/>
      <c r="AI252" s="155"/>
      <c r="AJ252" s="143">
        <f>AJ243/((N_6*AJ$27*0.667)*SQRT(AJ253*AJ245*AJ247))</f>
        <v>49.373043695826553</v>
      </c>
      <c r="AK252" s="133"/>
      <c r="AL252" s="155"/>
      <c r="AM252" s="143">
        <f>AM243/((N_6*AM$27*0.667)*SQRT(AM253*AM245*AM247))</f>
        <v>72.316102764554913</v>
      </c>
      <c r="AN252" s="133"/>
      <c r="AO252" s="155"/>
      <c r="AP252" s="143">
        <f>AP243/((N_6*AP$27*0.667)*SQRT(AP253*AP245*AP247))</f>
        <v>93.92285849320605</v>
      </c>
      <c r="AQ252" s="133"/>
      <c r="AR252" s="155"/>
      <c r="AS252" s="143">
        <f>AS243/((N_6*AS$27*0.667)*SQRT(AS253*AS245*AS247))</f>
        <v>201.59867625371865</v>
      </c>
      <c r="AT252" s="133"/>
      <c r="AU252" s="155"/>
    </row>
    <row r="253" spans="13:47" ht="15.5" x14ac:dyDescent="0.4">
      <c r="M253" s="27"/>
      <c r="N253" s="27"/>
      <c r="O253" s="2" t="s">
        <v>192</v>
      </c>
      <c r="P253" s="85">
        <v>10</v>
      </c>
      <c r="Q253" s="2"/>
      <c r="R253" s="181">
        <f>F_GAMMA*R$29</f>
        <v>0.64002688015162901</v>
      </c>
      <c r="S253" s="133"/>
      <c r="T253" s="147"/>
      <c r="U253" s="138">
        <f>F_GAMMA*U$29</f>
        <v>0.64016782916606918</v>
      </c>
      <c r="V253" s="133"/>
      <c r="W253" s="155"/>
      <c r="X253" s="138">
        <f>F_GAMMA*X$29</f>
        <v>0.6307062319203669</v>
      </c>
      <c r="Y253" s="133"/>
      <c r="Z253" s="155"/>
      <c r="AA253" s="138">
        <f>F_GAMMA*AA$29</f>
        <v>0.62217534213893466</v>
      </c>
      <c r="AB253" s="133"/>
      <c r="AC253" s="155"/>
      <c r="AD253" s="138">
        <f>F_GAMMA*AD$29</f>
        <v>0.60557184969146072</v>
      </c>
      <c r="AE253" s="133"/>
      <c r="AF253" s="155"/>
      <c r="AG253" s="138">
        <f>F_GAMMA*AG$29</f>
        <v>0.57289312142622573</v>
      </c>
      <c r="AH253" s="133"/>
      <c r="AI253" s="155"/>
      <c r="AJ253" s="138">
        <f>F_GAMMA*AJ$29</f>
        <v>0.53590819116049981</v>
      </c>
      <c r="AK253" s="133"/>
      <c r="AL253" s="155"/>
      <c r="AM253" s="138">
        <f>F_GAMMA*AM$29</f>
        <v>0.49048815926850342</v>
      </c>
      <c r="AN253" s="133"/>
      <c r="AO253" s="155"/>
      <c r="AP253" s="138">
        <f>F_GAMMA*AP$29</f>
        <v>0.59352979016280105</v>
      </c>
      <c r="AQ253" s="133"/>
      <c r="AR253" s="155"/>
      <c r="AS253" s="138">
        <f>F_GAMMA*AS$29</f>
        <v>0.39097221161068291</v>
      </c>
      <c r="AT253" s="133"/>
      <c r="AU253" s="155"/>
    </row>
    <row r="254" spans="13:47" x14ac:dyDescent="0.25">
      <c r="M254" s="27"/>
      <c r="N254" s="27"/>
      <c r="O254" s="2" t="s">
        <v>193</v>
      </c>
      <c r="P254" s="134"/>
      <c r="Q254" s="2"/>
      <c r="R254" s="181">
        <f>IF(R249&lt;R253,R251,R252)</f>
        <v>6.6632663499600633E-2</v>
      </c>
      <c r="S254" s="133"/>
      <c r="T254" s="147"/>
      <c r="U254" s="138">
        <f>IF(U249&lt;U253,U251,U252)</f>
        <v>2.3363977054938787</v>
      </c>
      <c r="V254" s="133"/>
      <c r="W254" s="155"/>
      <c r="X254" s="138">
        <f>IF(X249&lt;X253,X251,X252)</f>
        <v>5.861383142048334</v>
      </c>
      <c r="Y254" s="133"/>
      <c r="Z254" s="155"/>
      <c r="AA254" s="138">
        <f>IF(AA249&lt;AA253,AA251,AA252)</f>
        <v>11.806519429167867</v>
      </c>
      <c r="AB254" s="133"/>
      <c r="AC254" s="155"/>
      <c r="AD254" s="138">
        <f>IF(AD249&lt;AD253,AD251,AD252)</f>
        <v>20.977924613398113</v>
      </c>
      <c r="AE254" s="133"/>
      <c r="AF254" s="155"/>
      <c r="AG254" s="138">
        <f>IF(AG249&lt;AG253,AG251,AG252)</f>
        <v>33.672764180870168</v>
      </c>
      <c r="AH254" s="133"/>
      <c r="AI254" s="155"/>
      <c r="AJ254" s="138">
        <f>IF(AJ249&lt;AJ253,AJ251,AJ252)</f>
        <v>51.950741701684628</v>
      </c>
      <c r="AK254" s="133"/>
      <c r="AL254" s="155"/>
      <c r="AM254" s="138">
        <f>IF(AM249&lt;AM253,AM251,AM252)</f>
        <v>79.380246912811188</v>
      </c>
      <c r="AN254" s="133"/>
      <c r="AO254" s="155"/>
      <c r="AP254" s="138">
        <f>IF(AP249&lt;AP253,AP251,AP252)</f>
        <v>126.43122281958368</v>
      </c>
      <c r="AQ254" s="133"/>
      <c r="AR254" s="155"/>
      <c r="AS254" s="138">
        <f>IF(AS249&lt;AS253,AS251,AS252)</f>
        <v>532.5281476179573</v>
      </c>
      <c r="AT254" s="133"/>
      <c r="AU254" s="155"/>
    </row>
    <row r="255" spans="13:47" ht="13" x14ac:dyDescent="0.3">
      <c r="M255" s="28"/>
      <c r="N255" s="28"/>
      <c r="O255" s="9" t="s">
        <v>194</v>
      </c>
      <c r="P255" s="1"/>
      <c r="Q255" s="1"/>
      <c r="R255" s="135"/>
      <c r="S255" s="132">
        <f>IF(R248&lt;=0,W_max,ABS(R$23-R254))</f>
        <v>1.9333673365003994</v>
      </c>
      <c r="T255" s="151">
        <f>R243</f>
        <v>15.410192473811286</v>
      </c>
      <c r="U255" s="135"/>
      <c r="V255" s="132">
        <f>IF(U248&lt;=0,W_max,ABS(U$23-U254))</f>
        <v>2.6636022945061213</v>
      </c>
      <c r="W255" s="151">
        <f>U243</f>
        <v>539.33451352165127</v>
      </c>
      <c r="X255" s="135"/>
      <c r="Y255" s="132">
        <f>IF(X248&lt;=0,W_max,ABS(X$23-X254))</f>
        <v>4.138616857951666</v>
      </c>
      <c r="Z255" s="151">
        <f>X243</f>
        <v>1333.8384334985067</v>
      </c>
      <c r="AA255" s="135"/>
      <c r="AB255" s="132">
        <f>IF(AA248&lt;=0,W_max,ABS(AA$23-AA254))</f>
        <v>5.3934805708321321</v>
      </c>
      <c r="AC255" s="151">
        <f>AA243</f>
        <v>2597.9768123127969</v>
      </c>
      <c r="AD255" s="135"/>
      <c r="AE255" s="132">
        <f>IF(AD248&lt;=0,W_max,ABS(AD$23-AD254))</f>
        <v>5.6220753866018889</v>
      </c>
      <c r="AF255" s="151">
        <f>AD243</f>
        <v>4272.7153379421588</v>
      </c>
      <c r="AG255" s="135"/>
      <c r="AH255" s="132">
        <f>IF(AG248&lt;=0,W_max,ABS(AG$23-AG254))</f>
        <v>4.7272358191298309</v>
      </c>
      <c r="AI255" s="151">
        <f>AG243</f>
        <v>5992.8122014514202</v>
      </c>
      <c r="AJ255" s="135"/>
      <c r="AK255" s="132">
        <f>IF(AJ248&lt;=0,W_max,ABS(AJ$23-AJ254))</f>
        <v>0.54925829831537243</v>
      </c>
      <c r="AL255" s="151">
        <f>AJ243</f>
        <v>7609.2812943276876</v>
      </c>
      <c r="AM255" s="135"/>
      <c r="AN255" s="132">
        <f>IF(AM248&lt;=0,W_max,ABS(AM$23-AM254))</f>
        <v>6.9802469128111824</v>
      </c>
      <c r="AO255" s="151">
        <f>AM243</f>
        <v>8922.4807489460072</v>
      </c>
      <c r="AP255" s="135"/>
      <c r="AQ255" s="132">
        <f>IF(AP248&lt;=0,W_max,ABS(AP$23-AP254))</f>
        <v>18.431222819583681</v>
      </c>
      <c r="AR255" s="151">
        <f>AP243</f>
        <v>9954.529345329709</v>
      </c>
      <c r="AS255" s="135"/>
      <c r="AT255" s="132">
        <f>IF(AS248&lt;=0,W_max,ABS(AS$23-AS254))</f>
        <v>352.5281476179573</v>
      </c>
      <c r="AU255" s="151">
        <f>AS243</f>
        <v>11105.953296535374</v>
      </c>
    </row>
    <row r="256" spans="13:47" ht="13" x14ac:dyDescent="0.25">
      <c r="M256" s="12"/>
      <c r="N256" s="12"/>
      <c r="O256" s="12"/>
      <c r="P256" s="12"/>
      <c r="Q256" s="12"/>
      <c r="R256" s="182"/>
      <c r="S256" s="22"/>
      <c r="T256" s="152"/>
      <c r="U256" s="157"/>
      <c r="V256" s="1"/>
      <c r="W256" s="147"/>
      <c r="X256" s="157"/>
      <c r="Y256" s="1"/>
      <c r="Z256" s="147"/>
      <c r="AA256" s="157"/>
      <c r="AB256" s="1"/>
      <c r="AC256" s="147"/>
      <c r="AD256" s="157"/>
      <c r="AE256" s="1"/>
      <c r="AF256" s="147"/>
      <c r="AG256" s="157"/>
      <c r="AH256" s="1"/>
      <c r="AI256" s="147"/>
      <c r="AJ256" s="157"/>
      <c r="AK256" s="1"/>
      <c r="AL256" s="147"/>
      <c r="AM256" s="157"/>
      <c r="AN256" s="1"/>
      <c r="AO256" s="147"/>
      <c r="AP256" s="157"/>
      <c r="AQ256" s="1"/>
      <c r="AR256" s="147"/>
      <c r="AS256" s="157"/>
      <c r="AT256" s="1"/>
      <c r="AU256" s="147"/>
    </row>
    <row r="257" spans="13:47" ht="14" x14ac:dyDescent="0.3">
      <c r="M257" s="23"/>
      <c r="N257" s="23"/>
      <c r="O257" s="23" t="s">
        <v>238</v>
      </c>
      <c r="P257" s="20"/>
      <c r="Q257" s="20"/>
      <c r="R257" s="18">
        <f>R243*1.02</f>
        <v>15.718396323287511</v>
      </c>
      <c r="S257" s="128" t="s">
        <v>185</v>
      </c>
      <c r="T257" s="153" t="s">
        <v>186</v>
      </c>
      <c r="U257" s="143">
        <f>U243*1.01</f>
        <v>544.72785865686774</v>
      </c>
      <c r="V257" s="128" t="s">
        <v>185</v>
      </c>
      <c r="W257" s="153" t="s">
        <v>186</v>
      </c>
      <c r="X257" s="143">
        <f>X243*1.01</f>
        <v>1347.1768178334917</v>
      </c>
      <c r="Y257" s="128" t="s">
        <v>185</v>
      </c>
      <c r="Z257" s="153" t="s">
        <v>186</v>
      </c>
      <c r="AA257" s="143">
        <f>AA243*1.01</f>
        <v>2623.9565804359249</v>
      </c>
      <c r="AB257" s="128" t="s">
        <v>185</v>
      </c>
      <c r="AC257" s="153" t="s">
        <v>186</v>
      </c>
      <c r="AD257" s="143">
        <f>AD243*1.01</f>
        <v>4315.4424913215807</v>
      </c>
      <c r="AE257" s="128" t="s">
        <v>185</v>
      </c>
      <c r="AF257" s="153" t="s">
        <v>186</v>
      </c>
      <c r="AG257" s="143">
        <f>AG243*1.01</f>
        <v>6052.7403234659341</v>
      </c>
      <c r="AH257" s="128" t="s">
        <v>185</v>
      </c>
      <c r="AI257" s="153" t="s">
        <v>186</v>
      </c>
      <c r="AJ257" s="143">
        <f>AJ243*1.01</f>
        <v>7685.3741072709645</v>
      </c>
      <c r="AK257" s="128" t="s">
        <v>185</v>
      </c>
      <c r="AL257" s="153" t="s">
        <v>186</v>
      </c>
      <c r="AM257" s="143">
        <f>AM243*1.01</f>
        <v>9011.7055564354669</v>
      </c>
      <c r="AN257" s="128" t="s">
        <v>185</v>
      </c>
      <c r="AO257" s="153" t="s">
        <v>186</v>
      </c>
      <c r="AP257" s="143">
        <f>AP243*1.01</f>
        <v>10054.074638783006</v>
      </c>
      <c r="AQ257" s="128" t="s">
        <v>185</v>
      </c>
      <c r="AR257" s="153" t="s">
        <v>186</v>
      </c>
      <c r="AS257" s="143">
        <f>AS243*1.01</f>
        <v>11217.012829500727</v>
      </c>
      <c r="AT257" s="128" t="s">
        <v>185</v>
      </c>
      <c r="AU257" s="153" t="s">
        <v>186</v>
      </c>
    </row>
    <row r="258" spans="13:47" ht="14" x14ac:dyDescent="0.3">
      <c r="M258" s="12"/>
      <c r="N258" s="12"/>
      <c r="O258" s="20"/>
      <c r="P258" s="20"/>
      <c r="Q258" s="23"/>
      <c r="R258" s="139"/>
      <c r="S258" s="130" t="s">
        <v>228</v>
      </c>
      <c r="T258" s="154" t="s">
        <v>187</v>
      </c>
      <c r="U258" s="144"/>
      <c r="V258" s="130" t="s">
        <v>228</v>
      </c>
      <c r="W258" s="154" t="s">
        <v>187</v>
      </c>
      <c r="X258" s="144"/>
      <c r="Y258" s="130" t="s">
        <v>228</v>
      </c>
      <c r="Z258" s="154" t="s">
        <v>187</v>
      </c>
      <c r="AA258" s="144"/>
      <c r="AB258" s="130" t="s">
        <v>228</v>
      </c>
      <c r="AC258" s="154" t="s">
        <v>187</v>
      </c>
      <c r="AD258" s="144"/>
      <c r="AE258" s="130" t="s">
        <v>228</v>
      </c>
      <c r="AF258" s="154" t="s">
        <v>187</v>
      </c>
      <c r="AG258" s="144"/>
      <c r="AH258" s="130" t="s">
        <v>228</v>
      </c>
      <c r="AI258" s="154" t="s">
        <v>187</v>
      </c>
      <c r="AJ258" s="144"/>
      <c r="AK258" s="130" t="s">
        <v>228</v>
      </c>
      <c r="AL258" s="154" t="s">
        <v>187</v>
      </c>
      <c r="AM258" s="144"/>
      <c r="AN258" s="130" t="s">
        <v>228</v>
      </c>
      <c r="AO258" s="154" t="s">
        <v>187</v>
      </c>
      <c r="AP258" s="144"/>
      <c r="AQ258" s="130" t="s">
        <v>228</v>
      </c>
      <c r="AR258" s="154" t="s">
        <v>187</v>
      </c>
      <c r="AS258" s="144"/>
      <c r="AT258" s="130" t="s">
        <v>228</v>
      </c>
      <c r="AU258" s="154" t="s">
        <v>187</v>
      </c>
    </row>
    <row r="259" spans="13:47" x14ac:dyDescent="0.25">
      <c r="M259" s="20"/>
      <c r="N259" s="20"/>
      <c r="O259" s="7" t="s">
        <v>188</v>
      </c>
      <c r="P259" s="7"/>
      <c r="Q259" s="7"/>
      <c r="R259" s="181">
        <f>P_1_minW-(R257^2*R_up)+dpup_minQ</f>
        <v>100.52268821544409</v>
      </c>
      <c r="S259" s="132"/>
      <c r="T259" s="145"/>
      <c r="U259" s="138">
        <f>P_1_minW-(U257^2*R_up)+dpup_minQ</f>
        <v>100.40446275904515</v>
      </c>
      <c r="V259" s="132"/>
      <c r="W259" s="145"/>
      <c r="X259" s="138">
        <f>P_1_minW-(X257^2*R_up)+dpup_minQ</f>
        <v>99.799079710115308</v>
      </c>
      <c r="Y259" s="132"/>
      <c r="Z259" s="145"/>
      <c r="AA259" s="138">
        <f>P_1_minW-(AA257^2*R_up)+dpup_minQ</f>
        <v>97.777252421281673</v>
      </c>
      <c r="AB259" s="132"/>
      <c r="AC259" s="145"/>
      <c r="AD259" s="138">
        <f>P_1_minW-(AD257^2*R_up)+dpup_minQ</f>
        <v>93.096627551159571</v>
      </c>
      <c r="AE259" s="132"/>
      <c r="AF259" s="145"/>
      <c r="AG259" s="138">
        <f>P_1_minW-(AG257^2*R_up)+dpup_minQ</f>
        <v>85.913881510308656</v>
      </c>
      <c r="AH259" s="132"/>
      <c r="AI259" s="145"/>
      <c r="AJ259" s="138">
        <f>P_1_minW-(AJ257^2*R_up)+dpup_minQ</f>
        <v>76.969928764303873</v>
      </c>
      <c r="AK259" s="132"/>
      <c r="AL259" s="145"/>
      <c r="AM259" s="138">
        <f>P_1_minW-(AM257^2*R_up)+dpup_minQ</f>
        <v>68.139004214777088</v>
      </c>
      <c r="AN259" s="132"/>
      <c r="AO259" s="145"/>
      <c r="AP259" s="138">
        <f>P_1_minW-(AP257^2*R_up)+dpup_minQ</f>
        <v>60.214179032931312</v>
      </c>
      <c r="AQ259" s="132"/>
      <c r="AR259" s="145"/>
      <c r="AS259" s="138">
        <f>P_1_minW-(AS257^2*R_up)+dpup_minQ</f>
        <v>50.350023443334415</v>
      </c>
      <c r="AT259" s="132"/>
      <c r="AU259" s="145"/>
    </row>
    <row r="260" spans="13:47" x14ac:dyDescent="0.25">
      <c r="M260" s="20"/>
      <c r="N260" s="20"/>
      <c r="O260" s="7" t="s">
        <v>189</v>
      </c>
      <c r="P260" s="1"/>
      <c r="Q260" s="7"/>
      <c r="R260" s="181">
        <f>P_2_minW+(R257^2*R_dn)-dpdn_minQ</f>
        <v>50</v>
      </c>
      <c r="S260" s="132"/>
      <c r="T260" s="146"/>
      <c r="U260" s="138">
        <f>P_2_minW+(U257^2*R_dn)-dpdn_minQ</f>
        <v>50</v>
      </c>
      <c r="V260" s="132"/>
      <c r="W260" s="146"/>
      <c r="X260" s="138">
        <f>P_2_minW+(X257^2*R_dn)-dpdn_minQ</f>
        <v>50</v>
      </c>
      <c r="Y260" s="132"/>
      <c r="Z260" s="146"/>
      <c r="AA260" s="138">
        <f>P_2_minW+(AA257^2*R_dn)-dpdn_minQ</f>
        <v>50</v>
      </c>
      <c r="AB260" s="132"/>
      <c r="AC260" s="146"/>
      <c r="AD260" s="138">
        <f>P_2_minW+(AD257^2*R_dn)-dpdn_minQ</f>
        <v>50</v>
      </c>
      <c r="AE260" s="132"/>
      <c r="AF260" s="146"/>
      <c r="AG260" s="138">
        <f>P_2_minW+(AG257^2*R_dn)-dpdn_minQ</f>
        <v>50</v>
      </c>
      <c r="AH260" s="132"/>
      <c r="AI260" s="146"/>
      <c r="AJ260" s="138">
        <f>P_2_minW+(AJ257^2*R_dn)-dpdn_minQ</f>
        <v>50</v>
      </c>
      <c r="AK260" s="132"/>
      <c r="AL260" s="146"/>
      <c r="AM260" s="138">
        <f>P_2_minW+(AM257^2*R_dn)-dpdn_minQ</f>
        <v>50</v>
      </c>
      <c r="AN260" s="132"/>
      <c r="AO260" s="146"/>
      <c r="AP260" s="138">
        <f>P_2_minW+(AP257^2*R_dn)-dpdn_minQ</f>
        <v>50</v>
      </c>
      <c r="AQ260" s="132"/>
      <c r="AR260" s="146"/>
      <c r="AS260" s="138">
        <f>P_2_minW+(AS257^2*R_dn)-dpdn_minQ</f>
        <v>50</v>
      </c>
      <c r="AT260" s="132"/>
      <c r="AU260" s="146"/>
    </row>
    <row r="261" spans="13:47" x14ac:dyDescent="0.25">
      <c r="M261" s="20"/>
      <c r="N261" s="20"/>
      <c r="O261" s="7" t="s">
        <v>234</v>
      </c>
      <c r="P261" s="1"/>
      <c r="Q261" s="7"/>
      <c r="R261" s="179">
        <f>'Valve Sizing'!G$8*R259/P_1_maxW</f>
        <v>0.48490355098976423</v>
      </c>
      <c r="S261" s="132"/>
      <c r="T261" s="146"/>
      <c r="U261" s="143">
        <f>'Valve Sizing'!$G$8*U259/P_1_maxW</f>
        <v>0.48433325243684083</v>
      </c>
      <c r="V261" s="132"/>
      <c r="W261" s="146"/>
      <c r="X261" s="143">
        <f>'Valve Sizing'!$G$8*X259/P_1_maxW</f>
        <v>0.48141299239061192</v>
      </c>
      <c r="Y261" s="132"/>
      <c r="Z261" s="146"/>
      <c r="AA261" s="143">
        <f>'Valve Sizing'!$G$8*AA259/P_1_maxW</f>
        <v>0.47166005751344048</v>
      </c>
      <c r="AB261" s="132"/>
      <c r="AC261" s="146"/>
      <c r="AD261" s="143">
        <f>'Valve Sizing'!$G$8*AD259/P_1_maxW</f>
        <v>0.44908155647386616</v>
      </c>
      <c r="AE261" s="132"/>
      <c r="AF261" s="146"/>
      <c r="AG261" s="143">
        <f>'Valve Sizing'!$G$8*AG259/P_1_maxW</f>
        <v>0.41443326838191308</v>
      </c>
      <c r="AH261" s="132"/>
      <c r="AI261" s="146"/>
      <c r="AJ261" s="143">
        <f>'Valve Sizing'!$G$8*AJ259/P_1_maxW</f>
        <v>0.37128923270782482</v>
      </c>
      <c r="AK261" s="132"/>
      <c r="AL261" s="146"/>
      <c r="AM261" s="143">
        <f>'Valve Sizing'!$G$8*AM259/P_1_maxW</f>
        <v>0.32869042493011635</v>
      </c>
      <c r="AN261" s="132"/>
      <c r="AO261" s="146"/>
      <c r="AP261" s="143">
        <f>'Valve Sizing'!$G$8*AP259/P_1_maxW</f>
        <v>0.29046247918105189</v>
      </c>
      <c r="AQ261" s="132"/>
      <c r="AR261" s="146"/>
      <c r="AS261" s="143">
        <f>'Valve Sizing'!$G$8*AS259/P_1_maxW</f>
        <v>0.2428795488214936</v>
      </c>
      <c r="AT261" s="132"/>
      <c r="AU261" s="146"/>
    </row>
    <row r="262" spans="13:47" x14ac:dyDescent="0.25">
      <c r="M262" s="20"/>
      <c r="N262" s="20"/>
      <c r="O262" s="7" t="s">
        <v>190</v>
      </c>
      <c r="P262" s="1"/>
      <c r="Q262" s="7"/>
      <c r="R262" s="181">
        <f>R259-R260</f>
        <v>50.522688215444091</v>
      </c>
      <c r="S262" s="132"/>
      <c r="T262" s="146"/>
      <c r="U262" s="138">
        <f>U259-U260</f>
        <v>50.404462759045146</v>
      </c>
      <c r="V262" s="132"/>
      <c r="W262" s="146"/>
      <c r="X262" s="138">
        <f>X259-X260</f>
        <v>49.799079710115308</v>
      </c>
      <c r="Y262" s="132"/>
      <c r="Z262" s="146"/>
      <c r="AA262" s="138">
        <f>AA259-AA260</f>
        <v>47.777252421281673</v>
      </c>
      <c r="AB262" s="132"/>
      <c r="AC262" s="146"/>
      <c r="AD262" s="138">
        <f>AD259-AD260</f>
        <v>43.096627551159571</v>
      </c>
      <c r="AE262" s="132"/>
      <c r="AF262" s="146"/>
      <c r="AG262" s="138">
        <f>AG259-AG260</f>
        <v>35.913881510308656</v>
      </c>
      <c r="AH262" s="132"/>
      <c r="AI262" s="146"/>
      <c r="AJ262" s="138">
        <f>AJ259-AJ260</f>
        <v>26.969928764303873</v>
      </c>
      <c r="AK262" s="132"/>
      <c r="AL262" s="146"/>
      <c r="AM262" s="138">
        <f>AM259-AM260</f>
        <v>18.139004214777088</v>
      </c>
      <c r="AN262" s="132"/>
      <c r="AO262" s="146"/>
      <c r="AP262" s="138">
        <f>AP259-AP260</f>
        <v>10.214179032931312</v>
      </c>
      <c r="AQ262" s="132"/>
      <c r="AR262" s="146"/>
      <c r="AS262" s="138">
        <f>AS259-AS260</f>
        <v>0.35002344333441471</v>
      </c>
      <c r="AT262" s="132"/>
      <c r="AU262" s="146"/>
    </row>
    <row r="263" spans="13:47" ht="14.5" x14ac:dyDescent="0.35">
      <c r="M263" s="27"/>
      <c r="N263" s="27"/>
      <c r="O263" s="2" t="s">
        <v>191</v>
      </c>
      <c r="P263" s="10"/>
      <c r="Q263" s="2"/>
      <c r="R263" s="181">
        <f>R262/R259</f>
        <v>0.50259985195742007</v>
      </c>
      <c r="S263" s="132"/>
      <c r="T263" s="146"/>
      <c r="U263" s="138">
        <f>U262/U259</f>
        <v>0.50201416723883974</v>
      </c>
      <c r="V263" s="132"/>
      <c r="W263" s="146"/>
      <c r="X263" s="138">
        <f>X262/X259</f>
        <v>0.49899337603879562</v>
      </c>
      <c r="Y263" s="132"/>
      <c r="Z263" s="146"/>
      <c r="AA263" s="138">
        <f>AA262/AA259</f>
        <v>0.48863361608310779</v>
      </c>
      <c r="AB263" s="132"/>
      <c r="AC263" s="146"/>
      <c r="AD263" s="138">
        <f>AD262/AD259</f>
        <v>0.4629236169428006</v>
      </c>
      <c r="AE263" s="132"/>
      <c r="AF263" s="146"/>
      <c r="AG263" s="138">
        <f>AG262/AG259</f>
        <v>0.41802187119201933</v>
      </c>
      <c r="AH263" s="132"/>
      <c r="AI263" s="146"/>
      <c r="AJ263" s="138">
        <f>AJ262/AJ259</f>
        <v>0.35039565707395642</v>
      </c>
      <c r="AK263" s="132"/>
      <c r="AL263" s="146"/>
      <c r="AM263" s="138">
        <f>AM262/AM259</f>
        <v>0.26620588932591621</v>
      </c>
      <c r="AN263" s="132"/>
      <c r="AO263" s="146"/>
      <c r="AP263" s="138">
        <f>AP262/AP259</f>
        <v>0.16963079455663005</v>
      </c>
      <c r="AQ263" s="132"/>
      <c r="AR263" s="146"/>
      <c r="AS263" s="138">
        <f>AS262/AS259</f>
        <v>6.9518029863152439E-3</v>
      </c>
      <c r="AT263" s="132"/>
      <c r="AU263" s="146"/>
    </row>
    <row r="264" spans="13:47" x14ac:dyDescent="0.25">
      <c r="M264" s="27"/>
      <c r="N264" s="27"/>
      <c r="O264" s="2" t="s">
        <v>26</v>
      </c>
      <c r="P264" s="7">
        <v>12</v>
      </c>
      <c r="Q264" s="2"/>
      <c r="R264" s="181">
        <f>1-R263/(3*F_GAMMA*R$29)</f>
        <v>0.73824023774420799</v>
      </c>
      <c r="S264" s="133"/>
      <c r="T264" s="146"/>
      <c r="U264" s="138">
        <f>1-U263/(3*F_GAMMA*U$29)</f>
        <v>0.73860283487805523</v>
      </c>
      <c r="V264" s="133"/>
      <c r="W264" s="146"/>
      <c r="X264" s="138">
        <f>1-X263/(3*F_GAMMA*X$29)</f>
        <v>0.73627797391533267</v>
      </c>
      <c r="Y264" s="133"/>
      <c r="Z264" s="146"/>
      <c r="AA264" s="138">
        <f>1-AA263/(3*F_GAMMA*AA$29)</f>
        <v>0.73821226751327729</v>
      </c>
      <c r="AB264" s="133"/>
      <c r="AC264" s="146"/>
      <c r="AD264" s="138">
        <f>1-AD263/(3*F_GAMMA*AD$29)</f>
        <v>0.74518651685528847</v>
      </c>
      <c r="AE264" s="133"/>
      <c r="AF264" s="146"/>
      <c r="AG264" s="138">
        <f>1-AG263/(3*F_GAMMA*AG$29)</f>
        <v>0.75677727918292581</v>
      </c>
      <c r="AH264" s="133"/>
      <c r="AI264" s="146"/>
      <c r="AJ264" s="138">
        <f>1-AJ263/(3*F_GAMMA*AJ$29)</f>
        <v>0.7820549223085016</v>
      </c>
      <c r="AK264" s="133"/>
      <c r="AL264" s="146"/>
      <c r="AM264" s="138">
        <f>1-AM263/(3*F_GAMMA*AM$29)</f>
        <v>0.81908779087693229</v>
      </c>
      <c r="AN264" s="133"/>
      <c r="AO264" s="146"/>
      <c r="AP264" s="138">
        <f>1-AP263/(3*F_GAMMA*AP$29)</f>
        <v>0.90473334426898133</v>
      </c>
      <c r="AQ264" s="133"/>
      <c r="AR264" s="146"/>
      <c r="AS264" s="138">
        <f>1-AS263/(3*F_GAMMA*AS$29)</f>
        <v>0.99407306301243592</v>
      </c>
      <c r="AT264" s="133"/>
      <c r="AU264" s="146"/>
    </row>
    <row r="265" spans="13:47" x14ac:dyDescent="0.25">
      <c r="M265" s="27"/>
      <c r="N265" s="27"/>
      <c r="O265" s="2" t="s">
        <v>71</v>
      </c>
      <c r="P265" s="85">
        <v>5</v>
      </c>
      <c r="Q265" s="2"/>
      <c r="R265" s="179">
        <f>R257/((N_6*R$27*R264)*SQRT(R263*R259*R261))</f>
        <v>6.7965319728497953E-2</v>
      </c>
      <c r="S265" s="133"/>
      <c r="T265" s="146"/>
      <c r="U265" s="143">
        <f>U257/((N_6*U$27*U264)*SQRT(U263*U259*U261))</f>
        <v>2.3598244181059211</v>
      </c>
      <c r="V265" s="133"/>
      <c r="W265" s="146"/>
      <c r="X265" s="143">
        <f>X257/((N_6*X$27*X264)*SQRT(X263*X259*X261))</f>
        <v>5.9209632659416327</v>
      </c>
      <c r="Y265" s="133"/>
      <c r="Z265" s="146"/>
      <c r="AA265" s="143">
        <f>AA257/((N_6*AA$27*AA264)*SQRT(AA263*AA259*AA261))</f>
        <v>11.932184764462363</v>
      </c>
      <c r="AB265" s="133"/>
      <c r="AC265" s="146"/>
      <c r="AD265" s="143">
        <f>AD257/((N_6*AD$27*AD264)*SQRT(AD263*AD259*AD261))</f>
        <v>21.227091444911974</v>
      </c>
      <c r="AE265" s="133"/>
      <c r="AF265" s="146"/>
      <c r="AG265" s="143">
        <f>AG257/((N_6*AG$27*AG264)*SQRT(AG263*AG259*AG261))</f>
        <v>34.151564182544561</v>
      </c>
      <c r="AH265" s="133"/>
      <c r="AI265" s="146"/>
      <c r="AJ265" s="143">
        <f>AJ257/((N_6*AJ$27*AJ264)*SQRT(AJ263*AJ259*AJ261))</f>
        <v>52.914704855228649</v>
      </c>
      <c r="AK265" s="133"/>
      <c r="AL265" s="146"/>
      <c r="AM265" s="143">
        <f>AM257/((N_6*AM$27*AM264)*SQRT(AM263*AM259*AM261))</f>
        <v>81.490171843220139</v>
      </c>
      <c r="AN265" s="133"/>
      <c r="AO265" s="146"/>
      <c r="AP265" s="143">
        <f>AP257/((N_6*AP$27*AP264)*SQRT(AP263*AP259*AP261))</f>
        <v>132.54331190664362</v>
      </c>
      <c r="AQ265" s="133"/>
      <c r="AR265" s="146"/>
      <c r="AS265" s="143">
        <f>AS257/((N_6*AS$27*AS264)*SQRT(AS263*AS259*AS261))</f>
        <v>1044.6849838788621</v>
      </c>
      <c r="AT265" s="133"/>
      <c r="AU265" s="146"/>
    </row>
    <row r="266" spans="13:47" x14ac:dyDescent="0.25">
      <c r="M266" s="27"/>
      <c r="N266" s="27"/>
      <c r="O266" s="2" t="s">
        <v>73</v>
      </c>
      <c r="P266" s="85">
        <v>5</v>
      </c>
      <c r="Q266" s="2"/>
      <c r="R266" s="179">
        <f>R257/((N_6*R$27*0.667)*SQRT(R267*R259*R261))</f>
        <v>6.6660921697049014E-2</v>
      </c>
      <c r="S266" s="133"/>
      <c r="T266" s="155"/>
      <c r="U266" s="143">
        <f>U257/((N_6*U$27*0.667)*SQRT(U267*U259*U261))</f>
        <v>2.3140667968462032</v>
      </c>
      <c r="V266" s="133"/>
      <c r="W266" s="155"/>
      <c r="X266" s="143">
        <f>X257/((N_6*X$27*0.667)*SQRT(X267*X259*X261))</f>
        <v>5.813560153412439</v>
      </c>
      <c r="Y266" s="133"/>
      <c r="Z266" s="155"/>
      <c r="AA266" s="143">
        <f>AA257/((N_6*AA$27*0.667)*SQRT(AA267*AA259*AA261))</f>
        <v>11.703362759688414</v>
      </c>
      <c r="AB266" s="133"/>
      <c r="AC266" s="155"/>
      <c r="AD266" s="143">
        <f>AD257/((N_6*AD$27*0.667)*SQRT(AD267*AD259*AD261))</f>
        <v>20.73487754181911</v>
      </c>
      <c r="AE266" s="133"/>
      <c r="AF266" s="155"/>
      <c r="AG266" s="143">
        <f>AG257/((N_6*AG$27*0.667)*SQRT(AG267*AG259*AG261))</f>
        <v>33.099051531227992</v>
      </c>
      <c r="AH266" s="133"/>
      <c r="AI266" s="155"/>
      <c r="AJ266" s="143">
        <f>AJ257/((N_6*AJ$27*0.667)*SQRT(AJ267*AJ259*AJ261))</f>
        <v>50.167442066642764</v>
      </c>
      <c r="AK266" s="133"/>
      <c r="AL266" s="155"/>
      <c r="AM266" s="143">
        <f>AM257/((N_6*AM$27*0.667)*SQRT(AM267*AM259*AM261))</f>
        <v>73.723240777481763</v>
      </c>
      <c r="AN266" s="133"/>
      <c r="AO266" s="155"/>
      <c r="AP266" s="143">
        <f>AP257/((N_6*AP$27*0.667)*SQRT(AP267*AP259*AP261))</f>
        <v>96.11333973670196</v>
      </c>
      <c r="AQ266" s="133"/>
      <c r="AR266" s="155"/>
      <c r="AS266" s="143">
        <f>AS257/((N_6*AS$27*0.667)*SQRT(AS267*AS259*AS261))</f>
        <v>207.61255175319806</v>
      </c>
      <c r="AT266" s="133"/>
      <c r="AU266" s="155"/>
    </row>
    <row r="267" spans="13:47" ht="15.5" x14ac:dyDescent="0.4">
      <c r="M267" s="27"/>
      <c r="N267" s="27"/>
      <c r="O267" s="2" t="s">
        <v>192</v>
      </c>
      <c r="P267" s="85">
        <v>10</v>
      </c>
      <c r="Q267" s="2"/>
      <c r="R267" s="181">
        <f>F_GAMMA*R$29</f>
        <v>0.64002688015162901</v>
      </c>
      <c r="S267" s="133"/>
      <c r="T267" s="155"/>
      <c r="U267" s="138">
        <f>F_GAMMA*U$29</f>
        <v>0.64016782916606918</v>
      </c>
      <c r="V267" s="133"/>
      <c r="W267" s="155"/>
      <c r="X267" s="138">
        <f>F_GAMMA*X$29</f>
        <v>0.6307062319203669</v>
      </c>
      <c r="Y267" s="133"/>
      <c r="Z267" s="155"/>
      <c r="AA267" s="138">
        <f>F_GAMMA*AA$29</f>
        <v>0.62217534213893466</v>
      </c>
      <c r="AB267" s="133"/>
      <c r="AC267" s="155"/>
      <c r="AD267" s="138">
        <f>F_GAMMA*AD$29</f>
        <v>0.60557184969146072</v>
      </c>
      <c r="AE267" s="133"/>
      <c r="AF267" s="155"/>
      <c r="AG267" s="138">
        <f>F_GAMMA*AG$29</f>
        <v>0.57289312142622573</v>
      </c>
      <c r="AH267" s="133"/>
      <c r="AI267" s="155"/>
      <c r="AJ267" s="138">
        <f>F_GAMMA*AJ$29</f>
        <v>0.53590819116049981</v>
      </c>
      <c r="AK267" s="133"/>
      <c r="AL267" s="155"/>
      <c r="AM267" s="138">
        <f>F_GAMMA*AM$29</f>
        <v>0.49048815926850342</v>
      </c>
      <c r="AN267" s="133"/>
      <c r="AO267" s="155"/>
      <c r="AP267" s="138">
        <f>F_GAMMA*AP$29</f>
        <v>0.59352979016280105</v>
      </c>
      <c r="AQ267" s="133"/>
      <c r="AR267" s="155"/>
      <c r="AS267" s="138">
        <f>F_GAMMA*AS$29</f>
        <v>0.39097221161068291</v>
      </c>
      <c r="AT267" s="133"/>
      <c r="AU267" s="155"/>
    </row>
    <row r="268" spans="13:47" x14ac:dyDescent="0.25">
      <c r="M268" s="27"/>
      <c r="N268" s="27"/>
      <c r="O268" s="2" t="s">
        <v>193</v>
      </c>
      <c r="P268" s="134"/>
      <c r="Q268" s="2"/>
      <c r="R268" s="181">
        <f>IF(R263&lt;R267,R265,R266)</f>
        <v>6.7965319728497953E-2</v>
      </c>
      <c r="S268" s="133"/>
      <c r="T268" s="155"/>
      <c r="U268" s="138">
        <f>IF(U263&lt;U267,U265,U266)</f>
        <v>2.3598244181059211</v>
      </c>
      <c r="V268" s="133"/>
      <c r="W268" s="155"/>
      <c r="X268" s="138">
        <f>IF(X263&lt;X267,X265,X266)</f>
        <v>5.9209632659416327</v>
      </c>
      <c r="Y268" s="133"/>
      <c r="Z268" s="155"/>
      <c r="AA268" s="138">
        <f>IF(AA263&lt;AA267,AA265,AA266)</f>
        <v>11.932184764462363</v>
      </c>
      <c r="AB268" s="133"/>
      <c r="AC268" s="155"/>
      <c r="AD268" s="138">
        <f>IF(AD263&lt;AD267,AD265,AD266)</f>
        <v>21.227091444911974</v>
      </c>
      <c r="AE268" s="133"/>
      <c r="AF268" s="155"/>
      <c r="AG268" s="138">
        <f>IF(AG263&lt;AG267,AG265,AG266)</f>
        <v>34.151564182544561</v>
      </c>
      <c r="AH268" s="133"/>
      <c r="AI268" s="155"/>
      <c r="AJ268" s="138">
        <f>IF(AJ263&lt;AJ267,AJ265,AJ266)</f>
        <v>52.914704855228649</v>
      </c>
      <c r="AK268" s="133"/>
      <c r="AL268" s="155"/>
      <c r="AM268" s="138">
        <f>IF(AM263&lt;AM267,AM265,AM266)</f>
        <v>81.490171843220139</v>
      </c>
      <c r="AN268" s="133"/>
      <c r="AO268" s="155"/>
      <c r="AP268" s="138">
        <f>IF(AP263&lt;AP267,AP265,AP266)</f>
        <v>132.54331190664362</v>
      </c>
      <c r="AQ268" s="133"/>
      <c r="AR268" s="155"/>
      <c r="AS268" s="138">
        <f>IF(AS263&lt;AS267,AS265,AS266)</f>
        <v>1044.6849838788621</v>
      </c>
      <c r="AT268" s="133"/>
      <c r="AU268" s="155"/>
    </row>
    <row r="269" spans="13:47" ht="13" x14ac:dyDescent="0.3">
      <c r="M269" s="28"/>
      <c r="N269" s="28"/>
      <c r="O269" s="9" t="s">
        <v>194</v>
      </c>
      <c r="P269" s="1"/>
      <c r="Q269" s="1"/>
      <c r="R269" s="135"/>
      <c r="S269" s="132">
        <f>IF(R262&lt;=0,W_max,ABS(R$23-R268))</f>
        <v>1.932034680271502</v>
      </c>
      <c r="T269" s="151">
        <f>R257</f>
        <v>15.718396323287511</v>
      </c>
      <c r="U269" s="135"/>
      <c r="V269" s="132">
        <f>IF(U262&lt;=0,W_max,ABS(U$23-U268))</f>
        <v>2.6401755818940789</v>
      </c>
      <c r="W269" s="151">
        <f>U257</f>
        <v>544.72785865686774</v>
      </c>
      <c r="X269" s="135"/>
      <c r="Y269" s="132">
        <f>IF(X262&lt;=0,W_max,ABS(X$23-X268))</f>
        <v>4.0790367340583673</v>
      </c>
      <c r="Z269" s="151">
        <f>X257</f>
        <v>1347.1768178334917</v>
      </c>
      <c r="AA269" s="135"/>
      <c r="AB269" s="132">
        <f>IF(AA262&lt;=0,W_max,ABS(AA$23-AA268))</f>
        <v>5.2678152355376362</v>
      </c>
      <c r="AC269" s="151">
        <f>AA257</f>
        <v>2623.9565804359249</v>
      </c>
      <c r="AD269" s="135"/>
      <c r="AE269" s="132">
        <f>IF(AD262&lt;=0,W_max,ABS(AD$23-AD268))</f>
        <v>5.3729085550880278</v>
      </c>
      <c r="AF269" s="151">
        <f>AD257</f>
        <v>4315.4424913215807</v>
      </c>
      <c r="AG269" s="135"/>
      <c r="AH269" s="132">
        <f>IF(AG262&lt;=0,W_max,ABS(AG$23-AG268))</f>
        <v>4.2484358174554373</v>
      </c>
      <c r="AI269" s="151">
        <f>AG257</f>
        <v>6052.7403234659341</v>
      </c>
      <c r="AJ269" s="135"/>
      <c r="AK269" s="132">
        <f>IF(AJ262&lt;=0,W_max,ABS(AJ$23-AJ268))</f>
        <v>0.41470485522864919</v>
      </c>
      <c r="AL269" s="151">
        <f>AJ257</f>
        <v>7685.3741072709645</v>
      </c>
      <c r="AM269" s="135"/>
      <c r="AN269" s="132">
        <f>IF(AM262&lt;=0,W_max,ABS(AM$23-AM268))</f>
        <v>9.0901718432201335</v>
      </c>
      <c r="AO269" s="151">
        <f>AM257</f>
        <v>9011.7055564354669</v>
      </c>
      <c r="AP269" s="135"/>
      <c r="AQ269" s="132">
        <f>IF(AP262&lt;=0,W_max,ABS(AP$23-AP268))</f>
        <v>24.543311906643623</v>
      </c>
      <c r="AR269" s="151">
        <f>AP257</f>
        <v>10054.074638783006</v>
      </c>
      <c r="AS269" s="135"/>
      <c r="AT269" s="132">
        <f>IF(AS262&lt;=0,W_max,ABS(AS$23-AS268))</f>
        <v>864.68498387886211</v>
      </c>
      <c r="AU269" s="151">
        <f>AS257</f>
        <v>11217.012829500727</v>
      </c>
    </row>
    <row r="270" spans="13:47" ht="13" x14ac:dyDescent="0.25">
      <c r="M270" s="12"/>
      <c r="N270" s="12"/>
      <c r="O270" s="2"/>
      <c r="P270" s="85"/>
      <c r="Q270" s="2"/>
      <c r="R270" s="18"/>
      <c r="S270" s="150"/>
      <c r="T270" s="152"/>
      <c r="U270" s="157"/>
      <c r="V270" s="1"/>
      <c r="W270" s="147"/>
      <c r="X270" s="157"/>
      <c r="Y270" s="1"/>
      <c r="Z270" s="147"/>
      <c r="AA270" s="157"/>
      <c r="AB270" s="1"/>
      <c r="AC270" s="147"/>
      <c r="AD270" s="157"/>
      <c r="AE270" s="1"/>
      <c r="AF270" s="147"/>
      <c r="AG270" s="157"/>
      <c r="AH270" s="1"/>
      <c r="AI270" s="147"/>
      <c r="AJ270" s="157"/>
      <c r="AK270" s="1"/>
      <c r="AL270" s="147"/>
      <c r="AM270" s="157"/>
      <c r="AN270" s="1"/>
      <c r="AO270" s="147"/>
      <c r="AP270" s="157"/>
      <c r="AQ270" s="1"/>
      <c r="AR270" s="147"/>
      <c r="AS270" s="157"/>
      <c r="AT270" s="1"/>
      <c r="AU270" s="147"/>
    </row>
    <row r="271" spans="13:47" ht="14" x14ac:dyDescent="0.3">
      <c r="M271" s="23"/>
      <c r="N271" s="23"/>
      <c r="O271" s="23" t="s">
        <v>238</v>
      </c>
      <c r="P271" s="20"/>
      <c r="Q271" s="20"/>
      <c r="R271" s="181">
        <f>R257*1.02</f>
        <v>16.03276424975326</v>
      </c>
      <c r="S271" s="128" t="s">
        <v>185</v>
      </c>
      <c r="T271" s="153" t="s">
        <v>186</v>
      </c>
      <c r="U271" s="143">
        <f>U257*1.01</f>
        <v>550.17513724343644</v>
      </c>
      <c r="V271" s="128" t="s">
        <v>185</v>
      </c>
      <c r="W271" s="153" t="s">
        <v>186</v>
      </c>
      <c r="X271" s="143">
        <f>X257*1.01</f>
        <v>1360.6485860118266</v>
      </c>
      <c r="Y271" s="128" t="s">
        <v>185</v>
      </c>
      <c r="Z271" s="153" t="s">
        <v>186</v>
      </c>
      <c r="AA271" s="143">
        <f>AA257*1.01</f>
        <v>2650.1961462402842</v>
      </c>
      <c r="AB271" s="128" t="s">
        <v>185</v>
      </c>
      <c r="AC271" s="153" t="s">
        <v>186</v>
      </c>
      <c r="AD271" s="143">
        <f>AD257*1.01</f>
        <v>4358.5969162347965</v>
      </c>
      <c r="AE271" s="128" t="s">
        <v>185</v>
      </c>
      <c r="AF271" s="153" t="s">
        <v>186</v>
      </c>
      <c r="AG271" s="143">
        <f>AG257*1.01</f>
        <v>6113.2677267005938</v>
      </c>
      <c r="AH271" s="128" t="s">
        <v>185</v>
      </c>
      <c r="AI271" s="153" t="s">
        <v>186</v>
      </c>
      <c r="AJ271" s="143">
        <f>AJ257*1.01</f>
        <v>7762.2278483436739</v>
      </c>
      <c r="AK271" s="128" t="s">
        <v>185</v>
      </c>
      <c r="AL271" s="153" t="s">
        <v>186</v>
      </c>
      <c r="AM271" s="143">
        <f>AM257*1.01</f>
        <v>9101.8226119998217</v>
      </c>
      <c r="AN271" s="128" t="s">
        <v>185</v>
      </c>
      <c r="AO271" s="153" t="s">
        <v>186</v>
      </c>
      <c r="AP271" s="143">
        <f>AP257*1.01</f>
        <v>10154.615385170837</v>
      </c>
      <c r="AQ271" s="128" t="s">
        <v>185</v>
      </c>
      <c r="AR271" s="153" t="s">
        <v>186</v>
      </c>
      <c r="AS271" s="143">
        <f>AS257*1.01</f>
        <v>11329.182957795734</v>
      </c>
      <c r="AT271" s="128" t="s">
        <v>185</v>
      </c>
      <c r="AU271" s="153" t="s">
        <v>186</v>
      </c>
    </row>
    <row r="272" spans="13:47" ht="14" x14ac:dyDescent="0.3">
      <c r="M272" s="12"/>
      <c r="N272" s="12"/>
      <c r="O272" s="20"/>
      <c r="P272" s="20"/>
      <c r="Q272" s="23"/>
      <c r="R272" s="139"/>
      <c r="S272" s="130" t="s">
        <v>228</v>
      </c>
      <c r="T272" s="154" t="s">
        <v>187</v>
      </c>
      <c r="U272" s="144"/>
      <c r="V272" s="130" t="s">
        <v>228</v>
      </c>
      <c r="W272" s="154" t="s">
        <v>187</v>
      </c>
      <c r="X272" s="144"/>
      <c r="Y272" s="130" t="s">
        <v>228</v>
      </c>
      <c r="Z272" s="154" t="s">
        <v>187</v>
      </c>
      <c r="AA272" s="144"/>
      <c r="AB272" s="130" t="s">
        <v>228</v>
      </c>
      <c r="AC272" s="154" t="s">
        <v>187</v>
      </c>
      <c r="AD272" s="144"/>
      <c r="AE272" s="130" t="s">
        <v>228</v>
      </c>
      <c r="AF272" s="154" t="s">
        <v>187</v>
      </c>
      <c r="AG272" s="144"/>
      <c r="AH272" s="130" t="s">
        <v>228</v>
      </c>
      <c r="AI272" s="154" t="s">
        <v>187</v>
      </c>
      <c r="AJ272" s="144"/>
      <c r="AK272" s="130" t="s">
        <v>228</v>
      </c>
      <c r="AL272" s="154" t="s">
        <v>187</v>
      </c>
      <c r="AM272" s="144"/>
      <c r="AN272" s="130" t="s">
        <v>228</v>
      </c>
      <c r="AO272" s="154" t="s">
        <v>187</v>
      </c>
      <c r="AP272" s="144"/>
      <c r="AQ272" s="130" t="s">
        <v>228</v>
      </c>
      <c r="AR272" s="154" t="s">
        <v>187</v>
      </c>
      <c r="AS272" s="144"/>
      <c r="AT272" s="130" t="s">
        <v>228</v>
      </c>
      <c r="AU272" s="154" t="s">
        <v>187</v>
      </c>
    </row>
    <row r="273" spans="13:47" x14ac:dyDescent="0.25">
      <c r="M273" s="20"/>
      <c r="N273" s="20"/>
      <c r="O273" s="7" t="s">
        <v>188</v>
      </c>
      <c r="P273" s="7"/>
      <c r="Q273" s="7"/>
      <c r="R273" s="181">
        <f>P_1_minW-(R271^2*R_up)+dpup_minQ</f>
        <v>100.52268423518427</v>
      </c>
      <c r="S273" s="132"/>
      <c r="T273" s="145"/>
      <c r="U273" s="138">
        <f>P_1_minW-(U271^2*R_up)+dpup_minQ</f>
        <v>100.40208444709376</v>
      </c>
      <c r="V273" s="132"/>
      <c r="W273" s="145"/>
      <c r="X273" s="138">
        <f>P_1_minW-(X271^2*R_up)+dpup_minQ</f>
        <v>99.784533198880425</v>
      </c>
      <c r="Y273" s="132"/>
      <c r="Z273" s="145"/>
      <c r="AA273" s="138">
        <f>P_1_minW-(AA271^2*R_up)+dpup_minQ</f>
        <v>97.722067181541235</v>
      </c>
      <c r="AB273" s="132"/>
      <c r="AC273" s="145"/>
      <c r="AD273" s="138">
        <f>P_1_minW-(AD271^2*R_up)+dpup_minQ</f>
        <v>92.94736175152967</v>
      </c>
      <c r="AE273" s="132"/>
      <c r="AF273" s="145"/>
      <c r="AG273" s="138">
        <f>P_1_minW-(AG271^2*R_up)+dpup_minQ</f>
        <v>85.620242515257658</v>
      </c>
      <c r="AH273" s="132"/>
      <c r="AI273" s="145"/>
      <c r="AJ273" s="138">
        <f>P_1_minW-(AJ271^2*R_up)+dpup_minQ</f>
        <v>76.496516319058173</v>
      </c>
      <c r="AK273" s="132"/>
      <c r="AL273" s="145"/>
      <c r="AM273" s="138">
        <f>P_1_minW-(AM271^2*R_up)+dpup_minQ</f>
        <v>67.488090186085898</v>
      </c>
      <c r="AN273" s="132"/>
      <c r="AO273" s="145"/>
      <c r="AP273" s="138">
        <f>P_1_minW-(AP271^2*R_up)+dpup_minQ</f>
        <v>59.403976018085018</v>
      </c>
      <c r="AQ273" s="132"/>
      <c r="AR273" s="145"/>
      <c r="AS273" s="138">
        <f>P_1_minW-(AS271^2*R_up)+dpup_minQ</f>
        <v>49.341550901137232</v>
      </c>
      <c r="AT273" s="132"/>
      <c r="AU273" s="145"/>
    </row>
    <row r="274" spans="13:47" x14ac:dyDescent="0.25">
      <c r="M274" s="20"/>
      <c r="N274" s="20"/>
      <c r="O274" s="7" t="s">
        <v>189</v>
      </c>
      <c r="P274" s="1"/>
      <c r="Q274" s="7"/>
      <c r="R274" s="181">
        <f>P_2_minW+(R271^2*R_dn)-dpdn_minQ</f>
        <v>50</v>
      </c>
      <c r="S274" s="132"/>
      <c r="T274" s="146"/>
      <c r="U274" s="138">
        <f>P_2_minW+(U271^2*R_dn)-dpdn_minQ</f>
        <v>50</v>
      </c>
      <c r="V274" s="132"/>
      <c r="W274" s="146"/>
      <c r="X274" s="138">
        <f>P_2_minW+(X271^2*R_dn)-dpdn_minQ</f>
        <v>50</v>
      </c>
      <c r="Y274" s="132"/>
      <c r="Z274" s="146"/>
      <c r="AA274" s="138">
        <f>P_2_minW+(AA271^2*R_dn)-dpdn_minQ</f>
        <v>50</v>
      </c>
      <c r="AB274" s="132"/>
      <c r="AC274" s="146"/>
      <c r="AD274" s="138">
        <f>P_2_minW+(AD271^2*R_dn)-dpdn_minQ</f>
        <v>50</v>
      </c>
      <c r="AE274" s="132"/>
      <c r="AF274" s="146"/>
      <c r="AG274" s="138">
        <f>P_2_minW+(AG271^2*R_dn)-dpdn_minQ</f>
        <v>50</v>
      </c>
      <c r="AH274" s="132"/>
      <c r="AI274" s="146"/>
      <c r="AJ274" s="138">
        <f>P_2_minW+(AJ271^2*R_dn)-dpdn_minQ</f>
        <v>50</v>
      </c>
      <c r="AK274" s="132"/>
      <c r="AL274" s="146"/>
      <c r="AM274" s="138">
        <f>P_2_minW+(AM271^2*R_dn)-dpdn_minQ</f>
        <v>50</v>
      </c>
      <c r="AN274" s="132"/>
      <c r="AO274" s="146"/>
      <c r="AP274" s="138">
        <f>P_2_minW+(AP271^2*R_dn)-dpdn_minQ</f>
        <v>50</v>
      </c>
      <c r="AQ274" s="132"/>
      <c r="AR274" s="146"/>
      <c r="AS274" s="138">
        <f>P_2_minW+(AS271^2*R_dn)-dpdn_minQ</f>
        <v>50</v>
      </c>
      <c r="AT274" s="132"/>
      <c r="AU274" s="146"/>
    </row>
    <row r="275" spans="13:47" x14ac:dyDescent="0.25">
      <c r="M275" s="20"/>
      <c r="N275" s="20"/>
      <c r="O275" s="7" t="s">
        <v>234</v>
      </c>
      <c r="P275" s="1"/>
      <c r="Q275" s="7"/>
      <c r="R275" s="179">
        <f>'Valve Sizing'!G$8*R273/P_1_maxW</f>
        <v>0.48490353178969947</v>
      </c>
      <c r="S275" s="132"/>
      <c r="T275" s="146"/>
      <c r="U275" s="143">
        <f>'Valve Sizing'!$G$8*U273/P_1_maxW</f>
        <v>0.48432177988341973</v>
      </c>
      <c r="V275" s="132"/>
      <c r="W275" s="146"/>
      <c r="X275" s="143">
        <f>'Valve Sizing'!$G$8*X273/P_1_maxW</f>
        <v>0.48134282261026157</v>
      </c>
      <c r="Y275" s="132"/>
      <c r="Z275" s="146"/>
      <c r="AA275" s="143">
        <f>'Valve Sizing'!$G$8*AA273/P_1_maxW</f>
        <v>0.47139385374205894</v>
      </c>
      <c r="AB275" s="132"/>
      <c r="AC275" s="146"/>
      <c r="AD275" s="143">
        <f>'Valve Sizing'!$G$8*AD273/P_1_maxW</f>
        <v>0.44836152483158909</v>
      </c>
      <c r="AE275" s="132"/>
      <c r="AF275" s="146"/>
      <c r="AG275" s="143">
        <f>'Valve Sizing'!$G$8*AG273/P_1_maxW</f>
        <v>0.41301680614898784</v>
      </c>
      <c r="AH275" s="132"/>
      <c r="AI275" s="146"/>
      <c r="AJ275" s="143">
        <f>'Valve Sizing'!$G$8*AJ273/P_1_maxW</f>
        <v>0.36900557535785039</v>
      </c>
      <c r="AK275" s="132"/>
      <c r="AL275" s="146"/>
      <c r="AM275" s="143">
        <f>'Valve Sizing'!$G$8*AM273/P_1_maxW</f>
        <v>0.32555053154380997</v>
      </c>
      <c r="AN275" s="132"/>
      <c r="AO275" s="146"/>
      <c r="AP275" s="143">
        <f>'Valve Sizing'!$G$8*AP273/P_1_maxW</f>
        <v>0.28655420408518928</v>
      </c>
      <c r="AQ275" s="132"/>
      <c r="AR275" s="146"/>
      <c r="AS275" s="143">
        <f>'Valve Sizing'!$G$8*AS273/P_1_maxW</f>
        <v>0.23801485682540391</v>
      </c>
      <c r="AT275" s="132"/>
      <c r="AU275" s="146"/>
    </row>
    <row r="276" spans="13:47" x14ac:dyDescent="0.25">
      <c r="M276" s="20"/>
      <c r="N276" s="20"/>
      <c r="O276" s="7" t="s">
        <v>190</v>
      </c>
      <c r="P276" s="1"/>
      <c r="Q276" s="7"/>
      <c r="R276" s="181">
        <f>R273-R274</f>
        <v>50.522684235184272</v>
      </c>
      <c r="S276" s="132"/>
      <c r="T276" s="146"/>
      <c r="U276" s="138">
        <f>U273-U274</f>
        <v>50.402084447093756</v>
      </c>
      <c r="V276" s="132"/>
      <c r="W276" s="146"/>
      <c r="X276" s="138">
        <f>X273-X274</f>
        <v>49.784533198880425</v>
      </c>
      <c r="Y276" s="132"/>
      <c r="Z276" s="146"/>
      <c r="AA276" s="138">
        <f>AA273-AA274</f>
        <v>47.722067181541235</v>
      </c>
      <c r="AB276" s="132"/>
      <c r="AC276" s="146"/>
      <c r="AD276" s="138">
        <f>AD273-AD274</f>
        <v>42.94736175152967</v>
      </c>
      <c r="AE276" s="132"/>
      <c r="AF276" s="146"/>
      <c r="AG276" s="138">
        <f>AG273-AG274</f>
        <v>35.620242515257658</v>
      </c>
      <c r="AH276" s="132"/>
      <c r="AI276" s="146"/>
      <c r="AJ276" s="138">
        <f>AJ273-AJ274</f>
        <v>26.496516319058173</v>
      </c>
      <c r="AK276" s="132"/>
      <c r="AL276" s="146"/>
      <c r="AM276" s="138">
        <f>AM273-AM274</f>
        <v>17.488090186085898</v>
      </c>
      <c r="AN276" s="132"/>
      <c r="AO276" s="146"/>
      <c r="AP276" s="138">
        <f>AP273-AP274</f>
        <v>9.403976018085018</v>
      </c>
      <c r="AQ276" s="132"/>
      <c r="AR276" s="146"/>
      <c r="AS276" s="138">
        <f>AS273-AS274</f>
        <v>-0.65844909886276781</v>
      </c>
      <c r="AT276" s="132"/>
      <c r="AU276" s="146"/>
    </row>
    <row r="277" spans="13:47" ht="14.5" x14ac:dyDescent="0.35">
      <c r="M277" s="27"/>
      <c r="N277" s="27"/>
      <c r="O277" s="2" t="s">
        <v>191</v>
      </c>
      <c r="P277" s="10"/>
      <c r="Q277" s="2"/>
      <c r="R277" s="181">
        <f>R276/R273</f>
        <v>0.50259983226254379</v>
      </c>
      <c r="S277" s="132"/>
      <c r="T277" s="146"/>
      <c r="U277" s="138">
        <f>U276/U273</f>
        <v>0.50200237101305223</v>
      </c>
      <c r="V277" s="132"/>
      <c r="W277" s="146"/>
      <c r="X277" s="138">
        <f>X276/X273</f>
        <v>0.49892033968485811</v>
      </c>
      <c r="Y277" s="132"/>
      <c r="Z277" s="146"/>
      <c r="AA277" s="138">
        <f>AA276/AA273</f>
        <v>0.4883448391742114</v>
      </c>
      <c r="AB277" s="132"/>
      <c r="AC277" s="146"/>
      <c r="AD277" s="138">
        <f>AD276/AD273</f>
        <v>0.46206111655259402</v>
      </c>
      <c r="AE277" s="132"/>
      <c r="AF277" s="146"/>
      <c r="AG277" s="138">
        <f>AG276/AG273</f>
        <v>0.41602594747276123</v>
      </c>
      <c r="AH277" s="132"/>
      <c r="AI277" s="146"/>
      <c r="AJ277" s="138">
        <f>AJ276/AJ273</f>
        <v>0.34637546379947881</v>
      </c>
      <c r="AK277" s="132"/>
      <c r="AL277" s="146"/>
      <c r="AM277" s="138">
        <f>AM276/AM273</f>
        <v>0.25912853864831159</v>
      </c>
      <c r="AN277" s="132"/>
      <c r="AO277" s="146"/>
      <c r="AP277" s="138">
        <f>AP276/AP273</f>
        <v>0.15830549819126685</v>
      </c>
      <c r="AQ277" s="132"/>
      <c r="AR277" s="146"/>
      <c r="AS277" s="138">
        <f>AS276/AS273</f>
        <v>-1.3344718332467165E-2</v>
      </c>
      <c r="AT277" s="132"/>
      <c r="AU277" s="146"/>
    </row>
    <row r="278" spans="13:47" x14ac:dyDescent="0.25">
      <c r="M278" s="27"/>
      <c r="N278" s="27"/>
      <c r="O278" s="2" t="s">
        <v>26</v>
      </c>
      <c r="P278" s="7">
        <v>12</v>
      </c>
      <c r="Q278" s="2"/>
      <c r="R278" s="181">
        <f>1-R277/(3*F_GAMMA*R$29)</f>
        <v>0.73824024800152521</v>
      </c>
      <c r="S278" s="133"/>
      <c r="T278" s="146"/>
      <c r="U278" s="138">
        <f>1-U277/(3*F_GAMMA*U$29)</f>
        <v>0.73860897713495</v>
      </c>
      <c r="V278" s="133"/>
      <c r="W278" s="146"/>
      <c r="X278" s="138">
        <f>1-X277/(3*F_GAMMA*X$29)</f>
        <v>0.73631657421778796</v>
      </c>
      <c r="Y278" s="133"/>
      <c r="Z278" s="146"/>
      <c r="AA278" s="138">
        <f>1-AA277/(3*F_GAMMA*AA$29)</f>
        <v>0.73836698108534082</v>
      </c>
      <c r="AB278" s="133"/>
      <c r="AC278" s="146"/>
      <c r="AD278" s="138">
        <f>1-AD277/(3*F_GAMMA*AD$29)</f>
        <v>0.74566127493761236</v>
      </c>
      <c r="AE278" s="133"/>
      <c r="AF278" s="146"/>
      <c r="AG278" s="138">
        <f>1-AG277/(3*F_GAMMA*AG$29)</f>
        <v>0.75793859161894017</v>
      </c>
      <c r="AH278" s="133"/>
      <c r="AI278" s="146"/>
      <c r="AJ278" s="138">
        <f>1-AJ277/(3*F_GAMMA*AJ$29)</f>
        <v>0.78455547081089339</v>
      </c>
      <c r="AK278" s="133"/>
      <c r="AL278" s="146"/>
      <c r="AM278" s="138">
        <f>1-AM277/(3*F_GAMMA*AM$29)</f>
        <v>0.82389752348302236</v>
      </c>
      <c r="AN278" s="133"/>
      <c r="AO278" s="146"/>
      <c r="AP278" s="138">
        <f>1-AP277/(3*F_GAMMA*AP$29)</f>
        <v>0.91109376433722911</v>
      </c>
      <c r="AQ278" s="133"/>
      <c r="AR278" s="146"/>
      <c r="AS278" s="138">
        <f>1-AS277/(3*F_GAMMA*AS$29)</f>
        <v>1.0113773800593919</v>
      </c>
      <c r="AT278" s="133"/>
      <c r="AU278" s="146"/>
    </row>
    <row r="279" spans="13:47" x14ac:dyDescent="0.25">
      <c r="M279" s="27"/>
      <c r="N279" s="27"/>
      <c r="O279" s="2" t="s">
        <v>71</v>
      </c>
      <c r="P279" s="85">
        <v>5</v>
      </c>
      <c r="Q279" s="2"/>
      <c r="R279" s="179">
        <f>R271/((N_6*R$27*R278)*SQRT(R277*R273*R275))</f>
        <v>6.9324629263082221E-2</v>
      </c>
      <c r="S279" s="133"/>
      <c r="T279" s="146"/>
      <c r="U279" s="143">
        <f>U271/((N_6*U$27*U278)*SQRT(U277*U273*U275))</f>
        <v>2.3834873030525445</v>
      </c>
      <c r="V279" s="133"/>
      <c r="W279" s="146"/>
      <c r="X279" s="143">
        <f>X271/((N_6*X$27*X278)*SQRT(X277*X273*X275))</f>
        <v>5.9811688761814983</v>
      </c>
      <c r="Y279" s="133"/>
      <c r="Z279" s="146"/>
      <c r="AA279" s="143">
        <f>AA271/((N_6*AA$27*AA278)*SQRT(AA277*AA273*AA275))</f>
        <v>12.059349653700103</v>
      </c>
      <c r="AB279" s="133"/>
      <c r="AC279" s="146"/>
      <c r="AD279" s="143">
        <f>AD271/((N_6*AD$27*AD278)*SQRT(AD277*AD273*AD275))</f>
        <v>21.480139761606658</v>
      </c>
      <c r="AE279" s="133"/>
      <c r="AF279" s="146"/>
      <c r="AG279" s="143">
        <f>AG271/((N_6*AG$27*AG278)*SQRT(AG277*AG273*AG275))</f>
        <v>34.641143369880751</v>
      </c>
      <c r="AH279" s="133"/>
      <c r="AI279" s="146"/>
      <c r="AJ279" s="143">
        <f>AJ271/((N_6*AJ$27*AJ278)*SQRT(AJ277*AJ273*AJ275))</f>
        <v>53.91338183260418</v>
      </c>
      <c r="AK279" s="133"/>
      <c r="AL279" s="146"/>
      <c r="AM279" s="143">
        <f>AM271/((N_6*AM$27*AM278)*SQRT(AM277*AM273*AM275))</f>
        <v>83.734361536106292</v>
      </c>
      <c r="AN279" s="133"/>
      <c r="AO279" s="146"/>
      <c r="AP279" s="143">
        <f>AP271/((N_6*AP$27*AP278)*SQRT(AP277*AP273*AP275))</f>
        <v>139.48397605195692</v>
      </c>
      <c r="AQ279" s="133"/>
      <c r="AR279" s="146"/>
      <c r="AS279" s="143" t="e">
        <f>AS271/((N_6*AS$27*AS278)*SQRT(AS277*AS273*AS275))</f>
        <v>#NUM!</v>
      </c>
      <c r="AT279" s="133"/>
      <c r="AU279" s="146"/>
    </row>
    <row r="280" spans="13:47" x14ac:dyDescent="0.25">
      <c r="M280" s="27"/>
      <c r="N280" s="27"/>
      <c r="O280" s="2" t="s">
        <v>73</v>
      </c>
      <c r="P280" s="85">
        <v>5</v>
      </c>
      <c r="Q280" s="2"/>
      <c r="R280" s="179">
        <f>R271/((N_6*R$27*0.667)*SQRT(R281*R273*R275))</f>
        <v>6.7994142823261355E-2</v>
      </c>
      <c r="S280" s="133"/>
      <c r="T280" s="155"/>
      <c r="U280" s="143">
        <f>U271/((N_6*U$27*0.667)*SQRT(U281*U273*U275))</f>
        <v>2.3372628282912009</v>
      </c>
      <c r="V280" s="133"/>
      <c r="W280" s="155"/>
      <c r="X280" s="143">
        <f>X271/((N_6*X$27*0.667)*SQRT(X281*X273*X275))</f>
        <v>5.8725517261630342</v>
      </c>
      <c r="Y280" s="133"/>
      <c r="Z280" s="155"/>
      <c r="AA280" s="143">
        <f>AA271/((N_6*AA$27*0.667)*SQRT(AA281*AA273*AA275))</f>
        <v>11.827071557257375</v>
      </c>
      <c r="AB280" s="133"/>
      <c r="AC280" s="155"/>
      <c r="AD280" s="143">
        <f>AD271/((N_6*AD$27*0.667)*SQRT(AD281*AD273*AD275))</f>
        <v>20.975857806053828</v>
      </c>
      <c r="AE280" s="133"/>
      <c r="AF280" s="155"/>
      <c r="AG280" s="143">
        <f>AG271/((N_6*AG$27*0.667)*SQRT(AG281*AG273*AG275))</f>
        <v>33.54469208329192</v>
      </c>
      <c r="AH280" s="133"/>
      <c r="AI280" s="155"/>
      <c r="AJ280" s="143">
        <f>AJ271/((N_6*AJ$27*0.667)*SQRT(AJ281*AJ273*AJ275))</f>
        <v>50.982691424952733</v>
      </c>
      <c r="AK280" s="133"/>
      <c r="AL280" s="155"/>
      <c r="AM280" s="143">
        <f>AM271/((N_6*AM$27*0.667)*SQRT(AM281*AM273*AM275))</f>
        <v>75.178634959365581</v>
      </c>
      <c r="AN280" s="133"/>
      <c r="AO280" s="155"/>
      <c r="AP280" s="143">
        <f>AP271/((N_6*AP$27*0.667)*SQRT(AP281*AP273*AP275))</f>
        <v>98.398459103861555</v>
      </c>
      <c r="AQ280" s="133"/>
      <c r="AR280" s="155"/>
      <c r="AS280" s="143">
        <f>AS271/((N_6*AS$27*0.667)*SQRT(AS281*AS273*AS275))</f>
        <v>213.97442162969594</v>
      </c>
      <c r="AT280" s="133"/>
      <c r="AU280" s="155"/>
    </row>
    <row r="281" spans="13:47" ht="15.5" x14ac:dyDescent="0.4">
      <c r="M281" s="27"/>
      <c r="N281" s="27"/>
      <c r="O281" s="2" t="s">
        <v>192</v>
      </c>
      <c r="P281" s="85">
        <v>10</v>
      </c>
      <c r="Q281" s="2"/>
      <c r="R281" s="181">
        <f>F_GAMMA*R$29</f>
        <v>0.64002688015162901</v>
      </c>
      <c r="S281" s="133"/>
      <c r="T281" s="155"/>
      <c r="U281" s="138">
        <f>F_GAMMA*U$29</f>
        <v>0.64016782916606918</v>
      </c>
      <c r="V281" s="133"/>
      <c r="W281" s="155"/>
      <c r="X281" s="138">
        <f>F_GAMMA*X$29</f>
        <v>0.6307062319203669</v>
      </c>
      <c r="Y281" s="133"/>
      <c r="Z281" s="155"/>
      <c r="AA281" s="138">
        <f>F_GAMMA*AA$29</f>
        <v>0.62217534213893466</v>
      </c>
      <c r="AB281" s="133"/>
      <c r="AC281" s="155"/>
      <c r="AD281" s="138">
        <f>F_GAMMA*AD$29</f>
        <v>0.60557184969146072</v>
      </c>
      <c r="AE281" s="133"/>
      <c r="AF281" s="155"/>
      <c r="AG281" s="138">
        <f>F_GAMMA*AG$29</f>
        <v>0.57289312142622573</v>
      </c>
      <c r="AH281" s="133"/>
      <c r="AI281" s="155"/>
      <c r="AJ281" s="138">
        <f>F_GAMMA*AJ$29</f>
        <v>0.53590819116049981</v>
      </c>
      <c r="AK281" s="133"/>
      <c r="AL281" s="155"/>
      <c r="AM281" s="138">
        <f>F_GAMMA*AM$29</f>
        <v>0.49048815926850342</v>
      </c>
      <c r="AN281" s="133"/>
      <c r="AO281" s="155"/>
      <c r="AP281" s="138">
        <f>F_GAMMA*AP$29</f>
        <v>0.59352979016280105</v>
      </c>
      <c r="AQ281" s="133"/>
      <c r="AR281" s="155"/>
      <c r="AS281" s="138">
        <f>F_GAMMA*AS$29</f>
        <v>0.39097221161068291</v>
      </c>
      <c r="AT281" s="133"/>
      <c r="AU281" s="155"/>
    </row>
    <row r="282" spans="13:47" x14ac:dyDescent="0.25">
      <c r="M282" s="27"/>
      <c r="N282" s="27"/>
      <c r="O282" s="2" t="s">
        <v>193</v>
      </c>
      <c r="P282" s="134"/>
      <c r="Q282" s="2"/>
      <c r="R282" s="181">
        <f>IF(R277&lt;R281,R279,R280)</f>
        <v>6.9324629263082221E-2</v>
      </c>
      <c r="S282" s="133"/>
      <c r="T282" s="155"/>
      <c r="U282" s="138">
        <f>IF(U277&lt;U281,U279,U280)</f>
        <v>2.3834873030525445</v>
      </c>
      <c r="V282" s="133"/>
      <c r="W282" s="155"/>
      <c r="X282" s="138">
        <f>IF(X277&lt;X281,X279,X280)</f>
        <v>5.9811688761814983</v>
      </c>
      <c r="Y282" s="133"/>
      <c r="Z282" s="155"/>
      <c r="AA282" s="138">
        <f>IF(AA277&lt;AA281,AA279,AA280)</f>
        <v>12.059349653700103</v>
      </c>
      <c r="AB282" s="133"/>
      <c r="AC282" s="155"/>
      <c r="AD282" s="138">
        <f>IF(AD277&lt;AD281,AD279,AD280)</f>
        <v>21.480139761606658</v>
      </c>
      <c r="AE282" s="133"/>
      <c r="AF282" s="155"/>
      <c r="AG282" s="138">
        <f>IF(AG277&lt;AG281,AG279,AG280)</f>
        <v>34.641143369880751</v>
      </c>
      <c r="AH282" s="133"/>
      <c r="AI282" s="155"/>
      <c r="AJ282" s="138">
        <f>IF(AJ277&lt;AJ281,AJ279,AJ280)</f>
        <v>53.91338183260418</v>
      </c>
      <c r="AK282" s="133"/>
      <c r="AL282" s="155"/>
      <c r="AM282" s="138">
        <f>IF(AM277&lt;AM281,AM279,AM280)</f>
        <v>83.734361536106292</v>
      </c>
      <c r="AN282" s="133"/>
      <c r="AO282" s="155"/>
      <c r="AP282" s="138">
        <f>IF(AP277&lt;AP281,AP279,AP280)</f>
        <v>139.48397605195692</v>
      </c>
      <c r="AQ282" s="133"/>
      <c r="AR282" s="155"/>
      <c r="AS282" s="138" t="e">
        <f>IF(AS277&lt;AS281,AS279,AS280)</f>
        <v>#NUM!</v>
      </c>
      <c r="AT282" s="133"/>
      <c r="AU282" s="155"/>
    </row>
    <row r="283" spans="13:47" ht="13" x14ac:dyDescent="0.3">
      <c r="M283" s="28"/>
      <c r="N283" s="28"/>
      <c r="O283" s="9" t="s">
        <v>194</v>
      </c>
      <c r="P283" s="1"/>
      <c r="Q283" s="1"/>
      <c r="R283" s="135"/>
      <c r="S283" s="132">
        <f>IF(R276&lt;=0,W_max,ABS(R$23-R282))</f>
        <v>1.9306753707369178</v>
      </c>
      <c r="T283" s="151">
        <f>R271</f>
        <v>16.03276424975326</v>
      </c>
      <c r="U283" s="135"/>
      <c r="V283" s="132">
        <f>IF(U276&lt;=0,W_max,ABS(U$23-U282))</f>
        <v>2.6165126969474555</v>
      </c>
      <c r="W283" s="151">
        <f>U271</f>
        <v>550.17513724343644</v>
      </c>
      <c r="X283" s="135"/>
      <c r="Y283" s="132">
        <f>IF(X276&lt;=0,W_max,ABS(X$23-X282))</f>
        <v>4.0188311238185017</v>
      </c>
      <c r="Z283" s="151">
        <f>X271</f>
        <v>1360.6485860118266</v>
      </c>
      <c r="AA283" s="135"/>
      <c r="AB283" s="132">
        <f>IF(AA276&lt;=0,W_max,ABS(AA$23-AA282))</f>
        <v>5.1406503462998963</v>
      </c>
      <c r="AC283" s="151">
        <f>AA271</f>
        <v>2650.1961462402842</v>
      </c>
      <c r="AD283" s="135"/>
      <c r="AE283" s="132">
        <f>IF(AD276&lt;=0,W_max,ABS(AD$23-AD282))</f>
        <v>5.1198602383933434</v>
      </c>
      <c r="AF283" s="151">
        <f>AD271</f>
        <v>4358.5969162347965</v>
      </c>
      <c r="AG283" s="135"/>
      <c r="AH283" s="132">
        <f>IF(AG276&lt;=0,W_max,ABS(AG$23-AG282))</f>
        <v>3.7588566301192472</v>
      </c>
      <c r="AI283" s="151">
        <f>AG271</f>
        <v>6113.2677267005938</v>
      </c>
      <c r="AJ283" s="135"/>
      <c r="AK283" s="132">
        <f>IF(AJ276&lt;=0,W_max,ABS(AJ$23-AJ282))</f>
        <v>1.4133818326041805</v>
      </c>
      <c r="AL283" s="151">
        <f>AJ271</f>
        <v>7762.2278483436739</v>
      </c>
      <c r="AM283" s="135"/>
      <c r="AN283" s="132">
        <f>IF(AM276&lt;=0,W_max,ABS(AM$23-AM282))</f>
        <v>11.334361536106286</v>
      </c>
      <c r="AO283" s="151">
        <f>AM271</f>
        <v>9101.8226119998217</v>
      </c>
      <c r="AP283" s="135"/>
      <c r="AQ283" s="132">
        <f>IF(AP276&lt;=0,W_max,ABS(AP$23-AP282))</f>
        <v>31.483976051956915</v>
      </c>
      <c r="AR283" s="151">
        <f>AP271</f>
        <v>10154.615385170837</v>
      </c>
      <c r="AS283" s="135"/>
      <c r="AT283" s="132">
        <f>IF(AS276&lt;=0,W_max,ABS(AS$23-AS282))</f>
        <v>7174</v>
      </c>
      <c r="AU283" s="151">
        <f>AS271</f>
        <v>11329.182957795734</v>
      </c>
    </row>
    <row r="284" spans="13:47" ht="13" x14ac:dyDescent="0.25">
      <c r="M284" s="12"/>
      <c r="N284" s="12"/>
      <c r="O284" s="2"/>
      <c r="P284" s="85"/>
      <c r="Q284" s="2"/>
      <c r="R284" s="18"/>
      <c r="S284" s="150"/>
      <c r="T284" s="148"/>
      <c r="U284" s="157"/>
      <c r="V284" s="1"/>
      <c r="W284" s="147"/>
      <c r="X284" s="157"/>
      <c r="Y284" s="1"/>
      <c r="Z284" s="147"/>
      <c r="AA284" s="157"/>
      <c r="AB284" s="1"/>
      <c r="AC284" s="147"/>
      <c r="AD284" s="157"/>
      <c r="AE284" s="1"/>
      <c r="AF284" s="147"/>
      <c r="AG284" s="157"/>
      <c r="AH284" s="1"/>
      <c r="AI284" s="147"/>
      <c r="AJ284" s="157"/>
      <c r="AK284" s="1"/>
      <c r="AL284" s="147"/>
      <c r="AM284" s="157"/>
      <c r="AN284" s="1"/>
      <c r="AO284" s="147"/>
      <c r="AP284" s="157"/>
      <c r="AQ284" s="1"/>
      <c r="AR284" s="147"/>
      <c r="AS284" s="157"/>
      <c r="AT284" s="1"/>
      <c r="AU284" s="147"/>
    </row>
    <row r="285" spans="13:47" ht="14" x14ac:dyDescent="0.3">
      <c r="M285" s="23"/>
      <c r="N285" s="23"/>
      <c r="O285" s="23" t="s">
        <v>238</v>
      </c>
      <c r="P285" s="20"/>
      <c r="Q285" s="20"/>
      <c r="R285" s="181">
        <f>R271*1.02</f>
        <v>16.353419534748326</v>
      </c>
      <c r="S285" s="128" t="s">
        <v>185</v>
      </c>
      <c r="T285" s="149" t="s">
        <v>186</v>
      </c>
      <c r="U285" s="143">
        <f>U271*1.01</f>
        <v>555.67688861587078</v>
      </c>
      <c r="V285" s="128" t="s">
        <v>185</v>
      </c>
      <c r="W285" s="153" t="s">
        <v>186</v>
      </c>
      <c r="X285" s="143">
        <f>X271*1.01</f>
        <v>1374.2550718719449</v>
      </c>
      <c r="Y285" s="128" t="s">
        <v>185</v>
      </c>
      <c r="Z285" s="153" t="s">
        <v>186</v>
      </c>
      <c r="AA285" s="143">
        <f>AA271*1.01</f>
        <v>2676.6981077026871</v>
      </c>
      <c r="AB285" s="128" t="s">
        <v>185</v>
      </c>
      <c r="AC285" s="153" t="s">
        <v>186</v>
      </c>
      <c r="AD285" s="143">
        <f>AD271*1.01</f>
        <v>4402.1828853971447</v>
      </c>
      <c r="AE285" s="128" t="s">
        <v>185</v>
      </c>
      <c r="AF285" s="153" t="s">
        <v>186</v>
      </c>
      <c r="AG285" s="143">
        <f>AG271*1.01</f>
        <v>6174.4004039676001</v>
      </c>
      <c r="AH285" s="128" t="s">
        <v>185</v>
      </c>
      <c r="AI285" s="153" t="s">
        <v>186</v>
      </c>
      <c r="AJ285" s="143">
        <f>AJ271*1.01</f>
        <v>7839.8501268271111</v>
      </c>
      <c r="AK285" s="128" t="s">
        <v>185</v>
      </c>
      <c r="AL285" s="153" t="s">
        <v>186</v>
      </c>
      <c r="AM285" s="143">
        <f>AM271*1.01</f>
        <v>9192.8408381198205</v>
      </c>
      <c r="AN285" s="128" t="s">
        <v>185</v>
      </c>
      <c r="AO285" s="153" t="s">
        <v>186</v>
      </c>
      <c r="AP285" s="143">
        <f>AP271*1.01</f>
        <v>10256.161539022545</v>
      </c>
      <c r="AQ285" s="128" t="s">
        <v>185</v>
      </c>
      <c r="AR285" s="153" t="s">
        <v>186</v>
      </c>
      <c r="AS285" s="143">
        <f>AS271*1.01</f>
        <v>11442.474787373692</v>
      </c>
      <c r="AT285" s="128" t="s">
        <v>185</v>
      </c>
      <c r="AU285" s="153" t="s">
        <v>186</v>
      </c>
    </row>
    <row r="286" spans="13:47" ht="14" x14ac:dyDescent="0.3">
      <c r="M286" s="12"/>
      <c r="N286" s="12"/>
      <c r="O286" s="20"/>
      <c r="P286" s="20"/>
      <c r="Q286" s="23"/>
      <c r="R286" s="139"/>
      <c r="S286" s="130" t="s">
        <v>228</v>
      </c>
      <c r="T286" s="131" t="s">
        <v>187</v>
      </c>
      <c r="U286" s="144"/>
      <c r="V286" s="130" t="s">
        <v>228</v>
      </c>
      <c r="W286" s="154" t="s">
        <v>187</v>
      </c>
      <c r="X286" s="144"/>
      <c r="Y286" s="130" t="s">
        <v>228</v>
      </c>
      <c r="Z286" s="154" t="s">
        <v>187</v>
      </c>
      <c r="AA286" s="144"/>
      <c r="AB286" s="130" t="s">
        <v>228</v>
      </c>
      <c r="AC286" s="154" t="s">
        <v>187</v>
      </c>
      <c r="AD286" s="144"/>
      <c r="AE286" s="130" t="s">
        <v>228</v>
      </c>
      <c r="AF286" s="154" t="s">
        <v>187</v>
      </c>
      <c r="AG286" s="144"/>
      <c r="AH286" s="130" t="s">
        <v>228</v>
      </c>
      <c r="AI286" s="154" t="s">
        <v>187</v>
      </c>
      <c r="AJ286" s="144"/>
      <c r="AK286" s="130" t="s">
        <v>228</v>
      </c>
      <c r="AL286" s="154" t="s">
        <v>187</v>
      </c>
      <c r="AM286" s="144"/>
      <c r="AN286" s="130" t="s">
        <v>228</v>
      </c>
      <c r="AO286" s="154" t="s">
        <v>187</v>
      </c>
      <c r="AP286" s="144"/>
      <c r="AQ286" s="130" t="s">
        <v>228</v>
      </c>
      <c r="AR286" s="154" t="s">
        <v>187</v>
      </c>
      <c r="AS286" s="144"/>
      <c r="AT286" s="130" t="s">
        <v>228</v>
      </c>
      <c r="AU286" s="154" t="s">
        <v>187</v>
      </c>
    </row>
    <row r="287" spans="13:47" x14ac:dyDescent="0.25">
      <c r="M287" s="20"/>
      <c r="N287" s="20"/>
      <c r="O287" s="7" t="s">
        <v>188</v>
      </c>
      <c r="P287" s="7"/>
      <c r="Q287" s="7"/>
      <c r="R287" s="181">
        <f>P_1_minW-(R285^2*R_up)+dpup_minQ</f>
        <v>100.52268009412195</v>
      </c>
      <c r="S287" s="132"/>
      <c r="T287" s="145"/>
      <c r="U287" s="138">
        <f>P_1_minW-(U285^2*R_up)+dpup_minQ</f>
        <v>100.39965833107213</v>
      </c>
      <c r="V287" s="132"/>
      <c r="W287" s="145"/>
      <c r="X287" s="138">
        <f>P_1_minW-(X285^2*R_up)+dpup_minQ</f>
        <v>99.769694302769707</v>
      </c>
      <c r="Y287" s="132"/>
      <c r="Z287" s="145"/>
      <c r="AA287" s="138">
        <f>P_1_minW-(AA285^2*R_up)+dpup_minQ</f>
        <v>97.665772718482003</v>
      </c>
      <c r="AB287" s="132"/>
      <c r="AC287" s="145"/>
      <c r="AD287" s="138">
        <f>P_1_minW-(AD285^2*R_up)+dpup_minQ</f>
        <v>92.795095709327214</v>
      </c>
      <c r="AE287" s="132"/>
      <c r="AF287" s="145"/>
      <c r="AG287" s="138">
        <f>P_1_minW-(AG285^2*R_up)+dpup_minQ</f>
        <v>85.32070137640612</v>
      </c>
      <c r="AH287" s="132"/>
      <c r="AI287" s="145"/>
      <c r="AJ287" s="138">
        <f>P_1_minW-(AJ285^2*R_up)+dpup_minQ</f>
        <v>76.013588283663026</v>
      </c>
      <c r="AK287" s="132"/>
      <c r="AL287" s="145"/>
      <c r="AM287" s="138">
        <f>P_1_minW-(AM285^2*R_up)+dpup_minQ</f>
        <v>66.824092785418017</v>
      </c>
      <c r="AN287" s="132"/>
      <c r="AO287" s="145"/>
      <c r="AP287" s="138">
        <f>P_1_minW-(AP285^2*R_up)+dpup_minQ</f>
        <v>58.577487922640316</v>
      </c>
      <c r="AQ287" s="132"/>
      <c r="AR287" s="145"/>
      <c r="AS287" s="138">
        <f>P_1_minW-(AS285^2*R_up)+dpup_minQ</f>
        <v>48.312808060841874</v>
      </c>
      <c r="AT287" s="132"/>
      <c r="AU287" s="145"/>
    </row>
    <row r="288" spans="13:47" x14ac:dyDescent="0.25">
      <c r="M288" s="20"/>
      <c r="N288" s="20"/>
      <c r="O288" s="7" t="s">
        <v>189</v>
      </c>
      <c r="P288" s="1"/>
      <c r="Q288" s="7"/>
      <c r="R288" s="181">
        <f>P_2_minW+(R285^2*R_dn)-dpdn_minQ</f>
        <v>50</v>
      </c>
      <c r="S288" s="132"/>
      <c r="T288" s="146"/>
      <c r="U288" s="138">
        <f>P_2_minW+(U285^2*R_dn)-dpdn_minQ</f>
        <v>50</v>
      </c>
      <c r="V288" s="132"/>
      <c r="W288" s="146"/>
      <c r="X288" s="138">
        <f>P_2_minW+(X285^2*R_dn)-dpdn_minQ</f>
        <v>50</v>
      </c>
      <c r="Y288" s="132"/>
      <c r="Z288" s="146"/>
      <c r="AA288" s="138">
        <f>P_2_minW+(AA285^2*R_dn)-dpdn_minQ</f>
        <v>50</v>
      </c>
      <c r="AB288" s="132"/>
      <c r="AC288" s="146"/>
      <c r="AD288" s="138">
        <f>P_2_minW+(AD285^2*R_dn)-dpdn_minQ</f>
        <v>50</v>
      </c>
      <c r="AE288" s="132"/>
      <c r="AF288" s="146"/>
      <c r="AG288" s="138">
        <f>P_2_minW+(AG285^2*R_dn)-dpdn_minQ</f>
        <v>50</v>
      </c>
      <c r="AH288" s="132"/>
      <c r="AI288" s="146"/>
      <c r="AJ288" s="138">
        <f>P_2_minW+(AJ285^2*R_dn)-dpdn_minQ</f>
        <v>50</v>
      </c>
      <c r="AK288" s="132"/>
      <c r="AL288" s="146"/>
      <c r="AM288" s="138">
        <f>P_2_minW+(AM285^2*R_dn)-dpdn_minQ</f>
        <v>50</v>
      </c>
      <c r="AN288" s="132"/>
      <c r="AO288" s="146"/>
      <c r="AP288" s="138">
        <f>P_2_minW+(AP285^2*R_dn)-dpdn_minQ</f>
        <v>50</v>
      </c>
      <c r="AQ288" s="132"/>
      <c r="AR288" s="146"/>
      <c r="AS288" s="138">
        <f>P_2_minW+(AS285^2*R_dn)-dpdn_minQ</f>
        <v>50</v>
      </c>
      <c r="AT288" s="132"/>
      <c r="AU288" s="146"/>
    </row>
    <row r="289" spans="13:47" x14ac:dyDescent="0.25">
      <c r="M289" s="20"/>
      <c r="N289" s="20"/>
      <c r="O289" s="7" t="s">
        <v>234</v>
      </c>
      <c r="P289" s="1"/>
      <c r="Q289" s="7"/>
      <c r="R289" s="179">
        <f>'Valve Sizing'!G$8*R287/P_1_maxW</f>
        <v>0.48490351181395208</v>
      </c>
      <c r="S289" s="132"/>
      <c r="T289" s="146"/>
      <c r="U289" s="143">
        <f>'Valve Sizing'!$G$8*U287/P_1_maxW</f>
        <v>0.4843100767316747</v>
      </c>
      <c r="V289" s="132"/>
      <c r="W289" s="146"/>
      <c r="X289" s="143">
        <f>'Valve Sizing'!$G$8*X287/P_1_maxW</f>
        <v>0.48127124241732605</v>
      </c>
      <c r="Y289" s="132"/>
      <c r="Z289" s="146"/>
      <c r="AA289" s="143">
        <f>'Valve Sizing'!$G$8*AA287/P_1_maxW</f>
        <v>0.47112229927487259</v>
      </c>
      <c r="AB289" s="132"/>
      <c r="AC289" s="146"/>
      <c r="AD289" s="143">
        <f>'Valve Sizing'!$G$8*AD287/P_1_maxW</f>
        <v>0.44762702055330239</v>
      </c>
      <c r="AE289" s="132"/>
      <c r="AF289" s="146"/>
      <c r="AG289" s="143">
        <f>'Valve Sizing'!$G$8*AG287/P_1_maxW</f>
        <v>0.41157187302518078</v>
      </c>
      <c r="AH289" s="132"/>
      <c r="AI289" s="146"/>
      <c r="AJ289" s="143">
        <f>'Valve Sizing'!$G$8*AJ287/P_1_maxW</f>
        <v>0.36667601649514142</v>
      </c>
      <c r="AK289" s="132"/>
      <c r="AL289" s="146"/>
      <c r="AM289" s="143">
        <f>'Valve Sizing'!$G$8*AM287/P_1_maxW</f>
        <v>0.32234752630043884</v>
      </c>
      <c r="AN289" s="132"/>
      <c r="AO289" s="146"/>
      <c r="AP289" s="143">
        <f>'Valve Sizing'!$G$8*AP287/P_1_maxW</f>
        <v>0.2825673726598999</v>
      </c>
      <c r="AQ289" s="132"/>
      <c r="AR289" s="146"/>
      <c r="AS289" s="143">
        <f>'Valve Sizing'!$G$8*AS287/P_1_maxW</f>
        <v>0.23305238452019278</v>
      </c>
      <c r="AT289" s="132"/>
      <c r="AU289" s="146"/>
    </row>
    <row r="290" spans="13:47" x14ac:dyDescent="0.25">
      <c r="M290" s="20"/>
      <c r="N290" s="20"/>
      <c r="O290" s="7" t="s">
        <v>190</v>
      </c>
      <c r="P290" s="1"/>
      <c r="Q290" s="7"/>
      <c r="R290" s="181">
        <f>R287-R288</f>
        <v>50.522680094121952</v>
      </c>
      <c r="S290" s="132"/>
      <c r="T290" s="146"/>
      <c r="U290" s="138">
        <f>U287-U288</f>
        <v>50.399658331072132</v>
      </c>
      <c r="V290" s="132"/>
      <c r="W290" s="146"/>
      <c r="X290" s="138">
        <f>X287-X288</f>
        <v>49.769694302769707</v>
      </c>
      <c r="Y290" s="132"/>
      <c r="Z290" s="146"/>
      <c r="AA290" s="138">
        <f>AA287-AA288</f>
        <v>47.665772718482003</v>
      </c>
      <c r="AB290" s="132"/>
      <c r="AC290" s="146"/>
      <c r="AD290" s="138">
        <f>AD287-AD288</f>
        <v>42.795095709327214</v>
      </c>
      <c r="AE290" s="132"/>
      <c r="AF290" s="146"/>
      <c r="AG290" s="138">
        <f>AG287-AG288</f>
        <v>35.32070137640612</v>
      </c>
      <c r="AH290" s="132"/>
      <c r="AI290" s="146"/>
      <c r="AJ290" s="138">
        <f>AJ287-AJ288</f>
        <v>26.013588283663026</v>
      </c>
      <c r="AK290" s="132"/>
      <c r="AL290" s="146"/>
      <c r="AM290" s="138">
        <f>AM287-AM288</f>
        <v>16.824092785418017</v>
      </c>
      <c r="AN290" s="132"/>
      <c r="AO290" s="146"/>
      <c r="AP290" s="138">
        <f>AP287-AP288</f>
        <v>8.5774879226403158</v>
      </c>
      <c r="AQ290" s="132"/>
      <c r="AR290" s="146"/>
      <c r="AS290" s="138">
        <f>AS287-AS288</f>
        <v>-1.6871919391581258</v>
      </c>
      <c r="AT290" s="132"/>
      <c r="AU290" s="146"/>
    </row>
    <row r="291" spans="13:47" ht="14.5" x14ac:dyDescent="0.35">
      <c r="M291" s="27"/>
      <c r="N291" s="27"/>
      <c r="O291" s="2" t="s">
        <v>191</v>
      </c>
      <c r="P291" s="10"/>
      <c r="Q291" s="2"/>
      <c r="R291" s="181">
        <f>R290/R287</f>
        <v>0.50259981177199287</v>
      </c>
      <c r="S291" s="132"/>
      <c r="T291" s="146"/>
      <c r="U291" s="138">
        <f>U290/U287</f>
        <v>0.5019903371072949</v>
      </c>
      <c r="V291" s="132"/>
      <c r="W291" s="146"/>
      <c r="X291" s="138">
        <f>X290/X287</f>
        <v>0.49884581335625133</v>
      </c>
      <c r="Y291" s="132"/>
      <c r="Z291" s="146"/>
      <c r="AA291" s="138">
        <f>AA290/AA287</f>
        <v>0.48804992160228783</v>
      </c>
      <c r="AB291" s="132"/>
      <c r="AC291" s="146"/>
      <c r="AD291" s="138">
        <f>AD290/AD287</f>
        <v>0.46117842093055467</v>
      </c>
      <c r="AE291" s="132"/>
      <c r="AF291" s="146"/>
      <c r="AG291" s="138">
        <f>AG290/AG287</f>
        <v>0.41397575039360157</v>
      </c>
      <c r="AH291" s="132"/>
      <c r="AI291" s="146"/>
      <c r="AJ291" s="138">
        <f>AJ290/AJ287</f>
        <v>0.34222286923999762</v>
      </c>
      <c r="AK291" s="132"/>
      <c r="AL291" s="146"/>
      <c r="AM291" s="138">
        <f>AM290/AM287</f>
        <v>0.2517668715599724</v>
      </c>
      <c r="AN291" s="132"/>
      <c r="AO291" s="146"/>
      <c r="AP291" s="138">
        <f>AP290/AP287</f>
        <v>0.14642976725065568</v>
      </c>
      <c r="AQ291" s="132"/>
      <c r="AR291" s="146"/>
      <c r="AS291" s="138">
        <f>AS290/AS287</f>
        <v>-3.4922249541641019E-2</v>
      </c>
      <c r="AT291" s="132"/>
      <c r="AU291" s="146"/>
    </row>
    <row r="292" spans="13:47" x14ac:dyDescent="0.25">
      <c r="M292" s="27"/>
      <c r="N292" s="27"/>
      <c r="O292" s="2" t="s">
        <v>26</v>
      </c>
      <c r="P292" s="7">
        <v>12</v>
      </c>
      <c r="Q292" s="2"/>
      <c r="R292" s="181">
        <f>1-R291/(3*F_GAMMA*R$29)</f>
        <v>0.73824025867323895</v>
      </c>
      <c r="S292" s="133"/>
      <c r="T292" s="146"/>
      <c r="U292" s="138">
        <f>1-U291/(3*F_GAMMA*U$29)</f>
        <v>0.73861524315104199</v>
      </c>
      <c r="V292" s="133"/>
      <c r="W292" s="146"/>
      <c r="X292" s="138">
        <f>1-X291/(3*F_GAMMA*X$29)</f>
        <v>0.73635596198387976</v>
      </c>
      <c r="Y292" s="133"/>
      <c r="Z292" s="146"/>
      <c r="AA292" s="138">
        <f>1-AA291/(3*F_GAMMA*AA$29)</f>
        <v>0.73852498454618165</v>
      </c>
      <c r="AB292" s="133"/>
      <c r="AC292" s="146"/>
      <c r="AD292" s="138">
        <f>1-AD291/(3*F_GAMMA*AD$29)</f>
        <v>0.74614714936219628</v>
      </c>
      <c r="AE292" s="133"/>
      <c r="AF292" s="146"/>
      <c r="AG292" s="138">
        <f>1-AG291/(3*F_GAMMA*AG$29)</f>
        <v>0.75913148258032093</v>
      </c>
      <c r="AH292" s="133"/>
      <c r="AI292" s="146"/>
      <c r="AJ292" s="138">
        <f>1-AJ291/(3*F_GAMMA*AJ$29)</f>
        <v>0.78713837252675689</v>
      </c>
      <c r="AK292" s="133"/>
      <c r="AL292" s="146"/>
      <c r="AM292" s="138">
        <f>1-AM291/(3*F_GAMMA*AM$29)</f>
        <v>0.82890047611924111</v>
      </c>
      <c r="AN292" s="133"/>
      <c r="AO292" s="146"/>
      <c r="AP292" s="138">
        <f>1-AP291/(3*F_GAMMA*AP$29)</f>
        <v>0.91776331495762498</v>
      </c>
      <c r="AQ292" s="133"/>
      <c r="AR292" s="146"/>
      <c r="AS292" s="138">
        <f>1-AS291/(3*F_GAMMA*AS$29)</f>
        <v>1.0297738547690063</v>
      </c>
      <c r="AT292" s="133"/>
      <c r="AU292" s="146"/>
    </row>
    <row r="293" spans="13:47" x14ac:dyDescent="0.25">
      <c r="M293" s="27"/>
      <c r="N293" s="27"/>
      <c r="O293" s="2" t="s">
        <v>71</v>
      </c>
      <c r="P293" s="85">
        <v>5</v>
      </c>
      <c r="Q293" s="2"/>
      <c r="R293" s="179">
        <f>R285/((N_6*R$27*R292)*SQRT(R291*R287*R289))</f>
        <v>7.0711125180552573E-2</v>
      </c>
      <c r="S293" s="133"/>
      <c r="T293" s="146"/>
      <c r="U293" s="143">
        <f>U285/((N_6*U$27*U292)*SQRT(U291*U287*U289))</f>
        <v>2.4073887800045459</v>
      </c>
      <c r="V293" s="133"/>
      <c r="W293" s="146"/>
      <c r="X293" s="143">
        <f>X285/((N_6*X$27*X292)*SQRT(X291*X287*X289))</f>
        <v>6.0420071481049478</v>
      </c>
      <c r="Y293" s="133"/>
      <c r="Z293" s="146"/>
      <c r="AA293" s="143">
        <f>AA285/((N_6*AA$27*AA292)*SQRT(AA291*AA287*AA289))</f>
        <v>12.188037132951541</v>
      </c>
      <c r="AB293" s="133"/>
      <c r="AC293" s="146"/>
      <c r="AD293" s="143">
        <f>AD285/((N_6*AD$27*AD292)*SQRT(AD291*AD287*AD289))</f>
        <v>21.737162262327896</v>
      </c>
      <c r="AE293" s="133"/>
      <c r="AF293" s="146"/>
      <c r="AG293" s="143">
        <f>AG285/((N_6*AG$27*AG292)*SQRT(AG291*AG287*AG289))</f>
        <v>35.141913403901327</v>
      </c>
      <c r="AH293" s="133"/>
      <c r="AI293" s="146"/>
      <c r="AJ293" s="143">
        <f>AJ285/((N_6*AJ$27*AJ292)*SQRT(AJ291*AJ287*AJ289))</f>
        <v>54.949024725221754</v>
      </c>
      <c r="AK293" s="133"/>
      <c r="AL293" s="146"/>
      <c r="AM293" s="143">
        <f>AM285/((N_6*AM$27*AM292)*SQRT(AM291*AM287*AM289))</f>
        <v>86.12877960696845</v>
      </c>
      <c r="AN293" s="133"/>
      <c r="AO293" s="146"/>
      <c r="AP293" s="143">
        <f>AP285/((N_6*AP$27*AP292)*SQRT(AP291*AP287*AP289))</f>
        <v>147.46744541438153</v>
      </c>
      <c r="AQ293" s="133"/>
      <c r="AR293" s="146"/>
      <c r="AS293" s="143" t="e">
        <f>AS285/((N_6*AS$27*AS292)*SQRT(AS291*AS287*AS289))</f>
        <v>#NUM!</v>
      </c>
      <c r="AT293" s="133"/>
      <c r="AU293" s="146"/>
    </row>
    <row r="294" spans="13:47" x14ac:dyDescent="0.25">
      <c r="M294" s="27"/>
      <c r="N294" s="27"/>
      <c r="O294" s="2" t="s">
        <v>73</v>
      </c>
      <c r="P294" s="85">
        <v>5</v>
      </c>
      <c r="Q294" s="2"/>
      <c r="R294" s="179">
        <f>R285/((N_6*R$27*0.667)*SQRT(R295*R287*R289))</f>
        <v>6.9354028536786724E-2</v>
      </c>
      <c r="S294" s="133"/>
      <c r="T294" s="147"/>
      <c r="U294" s="143">
        <f>U285/((N_6*U$27*0.667)*SQRT(U295*U287*U289))</f>
        <v>2.3606925003489385</v>
      </c>
      <c r="V294" s="133"/>
      <c r="W294" s="155"/>
      <c r="X294" s="143">
        <f>X285/((N_6*X$27*0.667)*SQRT(X295*X287*X289))</f>
        <v>5.9321594111754434</v>
      </c>
      <c r="Y294" s="133"/>
      <c r="Z294" s="155"/>
      <c r="AA294" s="143">
        <f>AA285/((N_6*AA$27*0.667)*SQRT(AA295*AA287*AA289))</f>
        <v>11.952227557311812</v>
      </c>
      <c r="AB294" s="133"/>
      <c r="AC294" s="155"/>
      <c r="AD294" s="143">
        <f>AD285/((N_6*AD$27*0.667)*SQRT(AD295*AD287*AD289))</f>
        <v>21.2203795354832</v>
      </c>
      <c r="AE294" s="133"/>
      <c r="AF294" s="155"/>
      <c r="AG294" s="143">
        <f>AG285/((N_6*AG$27*0.667)*SQRT(AG295*AG287*AG289))</f>
        <v>33.999084292408071</v>
      </c>
      <c r="AH294" s="133"/>
      <c r="AI294" s="155"/>
      <c r="AJ294" s="143">
        <f>AJ285/((N_6*AJ$27*0.667)*SQRT(AJ295*AJ287*AJ289))</f>
        <v>51.819659594872249</v>
      </c>
      <c r="AK294" s="133"/>
      <c r="AL294" s="155"/>
      <c r="AM294" s="143">
        <f>AM285/((N_6*AM$27*0.667)*SQRT(AM295*AM287*AM289))</f>
        <v>76.684903716115372</v>
      </c>
      <c r="AN294" s="133"/>
      <c r="AO294" s="155"/>
      <c r="AP294" s="143">
        <f>AP285/((N_6*AP$27*0.667)*SQRT(AP295*AP287*AP289))</f>
        <v>100.78466167185597</v>
      </c>
      <c r="AQ294" s="133"/>
      <c r="AR294" s="155"/>
      <c r="AS294" s="143">
        <f>AS285/((N_6*AS$27*0.667)*SQRT(AS295*AS287*AS289))</f>
        <v>220.71596627374876</v>
      </c>
      <c r="AT294" s="133"/>
      <c r="AU294" s="155"/>
    </row>
    <row r="295" spans="13:47" ht="15.5" x14ac:dyDescent="0.4">
      <c r="M295" s="27"/>
      <c r="N295" s="27"/>
      <c r="O295" s="2" t="s">
        <v>192</v>
      </c>
      <c r="P295" s="85">
        <v>10</v>
      </c>
      <c r="Q295" s="2"/>
      <c r="R295" s="181">
        <f>F_GAMMA*R$29</f>
        <v>0.64002688015162901</v>
      </c>
      <c r="S295" s="133"/>
      <c r="T295" s="147"/>
      <c r="U295" s="138">
        <f>F_GAMMA*U$29</f>
        <v>0.64016782916606918</v>
      </c>
      <c r="V295" s="133"/>
      <c r="W295" s="155"/>
      <c r="X295" s="138">
        <f>F_GAMMA*X$29</f>
        <v>0.6307062319203669</v>
      </c>
      <c r="Y295" s="133"/>
      <c r="Z295" s="155"/>
      <c r="AA295" s="138">
        <f>F_GAMMA*AA$29</f>
        <v>0.62217534213893466</v>
      </c>
      <c r="AB295" s="133"/>
      <c r="AC295" s="155"/>
      <c r="AD295" s="138">
        <f>F_GAMMA*AD$29</f>
        <v>0.60557184969146072</v>
      </c>
      <c r="AE295" s="133"/>
      <c r="AF295" s="155"/>
      <c r="AG295" s="138">
        <f>F_GAMMA*AG$29</f>
        <v>0.57289312142622573</v>
      </c>
      <c r="AH295" s="133"/>
      <c r="AI295" s="155"/>
      <c r="AJ295" s="138">
        <f>F_GAMMA*AJ$29</f>
        <v>0.53590819116049981</v>
      </c>
      <c r="AK295" s="133"/>
      <c r="AL295" s="155"/>
      <c r="AM295" s="138">
        <f>F_GAMMA*AM$29</f>
        <v>0.49048815926850342</v>
      </c>
      <c r="AN295" s="133"/>
      <c r="AO295" s="155"/>
      <c r="AP295" s="138">
        <f>F_GAMMA*AP$29</f>
        <v>0.59352979016280105</v>
      </c>
      <c r="AQ295" s="133"/>
      <c r="AR295" s="155"/>
      <c r="AS295" s="138">
        <f>F_GAMMA*AS$29</f>
        <v>0.39097221161068291</v>
      </c>
      <c r="AT295" s="133"/>
      <c r="AU295" s="155"/>
    </row>
    <row r="296" spans="13:47" x14ac:dyDescent="0.25">
      <c r="M296" s="27"/>
      <c r="N296" s="27"/>
      <c r="O296" s="2" t="s">
        <v>193</v>
      </c>
      <c r="P296" s="134"/>
      <c r="Q296" s="2"/>
      <c r="R296" s="181">
        <f>IF(R291&lt;R295,R293,R294)</f>
        <v>7.0711125180552573E-2</v>
      </c>
      <c r="S296" s="133"/>
      <c r="T296" s="147"/>
      <c r="U296" s="138">
        <f>IF(U291&lt;U295,U293,U294)</f>
        <v>2.4073887800045459</v>
      </c>
      <c r="V296" s="133"/>
      <c r="W296" s="155"/>
      <c r="X296" s="138">
        <f>IF(X291&lt;X295,X293,X294)</f>
        <v>6.0420071481049478</v>
      </c>
      <c r="Y296" s="133"/>
      <c r="Z296" s="155"/>
      <c r="AA296" s="138">
        <f>IF(AA291&lt;AA295,AA293,AA294)</f>
        <v>12.188037132951541</v>
      </c>
      <c r="AB296" s="133"/>
      <c r="AC296" s="155"/>
      <c r="AD296" s="138">
        <f>IF(AD291&lt;AD295,AD293,AD294)</f>
        <v>21.737162262327896</v>
      </c>
      <c r="AE296" s="133"/>
      <c r="AF296" s="155"/>
      <c r="AG296" s="138">
        <f>IF(AG291&lt;AG295,AG293,AG294)</f>
        <v>35.141913403901327</v>
      </c>
      <c r="AH296" s="133"/>
      <c r="AI296" s="155"/>
      <c r="AJ296" s="138">
        <f>IF(AJ291&lt;AJ295,AJ293,AJ294)</f>
        <v>54.949024725221754</v>
      </c>
      <c r="AK296" s="133"/>
      <c r="AL296" s="155"/>
      <c r="AM296" s="138">
        <f>IF(AM291&lt;AM295,AM293,AM294)</f>
        <v>86.12877960696845</v>
      </c>
      <c r="AN296" s="133"/>
      <c r="AO296" s="155"/>
      <c r="AP296" s="138">
        <f>IF(AP291&lt;AP295,AP293,AP294)</f>
        <v>147.46744541438153</v>
      </c>
      <c r="AQ296" s="133"/>
      <c r="AR296" s="155"/>
      <c r="AS296" s="138" t="e">
        <f>IF(AS291&lt;AS295,AS293,AS294)</f>
        <v>#NUM!</v>
      </c>
      <c r="AT296" s="133"/>
      <c r="AU296" s="155"/>
    </row>
    <row r="297" spans="13:47" ht="13" x14ac:dyDescent="0.3">
      <c r="M297" s="28"/>
      <c r="N297" s="28"/>
      <c r="O297" s="9" t="s">
        <v>194</v>
      </c>
      <c r="P297" s="1"/>
      <c r="Q297" s="1"/>
      <c r="R297" s="135"/>
      <c r="S297" s="132">
        <f>IF(R290&lt;=0,W_max,ABS(R$23-R296))</f>
        <v>1.9292888748194474</v>
      </c>
      <c r="T297" s="151">
        <f>R285</f>
        <v>16.353419534748326</v>
      </c>
      <c r="U297" s="135"/>
      <c r="V297" s="132">
        <f>IF(U290&lt;=0,W_max,ABS(U$23-U296))</f>
        <v>2.5926112199954541</v>
      </c>
      <c r="W297" s="151">
        <f>U285</f>
        <v>555.67688861587078</v>
      </c>
      <c r="X297" s="135"/>
      <c r="Y297" s="132">
        <f>IF(X290&lt;=0,W_max,ABS(X$23-X296))</f>
        <v>3.9579928518950522</v>
      </c>
      <c r="Z297" s="151">
        <f>X285</f>
        <v>1374.2550718719449</v>
      </c>
      <c r="AA297" s="135"/>
      <c r="AB297" s="132">
        <f>IF(AA290&lt;=0,W_max,ABS(AA$23-AA296))</f>
        <v>5.0119628670484584</v>
      </c>
      <c r="AC297" s="151">
        <f>AA285</f>
        <v>2676.6981077026871</v>
      </c>
      <c r="AD297" s="135"/>
      <c r="AE297" s="132">
        <f>IF(AD290&lt;=0,W_max,ABS(AD$23-AD296))</f>
        <v>4.8628377376721055</v>
      </c>
      <c r="AF297" s="151">
        <f>AD285</f>
        <v>4402.1828853971447</v>
      </c>
      <c r="AG297" s="135"/>
      <c r="AH297" s="132">
        <f>IF(AG290&lt;=0,W_max,ABS(AG$23-AG296))</f>
        <v>3.2580865960986714</v>
      </c>
      <c r="AI297" s="151">
        <f>AG285</f>
        <v>6174.4004039676001</v>
      </c>
      <c r="AJ297" s="135"/>
      <c r="AK297" s="132">
        <f>IF(AJ290&lt;=0,W_max,ABS(AJ$23-AJ296))</f>
        <v>2.4490247252217543</v>
      </c>
      <c r="AL297" s="151">
        <f>AJ285</f>
        <v>7839.8501268271111</v>
      </c>
      <c r="AM297" s="135"/>
      <c r="AN297" s="132">
        <f>IF(AM290&lt;=0,W_max,ABS(AM$23-AM296))</f>
        <v>13.728779606968445</v>
      </c>
      <c r="AO297" s="151">
        <f>AM285</f>
        <v>9192.8408381198205</v>
      </c>
      <c r="AP297" s="135"/>
      <c r="AQ297" s="132">
        <f>IF(AP290&lt;=0,W_max,ABS(AP$23-AP296))</f>
        <v>39.46744541438153</v>
      </c>
      <c r="AR297" s="151">
        <f>AP285</f>
        <v>10256.161539022545</v>
      </c>
      <c r="AS297" s="135"/>
      <c r="AT297" s="132">
        <f>IF(AS290&lt;=0,W_max,ABS(AS$23-AS296))</f>
        <v>7174</v>
      </c>
      <c r="AU297" s="151">
        <f>AS285</f>
        <v>11442.474787373692</v>
      </c>
    </row>
    <row r="298" spans="13:47" ht="13" x14ac:dyDescent="0.25">
      <c r="M298" s="12"/>
      <c r="N298" s="12"/>
      <c r="O298" s="12"/>
      <c r="P298" s="12"/>
      <c r="Q298" s="12"/>
      <c r="R298" s="182"/>
      <c r="S298" s="22"/>
      <c r="T298" s="152"/>
      <c r="U298" s="157"/>
      <c r="V298" s="1"/>
      <c r="W298" s="147"/>
      <c r="X298" s="157"/>
      <c r="Y298" s="1"/>
      <c r="Z298" s="147"/>
      <c r="AA298" s="157"/>
      <c r="AB298" s="1"/>
      <c r="AC298" s="147"/>
      <c r="AD298" s="157"/>
      <c r="AE298" s="1"/>
      <c r="AF298" s="147"/>
      <c r="AG298" s="157"/>
      <c r="AH298" s="1"/>
      <c r="AI298" s="147"/>
      <c r="AJ298" s="157"/>
      <c r="AK298" s="1"/>
      <c r="AL298" s="147"/>
      <c r="AM298" s="157"/>
      <c r="AN298" s="1"/>
      <c r="AO298" s="147"/>
      <c r="AP298" s="157"/>
      <c r="AQ298" s="1"/>
      <c r="AR298" s="147"/>
      <c r="AS298" s="157"/>
      <c r="AT298" s="1"/>
      <c r="AU298" s="147"/>
    </row>
    <row r="299" spans="13:47" ht="14" x14ac:dyDescent="0.3">
      <c r="M299" s="23"/>
      <c r="N299" s="23"/>
      <c r="O299" s="23" t="s">
        <v>238</v>
      </c>
      <c r="P299" s="20"/>
      <c r="Q299" s="20"/>
      <c r="R299" s="18">
        <f>R285*1.02</f>
        <v>16.680487925443295</v>
      </c>
      <c r="S299" s="128" t="s">
        <v>185</v>
      </c>
      <c r="T299" s="153" t="s">
        <v>186</v>
      </c>
      <c r="U299" s="143">
        <f>U285*1.01</f>
        <v>561.23365750202947</v>
      </c>
      <c r="V299" s="128" t="s">
        <v>185</v>
      </c>
      <c r="W299" s="153" t="s">
        <v>186</v>
      </c>
      <c r="X299" s="143">
        <f>X285*1.01</f>
        <v>1387.9976225906644</v>
      </c>
      <c r="Y299" s="128" t="s">
        <v>185</v>
      </c>
      <c r="Z299" s="153" t="s">
        <v>186</v>
      </c>
      <c r="AA299" s="143">
        <f>AA285*1.01</f>
        <v>2703.4650887797138</v>
      </c>
      <c r="AB299" s="128" t="s">
        <v>185</v>
      </c>
      <c r="AC299" s="153" t="s">
        <v>186</v>
      </c>
      <c r="AD299" s="143">
        <f>AD285*1.01</f>
        <v>4446.2047142511165</v>
      </c>
      <c r="AE299" s="128" t="s">
        <v>185</v>
      </c>
      <c r="AF299" s="153" t="s">
        <v>186</v>
      </c>
      <c r="AG299" s="143">
        <f>AG285*1.01</f>
        <v>6236.1444080072761</v>
      </c>
      <c r="AH299" s="128" t="s">
        <v>185</v>
      </c>
      <c r="AI299" s="153" t="s">
        <v>186</v>
      </c>
      <c r="AJ299" s="143">
        <f>AJ285*1.01</f>
        <v>7918.2486280953826</v>
      </c>
      <c r="AK299" s="128" t="s">
        <v>185</v>
      </c>
      <c r="AL299" s="153" t="s">
        <v>186</v>
      </c>
      <c r="AM299" s="143">
        <f>AM285*1.01</f>
        <v>9284.7692465010186</v>
      </c>
      <c r="AN299" s="128" t="s">
        <v>185</v>
      </c>
      <c r="AO299" s="153" t="s">
        <v>186</v>
      </c>
      <c r="AP299" s="143">
        <f>AP285*1.01</f>
        <v>10358.72315441277</v>
      </c>
      <c r="AQ299" s="128" t="s">
        <v>185</v>
      </c>
      <c r="AR299" s="153" t="s">
        <v>186</v>
      </c>
      <c r="AS299" s="143">
        <f>AS285*1.01</f>
        <v>11556.899535247429</v>
      </c>
      <c r="AT299" s="128" t="s">
        <v>185</v>
      </c>
      <c r="AU299" s="153" t="s">
        <v>186</v>
      </c>
    </row>
    <row r="300" spans="13:47" ht="14" x14ac:dyDescent="0.3">
      <c r="M300" s="12"/>
      <c r="N300" s="12"/>
      <c r="O300" s="20"/>
      <c r="P300" s="20"/>
      <c r="Q300" s="23"/>
      <c r="R300" s="139"/>
      <c r="S300" s="130" t="s">
        <v>228</v>
      </c>
      <c r="T300" s="154" t="s">
        <v>187</v>
      </c>
      <c r="U300" s="144"/>
      <c r="V300" s="130" t="s">
        <v>228</v>
      </c>
      <c r="W300" s="154" t="s">
        <v>187</v>
      </c>
      <c r="X300" s="144"/>
      <c r="Y300" s="130" t="s">
        <v>228</v>
      </c>
      <c r="Z300" s="154" t="s">
        <v>187</v>
      </c>
      <c r="AA300" s="144"/>
      <c r="AB300" s="130" t="s">
        <v>228</v>
      </c>
      <c r="AC300" s="154" t="s">
        <v>187</v>
      </c>
      <c r="AD300" s="144"/>
      <c r="AE300" s="130" t="s">
        <v>228</v>
      </c>
      <c r="AF300" s="154" t="s">
        <v>187</v>
      </c>
      <c r="AG300" s="144"/>
      <c r="AH300" s="130" t="s">
        <v>228</v>
      </c>
      <c r="AI300" s="154" t="s">
        <v>187</v>
      </c>
      <c r="AJ300" s="144"/>
      <c r="AK300" s="130" t="s">
        <v>228</v>
      </c>
      <c r="AL300" s="154" t="s">
        <v>187</v>
      </c>
      <c r="AM300" s="144"/>
      <c r="AN300" s="130" t="s">
        <v>228</v>
      </c>
      <c r="AO300" s="154" t="s">
        <v>187</v>
      </c>
      <c r="AP300" s="144"/>
      <c r="AQ300" s="130" t="s">
        <v>228</v>
      </c>
      <c r="AR300" s="154" t="s">
        <v>187</v>
      </c>
      <c r="AS300" s="144"/>
      <c r="AT300" s="130" t="s">
        <v>228</v>
      </c>
      <c r="AU300" s="154" t="s">
        <v>187</v>
      </c>
    </row>
    <row r="301" spans="13:47" x14ac:dyDescent="0.25">
      <c r="M301" s="20"/>
      <c r="N301" s="20"/>
      <c r="O301" s="7" t="s">
        <v>188</v>
      </c>
      <c r="P301" s="7"/>
      <c r="Q301" s="7"/>
      <c r="R301" s="181">
        <f>P_1_minW-(R299^2*R_up)+dpup_minQ</f>
        <v>100.52267578576073</v>
      </c>
      <c r="S301" s="132"/>
      <c r="T301" s="145"/>
      <c r="U301" s="138">
        <f>P_1_minW-(U299^2*R_up)+dpup_minQ</f>
        <v>100.39718345011848</v>
      </c>
      <c r="V301" s="132"/>
      <c r="W301" s="145"/>
      <c r="X301" s="138">
        <f>P_1_minW-(X299^2*R_up)+dpup_minQ</f>
        <v>99.754557144847169</v>
      </c>
      <c r="Y301" s="132"/>
      <c r="Z301" s="145"/>
      <c r="AA301" s="138">
        <f>P_1_minW-(AA299^2*R_up)+dpup_minQ</f>
        <v>97.608346736715276</v>
      </c>
      <c r="AB301" s="132"/>
      <c r="AC301" s="145"/>
      <c r="AD301" s="138">
        <f>P_1_minW-(AD299^2*R_up)+dpup_minQ</f>
        <v>92.639769119676487</v>
      </c>
      <c r="AE301" s="132"/>
      <c r="AF301" s="145"/>
      <c r="AG301" s="138">
        <f>P_1_minW-(AG299^2*R_up)+dpup_minQ</f>
        <v>85.015139460663676</v>
      </c>
      <c r="AH301" s="132"/>
      <c r="AI301" s="145"/>
      <c r="AJ301" s="138">
        <f>P_1_minW-(AJ299^2*R_up)+dpup_minQ</f>
        <v>75.520953394756447</v>
      </c>
      <c r="AK301" s="132"/>
      <c r="AL301" s="145"/>
      <c r="AM301" s="138">
        <f>P_1_minW-(AM299^2*R_up)+dpup_minQ</f>
        <v>66.146749036996695</v>
      </c>
      <c r="AN301" s="132"/>
      <c r="AO301" s="145"/>
      <c r="AP301" s="138">
        <f>P_1_minW-(AP299^2*R_up)+dpup_minQ</f>
        <v>57.73438741647719</v>
      </c>
      <c r="AQ301" s="132"/>
      <c r="AR301" s="145"/>
      <c r="AS301" s="138">
        <f>P_1_minW-(AS299^2*R_up)+dpup_minQ</f>
        <v>47.263387489456591</v>
      </c>
      <c r="AT301" s="132"/>
      <c r="AU301" s="145"/>
    </row>
    <row r="302" spans="13:47" x14ac:dyDescent="0.25">
      <c r="M302" s="20"/>
      <c r="N302" s="20"/>
      <c r="O302" s="7" t="s">
        <v>189</v>
      </c>
      <c r="P302" s="1"/>
      <c r="Q302" s="7"/>
      <c r="R302" s="181">
        <f>P_2_minW+(R299^2*R_dn)-dpdn_minQ</f>
        <v>50</v>
      </c>
      <c r="S302" s="132"/>
      <c r="T302" s="146"/>
      <c r="U302" s="138">
        <f>P_2_minW+(U299^2*R_dn)-dpdn_minQ</f>
        <v>50</v>
      </c>
      <c r="V302" s="132"/>
      <c r="W302" s="146"/>
      <c r="X302" s="138">
        <f>P_2_minW+(X299^2*R_dn)-dpdn_minQ</f>
        <v>50</v>
      </c>
      <c r="Y302" s="132"/>
      <c r="Z302" s="146"/>
      <c r="AA302" s="138">
        <f>P_2_minW+(AA299^2*R_dn)-dpdn_minQ</f>
        <v>50</v>
      </c>
      <c r="AB302" s="132"/>
      <c r="AC302" s="146"/>
      <c r="AD302" s="138">
        <f>P_2_minW+(AD299^2*R_dn)-dpdn_minQ</f>
        <v>50</v>
      </c>
      <c r="AE302" s="132"/>
      <c r="AF302" s="146"/>
      <c r="AG302" s="138">
        <f>P_2_minW+(AG299^2*R_dn)-dpdn_minQ</f>
        <v>50</v>
      </c>
      <c r="AH302" s="132"/>
      <c r="AI302" s="146"/>
      <c r="AJ302" s="138">
        <f>P_2_minW+(AJ299^2*R_dn)-dpdn_minQ</f>
        <v>50</v>
      </c>
      <c r="AK302" s="132"/>
      <c r="AL302" s="146"/>
      <c r="AM302" s="138">
        <f>P_2_minW+(AM299^2*R_dn)-dpdn_minQ</f>
        <v>50</v>
      </c>
      <c r="AN302" s="132"/>
      <c r="AO302" s="146"/>
      <c r="AP302" s="138">
        <f>P_2_minW+(AP299^2*R_dn)-dpdn_minQ</f>
        <v>50</v>
      </c>
      <c r="AQ302" s="132"/>
      <c r="AR302" s="146"/>
      <c r="AS302" s="138">
        <f>P_2_minW+(AS299^2*R_dn)-dpdn_minQ</f>
        <v>50</v>
      </c>
      <c r="AT302" s="132"/>
      <c r="AU302" s="146"/>
    </row>
    <row r="303" spans="13:47" x14ac:dyDescent="0.25">
      <c r="M303" s="20"/>
      <c r="N303" s="20"/>
      <c r="O303" s="7" t="s">
        <v>234</v>
      </c>
      <c r="P303" s="1"/>
      <c r="Q303" s="7"/>
      <c r="R303" s="179">
        <f>'Valve Sizing'!G$8*R301/P_1_maxW</f>
        <v>0.48490349103118457</v>
      </c>
      <c r="S303" s="132"/>
      <c r="T303" s="146"/>
      <c r="U303" s="143">
        <f>'Valve Sizing'!$G$8*U301/P_1_maxW</f>
        <v>0.4842981383465797</v>
      </c>
      <c r="V303" s="132"/>
      <c r="W303" s="146"/>
      <c r="X303" s="143">
        <f>'Valve Sizing'!$G$8*X301/P_1_maxW</f>
        <v>0.48119822346251262</v>
      </c>
      <c r="Y303" s="132"/>
      <c r="Z303" s="146"/>
      <c r="AA303" s="143">
        <f>'Valve Sizing'!$G$8*AA301/P_1_maxW</f>
        <v>0.47084528656289582</v>
      </c>
      <c r="AB303" s="132"/>
      <c r="AC303" s="146"/>
      <c r="AD303" s="143">
        <f>'Valve Sizing'!$G$8*AD301/P_1_maxW</f>
        <v>0.44687775273902208</v>
      </c>
      <c r="AE303" s="132"/>
      <c r="AF303" s="146"/>
      <c r="AG303" s="143">
        <f>'Valve Sizing'!$G$8*AG301/P_1_maxW</f>
        <v>0.41009789674558517</v>
      </c>
      <c r="AH303" s="132"/>
      <c r="AI303" s="146"/>
      <c r="AJ303" s="143">
        <f>'Valve Sizing'!$G$8*AJ301/P_1_maxW</f>
        <v>0.36429963349929206</v>
      </c>
      <c r="AK303" s="132"/>
      <c r="AL303" s="146"/>
      <c r="AM303" s="143">
        <f>'Valve Sizing'!$G$8*AM301/P_1_maxW</f>
        <v>0.31908014065167589</v>
      </c>
      <c r="AN303" s="132"/>
      <c r="AO303" s="146"/>
      <c r="AP303" s="143">
        <f>'Valve Sizing'!$G$8*AP301/P_1_maxW</f>
        <v>0.27850040592296221</v>
      </c>
      <c r="AQ303" s="132"/>
      <c r="AR303" s="146"/>
      <c r="AS303" s="143">
        <f>'Valve Sizing'!$G$8*AS301/P_1_maxW</f>
        <v>0.22799016652164697</v>
      </c>
      <c r="AT303" s="132"/>
      <c r="AU303" s="146"/>
    </row>
    <row r="304" spans="13:47" x14ac:dyDescent="0.25">
      <c r="M304" s="20"/>
      <c r="N304" s="20"/>
      <c r="O304" s="7" t="s">
        <v>190</v>
      </c>
      <c r="P304" s="1"/>
      <c r="Q304" s="7"/>
      <c r="R304" s="181">
        <f>R301-R302</f>
        <v>50.522675785760725</v>
      </c>
      <c r="S304" s="132"/>
      <c r="T304" s="146"/>
      <c r="U304" s="138">
        <f>U301-U302</f>
        <v>50.397183450118476</v>
      </c>
      <c r="V304" s="132"/>
      <c r="W304" s="146"/>
      <c r="X304" s="138">
        <f>X301-X302</f>
        <v>49.754557144847169</v>
      </c>
      <c r="Y304" s="132"/>
      <c r="Z304" s="146"/>
      <c r="AA304" s="138">
        <f>AA301-AA302</f>
        <v>47.608346736715276</v>
      </c>
      <c r="AB304" s="132"/>
      <c r="AC304" s="146"/>
      <c r="AD304" s="138">
        <f>AD301-AD302</f>
        <v>42.639769119676487</v>
      </c>
      <c r="AE304" s="132"/>
      <c r="AF304" s="146"/>
      <c r="AG304" s="138">
        <f>AG301-AG302</f>
        <v>35.015139460663676</v>
      </c>
      <c r="AH304" s="132"/>
      <c r="AI304" s="146"/>
      <c r="AJ304" s="138">
        <f>AJ301-AJ302</f>
        <v>25.520953394756447</v>
      </c>
      <c r="AK304" s="132"/>
      <c r="AL304" s="146"/>
      <c r="AM304" s="138">
        <f>AM301-AM302</f>
        <v>16.146749036996695</v>
      </c>
      <c r="AN304" s="132"/>
      <c r="AO304" s="146"/>
      <c r="AP304" s="138">
        <f>AP301-AP302</f>
        <v>7.7343874164771904</v>
      </c>
      <c r="AQ304" s="132"/>
      <c r="AR304" s="146"/>
      <c r="AS304" s="138">
        <f>AS301-AS302</f>
        <v>-2.7366125105434094</v>
      </c>
      <c r="AT304" s="132"/>
      <c r="AU304" s="146"/>
    </row>
    <row r="305" spans="13:47" ht="14.5" x14ac:dyDescent="0.35">
      <c r="M305" s="27"/>
      <c r="N305" s="27"/>
      <c r="O305" s="2" t="s">
        <v>191</v>
      </c>
      <c r="P305" s="10"/>
      <c r="Q305" s="2"/>
      <c r="R305" s="181">
        <f>R304/R301</f>
        <v>0.50259979045362202</v>
      </c>
      <c r="S305" s="132"/>
      <c r="T305" s="146"/>
      <c r="U305" s="138">
        <f>U304/U301</f>
        <v>0.50197806072077611</v>
      </c>
      <c r="V305" s="132"/>
      <c r="W305" s="146"/>
      <c r="X305" s="138">
        <f>X304/X301</f>
        <v>0.49876976620328012</v>
      </c>
      <c r="Y305" s="132"/>
      <c r="Z305" s="146"/>
      <c r="AA305" s="138">
        <f>AA304/AA301</f>
        <v>0.48774872568154509</v>
      </c>
      <c r="AB305" s="132"/>
      <c r="AC305" s="146"/>
      <c r="AD305" s="138">
        <f>AD304/AD301</f>
        <v>0.46027499339503308</v>
      </c>
      <c r="AE305" s="132"/>
      <c r="AF305" s="146"/>
      <c r="AG305" s="138">
        <f>AG304/AG301</f>
        <v>0.41186945857878771</v>
      </c>
      <c r="AH305" s="132"/>
      <c r="AI305" s="146"/>
      <c r="AJ305" s="138">
        <f>AJ304/AJ301</f>
        <v>0.33793208702431993</v>
      </c>
      <c r="AK305" s="132"/>
      <c r="AL305" s="146"/>
      <c r="AM305" s="138">
        <f>AM304/AM301</f>
        <v>0.24410495257999179</v>
      </c>
      <c r="AN305" s="132"/>
      <c r="AO305" s="146"/>
      <c r="AP305" s="138">
        <f>AP304/AP301</f>
        <v>0.13396500357202756</v>
      </c>
      <c r="AQ305" s="132"/>
      <c r="AR305" s="146"/>
      <c r="AS305" s="138">
        <f>AS304/AS301</f>
        <v>-5.7901319729862503E-2</v>
      </c>
      <c r="AT305" s="132"/>
      <c r="AU305" s="146"/>
    </row>
    <row r="306" spans="13:47" x14ac:dyDescent="0.25">
      <c r="M306" s="27"/>
      <c r="N306" s="27"/>
      <c r="O306" s="2" t="s">
        <v>26</v>
      </c>
      <c r="P306" s="7">
        <v>12</v>
      </c>
      <c r="Q306" s="2"/>
      <c r="R306" s="181">
        <f>1-R305/(3*F_GAMMA*R$29)</f>
        <v>0.73824026977609081</v>
      </c>
      <c r="S306" s="133"/>
      <c r="T306" s="146"/>
      <c r="U306" s="138">
        <f>1-U305/(3*F_GAMMA*U$29)</f>
        <v>0.73862163542608794</v>
      </c>
      <c r="V306" s="133"/>
      <c r="W306" s="146"/>
      <c r="X306" s="138">
        <f>1-X305/(3*F_GAMMA*X$29)</f>
        <v>0.73639615351792131</v>
      </c>
      <c r="Y306" s="133"/>
      <c r="Z306" s="146"/>
      <c r="AA306" s="138">
        <f>1-AA305/(3*F_GAMMA*AA$29)</f>
        <v>0.73868635166160357</v>
      </c>
      <c r="AB306" s="133"/>
      <c r="AC306" s="146"/>
      <c r="AD306" s="138">
        <f>1-AD305/(3*F_GAMMA*AD$29)</f>
        <v>0.74664443554218296</v>
      </c>
      <c r="AE306" s="133"/>
      <c r="AF306" s="146"/>
      <c r="AG306" s="138">
        <f>1-AG305/(3*F_GAMMA*AG$29)</f>
        <v>0.7603570118201497</v>
      </c>
      <c r="AH306" s="133"/>
      <c r="AI306" s="146"/>
      <c r="AJ306" s="138">
        <f>1-AJ305/(3*F_GAMMA*AJ$29)</f>
        <v>0.78980722656211322</v>
      </c>
      <c r="AK306" s="133"/>
      <c r="AL306" s="146"/>
      <c r="AM306" s="138">
        <f>1-AM305/(3*F_GAMMA*AM$29)</f>
        <v>0.8341074784597986</v>
      </c>
      <c r="AN306" s="133"/>
      <c r="AO306" s="146"/>
      <c r="AP306" s="138">
        <f>1-AP305/(3*F_GAMMA*AP$29)</f>
        <v>0.92476367331380738</v>
      </c>
      <c r="AQ306" s="133"/>
      <c r="AR306" s="146"/>
      <c r="AS306" s="138">
        <f>1-AS305/(3*F_GAMMA*AS$29)</f>
        <v>1.0493652472907022</v>
      </c>
      <c r="AT306" s="133"/>
      <c r="AU306" s="146"/>
    </row>
    <row r="307" spans="13:47" x14ac:dyDescent="0.25">
      <c r="M307" s="27"/>
      <c r="N307" s="27"/>
      <c r="O307" s="2" t="s">
        <v>71</v>
      </c>
      <c r="P307" s="85">
        <v>5</v>
      </c>
      <c r="Q307" s="2"/>
      <c r="R307" s="179">
        <f>R299/((N_6*R$27*R306)*SQRT(R305*R301*R303))</f>
        <v>7.2125351220330564E-2</v>
      </c>
      <c r="S307" s="133"/>
      <c r="T307" s="146"/>
      <c r="U307" s="143">
        <f>U299/((N_6*U$27*U306)*SQRT(U305*U301*U303))</f>
        <v>2.4315312945964394</v>
      </c>
      <c r="V307" s="133"/>
      <c r="W307" s="146"/>
      <c r="X307" s="143">
        <f>X299/((N_6*X$27*X306)*SQRT(X305*X301*X303))</f>
        <v>6.1034853577861599</v>
      </c>
      <c r="Y307" s="133"/>
      <c r="Z307" s="146"/>
      <c r="AA307" s="143">
        <f>AA299/((N_6*AA$27*AA306)*SQRT(AA305*AA301*AA303))</f>
        <v>12.318270749839204</v>
      </c>
      <c r="AB307" s="133"/>
      <c r="AC307" s="146"/>
      <c r="AD307" s="143">
        <f>AD299/((N_6*AD$27*AD306)*SQRT(AD305*AD301*AD303))</f>
        <v>21.998254956000032</v>
      </c>
      <c r="AE307" s="133"/>
      <c r="AF307" s="146"/>
      <c r="AG307" s="143">
        <f>AG299/((N_6*AG$27*AG306)*SQRT(AG305*AG301*AG303))</f>
        <v>35.654309284734197</v>
      </c>
      <c r="AH307" s="133"/>
      <c r="AI307" s="146"/>
      <c r="AJ307" s="143">
        <f>AJ299/((N_6*AJ$27*AJ306)*SQRT(AJ305*AJ301*AJ303))</f>
        <v>56.024103150091058</v>
      </c>
      <c r="AK307" s="133"/>
      <c r="AL307" s="146"/>
      <c r="AM307" s="143">
        <f>AM299/((N_6*AM$27*AM306)*SQRT(AM305*AM301*AM303))</f>
        <v>88.692236155529855</v>
      </c>
      <c r="AN307" s="133"/>
      <c r="AO307" s="146"/>
      <c r="AP307" s="143">
        <f>AP299/((N_6*AP$27*AP306)*SQRT(AP305*AP301*AP303))</f>
        <v>156.79515920770538</v>
      </c>
      <c r="AQ307" s="133"/>
      <c r="AR307" s="146"/>
      <c r="AS307" s="143" t="e">
        <f>AS299/((N_6*AS$27*AS306)*SQRT(AS305*AS301*AS303))</f>
        <v>#NUM!</v>
      </c>
      <c r="AT307" s="133"/>
      <c r="AU307" s="146"/>
    </row>
    <row r="308" spans="13:47" x14ac:dyDescent="0.25">
      <c r="M308" s="27"/>
      <c r="N308" s="27"/>
      <c r="O308" s="2" t="s">
        <v>73</v>
      </c>
      <c r="P308" s="85">
        <v>5</v>
      </c>
      <c r="Q308" s="2"/>
      <c r="R308" s="179">
        <f>R299/((N_6*R$27*0.667)*SQRT(R309*R301*R303))</f>
        <v>7.0741112139457787E-2</v>
      </c>
      <c r="S308" s="133"/>
      <c r="T308" s="155"/>
      <c r="U308" s="143">
        <f>U299/((N_6*U$27*0.667)*SQRT(U309*U301*U303))</f>
        <v>2.3843582004797055</v>
      </c>
      <c r="V308" s="133"/>
      <c r="W308" s="155"/>
      <c r="X308" s="143">
        <f>X299/((N_6*X$27*0.667)*SQRT(X309*X301*X303))</f>
        <v>5.9923901767252028</v>
      </c>
      <c r="Y308" s="133"/>
      <c r="Z308" s="155"/>
      <c r="AA308" s="143">
        <f>AA299/((N_6*AA$27*0.667)*SQRT(AA309*AA301*AA303))</f>
        <v>12.078852013271876</v>
      </c>
      <c r="AB308" s="133"/>
      <c r="AC308" s="155"/>
      <c r="AD308" s="143">
        <f>AD299/((N_6*AD$27*0.667)*SQRT(AD309*AD301*AD303))</f>
        <v>21.468518762325168</v>
      </c>
      <c r="AE308" s="133"/>
      <c r="AF308" s="155"/>
      <c r="AG308" s="143">
        <f>AG299/((N_6*AG$27*0.667)*SQRT(AG309*AG301*AG303))</f>
        <v>34.462496841745164</v>
      </c>
      <c r="AH308" s="133"/>
      <c r="AI308" s="155"/>
      <c r="AJ308" s="143">
        <f>AJ299/((N_6*AJ$27*0.667)*SQRT(AJ309*AJ301*AJ303))</f>
        <v>52.679264142007725</v>
      </c>
      <c r="AK308" s="133"/>
      <c r="AL308" s="155"/>
      <c r="AM308" s="143">
        <f>AM299/((N_6*AM$27*0.667)*SQRT(AM309*AM301*AM303))</f>
        <v>78.244859917203243</v>
      </c>
      <c r="AN308" s="133"/>
      <c r="AO308" s="155"/>
      <c r="AP308" s="143">
        <f>AP299/((N_6*AP$27*0.667)*SQRT(AP309*AP301*AP303))</f>
        <v>103.27899353769693</v>
      </c>
      <c r="AQ308" s="133"/>
      <c r="AR308" s="155"/>
      <c r="AS308" s="143">
        <f>AS299/((N_6*AS$27*0.667)*SQRT(AS309*AS301*AS303))</f>
        <v>227.87283704738462</v>
      </c>
      <c r="AT308" s="133"/>
      <c r="AU308" s="155"/>
    </row>
    <row r="309" spans="13:47" ht="15.5" x14ac:dyDescent="0.4">
      <c r="M309" s="27"/>
      <c r="N309" s="27"/>
      <c r="O309" s="2" t="s">
        <v>192</v>
      </c>
      <c r="P309" s="85">
        <v>10</v>
      </c>
      <c r="Q309" s="2"/>
      <c r="R309" s="181">
        <f>F_GAMMA*R$29</f>
        <v>0.64002688015162901</v>
      </c>
      <c r="S309" s="133"/>
      <c r="T309" s="155"/>
      <c r="U309" s="138">
        <f>F_GAMMA*U$29</f>
        <v>0.64016782916606918</v>
      </c>
      <c r="V309" s="133"/>
      <c r="W309" s="155"/>
      <c r="X309" s="138">
        <f>F_GAMMA*X$29</f>
        <v>0.6307062319203669</v>
      </c>
      <c r="Y309" s="133"/>
      <c r="Z309" s="155"/>
      <c r="AA309" s="138">
        <f>F_GAMMA*AA$29</f>
        <v>0.62217534213893466</v>
      </c>
      <c r="AB309" s="133"/>
      <c r="AC309" s="155"/>
      <c r="AD309" s="138">
        <f>F_GAMMA*AD$29</f>
        <v>0.60557184969146072</v>
      </c>
      <c r="AE309" s="133"/>
      <c r="AF309" s="155"/>
      <c r="AG309" s="138">
        <f>F_GAMMA*AG$29</f>
        <v>0.57289312142622573</v>
      </c>
      <c r="AH309" s="133"/>
      <c r="AI309" s="155"/>
      <c r="AJ309" s="138">
        <f>F_GAMMA*AJ$29</f>
        <v>0.53590819116049981</v>
      </c>
      <c r="AK309" s="133"/>
      <c r="AL309" s="155"/>
      <c r="AM309" s="138">
        <f>F_GAMMA*AM$29</f>
        <v>0.49048815926850342</v>
      </c>
      <c r="AN309" s="133"/>
      <c r="AO309" s="155"/>
      <c r="AP309" s="138">
        <f>F_GAMMA*AP$29</f>
        <v>0.59352979016280105</v>
      </c>
      <c r="AQ309" s="133"/>
      <c r="AR309" s="155"/>
      <c r="AS309" s="138">
        <f>F_GAMMA*AS$29</f>
        <v>0.39097221161068291</v>
      </c>
      <c r="AT309" s="133"/>
      <c r="AU309" s="155"/>
    </row>
    <row r="310" spans="13:47" x14ac:dyDescent="0.25">
      <c r="M310" s="27"/>
      <c r="N310" s="27"/>
      <c r="O310" s="2" t="s">
        <v>193</v>
      </c>
      <c r="P310" s="134"/>
      <c r="Q310" s="2"/>
      <c r="R310" s="181">
        <f>IF(R305&lt;R309,R307,R308)</f>
        <v>7.2125351220330564E-2</v>
      </c>
      <c r="S310" s="133"/>
      <c r="T310" s="155"/>
      <c r="U310" s="138">
        <f>IF(U305&lt;U309,U307,U308)</f>
        <v>2.4315312945964394</v>
      </c>
      <c r="V310" s="133"/>
      <c r="W310" s="155"/>
      <c r="X310" s="138">
        <f>IF(X305&lt;X309,X307,X308)</f>
        <v>6.1034853577861599</v>
      </c>
      <c r="Y310" s="133"/>
      <c r="Z310" s="155"/>
      <c r="AA310" s="138">
        <f>IF(AA305&lt;AA309,AA307,AA308)</f>
        <v>12.318270749839204</v>
      </c>
      <c r="AB310" s="133"/>
      <c r="AC310" s="155"/>
      <c r="AD310" s="138">
        <f>IF(AD305&lt;AD309,AD307,AD308)</f>
        <v>21.998254956000032</v>
      </c>
      <c r="AE310" s="133"/>
      <c r="AF310" s="155"/>
      <c r="AG310" s="138">
        <f>IF(AG305&lt;AG309,AG307,AG308)</f>
        <v>35.654309284734197</v>
      </c>
      <c r="AH310" s="133"/>
      <c r="AI310" s="155"/>
      <c r="AJ310" s="138">
        <f>IF(AJ305&lt;AJ309,AJ307,AJ308)</f>
        <v>56.024103150091058</v>
      </c>
      <c r="AK310" s="133"/>
      <c r="AL310" s="155"/>
      <c r="AM310" s="138">
        <f>IF(AM305&lt;AM309,AM307,AM308)</f>
        <v>88.692236155529855</v>
      </c>
      <c r="AN310" s="133"/>
      <c r="AO310" s="155"/>
      <c r="AP310" s="138">
        <f>IF(AP305&lt;AP309,AP307,AP308)</f>
        <v>156.79515920770538</v>
      </c>
      <c r="AQ310" s="133"/>
      <c r="AR310" s="155"/>
      <c r="AS310" s="138" t="e">
        <f>IF(AS305&lt;AS309,AS307,AS308)</f>
        <v>#NUM!</v>
      </c>
      <c r="AT310" s="133"/>
      <c r="AU310" s="155"/>
    </row>
    <row r="311" spans="13:47" ht="13" x14ac:dyDescent="0.3">
      <c r="M311" s="28"/>
      <c r="N311" s="28"/>
      <c r="O311" s="9" t="s">
        <v>194</v>
      </c>
      <c r="P311" s="1"/>
      <c r="Q311" s="1"/>
      <c r="R311" s="135"/>
      <c r="S311" s="132">
        <f>IF(R304&lt;=0,W_max,ABS(R$23-R310))</f>
        <v>1.9278746487796694</v>
      </c>
      <c r="T311" s="151">
        <f>R299</f>
        <v>16.680487925443295</v>
      </c>
      <c r="U311" s="135"/>
      <c r="V311" s="132">
        <f>IF(U304&lt;=0,W_max,ABS(U$23-U310))</f>
        <v>2.5684687054035606</v>
      </c>
      <c r="W311" s="151">
        <f>U299</f>
        <v>561.23365750202947</v>
      </c>
      <c r="X311" s="135"/>
      <c r="Y311" s="132">
        <f>IF(X304&lt;=0,W_max,ABS(X$23-X310))</f>
        <v>3.8965146422138401</v>
      </c>
      <c r="Z311" s="151">
        <f>X299</f>
        <v>1387.9976225906644</v>
      </c>
      <c r="AA311" s="135"/>
      <c r="AB311" s="132">
        <f>IF(AA304&lt;=0,W_max,ABS(AA$23-AA310))</f>
        <v>4.8817292501607952</v>
      </c>
      <c r="AC311" s="151">
        <f>AA299</f>
        <v>2703.4650887797138</v>
      </c>
      <c r="AD311" s="135"/>
      <c r="AE311" s="132">
        <f>IF(AD304&lt;=0,W_max,ABS(AD$23-AD310))</f>
        <v>4.6017450439999692</v>
      </c>
      <c r="AF311" s="151">
        <f>AD299</f>
        <v>4446.2047142511165</v>
      </c>
      <c r="AG311" s="135"/>
      <c r="AH311" s="132">
        <f>IF(AG304&lt;=0,W_max,ABS(AG$23-AG310))</f>
        <v>2.7456907152658019</v>
      </c>
      <c r="AI311" s="151">
        <f>AG299</f>
        <v>6236.1444080072761</v>
      </c>
      <c r="AJ311" s="135"/>
      <c r="AK311" s="132">
        <f>IF(AJ304&lt;=0,W_max,ABS(AJ$23-AJ310))</f>
        <v>3.524103150091058</v>
      </c>
      <c r="AL311" s="151">
        <f>AJ299</f>
        <v>7918.2486280953826</v>
      </c>
      <c r="AM311" s="135"/>
      <c r="AN311" s="132">
        <f>IF(AM304&lt;=0,W_max,ABS(AM$23-AM310))</f>
        <v>16.292236155529849</v>
      </c>
      <c r="AO311" s="151">
        <f>AM299</f>
        <v>9284.7692465010186</v>
      </c>
      <c r="AP311" s="135"/>
      <c r="AQ311" s="132">
        <f>IF(AP304&lt;=0,W_max,ABS(AP$23-AP310))</f>
        <v>48.795159207705382</v>
      </c>
      <c r="AR311" s="151">
        <f>AP299</f>
        <v>10358.72315441277</v>
      </c>
      <c r="AS311" s="135"/>
      <c r="AT311" s="132">
        <f>IF(AS304&lt;=0,W_max,ABS(AS$23-AS310))</f>
        <v>7174</v>
      </c>
      <c r="AU311" s="151">
        <f>AS299</f>
        <v>11556.899535247429</v>
      </c>
    </row>
    <row r="312" spans="13:47" ht="13" x14ac:dyDescent="0.25">
      <c r="M312" s="12"/>
      <c r="N312" s="12"/>
      <c r="O312" s="2"/>
      <c r="P312" s="85"/>
      <c r="Q312" s="2"/>
      <c r="R312" s="18"/>
      <c r="S312" s="150"/>
      <c r="T312" s="152"/>
      <c r="U312" s="157"/>
      <c r="V312" s="1"/>
      <c r="W312" s="147"/>
      <c r="X312" s="157"/>
      <c r="Y312" s="1"/>
      <c r="Z312" s="147"/>
      <c r="AA312" s="157"/>
      <c r="AB312" s="1"/>
      <c r="AC312" s="147"/>
      <c r="AD312" s="157"/>
      <c r="AE312" s="1"/>
      <c r="AF312" s="147"/>
      <c r="AG312" s="157"/>
      <c r="AH312" s="1"/>
      <c r="AI312" s="147"/>
      <c r="AJ312" s="157"/>
      <c r="AK312" s="1"/>
      <c r="AL312" s="147"/>
      <c r="AM312" s="157"/>
      <c r="AN312" s="1"/>
      <c r="AO312" s="147"/>
      <c r="AP312" s="157"/>
      <c r="AQ312" s="1"/>
      <c r="AR312" s="147"/>
      <c r="AS312" s="157"/>
      <c r="AT312" s="1"/>
      <c r="AU312" s="147"/>
    </row>
    <row r="313" spans="13:47" ht="14" x14ac:dyDescent="0.3">
      <c r="M313" s="23"/>
      <c r="N313" s="23"/>
      <c r="O313" s="23" t="s">
        <v>238</v>
      </c>
      <c r="P313" s="20"/>
      <c r="Q313" s="20"/>
      <c r="R313" s="181">
        <f>R299*1.02</f>
        <v>17.014097683952162</v>
      </c>
      <c r="S313" s="128" t="s">
        <v>185</v>
      </c>
      <c r="T313" s="153" t="s">
        <v>186</v>
      </c>
      <c r="U313" s="143">
        <f>U299*1.01</f>
        <v>566.8459940770498</v>
      </c>
      <c r="V313" s="128" t="s">
        <v>185</v>
      </c>
      <c r="W313" s="153" t="s">
        <v>186</v>
      </c>
      <c r="X313" s="143">
        <f>X299*1.01</f>
        <v>1401.877598816571</v>
      </c>
      <c r="Y313" s="128" t="s">
        <v>185</v>
      </c>
      <c r="Z313" s="153" t="s">
        <v>186</v>
      </c>
      <c r="AA313" s="143">
        <f>AA299*1.01</f>
        <v>2730.4997396675108</v>
      </c>
      <c r="AB313" s="128" t="s">
        <v>185</v>
      </c>
      <c r="AC313" s="153" t="s">
        <v>186</v>
      </c>
      <c r="AD313" s="143">
        <f>AD299*1.01</f>
        <v>4490.6667613936279</v>
      </c>
      <c r="AE313" s="128" t="s">
        <v>185</v>
      </c>
      <c r="AF313" s="153" t="s">
        <v>186</v>
      </c>
      <c r="AG313" s="143">
        <f>AG299*1.01</f>
        <v>6298.505852087349</v>
      </c>
      <c r="AH313" s="128" t="s">
        <v>185</v>
      </c>
      <c r="AI313" s="153" t="s">
        <v>186</v>
      </c>
      <c r="AJ313" s="143">
        <f>AJ299*1.01</f>
        <v>7997.4311143763362</v>
      </c>
      <c r="AK313" s="128" t="s">
        <v>185</v>
      </c>
      <c r="AL313" s="153" t="s">
        <v>186</v>
      </c>
      <c r="AM313" s="143">
        <f>AM299*1.01</f>
        <v>9377.6169389660281</v>
      </c>
      <c r="AN313" s="128" t="s">
        <v>185</v>
      </c>
      <c r="AO313" s="153" t="s">
        <v>186</v>
      </c>
      <c r="AP313" s="143">
        <f>AP299*1.01</f>
        <v>10462.310385956898</v>
      </c>
      <c r="AQ313" s="128" t="s">
        <v>185</v>
      </c>
      <c r="AR313" s="153" t="s">
        <v>186</v>
      </c>
      <c r="AS313" s="143">
        <f>AS299*1.01</f>
        <v>11672.468530599903</v>
      </c>
      <c r="AT313" s="128" t="s">
        <v>185</v>
      </c>
      <c r="AU313" s="153" t="s">
        <v>186</v>
      </c>
    </row>
    <row r="314" spans="13:47" ht="14" x14ac:dyDescent="0.3">
      <c r="M314" s="12"/>
      <c r="N314" s="12"/>
      <c r="O314" s="20"/>
      <c r="P314" s="20"/>
      <c r="Q314" s="23"/>
      <c r="R314" s="139"/>
      <c r="S314" s="130" t="s">
        <v>228</v>
      </c>
      <c r="T314" s="154" t="s">
        <v>187</v>
      </c>
      <c r="U314" s="144"/>
      <c r="V314" s="130" t="s">
        <v>228</v>
      </c>
      <c r="W314" s="154" t="s">
        <v>187</v>
      </c>
      <c r="X314" s="144"/>
      <c r="Y314" s="130" t="s">
        <v>228</v>
      </c>
      <c r="Z314" s="154" t="s">
        <v>187</v>
      </c>
      <c r="AA314" s="144"/>
      <c r="AB314" s="130" t="s">
        <v>228</v>
      </c>
      <c r="AC314" s="154" t="s">
        <v>187</v>
      </c>
      <c r="AD314" s="144"/>
      <c r="AE314" s="130" t="s">
        <v>228</v>
      </c>
      <c r="AF314" s="154" t="s">
        <v>187</v>
      </c>
      <c r="AG314" s="144"/>
      <c r="AH314" s="130" t="s">
        <v>228</v>
      </c>
      <c r="AI314" s="154" t="s">
        <v>187</v>
      </c>
      <c r="AJ314" s="144"/>
      <c r="AK314" s="130" t="s">
        <v>228</v>
      </c>
      <c r="AL314" s="154" t="s">
        <v>187</v>
      </c>
      <c r="AM314" s="144"/>
      <c r="AN314" s="130" t="s">
        <v>228</v>
      </c>
      <c r="AO314" s="154" t="s">
        <v>187</v>
      </c>
      <c r="AP314" s="144"/>
      <c r="AQ314" s="130" t="s">
        <v>228</v>
      </c>
      <c r="AR314" s="154" t="s">
        <v>187</v>
      </c>
      <c r="AS314" s="144"/>
      <c r="AT314" s="130" t="s">
        <v>228</v>
      </c>
      <c r="AU314" s="154" t="s">
        <v>187</v>
      </c>
    </row>
    <row r="315" spans="13:47" x14ac:dyDescent="0.25">
      <c r="M315" s="20"/>
      <c r="N315" s="20"/>
      <c r="O315" s="7" t="s">
        <v>188</v>
      </c>
      <c r="P315" s="7"/>
      <c r="Q315" s="7"/>
      <c r="R315" s="181">
        <f>P_1_minW-(R313^2*R_up)+dpup_minQ</f>
        <v>100.5226713033417</v>
      </c>
      <c r="S315" s="132"/>
      <c r="T315" s="145"/>
      <c r="U315" s="138">
        <f>P_1_minW-(U313^2*R_up)+dpup_minQ</f>
        <v>100.39465882405764</v>
      </c>
      <c r="V315" s="132"/>
      <c r="W315" s="145"/>
      <c r="X315" s="138">
        <f>P_1_minW-(X313^2*R_up)+dpup_minQ</f>
        <v>99.739115730050401</v>
      </c>
      <c r="Y315" s="132"/>
      <c r="Z315" s="145"/>
      <c r="AA315" s="138">
        <f>P_1_minW-(AA313^2*R_up)+dpup_minQ</f>
        <v>97.549766492715051</v>
      </c>
      <c r="AB315" s="132"/>
      <c r="AC315" s="145"/>
      <c r="AD315" s="138">
        <f>P_1_minW-(AD313^2*R_up)+dpup_minQ</f>
        <v>92.481320465573774</v>
      </c>
      <c r="AE315" s="132"/>
      <c r="AF315" s="145"/>
      <c r="AG315" s="138">
        <f>P_1_minW-(AG313^2*R_up)+dpup_minQ</f>
        <v>84.703435750414812</v>
      </c>
      <c r="AH315" s="132"/>
      <c r="AI315" s="145"/>
      <c r="AJ315" s="138">
        <f>P_1_minW-(AJ313^2*R_up)+dpup_minQ</f>
        <v>75.018416544582848</v>
      </c>
      <c r="AK315" s="132"/>
      <c r="AL315" s="145"/>
      <c r="AM315" s="138">
        <f>P_1_minW-(AM313^2*R_up)+dpup_minQ</f>
        <v>65.455790679232138</v>
      </c>
      <c r="AN315" s="132"/>
      <c r="AO315" s="145"/>
      <c r="AP315" s="138">
        <f>P_1_minW-(AP313^2*R_up)+dpup_minQ</f>
        <v>56.874340590140172</v>
      </c>
      <c r="AQ315" s="132"/>
      <c r="AR315" s="145"/>
      <c r="AS315" s="138">
        <f>P_1_minW-(AS313^2*R_up)+dpup_minQ</f>
        <v>46.192873564586471</v>
      </c>
      <c r="AT315" s="132"/>
      <c r="AU315" s="145"/>
    </row>
    <row r="316" spans="13:47" x14ac:dyDescent="0.25">
      <c r="M316" s="20"/>
      <c r="N316" s="20"/>
      <c r="O316" s="7" t="s">
        <v>189</v>
      </c>
      <c r="P316" s="1"/>
      <c r="Q316" s="7"/>
      <c r="R316" s="181">
        <f>P_2_minW+(R313^2*R_dn)-dpdn_minQ</f>
        <v>50</v>
      </c>
      <c r="S316" s="132"/>
      <c r="T316" s="146"/>
      <c r="U316" s="138">
        <f>P_2_minW+(U313^2*R_dn)-dpdn_minQ</f>
        <v>50</v>
      </c>
      <c r="V316" s="132"/>
      <c r="W316" s="146"/>
      <c r="X316" s="138">
        <f>P_2_minW+(X313^2*R_dn)-dpdn_minQ</f>
        <v>50</v>
      </c>
      <c r="Y316" s="132"/>
      <c r="Z316" s="146"/>
      <c r="AA316" s="138">
        <f>P_2_minW+(AA313^2*R_dn)-dpdn_minQ</f>
        <v>50</v>
      </c>
      <c r="AB316" s="132"/>
      <c r="AC316" s="146"/>
      <c r="AD316" s="138">
        <f>P_2_minW+(AD313^2*R_dn)-dpdn_minQ</f>
        <v>50</v>
      </c>
      <c r="AE316" s="132"/>
      <c r="AF316" s="146"/>
      <c r="AG316" s="138">
        <f>P_2_minW+(AG313^2*R_dn)-dpdn_minQ</f>
        <v>50</v>
      </c>
      <c r="AH316" s="132"/>
      <c r="AI316" s="146"/>
      <c r="AJ316" s="138">
        <f>P_2_minW+(AJ313^2*R_dn)-dpdn_minQ</f>
        <v>50</v>
      </c>
      <c r="AK316" s="132"/>
      <c r="AL316" s="146"/>
      <c r="AM316" s="138">
        <f>P_2_minW+(AM313^2*R_dn)-dpdn_minQ</f>
        <v>50</v>
      </c>
      <c r="AN316" s="132"/>
      <c r="AO316" s="146"/>
      <c r="AP316" s="138">
        <f>P_2_minW+(AP313^2*R_dn)-dpdn_minQ</f>
        <v>50</v>
      </c>
      <c r="AQ316" s="132"/>
      <c r="AR316" s="146"/>
      <c r="AS316" s="138">
        <f>P_2_minW+(AS313^2*R_dn)-dpdn_minQ</f>
        <v>50</v>
      </c>
      <c r="AT316" s="132"/>
      <c r="AU316" s="146"/>
    </row>
    <row r="317" spans="13:47" x14ac:dyDescent="0.25">
      <c r="M317" s="20"/>
      <c r="N317" s="20"/>
      <c r="O317" s="7" t="s">
        <v>234</v>
      </c>
      <c r="P317" s="1"/>
      <c r="Q317" s="7"/>
      <c r="R317" s="179">
        <f>'Valve Sizing'!G$8*R315/P_1_maxW</f>
        <v>0.48490346940879325</v>
      </c>
      <c r="S317" s="132"/>
      <c r="T317" s="146"/>
      <c r="U317" s="143">
        <f>'Valve Sizing'!$G$8*U315/P_1_maxW</f>
        <v>0.48428595999994417</v>
      </c>
      <c r="V317" s="132"/>
      <c r="W317" s="146"/>
      <c r="X317" s="143">
        <f>'Valve Sizing'!$G$8*X315/P_1_maxW</f>
        <v>0.48112373682670739</v>
      </c>
      <c r="Y317" s="132"/>
      <c r="Z317" s="146"/>
      <c r="AA317" s="143">
        <f>'Valve Sizing'!$G$8*AA315/P_1_maxW</f>
        <v>0.47056270589540833</v>
      </c>
      <c r="AB317" s="132"/>
      <c r="AC317" s="146"/>
      <c r="AD317" s="143">
        <f>'Valve Sizing'!$G$8*AD315/P_1_maxW</f>
        <v>0.44611342464167469</v>
      </c>
      <c r="AE317" s="132"/>
      <c r="AF317" s="146"/>
      <c r="AG317" s="143">
        <f>'Valve Sizing'!$G$8*AG315/P_1_maxW</f>
        <v>0.40859429354276972</v>
      </c>
      <c r="AH317" s="132"/>
      <c r="AI317" s="146"/>
      <c r="AJ317" s="143">
        <f>'Valve Sizing'!$G$8*AJ315/P_1_maxW</f>
        <v>0.36187548520522617</v>
      </c>
      <c r="AK317" s="132"/>
      <c r="AL317" s="146"/>
      <c r="AM317" s="143">
        <f>'Valve Sizing'!$G$8*AM315/P_1_maxW</f>
        <v>0.31574708055137296</v>
      </c>
      <c r="AN317" s="132"/>
      <c r="AO317" s="146"/>
      <c r="AP317" s="143">
        <f>'Valve Sizing'!$G$8*AP315/P_1_maxW</f>
        <v>0.27435169315461205</v>
      </c>
      <c r="AQ317" s="132"/>
      <c r="AR317" s="146"/>
      <c r="AS317" s="143">
        <f>'Valve Sizing'!$G$8*AS315/P_1_maxW</f>
        <v>0.22282619794133041</v>
      </c>
      <c r="AT317" s="132"/>
      <c r="AU317" s="146"/>
    </row>
    <row r="318" spans="13:47" x14ac:dyDescent="0.25">
      <c r="M318" s="20"/>
      <c r="N318" s="20"/>
      <c r="O318" s="7" t="s">
        <v>190</v>
      </c>
      <c r="P318" s="1"/>
      <c r="Q318" s="7"/>
      <c r="R318" s="181">
        <f>R315-R316</f>
        <v>50.522671303341696</v>
      </c>
      <c r="S318" s="132"/>
      <c r="T318" s="146"/>
      <c r="U318" s="138">
        <f>U315-U316</f>
        <v>50.394658824057643</v>
      </c>
      <c r="V318" s="132"/>
      <c r="W318" s="146"/>
      <c r="X318" s="138">
        <f>X315-X316</f>
        <v>49.739115730050401</v>
      </c>
      <c r="Y318" s="132"/>
      <c r="Z318" s="146"/>
      <c r="AA318" s="138">
        <f>AA315-AA316</f>
        <v>47.549766492715051</v>
      </c>
      <c r="AB318" s="132"/>
      <c r="AC318" s="146"/>
      <c r="AD318" s="138">
        <f>AD315-AD316</f>
        <v>42.481320465573774</v>
      </c>
      <c r="AE318" s="132"/>
      <c r="AF318" s="146"/>
      <c r="AG318" s="138">
        <f>AG315-AG316</f>
        <v>34.703435750414812</v>
      </c>
      <c r="AH318" s="132"/>
      <c r="AI318" s="146"/>
      <c r="AJ318" s="138">
        <f>AJ315-AJ316</f>
        <v>25.018416544582848</v>
      </c>
      <c r="AK318" s="132"/>
      <c r="AL318" s="146"/>
      <c r="AM318" s="138">
        <f>AM315-AM316</f>
        <v>15.455790679232138</v>
      </c>
      <c r="AN318" s="132"/>
      <c r="AO318" s="146"/>
      <c r="AP318" s="138">
        <f>AP315-AP316</f>
        <v>6.8743405901401715</v>
      </c>
      <c r="AQ318" s="132"/>
      <c r="AR318" s="146"/>
      <c r="AS318" s="138">
        <f>AS315-AS316</f>
        <v>-3.8071264354135295</v>
      </c>
      <c r="AT318" s="132"/>
      <c r="AU318" s="146"/>
    </row>
    <row r="319" spans="13:47" ht="14.5" x14ac:dyDescent="0.35">
      <c r="M319" s="27"/>
      <c r="N319" s="27"/>
      <c r="O319" s="2" t="s">
        <v>191</v>
      </c>
      <c r="P319" s="10"/>
      <c r="Q319" s="2"/>
      <c r="R319" s="181">
        <f>R318/R315</f>
        <v>0.502599768273987</v>
      </c>
      <c r="S319" s="132"/>
      <c r="T319" s="146"/>
      <c r="U319" s="138">
        <f>U318/U315</f>
        <v>0.50196553695525414</v>
      </c>
      <c r="V319" s="132"/>
      <c r="W319" s="146"/>
      <c r="X319" s="138">
        <f>X318/X315</f>
        <v>0.49869216671894456</v>
      </c>
      <c r="Y319" s="132"/>
      <c r="Z319" s="146"/>
      <c r="AA319" s="138">
        <f>AA318/AA315</f>
        <v>0.48744111034100768</v>
      </c>
      <c r="AB319" s="132"/>
      <c r="AC319" s="146"/>
      <c r="AD319" s="138">
        <f>AD318/AD315</f>
        <v>0.45935028016157564</v>
      </c>
      <c r="AE319" s="132"/>
      <c r="AF319" s="146"/>
      <c r="AG319" s="138">
        <f>AG318/AG315</f>
        <v>0.40970517244036186</v>
      </c>
      <c r="AH319" s="132"/>
      <c r="AI319" s="146"/>
      <c r="AJ319" s="138">
        <f>AJ318/AJ315</f>
        <v>0.33349699576389491</v>
      </c>
      <c r="AK319" s="132"/>
      <c r="AL319" s="146"/>
      <c r="AM319" s="138">
        <f>AM318/AM315</f>
        <v>0.23612564326009985</v>
      </c>
      <c r="AN319" s="132"/>
      <c r="AO319" s="146"/>
      <c r="AP319" s="138">
        <f>AP318/AP315</f>
        <v>0.12086892821631973</v>
      </c>
      <c r="AQ319" s="132"/>
      <c r="AR319" s="146"/>
      <c r="AS319" s="138">
        <f>AS318/AS315</f>
        <v>-8.2418047236018754E-2</v>
      </c>
      <c r="AT319" s="132"/>
      <c r="AU319" s="146"/>
    </row>
    <row r="320" spans="13:47" x14ac:dyDescent="0.25">
      <c r="M320" s="27"/>
      <c r="N320" s="27"/>
      <c r="O320" s="2" t="s">
        <v>26</v>
      </c>
      <c r="P320" s="7">
        <v>12</v>
      </c>
      <c r="Q320" s="2"/>
      <c r="R320" s="181">
        <f>1-R319/(3*F_GAMMA*R$29)</f>
        <v>0.73824028132749886</v>
      </c>
      <c r="S320" s="133"/>
      <c r="T320" s="146"/>
      <c r="U320" s="138">
        <f>1-U319/(3*F_GAMMA*U$29)</f>
        <v>0.73862815651058655</v>
      </c>
      <c r="V320" s="133"/>
      <c r="W320" s="146"/>
      <c r="X320" s="138">
        <f>1-X319/(3*F_GAMMA*X$29)</f>
        <v>0.73643716547161608</v>
      </c>
      <c r="Y320" s="133"/>
      <c r="Z320" s="146"/>
      <c r="AA320" s="138">
        <f>1-AA319/(3*F_GAMMA*AA$29)</f>
        <v>0.73885115801103773</v>
      </c>
      <c r="AB320" s="133"/>
      <c r="AC320" s="146"/>
      <c r="AD320" s="138">
        <f>1-AD319/(3*F_GAMMA*AD$29)</f>
        <v>0.74715343830484915</v>
      </c>
      <c r="AE320" s="133"/>
      <c r="AF320" s="146"/>
      <c r="AG320" s="138">
        <f>1-AG319/(3*F_GAMMA*AG$29)</f>
        <v>0.76161628459866137</v>
      </c>
      <c r="AH320" s="133"/>
      <c r="AI320" s="146"/>
      <c r="AJ320" s="138">
        <f>1-AJ319/(3*F_GAMMA*AJ$29)</f>
        <v>0.7925658404028042</v>
      </c>
      <c r="AK320" s="133"/>
      <c r="AL320" s="146"/>
      <c r="AM320" s="138">
        <f>1-AM319/(3*F_GAMMA*AM$29)</f>
        <v>0.83953017770959093</v>
      </c>
      <c r="AN320" s="133"/>
      <c r="AO320" s="146"/>
      <c r="AP320" s="138">
        <f>1-AP319/(3*F_GAMMA*AP$29)</f>
        <v>0.93211858375681178</v>
      </c>
      <c r="AQ320" s="133"/>
      <c r="AR320" s="146"/>
      <c r="AS320" s="138">
        <f>1-AS319/(3*F_GAMMA*AS$29)</f>
        <v>1.0702676087868941</v>
      </c>
      <c r="AT320" s="133"/>
      <c r="AU320" s="146"/>
    </row>
    <row r="321" spans="13:47" x14ac:dyDescent="0.25">
      <c r="M321" s="27"/>
      <c r="N321" s="27"/>
      <c r="O321" s="2" t="s">
        <v>71</v>
      </c>
      <c r="P321" s="85">
        <v>5</v>
      </c>
      <c r="Q321" s="2"/>
      <c r="R321" s="179">
        <f>R313/((N_6*R$27*R320)*SQRT(R319*R315*R317))</f>
        <v>7.3567861997346273E-2</v>
      </c>
      <c r="S321" s="133"/>
      <c r="T321" s="146"/>
      <c r="U321" s="143">
        <f>U313/((N_6*U$27*U320)*SQRT(U319*U315*U317))</f>
        <v>2.4559173187402066</v>
      </c>
      <c r="V321" s="133"/>
      <c r="W321" s="146"/>
      <c r="X321" s="143">
        <f>X313/((N_6*X$27*X320)*SQRT(X319*X315*X317))</f>
        <v>6.1656108839794639</v>
      </c>
      <c r="Y321" s="133"/>
      <c r="Z321" s="146"/>
      <c r="AA321" s="143">
        <f>AA313/((N_6*AA$27*AA320)*SQRT(AA319*AA315*AA317))</f>
        <v>12.450074579310902</v>
      </c>
      <c r="AB321" s="133"/>
      <c r="AC321" s="146"/>
      <c r="AD321" s="143">
        <f>AD313/((N_6*AD$27*AD320)*SQRT(AD319*AD315*AD317))</f>
        <v>22.263517318611886</v>
      </c>
      <c r="AE321" s="133"/>
      <c r="AF321" s="146"/>
      <c r="AG321" s="143">
        <f>AG313/((N_6*AG$27*AG320)*SQRT(AG319*AG315*AG317))</f>
        <v>36.178791108079018</v>
      </c>
      <c r="AH321" s="133"/>
      <c r="AI321" s="146"/>
      <c r="AJ321" s="143">
        <f>AJ313/((N_6*AJ$27*AJ320)*SQRT(AJ319*AJ315*AJ317))</f>
        <v>57.141332379070505</v>
      </c>
      <c r="AK321" s="133"/>
      <c r="AL321" s="146"/>
      <c r="AM321" s="143">
        <f>AM313/((N_6*AM$27*AM320)*SQRT(AM319*AM315*AM317))</f>
        <v>91.447077590471807</v>
      </c>
      <c r="AN321" s="133"/>
      <c r="AO321" s="146"/>
      <c r="AP321" s="143">
        <f>AP313/((N_6*AP$27*AP320)*SQRT(AP319*AP315*AP317))</f>
        <v>167.90752155578147</v>
      </c>
      <c r="AQ321" s="133"/>
      <c r="AR321" s="146"/>
      <c r="AS321" s="143" t="e">
        <f>AS313/((N_6*AS$27*AS320)*SQRT(AS319*AS315*AS317))</f>
        <v>#NUM!</v>
      </c>
      <c r="AT321" s="133"/>
      <c r="AU321" s="146"/>
    </row>
    <row r="322" spans="13:47" x14ac:dyDescent="0.25">
      <c r="M322" s="27"/>
      <c r="N322" s="27"/>
      <c r="O322" s="2" t="s">
        <v>73</v>
      </c>
      <c r="P322" s="85">
        <v>5</v>
      </c>
      <c r="Q322" s="2"/>
      <c r="R322" s="179">
        <f>R313/((N_6*R$27*0.667)*SQRT(R323*R315*R317))</f>
        <v>7.2155937599761258E-2</v>
      </c>
      <c r="S322" s="133"/>
      <c r="T322" s="155"/>
      <c r="U322" s="143">
        <f>U313/((N_6*U$27*0.667)*SQRT(U323*U315*U317))</f>
        <v>2.4082623415725162</v>
      </c>
      <c r="V322" s="133"/>
      <c r="W322" s="155"/>
      <c r="X322" s="143">
        <f>X313/((N_6*X$27*0.667)*SQRT(X323*X315*X317))</f>
        <v>6.0532510859191024</v>
      </c>
      <c r="Y322" s="133"/>
      <c r="Z322" s="155"/>
      <c r="AA322" s="143">
        <f>AA313/((N_6*AA$27*0.667)*SQRT(AA323*AA315*AA317))</f>
        <v>12.206966618795226</v>
      </c>
      <c r="AB322" s="133"/>
      <c r="AC322" s="155"/>
      <c r="AD322" s="143">
        <f>AD313/((N_6*AD$27*0.667)*SQRT(AD323*AD315*AD317))</f>
        <v>21.72035387887686</v>
      </c>
      <c r="AE322" s="133"/>
      <c r="AF322" s="155"/>
      <c r="AG322" s="143">
        <f>AG313/((N_6*AG$27*0.667)*SQRT(AG323*AG315*AG317))</f>
        <v>34.935209991181402</v>
      </c>
      <c r="AH322" s="133"/>
      <c r="AI322" s="155"/>
      <c r="AJ322" s="143">
        <f>AJ313/((N_6*AJ$27*0.667)*SQRT(AJ323*AJ315*AJ317))</f>
        <v>53.562475985774093</v>
      </c>
      <c r="AK322" s="133"/>
      <c r="AL322" s="155"/>
      <c r="AM322" s="143">
        <f>AM313/((N_6*AM$27*0.667)*SQRT(AM323*AM315*AM317))</f>
        <v>79.861529274300551</v>
      </c>
      <c r="AN322" s="133"/>
      <c r="AO322" s="155"/>
      <c r="AP322" s="143">
        <f>AP313/((N_6*AP$27*0.667)*SQRT(AP323*AP315*AP317))</f>
        <v>105.88917351214407</v>
      </c>
      <c r="AQ322" s="133"/>
      <c r="AR322" s="155"/>
      <c r="AS322" s="143">
        <f>AS313/((N_6*AS$27*0.667)*SQRT(AS323*AS315*AS317))</f>
        <v>235.48529845063874</v>
      </c>
      <c r="AT322" s="133"/>
      <c r="AU322" s="155"/>
    </row>
    <row r="323" spans="13:47" ht="15.5" x14ac:dyDescent="0.4">
      <c r="M323" s="27"/>
      <c r="N323" s="27"/>
      <c r="O323" s="2" t="s">
        <v>192</v>
      </c>
      <c r="P323" s="85">
        <v>10</v>
      </c>
      <c r="Q323" s="2"/>
      <c r="R323" s="181">
        <f>F_GAMMA*R$29</f>
        <v>0.64002688015162901</v>
      </c>
      <c r="S323" s="133"/>
      <c r="T323" s="155"/>
      <c r="U323" s="138">
        <f>F_GAMMA*U$29</f>
        <v>0.64016782916606918</v>
      </c>
      <c r="V323" s="133"/>
      <c r="W323" s="155"/>
      <c r="X323" s="138">
        <f>F_GAMMA*X$29</f>
        <v>0.6307062319203669</v>
      </c>
      <c r="Y323" s="133"/>
      <c r="Z323" s="155"/>
      <c r="AA323" s="138">
        <f>F_GAMMA*AA$29</f>
        <v>0.62217534213893466</v>
      </c>
      <c r="AB323" s="133"/>
      <c r="AC323" s="155"/>
      <c r="AD323" s="138">
        <f>F_GAMMA*AD$29</f>
        <v>0.60557184969146072</v>
      </c>
      <c r="AE323" s="133"/>
      <c r="AF323" s="155"/>
      <c r="AG323" s="138">
        <f>F_GAMMA*AG$29</f>
        <v>0.57289312142622573</v>
      </c>
      <c r="AH323" s="133"/>
      <c r="AI323" s="155"/>
      <c r="AJ323" s="138">
        <f>F_GAMMA*AJ$29</f>
        <v>0.53590819116049981</v>
      </c>
      <c r="AK323" s="133"/>
      <c r="AL323" s="155"/>
      <c r="AM323" s="138">
        <f>F_GAMMA*AM$29</f>
        <v>0.49048815926850342</v>
      </c>
      <c r="AN323" s="133"/>
      <c r="AO323" s="155"/>
      <c r="AP323" s="138">
        <f>F_GAMMA*AP$29</f>
        <v>0.59352979016280105</v>
      </c>
      <c r="AQ323" s="133"/>
      <c r="AR323" s="155"/>
      <c r="AS323" s="138">
        <f>F_GAMMA*AS$29</f>
        <v>0.39097221161068291</v>
      </c>
      <c r="AT323" s="133"/>
      <c r="AU323" s="155"/>
    </row>
    <row r="324" spans="13:47" x14ac:dyDescent="0.25">
      <c r="M324" s="27"/>
      <c r="N324" s="27"/>
      <c r="O324" s="2" t="s">
        <v>193</v>
      </c>
      <c r="P324" s="134"/>
      <c r="Q324" s="2"/>
      <c r="R324" s="181">
        <f>IF(R319&lt;R323,R321,R322)</f>
        <v>7.3567861997346273E-2</v>
      </c>
      <c r="S324" s="133"/>
      <c r="T324" s="155"/>
      <c r="U324" s="138">
        <f>IF(U319&lt;U323,U321,U322)</f>
        <v>2.4559173187402066</v>
      </c>
      <c r="V324" s="133"/>
      <c r="W324" s="155"/>
      <c r="X324" s="138">
        <f>IF(X319&lt;X323,X321,X322)</f>
        <v>6.1656108839794639</v>
      </c>
      <c r="Y324" s="133"/>
      <c r="Z324" s="155"/>
      <c r="AA324" s="138">
        <f>IF(AA319&lt;AA323,AA321,AA322)</f>
        <v>12.450074579310902</v>
      </c>
      <c r="AB324" s="133"/>
      <c r="AC324" s="155"/>
      <c r="AD324" s="138">
        <f>IF(AD319&lt;AD323,AD321,AD322)</f>
        <v>22.263517318611886</v>
      </c>
      <c r="AE324" s="133"/>
      <c r="AF324" s="155"/>
      <c r="AG324" s="138">
        <f>IF(AG319&lt;AG323,AG321,AG322)</f>
        <v>36.178791108079018</v>
      </c>
      <c r="AH324" s="133"/>
      <c r="AI324" s="155"/>
      <c r="AJ324" s="138">
        <f>IF(AJ319&lt;AJ323,AJ321,AJ322)</f>
        <v>57.141332379070505</v>
      </c>
      <c r="AK324" s="133"/>
      <c r="AL324" s="155"/>
      <c r="AM324" s="138">
        <f>IF(AM319&lt;AM323,AM321,AM322)</f>
        <v>91.447077590471807</v>
      </c>
      <c r="AN324" s="133"/>
      <c r="AO324" s="155"/>
      <c r="AP324" s="138">
        <f>IF(AP319&lt;AP323,AP321,AP322)</f>
        <v>167.90752155578147</v>
      </c>
      <c r="AQ324" s="133"/>
      <c r="AR324" s="155"/>
      <c r="AS324" s="138" t="e">
        <f>IF(AS319&lt;AS323,AS321,AS322)</f>
        <v>#NUM!</v>
      </c>
      <c r="AT324" s="133"/>
      <c r="AU324" s="155"/>
    </row>
    <row r="325" spans="13:47" ht="13" x14ac:dyDescent="0.3">
      <c r="M325" s="28"/>
      <c r="N325" s="28"/>
      <c r="O325" s="9" t="s">
        <v>194</v>
      </c>
      <c r="P325" s="1"/>
      <c r="Q325" s="1"/>
      <c r="R325" s="135"/>
      <c r="S325" s="132">
        <f>IF(R318&lt;=0,W_max,ABS(R$23-R324))</f>
        <v>1.9264321380026537</v>
      </c>
      <c r="T325" s="151">
        <f>R313</f>
        <v>17.014097683952162</v>
      </c>
      <c r="U325" s="135"/>
      <c r="V325" s="132">
        <f>IF(U318&lt;=0,W_max,ABS(U$23-U324))</f>
        <v>2.5440826812597934</v>
      </c>
      <c r="W325" s="151">
        <f>U313</f>
        <v>566.8459940770498</v>
      </c>
      <c r="X325" s="135"/>
      <c r="Y325" s="132">
        <f>IF(X318&lt;=0,W_max,ABS(X$23-X324))</f>
        <v>3.8343891160205361</v>
      </c>
      <c r="Z325" s="151">
        <f>X313</f>
        <v>1401.877598816571</v>
      </c>
      <c r="AA325" s="135"/>
      <c r="AB325" s="132">
        <f>IF(AA318&lt;=0,W_max,ABS(AA$23-AA324))</f>
        <v>4.7499254206890971</v>
      </c>
      <c r="AC325" s="151">
        <f>AA313</f>
        <v>2730.4997396675108</v>
      </c>
      <c r="AD325" s="135"/>
      <c r="AE325" s="132">
        <f>IF(AD318&lt;=0,W_max,ABS(AD$23-AD324))</f>
        <v>4.3364826813881159</v>
      </c>
      <c r="AF325" s="151">
        <f>AD313</f>
        <v>4490.6667613936279</v>
      </c>
      <c r="AG325" s="135"/>
      <c r="AH325" s="132">
        <f>IF(AG318&lt;=0,W_max,ABS(AG$23-AG324))</f>
        <v>2.2212088919209805</v>
      </c>
      <c r="AI325" s="151">
        <f>AG313</f>
        <v>6298.505852087349</v>
      </c>
      <c r="AJ325" s="135"/>
      <c r="AK325" s="132">
        <f>IF(AJ318&lt;=0,W_max,ABS(AJ$23-AJ324))</f>
        <v>4.641332379070505</v>
      </c>
      <c r="AL325" s="151">
        <f>AJ313</f>
        <v>7997.4311143763362</v>
      </c>
      <c r="AM325" s="135"/>
      <c r="AN325" s="132">
        <f>IF(AM318&lt;=0,W_max,ABS(AM$23-AM324))</f>
        <v>19.047077590471801</v>
      </c>
      <c r="AO325" s="151">
        <f>AM313</f>
        <v>9377.6169389660281</v>
      </c>
      <c r="AP325" s="135"/>
      <c r="AQ325" s="132">
        <f>IF(AP318&lt;=0,W_max,ABS(AP$23-AP324))</f>
        <v>59.907521555781472</v>
      </c>
      <c r="AR325" s="151">
        <f>AP313</f>
        <v>10462.310385956898</v>
      </c>
      <c r="AS325" s="135"/>
      <c r="AT325" s="132">
        <f>IF(AS318&lt;=0,W_max,ABS(AS$23-AS324))</f>
        <v>7174</v>
      </c>
      <c r="AU325" s="151">
        <f>AS313</f>
        <v>11672.468530599903</v>
      </c>
    </row>
    <row r="326" spans="13:47" ht="13" x14ac:dyDescent="0.25">
      <c r="M326" s="12"/>
      <c r="N326" s="12"/>
      <c r="O326" s="2"/>
      <c r="P326" s="85"/>
      <c r="Q326" s="2"/>
      <c r="R326" s="18"/>
      <c r="S326" s="150"/>
      <c r="T326" s="148"/>
      <c r="U326" s="157"/>
      <c r="V326" s="1"/>
      <c r="W326" s="147"/>
      <c r="X326" s="157"/>
      <c r="Y326" s="1"/>
      <c r="Z326" s="147"/>
      <c r="AA326" s="157"/>
      <c r="AB326" s="1"/>
      <c r="AC326" s="147"/>
      <c r="AD326" s="157"/>
      <c r="AE326" s="1"/>
      <c r="AF326" s="147"/>
      <c r="AG326" s="157"/>
      <c r="AH326" s="1"/>
      <c r="AI326" s="147"/>
      <c r="AJ326" s="157"/>
      <c r="AK326" s="1"/>
      <c r="AL326" s="147"/>
      <c r="AM326" s="157"/>
      <c r="AN326" s="1"/>
      <c r="AO326" s="147"/>
      <c r="AP326" s="157"/>
      <c r="AQ326" s="1"/>
      <c r="AR326" s="147"/>
      <c r="AS326" s="157"/>
      <c r="AT326" s="1"/>
      <c r="AU326" s="147"/>
    </row>
    <row r="327" spans="13:47" ht="14" x14ac:dyDescent="0.3">
      <c r="M327" s="23"/>
      <c r="N327" s="23"/>
      <c r="O327" s="23" t="s">
        <v>238</v>
      </c>
      <c r="P327" s="20"/>
      <c r="Q327" s="20"/>
      <c r="R327" s="181">
        <f>R313*1.02</f>
        <v>17.354379637631205</v>
      </c>
      <c r="S327" s="128" t="s">
        <v>185</v>
      </c>
      <c r="T327" s="149" t="s">
        <v>186</v>
      </c>
      <c r="U327" s="143">
        <f>U313*1.01</f>
        <v>572.5144540178203</v>
      </c>
      <c r="V327" s="128" t="s">
        <v>185</v>
      </c>
      <c r="W327" s="153" t="s">
        <v>186</v>
      </c>
      <c r="X327" s="143">
        <f>X313*1.01</f>
        <v>1415.8963748047368</v>
      </c>
      <c r="Y327" s="128" t="s">
        <v>185</v>
      </c>
      <c r="Z327" s="153" t="s">
        <v>186</v>
      </c>
      <c r="AA327" s="143">
        <f>AA313*1.01</f>
        <v>2757.8047370641857</v>
      </c>
      <c r="AB327" s="128" t="s">
        <v>185</v>
      </c>
      <c r="AC327" s="153" t="s">
        <v>186</v>
      </c>
      <c r="AD327" s="143">
        <f>AD313*1.01</f>
        <v>4535.5734290075643</v>
      </c>
      <c r="AE327" s="128" t="s">
        <v>185</v>
      </c>
      <c r="AF327" s="153" t="s">
        <v>186</v>
      </c>
      <c r="AG327" s="143">
        <f>AG313*1.01</f>
        <v>6361.4909106082223</v>
      </c>
      <c r="AH327" s="128" t="s">
        <v>185</v>
      </c>
      <c r="AI327" s="153" t="s">
        <v>186</v>
      </c>
      <c r="AJ327" s="143">
        <f>AJ313*1.01</f>
        <v>8077.4054255200999</v>
      </c>
      <c r="AK327" s="128" t="s">
        <v>185</v>
      </c>
      <c r="AL327" s="153" t="s">
        <v>186</v>
      </c>
      <c r="AM327" s="143">
        <f>AM313*1.01</f>
        <v>9471.393108355689</v>
      </c>
      <c r="AN327" s="128" t="s">
        <v>185</v>
      </c>
      <c r="AO327" s="153" t="s">
        <v>186</v>
      </c>
      <c r="AP327" s="143">
        <f>AP313*1.01</f>
        <v>10566.933489816467</v>
      </c>
      <c r="AQ327" s="128" t="s">
        <v>185</v>
      </c>
      <c r="AR327" s="153" t="s">
        <v>186</v>
      </c>
      <c r="AS327" s="143">
        <f>AS313*1.01</f>
        <v>11789.193215905902</v>
      </c>
      <c r="AT327" s="128" t="s">
        <v>185</v>
      </c>
      <c r="AU327" s="153" t="s">
        <v>186</v>
      </c>
    </row>
    <row r="328" spans="13:47" ht="14" x14ac:dyDescent="0.3">
      <c r="M328" s="12"/>
      <c r="N328" s="12"/>
      <c r="O328" s="20"/>
      <c r="P328" s="20"/>
      <c r="Q328" s="23"/>
      <c r="R328" s="139"/>
      <c r="S328" s="130" t="s">
        <v>228</v>
      </c>
      <c r="T328" s="131" t="s">
        <v>187</v>
      </c>
      <c r="U328" s="144"/>
      <c r="V328" s="130" t="s">
        <v>228</v>
      </c>
      <c r="W328" s="154" t="s">
        <v>187</v>
      </c>
      <c r="X328" s="144"/>
      <c r="Y328" s="130" t="s">
        <v>228</v>
      </c>
      <c r="Z328" s="154" t="s">
        <v>187</v>
      </c>
      <c r="AA328" s="144"/>
      <c r="AB328" s="130" t="s">
        <v>228</v>
      </c>
      <c r="AC328" s="154" t="s">
        <v>187</v>
      </c>
      <c r="AD328" s="144"/>
      <c r="AE328" s="130" t="s">
        <v>228</v>
      </c>
      <c r="AF328" s="154" t="s">
        <v>187</v>
      </c>
      <c r="AG328" s="144"/>
      <c r="AH328" s="130" t="s">
        <v>228</v>
      </c>
      <c r="AI328" s="154" t="s">
        <v>187</v>
      </c>
      <c r="AJ328" s="144"/>
      <c r="AK328" s="130" t="s">
        <v>228</v>
      </c>
      <c r="AL328" s="154" t="s">
        <v>187</v>
      </c>
      <c r="AM328" s="144"/>
      <c r="AN328" s="130" t="s">
        <v>228</v>
      </c>
      <c r="AO328" s="154" t="s">
        <v>187</v>
      </c>
      <c r="AP328" s="144"/>
      <c r="AQ328" s="130" t="s">
        <v>228</v>
      </c>
      <c r="AR328" s="154" t="s">
        <v>187</v>
      </c>
      <c r="AS328" s="144"/>
      <c r="AT328" s="130" t="s">
        <v>228</v>
      </c>
      <c r="AU328" s="154" t="s">
        <v>187</v>
      </c>
    </row>
    <row r="329" spans="13:47" x14ac:dyDescent="0.25">
      <c r="M329" s="20"/>
      <c r="N329" s="20"/>
      <c r="O329" s="7" t="s">
        <v>188</v>
      </c>
      <c r="P329" s="7"/>
      <c r="Q329" s="7"/>
      <c r="R329" s="181">
        <f>P_1_minW-(R327^2*R_up)+dpup_minQ</f>
        <v>100.52266663983295</v>
      </c>
      <c r="S329" s="132"/>
      <c r="T329" s="145"/>
      <c r="U329" s="138">
        <f>P_1_minW-(U327^2*R_up)+dpup_minQ</f>
        <v>100.392083453013</v>
      </c>
      <c r="V329" s="132"/>
      <c r="W329" s="145"/>
      <c r="X329" s="138">
        <f>P_1_minW-(X327^2*R_up)+dpup_minQ</f>
        <v>99.723363942816192</v>
      </c>
      <c r="Y329" s="132"/>
      <c r="Z329" s="145"/>
      <c r="AA329" s="138">
        <f>P_1_minW-(AA327^2*R_up)+dpup_minQ</f>
        <v>97.490008785810417</v>
      </c>
      <c r="AB329" s="132"/>
      <c r="AC329" s="145"/>
      <c r="AD329" s="138">
        <f>P_1_minW-(AD327^2*R_up)+dpup_minQ</f>
        <v>92.31968699352359</v>
      </c>
      <c r="AE329" s="132"/>
      <c r="AF329" s="145"/>
      <c r="AG329" s="138">
        <f>P_1_minW-(AG327^2*R_up)+dpup_minQ</f>
        <v>84.385466795589949</v>
      </c>
      <c r="AH329" s="132"/>
      <c r="AI329" s="145"/>
      <c r="AJ329" s="138">
        <f>P_1_minW-(AJ327^2*R_up)+dpup_minQ</f>
        <v>74.50577870372075</v>
      </c>
      <c r="AK329" s="132"/>
      <c r="AL329" s="145"/>
      <c r="AM329" s="138">
        <f>P_1_minW-(AM327^2*R_up)+dpup_minQ</f>
        <v>64.750944058476492</v>
      </c>
      <c r="AN329" s="132"/>
      <c r="AO329" s="145"/>
      <c r="AP329" s="138">
        <f>P_1_minW-(AP327^2*R_up)+dpup_minQ</f>
        <v>55.997006822593782</v>
      </c>
      <c r="AQ329" s="132"/>
      <c r="AR329" s="145"/>
      <c r="AS329" s="138">
        <f>P_1_minW-(AS327^2*R_up)+dpup_minQ</f>
        <v>45.100842309826447</v>
      </c>
      <c r="AT329" s="132"/>
      <c r="AU329" s="145"/>
    </row>
    <row r="330" spans="13:47" x14ac:dyDescent="0.25">
      <c r="M330" s="20"/>
      <c r="N330" s="20"/>
      <c r="O330" s="7" t="s">
        <v>189</v>
      </c>
      <c r="P330" s="1"/>
      <c r="Q330" s="7"/>
      <c r="R330" s="181">
        <f>P_2_minW+(R327^2*R_dn)-dpdn_minQ</f>
        <v>50</v>
      </c>
      <c r="S330" s="132"/>
      <c r="T330" s="146"/>
      <c r="U330" s="138">
        <f>P_2_minW+(U327^2*R_dn)-dpdn_minQ</f>
        <v>50</v>
      </c>
      <c r="V330" s="132"/>
      <c r="W330" s="146"/>
      <c r="X330" s="138">
        <f>P_2_minW+(X327^2*R_dn)-dpdn_minQ</f>
        <v>50</v>
      </c>
      <c r="Y330" s="132"/>
      <c r="Z330" s="146"/>
      <c r="AA330" s="138">
        <f>P_2_minW+(AA327^2*R_dn)-dpdn_minQ</f>
        <v>50</v>
      </c>
      <c r="AB330" s="132"/>
      <c r="AC330" s="146"/>
      <c r="AD330" s="138">
        <f>P_2_minW+(AD327^2*R_dn)-dpdn_minQ</f>
        <v>50</v>
      </c>
      <c r="AE330" s="132"/>
      <c r="AF330" s="146"/>
      <c r="AG330" s="138">
        <f>P_2_minW+(AG327^2*R_dn)-dpdn_minQ</f>
        <v>50</v>
      </c>
      <c r="AH330" s="132"/>
      <c r="AI330" s="146"/>
      <c r="AJ330" s="138">
        <f>P_2_minW+(AJ327^2*R_dn)-dpdn_minQ</f>
        <v>50</v>
      </c>
      <c r="AK330" s="132"/>
      <c r="AL330" s="146"/>
      <c r="AM330" s="138">
        <f>P_2_minW+(AM327^2*R_dn)-dpdn_minQ</f>
        <v>50</v>
      </c>
      <c r="AN330" s="132"/>
      <c r="AO330" s="146"/>
      <c r="AP330" s="138">
        <f>P_2_minW+(AP327^2*R_dn)-dpdn_minQ</f>
        <v>50</v>
      </c>
      <c r="AQ330" s="132"/>
      <c r="AR330" s="146"/>
      <c r="AS330" s="138">
        <f>P_2_minW+(AS327^2*R_dn)-dpdn_minQ</f>
        <v>50</v>
      </c>
      <c r="AT330" s="132"/>
      <c r="AU330" s="146"/>
    </row>
    <row r="331" spans="13:47" x14ac:dyDescent="0.25">
      <c r="M331" s="20"/>
      <c r="N331" s="20"/>
      <c r="O331" s="7" t="s">
        <v>234</v>
      </c>
      <c r="P331" s="1"/>
      <c r="Q331" s="7"/>
      <c r="R331" s="179">
        <f>'Valve Sizing'!G$8*R329/P_1_maxW</f>
        <v>0.48490344691285736</v>
      </c>
      <c r="S331" s="132"/>
      <c r="T331" s="146"/>
      <c r="U331" s="143">
        <f>'Valve Sizing'!$G$8*U329/P_1_maxW</f>
        <v>0.48427353686854141</v>
      </c>
      <c r="V331" s="132"/>
      <c r="W331" s="146"/>
      <c r="X331" s="143">
        <f>'Valve Sizing'!$G$8*X329/P_1_maxW</f>
        <v>0.48104775300952252</v>
      </c>
      <c r="Y331" s="132"/>
      <c r="Z331" s="146"/>
      <c r="AA331" s="143">
        <f>'Valve Sizing'!$G$8*AA329/P_1_maxW</f>
        <v>0.47027444535650431</v>
      </c>
      <c r="AB331" s="132"/>
      <c r="AC331" s="146"/>
      <c r="AD331" s="143">
        <f>'Valve Sizing'!$G$8*AD329/P_1_maxW</f>
        <v>0.44533373354957051</v>
      </c>
      <c r="AE331" s="132"/>
      <c r="AF331" s="146"/>
      <c r="AG331" s="143">
        <f>'Valve Sizing'!$G$8*AG329/P_1_maxW</f>
        <v>0.40706046791557771</v>
      </c>
      <c r="AH331" s="132"/>
      <c r="AI331" s="146"/>
      <c r="AJ331" s="143">
        <f>'Valve Sizing'!$G$8*AJ329/P_1_maxW</f>
        <v>0.3594026115304495</v>
      </c>
      <c r="AK331" s="132"/>
      <c r="AL331" s="146"/>
      <c r="AM331" s="143">
        <f>'Valve Sizing'!$G$8*AM329/P_1_maxW</f>
        <v>0.3123470259430538</v>
      </c>
      <c r="AN331" s="132"/>
      <c r="AO331" s="146"/>
      <c r="AP331" s="143">
        <f>'Valve Sizing'!$G$8*AP329/P_1_maxW</f>
        <v>0.27011959125961804</v>
      </c>
      <c r="AQ331" s="132"/>
      <c r="AR331" s="146"/>
      <c r="AS331" s="143">
        <f>'Valve Sizing'!$G$8*AS329/P_1_maxW</f>
        <v>0.21755843359254942</v>
      </c>
      <c r="AT331" s="132"/>
      <c r="AU331" s="146"/>
    </row>
    <row r="332" spans="13:47" x14ac:dyDescent="0.25">
      <c r="M332" s="20"/>
      <c r="N332" s="20"/>
      <c r="O332" s="7" t="s">
        <v>190</v>
      </c>
      <c r="P332" s="1"/>
      <c r="Q332" s="7"/>
      <c r="R332" s="181">
        <f>R329-R330</f>
        <v>50.522666639832948</v>
      </c>
      <c r="S332" s="132"/>
      <c r="T332" s="146"/>
      <c r="U332" s="138">
        <f>U329-U330</f>
        <v>50.392083453013001</v>
      </c>
      <c r="V332" s="132"/>
      <c r="W332" s="146"/>
      <c r="X332" s="138">
        <f>X329-X330</f>
        <v>49.723363942816192</v>
      </c>
      <c r="Y332" s="132"/>
      <c r="Z332" s="146"/>
      <c r="AA332" s="138">
        <f>AA329-AA330</f>
        <v>47.490008785810417</v>
      </c>
      <c r="AB332" s="132"/>
      <c r="AC332" s="146"/>
      <c r="AD332" s="138">
        <f>AD329-AD330</f>
        <v>42.31968699352359</v>
      </c>
      <c r="AE332" s="132"/>
      <c r="AF332" s="146"/>
      <c r="AG332" s="138">
        <f>AG329-AG330</f>
        <v>34.385466795589949</v>
      </c>
      <c r="AH332" s="132"/>
      <c r="AI332" s="146"/>
      <c r="AJ332" s="138">
        <f>AJ329-AJ330</f>
        <v>24.50577870372075</v>
      </c>
      <c r="AK332" s="132"/>
      <c r="AL332" s="146"/>
      <c r="AM332" s="138">
        <f>AM329-AM330</f>
        <v>14.750944058476492</v>
      </c>
      <c r="AN332" s="132"/>
      <c r="AO332" s="146"/>
      <c r="AP332" s="138">
        <f>AP329-AP330</f>
        <v>5.9970068225937823</v>
      </c>
      <c r="AQ332" s="132"/>
      <c r="AR332" s="146"/>
      <c r="AS332" s="138">
        <f>AS329-AS330</f>
        <v>-4.8991576901735527</v>
      </c>
      <c r="AT332" s="132"/>
      <c r="AU332" s="146"/>
    </row>
    <row r="333" spans="13:47" ht="14.5" x14ac:dyDescent="0.35">
      <c r="M333" s="27"/>
      <c r="N333" s="27"/>
      <c r="O333" s="2" t="s">
        <v>191</v>
      </c>
      <c r="P333" s="10"/>
      <c r="Q333" s="2"/>
      <c r="R333" s="181">
        <f>R332/R329</f>
        <v>0.50259974519829265</v>
      </c>
      <c r="S333" s="132"/>
      <c r="T333" s="146"/>
      <c r="U333" s="138">
        <f>U332/U329</f>
        <v>0.50195276081304019</v>
      </c>
      <c r="V333" s="132"/>
      <c r="W333" s="146"/>
      <c r="X333" s="138">
        <f>X332/X329</f>
        <v>0.49861298272417665</v>
      </c>
      <c r="Y333" s="132"/>
      <c r="Z333" s="146"/>
      <c r="AA333" s="138">
        <f>AA332/AA329</f>
        <v>0.48712693102888044</v>
      </c>
      <c r="AB333" s="132"/>
      <c r="AC333" s="146"/>
      <c r="AD333" s="138">
        <f>AD332/AD329</f>
        <v>0.45840370967129035</v>
      </c>
      <c r="AE333" s="132"/>
      <c r="AF333" s="146"/>
      <c r="AG333" s="138">
        <f>AG332/AG329</f>
        <v>0.40748090994013392</v>
      </c>
      <c r="AH333" s="132"/>
      <c r="AI333" s="146"/>
      <c r="AJ333" s="138">
        <f>AJ332/AJ329</f>
        <v>0.32891111441396093</v>
      </c>
      <c r="AK333" s="132"/>
      <c r="AL333" s="146"/>
      <c r="AM333" s="138">
        <f>AM332/AM329</f>
        <v>0.22781048636379625</v>
      </c>
      <c r="AN333" s="132"/>
      <c r="AO333" s="146"/>
      <c r="AP333" s="138">
        <f>AP332/AP329</f>
        <v>0.10709513173790029</v>
      </c>
      <c r="AQ333" s="132"/>
      <c r="AR333" s="146"/>
      <c r="AS333" s="138">
        <f>AS332/AS329</f>
        <v>-0.10862674485141795</v>
      </c>
      <c r="AT333" s="132"/>
      <c r="AU333" s="146"/>
    </row>
    <row r="334" spans="13:47" x14ac:dyDescent="0.25">
      <c r="M334" s="27"/>
      <c r="N334" s="27"/>
      <c r="O334" s="2" t="s">
        <v>26</v>
      </c>
      <c r="P334" s="7">
        <v>12</v>
      </c>
      <c r="Q334" s="2"/>
      <c r="R334" s="181">
        <f>1-R333/(3*F_GAMMA*R$29)</f>
        <v>0.73824029334558494</v>
      </c>
      <c r="S334" s="133"/>
      <c r="T334" s="146"/>
      <c r="U334" s="138">
        <f>1-U333/(3*F_GAMMA*U$29)</f>
        <v>0.73863480900681844</v>
      </c>
      <c r="V334" s="133"/>
      <c r="W334" s="146"/>
      <c r="X334" s="138">
        <f>1-X333/(3*F_GAMMA*X$29)</f>
        <v>0.73647901485186129</v>
      </c>
      <c r="Y334" s="133"/>
      <c r="Z334" s="146"/>
      <c r="AA334" s="138">
        <f>1-AA333/(3*F_GAMMA*AA$29)</f>
        <v>0.73901948103878046</v>
      </c>
      <c r="AB334" s="133"/>
      <c r="AC334" s="146"/>
      <c r="AD334" s="138">
        <f>1-AD333/(3*F_GAMMA*AD$29)</f>
        <v>0.7476744722613029</v>
      </c>
      <c r="AE334" s="133"/>
      <c r="AF334" s="146"/>
      <c r="AG334" s="138">
        <f>1-AG333/(3*F_GAMMA*AG$29)</f>
        <v>0.76291045414910652</v>
      </c>
      <c r="AH334" s="133"/>
      <c r="AI334" s="146"/>
      <c r="AJ334" s="138">
        <f>1-AJ333/(3*F_GAMMA*AJ$29)</f>
        <v>0.79541824523978655</v>
      </c>
      <c r="AK334" s="133"/>
      <c r="AL334" s="146"/>
      <c r="AM334" s="138">
        <f>1-AM333/(3*F_GAMMA*AM$29)</f>
        <v>0.84518111731548917</v>
      </c>
      <c r="AN334" s="133"/>
      <c r="AO334" s="146"/>
      <c r="AP334" s="138">
        <f>1-AP333/(3*F_GAMMA*AP$29)</f>
        <v>0.93985411037889954</v>
      </c>
      <c r="AQ334" s="133"/>
      <c r="AR334" s="146"/>
      <c r="AS334" s="138">
        <f>1-AS333/(3*F_GAMMA*AS$29)</f>
        <v>1.0926125025645768</v>
      </c>
      <c r="AT334" s="133"/>
      <c r="AU334" s="146"/>
    </row>
    <row r="335" spans="13:47" x14ac:dyDescent="0.25">
      <c r="M335" s="27"/>
      <c r="N335" s="27"/>
      <c r="O335" s="2" t="s">
        <v>71</v>
      </c>
      <c r="P335" s="85">
        <v>5</v>
      </c>
      <c r="Q335" s="2"/>
      <c r="R335" s="179">
        <f>R327/((N_6*R$27*R334)*SQRT(R333*R329*R331))</f>
        <v>7.5039223219592499E-2</v>
      </c>
      <c r="S335" s="133"/>
      <c r="T335" s="146"/>
      <c r="U335" s="143">
        <f>U327/((N_6*U$27*U334)*SQRT(U333*U329*U331))</f>
        <v>2.4805493509438512</v>
      </c>
      <c r="V335" s="133"/>
      <c r="W335" s="146"/>
      <c r="X335" s="143">
        <f>X327/((N_6*X$27*X334)*SQRT(X333*X329*X331))</f>
        <v>6.22839121011312</v>
      </c>
      <c r="Y335" s="133"/>
      <c r="Z335" s="146"/>
      <c r="AA335" s="143">
        <f>AA327/((N_6*AA$27*AA334)*SQRT(AA333*AA329*AA331))</f>
        <v>12.583473240020256</v>
      </c>
      <c r="AB335" s="133"/>
      <c r="AC335" s="146"/>
      <c r="AD335" s="143">
        <f>AD327/((N_6*AD$27*AD334)*SQRT(AD333*AD329*AD331))</f>
        <v>22.533052459427815</v>
      </c>
      <c r="AE335" s="133"/>
      <c r="AF335" s="146"/>
      <c r="AG335" s="143">
        <f>AG327/((N_6*AG$27*AG334)*SQRT(AG333*AG329*AG331))</f>
        <v>36.715845987474282</v>
      </c>
      <c r="AH335" s="133"/>
      <c r="AI335" s="146"/>
      <c r="AJ335" s="143">
        <f>AJ327/((N_6*AJ$27*AJ334)*SQRT(AJ333*AJ329*AJ331))</f>
        <v>58.303706067795837</v>
      </c>
      <c r="AK335" s="133"/>
      <c r="AL335" s="146"/>
      <c r="AM335" s="143">
        <f>AM327/((N_6*AM$27*AM334)*SQRT(AM333*AM329*AM331))</f>
        <v>94.420092401360989</v>
      </c>
      <c r="AN335" s="133"/>
      <c r="AO335" s="146"/>
      <c r="AP335" s="143">
        <f>AP327/((N_6*AP$27*AP334)*SQRT(AP333*AP329*AP331))</f>
        <v>181.47895850054314</v>
      </c>
      <c r="AQ335" s="133"/>
      <c r="AR335" s="146"/>
      <c r="AS335" s="143" t="e">
        <f>AS327/((N_6*AS$27*AS334)*SQRT(AS333*AS329*AS331))</f>
        <v>#NUM!</v>
      </c>
      <c r="AT335" s="133"/>
      <c r="AU335" s="146"/>
    </row>
    <row r="336" spans="13:47" x14ac:dyDescent="0.25">
      <c r="M336" s="27"/>
      <c r="N336" s="27"/>
      <c r="O336" s="2" t="s">
        <v>73</v>
      </c>
      <c r="P336" s="85">
        <v>5</v>
      </c>
      <c r="Q336" s="2"/>
      <c r="R336" s="179">
        <f>R327/((N_6*R$27*0.667)*SQRT(R337*R329*R331))</f>
        <v>7.3599059766208702E-2</v>
      </c>
      <c r="S336" s="133"/>
      <c r="T336" s="147"/>
      <c r="U336" s="143">
        <f>U327/((N_6*U$27*0.667)*SQRT(U337*U329*U331))</f>
        <v>2.4324073622468494</v>
      </c>
      <c r="V336" s="133"/>
      <c r="W336" s="155"/>
      <c r="X336" s="143">
        <f>X327/((N_6*X$27*0.667)*SQRT(X337*X329*X331))</f>
        <v>6.1147492984414233</v>
      </c>
      <c r="Y336" s="133"/>
      <c r="Z336" s="155"/>
      <c r="AA336" s="143">
        <f>AA327/((N_6*AA$27*0.667)*SQRT(AA337*AA329*AA331))</f>
        <v>12.33659352029283</v>
      </c>
      <c r="AB336" s="133"/>
      <c r="AC336" s="155"/>
      <c r="AD336" s="143">
        <f>AD327/((N_6*AD$27*0.667)*SQRT(AD337*AD329*AD331))</f>
        <v>21.975965732177855</v>
      </c>
      <c r="AE336" s="133"/>
      <c r="AF336" s="155"/>
      <c r="AG336" s="143">
        <f>AG327/((N_6*AG$27*0.667)*SQRT(AG337*AG329*AG331))</f>
        <v>35.417516209327047</v>
      </c>
      <c r="AH336" s="133"/>
      <c r="AI336" s="155"/>
      <c r="AJ336" s="143">
        <f>AJ327/((N_6*AJ$27*0.667)*SQRT(AJ337*AJ329*AJ331))</f>
        <v>54.470323330825693</v>
      </c>
      <c r="AK336" s="133"/>
      <c r="AL336" s="155"/>
      <c r="AM336" s="143">
        <f>AM327/((N_6*AM$27*0.667)*SQRT(AM337*AM329*AM331))</f>
        <v>81.538170843794049</v>
      </c>
      <c r="AN336" s="133"/>
      <c r="AO336" s="155"/>
      <c r="AP336" s="143">
        <f>AP327/((N_6*AP$27*0.667)*SQRT(AP337*AP329*AP331))</f>
        <v>108.62367532607641</v>
      </c>
      <c r="AQ336" s="133"/>
      <c r="AR336" s="155"/>
      <c r="AS336" s="143">
        <f>AS327/((N_6*AS$27*0.667)*SQRT(AS337*AS329*AS331))</f>
        <v>243.5989990686281</v>
      </c>
      <c r="AT336" s="133"/>
      <c r="AU336" s="155"/>
    </row>
    <row r="337" spans="13:47" ht="15.5" x14ac:dyDescent="0.4">
      <c r="M337" s="27"/>
      <c r="N337" s="27"/>
      <c r="O337" s="2" t="s">
        <v>192</v>
      </c>
      <c r="P337" s="85">
        <v>10</v>
      </c>
      <c r="Q337" s="2"/>
      <c r="R337" s="181">
        <f>F_GAMMA*R$29</f>
        <v>0.64002688015162901</v>
      </c>
      <c r="S337" s="133"/>
      <c r="T337" s="147"/>
      <c r="U337" s="138">
        <f>F_GAMMA*U$29</f>
        <v>0.64016782916606918</v>
      </c>
      <c r="V337" s="133"/>
      <c r="W337" s="155"/>
      <c r="X337" s="138">
        <f>F_GAMMA*X$29</f>
        <v>0.6307062319203669</v>
      </c>
      <c r="Y337" s="133"/>
      <c r="Z337" s="155"/>
      <c r="AA337" s="138">
        <f>F_GAMMA*AA$29</f>
        <v>0.62217534213893466</v>
      </c>
      <c r="AB337" s="133"/>
      <c r="AC337" s="155"/>
      <c r="AD337" s="138">
        <f>F_GAMMA*AD$29</f>
        <v>0.60557184969146072</v>
      </c>
      <c r="AE337" s="133"/>
      <c r="AF337" s="155"/>
      <c r="AG337" s="138">
        <f>F_GAMMA*AG$29</f>
        <v>0.57289312142622573</v>
      </c>
      <c r="AH337" s="133"/>
      <c r="AI337" s="155"/>
      <c r="AJ337" s="138">
        <f>F_GAMMA*AJ$29</f>
        <v>0.53590819116049981</v>
      </c>
      <c r="AK337" s="133"/>
      <c r="AL337" s="155"/>
      <c r="AM337" s="138">
        <f>F_GAMMA*AM$29</f>
        <v>0.49048815926850342</v>
      </c>
      <c r="AN337" s="133"/>
      <c r="AO337" s="155"/>
      <c r="AP337" s="138">
        <f>F_GAMMA*AP$29</f>
        <v>0.59352979016280105</v>
      </c>
      <c r="AQ337" s="133"/>
      <c r="AR337" s="155"/>
      <c r="AS337" s="138">
        <f>F_GAMMA*AS$29</f>
        <v>0.39097221161068291</v>
      </c>
      <c r="AT337" s="133"/>
      <c r="AU337" s="155"/>
    </row>
    <row r="338" spans="13:47" x14ac:dyDescent="0.25">
      <c r="M338" s="27"/>
      <c r="N338" s="27"/>
      <c r="O338" s="2" t="s">
        <v>193</v>
      </c>
      <c r="P338" s="134"/>
      <c r="Q338" s="2"/>
      <c r="R338" s="181">
        <f>IF(R333&lt;R337,R335,R336)</f>
        <v>7.5039223219592499E-2</v>
      </c>
      <c r="S338" s="133"/>
      <c r="T338" s="147"/>
      <c r="U338" s="138">
        <f>IF(U333&lt;U337,U335,U336)</f>
        <v>2.4805493509438512</v>
      </c>
      <c r="V338" s="133"/>
      <c r="W338" s="155"/>
      <c r="X338" s="138">
        <f>IF(X333&lt;X337,X335,X336)</f>
        <v>6.22839121011312</v>
      </c>
      <c r="Y338" s="133"/>
      <c r="Z338" s="155"/>
      <c r="AA338" s="138">
        <f>IF(AA333&lt;AA337,AA335,AA336)</f>
        <v>12.583473240020256</v>
      </c>
      <c r="AB338" s="133"/>
      <c r="AC338" s="155"/>
      <c r="AD338" s="138">
        <f>IF(AD333&lt;AD337,AD335,AD336)</f>
        <v>22.533052459427815</v>
      </c>
      <c r="AE338" s="133"/>
      <c r="AF338" s="155"/>
      <c r="AG338" s="138">
        <f>IF(AG333&lt;AG337,AG335,AG336)</f>
        <v>36.715845987474282</v>
      </c>
      <c r="AH338" s="133"/>
      <c r="AI338" s="155"/>
      <c r="AJ338" s="138">
        <f>IF(AJ333&lt;AJ337,AJ335,AJ336)</f>
        <v>58.303706067795837</v>
      </c>
      <c r="AK338" s="133"/>
      <c r="AL338" s="155"/>
      <c r="AM338" s="138">
        <f>IF(AM333&lt;AM337,AM335,AM336)</f>
        <v>94.420092401360989</v>
      </c>
      <c r="AN338" s="133"/>
      <c r="AO338" s="155"/>
      <c r="AP338" s="138">
        <f>IF(AP333&lt;AP337,AP335,AP336)</f>
        <v>181.47895850054314</v>
      </c>
      <c r="AQ338" s="133"/>
      <c r="AR338" s="155"/>
      <c r="AS338" s="138" t="e">
        <f>IF(AS333&lt;AS337,AS335,AS336)</f>
        <v>#NUM!</v>
      </c>
      <c r="AT338" s="133"/>
      <c r="AU338" s="155"/>
    </row>
    <row r="339" spans="13:47" ht="13" x14ac:dyDescent="0.3">
      <c r="M339" s="28"/>
      <c r="N339" s="28"/>
      <c r="O339" s="9" t="s">
        <v>194</v>
      </c>
      <c r="P339" s="1"/>
      <c r="Q339" s="1"/>
      <c r="R339" s="135"/>
      <c r="S339" s="132">
        <f>IF(R332&lt;=0,W_max,ABS(R$23-R338))</f>
        <v>1.9249607767804076</v>
      </c>
      <c r="T339" s="151">
        <f>R327</f>
        <v>17.354379637631205</v>
      </c>
      <c r="U339" s="135"/>
      <c r="V339" s="132">
        <f>IF(U332&lt;=0,W_max,ABS(U$23-U338))</f>
        <v>2.5194506490561488</v>
      </c>
      <c r="W339" s="151">
        <f>U327</f>
        <v>572.5144540178203</v>
      </c>
      <c r="X339" s="135"/>
      <c r="Y339" s="132">
        <f>IF(X332&lt;=0,W_max,ABS(X$23-X338))</f>
        <v>3.77160878988688</v>
      </c>
      <c r="Z339" s="151">
        <f>X327</f>
        <v>1415.8963748047368</v>
      </c>
      <c r="AA339" s="135"/>
      <c r="AB339" s="132">
        <f>IF(AA332&lt;=0,W_max,ABS(AA$23-AA338))</f>
        <v>4.6165267599797435</v>
      </c>
      <c r="AC339" s="151">
        <f>AA327</f>
        <v>2757.8047370641857</v>
      </c>
      <c r="AD339" s="135"/>
      <c r="AE339" s="132">
        <f>IF(AD332&lt;=0,W_max,ABS(AD$23-AD338))</f>
        <v>4.0669475405721869</v>
      </c>
      <c r="AF339" s="151">
        <f>AD327</f>
        <v>4535.5734290075643</v>
      </c>
      <c r="AG339" s="135"/>
      <c r="AH339" s="132">
        <f>IF(AG332&lt;=0,W_max,ABS(AG$23-AG338))</f>
        <v>1.6841540125257168</v>
      </c>
      <c r="AI339" s="151">
        <f>AG327</f>
        <v>6361.4909106082223</v>
      </c>
      <c r="AJ339" s="135"/>
      <c r="AK339" s="132">
        <f>IF(AJ332&lt;=0,W_max,ABS(AJ$23-AJ338))</f>
        <v>5.8037060677958365</v>
      </c>
      <c r="AL339" s="151">
        <f>AJ327</f>
        <v>8077.4054255200999</v>
      </c>
      <c r="AM339" s="135"/>
      <c r="AN339" s="132">
        <f>IF(AM332&lt;=0,W_max,ABS(AM$23-AM338))</f>
        <v>22.020092401360984</v>
      </c>
      <c r="AO339" s="151">
        <f>AM327</f>
        <v>9471.393108355689</v>
      </c>
      <c r="AP339" s="135"/>
      <c r="AQ339" s="132">
        <f>IF(AP332&lt;=0,W_max,ABS(AP$23-AP338))</f>
        <v>73.478958500543143</v>
      </c>
      <c r="AR339" s="151">
        <f>AP327</f>
        <v>10566.933489816467</v>
      </c>
      <c r="AS339" s="135"/>
      <c r="AT339" s="132">
        <f>IF(AS332&lt;=0,W_max,ABS(AS$23-AS338))</f>
        <v>7174</v>
      </c>
      <c r="AU339" s="151">
        <f>AS327</f>
        <v>11789.193215905902</v>
      </c>
    </row>
    <row r="340" spans="13:47" ht="13" x14ac:dyDescent="0.25">
      <c r="M340" s="12"/>
      <c r="N340" s="12"/>
      <c r="O340" s="12"/>
      <c r="P340" s="12"/>
      <c r="Q340" s="12"/>
      <c r="R340" s="182"/>
      <c r="S340" s="22"/>
      <c r="T340" s="152"/>
      <c r="U340" s="157"/>
      <c r="V340" s="1"/>
      <c r="W340" s="147"/>
      <c r="X340" s="157"/>
      <c r="Y340" s="1"/>
      <c r="Z340" s="147"/>
      <c r="AA340" s="157"/>
      <c r="AB340" s="1"/>
      <c r="AC340" s="147"/>
      <c r="AD340" s="157"/>
      <c r="AE340" s="1"/>
      <c r="AF340" s="147"/>
      <c r="AG340" s="157"/>
      <c r="AH340" s="1"/>
      <c r="AI340" s="147"/>
      <c r="AJ340" s="157"/>
      <c r="AK340" s="1"/>
      <c r="AL340" s="147"/>
      <c r="AM340" s="157"/>
      <c r="AN340" s="1"/>
      <c r="AO340" s="147"/>
      <c r="AP340" s="157"/>
      <c r="AQ340" s="1"/>
      <c r="AR340" s="147"/>
      <c r="AS340" s="157"/>
      <c r="AT340" s="1"/>
      <c r="AU340" s="147"/>
    </row>
    <row r="341" spans="13:47" ht="14" x14ac:dyDescent="0.3">
      <c r="M341" s="23"/>
      <c r="N341" s="23"/>
      <c r="O341" s="23" t="s">
        <v>238</v>
      </c>
      <c r="P341" s="20"/>
      <c r="Q341" s="20"/>
      <c r="R341" s="18">
        <f>R327*1.02</f>
        <v>17.70146723038383</v>
      </c>
      <c r="S341" s="128" t="s">
        <v>185</v>
      </c>
      <c r="T341" s="153" t="s">
        <v>186</v>
      </c>
      <c r="U341" s="143">
        <f>U327*1.01</f>
        <v>578.23959855799853</v>
      </c>
      <c r="V341" s="128" t="s">
        <v>185</v>
      </c>
      <c r="W341" s="153" t="s">
        <v>186</v>
      </c>
      <c r="X341" s="143">
        <f>X327*1.01</f>
        <v>1430.0553385527842</v>
      </c>
      <c r="Y341" s="128" t="s">
        <v>185</v>
      </c>
      <c r="Z341" s="153" t="s">
        <v>186</v>
      </c>
      <c r="AA341" s="143">
        <f>AA327*1.01</f>
        <v>2785.3827844348275</v>
      </c>
      <c r="AB341" s="128" t="s">
        <v>185</v>
      </c>
      <c r="AC341" s="153" t="s">
        <v>186</v>
      </c>
      <c r="AD341" s="143">
        <f>AD327*1.01</f>
        <v>4580.9291632976401</v>
      </c>
      <c r="AE341" s="128" t="s">
        <v>185</v>
      </c>
      <c r="AF341" s="153" t="s">
        <v>186</v>
      </c>
      <c r="AG341" s="143">
        <f>AG327*1.01</f>
        <v>6425.1058197143047</v>
      </c>
      <c r="AH341" s="128" t="s">
        <v>185</v>
      </c>
      <c r="AI341" s="153" t="s">
        <v>186</v>
      </c>
      <c r="AJ341" s="143">
        <f>AJ327*1.01</f>
        <v>8158.1794797753009</v>
      </c>
      <c r="AK341" s="128" t="s">
        <v>185</v>
      </c>
      <c r="AL341" s="153" t="s">
        <v>186</v>
      </c>
      <c r="AM341" s="143">
        <f>AM327*1.01</f>
        <v>9566.1070394392464</v>
      </c>
      <c r="AN341" s="128" t="s">
        <v>185</v>
      </c>
      <c r="AO341" s="153" t="s">
        <v>186</v>
      </c>
      <c r="AP341" s="143">
        <f>AP327*1.01</f>
        <v>10672.602824714631</v>
      </c>
      <c r="AQ341" s="128" t="s">
        <v>185</v>
      </c>
      <c r="AR341" s="153" t="s">
        <v>186</v>
      </c>
      <c r="AS341" s="143">
        <f>AS327*1.01</f>
        <v>11907.08514806496</v>
      </c>
      <c r="AT341" s="128" t="s">
        <v>185</v>
      </c>
      <c r="AU341" s="153" t="s">
        <v>186</v>
      </c>
    </row>
    <row r="342" spans="13:47" ht="14" x14ac:dyDescent="0.3">
      <c r="M342" s="12"/>
      <c r="N342" s="12"/>
      <c r="O342" s="20"/>
      <c r="P342" s="20"/>
      <c r="Q342" s="23"/>
      <c r="R342" s="139"/>
      <c r="S342" s="130" t="s">
        <v>228</v>
      </c>
      <c r="T342" s="154" t="s">
        <v>187</v>
      </c>
      <c r="U342" s="144"/>
      <c r="V342" s="130" t="s">
        <v>228</v>
      </c>
      <c r="W342" s="154" t="s">
        <v>187</v>
      </c>
      <c r="X342" s="144"/>
      <c r="Y342" s="130" t="s">
        <v>228</v>
      </c>
      <c r="Z342" s="154" t="s">
        <v>187</v>
      </c>
      <c r="AA342" s="144"/>
      <c r="AB342" s="130" t="s">
        <v>228</v>
      </c>
      <c r="AC342" s="154" t="s">
        <v>187</v>
      </c>
      <c r="AD342" s="144"/>
      <c r="AE342" s="130" t="s">
        <v>228</v>
      </c>
      <c r="AF342" s="154" t="s">
        <v>187</v>
      </c>
      <c r="AG342" s="144"/>
      <c r="AH342" s="130" t="s">
        <v>228</v>
      </c>
      <c r="AI342" s="154" t="s">
        <v>187</v>
      </c>
      <c r="AJ342" s="144"/>
      <c r="AK342" s="130" t="s">
        <v>228</v>
      </c>
      <c r="AL342" s="154" t="s">
        <v>187</v>
      </c>
      <c r="AM342" s="144"/>
      <c r="AN342" s="130" t="s">
        <v>228</v>
      </c>
      <c r="AO342" s="154" t="s">
        <v>187</v>
      </c>
      <c r="AP342" s="144"/>
      <c r="AQ342" s="130" t="s">
        <v>228</v>
      </c>
      <c r="AR342" s="154" t="s">
        <v>187</v>
      </c>
      <c r="AS342" s="144"/>
      <c r="AT342" s="130" t="s">
        <v>228</v>
      </c>
      <c r="AU342" s="154" t="s">
        <v>187</v>
      </c>
    </row>
    <row r="343" spans="13:47" x14ac:dyDescent="0.25">
      <c r="M343" s="20"/>
      <c r="N343" s="20"/>
      <c r="O343" s="7" t="s">
        <v>188</v>
      </c>
      <c r="P343" s="7"/>
      <c r="Q343" s="7"/>
      <c r="R343" s="181">
        <f>P_1_minW-(R341^2*R_up)+dpup_minQ</f>
        <v>100.52266178791844</v>
      </c>
      <c r="S343" s="132"/>
      <c r="T343" s="145"/>
      <c r="U343" s="138">
        <f>P_1_minW-(U341^2*R_up)+dpup_minQ</f>
        <v>100.38945631701036</v>
      </c>
      <c r="V343" s="132"/>
      <c r="W343" s="145"/>
      <c r="X343" s="138">
        <f>P_1_minW-(X341^2*R_up)+dpup_minQ</f>
        <v>99.707295544658592</v>
      </c>
      <c r="Y343" s="132"/>
      <c r="Z343" s="145"/>
      <c r="AA343" s="138">
        <f>P_1_minW-(AA341^2*R_up)+dpup_minQ</f>
        <v>97.429049948997005</v>
      </c>
      <c r="AB343" s="132"/>
      <c r="AC343" s="145"/>
      <c r="AD343" s="138">
        <f>P_1_minW-(AD341^2*R_up)+dpup_minQ</f>
        <v>92.154804688685218</v>
      </c>
      <c r="AE343" s="132"/>
      <c r="AF343" s="145"/>
      <c r="AG343" s="138">
        <f>P_1_minW-(AG341^2*R_up)+dpup_minQ</f>
        <v>84.061106664773092</v>
      </c>
      <c r="AH343" s="132"/>
      <c r="AI343" s="145"/>
      <c r="AJ343" s="138">
        <f>P_1_minW-(AJ341^2*R_up)+dpup_minQ</f>
        <v>73.982836842257328</v>
      </c>
      <c r="AK343" s="132"/>
      <c r="AL343" s="145"/>
      <c r="AM343" s="138">
        <f>P_1_minW-(AM341^2*R_up)+dpup_minQ</f>
        <v>64.031930020643657</v>
      </c>
      <c r="AN343" s="132"/>
      <c r="AO343" s="145"/>
      <c r="AP343" s="138">
        <f>P_1_minW-(AP341^2*R_up)+dpup_minQ</f>
        <v>55.102038646319713</v>
      </c>
      <c r="AQ343" s="132"/>
      <c r="AR343" s="145"/>
      <c r="AS343" s="138">
        <f>P_1_minW-(AS341^2*R_up)+dpup_minQ</f>
        <v>43.986861226845761</v>
      </c>
      <c r="AT343" s="132"/>
      <c r="AU343" s="145"/>
    </row>
    <row r="344" spans="13:47" x14ac:dyDescent="0.25">
      <c r="M344" s="20"/>
      <c r="N344" s="20"/>
      <c r="O344" s="7" t="s">
        <v>189</v>
      </c>
      <c r="P344" s="1"/>
      <c r="Q344" s="7"/>
      <c r="R344" s="181">
        <f>P_2_minW+(R341^2*R_dn)-dpdn_minQ</f>
        <v>50</v>
      </c>
      <c r="S344" s="132"/>
      <c r="T344" s="146"/>
      <c r="U344" s="138">
        <f>P_2_minW+(U341^2*R_dn)-dpdn_minQ</f>
        <v>50</v>
      </c>
      <c r="V344" s="132"/>
      <c r="W344" s="146"/>
      <c r="X344" s="138">
        <f>P_2_minW+(X341^2*R_dn)-dpdn_minQ</f>
        <v>50</v>
      </c>
      <c r="Y344" s="132"/>
      <c r="Z344" s="146"/>
      <c r="AA344" s="138">
        <f>P_2_minW+(AA341^2*R_dn)-dpdn_minQ</f>
        <v>50</v>
      </c>
      <c r="AB344" s="132"/>
      <c r="AC344" s="146"/>
      <c r="AD344" s="138">
        <f>P_2_minW+(AD341^2*R_dn)-dpdn_minQ</f>
        <v>50</v>
      </c>
      <c r="AE344" s="132"/>
      <c r="AF344" s="146"/>
      <c r="AG344" s="138">
        <f>P_2_minW+(AG341^2*R_dn)-dpdn_minQ</f>
        <v>50</v>
      </c>
      <c r="AH344" s="132"/>
      <c r="AI344" s="146"/>
      <c r="AJ344" s="138">
        <f>P_2_minW+(AJ341^2*R_dn)-dpdn_minQ</f>
        <v>50</v>
      </c>
      <c r="AK344" s="132"/>
      <c r="AL344" s="146"/>
      <c r="AM344" s="138">
        <f>P_2_minW+(AM341^2*R_dn)-dpdn_minQ</f>
        <v>50</v>
      </c>
      <c r="AN344" s="132"/>
      <c r="AO344" s="146"/>
      <c r="AP344" s="138">
        <f>P_2_minW+(AP341^2*R_dn)-dpdn_minQ</f>
        <v>50</v>
      </c>
      <c r="AQ344" s="132"/>
      <c r="AR344" s="146"/>
      <c r="AS344" s="138">
        <f>P_2_minW+(AS341^2*R_dn)-dpdn_minQ</f>
        <v>50</v>
      </c>
      <c r="AT344" s="132"/>
      <c r="AU344" s="146"/>
    </row>
    <row r="345" spans="13:47" x14ac:dyDescent="0.25">
      <c r="M345" s="20"/>
      <c r="N345" s="20"/>
      <c r="O345" s="7" t="s">
        <v>234</v>
      </c>
      <c r="P345" s="1"/>
      <c r="Q345" s="7"/>
      <c r="R345" s="179">
        <f>'Valve Sizing'!G$8*R343/P_1_maxW</f>
        <v>0.48490342350808557</v>
      </c>
      <c r="S345" s="132"/>
      <c r="T345" s="146"/>
      <c r="U345" s="143">
        <f>'Valve Sizing'!$G$8*U343/P_1_maxW</f>
        <v>0.48426086403219737</v>
      </c>
      <c r="V345" s="132"/>
      <c r="W345" s="146"/>
      <c r="X345" s="143">
        <f>'Valve Sizing'!$G$8*X343/P_1_maxW</f>
        <v>0.48097024191761217</v>
      </c>
      <c r="Y345" s="132"/>
      <c r="Z345" s="146"/>
      <c r="AA345" s="143">
        <f>'Valve Sizing'!$G$8*AA343/P_1_maxW</f>
        <v>0.46998039078076836</v>
      </c>
      <c r="AB345" s="132"/>
      <c r="AC345" s="146"/>
      <c r="AD345" s="143">
        <f>'Valve Sizing'!$G$8*AD343/P_1_maxW</f>
        <v>0.44453837066651525</v>
      </c>
      <c r="AE345" s="132"/>
      <c r="AF345" s="146"/>
      <c r="AG345" s="143">
        <f>'Valve Sizing'!$G$8*AG343/P_1_maxW</f>
        <v>0.40549581239327914</v>
      </c>
      <c r="AH345" s="132"/>
      <c r="AI345" s="146"/>
      <c r="AJ345" s="143">
        <f>'Valve Sizing'!$G$8*AJ343/P_1_maxW</f>
        <v>0.35688003309480976</v>
      </c>
      <c r="AK345" s="132"/>
      <c r="AL345" s="146"/>
      <c r="AM345" s="143">
        <f>'Valve Sizing'!$G$8*AM343/P_1_maxW</f>
        <v>0.30887863023710749</v>
      </c>
      <c r="AN345" s="132"/>
      <c r="AO345" s="146"/>
      <c r="AP345" s="143">
        <f>'Valve Sizing'!$G$8*AP343/P_1_maxW</f>
        <v>0.26580242411653465</v>
      </c>
      <c r="AQ345" s="132"/>
      <c r="AR345" s="146"/>
      <c r="AS345" s="143">
        <f>'Valve Sizing'!$G$8*AS343/P_1_maxW</f>
        <v>0.21218478718035799</v>
      </c>
      <c r="AT345" s="132"/>
      <c r="AU345" s="146"/>
    </row>
    <row r="346" spans="13:47" x14ac:dyDescent="0.25">
      <c r="M346" s="20"/>
      <c r="N346" s="20"/>
      <c r="O346" s="7" t="s">
        <v>190</v>
      </c>
      <c r="P346" s="1"/>
      <c r="Q346" s="7"/>
      <c r="R346" s="181">
        <f>R343-R344</f>
        <v>50.522661787918437</v>
      </c>
      <c r="S346" s="132"/>
      <c r="T346" s="146"/>
      <c r="U346" s="138">
        <f>U343-U344</f>
        <v>50.389456317010357</v>
      </c>
      <c r="V346" s="132"/>
      <c r="W346" s="146"/>
      <c r="X346" s="138">
        <f>X343-X344</f>
        <v>49.707295544658592</v>
      </c>
      <c r="Y346" s="132"/>
      <c r="Z346" s="146"/>
      <c r="AA346" s="138">
        <f>AA343-AA344</f>
        <v>47.429049948997005</v>
      </c>
      <c r="AB346" s="132"/>
      <c r="AC346" s="146"/>
      <c r="AD346" s="138">
        <f>AD343-AD344</f>
        <v>42.154804688685218</v>
      </c>
      <c r="AE346" s="132"/>
      <c r="AF346" s="146"/>
      <c r="AG346" s="138">
        <f>AG343-AG344</f>
        <v>34.061106664773092</v>
      </c>
      <c r="AH346" s="132"/>
      <c r="AI346" s="146"/>
      <c r="AJ346" s="138">
        <f>AJ343-AJ344</f>
        <v>23.982836842257328</v>
      </c>
      <c r="AK346" s="132"/>
      <c r="AL346" s="146"/>
      <c r="AM346" s="138">
        <f>AM343-AM344</f>
        <v>14.031930020643657</v>
      </c>
      <c r="AN346" s="132"/>
      <c r="AO346" s="146"/>
      <c r="AP346" s="138">
        <f>AP343-AP344</f>
        <v>5.1020386463197127</v>
      </c>
      <c r="AQ346" s="132"/>
      <c r="AR346" s="146"/>
      <c r="AS346" s="138">
        <f>AS343-AS344</f>
        <v>-6.0131387731542389</v>
      </c>
      <c r="AT346" s="132"/>
      <c r="AU346" s="146"/>
    </row>
    <row r="347" spans="13:47" ht="14.5" x14ac:dyDescent="0.35">
      <c r="M347" s="27"/>
      <c r="N347" s="27"/>
      <c r="O347" s="2" t="s">
        <v>191</v>
      </c>
      <c r="P347" s="10"/>
      <c r="Q347" s="2"/>
      <c r="R347" s="181">
        <f>R346/R343</f>
        <v>0.50259972119033791</v>
      </c>
      <c r="S347" s="132"/>
      <c r="T347" s="146"/>
      <c r="U347" s="138">
        <f>U346/U343</f>
        <v>0.50193972719495827</v>
      </c>
      <c r="V347" s="132"/>
      <c r="W347" s="146"/>
      <c r="X347" s="138">
        <f>X346/X343</f>
        <v>0.49853218135271604</v>
      </c>
      <c r="Y347" s="132"/>
      <c r="Z347" s="146"/>
      <c r="AA347" s="138">
        <f>AA346/AA343</f>
        <v>0.48680603961370422</v>
      </c>
      <c r="AB347" s="132"/>
      <c r="AC347" s="146"/>
      <c r="AD347" s="138">
        <f>AD346/AD343</f>
        <v>0.45743469188710667</v>
      </c>
      <c r="AE347" s="132"/>
      <c r="AF347" s="146"/>
      <c r="AG347" s="138">
        <f>AG346/AG343</f>
        <v>0.40519460207210006</v>
      </c>
      <c r="AH347" s="132"/>
      <c r="AI347" s="146"/>
      <c r="AJ347" s="138">
        <f>AJ346/AJ343</f>
        <v>0.32416757542553265</v>
      </c>
      <c r="AK347" s="132"/>
      <c r="AL347" s="146"/>
      <c r="AM347" s="138">
        <f>AM346/AM343</f>
        <v>0.219139576397585</v>
      </c>
      <c r="AN347" s="132"/>
      <c r="AO347" s="146"/>
      <c r="AP347" s="138">
        <f>AP346/AP343</f>
        <v>9.2592556857430897E-2</v>
      </c>
      <c r="AQ347" s="132"/>
      <c r="AR347" s="146"/>
      <c r="AS347" s="138">
        <f>AS346/AS343</f>
        <v>-0.13670306553913289</v>
      </c>
      <c r="AT347" s="132"/>
      <c r="AU347" s="146"/>
    </row>
    <row r="348" spans="13:47" x14ac:dyDescent="0.25">
      <c r="M348" s="27"/>
      <c r="N348" s="27"/>
      <c r="O348" s="2" t="s">
        <v>26</v>
      </c>
      <c r="P348" s="7">
        <v>12</v>
      </c>
      <c r="Q348" s="2"/>
      <c r="R348" s="181">
        <f>1-R347/(3*F_GAMMA*R$29)</f>
        <v>0.73824030584920286</v>
      </c>
      <c r="S348" s="133"/>
      <c r="T348" s="146"/>
      <c r="U348" s="138">
        <f>1-U347/(3*F_GAMMA*U$29)</f>
        <v>0.73864159556990816</v>
      </c>
      <c r="V348" s="133"/>
      <c r="W348" s="146"/>
      <c r="X348" s="138">
        <f>1-X347/(3*F_GAMMA*X$29)</f>
        <v>0.73652171902874075</v>
      </c>
      <c r="Y348" s="133"/>
      <c r="Z348" s="146"/>
      <c r="AA348" s="138">
        <f>1-AA347/(3*F_GAMMA*AA$29)</f>
        <v>0.73919140010695028</v>
      </c>
      <c r="AB348" s="133"/>
      <c r="AC348" s="146"/>
      <c r="AD348" s="138">
        <f>1-AD347/(3*F_GAMMA*AD$29)</f>
        <v>0.74820786219385305</v>
      </c>
      <c r="AE348" s="133"/>
      <c r="AF348" s="146"/>
      <c r="AG348" s="138">
        <f>1-AG347/(3*F_GAMMA*AG$29)</f>
        <v>0.76424072430627077</v>
      </c>
      <c r="AH348" s="133"/>
      <c r="AI348" s="146"/>
      <c r="AJ348" s="138">
        <f>1-AJ347/(3*F_GAMMA*AJ$29)</f>
        <v>0.79836871266851794</v>
      </c>
      <c r="AK348" s="133"/>
      <c r="AL348" s="146"/>
      <c r="AM348" s="138">
        <f>1-AM347/(3*F_GAMMA*AM$29)</f>
        <v>0.85107382495267436</v>
      </c>
      <c r="AN348" s="133"/>
      <c r="AO348" s="146"/>
      <c r="AP348" s="138">
        <f>1-AP347/(3*F_GAMMA*AP$29)</f>
        <v>0.94799892755058213</v>
      </c>
      <c r="AQ348" s="133"/>
      <c r="AR348" s="146"/>
      <c r="AS348" s="138">
        <f>1-AS347/(3*F_GAMMA*AS$29)</f>
        <v>1.1165496860386055</v>
      </c>
      <c r="AT348" s="133"/>
      <c r="AU348" s="146"/>
    </row>
    <row r="349" spans="13:47" x14ac:dyDescent="0.25">
      <c r="M349" s="27"/>
      <c r="N349" s="27"/>
      <c r="O349" s="2" t="s">
        <v>71</v>
      </c>
      <c r="P349" s="85">
        <v>5</v>
      </c>
      <c r="Q349" s="2"/>
      <c r="R349" s="179">
        <f>R341/((N_6*R$27*R348)*SQRT(R347*R343*R345))</f>
        <v>7.6540011910032818E-2</v>
      </c>
      <c r="S349" s="133"/>
      <c r="T349" s="146"/>
      <c r="U349" s="143">
        <f>U341/((N_6*U$27*U348)*SQRT(U347*U343*U345))</f>
        <v>2.5054299166348679</v>
      </c>
      <c r="V349" s="133"/>
      <c r="W349" s="146"/>
      <c r="X349" s="143">
        <f>X341/((N_6*X$27*X348)*SQRT(X347*X343*X345))</f>
        <v>6.2918339263355509</v>
      </c>
      <c r="Y349" s="133"/>
      <c r="Z349" s="146"/>
      <c r="AA349" s="143">
        <f>AA341/((N_6*AA$27*AA348)*SQRT(AA347*AA343*AA345))</f>
        <v>12.718491911342104</v>
      </c>
      <c r="AB349" s="133"/>
      <c r="AC349" s="146"/>
      <c r="AD349" s="143">
        <f>AD341/((N_6*AD$27*AD348)*SQRT(AD347*AD343*AD345))</f>
        <v>22.806967297074547</v>
      </c>
      <c r="AE349" s="133"/>
      <c r="AF349" s="146"/>
      <c r="AG349" s="143">
        <f>AG341/((N_6*AG$27*AG348)*SQRT(AG347*AG343*AG345))</f>
        <v>37.265990161300046</v>
      </c>
      <c r="AH349" s="133"/>
      <c r="AI349" s="146"/>
      <c r="AJ349" s="143">
        <f>AJ341/((N_6*AJ$27*AJ348)*SQRT(AJ347*AJ343*AJ345))</f>
        <v>59.51453450180599</v>
      </c>
      <c r="AK349" s="133"/>
      <c r="AL349" s="146"/>
      <c r="AM349" s="143">
        <f>AM341/((N_6*AM$27*AM348)*SQRT(AM347*AM343*AM345))</f>
        <v>97.643717562177827</v>
      </c>
      <c r="AN349" s="133"/>
      <c r="AO349" s="146"/>
      <c r="AP349" s="143">
        <f>AP341/((N_6*AP$27*AP348)*SQRT(AP347*AP343*AP345))</f>
        <v>198.60685021591982</v>
      </c>
      <c r="AQ349" s="133"/>
      <c r="AR349" s="146"/>
      <c r="AS349" s="143" t="e">
        <f>AS341/((N_6*AS$27*AS348)*SQRT(AS347*AS343*AS345))</f>
        <v>#NUM!</v>
      </c>
      <c r="AT349" s="133"/>
      <c r="AU349" s="146"/>
    </row>
    <row r="350" spans="13:47" x14ac:dyDescent="0.25">
      <c r="M350" s="27"/>
      <c r="N350" s="27"/>
      <c r="O350" s="2" t="s">
        <v>73</v>
      </c>
      <c r="P350" s="85">
        <v>5</v>
      </c>
      <c r="Q350" s="2"/>
      <c r="R350" s="179">
        <f>R341/((N_6*R$27*0.667)*SQRT(R351*R343*R345))</f>
        <v>7.5071044584977251E-2</v>
      </c>
      <c r="S350" s="133"/>
      <c r="T350" s="155"/>
      <c r="U350" s="143">
        <f>U341/((N_6*U$27*0.667)*SQRT(U351*U343*U345))</f>
        <v>2.4567957271588696</v>
      </c>
      <c r="V350" s="133"/>
      <c r="W350" s="155"/>
      <c r="X350" s="143">
        <f>X341/((N_6*X$27*0.667)*SQRT(X351*X343*X345))</f>
        <v>6.1768920723436764</v>
      </c>
      <c r="Y350" s="133"/>
      <c r="Z350" s="155"/>
      <c r="AA350" s="143">
        <f>AA341/((N_6*AA$27*0.667)*SQRT(AA351*AA343*AA345))</f>
        <v>12.467755329883808</v>
      </c>
      <c r="AB350" s="133"/>
      <c r="AC350" s="155"/>
      <c r="AD350" s="143">
        <f>AD341/((N_6*AD$27*0.667)*SQRT(AD351*AD343*AD345))</f>
        <v>22.235437723242224</v>
      </c>
      <c r="AE350" s="133"/>
      <c r="AF350" s="155"/>
      <c r="AG350" s="143">
        <f>AG341/((N_6*AG$27*0.667)*SQRT(AG351*AG343*AG345))</f>
        <v>35.909720847275842</v>
      </c>
      <c r="AH350" s="133"/>
      <c r="AI350" s="155"/>
      <c r="AJ350" s="143">
        <f>AJ341/((N_6*AJ$27*0.667)*SQRT(AJ351*AJ343*AJ345))</f>
        <v>55.403895950979027</v>
      </c>
      <c r="AK350" s="133"/>
      <c r="AL350" s="155"/>
      <c r="AM350" s="143">
        <f>AM341/((N_6*AM$27*0.667)*SQRT(AM351*AM343*AM345))</f>
        <v>83.278299945155624</v>
      </c>
      <c r="AN350" s="133"/>
      <c r="AO350" s="155"/>
      <c r="AP350" s="143">
        <f>AP341/((N_6*AP$27*0.667)*SQRT(AP351*AP343*AP345))</f>
        <v>111.49182219273715</v>
      </c>
      <c r="AQ350" s="133"/>
      <c r="AR350" s="155"/>
      <c r="AS350" s="143">
        <f>AS341/((N_6*AS$27*0.667)*SQRT(AS351*AS343*AS345))</f>
        <v>252.26590247116206</v>
      </c>
      <c r="AT350" s="133"/>
      <c r="AU350" s="155"/>
    </row>
    <row r="351" spans="13:47" ht="15.5" x14ac:dyDescent="0.4">
      <c r="M351" s="27"/>
      <c r="N351" s="27"/>
      <c r="O351" s="2" t="s">
        <v>192</v>
      </c>
      <c r="P351" s="85">
        <v>10</v>
      </c>
      <c r="Q351" s="2"/>
      <c r="R351" s="181">
        <f>F_GAMMA*R$29</f>
        <v>0.64002688015162901</v>
      </c>
      <c r="S351" s="133"/>
      <c r="T351" s="155"/>
      <c r="U351" s="138">
        <f>F_GAMMA*U$29</f>
        <v>0.64016782916606918</v>
      </c>
      <c r="V351" s="133"/>
      <c r="W351" s="155"/>
      <c r="X351" s="138">
        <f>F_GAMMA*X$29</f>
        <v>0.6307062319203669</v>
      </c>
      <c r="Y351" s="133"/>
      <c r="Z351" s="155"/>
      <c r="AA351" s="138">
        <f>F_GAMMA*AA$29</f>
        <v>0.62217534213893466</v>
      </c>
      <c r="AB351" s="133"/>
      <c r="AC351" s="155"/>
      <c r="AD351" s="138">
        <f>F_GAMMA*AD$29</f>
        <v>0.60557184969146072</v>
      </c>
      <c r="AE351" s="133"/>
      <c r="AF351" s="155"/>
      <c r="AG351" s="138">
        <f>F_GAMMA*AG$29</f>
        <v>0.57289312142622573</v>
      </c>
      <c r="AH351" s="133"/>
      <c r="AI351" s="155"/>
      <c r="AJ351" s="138">
        <f>F_GAMMA*AJ$29</f>
        <v>0.53590819116049981</v>
      </c>
      <c r="AK351" s="133"/>
      <c r="AL351" s="155"/>
      <c r="AM351" s="138">
        <f>F_GAMMA*AM$29</f>
        <v>0.49048815926850342</v>
      </c>
      <c r="AN351" s="133"/>
      <c r="AO351" s="155"/>
      <c r="AP351" s="138">
        <f>F_GAMMA*AP$29</f>
        <v>0.59352979016280105</v>
      </c>
      <c r="AQ351" s="133"/>
      <c r="AR351" s="155"/>
      <c r="AS351" s="138">
        <f>F_GAMMA*AS$29</f>
        <v>0.39097221161068291</v>
      </c>
      <c r="AT351" s="133"/>
      <c r="AU351" s="155"/>
    </row>
    <row r="352" spans="13:47" x14ac:dyDescent="0.25">
      <c r="M352" s="27"/>
      <c r="N352" s="27"/>
      <c r="O352" s="2" t="s">
        <v>193</v>
      </c>
      <c r="P352" s="134"/>
      <c r="Q352" s="2"/>
      <c r="R352" s="181">
        <f>IF(R347&lt;R351,R349,R350)</f>
        <v>7.6540011910032818E-2</v>
      </c>
      <c r="S352" s="133"/>
      <c r="T352" s="155"/>
      <c r="U352" s="138">
        <f>IF(U347&lt;U351,U349,U350)</f>
        <v>2.5054299166348679</v>
      </c>
      <c r="V352" s="133"/>
      <c r="W352" s="155"/>
      <c r="X352" s="138">
        <f>IF(X347&lt;X351,X349,X350)</f>
        <v>6.2918339263355509</v>
      </c>
      <c r="Y352" s="133"/>
      <c r="Z352" s="155"/>
      <c r="AA352" s="138">
        <f>IF(AA347&lt;AA351,AA349,AA350)</f>
        <v>12.718491911342104</v>
      </c>
      <c r="AB352" s="133"/>
      <c r="AC352" s="155"/>
      <c r="AD352" s="138">
        <f>IF(AD347&lt;AD351,AD349,AD350)</f>
        <v>22.806967297074547</v>
      </c>
      <c r="AE352" s="133"/>
      <c r="AF352" s="155"/>
      <c r="AG352" s="138">
        <f>IF(AG347&lt;AG351,AG349,AG350)</f>
        <v>37.265990161300046</v>
      </c>
      <c r="AH352" s="133"/>
      <c r="AI352" s="155"/>
      <c r="AJ352" s="138">
        <f>IF(AJ347&lt;AJ351,AJ349,AJ350)</f>
        <v>59.51453450180599</v>
      </c>
      <c r="AK352" s="133"/>
      <c r="AL352" s="155"/>
      <c r="AM352" s="138">
        <f>IF(AM347&lt;AM351,AM349,AM350)</f>
        <v>97.643717562177827</v>
      </c>
      <c r="AN352" s="133"/>
      <c r="AO352" s="155"/>
      <c r="AP352" s="138">
        <f>IF(AP347&lt;AP351,AP349,AP350)</f>
        <v>198.60685021591982</v>
      </c>
      <c r="AQ352" s="133"/>
      <c r="AR352" s="155"/>
      <c r="AS352" s="138" t="e">
        <f>IF(AS347&lt;AS351,AS349,AS350)</f>
        <v>#NUM!</v>
      </c>
      <c r="AT352" s="133"/>
      <c r="AU352" s="155"/>
    </row>
    <row r="353" spans="13:47" ht="13" x14ac:dyDescent="0.3">
      <c r="M353" s="28"/>
      <c r="N353" s="28"/>
      <c r="O353" s="9" t="s">
        <v>194</v>
      </c>
      <c r="P353" s="1"/>
      <c r="Q353" s="1"/>
      <c r="R353" s="135"/>
      <c r="S353" s="132">
        <f>IF(R346&lt;=0,W_max,ABS(R$23-R352))</f>
        <v>1.9234599880899672</v>
      </c>
      <c r="T353" s="151">
        <f>R341</f>
        <v>17.70146723038383</v>
      </c>
      <c r="U353" s="135"/>
      <c r="V353" s="132">
        <f>IF(U346&lt;=0,W_max,ABS(U$23-U352))</f>
        <v>2.4945700833651321</v>
      </c>
      <c r="W353" s="151">
        <f>U341</f>
        <v>578.23959855799853</v>
      </c>
      <c r="X353" s="135"/>
      <c r="Y353" s="132">
        <f>IF(X346&lt;=0,W_max,ABS(X$23-X352))</f>
        <v>3.7081660736644491</v>
      </c>
      <c r="Z353" s="151">
        <f>X341</f>
        <v>1430.0553385527842</v>
      </c>
      <c r="AA353" s="135"/>
      <c r="AB353" s="132">
        <f>IF(AA346&lt;=0,W_max,ABS(AA$23-AA352))</f>
        <v>4.4815080886578951</v>
      </c>
      <c r="AC353" s="151">
        <f>AA341</f>
        <v>2785.3827844348275</v>
      </c>
      <c r="AD353" s="135"/>
      <c r="AE353" s="132">
        <f>IF(AD346&lt;=0,W_max,ABS(AD$23-AD352))</f>
        <v>3.7930327029254549</v>
      </c>
      <c r="AF353" s="151">
        <f>AD341</f>
        <v>4580.9291632976401</v>
      </c>
      <c r="AG353" s="135"/>
      <c r="AH353" s="132">
        <f>IF(AG346&lt;=0,W_max,ABS(AG$23-AG352))</f>
        <v>1.1340098386999529</v>
      </c>
      <c r="AI353" s="151">
        <f>AG341</f>
        <v>6425.1058197143047</v>
      </c>
      <c r="AJ353" s="135"/>
      <c r="AK353" s="132">
        <f>IF(AJ346&lt;=0,W_max,ABS(AJ$23-AJ352))</f>
        <v>7.0145345018059899</v>
      </c>
      <c r="AL353" s="151">
        <f>AJ341</f>
        <v>8158.1794797753009</v>
      </c>
      <c r="AM353" s="135"/>
      <c r="AN353" s="132">
        <f>IF(AM346&lt;=0,W_max,ABS(AM$23-AM352))</f>
        <v>25.243717562177821</v>
      </c>
      <c r="AO353" s="151">
        <f>AM341</f>
        <v>9566.1070394392464</v>
      </c>
      <c r="AP353" s="135"/>
      <c r="AQ353" s="132">
        <f>IF(AP346&lt;=0,W_max,ABS(AP$23-AP352))</f>
        <v>90.60685021591982</v>
      </c>
      <c r="AR353" s="151">
        <f>AP341</f>
        <v>10672.602824714631</v>
      </c>
      <c r="AS353" s="135"/>
      <c r="AT353" s="132">
        <f>IF(AS346&lt;=0,W_max,ABS(AS$23-AS352))</f>
        <v>7174</v>
      </c>
      <c r="AU353" s="151">
        <f>AS341</f>
        <v>11907.08514806496</v>
      </c>
    </row>
    <row r="354" spans="13:47" ht="13" x14ac:dyDescent="0.25">
      <c r="M354" s="12"/>
      <c r="N354" s="12"/>
      <c r="O354" s="2"/>
      <c r="P354" s="85"/>
      <c r="Q354" s="2"/>
      <c r="R354" s="18"/>
      <c r="S354" s="150"/>
      <c r="T354" s="152"/>
      <c r="U354" s="157"/>
      <c r="V354" s="1"/>
      <c r="W354" s="147"/>
      <c r="X354" s="157"/>
      <c r="Y354" s="1"/>
      <c r="Z354" s="147"/>
      <c r="AA354" s="157"/>
      <c r="AB354" s="1"/>
      <c r="AC354" s="147"/>
      <c r="AD354" s="157"/>
      <c r="AE354" s="1"/>
      <c r="AF354" s="147"/>
      <c r="AG354" s="157"/>
      <c r="AH354" s="1"/>
      <c r="AI354" s="147"/>
      <c r="AJ354" s="157"/>
      <c r="AK354" s="1"/>
      <c r="AL354" s="147"/>
      <c r="AM354" s="157"/>
      <c r="AN354" s="1"/>
      <c r="AO354" s="147"/>
      <c r="AP354" s="157"/>
      <c r="AQ354" s="1"/>
      <c r="AR354" s="147"/>
      <c r="AS354" s="157"/>
      <c r="AT354" s="1"/>
      <c r="AU354" s="147"/>
    </row>
    <row r="355" spans="13:47" ht="14" x14ac:dyDescent="0.3">
      <c r="M355" s="23"/>
      <c r="N355" s="23"/>
      <c r="O355" s="23" t="s">
        <v>238</v>
      </c>
      <c r="P355" s="20"/>
      <c r="Q355" s="20"/>
      <c r="R355" s="181">
        <f>R341*1.02</f>
        <v>18.055496574991508</v>
      </c>
      <c r="S355" s="128" t="s">
        <v>185</v>
      </c>
      <c r="T355" s="153" t="s">
        <v>186</v>
      </c>
      <c r="U355" s="143">
        <f>U341*1.01</f>
        <v>584.02199454357856</v>
      </c>
      <c r="V355" s="128" t="s">
        <v>185</v>
      </c>
      <c r="W355" s="153" t="s">
        <v>186</v>
      </c>
      <c r="X355" s="143">
        <f>X341*1.01</f>
        <v>1444.355891938312</v>
      </c>
      <c r="Y355" s="128" t="s">
        <v>185</v>
      </c>
      <c r="Z355" s="153" t="s">
        <v>186</v>
      </c>
      <c r="AA355" s="143">
        <f>AA341*1.01</f>
        <v>2813.2366122791759</v>
      </c>
      <c r="AB355" s="128" t="s">
        <v>185</v>
      </c>
      <c r="AC355" s="153" t="s">
        <v>186</v>
      </c>
      <c r="AD355" s="143">
        <f>AD341*1.01</f>
        <v>4626.7384549306162</v>
      </c>
      <c r="AE355" s="128" t="s">
        <v>185</v>
      </c>
      <c r="AF355" s="153" t="s">
        <v>186</v>
      </c>
      <c r="AG355" s="143">
        <f>AG341*1.01</f>
        <v>6489.3568779114476</v>
      </c>
      <c r="AH355" s="128" t="s">
        <v>185</v>
      </c>
      <c r="AI355" s="153" t="s">
        <v>186</v>
      </c>
      <c r="AJ355" s="143">
        <f>AJ341*1.01</f>
        <v>8239.7612745730548</v>
      </c>
      <c r="AK355" s="128" t="s">
        <v>185</v>
      </c>
      <c r="AL355" s="153" t="s">
        <v>186</v>
      </c>
      <c r="AM355" s="143">
        <f>AM341*1.01</f>
        <v>9661.7681098336398</v>
      </c>
      <c r="AN355" s="128" t="s">
        <v>185</v>
      </c>
      <c r="AO355" s="153" t="s">
        <v>186</v>
      </c>
      <c r="AP355" s="143">
        <f>AP341*1.01</f>
        <v>10779.328852961778</v>
      </c>
      <c r="AQ355" s="128" t="s">
        <v>185</v>
      </c>
      <c r="AR355" s="153" t="s">
        <v>186</v>
      </c>
      <c r="AS355" s="143">
        <f>AS341*1.01</f>
        <v>12026.15599954561</v>
      </c>
      <c r="AT355" s="128" t="s">
        <v>185</v>
      </c>
      <c r="AU355" s="153" t="s">
        <v>186</v>
      </c>
    </row>
    <row r="356" spans="13:47" ht="14" x14ac:dyDescent="0.3">
      <c r="M356" s="12"/>
      <c r="N356" s="12"/>
      <c r="O356" s="20"/>
      <c r="P356" s="20"/>
      <c r="Q356" s="23"/>
      <c r="R356" s="139"/>
      <c r="S356" s="130" t="s">
        <v>228</v>
      </c>
      <c r="T356" s="154" t="s">
        <v>187</v>
      </c>
      <c r="U356" s="144"/>
      <c r="V356" s="130" t="s">
        <v>228</v>
      </c>
      <c r="W356" s="154" t="s">
        <v>187</v>
      </c>
      <c r="X356" s="144"/>
      <c r="Y356" s="130" t="s">
        <v>228</v>
      </c>
      <c r="Z356" s="154" t="s">
        <v>187</v>
      </c>
      <c r="AA356" s="144"/>
      <c r="AB356" s="130" t="s">
        <v>228</v>
      </c>
      <c r="AC356" s="154" t="s">
        <v>187</v>
      </c>
      <c r="AD356" s="144"/>
      <c r="AE356" s="130" t="s">
        <v>228</v>
      </c>
      <c r="AF356" s="154" t="s">
        <v>187</v>
      </c>
      <c r="AG356" s="144"/>
      <c r="AH356" s="130" t="s">
        <v>228</v>
      </c>
      <c r="AI356" s="154" t="s">
        <v>187</v>
      </c>
      <c r="AJ356" s="144"/>
      <c r="AK356" s="130" t="s">
        <v>228</v>
      </c>
      <c r="AL356" s="154" t="s">
        <v>187</v>
      </c>
      <c r="AM356" s="144"/>
      <c r="AN356" s="130" t="s">
        <v>228</v>
      </c>
      <c r="AO356" s="154" t="s">
        <v>187</v>
      </c>
      <c r="AP356" s="144"/>
      <c r="AQ356" s="130" t="s">
        <v>228</v>
      </c>
      <c r="AR356" s="154" t="s">
        <v>187</v>
      </c>
      <c r="AS356" s="144"/>
      <c r="AT356" s="130" t="s">
        <v>228</v>
      </c>
      <c r="AU356" s="154" t="s">
        <v>187</v>
      </c>
    </row>
    <row r="357" spans="13:47" x14ac:dyDescent="0.25">
      <c r="M357" s="20"/>
      <c r="N357" s="20"/>
      <c r="O357" s="7" t="s">
        <v>188</v>
      </c>
      <c r="P357" s="7"/>
      <c r="Q357" s="7"/>
      <c r="R357" s="181">
        <f>P_1_minW-(R355^2*R_up)+dpup_minQ</f>
        <v>100.52265673998657</v>
      </c>
      <c r="S357" s="132"/>
      <c r="T357" s="145"/>
      <c r="U357" s="138">
        <f>P_1_minW-(U355^2*R_up)+dpup_minQ</f>
        <v>100.38677637557406</v>
      </c>
      <c r="V357" s="132"/>
      <c r="W357" s="145"/>
      <c r="X357" s="138">
        <f>P_1_minW-(X355^2*R_up)+dpup_minQ</f>
        <v>99.690904171698023</v>
      </c>
      <c r="Y357" s="132"/>
      <c r="Z357" s="145"/>
      <c r="AA357" s="138">
        <f>P_1_minW-(AA355^2*R_up)+dpup_minQ</f>
        <v>97.36686583956363</v>
      </c>
      <c r="AB357" s="132"/>
      <c r="AC357" s="145"/>
      <c r="AD357" s="138">
        <f>P_1_minW-(AD355^2*R_up)+dpup_minQ</f>
        <v>91.986608249519577</v>
      </c>
      <c r="AE357" s="132"/>
      <c r="AF357" s="145"/>
      <c r="AG357" s="138">
        <f>P_1_minW-(AG355^2*R_up)+dpup_minQ</f>
        <v>83.730226895326823</v>
      </c>
      <c r="AH357" s="132"/>
      <c r="AI357" s="145"/>
      <c r="AJ357" s="138">
        <f>P_1_minW-(AJ355^2*R_up)+dpup_minQ</f>
        <v>73.449383849378492</v>
      </c>
      <c r="AK357" s="132"/>
      <c r="AL357" s="145"/>
      <c r="AM357" s="138">
        <f>P_1_minW-(AM355^2*R_up)+dpup_minQ</f>
        <v>63.298463800650381</v>
      </c>
      <c r="AN357" s="132"/>
      <c r="AO357" s="145"/>
      <c r="AP357" s="138">
        <f>P_1_minW-(AP355^2*R_up)+dpup_minQ</f>
        <v>54.189081609702527</v>
      </c>
      <c r="AQ357" s="132"/>
      <c r="AR357" s="145"/>
      <c r="AS357" s="138">
        <f>P_1_minW-(AS355^2*R_up)+dpup_minQ</f>
        <v>42.850489124097152</v>
      </c>
      <c r="AT357" s="132"/>
      <c r="AU357" s="145"/>
    </row>
    <row r="358" spans="13:47" x14ac:dyDescent="0.25">
      <c r="M358" s="20"/>
      <c r="N358" s="20"/>
      <c r="O358" s="7" t="s">
        <v>189</v>
      </c>
      <c r="P358" s="1"/>
      <c r="Q358" s="7"/>
      <c r="R358" s="181">
        <f>P_2_minW+(R355^2*R_dn)-dpdn_minQ</f>
        <v>50</v>
      </c>
      <c r="S358" s="132"/>
      <c r="T358" s="146"/>
      <c r="U358" s="138">
        <f>P_2_minW+(U355^2*R_dn)-dpdn_minQ</f>
        <v>50</v>
      </c>
      <c r="V358" s="132"/>
      <c r="W358" s="146"/>
      <c r="X358" s="138">
        <f>P_2_minW+(X355^2*R_dn)-dpdn_minQ</f>
        <v>50</v>
      </c>
      <c r="Y358" s="132"/>
      <c r="Z358" s="146"/>
      <c r="AA358" s="138">
        <f>P_2_minW+(AA355^2*R_dn)-dpdn_minQ</f>
        <v>50</v>
      </c>
      <c r="AB358" s="132"/>
      <c r="AC358" s="146"/>
      <c r="AD358" s="138">
        <f>P_2_minW+(AD355^2*R_dn)-dpdn_minQ</f>
        <v>50</v>
      </c>
      <c r="AE358" s="132"/>
      <c r="AF358" s="146"/>
      <c r="AG358" s="138">
        <f>P_2_minW+(AG355^2*R_dn)-dpdn_minQ</f>
        <v>50</v>
      </c>
      <c r="AH358" s="132"/>
      <c r="AI358" s="146"/>
      <c r="AJ358" s="138">
        <f>P_2_minW+(AJ355^2*R_dn)-dpdn_minQ</f>
        <v>50</v>
      </c>
      <c r="AK358" s="132"/>
      <c r="AL358" s="146"/>
      <c r="AM358" s="138">
        <f>P_2_minW+(AM355^2*R_dn)-dpdn_minQ</f>
        <v>50</v>
      </c>
      <c r="AN358" s="132"/>
      <c r="AO358" s="146"/>
      <c r="AP358" s="138">
        <f>P_2_minW+(AP355^2*R_dn)-dpdn_minQ</f>
        <v>50</v>
      </c>
      <c r="AQ358" s="132"/>
      <c r="AR358" s="146"/>
      <c r="AS358" s="138">
        <f>P_2_minW+(AS355^2*R_dn)-dpdn_minQ</f>
        <v>50</v>
      </c>
      <c r="AT358" s="132"/>
      <c r="AU358" s="146"/>
    </row>
    <row r="359" spans="13:47" x14ac:dyDescent="0.25">
      <c r="M359" s="20"/>
      <c r="N359" s="20"/>
      <c r="O359" s="7" t="s">
        <v>234</v>
      </c>
      <c r="P359" s="1"/>
      <c r="Q359" s="7"/>
      <c r="R359" s="179">
        <f>'Valve Sizing'!G$8*R357/P_1_maxW</f>
        <v>0.48490339915776098</v>
      </c>
      <c r="S359" s="132"/>
      <c r="T359" s="146"/>
      <c r="U359" s="143">
        <f>'Valve Sizing'!$G$8*U357/P_1_maxW</f>
        <v>0.48424793647184278</v>
      </c>
      <c r="V359" s="132"/>
      <c r="W359" s="146"/>
      <c r="X359" s="143">
        <f>'Valve Sizing'!$G$8*X357/P_1_maxW</f>
        <v>0.48089117285275451</v>
      </c>
      <c r="Y359" s="132"/>
      <c r="Z359" s="146"/>
      <c r="AA359" s="143">
        <f>'Valve Sizing'!$G$8*AA357/P_1_maxW</f>
        <v>0.46968042570806007</v>
      </c>
      <c r="AB359" s="132"/>
      <c r="AC359" s="146"/>
      <c r="AD359" s="143">
        <f>'Valve Sizing'!$G$8*AD357/P_1_maxW</f>
        <v>0.44372702098951045</v>
      </c>
      <c r="AE359" s="132"/>
      <c r="AF359" s="146"/>
      <c r="AG359" s="143">
        <f>'Valve Sizing'!$G$8*AG357/P_1_maxW</f>
        <v>0.40389970729498231</v>
      </c>
      <c r="AH359" s="132"/>
      <c r="AI359" s="146"/>
      <c r="AJ359" s="143">
        <f>'Valve Sizing'!$G$8*AJ357/P_1_maxW</f>
        <v>0.35430675083261376</v>
      </c>
      <c r="AK359" s="132"/>
      <c r="AL359" s="146"/>
      <c r="AM359" s="143">
        <f>'Valve Sizing'!$G$8*AM357/P_1_maxW</f>
        <v>0.30534051977747156</v>
      </c>
      <c r="AN359" s="132"/>
      <c r="AO359" s="146"/>
      <c r="AP359" s="143">
        <f>'Valve Sizing'!$G$8*AP357/P_1_maxW</f>
        <v>0.26139848191387527</v>
      </c>
      <c r="AQ359" s="132"/>
      <c r="AR359" s="146"/>
      <c r="AS359" s="143">
        <f>'Valve Sizing'!$G$8*AS357/P_1_maxW</f>
        <v>0.20670313047528147</v>
      </c>
      <c r="AT359" s="132"/>
      <c r="AU359" s="146"/>
    </row>
    <row r="360" spans="13:47" x14ac:dyDescent="0.25">
      <c r="M360" s="20"/>
      <c r="N360" s="20"/>
      <c r="O360" s="7" t="s">
        <v>190</v>
      </c>
      <c r="P360" s="1"/>
      <c r="Q360" s="7"/>
      <c r="R360" s="181">
        <f>R357-R358</f>
        <v>50.522656739986573</v>
      </c>
      <c r="S360" s="132"/>
      <c r="T360" s="146"/>
      <c r="U360" s="138">
        <f>U357-U358</f>
        <v>50.386776375574058</v>
      </c>
      <c r="V360" s="132"/>
      <c r="W360" s="146"/>
      <c r="X360" s="138">
        <f>X357-X358</f>
        <v>49.690904171698023</v>
      </c>
      <c r="Y360" s="132"/>
      <c r="Z360" s="146"/>
      <c r="AA360" s="138">
        <f>AA357-AA358</f>
        <v>47.36686583956363</v>
      </c>
      <c r="AB360" s="132"/>
      <c r="AC360" s="146"/>
      <c r="AD360" s="138">
        <f>AD357-AD358</f>
        <v>41.986608249519577</v>
      </c>
      <c r="AE360" s="132"/>
      <c r="AF360" s="146"/>
      <c r="AG360" s="138">
        <f>AG357-AG358</f>
        <v>33.730226895326823</v>
      </c>
      <c r="AH360" s="132"/>
      <c r="AI360" s="146"/>
      <c r="AJ360" s="138">
        <f>AJ357-AJ358</f>
        <v>23.449383849378492</v>
      </c>
      <c r="AK360" s="132"/>
      <c r="AL360" s="146"/>
      <c r="AM360" s="138">
        <f>AM357-AM358</f>
        <v>13.298463800650381</v>
      </c>
      <c r="AN360" s="132"/>
      <c r="AO360" s="146"/>
      <c r="AP360" s="138">
        <f>AP357-AP358</f>
        <v>4.1890816097025265</v>
      </c>
      <c r="AQ360" s="132"/>
      <c r="AR360" s="146"/>
      <c r="AS360" s="138">
        <f>AS357-AS358</f>
        <v>-7.1495108759028483</v>
      </c>
      <c r="AT360" s="132"/>
      <c r="AU360" s="146"/>
    </row>
    <row r="361" spans="13:47" ht="14.5" x14ac:dyDescent="0.35">
      <c r="M361" s="27"/>
      <c r="N361" s="27"/>
      <c r="O361" s="2" t="s">
        <v>191</v>
      </c>
      <c r="P361" s="10"/>
      <c r="Q361" s="2"/>
      <c r="R361" s="181">
        <f>R360/R357</f>
        <v>0.50259969621245926</v>
      </c>
      <c r="S361" s="132"/>
      <c r="T361" s="146"/>
      <c r="U361" s="138">
        <f>U360/U357</f>
        <v>0.50192643089826405</v>
      </c>
      <c r="V361" s="132"/>
      <c r="W361" s="146"/>
      <c r="X361" s="138">
        <f>X360/X357</f>
        <v>0.4984497290356118</v>
      </c>
      <c r="Y361" s="132"/>
      <c r="Z361" s="146"/>
      <c r="AA361" s="138">
        <f>AA360/AA357</f>
        <v>0.48647828428217499</v>
      </c>
      <c r="AB361" s="132"/>
      <c r="AC361" s="146"/>
      <c r="AD361" s="138">
        <f>AD360/AD357</f>
        <v>0.45644261755611432</v>
      </c>
      <c r="AE361" s="132"/>
      <c r="AF361" s="146"/>
      <c r="AG361" s="138">
        <f>AG360/AG357</f>
        <v>0.40284408804354244</v>
      </c>
      <c r="AH361" s="132"/>
      <c r="AI361" s="146"/>
      <c r="AJ361" s="138">
        <f>AJ360/AJ357</f>
        <v>0.31925909545362258</v>
      </c>
      <c r="AK361" s="132"/>
      <c r="AL361" s="146"/>
      <c r="AM361" s="138">
        <f>AM360/AM357</f>
        <v>0.21009141458048688</v>
      </c>
      <c r="AN361" s="132"/>
      <c r="AO361" s="146"/>
      <c r="AP361" s="138">
        <f>AP360/AP357</f>
        <v>7.7304901379846858E-2</v>
      </c>
      <c r="AQ361" s="132"/>
      <c r="AR361" s="146"/>
      <c r="AS361" s="138">
        <f>AS360/AS357</f>
        <v>-0.1668478241916331</v>
      </c>
      <c r="AT361" s="132"/>
      <c r="AU361" s="146"/>
    </row>
    <row r="362" spans="13:47" x14ac:dyDescent="0.25">
      <c r="M362" s="27"/>
      <c r="N362" s="27"/>
      <c r="O362" s="2" t="s">
        <v>26</v>
      </c>
      <c r="P362" s="7">
        <v>12</v>
      </c>
      <c r="Q362" s="2"/>
      <c r="R362" s="181">
        <f>1-R361/(3*F_GAMMA*R$29)</f>
        <v>0.73824031885796826</v>
      </c>
      <c r="S362" s="133"/>
      <c r="T362" s="146"/>
      <c r="U362" s="138">
        <f>1-U361/(3*F_GAMMA*U$29)</f>
        <v>0.73864851890890804</v>
      </c>
      <c r="V362" s="133"/>
      <c r="W362" s="146"/>
      <c r="X362" s="138">
        <f>1-X361/(3*F_GAMMA*X$29)</f>
        <v>0.73656529574371576</v>
      </c>
      <c r="Y362" s="133"/>
      <c r="Z362" s="146"/>
      <c r="AA362" s="138">
        <f>1-AA361/(3*F_GAMMA*AA$29)</f>
        <v>0.73936699655023075</v>
      </c>
      <c r="AB362" s="133"/>
      <c r="AC362" s="146"/>
      <c r="AD362" s="138">
        <f>1-AD361/(3*F_GAMMA*AD$29)</f>
        <v>0.74875394346205049</v>
      </c>
      <c r="AE362" s="133"/>
      <c r="AF362" s="146"/>
      <c r="AG362" s="138">
        <f>1-AG361/(3*F_GAMMA*AG$29)</f>
        <v>0.76560835231031332</v>
      </c>
      <c r="AH362" s="133"/>
      <c r="AI362" s="146"/>
      <c r="AJ362" s="138">
        <f>1-AJ361/(3*F_GAMMA*AJ$29)</f>
        <v>0.80142177290835792</v>
      </c>
      <c r="AK362" s="133"/>
      <c r="AL362" s="146"/>
      <c r="AM362" s="138">
        <f>1-AM361/(3*F_GAMMA*AM$29)</f>
        <v>0.85722291108664095</v>
      </c>
      <c r="AN362" s="133"/>
      <c r="AO362" s="146"/>
      <c r="AP362" s="138">
        <f>1-AP361/(3*F_GAMMA*AP$29)</f>
        <v>0.95658465524892877</v>
      </c>
      <c r="AQ362" s="133"/>
      <c r="AR362" s="146"/>
      <c r="AS362" s="138">
        <f>1-AS361/(3*F_GAMMA*AS$29)</f>
        <v>1.142250369068663</v>
      </c>
      <c r="AT362" s="133"/>
      <c r="AU362" s="146"/>
    </row>
    <row r="363" spans="13:47" x14ac:dyDescent="0.25">
      <c r="M363" s="27"/>
      <c r="N363" s="27"/>
      <c r="O363" s="2" t="s">
        <v>71</v>
      </c>
      <c r="P363" s="85">
        <v>5</v>
      </c>
      <c r="Q363" s="2"/>
      <c r="R363" s="179">
        <f>R355/((N_6*R$27*R362)*SQRT(R361*R357*R359))</f>
        <v>7.8070816632950527E-2</v>
      </c>
      <c r="S363" s="133"/>
      <c r="T363" s="146"/>
      <c r="U363" s="143">
        <f>U355/((N_6*U$27*U362)*SQRT(U361*U357*U359))</f>
        <v>2.5305615684887108</v>
      </c>
      <c r="V363" s="133"/>
      <c r="W363" s="146"/>
      <c r="X363" s="143">
        <f>X355/((N_6*X$27*X362)*SQRT(X361*X357*X359))</f>
        <v>6.3559467316157257</v>
      </c>
      <c r="Y363" s="133"/>
      <c r="Z363" s="146"/>
      <c r="AA363" s="143">
        <f>AA355/((N_6*AA$27*AA362)*SQRT(AA361*AA357*AA359))</f>
        <v>12.855156351051894</v>
      </c>
      <c r="AB363" s="133"/>
      <c r="AC363" s="146"/>
      <c r="AD363" s="143">
        <f>AD355/((N_6*AD$27*AD362)*SQRT(AD361*AD357*AD359))</f>
        <v>23.085372746208332</v>
      </c>
      <c r="AE363" s="133"/>
      <c r="AF363" s="146"/>
      <c r="AG363" s="143">
        <f>AG355/((N_6*AG$27*AG362)*SQRT(AG361*AG357*AG359))</f>
        <v>37.829771305999479</v>
      </c>
      <c r="AH363" s="133"/>
      <c r="AI363" s="146"/>
      <c r="AJ363" s="143">
        <f>AJ355/((N_6*AJ$27*AJ362)*SQRT(AJ361*AJ357*AJ359))</f>
        <v>60.777489495304032</v>
      </c>
      <c r="AK363" s="133"/>
      <c r="AL363" s="146"/>
      <c r="AM363" s="143">
        <f>AM355/((N_6*AM$27*AM362)*SQRT(AM361*AM357*AM359))</f>
        <v>101.15767102307923</v>
      </c>
      <c r="AN363" s="133"/>
      <c r="AO363" s="146"/>
      <c r="AP363" s="143">
        <f>AP355/((N_6*AP$27*AP362)*SQRT(AP361*AP357*AP359))</f>
        <v>221.22817321618314</v>
      </c>
      <c r="AQ363" s="133"/>
      <c r="AR363" s="146"/>
      <c r="AS363" s="143" t="e">
        <f>AS355/((N_6*AS$27*AS362)*SQRT(AS361*AS357*AS359))</f>
        <v>#NUM!</v>
      </c>
      <c r="AT363" s="133"/>
      <c r="AU363" s="146"/>
    </row>
    <row r="364" spans="13:47" x14ac:dyDescent="0.25">
      <c r="M364" s="27"/>
      <c r="N364" s="27"/>
      <c r="O364" s="2" t="s">
        <v>73</v>
      </c>
      <c r="P364" s="85">
        <v>5</v>
      </c>
      <c r="Q364" s="2"/>
      <c r="R364" s="179">
        <f>R355/((N_6*R$27*0.667)*SQRT(R365*R357*R359))</f>
        <v>7.657246932190534E-2</v>
      </c>
      <c r="S364" s="133"/>
      <c r="T364" s="155"/>
      <c r="U364" s="143">
        <f>U355/((N_6*U$27*0.667)*SQRT(U365*U357*U359))</f>
        <v>2.481429927312206</v>
      </c>
      <c r="V364" s="133"/>
      <c r="W364" s="155"/>
      <c r="X364" s="143">
        <f>X355/((N_6*X$27*0.667)*SQRT(X365*X357*X359))</f>
        <v>6.2396867658792026</v>
      </c>
      <c r="Y364" s="133"/>
      <c r="Z364" s="155"/>
      <c r="AA364" s="143">
        <f>AA355/((N_6*AA$27*0.667)*SQRT(AA365*AA357*AA359))</f>
        <v>12.60047513880717</v>
      </c>
      <c r="AB364" s="133"/>
      <c r="AC364" s="155"/>
      <c r="AD364" s="143">
        <f>AD355/((N_6*AD$27*0.667)*SQRT(AD365*AD357*AD359))</f>
        <v>22.498855911117339</v>
      </c>
      <c r="AE364" s="133"/>
      <c r="AF364" s="155"/>
      <c r="AG364" s="143">
        <f>AG355/((N_6*AG$27*0.667)*SQRT(AG365*AG357*AG359))</f>
        <v>36.412142857332832</v>
      </c>
      <c r="AH364" s="133"/>
      <c r="AI364" s="155"/>
      <c r="AJ364" s="143">
        <f>AJ355/((N_6*AJ$27*0.667)*SQRT(AJ365*AJ357*AJ359))</f>
        <v>56.364349863057164</v>
      </c>
      <c r="AK364" s="133"/>
      <c r="AL364" s="155"/>
      <c r="AM364" s="143">
        <f>AM355/((N_6*AM$27*0.667)*SQRT(AM365*AM357*AM359))</f>
        <v>85.08571383393199</v>
      </c>
      <c r="AN364" s="133"/>
      <c r="AO364" s="155"/>
      <c r="AP364" s="143">
        <f>AP355/((N_6*AP$27*0.667)*SQRT(AP365*AP357*AP359))</f>
        <v>114.50389594818228</v>
      </c>
      <c r="AQ364" s="133"/>
      <c r="AR364" s="155"/>
      <c r="AS364" s="143">
        <f>AS355/((N_6*AS$27*0.667)*SQRT(AS365*AS357*AS359))</f>
        <v>261.54541816896449</v>
      </c>
      <c r="AT364" s="133"/>
      <c r="AU364" s="155"/>
    </row>
    <row r="365" spans="13:47" ht="15.5" x14ac:dyDescent="0.4">
      <c r="M365" s="27"/>
      <c r="N365" s="27"/>
      <c r="O365" s="2" t="s">
        <v>192</v>
      </c>
      <c r="P365" s="85">
        <v>10</v>
      </c>
      <c r="Q365" s="2"/>
      <c r="R365" s="181">
        <f>F_GAMMA*R$29</f>
        <v>0.64002688015162901</v>
      </c>
      <c r="S365" s="133"/>
      <c r="T365" s="155"/>
      <c r="U365" s="138">
        <f>F_GAMMA*U$29</f>
        <v>0.64016782916606918</v>
      </c>
      <c r="V365" s="133"/>
      <c r="W365" s="155"/>
      <c r="X365" s="138">
        <f>F_GAMMA*X$29</f>
        <v>0.6307062319203669</v>
      </c>
      <c r="Y365" s="133"/>
      <c r="Z365" s="155"/>
      <c r="AA365" s="138">
        <f>F_GAMMA*AA$29</f>
        <v>0.62217534213893466</v>
      </c>
      <c r="AB365" s="133"/>
      <c r="AC365" s="155"/>
      <c r="AD365" s="138">
        <f>F_GAMMA*AD$29</f>
        <v>0.60557184969146072</v>
      </c>
      <c r="AE365" s="133"/>
      <c r="AF365" s="155"/>
      <c r="AG365" s="138">
        <f>F_GAMMA*AG$29</f>
        <v>0.57289312142622573</v>
      </c>
      <c r="AH365" s="133"/>
      <c r="AI365" s="155"/>
      <c r="AJ365" s="138">
        <f>F_GAMMA*AJ$29</f>
        <v>0.53590819116049981</v>
      </c>
      <c r="AK365" s="133"/>
      <c r="AL365" s="155"/>
      <c r="AM365" s="138">
        <f>F_GAMMA*AM$29</f>
        <v>0.49048815926850342</v>
      </c>
      <c r="AN365" s="133"/>
      <c r="AO365" s="155"/>
      <c r="AP365" s="138">
        <f>F_GAMMA*AP$29</f>
        <v>0.59352979016280105</v>
      </c>
      <c r="AQ365" s="133"/>
      <c r="AR365" s="155"/>
      <c r="AS365" s="138">
        <f>F_GAMMA*AS$29</f>
        <v>0.39097221161068291</v>
      </c>
      <c r="AT365" s="133"/>
      <c r="AU365" s="155"/>
    </row>
    <row r="366" spans="13:47" x14ac:dyDescent="0.25">
      <c r="M366" s="27"/>
      <c r="N366" s="27"/>
      <c r="O366" s="2" t="s">
        <v>193</v>
      </c>
      <c r="P366" s="134"/>
      <c r="Q366" s="2"/>
      <c r="R366" s="181">
        <f>IF(R361&lt;R365,R363,R364)</f>
        <v>7.8070816632950527E-2</v>
      </c>
      <c r="S366" s="133"/>
      <c r="T366" s="155"/>
      <c r="U366" s="138">
        <f>IF(U361&lt;U365,U363,U364)</f>
        <v>2.5305615684887108</v>
      </c>
      <c r="V366" s="133"/>
      <c r="W366" s="155"/>
      <c r="X366" s="138">
        <f>IF(X361&lt;X365,X363,X364)</f>
        <v>6.3559467316157257</v>
      </c>
      <c r="Y366" s="133"/>
      <c r="Z366" s="155"/>
      <c r="AA366" s="138">
        <f>IF(AA361&lt;AA365,AA363,AA364)</f>
        <v>12.855156351051894</v>
      </c>
      <c r="AB366" s="133"/>
      <c r="AC366" s="155"/>
      <c r="AD366" s="138">
        <f>IF(AD361&lt;AD365,AD363,AD364)</f>
        <v>23.085372746208332</v>
      </c>
      <c r="AE366" s="133"/>
      <c r="AF366" s="155"/>
      <c r="AG366" s="138">
        <f>IF(AG361&lt;AG365,AG363,AG364)</f>
        <v>37.829771305999479</v>
      </c>
      <c r="AH366" s="133"/>
      <c r="AI366" s="155"/>
      <c r="AJ366" s="138">
        <f>IF(AJ361&lt;AJ365,AJ363,AJ364)</f>
        <v>60.777489495304032</v>
      </c>
      <c r="AK366" s="133"/>
      <c r="AL366" s="155"/>
      <c r="AM366" s="138">
        <f>IF(AM361&lt;AM365,AM363,AM364)</f>
        <v>101.15767102307923</v>
      </c>
      <c r="AN366" s="133"/>
      <c r="AO366" s="155"/>
      <c r="AP366" s="138">
        <f>IF(AP361&lt;AP365,AP363,AP364)</f>
        <v>221.22817321618314</v>
      </c>
      <c r="AQ366" s="133"/>
      <c r="AR366" s="155"/>
      <c r="AS366" s="138" t="e">
        <f>IF(AS361&lt;AS365,AS363,AS364)</f>
        <v>#NUM!</v>
      </c>
      <c r="AT366" s="133"/>
      <c r="AU366" s="155"/>
    </row>
    <row r="367" spans="13:47" ht="13" x14ac:dyDescent="0.3">
      <c r="M367" s="28"/>
      <c r="N367" s="28"/>
      <c r="O367" s="9" t="s">
        <v>194</v>
      </c>
      <c r="P367" s="1"/>
      <c r="Q367" s="1"/>
      <c r="R367" s="135"/>
      <c r="S367" s="132">
        <f>IF(R360&lt;=0,W_max,ABS(R$23-R366))</f>
        <v>1.9219291833670495</v>
      </c>
      <c r="T367" s="151">
        <f>R355</f>
        <v>18.055496574991508</v>
      </c>
      <c r="U367" s="135"/>
      <c r="V367" s="132">
        <f>IF(U360&lt;=0,W_max,ABS(U$23-U366))</f>
        <v>2.4694384315112892</v>
      </c>
      <c r="W367" s="151">
        <f>U355</f>
        <v>584.02199454357856</v>
      </c>
      <c r="X367" s="135"/>
      <c r="Y367" s="132">
        <f>IF(X360&lt;=0,W_max,ABS(X$23-X366))</f>
        <v>3.6440532683842743</v>
      </c>
      <c r="Z367" s="151">
        <f>X355</f>
        <v>1444.355891938312</v>
      </c>
      <c r="AA367" s="135"/>
      <c r="AB367" s="132">
        <f>IF(AA360&lt;=0,W_max,ABS(AA$23-AA366))</f>
        <v>4.344843648948105</v>
      </c>
      <c r="AC367" s="151">
        <f>AA355</f>
        <v>2813.2366122791759</v>
      </c>
      <c r="AD367" s="135"/>
      <c r="AE367" s="132">
        <f>IF(AD360&lt;=0,W_max,ABS(AD$23-AD366))</f>
        <v>3.5146272537916694</v>
      </c>
      <c r="AF367" s="151">
        <f>AD355</f>
        <v>4626.7384549306162</v>
      </c>
      <c r="AG367" s="135"/>
      <c r="AH367" s="132">
        <f>IF(AG360&lt;=0,W_max,ABS(AG$23-AG366))</f>
        <v>0.57022869400051945</v>
      </c>
      <c r="AI367" s="151">
        <f>AG355</f>
        <v>6489.3568779114476</v>
      </c>
      <c r="AJ367" s="135"/>
      <c r="AK367" s="132">
        <f>IF(AJ360&lt;=0,W_max,ABS(AJ$23-AJ366))</f>
        <v>8.2774894953040317</v>
      </c>
      <c r="AL367" s="151">
        <f>AJ355</f>
        <v>8239.7612745730548</v>
      </c>
      <c r="AM367" s="135"/>
      <c r="AN367" s="132">
        <f>IF(AM360&lt;=0,W_max,ABS(AM$23-AM366))</f>
        <v>28.757671023079226</v>
      </c>
      <c r="AO367" s="151">
        <f>AM355</f>
        <v>9661.7681098336398</v>
      </c>
      <c r="AP367" s="135"/>
      <c r="AQ367" s="132">
        <f>IF(AP360&lt;=0,W_max,ABS(AP$23-AP366))</f>
        <v>113.22817321618314</v>
      </c>
      <c r="AR367" s="151">
        <f>AP355</f>
        <v>10779.328852961778</v>
      </c>
      <c r="AS367" s="135"/>
      <c r="AT367" s="132">
        <f>IF(AS360&lt;=0,W_max,ABS(AS$23-AS366))</f>
        <v>7174</v>
      </c>
      <c r="AU367" s="151">
        <f>AS355</f>
        <v>12026.15599954561</v>
      </c>
    </row>
    <row r="368" spans="13:47" ht="13" x14ac:dyDescent="0.25">
      <c r="M368" s="12"/>
      <c r="N368" s="12"/>
      <c r="O368" s="2"/>
      <c r="P368" s="85"/>
      <c r="Q368" s="2"/>
      <c r="R368" s="18"/>
      <c r="S368" s="150"/>
      <c r="T368" s="148"/>
      <c r="U368" s="157"/>
      <c r="V368" s="1"/>
      <c r="W368" s="147"/>
      <c r="X368" s="157"/>
      <c r="Y368" s="1"/>
      <c r="Z368" s="147"/>
      <c r="AA368" s="157"/>
      <c r="AB368" s="1"/>
      <c r="AC368" s="147"/>
      <c r="AD368" s="157"/>
      <c r="AE368" s="1"/>
      <c r="AF368" s="147"/>
      <c r="AG368" s="157"/>
      <c r="AH368" s="1"/>
      <c r="AI368" s="147"/>
      <c r="AJ368" s="157"/>
      <c r="AK368" s="1"/>
      <c r="AL368" s="147"/>
      <c r="AM368" s="157"/>
      <c r="AN368" s="1"/>
      <c r="AO368" s="147"/>
      <c r="AP368" s="157"/>
      <c r="AQ368" s="1"/>
      <c r="AR368" s="147"/>
      <c r="AS368" s="157"/>
      <c r="AT368" s="1"/>
      <c r="AU368" s="147"/>
    </row>
    <row r="369" spans="13:47" ht="14" x14ac:dyDescent="0.3">
      <c r="M369" s="23"/>
      <c r="N369" s="23"/>
      <c r="O369" s="23" t="s">
        <v>238</v>
      </c>
      <c r="P369" s="20"/>
      <c r="Q369" s="20"/>
      <c r="R369" s="181">
        <f>R355*1.02</f>
        <v>18.416606506491338</v>
      </c>
      <c r="S369" s="128" t="s">
        <v>185</v>
      </c>
      <c r="T369" s="149" t="s">
        <v>186</v>
      </c>
      <c r="U369" s="143">
        <f>U355*1.01</f>
        <v>589.86221448901438</v>
      </c>
      <c r="V369" s="128" t="s">
        <v>185</v>
      </c>
      <c r="W369" s="153" t="s">
        <v>186</v>
      </c>
      <c r="X369" s="143">
        <f>X355*1.01</f>
        <v>1458.7994508576951</v>
      </c>
      <c r="Y369" s="128" t="s">
        <v>185</v>
      </c>
      <c r="Z369" s="153" t="s">
        <v>186</v>
      </c>
      <c r="AA369" s="143">
        <f>AA355*1.01</f>
        <v>2841.3689784019675</v>
      </c>
      <c r="AB369" s="128" t="s">
        <v>185</v>
      </c>
      <c r="AC369" s="153" t="s">
        <v>186</v>
      </c>
      <c r="AD369" s="143">
        <f>AD355*1.01</f>
        <v>4673.0058394799225</v>
      </c>
      <c r="AE369" s="128" t="s">
        <v>185</v>
      </c>
      <c r="AF369" s="153" t="s">
        <v>186</v>
      </c>
      <c r="AG369" s="143">
        <f>AG355*1.01</f>
        <v>6554.2504466905621</v>
      </c>
      <c r="AH369" s="128" t="s">
        <v>185</v>
      </c>
      <c r="AI369" s="153" t="s">
        <v>186</v>
      </c>
      <c r="AJ369" s="143">
        <f>AJ355*1.01</f>
        <v>8322.1588873187848</v>
      </c>
      <c r="AK369" s="128" t="s">
        <v>185</v>
      </c>
      <c r="AL369" s="153" t="s">
        <v>186</v>
      </c>
      <c r="AM369" s="143">
        <f>AM355*1.01</f>
        <v>9758.3857909319759</v>
      </c>
      <c r="AN369" s="128" t="s">
        <v>185</v>
      </c>
      <c r="AO369" s="153" t="s">
        <v>186</v>
      </c>
      <c r="AP369" s="143">
        <f>AP355*1.01</f>
        <v>10887.122141491396</v>
      </c>
      <c r="AQ369" s="128" t="s">
        <v>185</v>
      </c>
      <c r="AR369" s="153" t="s">
        <v>186</v>
      </c>
      <c r="AS369" s="143">
        <f>AS355*1.01</f>
        <v>12146.417559541067</v>
      </c>
      <c r="AT369" s="128" t="s">
        <v>185</v>
      </c>
      <c r="AU369" s="153" t="s">
        <v>186</v>
      </c>
    </row>
    <row r="370" spans="13:47" ht="14" x14ac:dyDescent="0.3">
      <c r="M370" s="12"/>
      <c r="N370" s="12"/>
      <c r="O370" s="20"/>
      <c r="P370" s="20"/>
      <c r="Q370" s="23"/>
      <c r="R370" s="139"/>
      <c r="S370" s="130" t="s">
        <v>228</v>
      </c>
      <c r="T370" s="131" t="s">
        <v>187</v>
      </c>
      <c r="U370" s="144"/>
      <c r="V370" s="130" t="s">
        <v>228</v>
      </c>
      <c r="W370" s="154" t="s">
        <v>187</v>
      </c>
      <c r="X370" s="144"/>
      <c r="Y370" s="130" t="s">
        <v>228</v>
      </c>
      <c r="Z370" s="154" t="s">
        <v>187</v>
      </c>
      <c r="AA370" s="144"/>
      <c r="AB370" s="130" t="s">
        <v>228</v>
      </c>
      <c r="AC370" s="154" t="s">
        <v>187</v>
      </c>
      <c r="AD370" s="144"/>
      <c r="AE370" s="130" t="s">
        <v>228</v>
      </c>
      <c r="AF370" s="154" t="s">
        <v>187</v>
      </c>
      <c r="AG370" s="144"/>
      <c r="AH370" s="130" t="s">
        <v>228</v>
      </c>
      <c r="AI370" s="154" t="s">
        <v>187</v>
      </c>
      <c r="AJ370" s="144"/>
      <c r="AK370" s="130" t="s">
        <v>228</v>
      </c>
      <c r="AL370" s="154" t="s">
        <v>187</v>
      </c>
      <c r="AM370" s="144"/>
      <c r="AN370" s="130" t="s">
        <v>228</v>
      </c>
      <c r="AO370" s="154" t="s">
        <v>187</v>
      </c>
      <c r="AP370" s="144"/>
      <c r="AQ370" s="130" t="s">
        <v>228</v>
      </c>
      <c r="AR370" s="154" t="s">
        <v>187</v>
      </c>
      <c r="AS370" s="144"/>
      <c r="AT370" s="130" t="s">
        <v>228</v>
      </c>
      <c r="AU370" s="154" t="s">
        <v>187</v>
      </c>
    </row>
    <row r="371" spans="13:47" x14ac:dyDescent="0.25">
      <c r="M371" s="20"/>
      <c r="N371" s="20"/>
      <c r="O371" s="7" t="s">
        <v>188</v>
      </c>
      <c r="P371" s="7"/>
      <c r="Q371" s="7"/>
      <c r="R371" s="181">
        <f>P_1_minW-(R369^2*R_up)+dpup_minQ</f>
        <v>100.52265148811827</v>
      </c>
      <c r="S371" s="132"/>
      <c r="T371" s="145"/>
      <c r="U371" s="138">
        <f>P_1_minW-(U369^2*R_up)+dpup_minQ</f>
        <v>100.38404256731488</v>
      </c>
      <c r="V371" s="132"/>
      <c r="W371" s="145"/>
      <c r="X371" s="138">
        <f>P_1_minW-(X369^2*R_up)+dpup_minQ</f>
        <v>99.674183332140956</v>
      </c>
      <c r="Y371" s="132"/>
      <c r="Z371" s="145"/>
      <c r="AA371" s="138">
        <f>P_1_minW-(AA369^2*R_up)+dpup_minQ</f>
        <v>97.303431829530652</v>
      </c>
      <c r="AB371" s="132"/>
      <c r="AC371" s="145"/>
      <c r="AD371" s="138">
        <f>P_1_minW-(AD369^2*R_up)+dpup_minQ</f>
        <v>91.815031061926717</v>
      </c>
      <c r="AE371" s="132"/>
      <c r="AF371" s="145"/>
      <c r="AG371" s="138">
        <f>P_1_minW-(AG369^2*R_up)+dpup_minQ</f>
        <v>83.392696442514691</v>
      </c>
      <c r="AH371" s="132"/>
      <c r="AI371" s="145"/>
      <c r="AJ371" s="138">
        <f>P_1_minW-(AJ369^2*R_up)+dpup_minQ</f>
        <v>72.905208451342801</v>
      </c>
      <c r="AK371" s="132"/>
      <c r="AL371" s="145"/>
      <c r="AM371" s="138">
        <f>P_1_minW-(AM369^2*R_up)+dpup_minQ</f>
        <v>62.55025490963525</v>
      </c>
      <c r="AN371" s="132"/>
      <c r="AO371" s="145"/>
      <c r="AP371" s="138">
        <f>P_1_minW-(AP369^2*R_up)+dpup_minQ</f>
        <v>53.257774136649338</v>
      </c>
      <c r="AQ371" s="132"/>
      <c r="AR371" s="145"/>
      <c r="AS371" s="138">
        <f>P_1_minW-(AS369^2*R_up)+dpup_minQ</f>
        <v>41.691275942083287</v>
      </c>
      <c r="AT371" s="132"/>
      <c r="AU371" s="145"/>
    </row>
    <row r="372" spans="13:47" x14ac:dyDescent="0.25">
      <c r="M372" s="20"/>
      <c r="N372" s="20"/>
      <c r="O372" s="7" t="s">
        <v>189</v>
      </c>
      <c r="P372" s="1"/>
      <c r="Q372" s="7"/>
      <c r="R372" s="181">
        <f>P_2_minW+(R369^2*R_dn)-dpdn_minQ</f>
        <v>50</v>
      </c>
      <c r="S372" s="132"/>
      <c r="T372" s="146"/>
      <c r="U372" s="138">
        <f>P_2_minW+(U369^2*R_dn)-dpdn_minQ</f>
        <v>50</v>
      </c>
      <c r="V372" s="132"/>
      <c r="W372" s="146"/>
      <c r="X372" s="138">
        <f>P_2_minW+(X369^2*R_dn)-dpdn_minQ</f>
        <v>50</v>
      </c>
      <c r="Y372" s="132"/>
      <c r="Z372" s="146"/>
      <c r="AA372" s="138">
        <f>P_2_minW+(AA369^2*R_dn)-dpdn_minQ</f>
        <v>50</v>
      </c>
      <c r="AB372" s="132"/>
      <c r="AC372" s="146"/>
      <c r="AD372" s="138">
        <f>P_2_minW+(AD369^2*R_dn)-dpdn_minQ</f>
        <v>50</v>
      </c>
      <c r="AE372" s="132"/>
      <c r="AF372" s="146"/>
      <c r="AG372" s="138">
        <f>P_2_minW+(AG369^2*R_dn)-dpdn_minQ</f>
        <v>50</v>
      </c>
      <c r="AH372" s="132"/>
      <c r="AI372" s="146"/>
      <c r="AJ372" s="138">
        <f>P_2_minW+(AJ369^2*R_dn)-dpdn_minQ</f>
        <v>50</v>
      </c>
      <c r="AK372" s="132"/>
      <c r="AL372" s="146"/>
      <c r="AM372" s="138">
        <f>P_2_minW+(AM369^2*R_dn)-dpdn_minQ</f>
        <v>50</v>
      </c>
      <c r="AN372" s="132"/>
      <c r="AO372" s="146"/>
      <c r="AP372" s="138">
        <f>P_2_minW+(AP369^2*R_dn)-dpdn_minQ</f>
        <v>50</v>
      </c>
      <c r="AQ372" s="132"/>
      <c r="AR372" s="146"/>
      <c r="AS372" s="138">
        <f>P_2_minW+(AS369^2*R_dn)-dpdn_minQ</f>
        <v>50</v>
      </c>
      <c r="AT372" s="132"/>
      <c r="AU372" s="146"/>
    </row>
    <row r="373" spans="13:47" x14ac:dyDescent="0.25">
      <c r="M373" s="20"/>
      <c r="N373" s="20"/>
      <c r="O373" s="7" t="s">
        <v>234</v>
      </c>
      <c r="P373" s="1"/>
      <c r="Q373" s="7"/>
      <c r="R373" s="179">
        <f>'Valve Sizing'!G$8*R371/P_1_maxW</f>
        <v>0.48490337382368337</v>
      </c>
      <c r="S373" s="132"/>
      <c r="T373" s="146"/>
      <c r="U373" s="143">
        <f>'Valve Sizing'!$G$8*U371/P_1_maxW</f>
        <v>0.48423474906752506</v>
      </c>
      <c r="V373" s="132"/>
      <c r="W373" s="146"/>
      <c r="X373" s="143">
        <f>'Valve Sizing'!$G$8*X371/P_1_maxW</f>
        <v>0.4808105144996932</v>
      </c>
      <c r="Y373" s="132"/>
      <c r="Z373" s="146"/>
      <c r="AA373" s="143">
        <f>'Valve Sizing'!$G$8*AA371/P_1_maxW</f>
        <v>0.46937443133739032</v>
      </c>
      <c r="AB373" s="132"/>
      <c r="AC373" s="146"/>
      <c r="AD373" s="143">
        <f>'Valve Sizing'!$G$8*AD371/P_1_maxW</f>
        <v>0.44289936318399797</v>
      </c>
      <c r="AE373" s="132"/>
      <c r="AF373" s="146"/>
      <c r="AG373" s="143">
        <f>'Valve Sizing'!$G$8*AG371/P_1_maxW</f>
        <v>0.40227152048420978</v>
      </c>
      <c r="AH373" s="132"/>
      <c r="AI373" s="146"/>
      <c r="AJ373" s="143">
        <f>'Valve Sizing'!$G$8*AJ371/P_1_maxW</f>
        <v>0.35168174559694759</v>
      </c>
      <c r="AK373" s="132"/>
      <c r="AL373" s="146"/>
      <c r="AM373" s="143">
        <f>'Valve Sizing'!$G$8*AM371/P_1_maxW</f>
        <v>0.30173129329759707</v>
      </c>
      <c r="AN373" s="132"/>
      <c r="AO373" s="146"/>
      <c r="AP373" s="143">
        <f>'Valve Sizing'!$G$8*AP371/P_1_maxW</f>
        <v>0.25690602047294242</v>
      </c>
      <c r="AQ373" s="132"/>
      <c r="AR373" s="146"/>
      <c r="AS373" s="143">
        <f>'Valve Sizing'!$G$8*AS371/P_1_maxW</f>
        <v>0.20111129247043288</v>
      </c>
      <c r="AT373" s="132"/>
      <c r="AU373" s="146"/>
    </row>
    <row r="374" spans="13:47" x14ac:dyDescent="0.25">
      <c r="M374" s="20"/>
      <c r="N374" s="20"/>
      <c r="O374" s="7" t="s">
        <v>190</v>
      </c>
      <c r="P374" s="1"/>
      <c r="Q374" s="7"/>
      <c r="R374" s="181">
        <f>R371-R372</f>
        <v>50.522651488118271</v>
      </c>
      <c r="S374" s="132"/>
      <c r="T374" s="146"/>
      <c r="U374" s="138">
        <f>U371-U372</f>
        <v>50.384042567314879</v>
      </c>
      <c r="V374" s="132"/>
      <c r="W374" s="146"/>
      <c r="X374" s="138">
        <f>X371-X372</f>
        <v>49.674183332140956</v>
      </c>
      <c r="Y374" s="132"/>
      <c r="Z374" s="146"/>
      <c r="AA374" s="138">
        <f>AA371-AA372</f>
        <v>47.303431829530652</v>
      </c>
      <c r="AB374" s="132"/>
      <c r="AC374" s="146"/>
      <c r="AD374" s="138">
        <f>AD371-AD372</f>
        <v>41.815031061926717</v>
      </c>
      <c r="AE374" s="132"/>
      <c r="AF374" s="146"/>
      <c r="AG374" s="138">
        <f>AG371-AG372</f>
        <v>33.392696442514691</v>
      </c>
      <c r="AH374" s="132"/>
      <c r="AI374" s="146"/>
      <c r="AJ374" s="138">
        <f>AJ371-AJ372</f>
        <v>22.905208451342801</v>
      </c>
      <c r="AK374" s="132"/>
      <c r="AL374" s="146"/>
      <c r="AM374" s="138">
        <f>AM371-AM372</f>
        <v>12.55025490963525</v>
      </c>
      <c r="AN374" s="132"/>
      <c r="AO374" s="146"/>
      <c r="AP374" s="138">
        <f>AP371-AP372</f>
        <v>3.2577741366493385</v>
      </c>
      <c r="AQ374" s="132"/>
      <c r="AR374" s="146"/>
      <c r="AS374" s="138">
        <f>AS371-AS372</f>
        <v>-8.308724057916713</v>
      </c>
      <c r="AT374" s="132"/>
      <c r="AU374" s="146"/>
    </row>
    <row r="375" spans="13:47" ht="14.5" x14ac:dyDescent="0.35">
      <c r="M375" s="27"/>
      <c r="N375" s="27"/>
      <c r="O375" s="2" t="s">
        <v>191</v>
      </c>
      <c r="P375" s="10"/>
      <c r="Q375" s="2"/>
      <c r="R375" s="181">
        <f>R374/R371</f>
        <v>0.50259967022547181</v>
      </c>
      <c r="S375" s="132"/>
      <c r="T375" s="146"/>
      <c r="U375" s="138">
        <f>U374/U371</f>
        <v>0.50191286661451873</v>
      </c>
      <c r="V375" s="132"/>
      <c r="W375" s="146"/>
      <c r="X375" s="138">
        <f>X374/X371</f>
        <v>0.4983655914853431</v>
      </c>
      <c r="Y375" s="132"/>
      <c r="Z375" s="146"/>
      <c r="AA375" s="138">
        <f>AA374/AA371</f>
        <v>0.48614350943349272</v>
      </c>
      <c r="AB375" s="132"/>
      <c r="AC375" s="146"/>
      <c r="AD375" s="138">
        <f>AD374/AD371</f>
        <v>0.45542685743605127</v>
      </c>
      <c r="AE375" s="132"/>
      <c r="AF375" s="146"/>
      <c r="AG375" s="138">
        <f>AG374/AG371</f>
        <v>0.40042711013108162</v>
      </c>
      <c r="AH375" s="132"/>
      <c r="AI375" s="146"/>
      <c r="AJ375" s="138">
        <f>AJ374/AJ371</f>
        <v>0.31417794335818711</v>
      </c>
      <c r="AK375" s="132"/>
      <c r="AL375" s="146"/>
      <c r="AM375" s="138">
        <f>AM374/AM371</f>
        <v>0.20064274602503668</v>
      </c>
      <c r="AN375" s="132"/>
      <c r="AO375" s="146"/>
      <c r="AP375" s="138">
        <f>AP374/AP371</f>
        <v>6.1169926634382213E-2</v>
      </c>
      <c r="AQ375" s="132"/>
      <c r="AR375" s="146"/>
      <c r="AS375" s="138">
        <f>AS374/AS371</f>
        <v>-0.19929167122299235</v>
      </c>
      <c r="AT375" s="132"/>
      <c r="AU375" s="146"/>
    </row>
    <row r="376" spans="13:47" x14ac:dyDescent="0.25">
      <c r="M376" s="27"/>
      <c r="N376" s="27"/>
      <c r="O376" s="2" t="s">
        <v>26</v>
      </c>
      <c r="P376" s="7">
        <v>12</v>
      </c>
      <c r="Q376" s="2"/>
      <c r="R376" s="181">
        <f>1-R375/(3*F_GAMMA*R$29)</f>
        <v>0.73824033239228914</v>
      </c>
      <c r="S376" s="133"/>
      <c r="T376" s="146"/>
      <c r="U376" s="138">
        <f>1-U375/(3*F_GAMMA*U$29)</f>
        <v>0.73865558178790491</v>
      </c>
      <c r="V376" s="133"/>
      <c r="W376" s="146"/>
      <c r="X376" s="138">
        <f>1-X375/(3*F_GAMMA*X$29)</f>
        <v>0.73660976311801796</v>
      </c>
      <c r="Y376" s="133"/>
      <c r="Z376" s="146"/>
      <c r="AA376" s="138">
        <f>1-AA375/(3*F_GAMMA*AA$29)</f>
        <v>0.73954635373247424</v>
      </c>
      <c r="AB376" s="133"/>
      <c r="AC376" s="146"/>
      <c r="AD376" s="138">
        <f>1-AD375/(3*F_GAMMA*AD$29)</f>
        <v>0.74931306242846241</v>
      </c>
      <c r="AE376" s="133"/>
      <c r="AF376" s="146"/>
      <c r="AG376" s="138">
        <f>1-AG375/(3*F_GAMMA*AG$29)</f>
        <v>0.76701465179973272</v>
      </c>
      <c r="AH376" s="133"/>
      <c r="AI376" s="146"/>
      <c r="AJ376" s="138">
        <f>1-AJ375/(3*F_GAMMA*AJ$29)</f>
        <v>0.80458223470588608</v>
      </c>
      <c r="AK376" s="133"/>
      <c r="AL376" s="146"/>
      <c r="AM376" s="138">
        <f>1-AM375/(3*F_GAMMA*AM$29)</f>
        <v>0.8636441796241876</v>
      </c>
      <c r="AN376" s="133"/>
      <c r="AO376" s="146"/>
      <c r="AP376" s="138">
        <f>1-AP375/(3*F_GAMMA*AP$29)</f>
        <v>0.96564624744580851</v>
      </c>
      <c r="AQ376" s="133"/>
      <c r="AR376" s="146"/>
      <c r="AS376" s="138">
        <f>1-AS375/(3*F_GAMMA*AS$29)</f>
        <v>1.1699111985495279</v>
      </c>
      <c r="AT376" s="133"/>
      <c r="AU376" s="146"/>
    </row>
    <row r="377" spans="13:47" x14ac:dyDescent="0.25">
      <c r="M377" s="27"/>
      <c r="N377" s="27"/>
      <c r="O377" s="2" t="s">
        <v>71</v>
      </c>
      <c r="P377" s="85">
        <v>5</v>
      </c>
      <c r="Q377" s="2"/>
      <c r="R377" s="179">
        <f>R369/((N_6*R$27*R376)*SQRT(R375*R371*R373))</f>
        <v>7.9632237724827803E-2</v>
      </c>
      <c r="S377" s="133"/>
      <c r="T377" s="146"/>
      <c r="U377" s="143">
        <f>U369/((N_6*U$27*U376)*SQRT(U375*U371*U373))</f>
        <v>2.5559468867623836</v>
      </c>
      <c r="V377" s="133"/>
      <c r="W377" s="146"/>
      <c r="X377" s="143">
        <f>X369/((N_6*X$27*X376)*SQRT(X375*X371*X373))</f>
        <v>6.4207374358993974</v>
      </c>
      <c r="Y377" s="133"/>
      <c r="Z377" s="146"/>
      <c r="AA377" s="143">
        <f>AA369/((N_6*AA$27*AA376)*SQRT(AA375*AA371*AA373))</f>
        <v>12.993492913699578</v>
      </c>
      <c r="AB377" s="133"/>
      <c r="AC377" s="146"/>
      <c r="AD377" s="143">
        <f>AD369/((N_6*AD$27*AD376)*SQRT(AD375*AD371*AD373))</f>
        <v>23.368383915525666</v>
      </c>
      <c r="AE377" s="133"/>
      <c r="AF377" s="146"/>
      <c r="AG377" s="143">
        <f>AG369/((N_6*AG$27*AG376)*SQRT(AG375*AG371*AG373))</f>
        <v>38.407771079947622</v>
      </c>
      <c r="AH377" s="133"/>
      <c r="AI377" s="146"/>
      <c r="AJ377" s="143">
        <f>AJ369/((N_6*AJ$27*AJ376)*SQRT(AJ375*AJ371*AJ373))</f>
        <v>62.096657356481799</v>
      </c>
      <c r="AK377" s="133"/>
      <c r="AL377" s="146"/>
      <c r="AM377" s="143">
        <f>AM369/((N_6*AM$27*AM376)*SQRT(AM375*AM371*AM373))</f>
        <v>105.01120029369652</v>
      </c>
      <c r="AN377" s="133"/>
      <c r="AO377" s="146"/>
      <c r="AP377" s="143">
        <f>AP369/((N_6*AP$27*AP376)*SQRT(AP375*AP371*AP373))</f>
        <v>253.1806289641963</v>
      </c>
      <c r="AQ377" s="133"/>
      <c r="AR377" s="146"/>
      <c r="AS377" s="143" t="e">
        <f>AS369/((N_6*AS$27*AS376)*SQRT(AS375*AS371*AS373))</f>
        <v>#NUM!</v>
      </c>
      <c r="AT377" s="133"/>
      <c r="AU377" s="146"/>
    </row>
    <row r="378" spans="13:47" x14ac:dyDescent="0.25">
      <c r="M378" s="27"/>
      <c r="N378" s="27"/>
      <c r="O378" s="2" t="s">
        <v>73</v>
      </c>
      <c r="P378" s="85">
        <v>5</v>
      </c>
      <c r="Q378" s="2"/>
      <c r="R378" s="179">
        <f>R369/((N_6*R$27*0.667)*SQRT(R379*R371*R373))</f>
        <v>7.8103922788931149E-2</v>
      </c>
      <c r="S378" s="133"/>
      <c r="T378" s="147"/>
      <c r="U378" s="143">
        <f>U369/((N_6*U$27*0.667)*SQRT(U379*U371*U373))</f>
        <v>2.5063124803733894</v>
      </c>
      <c r="V378" s="133"/>
      <c r="W378" s="155"/>
      <c r="X378" s="143">
        <f>X369/((N_6*X$27*0.667)*SQRT(X379*X371*X373))</f>
        <v>6.3031408393839694</v>
      </c>
      <c r="Y378" s="133"/>
      <c r="Z378" s="155"/>
      <c r="AA378" s="143">
        <f>AA369/((N_6*AA$27*0.667)*SQRT(AA379*AA371*AA373))</f>
        <v>12.734776531309127</v>
      </c>
      <c r="AB378" s="133"/>
      <c r="AC378" s="155"/>
      <c r="AD378" s="143">
        <f>AD369/((N_6*AD$27*0.667)*SQRT(AD379*AD371*AD373))</f>
        <v>22.766309122044291</v>
      </c>
      <c r="AE378" s="133"/>
      <c r="AF378" s="155"/>
      <c r="AG378" s="143">
        <f>AG369/((N_6*AG$27*0.667)*SQRT(AG379*AG371*AG373))</f>
        <v>36.925115560258668</v>
      </c>
      <c r="AH378" s="133"/>
      <c r="AI378" s="155"/>
      <c r="AJ378" s="143">
        <f>AJ369/((N_6*AJ$27*0.667)*SQRT(AJ379*AJ371*AJ373))</f>
        <v>57.352912432698204</v>
      </c>
      <c r="AK378" s="133"/>
      <c r="AL378" s="155"/>
      <c r="AM378" s="143">
        <f>AM369/((N_6*AM$27*0.667)*SQRT(AM379*AM371*AM373))</f>
        <v>86.964520523519298</v>
      </c>
      <c r="AN378" s="133"/>
      <c r="AO378" s="155"/>
      <c r="AP378" s="143">
        <f>AP369/((N_6*AP$27*0.667)*SQRT(AP379*AP371*AP373))</f>
        <v>117.67126346112184</v>
      </c>
      <c r="AQ378" s="133"/>
      <c r="AR378" s="155"/>
      <c r="AS378" s="143">
        <f>AS369/((N_6*AS$27*0.667)*SQRT(AS379*AS371*AS373))</f>
        <v>271.50578464901008</v>
      </c>
      <c r="AT378" s="133"/>
      <c r="AU378" s="155"/>
    </row>
    <row r="379" spans="13:47" ht="15.5" x14ac:dyDescent="0.4">
      <c r="M379" s="27"/>
      <c r="N379" s="27"/>
      <c r="O379" s="2" t="s">
        <v>192</v>
      </c>
      <c r="P379" s="85">
        <v>10</v>
      </c>
      <c r="Q379" s="2"/>
      <c r="R379" s="181">
        <f>F_GAMMA*R$29</f>
        <v>0.64002688015162901</v>
      </c>
      <c r="S379" s="133"/>
      <c r="T379" s="147"/>
      <c r="U379" s="138">
        <f>F_GAMMA*U$29</f>
        <v>0.64016782916606918</v>
      </c>
      <c r="V379" s="133"/>
      <c r="W379" s="155"/>
      <c r="X379" s="138">
        <f>F_GAMMA*X$29</f>
        <v>0.6307062319203669</v>
      </c>
      <c r="Y379" s="133"/>
      <c r="Z379" s="155"/>
      <c r="AA379" s="138">
        <f>F_GAMMA*AA$29</f>
        <v>0.62217534213893466</v>
      </c>
      <c r="AB379" s="133"/>
      <c r="AC379" s="155"/>
      <c r="AD379" s="138">
        <f>F_GAMMA*AD$29</f>
        <v>0.60557184969146072</v>
      </c>
      <c r="AE379" s="133"/>
      <c r="AF379" s="155"/>
      <c r="AG379" s="138">
        <f>F_GAMMA*AG$29</f>
        <v>0.57289312142622573</v>
      </c>
      <c r="AH379" s="133"/>
      <c r="AI379" s="155"/>
      <c r="AJ379" s="138">
        <f>F_GAMMA*AJ$29</f>
        <v>0.53590819116049981</v>
      </c>
      <c r="AK379" s="133"/>
      <c r="AL379" s="155"/>
      <c r="AM379" s="138">
        <f>F_GAMMA*AM$29</f>
        <v>0.49048815926850342</v>
      </c>
      <c r="AN379" s="133"/>
      <c r="AO379" s="155"/>
      <c r="AP379" s="138">
        <f>F_GAMMA*AP$29</f>
        <v>0.59352979016280105</v>
      </c>
      <c r="AQ379" s="133"/>
      <c r="AR379" s="155"/>
      <c r="AS379" s="138">
        <f>F_GAMMA*AS$29</f>
        <v>0.39097221161068291</v>
      </c>
      <c r="AT379" s="133"/>
      <c r="AU379" s="155"/>
    </row>
    <row r="380" spans="13:47" x14ac:dyDescent="0.25">
      <c r="M380" s="27"/>
      <c r="N380" s="27"/>
      <c r="O380" s="2" t="s">
        <v>193</v>
      </c>
      <c r="P380" s="134"/>
      <c r="Q380" s="2"/>
      <c r="R380" s="181">
        <f>IF(R375&lt;R379,R377,R378)</f>
        <v>7.9632237724827803E-2</v>
      </c>
      <c r="S380" s="133"/>
      <c r="T380" s="147"/>
      <c r="U380" s="138">
        <f>IF(U375&lt;U379,U377,U378)</f>
        <v>2.5559468867623836</v>
      </c>
      <c r="V380" s="133"/>
      <c r="W380" s="155"/>
      <c r="X380" s="138">
        <f>IF(X375&lt;X379,X377,X378)</f>
        <v>6.4207374358993974</v>
      </c>
      <c r="Y380" s="133"/>
      <c r="Z380" s="155"/>
      <c r="AA380" s="138">
        <f>IF(AA375&lt;AA379,AA377,AA378)</f>
        <v>12.993492913699578</v>
      </c>
      <c r="AB380" s="133"/>
      <c r="AC380" s="155"/>
      <c r="AD380" s="138">
        <f>IF(AD375&lt;AD379,AD377,AD378)</f>
        <v>23.368383915525666</v>
      </c>
      <c r="AE380" s="133"/>
      <c r="AF380" s="155"/>
      <c r="AG380" s="138">
        <f>IF(AG375&lt;AG379,AG377,AG378)</f>
        <v>38.407771079947622</v>
      </c>
      <c r="AH380" s="133"/>
      <c r="AI380" s="155"/>
      <c r="AJ380" s="138">
        <f>IF(AJ375&lt;AJ379,AJ377,AJ378)</f>
        <v>62.096657356481799</v>
      </c>
      <c r="AK380" s="133"/>
      <c r="AL380" s="155"/>
      <c r="AM380" s="138">
        <f>IF(AM375&lt;AM379,AM377,AM378)</f>
        <v>105.01120029369652</v>
      </c>
      <c r="AN380" s="133"/>
      <c r="AO380" s="155"/>
      <c r="AP380" s="138">
        <f>IF(AP375&lt;AP379,AP377,AP378)</f>
        <v>253.1806289641963</v>
      </c>
      <c r="AQ380" s="133"/>
      <c r="AR380" s="155"/>
      <c r="AS380" s="138" t="e">
        <f>IF(AS375&lt;AS379,AS377,AS378)</f>
        <v>#NUM!</v>
      </c>
      <c r="AT380" s="133"/>
      <c r="AU380" s="155"/>
    </row>
    <row r="381" spans="13:47" ht="13" x14ac:dyDescent="0.3">
      <c r="M381" s="28"/>
      <c r="N381" s="28"/>
      <c r="O381" s="9" t="s">
        <v>194</v>
      </c>
      <c r="P381" s="1"/>
      <c r="Q381" s="1"/>
      <c r="R381" s="135"/>
      <c r="S381" s="132">
        <f>IF(R374&lt;=0,W_max,ABS(R$23-R380))</f>
        <v>1.9203677622751723</v>
      </c>
      <c r="T381" s="151">
        <f>R369</f>
        <v>18.416606506491338</v>
      </c>
      <c r="U381" s="135"/>
      <c r="V381" s="132">
        <f>IF(U374&lt;=0,W_max,ABS(U$23-U380))</f>
        <v>2.4440531132376164</v>
      </c>
      <c r="W381" s="151">
        <f>U369</f>
        <v>589.86221448901438</v>
      </c>
      <c r="X381" s="135"/>
      <c r="Y381" s="132">
        <f>IF(X374&lt;=0,W_max,ABS(X$23-X380))</f>
        <v>3.5792625641006026</v>
      </c>
      <c r="Z381" s="151">
        <f>X369</f>
        <v>1458.7994508576951</v>
      </c>
      <c r="AA381" s="135"/>
      <c r="AB381" s="132">
        <f>IF(AA374&lt;=0,W_max,ABS(AA$23-AA380))</f>
        <v>4.2065070863004212</v>
      </c>
      <c r="AC381" s="151">
        <f>AA369</f>
        <v>2841.3689784019675</v>
      </c>
      <c r="AD381" s="135"/>
      <c r="AE381" s="132">
        <f>IF(AD374&lt;=0,W_max,ABS(AD$23-AD380))</f>
        <v>3.2316160844743358</v>
      </c>
      <c r="AF381" s="151">
        <f>AD369</f>
        <v>4673.0058394799225</v>
      </c>
      <c r="AG381" s="135"/>
      <c r="AH381" s="132">
        <f>IF(AG374&lt;=0,W_max,ABS(AG$23-AG380))</f>
        <v>7.7710799476236048E-3</v>
      </c>
      <c r="AI381" s="151">
        <f>AG369</f>
        <v>6554.2504466905621</v>
      </c>
      <c r="AJ381" s="135"/>
      <c r="AK381" s="132">
        <f>IF(AJ374&lt;=0,W_max,ABS(AJ$23-AJ380))</f>
        <v>9.5966573564817992</v>
      </c>
      <c r="AL381" s="151">
        <f>AJ369</f>
        <v>8322.1588873187848</v>
      </c>
      <c r="AM381" s="135"/>
      <c r="AN381" s="132">
        <f>IF(AM374&lt;=0,W_max,ABS(AM$23-AM380))</f>
        <v>32.611200293696513</v>
      </c>
      <c r="AO381" s="151">
        <f>AM369</f>
        <v>9758.3857909319759</v>
      </c>
      <c r="AP381" s="135"/>
      <c r="AQ381" s="132">
        <f>IF(AP374&lt;=0,W_max,ABS(AP$23-AP380))</f>
        <v>145.1806289641963</v>
      </c>
      <c r="AR381" s="151">
        <f>AP369</f>
        <v>10887.122141491396</v>
      </c>
      <c r="AS381" s="135"/>
      <c r="AT381" s="132">
        <f>IF(AS374&lt;=0,W_max,ABS(AS$23-AS380))</f>
        <v>7174</v>
      </c>
      <c r="AU381" s="151">
        <f>AS369</f>
        <v>12146.417559541067</v>
      </c>
    </row>
    <row r="382" spans="13:47" ht="13" x14ac:dyDescent="0.25">
      <c r="M382" s="12"/>
      <c r="N382" s="12"/>
      <c r="O382" s="12"/>
      <c r="P382" s="12"/>
      <c r="Q382" s="12"/>
      <c r="R382" s="182"/>
      <c r="S382" s="22"/>
      <c r="T382" s="152"/>
      <c r="U382" s="157"/>
      <c r="V382" s="1"/>
      <c r="W382" s="147"/>
      <c r="X382" s="157"/>
      <c r="Y382" s="1"/>
      <c r="Z382" s="147"/>
      <c r="AA382" s="157"/>
      <c r="AB382" s="1"/>
      <c r="AC382" s="147"/>
      <c r="AD382" s="157"/>
      <c r="AE382" s="1"/>
      <c r="AF382" s="147"/>
      <c r="AG382" s="157"/>
      <c r="AH382" s="1"/>
      <c r="AI382" s="147"/>
      <c r="AJ382" s="157"/>
      <c r="AK382" s="1"/>
      <c r="AL382" s="147"/>
      <c r="AM382" s="157"/>
      <c r="AN382" s="1"/>
      <c r="AO382" s="147"/>
      <c r="AP382" s="157"/>
      <c r="AQ382" s="1"/>
      <c r="AR382" s="147"/>
      <c r="AS382" s="157"/>
      <c r="AT382" s="1"/>
      <c r="AU382" s="147"/>
    </row>
    <row r="383" spans="13:47" ht="14" x14ac:dyDescent="0.3">
      <c r="M383" s="23"/>
      <c r="N383" s="23"/>
      <c r="O383" s="23" t="s">
        <v>238</v>
      </c>
      <c r="P383" s="20"/>
      <c r="Q383" s="20"/>
      <c r="R383" s="18">
        <f>R369*1.02</f>
        <v>18.784938636621163</v>
      </c>
      <c r="S383" s="128" t="s">
        <v>185</v>
      </c>
      <c r="T383" s="153" t="s">
        <v>186</v>
      </c>
      <c r="U383" s="143">
        <f>U369*1.01</f>
        <v>595.76083663390455</v>
      </c>
      <c r="V383" s="128" t="s">
        <v>185</v>
      </c>
      <c r="W383" s="153" t="s">
        <v>186</v>
      </c>
      <c r="X383" s="143">
        <f>X369*1.01</f>
        <v>1473.387445366272</v>
      </c>
      <c r="Y383" s="128" t="s">
        <v>185</v>
      </c>
      <c r="Z383" s="153" t="s">
        <v>186</v>
      </c>
      <c r="AA383" s="143">
        <f>AA369*1.01</f>
        <v>2869.7826681859874</v>
      </c>
      <c r="AB383" s="128" t="s">
        <v>185</v>
      </c>
      <c r="AC383" s="153" t="s">
        <v>186</v>
      </c>
      <c r="AD383" s="143">
        <f>AD369*1.01</f>
        <v>4719.7358978747216</v>
      </c>
      <c r="AE383" s="128" t="s">
        <v>185</v>
      </c>
      <c r="AF383" s="153" t="s">
        <v>186</v>
      </c>
      <c r="AG383" s="143">
        <f>AG369*1.01</f>
        <v>6619.7929511574675</v>
      </c>
      <c r="AH383" s="128" t="s">
        <v>185</v>
      </c>
      <c r="AI383" s="153" t="s">
        <v>186</v>
      </c>
      <c r="AJ383" s="143">
        <f>AJ369*1.01</f>
        <v>8405.3804761919728</v>
      </c>
      <c r="AK383" s="128" t="s">
        <v>185</v>
      </c>
      <c r="AL383" s="153" t="s">
        <v>186</v>
      </c>
      <c r="AM383" s="143">
        <f>AM369*1.01</f>
        <v>9855.9696488412956</v>
      </c>
      <c r="AN383" s="128" t="s">
        <v>185</v>
      </c>
      <c r="AO383" s="153" t="s">
        <v>186</v>
      </c>
      <c r="AP383" s="143">
        <f>AP369*1.01</f>
        <v>10995.993362906311</v>
      </c>
      <c r="AQ383" s="128" t="s">
        <v>185</v>
      </c>
      <c r="AR383" s="153" t="s">
        <v>186</v>
      </c>
      <c r="AS383" s="143">
        <f>AS369*1.01</f>
        <v>12267.881735136478</v>
      </c>
      <c r="AT383" s="128" t="s">
        <v>185</v>
      </c>
      <c r="AU383" s="153" t="s">
        <v>186</v>
      </c>
    </row>
    <row r="384" spans="13:47" ht="14" x14ac:dyDescent="0.3">
      <c r="M384" s="12"/>
      <c r="N384" s="12"/>
      <c r="O384" s="20"/>
      <c r="P384" s="20"/>
      <c r="Q384" s="23"/>
      <c r="R384" s="139"/>
      <c r="S384" s="130" t="s">
        <v>228</v>
      </c>
      <c r="T384" s="154" t="s">
        <v>187</v>
      </c>
      <c r="U384" s="144"/>
      <c r="V384" s="130" t="s">
        <v>228</v>
      </c>
      <c r="W384" s="154" t="s">
        <v>187</v>
      </c>
      <c r="X384" s="144"/>
      <c r="Y384" s="130" t="s">
        <v>228</v>
      </c>
      <c r="Z384" s="154" t="s">
        <v>187</v>
      </c>
      <c r="AA384" s="144"/>
      <c r="AB384" s="130" t="s">
        <v>228</v>
      </c>
      <c r="AC384" s="154" t="s">
        <v>187</v>
      </c>
      <c r="AD384" s="144"/>
      <c r="AE384" s="130" t="s">
        <v>228</v>
      </c>
      <c r="AF384" s="154" t="s">
        <v>187</v>
      </c>
      <c r="AG384" s="144"/>
      <c r="AH384" s="130" t="s">
        <v>228</v>
      </c>
      <c r="AI384" s="154" t="s">
        <v>187</v>
      </c>
      <c r="AJ384" s="144"/>
      <c r="AK384" s="130" t="s">
        <v>228</v>
      </c>
      <c r="AL384" s="154" t="s">
        <v>187</v>
      </c>
      <c r="AM384" s="144"/>
      <c r="AN384" s="130" t="s">
        <v>228</v>
      </c>
      <c r="AO384" s="154" t="s">
        <v>187</v>
      </c>
      <c r="AP384" s="144"/>
      <c r="AQ384" s="130" t="s">
        <v>228</v>
      </c>
      <c r="AR384" s="154" t="s">
        <v>187</v>
      </c>
      <c r="AS384" s="144"/>
      <c r="AT384" s="130" t="s">
        <v>228</v>
      </c>
      <c r="AU384" s="154" t="s">
        <v>187</v>
      </c>
    </row>
    <row r="385" spans="13:47" x14ac:dyDescent="0.25">
      <c r="M385" s="20"/>
      <c r="N385" s="20"/>
      <c r="O385" s="7" t="s">
        <v>188</v>
      </c>
      <c r="P385" s="7"/>
      <c r="Q385" s="7"/>
      <c r="R385" s="181">
        <f>P_1_minW-(R383^2*R_up)+dpup_minQ</f>
        <v>100.52264602407449</v>
      </c>
      <c r="S385" s="132"/>
      <c r="T385" s="145"/>
      <c r="U385" s="138">
        <f>P_1_minW-(U383^2*R_up)+dpup_minQ</f>
        <v>100.3812538095097</v>
      </c>
      <c r="V385" s="132"/>
      <c r="W385" s="145"/>
      <c r="X385" s="138">
        <f>P_1_minW-(X383^2*R_up)+dpup_minQ</f>
        <v>99.657126403708773</v>
      </c>
      <c r="Y385" s="132"/>
      <c r="Z385" s="145"/>
      <c r="AA385" s="138">
        <f>P_1_minW-(AA383^2*R_up)+dpup_minQ</f>
        <v>97.23872279589601</v>
      </c>
      <c r="AB385" s="132"/>
      <c r="AC385" s="145"/>
      <c r="AD385" s="138">
        <f>P_1_minW-(AD383^2*R_up)+dpup_minQ</f>
        <v>91.640005172863241</v>
      </c>
      <c r="AE385" s="132"/>
      <c r="AF385" s="145"/>
      <c r="AG385" s="138">
        <f>P_1_minW-(AG383^2*R_up)+dpup_minQ</f>
        <v>83.048381627601032</v>
      </c>
      <c r="AH385" s="132"/>
      <c r="AI385" s="145"/>
      <c r="AJ385" s="138">
        <f>P_1_minW-(AJ383^2*R_up)+dpup_minQ</f>
        <v>72.350095127806583</v>
      </c>
      <c r="AK385" s="132"/>
      <c r="AL385" s="145"/>
      <c r="AM385" s="138">
        <f>P_1_minW-(AM383^2*R_up)+dpup_minQ</f>
        <v>61.78700701991071</v>
      </c>
      <c r="AN385" s="132"/>
      <c r="AO385" s="145"/>
      <c r="AP385" s="138">
        <f>P_1_minW-(AP383^2*R_up)+dpup_minQ</f>
        <v>52.307747383387778</v>
      </c>
      <c r="AQ385" s="132"/>
      <c r="AR385" s="145"/>
      <c r="AS385" s="138">
        <f>P_1_minW-(AS383^2*R_up)+dpup_minQ</f>
        <v>40.508762575110943</v>
      </c>
      <c r="AT385" s="132"/>
      <c r="AU385" s="145"/>
    </row>
    <row r="386" spans="13:47" x14ac:dyDescent="0.25">
      <c r="M386" s="20"/>
      <c r="N386" s="20"/>
      <c r="O386" s="7" t="s">
        <v>189</v>
      </c>
      <c r="P386" s="1"/>
      <c r="Q386" s="7"/>
      <c r="R386" s="181">
        <f>P_2_minW+(R383^2*R_dn)-dpdn_minQ</f>
        <v>50</v>
      </c>
      <c r="S386" s="132"/>
      <c r="T386" s="146"/>
      <c r="U386" s="138">
        <f>P_2_minW+(U383^2*R_dn)-dpdn_minQ</f>
        <v>50</v>
      </c>
      <c r="V386" s="132"/>
      <c r="W386" s="146"/>
      <c r="X386" s="138">
        <f>P_2_minW+(X383^2*R_dn)-dpdn_minQ</f>
        <v>50</v>
      </c>
      <c r="Y386" s="132"/>
      <c r="Z386" s="146"/>
      <c r="AA386" s="138">
        <f>P_2_minW+(AA383^2*R_dn)-dpdn_minQ</f>
        <v>50</v>
      </c>
      <c r="AB386" s="132"/>
      <c r="AC386" s="146"/>
      <c r="AD386" s="138">
        <f>P_2_minW+(AD383^2*R_dn)-dpdn_minQ</f>
        <v>50</v>
      </c>
      <c r="AE386" s="132"/>
      <c r="AF386" s="146"/>
      <c r="AG386" s="138">
        <f>P_2_minW+(AG383^2*R_dn)-dpdn_minQ</f>
        <v>50</v>
      </c>
      <c r="AH386" s="132"/>
      <c r="AI386" s="146"/>
      <c r="AJ386" s="138">
        <f>P_2_minW+(AJ383^2*R_dn)-dpdn_minQ</f>
        <v>50</v>
      </c>
      <c r="AK386" s="132"/>
      <c r="AL386" s="146"/>
      <c r="AM386" s="138">
        <f>P_2_minW+(AM383^2*R_dn)-dpdn_minQ</f>
        <v>50</v>
      </c>
      <c r="AN386" s="132"/>
      <c r="AO386" s="146"/>
      <c r="AP386" s="138">
        <f>P_2_minW+(AP383^2*R_dn)-dpdn_minQ</f>
        <v>50</v>
      </c>
      <c r="AQ386" s="132"/>
      <c r="AR386" s="146"/>
      <c r="AS386" s="138">
        <f>P_2_minW+(AS383^2*R_dn)-dpdn_minQ</f>
        <v>50</v>
      </c>
      <c r="AT386" s="132"/>
      <c r="AU386" s="146"/>
    </row>
    <row r="387" spans="13:47" x14ac:dyDescent="0.25">
      <c r="M387" s="20"/>
      <c r="N387" s="20"/>
      <c r="O387" s="7" t="s">
        <v>234</v>
      </c>
      <c r="P387" s="1"/>
      <c r="Q387" s="7"/>
      <c r="R387" s="179">
        <f>'Valve Sizing'!G$8*R385/P_1_maxW</f>
        <v>0.48490334746610897</v>
      </c>
      <c r="S387" s="132"/>
      <c r="T387" s="146"/>
      <c r="U387" s="143">
        <f>'Valve Sizing'!$G$8*U385/P_1_maxW</f>
        <v>0.48422129659638069</v>
      </c>
      <c r="V387" s="132"/>
      <c r="W387" s="146"/>
      <c r="X387" s="143">
        <f>'Valve Sizing'!$G$8*X385/P_1_maxW</f>
        <v>0.48072823491373529</v>
      </c>
      <c r="Y387" s="132"/>
      <c r="Z387" s="146"/>
      <c r="AA387" s="143">
        <f>'Valve Sizing'!$G$8*AA385/P_1_maxW</f>
        <v>0.46906228647987025</v>
      </c>
      <c r="AB387" s="132"/>
      <c r="AC387" s="146"/>
      <c r="AD387" s="143">
        <f>'Valve Sizing'!$G$8*AD385/P_1_maxW</f>
        <v>0.44205506945659467</v>
      </c>
      <c r="AE387" s="132"/>
      <c r="AF387" s="146"/>
      <c r="AG387" s="143">
        <f>'Valve Sizing'!$G$8*AG385/P_1_maxW</f>
        <v>0.40061060711854068</v>
      </c>
      <c r="AH387" s="132"/>
      <c r="AI387" s="146"/>
      <c r="AJ387" s="143">
        <f>'Valve Sizing'!$G$8*AJ385/P_1_maxW</f>
        <v>0.34900397775604453</v>
      </c>
      <c r="AK387" s="132"/>
      <c r="AL387" s="146"/>
      <c r="AM387" s="143">
        <f>'Valve Sizing'!$G$8*AM385/P_1_maxW</f>
        <v>0.29804952136547708</v>
      </c>
      <c r="AN387" s="132"/>
      <c r="AO387" s="146"/>
      <c r="AP387" s="143">
        <f>'Valve Sizing'!$G$8*AP385/P_1_maxW</f>
        <v>0.25232326055704679</v>
      </c>
      <c r="AQ387" s="132"/>
      <c r="AR387" s="146"/>
      <c r="AS387" s="143">
        <f>'Valve Sizing'!$G$8*AS385/P_1_maxW</f>
        <v>0.1954070585216868</v>
      </c>
      <c r="AT387" s="132"/>
      <c r="AU387" s="146"/>
    </row>
    <row r="388" spans="13:47" x14ac:dyDescent="0.25">
      <c r="M388" s="20"/>
      <c r="N388" s="20"/>
      <c r="O388" s="7" t="s">
        <v>190</v>
      </c>
      <c r="P388" s="1"/>
      <c r="Q388" s="7"/>
      <c r="R388" s="181">
        <f>R385-R386</f>
        <v>50.52264602407449</v>
      </c>
      <c r="S388" s="132"/>
      <c r="T388" s="146"/>
      <c r="U388" s="138">
        <f>U385-U386</f>
        <v>50.381253809509701</v>
      </c>
      <c r="V388" s="132"/>
      <c r="W388" s="146"/>
      <c r="X388" s="138">
        <f>X385-X386</f>
        <v>49.657126403708773</v>
      </c>
      <c r="Y388" s="132"/>
      <c r="Z388" s="146"/>
      <c r="AA388" s="138">
        <f>AA385-AA386</f>
        <v>47.23872279589601</v>
      </c>
      <c r="AB388" s="132"/>
      <c r="AC388" s="146"/>
      <c r="AD388" s="138">
        <f>AD385-AD386</f>
        <v>41.640005172863241</v>
      </c>
      <c r="AE388" s="132"/>
      <c r="AF388" s="146"/>
      <c r="AG388" s="138">
        <f>AG385-AG386</f>
        <v>33.048381627601032</v>
      </c>
      <c r="AH388" s="132"/>
      <c r="AI388" s="146"/>
      <c r="AJ388" s="138">
        <f>AJ385-AJ386</f>
        <v>22.350095127806583</v>
      </c>
      <c r="AK388" s="132"/>
      <c r="AL388" s="146"/>
      <c r="AM388" s="138">
        <f>AM385-AM386</f>
        <v>11.78700701991071</v>
      </c>
      <c r="AN388" s="132"/>
      <c r="AO388" s="146"/>
      <c r="AP388" s="138">
        <f>AP385-AP386</f>
        <v>2.3077473833877775</v>
      </c>
      <c r="AQ388" s="132"/>
      <c r="AR388" s="146"/>
      <c r="AS388" s="138">
        <f>AS385-AS386</f>
        <v>-9.4912374248890572</v>
      </c>
      <c r="AT388" s="132"/>
      <c r="AU388" s="146"/>
    </row>
    <row r="389" spans="13:47" ht="14.5" x14ac:dyDescent="0.35">
      <c r="M389" s="27"/>
      <c r="N389" s="27"/>
      <c r="O389" s="2" t="s">
        <v>191</v>
      </c>
      <c r="P389" s="10"/>
      <c r="Q389" s="2"/>
      <c r="R389" s="181">
        <f>R388/R385</f>
        <v>0.50259964318860706</v>
      </c>
      <c r="S389" s="132"/>
      <c r="T389" s="146"/>
      <c r="U389" s="138">
        <f>U388/U385</f>
        <v>0.501899028927419</v>
      </c>
      <c r="V389" s="132"/>
      <c r="W389" s="146"/>
      <c r="X389" s="138">
        <f>X388/X385</f>
        <v>0.49827973367954514</v>
      </c>
      <c r="Y389" s="132"/>
      <c r="Z389" s="146"/>
      <c r="AA389" s="138">
        <f>AA388/AA385</f>
        <v>0.48580155557009985</v>
      </c>
      <c r="AB389" s="132"/>
      <c r="AC389" s="146"/>
      <c r="AD389" s="138">
        <f>AD388/AD385</f>
        <v>0.45438676148387891</v>
      </c>
      <c r="AE389" s="132"/>
      <c r="AF389" s="146"/>
      <c r="AG389" s="138">
        <f>AG388/AG385</f>
        <v>0.39794130818579904</v>
      </c>
      <c r="AH389" s="132"/>
      <c r="AI389" s="146"/>
      <c r="AJ389" s="138">
        <f>AJ388/AJ385</f>
        <v>0.30891590520130063</v>
      </c>
      <c r="AK389" s="132"/>
      <c r="AL389" s="146"/>
      <c r="AM389" s="138">
        <f>AM388/AM385</f>
        <v>0.19076837653120787</v>
      </c>
      <c r="AN389" s="132"/>
      <c r="AO389" s="146"/>
      <c r="AP389" s="138">
        <f>AP388/AP385</f>
        <v>4.4118653523219517E-2</v>
      </c>
      <c r="AQ389" s="132"/>
      <c r="AR389" s="146"/>
      <c r="AS389" s="138">
        <f>AS388/AS385</f>
        <v>-0.23430084805208501</v>
      </c>
      <c r="AT389" s="132"/>
      <c r="AU389" s="146"/>
    </row>
    <row r="390" spans="13:47" x14ac:dyDescent="0.25">
      <c r="M390" s="27"/>
      <c r="N390" s="27"/>
      <c r="O390" s="2" t="s">
        <v>26</v>
      </c>
      <c r="P390" s="7">
        <v>12</v>
      </c>
      <c r="Q390" s="2"/>
      <c r="R390" s="181">
        <f>1-R389/(3*F_GAMMA*R$29)</f>
        <v>0.73824034647339809</v>
      </c>
      <c r="S390" s="133"/>
      <c r="T390" s="146"/>
      <c r="U390" s="138">
        <f>1-U389/(3*F_GAMMA*U$29)</f>
        <v>0.73866278702715071</v>
      </c>
      <c r="V390" s="133"/>
      <c r="W390" s="146"/>
      <c r="X390" s="138">
        <f>1-X389/(3*F_GAMMA*X$29)</f>
        <v>0.73665513966124985</v>
      </c>
      <c r="Y390" s="133"/>
      <c r="Z390" s="146"/>
      <c r="AA390" s="138">
        <f>1-AA389/(3*F_GAMMA*AA$29)</f>
        <v>0.73972955710523902</v>
      </c>
      <c r="AB390" s="133"/>
      <c r="AC390" s="146"/>
      <c r="AD390" s="138">
        <f>1-AD389/(3*F_GAMMA*AD$29)</f>
        <v>0.74988557690531721</v>
      </c>
      <c r="AE390" s="133"/>
      <c r="AF390" s="146"/>
      <c r="AG390" s="138">
        <f>1-AG389/(3*F_GAMMA*AG$29)</f>
        <v>0.76846099600851758</v>
      </c>
      <c r="AH390" s="133"/>
      <c r="AI390" s="146"/>
      <c r="AJ390" s="138">
        <f>1-AJ389/(3*F_GAMMA*AJ$29)</f>
        <v>0.80785520710655767</v>
      </c>
      <c r="AK390" s="133"/>
      <c r="AL390" s="146"/>
      <c r="AM390" s="138">
        <f>1-AM389/(3*F_GAMMA*AM$29)</f>
        <v>0.87035475241936311</v>
      </c>
      <c r="AN390" s="133"/>
      <c r="AO390" s="146"/>
      <c r="AP390" s="138">
        <f>1-AP389/(3*F_GAMMA*AP$29)</f>
        <v>0.97522244361645372</v>
      </c>
      <c r="AQ390" s="133"/>
      <c r="AR390" s="146"/>
      <c r="AS390" s="138">
        <f>1-AS389/(3*F_GAMMA*AS$29)</f>
        <v>1.1997591653951047</v>
      </c>
      <c r="AT390" s="133"/>
      <c r="AU390" s="146"/>
    </row>
    <row r="391" spans="13:47" x14ac:dyDescent="0.25">
      <c r="M391" s="27"/>
      <c r="N391" s="27"/>
      <c r="O391" s="2" t="s">
        <v>71</v>
      </c>
      <c r="P391" s="85">
        <v>5</v>
      </c>
      <c r="Q391" s="2"/>
      <c r="R391" s="179">
        <f>R383/((N_6*R$27*R390)*SQRT(R389*R385*R387))</f>
        <v>8.1224887529845635E-2</v>
      </c>
      <c r="S391" s="133"/>
      <c r="T391" s="146"/>
      <c r="U391" s="143">
        <f>U383/((N_6*U$27*U390)*SQRT(U389*U385*U387))</f>
        <v>2.5815884796332491</v>
      </c>
      <c r="V391" s="133"/>
      <c r="W391" s="146"/>
      <c r="X391" s="143">
        <f>X383/((N_6*X$27*X390)*SQRT(X389*X385*X387))</f>
        <v>6.4862139623230375</v>
      </c>
      <c r="Y391" s="133"/>
      <c r="Z391" s="146"/>
      <c r="AA391" s="143">
        <f>AA383/((N_6*AA$27*AA390)*SQRT(AA389*AA385*AA387))</f>
        <v>13.133528569710311</v>
      </c>
      <c r="AB391" s="133"/>
      <c r="AC391" s="146"/>
      <c r="AD391" s="143">
        <f>AD383/((N_6*AD$27*AD390)*SQRT(AD389*AD385*AD387))</f>
        <v>23.656120317945714</v>
      </c>
      <c r="AE391" s="133"/>
      <c r="AF391" s="146"/>
      <c r="AG391" s="143">
        <f>AG383/((N_6*AG$27*AG390)*SQRT(AG389*AG385*AG387))</f>
        <v>39.00060792580679</v>
      </c>
      <c r="AH391" s="133"/>
      <c r="AI391" s="146"/>
      <c r="AJ391" s="143">
        <f>AJ383/((N_6*AJ$27*AJ390)*SQRT(AJ389*AJ385*AJ387))</f>
        <v>63.47660169185135</v>
      </c>
      <c r="AK391" s="133"/>
      <c r="AL391" s="146"/>
      <c r="AM391" s="143">
        <f>AM383/((N_6*AM$27*AM390)*SQRT(AM389*AM385*AM387))</f>
        <v>109.26624207996475</v>
      </c>
      <c r="AN391" s="133"/>
      <c r="AO391" s="146"/>
      <c r="AP391" s="143">
        <f>AP383/((N_6*AP$27*AP390)*SQRT(AP389*AP385*AP387))</f>
        <v>303.55756937379635</v>
      </c>
      <c r="AQ391" s="133"/>
      <c r="AR391" s="146"/>
      <c r="AS391" s="143" t="e">
        <f>AS383/((N_6*AS$27*AS390)*SQRT(AS389*AS385*AS387))</f>
        <v>#NUM!</v>
      </c>
      <c r="AT391" s="133"/>
      <c r="AU391" s="146"/>
    </row>
    <row r="392" spans="13:47" x14ac:dyDescent="0.25">
      <c r="M392" s="27"/>
      <c r="N392" s="27"/>
      <c r="O392" s="2" t="s">
        <v>73</v>
      </c>
      <c r="P392" s="85">
        <v>5</v>
      </c>
      <c r="Q392" s="2"/>
      <c r="R392" s="179">
        <f>R383/((N_6*R$27*0.667)*SQRT(R393*R385*R387))</f>
        <v>7.9666005575062537E-2</v>
      </c>
      <c r="S392" s="133"/>
      <c r="T392" s="155"/>
      <c r="U392" s="143">
        <f>U383/((N_6*U$27*0.667)*SQRT(U393*U385*U387))</f>
        <v>2.5314459309920427</v>
      </c>
      <c r="V392" s="133"/>
      <c r="W392" s="155"/>
      <c r="X392" s="143">
        <f>X383/((N_6*X$27*0.667)*SQRT(X393*X385*X387))</f>
        <v>6.367261857205011</v>
      </c>
      <c r="Y392" s="133"/>
      <c r="Z392" s="155"/>
      <c r="AA392" s="143">
        <f>AA383/((N_6*AA$27*0.667)*SQRT(AA393*AA385*AA387))</f>
        <v>12.87068359902554</v>
      </c>
      <c r="AB392" s="133"/>
      <c r="AC392" s="155"/>
      <c r="AD392" s="143">
        <f>AD383/((N_6*AD$27*0.667)*SQRT(AD393*AD385*AD387))</f>
        <v>23.037889064012788</v>
      </c>
      <c r="AE392" s="133"/>
      <c r="AF392" s="155"/>
      <c r="AG392" s="143">
        <f>AG383/((N_6*AG$27*0.667)*SQRT(AG393*AG385*AG387))</f>
        <v>37.448987464892518</v>
      </c>
      <c r="AH392" s="133"/>
      <c r="AI392" s="155"/>
      <c r="AJ392" s="143">
        <f>AJ383/((N_6*AJ$27*0.667)*SQRT(AJ393*AJ385*AJ387))</f>
        <v>58.370887959432032</v>
      </c>
      <c r="AK392" s="133"/>
      <c r="AL392" s="155"/>
      <c r="AM392" s="143">
        <f>AM383/((N_6*AM$27*0.667)*SQRT(AM393*AM385*AM387))</f>
        <v>88.91917121569422</v>
      </c>
      <c r="AN392" s="133"/>
      <c r="AO392" s="155"/>
      <c r="AP392" s="143">
        <f>AP383/((N_6*AP$27*0.667)*SQRT(AP393*AP385*AP387))</f>
        <v>121.00652358649724</v>
      </c>
      <c r="AQ392" s="133"/>
      <c r="AR392" s="155"/>
      <c r="AS392" s="143">
        <f>AS383/((N_6*AS$27*0.667)*SQRT(AS393*AS385*AS387))</f>
        <v>282.22577256839719</v>
      </c>
      <c r="AT392" s="133"/>
      <c r="AU392" s="155"/>
    </row>
    <row r="393" spans="13:47" ht="15.5" x14ac:dyDescent="0.4">
      <c r="M393" s="27"/>
      <c r="N393" s="27"/>
      <c r="O393" s="2" t="s">
        <v>192</v>
      </c>
      <c r="P393" s="85">
        <v>10</v>
      </c>
      <c r="Q393" s="2"/>
      <c r="R393" s="181">
        <f>F_GAMMA*R$29</f>
        <v>0.64002688015162901</v>
      </c>
      <c r="S393" s="133"/>
      <c r="T393" s="155"/>
      <c r="U393" s="138">
        <f>F_GAMMA*U$29</f>
        <v>0.64016782916606918</v>
      </c>
      <c r="V393" s="133"/>
      <c r="W393" s="155"/>
      <c r="X393" s="138">
        <f>F_GAMMA*X$29</f>
        <v>0.6307062319203669</v>
      </c>
      <c r="Y393" s="133"/>
      <c r="Z393" s="155"/>
      <c r="AA393" s="138">
        <f>F_GAMMA*AA$29</f>
        <v>0.62217534213893466</v>
      </c>
      <c r="AB393" s="133"/>
      <c r="AC393" s="155"/>
      <c r="AD393" s="138">
        <f>F_GAMMA*AD$29</f>
        <v>0.60557184969146072</v>
      </c>
      <c r="AE393" s="133"/>
      <c r="AF393" s="155"/>
      <c r="AG393" s="138">
        <f>F_GAMMA*AG$29</f>
        <v>0.57289312142622573</v>
      </c>
      <c r="AH393" s="133"/>
      <c r="AI393" s="155"/>
      <c r="AJ393" s="138">
        <f>F_GAMMA*AJ$29</f>
        <v>0.53590819116049981</v>
      </c>
      <c r="AK393" s="133"/>
      <c r="AL393" s="155"/>
      <c r="AM393" s="138">
        <f>F_GAMMA*AM$29</f>
        <v>0.49048815926850342</v>
      </c>
      <c r="AN393" s="133"/>
      <c r="AO393" s="155"/>
      <c r="AP393" s="138">
        <f>F_GAMMA*AP$29</f>
        <v>0.59352979016280105</v>
      </c>
      <c r="AQ393" s="133"/>
      <c r="AR393" s="155"/>
      <c r="AS393" s="138">
        <f>F_GAMMA*AS$29</f>
        <v>0.39097221161068291</v>
      </c>
      <c r="AT393" s="133"/>
      <c r="AU393" s="155"/>
    </row>
    <row r="394" spans="13:47" x14ac:dyDescent="0.25">
      <c r="M394" s="27"/>
      <c r="N394" s="27"/>
      <c r="O394" s="2" t="s">
        <v>193</v>
      </c>
      <c r="P394" s="134"/>
      <c r="Q394" s="2"/>
      <c r="R394" s="181">
        <f>IF(R389&lt;R393,R391,R392)</f>
        <v>8.1224887529845635E-2</v>
      </c>
      <c r="S394" s="133"/>
      <c r="T394" s="155"/>
      <c r="U394" s="138">
        <f>IF(U389&lt;U393,U391,U392)</f>
        <v>2.5815884796332491</v>
      </c>
      <c r="V394" s="133"/>
      <c r="W394" s="155"/>
      <c r="X394" s="138">
        <f>IF(X389&lt;X393,X391,X392)</f>
        <v>6.4862139623230375</v>
      </c>
      <c r="Y394" s="133"/>
      <c r="Z394" s="155"/>
      <c r="AA394" s="138">
        <f>IF(AA389&lt;AA393,AA391,AA392)</f>
        <v>13.133528569710311</v>
      </c>
      <c r="AB394" s="133"/>
      <c r="AC394" s="155"/>
      <c r="AD394" s="138">
        <f>IF(AD389&lt;AD393,AD391,AD392)</f>
        <v>23.656120317945714</v>
      </c>
      <c r="AE394" s="133"/>
      <c r="AF394" s="155"/>
      <c r="AG394" s="138">
        <f>IF(AG389&lt;AG393,AG391,AG392)</f>
        <v>39.00060792580679</v>
      </c>
      <c r="AH394" s="133"/>
      <c r="AI394" s="155"/>
      <c r="AJ394" s="138">
        <f>IF(AJ389&lt;AJ393,AJ391,AJ392)</f>
        <v>63.47660169185135</v>
      </c>
      <c r="AK394" s="133"/>
      <c r="AL394" s="155"/>
      <c r="AM394" s="138">
        <f>IF(AM389&lt;AM393,AM391,AM392)</f>
        <v>109.26624207996475</v>
      </c>
      <c r="AN394" s="133"/>
      <c r="AO394" s="155"/>
      <c r="AP394" s="138">
        <f>IF(AP389&lt;AP393,AP391,AP392)</f>
        <v>303.55756937379635</v>
      </c>
      <c r="AQ394" s="133"/>
      <c r="AR394" s="155"/>
      <c r="AS394" s="138" t="e">
        <f>IF(AS389&lt;AS393,AS391,AS392)</f>
        <v>#NUM!</v>
      </c>
      <c r="AT394" s="133"/>
      <c r="AU394" s="155"/>
    </row>
    <row r="395" spans="13:47" ht="13" x14ac:dyDescent="0.3">
      <c r="M395" s="28"/>
      <c r="N395" s="28"/>
      <c r="O395" s="9" t="s">
        <v>194</v>
      </c>
      <c r="P395" s="1"/>
      <c r="Q395" s="1"/>
      <c r="R395" s="135"/>
      <c r="S395" s="132">
        <f>IF(R388&lt;=0,W_max,ABS(R$23-R394))</f>
        <v>1.9187751124701544</v>
      </c>
      <c r="T395" s="151">
        <f>R383</f>
        <v>18.784938636621163</v>
      </c>
      <c r="U395" s="135"/>
      <c r="V395" s="132">
        <f>IF(U388&lt;=0,W_max,ABS(U$23-U394))</f>
        <v>2.4184115203667509</v>
      </c>
      <c r="W395" s="151">
        <f>U383</f>
        <v>595.76083663390455</v>
      </c>
      <c r="X395" s="135"/>
      <c r="Y395" s="132">
        <f>IF(X388&lt;=0,W_max,ABS(X$23-X394))</f>
        <v>3.5137860376769625</v>
      </c>
      <c r="Z395" s="151">
        <f>X383</f>
        <v>1473.387445366272</v>
      </c>
      <c r="AA395" s="135"/>
      <c r="AB395" s="132">
        <f>IF(AA388&lt;=0,W_max,ABS(AA$23-AA394))</f>
        <v>4.0664714302896883</v>
      </c>
      <c r="AC395" s="151">
        <f>AA383</f>
        <v>2869.7826681859874</v>
      </c>
      <c r="AD395" s="135"/>
      <c r="AE395" s="132">
        <f>IF(AD388&lt;=0,W_max,ABS(AD$23-AD394))</f>
        <v>2.9438796820542876</v>
      </c>
      <c r="AF395" s="151">
        <f>AD383</f>
        <v>4719.7358978747216</v>
      </c>
      <c r="AG395" s="135"/>
      <c r="AH395" s="132">
        <f>IF(AG388&lt;=0,W_max,ABS(AG$23-AG394))</f>
        <v>0.60060792580679134</v>
      </c>
      <c r="AI395" s="151">
        <f>AG383</f>
        <v>6619.7929511574675</v>
      </c>
      <c r="AJ395" s="135"/>
      <c r="AK395" s="132">
        <f>IF(AJ388&lt;=0,W_max,ABS(AJ$23-AJ394))</f>
        <v>10.97660169185135</v>
      </c>
      <c r="AL395" s="151">
        <f>AJ383</f>
        <v>8405.3804761919728</v>
      </c>
      <c r="AM395" s="135"/>
      <c r="AN395" s="132">
        <f>IF(AM388&lt;=0,W_max,ABS(AM$23-AM394))</f>
        <v>36.866242079964749</v>
      </c>
      <c r="AO395" s="151">
        <f>AM383</f>
        <v>9855.9696488412956</v>
      </c>
      <c r="AP395" s="135"/>
      <c r="AQ395" s="132">
        <f>IF(AP388&lt;=0,W_max,ABS(AP$23-AP394))</f>
        <v>195.55756937379635</v>
      </c>
      <c r="AR395" s="151">
        <f>AP383</f>
        <v>10995.993362906311</v>
      </c>
      <c r="AS395" s="135"/>
      <c r="AT395" s="132">
        <f>IF(AS388&lt;=0,W_max,ABS(AS$23-AS394))</f>
        <v>7174</v>
      </c>
      <c r="AU395" s="151">
        <f>AS383</f>
        <v>12267.881735136478</v>
      </c>
    </row>
    <row r="396" spans="13:47" ht="13" x14ac:dyDescent="0.25">
      <c r="M396" s="12"/>
      <c r="N396" s="12"/>
      <c r="O396" s="2"/>
      <c r="P396" s="85"/>
      <c r="Q396" s="2"/>
      <c r="R396" s="18"/>
      <c r="S396" s="150"/>
      <c r="T396" s="152"/>
      <c r="U396" s="157"/>
      <c r="V396" s="1"/>
      <c r="W396" s="147"/>
      <c r="X396" s="157"/>
      <c r="Y396" s="1"/>
      <c r="Z396" s="147"/>
      <c r="AA396" s="157"/>
      <c r="AB396" s="1"/>
      <c r="AC396" s="147"/>
      <c r="AD396" s="157"/>
      <c r="AE396" s="1"/>
      <c r="AF396" s="147"/>
      <c r="AG396" s="157"/>
      <c r="AH396" s="1"/>
      <c r="AI396" s="147"/>
      <c r="AJ396" s="157"/>
      <c r="AK396" s="1"/>
      <c r="AL396" s="147"/>
      <c r="AM396" s="157"/>
      <c r="AN396" s="1"/>
      <c r="AO396" s="147"/>
      <c r="AP396" s="157"/>
      <c r="AQ396" s="1"/>
      <c r="AR396" s="147"/>
      <c r="AS396" s="157"/>
      <c r="AT396" s="1"/>
      <c r="AU396" s="147"/>
    </row>
    <row r="397" spans="13:47" ht="14" x14ac:dyDescent="0.3">
      <c r="M397" s="23"/>
      <c r="N397" s="23"/>
      <c r="O397" s="23" t="s">
        <v>238</v>
      </c>
      <c r="P397" s="20"/>
      <c r="Q397" s="20"/>
      <c r="R397" s="181">
        <f>R383*1.02</f>
        <v>19.160637409353587</v>
      </c>
      <c r="S397" s="128" t="s">
        <v>185</v>
      </c>
      <c r="T397" s="153" t="s">
        <v>186</v>
      </c>
      <c r="U397" s="143">
        <f>U383*1.01</f>
        <v>601.71844500024361</v>
      </c>
      <c r="V397" s="128" t="s">
        <v>185</v>
      </c>
      <c r="W397" s="153" t="s">
        <v>186</v>
      </c>
      <c r="X397" s="143">
        <f>X383*1.01</f>
        <v>1488.1213198199348</v>
      </c>
      <c r="Y397" s="128" t="s">
        <v>185</v>
      </c>
      <c r="Z397" s="153" t="s">
        <v>186</v>
      </c>
      <c r="AA397" s="143">
        <f>AA383*1.01</f>
        <v>2898.4804948678475</v>
      </c>
      <c r="AB397" s="128" t="s">
        <v>185</v>
      </c>
      <c r="AC397" s="153" t="s">
        <v>186</v>
      </c>
      <c r="AD397" s="143">
        <f>AD383*1.01</f>
        <v>4766.9332568534692</v>
      </c>
      <c r="AE397" s="128" t="s">
        <v>185</v>
      </c>
      <c r="AF397" s="153" t="s">
        <v>186</v>
      </c>
      <c r="AG397" s="143">
        <f>AG383*1.01</f>
        <v>6685.9908806690419</v>
      </c>
      <c r="AH397" s="128" t="s">
        <v>185</v>
      </c>
      <c r="AI397" s="153" t="s">
        <v>186</v>
      </c>
      <c r="AJ397" s="143">
        <f>AJ383*1.01</f>
        <v>8489.4342809538921</v>
      </c>
      <c r="AK397" s="128" t="s">
        <v>185</v>
      </c>
      <c r="AL397" s="153" t="s">
        <v>186</v>
      </c>
      <c r="AM397" s="143">
        <f>AM383*1.01</f>
        <v>9954.529345329709</v>
      </c>
      <c r="AN397" s="128" t="s">
        <v>185</v>
      </c>
      <c r="AO397" s="153" t="s">
        <v>186</v>
      </c>
      <c r="AP397" s="143">
        <f>AP383*1.01</f>
        <v>11105.953296535374</v>
      </c>
      <c r="AQ397" s="128" t="s">
        <v>185</v>
      </c>
      <c r="AR397" s="153" t="s">
        <v>186</v>
      </c>
      <c r="AS397" s="143">
        <f>AS383*1.01</f>
        <v>12390.560552487843</v>
      </c>
      <c r="AT397" s="128" t="s">
        <v>185</v>
      </c>
      <c r="AU397" s="153" t="s">
        <v>186</v>
      </c>
    </row>
    <row r="398" spans="13:47" ht="14" x14ac:dyDescent="0.3">
      <c r="M398" s="12"/>
      <c r="N398" s="12"/>
      <c r="O398" s="20"/>
      <c r="P398" s="20"/>
      <c r="Q398" s="23"/>
      <c r="R398" s="139"/>
      <c r="S398" s="130" t="s">
        <v>228</v>
      </c>
      <c r="T398" s="154" t="s">
        <v>187</v>
      </c>
      <c r="U398" s="144"/>
      <c r="V398" s="130" t="s">
        <v>228</v>
      </c>
      <c r="W398" s="154" t="s">
        <v>187</v>
      </c>
      <c r="X398" s="144"/>
      <c r="Y398" s="130" t="s">
        <v>228</v>
      </c>
      <c r="Z398" s="154" t="s">
        <v>187</v>
      </c>
      <c r="AA398" s="144"/>
      <c r="AB398" s="130" t="s">
        <v>228</v>
      </c>
      <c r="AC398" s="154" t="s">
        <v>187</v>
      </c>
      <c r="AD398" s="144"/>
      <c r="AE398" s="130" t="s">
        <v>228</v>
      </c>
      <c r="AF398" s="154" t="s">
        <v>187</v>
      </c>
      <c r="AG398" s="144"/>
      <c r="AH398" s="130" t="s">
        <v>228</v>
      </c>
      <c r="AI398" s="154" t="s">
        <v>187</v>
      </c>
      <c r="AJ398" s="144"/>
      <c r="AK398" s="130" t="s">
        <v>228</v>
      </c>
      <c r="AL398" s="154" t="s">
        <v>187</v>
      </c>
      <c r="AM398" s="144"/>
      <c r="AN398" s="130" t="s">
        <v>228</v>
      </c>
      <c r="AO398" s="154" t="s">
        <v>187</v>
      </c>
      <c r="AP398" s="144"/>
      <c r="AQ398" s="130" t="s">
        <v>228</v>
      </c>
      <c r="AR398" s="154" t="s">
        <v>187</v>
      </c>
      <c r="AS398" s="144"/>
      <c r="AT398" s="130" t="s">
        <v>228</v>
      </c>
      <c r="AU398" s="154" t="s">
        <v>187</v>
      </c>
    </row>
    <row r="399" spans="13:47" x14ac:dyDescent="0.25">
      <c r="M399" s="20"/>
      <c r="N399" s="20"/>
      <c r="O399" s="7" t="s">
        <v>188</v>
      </c>
      <c r="P399" s="7"/>
      <c r="Q399" s="7"/>
      <c r="R399" s="181">
        <f>P_1_minW-(R397^2*R_up)+dpup_minQ</f>
        <v>100.52264033928334</v>
      </c>
      <c r="S399" s="132"/>
      <c r="T399" s="145"/>
      <c r="U399" s="138">
        <f>P_1_minW-(U397^2*R_up)+dpup_minQ</f>
        <v>100.37840899767264</v>
      </c>
      <c r="V399" s="132"/>
      <c r="W399" s="145"/>
      <c r="X399" s="138">
        <f>P_1_minW-(X397^2*R_up)+dpup_minQ</f>
        <v>99.639726631015122</v>
      </c>
      <c r="Y399" s="132"/>
      <c r="Z399" s="145"/>
      <c r="AA399" s="138">
        <f>P_1_minW-(AA397^2*R_up)+dpup_minQ</f>
        <v>97.172713110685322</v>
      </c>
      <c r="AB399" s="132"/>
      <c r="AC399" s="145"/>
      <c r="AD399" s="138">
        <f>P_1_minW-(AD397^2*R_up)+dpup_minQ</f>
        <v>91.461461263429584</v>
      </c>
      <c r="AE399" s="132"/>
      <c r="AF399" s="145"/>
      <c r="AG399" s="138">
        <f>P_1_minW-(AG397^2*R_up)+dpup_minQ</f>
        <v>82.697146084907601</v>
      </c>
      <c r="AH399" s="132"/>
      <c r="AI399" s="145"/>
      <c r="AJ399" s="138">
        <f>P_1_minW-(AJ397^2*R_up)+dpup_minQ</f>
        <v>71.783824026467286</v>
      </c>
      <c r="AK399" s="132"/>
      <c r="AL399" s="145"/>
      <c r="AM399" s="138">
        <f>P_1_minW-(AM397^2*R_up)+dpup_minQ</f>
        <v>61.008417847602708</v>
      </c>
      <c r="AN399" s="132"/>
      <c r="AO399" s="145"/>
      <c r="AP399" s="138">
        <f>P_1_minW-(AP397^2*R_up)+dpup_minQ</f>
        <v>51.338625092385662</v>
      </c>
      <c r="AQ399" s="132"/>
      <c r="AR399" s="145"/>
      <c r="AS399" s="138">
        <f>P_1_minW-(AS397^2*R_up)+dpup_minQ</f>
        <v>39.30248068946247</v>
      </c>
      <c r="AT399" s="132"/>
      <c r="AU399" s="145"/>
    </row>
    <row r="400" spans="13:47" x14ac:dyDescent="0.25">
      <c r="M400" s="20"/>
      <c r="N400" s="20"/>
      <c r="O400" s="7" t="s">
        <v>189</v>
      </c>
      <c r="P400" s="1"/>
      <c r="Q400" s="7"/>
      <c r="R400" s="181">
        <f>P_2_minW+(R397^2*R_dn)-dpdn_minQ</f>
        <v>50</v>
      </c>
      <c r="S400" s="132"/>
      <c r="T400" s="146"/>
      <c r="U400" s="138">
        <f>P_2_minW+(U397^2*R_dn)-dpdn_minQ</f>
        <v>50</v>
      </c>
      <c r="V400" s="132"/>
      <c r="W400" s="146"/>
      <c r="X400" s="138">
        <f>P_2_minW+(X397^2*R_dn)-dpdn_minQ</f>
        <v>50</v>
      </c>
      <c r="Y400" s="132"/>
      <c r="Z400" s="146"/>
      <c r="AA400" s="138">
        <f>P_2_minW+(AA397^2*R_dn)-dpdn_minQ</f>
        <v>50</v>
      </c>
      <c r="AB400" s="132"/>
      <c r="AC400" s="146"/>
      <c r="AD400" s="138">
        <f>P_2_minW+(AD397^2*R_dn)-dpdn_minQ</f>
        <v>50</v>
      </c>
      <c r="AE400" s="132"/>
      <c r="AF400" s="146"/>
      <c r="AG400" s="138">
        <f>P_2_minW+(AG397^2*R_dn)-dpdn_minQ</f>
        <v>50</v>
      </c>
      <c r="AH400" s="132"/>
      <c r="AI400" s="146"/>
      <c r="AJ400" s="138">
        <f>P_2_minW+(AJ397^2*R_dn)-dpdn_minQ</f>
        <v>50</v>
      </c>
      <c r="AK400" s="132"/>
      <c r="AL400" s="146"/>
      <c r="AM400" s="138">
        <f>P_2_minW+(AM397^2*R_dn)-dpdn_minQ</f>
        <v>50</v>
      </c>
      <c r="AN400" s="132"/>
      <c r="AO400" s="146"/>
      <c r="AP400" s="138">
        <f>P_2_minW+(AP397^2*R_dn)-dpdn_minQ</f>
        <v>50</v>
      </c>
      <c r="AQ400" s="132"/>
      <c r="AR400" s="146"/>
      <c r="AS400" s="138">
        <f>P_2_minW+(AS397^2*R_dn)-dpdn_minQ</f>
        <v>50</v>
      </c>
      <c r="AT400" s="132"/>
      <c r="AU400" s="146"/>
    </row>
    <row r="401" spans="13:47" x14ac:dyDescent="0.25">
      <c r="M401" s="20"/>
      <c r="N401" s="20"/>
      <c r="O401" s="7" t="s">
        <v>234</v>
      </c>
      <c r="P401" s="1"/>
      <c r="Q401" s="7"/>
      <c r="R401" s="179">
        <f>'Valve Sizing'!G$8*R399/P_1_maxW</f>
        <v>0.48490332004368863</v>
      </c>
      <c r="S401" s="132"/>
      <c r="T401" s="146"/>
      <c r="U401" s="143">
        <f>'Valve Sizing'!$G$8*U399/P_1_maxW</f>
        <v>0.48420757373056611</v>
      </c>
      <c r="V401" s="132"/>
      <c r="W401" s="146"/>
      <c r="X401" s="143">
        <f>'Valve Sizing'!$G$8*X399/P_1_maxW</f>
        <v>0.48064430150809967</v>
      </c>
      <c r="Y401" s="132"/>
      <c r="Z401" s="146"/>
      <c r="AA401" s="143">
        <f>'Valve Sizing'!$G$8*AA399/P_1_maxW</f>
        <v>0.46874386751071395</v>
      </c>
      <c r="AB401" s="132"/>
      <c r="AC401" s="146"/>
      <c r="AD401" s="143">
        <f>'Valve Sizing'!$G$8*AD399/P_1_maxW</f>
        <v>0.44119380542527048</v>
      </c>
      <c r="AE401" s="132"/>
      <c r="AF401" s="146"/>
      <c r="AG401" s="143">
        <f>'Valve Sizing'!$G$8*AG399/P_1_maxW</f>
        <v>0.39891630939422162</v>
      </c>
      <c r="AH401" s="132"/>
      <c r="AI401" s="146"/>
      <c r="AJ401" s="143">
        <f>'Valve Sizing'!$G$8*AJ399/P_1_maxW</f>
        <v>0.34627238678153932</v>
      </c>
      <c r="AK401" s="132"/>
      <c r="AL401" s="146"/>
      <c r="AM401" s="143">
        <f>'Valve Sizing'!$G$8*AM399/P_1_maxW</f>
        <v>0.29429374581752143</v>
      </c>
      <c r="AN401" s="132"/>
      <c r="AO401" s="146"/>
      <c r="AP401" s="143">
        <f>'Valve Sizing'!$G$8*AP399/P_1_maxW</f>
        <v>0.24764838716684173</v>
      </c>
      <c r="AQ401" s="132"/>
      <c r="AR401" s="146"/>
      <c r="AS401" s="143">
        <f>'Valve Sizing'!$G$8*AS399/P_1_maxW</f>
        <v>0.18958816947057103</v>
      </c>
      <c r="AT401" s="132"/>
      <c r="AU401" s="146"/>
    </row>
    <row r="402" spans="13:47" x14ac:dyDescent="0.25">
      <c r="M402" s="20"/>
      <c r="N402" s="20"/>
      <c r="O402" s="7" t="s">
        <v>190</v>
      </c>
      <c r="P402" s="1"/>
      <c r="Q402" s="7"/>
      <c r="R402" s="181">
        <f>R399-R400</f>
        <v>50.522640339283342</v>
      </c>
      <c r="S402" s="132"/>
      <c r="T402" s="146"/>
      <c r="U402" s="138">
        <f>U399-U400</f>
        <v>50.378408997672636</v>
      </c>
      <c r="V402" s="132"/>
      <c r="W402" s="146"/>
      <c r="X402" s="138">
        <f>X399-X400</f>
        <v>49.639726631015122</v>
      </c>
      <c r="Y402" s="132"/>
      <c r="Z402" s="146"/>
      <c r="AA402" s="138">
        <f>AA399-AA400</f>
        <v>47.172713110685322</v>
      </c>
      <c r="AB402" s="132"/>
      <c r="AC402" s="146"/>
      <c r="AD402" s="138">
        <f>AD399-AD400</f>
        <v>41.461461263429584</v>
      </c>
      <c r="AE402" s="132"/>
      <c r="AF402" s="146"/>
      <c r="AG402" s="138">
        <f>AG399-AG400</f>
        <v>32.697146084907601</v>
      </c>
      <c r="AH402" s="132"/>
      <c r="AI402" s="146"/>
      <c r="AJ402" s="138">
        <f>AJ399-AJ400</f>
        <v>21.783824026467286</v>
      </c>
      <c r="AK402" s="132"/>
      <c r="AL402" s="146"/>
      <c r="AM402" s="138">
        <f>AM399-AM400</f>
        <v>11.008417847602708</v>
      </c>
      <c r="AN402" s="132"/>
      <c r="AO402" s="146"/>
      <c r="AP402" s="138">
        <f>AP399-AP400</f>
        <v>1.3386250923856622</v>
      </c>
      <c r="AQ402" s="132"/>
      <c r="AR402" s="146"/>
      <c r="AS402" s="138">
        <f>AS399-AS400</f>
        <v>-10.69751931053753</v>
      </c>
      <c r="AT402" s="132"/>
      <c r="AU402" s="146"/>
    </row>
    <row r="403" spans="13:47" ht="14.5" x14ac:dyDescent="0.35">
      <c r="M403" s="27"/>
      <c r="N403" s="27"/>
      <c r="O403" s="2" t="s">
        <v>191</v>
      </c>
      <c r="P403" s="10"/>
      <c r="Q403" s="2"/>
      <c r="R403" s="181">
        <f>R402/R399</f>
        <v>0.50259961505944994</v>
      </c>
      <c r="S403" s="132"/>
      <c r="T403" s="146"/>
      <c r="U403" s="138">
        <f>U402/U399</f>
        <v>0.50188491231058174</v>
      </c>
      <c r="V403" s="132"/>
      <c r="W403" s="146"/>
      <c r="X403" s="138">
        <f>X402/X399</f>
        <v>0.49819211984433159</v>
      </c>
      <c r="Y403" s="132"/>
      <c r="Z403" s="146"/>
      <c r="AA403" s="138">
        <f>AA402/AA399</f>
        <v>0.48545225918466312</v>
      </c>
      <c r="AB403" s="132"/>
      <c r="AC403" s="146"/>
      <c r="AD403" s="138">
        <f>AD402/AD399</f>
        <v>0.45332165800425217</v>
      </c>
      <c r="AE403" s="132"/>
      <c r="AF403" s="146"/>
      <c r="AG403" s="138">
        <f>AG402/AG399</f>
        <v>0.39538421375916016</v>
      </c>
      <c r="AH403" s="132"/>
      <c r="AI403" s="146"/>
      <c r="AJ403" s="138">
        <f>AJ402/AJ399</f>
        <v>0.30346424590636756</v>
      </c>
      <c r="AK403" s="132"/>
      <c r="AL403" s="146"/>
      <c r="AM403" s="138">
        <f>AM402/AM399</f>
        <v>0.18044096595164003</v>
      </c>
      <c r="AN403" s="132"/>
      <c r="AO403" s="146"/>
      <c r="AP403" s="138">
        <f>AP402/AP399</f>
        <v>2.6074424275616247E-2</v>
      </c>
      <c r="AQ403" s="132"/>
      <c r="AR403" s="146"/>
      <c r="AS403" s="138">
        <f>AS402/AS399</f>
        <v>-0.27218432839038786</v>
      </c>
      <c r="AT403" s="132"/>
      <c r="AU403" s="146"/>
    </row>
    <row r="404" spans="13:47" x14ac:dyDescent="0.25">
      <c r="M404" s="27"/>
      <c r="N404" s="27"/>
      <c r="O404" s="2" t="s">
        <v>26</v>
      </c>
      <c r="P404" s="7">
        <v>12</v>
      </c>
      <c r="Q404" s="2"/>
      <c r="R404" s="181">
        <f>1-R403/(3*F_GAMMA*R$29)</f>
        <v>0.73824036112338542</v>
      </c>
      <c r="S404" s="133"/>
      <c r="T404" s="146"/>
      <c r="U404" s="138">
        <f>1-U403/(3*F_GAMMA*U$29)</f>
        <v>0.73867013750421529</v>
      </c>
      <c r="V404" s="133"/>
      <c r="W404" s="146"/>
      <c r="X404" s="138">
        <f>1-X403/(3*F_GAMMA*X$29)</f>
        <v>0.7367014442801989</v>
      </c>
      <c r="Y404" s="133"/>
      <c r="Z404" s="146"/>
      <c r="AA404" s="138">
        <f>1-AA403/(3*F_GAMMA*AA$29)</f>
        <v>0.7399166942683395</v>
      </c>
      <c r="AB404" s="133"/>
      <c r="AC404" s="146"/>
      <c r="AD404" s="138">
        <f>1-AD403/(3*F_GAMMA*AD$29)</f>
        <v>0.75047185662322324</v>
      </c>
      <c r="AE404" s="133"/>
      <c r="AF404" s="146"/>
      <c r="AG404" s="138">
        <f>1-AG403/(3*F_GAMMA*AG$29)</f>
        <v>0.76994882118393193</v>
      </c>
      <c r="AH404" s="133"/>
      <c r="AI404" s="146"/>
      <c r="AJ404" s="138">
        <f>1-AJ403/(3*F_GAMMA*AJ$29)</f>
        <v>0.81124612330256229</v>
      </c>
      <c r="AK404" s="133"/>
      <c r="AL404" s="146"/>
      <c r="AM404" s="138">
        <f>1-AM403/(3*F_GAMMA*AM$29)</f>
        <v>0.87737320970143751</v>
      </c>
      <c r="AN404" s="133"/>
      <c r="AO404" s="146"/>
      <c r="AP404" s="138">
        <f>1-AP403/(3*F_GAMMA*AP$29)</f>
        <v>0.98535629566941407</v>
      </c>
      <c r="AQ404" s="133"/>
      <c r="AR404" s="146"/>
      <c r="AS404" s="138">
        <f>1-AS403/(3*F_GAMMA*AS$29)</f>
        <v>1.2320576930255254</v>
      </c>
      <c r="AT404" s="133"/>
      <c r="AU404" s="146"/>
    </row>
    <row r="405" spans="13:47" x14ac:dyDescent="0.25">
      <c r="M405" s="27"/>
      <c r="N405" s="27"/>
      <c r="O405" s="2" t="s">
        <v>71</v>
      </c>
      <c r="P405" s="85">
        <v>5</v>
      </c>
      <c r="Q405" s="2"/>
      <c r="R405" s="179">
        <f>R397/((N_6*R$27*R404)*SQRT(R403*R399*R401))</f>
        <v>8.2849390640096957E-2</v>
      </c>
      <c r="S405" s="133"/>
      <c r="T405" s="146"/>
      <c r="U405" s="143">
        <f>U397/((N_6*U$27*U404)*SQRT(U403*U399*U401))</f>
        <v>2.6074889835431785</v>
      </c>
      <c r="V405" s="133"/>
      <c r="W405" s="146"/>
      <c r="X405" s="143">
        <f>X397/((N_6*X$27*X404)*SQRT(X403*X399*X401))</f>
        <v>6.5523843494873297</v>
      </c>
      <c r="Y405" s="133"/>
      <c r="Z405" s="146"/>
      <c r="AA405" s="143">
        <f>AA397/((N_6*AA$27*AA404)*SQRT(AA403*AA399*AA401))</f>
        <v>13.275290925245804</v>
      </c>
      <c r="AB405" s="133"/>
      <c r="AC405" s="146"/>
      <c r="AD405" s="143">
        <f>AD397/((N_6*AD$27*AD404)*SQRT(AD403*AD399*AD401))</f>
        <v>23.948706093863496</v>
      </c>
      <c r="AE405" s="133"/>
      <c r="AF405" s="146"/>
      <c r="AG405" s="143">
        <f>AG397/((N_6*AG$27*AG404)*SQRT(AG403*AG399*AG401))</f>
        <v>39.608940163170949</v>
      </c>
      <c r="AH405" s="133"/>
      <c r="AI405" s="146"/>
      <c r="AJ405" s="143">
        <f>AJ397/((N_6*AJ$27*AJ404)*SQRT(AJ403*AJ399*AJ401))</f>
        <v>64.922438287157661</v>
      </c>
      <c r="AK405" s="133"/>
      <c r="AL405" s="146"/>
      <c r="AM405" s="143">
        <f>AM397/((N_6*AM$27*AM404)*SQRT(AM403*AM399*AM401))</f>
        <v>114.0019638400275</v>
      </c>
      <c r="AN405" s="133"/>
      <c r="AO405" s="146"/>
      <c r="AP405" s="143">
        <f>AP397/((N_6*AP$27*AP404)*SQRT(AP403*AP399*AP401))</f>
        <v>402.15954156047064</v>
      </c>
      <c r="AQ405" s="133"/>
      <c r="AR405" s="146"/>
      <c r="AS405" s="143" t="e">
        <f>AS397/((N_6*AS$27*AS404)*SQRT(AS403*AS399*AS401))</f>
        <v>#NUM!</v>
      </c>
      <c r="AT405" s="133"/>
      <c r="AU405" s="146"/>
    </row>
    <row r="406" spans="13:47" x14ac:dyDescent="0.25">
      <c r="M406" s="27"/>
      <c r="N406" s="27"/>
      <c r="O406" s="2" t="s">
        <v>73</v>
      </c>
      <c r="P406" s="85">
        <v>5</v>
      </c>
      <c r="Q406" s="2"/>
      <c r="R406" s="179">
        <f>R397/((N_6*R$27*0.667)*SQRT(R407*R399*R401))</f>
        <v>8.1259330281969286E-2</v>
      </c>
      <c r="S406" s="133"/>
      <c r="T406" s="155"/>
      <c r="U406" s="143">
        <f>U397/((N_6*U$27*0.667)*SQRT(U407*U399*U401))</f>
        <v>2.5568328511259146</v>
      </c>
      <c r="V406" s="133"/>
      <c r="W406" s="155"/>
      <c r="X406" s="143">
        <f>X397/((N_6*X$27*0.667)*SQRT(X407*X399*X401))</f>
        <v>6.4320574896779394</v>
      </c>
      <c r="Y406" s="133"/>
      <c r="Z406" s="155"/>
      <c r="AA406" s="143">
        <f>AA397/((N_6*AA$27*0.667)*SQRT(AA407*AA399*AA401))</f>
        <v>13.00822095587991</v>
      </c>
      <c r="AB406" s="133"/>
      <c r="AC406" s="155"/>
      <c r="AD406" s="143">
        <f>AD397/((N_6*AD$27*0.667)*SQRT(AD407*AD399*AD401))</f>
        <v>23.313690447022768</v>
      </c>
      <c r="AE406" s="133"/>
      <c r="AF406" s="155"/>
      <c r="AG406" s="143">
        <f>AG397/((N_6*AG$27*0.667)*SQRT(AG407*AG399*AG401))</f>
        <v>37.984123144370869</v>
      </c>
      <c r="AH406" s="133"/>
      <c r="AI406" s="155"/>
      <c r="AJ406" s="143">
        <f>AJ397/((N_6*AJ$27*0.667)*SQRT(AJ407*AJ399*AJ401))</f>
        <v>59.419663794344046</v>
      </c>
      <c r="AK406" s="133"/>
      <c r="AL406" s="155"/>
      <c r="AM406" s="143">
        <f>AM397/((N_6*AM$27*0.667)*SQRT(AM407*AM399*AM401))</f>
        <v>90.954496878300432</v>
      </c>
      <c r="AN406" s="133"/>
      <c r="AO406" s="155"/>
      <c r="AP406" s="143">
        <f>AP397/((N_6*AP$27*0.667)*SQRT(AP407*AP399*AP401))</f>
        <v>124.52367866640945</v>
      </c>
      <c r="AQ406" s="133"/>
      <c r="AR406" s="155"/>
      <c r="AS406" s="143">
        <f>AS397/((N_6*AS$27*0.667)*SQRT(AS407*AS399*AS401))</f>
        <v>293.7967980423652</v>
      </c>
      <c r="AT406" s="133"/>
      <c r="AU406" s="155"/>
    </row>
    <row r="407" spans="13:47" ht="15.5" x14ac:dyDescent="0.4">
      <c r="M407" s="27"/>
      <c r="N407" s="27"/>
      <c r="O407" s="2" t="s">
        <v>192</v>
      </c>
      <c r="P407" s="85">
        <v>10</v>
      </c>
      <c r="Q407" s="2"/>
      <c r="R407" s="181">
        <f>F_GAMMA*R$29</f>
        <v>0.64002688015162901</v>
      </c>
      <c r="S407" s="133"/>
      <c r="T407" s="155"/>
      <c r="U407" s="138">
        <f>F_GAMMA*U$29</f>
        <v>0.64016782916606918</v>
      </c>
      <c r="V407" s="133"/>
      <c r="W407" s="155"/>
      <c r="X407" s="138">
        <f>F_GAMMA*X$29</f>
        <v>0.6307062319203669</v>
      </c>
      <c r="Y407" s="133"/>
      <c r="Z407" s="155"/>
      <c r="AA407" s="138">
        <f>F_GAMMA*AA$29</f>
        <v>0.62217534213893466</v>
      </c>
      <c r="AB407" s="133"/>
      <c r="AC407" s="155"/>
      <c r="AD407" s="138">
        <f>F_GAMMA*AD$29</f>
        <v>0.60557184969146072</v>
      </c>
      <c r="AE407" s="133"/>
      <c r="AF407" s="155"/>
      <c r="AG407" s="138">
        <f>F_GAMMA*AG$29</f>
        <v>0.57289312142622573</v>
      </c>
      <c r="AH407" s="133"/>
      <c r="AI407" s="155"/>
      <c r="AJ407" s="138">
        <f>F_GAMMA*AJ$29</f>
        <v>0.53590819116049981</v>
      </c>
      <c r="AK407" s="133"/>
      <c r="AL407" s="155"/>
      <c r="AM407" s="138">
        <f>F_GAMMA*AM$29</f>
        <v>0.49048815926850342</v>
      </c>
      <c r="AN407" s="133"/>
      <c r="AO407" s="155"/>
      <c r="AP407" s="138">
        <f>F_GAMMA*AP$29</f>
        <v>0.59352979016280105</v>
      </c>
      <c r="AQ407" s="133"/>
      <c r="AR407" s="155"/>
      <c r="AS407" s="138">
        <f>F_GAMMA*AS$29</f>
        <v>0.39097221161068291</v>
      </c>
      <c r="AT407" s="133"/>
      <c r="AU407" s="155"/>
    </row>
    <row r="408" spans="13:47" x14ac:dyDescent="0.25">
      <c r="M408" s="27"/>
      <c r="N408" s="27"/>
      <c r="O408" s="2" t="s">
        <v>193</v>
      </c>
      <c r="P408" s="134"/>
      <c r="Q408" s="2"/>
      <c r="R408" s="181">
        <f>IF(R403&lt;R407,R405,R406)</f>
        <v>8.2849390640096957E-2</v>
      </c>
      <c r="S408" s="133"/>
      <c r="T408" s="155"/>
      <c r="U408" s="138">
        <f>IF(U403&lt;U407,U405,U406)</f>
        <v>2.6074889835431785</v>
      </c>
      <c r="V408" s="133"/>
      <c r="W408" s="155"/>
      <c r="X408" s="138">
        <f>IF(X403&lt;X407,X405,X406)</f>
        <v>6.5523843494873297</v>
      </c>
      <c r="Y408" s="133"/>
      <c r="Z408" s="155"/>
      <c r="AA408" s="138">
        <f>IF(AA403&lt;AA407,AA405,AA406)</f>
        <v>13.275290925245804</v>
      </c>
      <c r="AB408" s="133"/>
      <c r="AC408" s="155"/>
      <c r="AD408" s="138">
        <f>IF(AD403&lt;AD407,AD405,AD406)</f>
        <v>23.948706093863496</v>
      </c>
      <c r="AE408" s="133"/>
      <c r="AF408" s="155"/>
      <c r="AG408" s="138">
        <f>IF(AG403&lt;AG407,AG405,AG406)</f>
        <v>39.608940163170949</v>
      </c>
      <c r="AH408" s="133"/>
      <c r="AI408" s="155"/>
      <c r="AJ408" s="138">
        <f>IF(AJ403&lt;AJ407,AJ405,AJ406)</f>
        <v>64.922438287157661</v>
      </c>
      <c r="AK408" s="133"/>
      <c r="AL408" s="155"/>
      <c r="AM408" s="138">
        <f>IF(AM403&lt;AM407,AM405,AM406)</f>
        <v>114.0019638400275</v>
      </c>
      <c r="AN408" s="133"/>
      <c r="AO408" s="155"/>
      <c r="AP408" s="138">
        <f>IF(AP403&lt;AP407,AP405,AP406)</f>
        <v>402.15954156047064</v>
      </c>
      <c r="AQ408" s="133"/>
      <c r="AR408" s="155"/>
      <c r="AS408" s="138" t="e">
        <f>IF(AS403&lt;AS407,AS405,AS406)</f>
        <v>#NUM!</v>
      </c>
      <c r="AT408" s="133"/>
      <c r="AU408" s="155"/>
    </row>
    <row r="409" spans="13:47" ht="13" x14ac:dyDescent="0.3">
      <c r="M409" s="28"/>
      <c r="N409" s="28"/>
      <c r="O409" s="9" t="s">
        <v>194</v>
      </c>
      <c r="P409" s="1"/>
      <c r="Q409" s="1"/>
      <c r="R409" s="135"/>
      <c r="S409" s="132">
        <f>IF(R402&lt;=0,W_max,ABS(R$23-R408))</f>
        <v>1.9171506093599031</v>
      </c>
      <c r="T409" s="151">
        <f>R397</f>
        <v>19.160637409353587</v>
      </c>
      <c r="U409" s="135"/>
      <c r="V409" s="132">
        <f>IF(U402&lt;=0,W_max,ABS(U$23-U408))</f>
        <v>2.3925110164568215</v>
      </c>
      <c r="W409" s="151">
        <f>U397</f>
        <v>601.71844500024361</v>
      </c>
      <c r="X409" s="135"/>
      <c r="Y409" s="132">
        <f>IF(X402&lt;=0,W_max,ABS(X$23-X408))</f>
        <v>3.4476156505126703</v>
      </c>
      <c r="Z409" s="151">
        <f>X397</f>
        <v>1488.1213198199348</v>
      </c>
      <c r="AA409" s="135"/>
      <c r="AB409" s="132">
        <f>IF(AA402&lt;=0,W_max,ABS(AA$23-AA408))</f>
        <v>3.9247090747541957</v>
      </c>
      <c r="AC409" s="151">
        <f>AA397</f>
        <v>2898.4804948678475</v>
      </c>
      <c r="AD409" s="135"/>
      <c r="AE409" s="132">
        <f>IF(AD402&lt;=0,W_max,ABS(AD$23-AD408))</f>
        <v>2.6512939061365053</v>
      </c>
      <c r="AF409" s="151">
        <f>AD397</f>
        <v>4766.9332568534692</v>
      </c>
      <c r="AG409" s="135"/>
      <c r="AH409" s="132">
        <f>IF(AG402&lt;=0,W_max,ABS(AG$23-AG408))</f>
        <v>1.2089401631709507</v>
      </c>
      <c r="AI409" s="151">
        <f>AG397</f>
        <v>6685.9908806690419</v>
      </c>
      <c r="AJ409" s="135"/>
      <c r="AK409" s="132">
        <f>IF(AJ402&lt;=0,W_max,ABS(AJ$23-AJ408))</f>
        <v>12.422438287157661</v>
      </c>
      <c r="AL409" s="151">
        <f>AJ397</f>
        <v>8489.4342809538921</v>
      </c>
      <c r="AM409" s="135"/>
      <c r="AN409" s="132">
        <f>IF(AM402&lt;=0,W_max,ABS(AM$23-AM408))</f>
        <v>41.601963840027494</v>
      </c>
      <c r="AO409" s="151">
        <f>AM397</f>
        <v>9954.529345329709</v>
      </c>
      <c r="AP409" s="135"/>
      <c r="AQ409" s="132">
        <f>IF(AP402&lt;=0,W_max,ABS(AP$23-AP408))</f>
        <v>294.15954156047064</v>
      </c>
      <c r="AR409" s="151">
        <f>AP397</f>
        <v>11105.953296535374</v>
      </c>
      <c r="AS409" s="135"/>
      <c r="AT409" s="132">
        <f>IF(AS402&lt;=0,W_max,ABS(AS$23-AS408))</f>
        <v>7174</v>
      </c>
      <c r="AU409" s="151">
        <f>AS397</f>
        <v>12390.560552487843</v>
      </c>
    </row>
    <row r="410" spans="13:47" ht="13" x14ac:dyDescent="0.25">
      <c r="M410" s="12"/>
      <c r="N410" s="12"/>
      <c r="O410" s="2"/>
      <c r="P410" s="85"/>
      <c r="Q410" s="2"/>
      <c r="R410" s="18"/>
      <c r="S410" s="150"/>
      <c r="T410" s="148"/>
      <c r="U410" s="157"/>
      <c r="V410" s="1"/>
      <c r="W410" s="147"/>
      <c r="X410" s="157"/>
      <c r="Y410" s="1"/>
      <c r="Z410" s="147"/>
      <c r="AA410" s="157"/>
      <c r="AB410" s="1"/>
      <c r="AC410" s="147"/>
      <c r="AD410" s="157"/>
      <c r="AE410" s="1"/>
      <c r="AF410" s="147"/>
      <c r="AG410" s="157"/>
      <c r="AH410" s="1"/>
      <c r="AI410" s="147"/>
      <c r="AJ410" s="157"/>
      <c r="AK410" s="1"/>
      <c r="AL410" s="147"/>
      <c r="AM410" s="157"/>
      <c r="AN410" s="1"/>
      <c r="AO410" s="147"/>
      <c r="AP410" s="157"/>
      <c r="AQ410" s="1"/>
      <c r="AR410" s="147"/>
      <c r="AS410" s="157"/>
      <c r="AT410" s="1"/>
      <c r="AU410" s="147"/>
    </row>
    <row r="411" spans="13:47" ht="14" x14ac:dyDescent="0.3">
      <c r="M411" s="23"/>
      <c r="N411" s="23"/>
      <c r="O411" s="23" t="s">
        <v>238</v>
      </c>
      <c r="P411" s="20"/>
      <c r="Q411" s="20"/>
      <c r="R411" s="181">
        <f>R397*1.02</f>
        <v>19.54385015754066</v>
      </c>
      <c r="S411" s="128" t="s">
        <v>185</v>
      </c>
      <c r="T411" s="149" t="s">
        <v>186</v>
      </c>
      <c r="U411" s="143">
        <f>U397*1.01</f>
        <v>607.73562945024605</v>
      </c>
      <c r="V411" s="128" t="s">
        <v>185</v>
      </c>
      <c r="W411" s="153" t="s">
        <v>186</v>
      </c>
      <c r="X411" s="143">
        <f>X397*1.01</f>
        <v>1503.002533018134</v>
      </c>
      <c r="Y411" s="128" t="s">
        <v>185</v>
      </c>
      <c r="Z411" s="153" t="s">
        <v>186</v>
      </c>
      <c r="AA411" s="143">
        <f>AA397*1.01</f>
        <v>2927.4652998165261</v>
      </c>
      <c r="AB411" s="128" t="s">
        <v>185</v>
      </c>
      <c r="AC411" s="153" t="s">
        <v>186</v>
      </c>
      <c r="AD411" s="143">
        <f>AD397*1.01</f>
        <v>4814.6025894220038</v>
      </c>
      <c r="AE411" s="128" t="s">
        <v>185</v>
      </c>
      <c r="AF411" s="153" t="s">
        <v>186</v>
      </c>
      <c r="AG411" s="143">
        <f>AG397*1.01</f>
        <v>6752.8507894757322</v>
      </c>
      <c r="AH411" s="128" t="s">
        <v>185</v>
      </c>
      <c r="AI411" s="153" t="s">
        <v>186</v>
      </c>
      <c r="AJ411" s="143">
        <f>AJ397*1.01</f>
        <v>8574.3286237634311</v>
      </c>
      <c r="AK411" s="128" t="s">
        <v>185</v>
      </c>
      <c r="AL411" s="153" t="s">
        <v>186</v>
      </c>
      <c r="AM411" s="143">
        <f>AM397*1.01</f>
        <v>10054.074638783006</v>
      </c>
      <c r="AN411" s="128" t="s">
        <v>185</v>
      </c>
      <c r="AO411" s="153" t="s">
        <v>186</v>
      </c>
      <c r="AP411" s="143">
        <f>AP397*1.01</f>
        <v>11217.012829500727</v>
      </c>
      <c r="AQ411" s="128" t="s">
        <v>185</v>
      </c>
      <c r="AR411" s="153" t="s">
        <v>186</v>
      </c>
      <c r="AS411" s="143">
        <f>AS397*1.01</f>
        <v>12514.466158012721</v>
      </c>
      <c r="AT411" s="128" t="s">
        <v>185</v>
      </c>
      <c r="AU411" s="153" t="s">
        <v>186</v>
      </c>
    </row>
    <row r="412" spans="13:47" ht="14" x14ac:dyDescent="0.3">
      <c r="M412" s="12"/>
      <c r="N412" s="12"/>
      <c r="O412" s="20"/>
      <c r="P412" s="20"/>
      <c r="Q412" s="23"/>
      <c r="R412" s="139"/>
      <c r="S412" s="130" t="s">
        <v>228</v>
      </c>
      <c r="T412" s="131" t="s">
        <v>187</v>
      </c>
      <c r="U412" s="144"/>
      <c r="V412" s="130" t="s">
        <v>228</v>
      </c>
      <c r="W412" s="154" t="s">
        <v>187</v>
      </c>
      <c r="X412" s="144"/>
      <c r="Y412" s="130" t="s">
        <v>228</v>
      </c>
      <c r="Z412" s="154" t="s">
        <v>187</v>
      </c>
      <c r="AA412" s="144"/>
      <c r="AB412" s="130" t="s">
        <v>228</v>
      </c>
      <c r="AC412" s="154" t="s">
        <v>187</v>
      </c>
      <c r="AD412" s="144"/>
      <c r="AE412" s="130" t="s">
        <v>228</v>
      </c>
      <c r="AF412" s="154" t="s">
        <v>187</v>
      </c>
      <c r="AG412" s="144"/>
      <c r="AH412" s="130" t="s">
        <v>228</v>
      </c>
      <c r="AI412" s="154" t="s">
        <v>187</v>
      </c>
      <c r="AJ412" s="144"/>
      <c r="AK412" s="130" t="s">
        <v>228</v>
      </c>
      <c r="AL412" s="154" t="s">
        <v>187</v>
      </c>
      <c r="AM412" s="144"/>
      <c r="AN412" s="130" t="s">
        <v>228</v>
      </c>
      <c r="AO412" s="154" t="s">
        <v>187</v>
      </c>
      <c r="AP412" s="144"/>
      <c r="AQ412" s="130" t="s">
        <v>228</v>
      </c>
      <c r="AR412" s="154" t="s">
        <v>187</v>
      </c>
      <c r="AS412" s="144"/>
      <c r="AT412" s="130" t="s">
        <v>228</v>
      </c>
      <c r="AU412" s="154" t="s">
        <v>187</v>
      </c>
    </row>
    <row r="413" spans="13:47" x14ac:dyDescent="0.25">
      <c r="M413" s="20"/>
      <c r="N413" s="20"/>
      <c r="O413" s="7" t="s">
        <v>188</v>
      </c>
      <c r="P413" s="7"/>
      <c r="Q413" s="7"/>
      <c r="R413" s="181">
        <f>P_1_minW-(R411^2*R_up)+dpup_minQ</f>
        <v>100.52263442482663</v>
      </c>
      <c r="S413" s="132"/>
      <c r="T413" s="145"/>
      <c r="U413" s="138">
        <f>P_1_minW-(U411^2*R_up)+dpup_minQ</f>
        <v>100.37550700511765</v>
      </c>
      <c r="V413" s="132"/>
      <c r="W413" s="145"/>
      <c r="X413" s="138">
        <f>P_1_minW-(X411^2*R_up)+dpup_minQ</f>
        <v>99.621977122890314</v>
      </c>
      <c r="Y413" s="132"/>
      <c r="Z413" s="145"/>
      <c r="AA413" s="138">
        <f>P_1_minW-(AA411^2*R_up)+dpup_minQ</f>
        <v>97.105376630801885</v>
      </c>
      <c r="AB413" s="132"/>
      <c r="AC413" s="145"/>
      <c r="AD413" s="138">
        <f>P_1_minW-(AD411^2*R_up)+dpup_minQ</f>
        <v>91.279328621416298</v>
      </c>
      <c r="AE413" s="132"/>
      <c r="AF413" s="145"/>
      <c r="AG413" s="138">
        <f>P_1_minW-(AG411^2*R_up)+dpup_minQ</f>
        <v>82.338850707806046</v>
      </c>
      <c r="AH413" s="132"/>
      <c r="AI413" s="145"/>
      <c r="AJ413" s="138">
        <f>P_1_minW-(AJ411^2*R_up)+dpup_minQ</f>
        <v>71.206170875991077</v>
      </c>
      <c r="AK413" s="132"/>
      <c r="AL413" s="145"/>
      <c r="AM413" s="138">
        <f>P_1_minW-(AM411^2*R_up)+dpup_minQ</f>
        <v>60.214179032931312</v>
      </c>
      <c r="AN413" s="132"/>
      <c r="AO413" s="145"/>
      <c r="AP413" s="138">
        <f>P_1_minW-(AP411^2*R_up)+dpup_minQ</f>
        <v>50.350023443334415</v>
      </c>
      <c r="AQ413" s="132"/>
      <c r="AR413" s="145"/>
      <c r="AS413" s="138">
        <f>P_1_minW-(AS411^2*R_up)+dpup_minQ</f>
        <v>38.071952537912459</v>
      </c>
      <c r="AT413" s="132"/>
      <c r="AU413" s="145"/>
    </row>
    <row r="414" spans="13:47" x14ac:dyDescent="0.25">
      <c r="M414" s="20"/>
      <c r="N414" s="20"/>
      <c r="O414" s="7" t="s">
        <v>189</v>
      </c>
      <c r="P414" s="1"/>
      <c r="Q414" s="7"/>
      <c r="R414" s="181">
        <f>P_2_minW+(R411^2*R_dn)-dpdn_minQ</f>
        <v>50</v>
      </c>
      <c r="S414" s="132"/>
      <c r="T414" s="146"/>
      <c r="U414" s="138">
        <f>P_2_minW+(U411^2*R_dn)-dpdn_minQ</f>
        <v>50</v>
      </c>
      <c r="V414" s="132"/>
      <c r="W414" s="146"/>
      <c r="X414" s="138">
        <f>P_2_minW+(X411^2*R_dn)-dpdn_minQ</f>
        <v>50</v>
      </c>
      <c r="Y414" s="132"/>
      <c r="Z414" s="146"/>
      <c r="AA414" s="138">
        <f>P_2_minW+(AA411^2*R_dn)-dpdn_minQ</f>
        <v>50</v>
      </c>
      <c r="AB414" s="132"/>
      <c r="AC414" s="146"/>
      <c r="AD414" s="138">
        <f>P_2_minW+(AD411^2*R_dn)-dpdn_minQ</f>
        <v>50</v>
      </c>
      <c r="AE414" s="132"/>
      <c r="AF414" s="146"/>
      <c r="AG414" s="138">
        <f>P_2_minW+(AG411^2*R_dn)-dpdn_minQ</f>
        <v>50</v>
      </c>
      <c r="AH414" s="132"/>
      <c r="AI414" s="146"/>
      <c r="AJ414" s="138">
        <f>P_2_minW+(AJ411^2*R_dn)-dpdn_minQ</f>
        <v>50</v>
      </c>
      <c r="AK414" s="132"/>
      <c r="AL414" s="146"/>
      <c r="AM414" s="138">
        <f>P_2_minW+(AM411^2*R_dn)-dpdn_minQ</f>
        <v>50</v>
      </c>
      <c r="AN414" s="132"/>
      <c r="AO414" s="146"/>
      <c r="AP414" s="138">
        <f>P_2_minW+(AP411^2*R_dn)-dpdn_minQ</f>
        <v>50</v>
      </c>
      <c r="AQ414" s="132"/>
      <c r="AR414" s="146"/>
      <c r="AS414" s="138">
        <f>P_2_minW+(AS411^2*R_dn)-dpdn_minQ</f>
        <v>50</v>
      </c>
      <c r="AT414" s="132"/>
      <c r="AU414" s="146"/>
    </row>
    <row r="415" spans="13:47" x14ac:dyDescent="0.25">
      <c r="M415" s="20"/>
      <c r="N415" s="20"/>
      <c r="O415" s="7" t="s">
        <v>234</v>
      </c>
      <c r="P415" s="1"/>
      <c r="Q415" s="7"/>
      <c r="R415" s="179">
        <f>'Valve Sizing'!G$8*R413/P_1_maxW</f>
        <v>0.48490329151340239</v>
      </c>
      <c r="S415" s="132"/>
      <c r="T415" s="146"/>
      <c r="U415" s="143">
        <f>'Valve Sizing'!$G$8*U413/P_1_maxW</f>
        <v>0.48419357503514887</v>
      </c>
      <c r="V415" s="132"/>
      <c r="W415" s="146"/>
      <c r="X415" s="143">
        <f>'Valve Sizing'!$G$8*X413/P_1_maxW</f>
        <v>0.48055868104101079</v>
      </c>
      <c r="Y415" s="132"/>
      <c r="Z415" s="146"/>
      <c r="AA415" s="143">
        <f>'Valve Sizing'!$G$8*AA413/P_1_maxW</f>
        <v>0.46841904832027759</v>
      </c>
      <c r="AB415" s="132"/>
      <c r="AC415" s="146"/>
      <c r="AD415" s="143">
        <f>'Valve Sizing'!$G$8*AD413/P_1_maxW</f>
        <v>0.44031522998691663</v>
      </c>
      <c r="AE415" s="132"/>
      <c r="AF415" s="146"/>
      <c r="AG415" s="143">
        <f>'Valve Sizing'!$G$8*AG413/P_1_maxW</f>
        <v>0.39718795628564385</v>
      </c>
      <c r="AH415" s="132"/>
      <c r="AI415" s="146"/>
      <c r="AJ415" s="143">
        <f>'Valve Sizing'!$G$8*AJ413/P_1_maxW</f>
        <v>0.34348589082844655</v>
      </c>
      <c r="AK415" s="132"/>
      <c r="AL415" s="146"/>
      <c r="AM415" s="143">
        <f>'Valve Sizing'!$G$8*AM413/P_1_maxW</f>
        <v>0.29046247918105189</v>
      </c>
      <c r="AN415" s="132"/>
      <c r="AO415" s="146"/>
      <c r="AP415" s="143">
        <f>'Valve Sizing'!$G$8*AP413/P_1_maxW</f>
        <v>0.2428795488214936</v>
      </c>
      <c r="AQ415" s="132"/>
      <c r="AR415" s="146"/>
      <c r="AS415" s="143">
        <f>'Valve Sizing'!$G$8*AS413/P_1_maxW</f>
        <v>0.18365232074952781</v>
      </c>
      <c r="AT415" s="132"/>
      <c r="AU415" s="146"/>
    </row>
    <row r="416" spans="13:47" x14ac:dyDescent="0.25">
      <c r="M416" s="20"/>
      <c r="N416" s="20"/>
      <c r="O416" s="7" t="s">
        <v>190</v>
      </c>
      <c r="P416" s="1"/>
      <c r="Q416" s="7"/>
      <c r="R416" s="181">
        <f>R413-R414</f>
        <v>50.522634424826634</v>
      </c>
      <c r="S416" s="132"/>
      <c r="T416" s="146"/>
      <c r="U416" s="138">
        <f>U413-U414</f>
        <v>50.375507005117655</v>
      </c>
      <c r="V416" s="132"/>
      <c r="W416" s="146"/>
      <c r="X416" s="138">
        <f>X413-X414</f>
        <v>49.621977122890314</v>
      </c>
      <c r="Y416" s="132"/>
      <c r="Z416" s="146"/>
      <c r="AA416" s="138">
        <f>AA413-AA414</f>
        <v>47.105376630801885</v>
      </c>
      <c r="AB416" s="132"/>
      <c r="AC416" s="146"/>
      <c r="AD416" s="138">
        <f>AD413-AD414</f>
        <v>41.279328621416298</v>
      </c>
      <c r="AE416" s="132"/>
      <c r="AF416" s="146"/>
      <c r="AG416" s="138">
        <f>AG413-AG414</f>
        <v>32.338850707806046</v>
      </c>
      <c r="AH416" s="132"/>
      <c r="AI416" s="146"/>
      <c r="AJ416" s="138">
        <f>AJ413-AJ414</f>
        <v>21.206170875991077</v>
      </c>
      <c r="AK416" s="132"/>
      <c r="AL416" s="146"/>
      <c r="AM416" s="138">
        <f>AM413-AM414</f>
        <v>10.214179032931312</v>
      </c>
      <c r="AN416" s="132"/>
      <c r="AO416" s="146"/>
      <c r="AP416" s="138">
        <f>AP413-AP414</f>
        <v>0.35002344333441471</v>
      </c>
      <c r="AQ416" s="132"/>
      <c r="AR416" s="146"/>
      <c r="AS416" s="138">
        <f>AS413-AS414</f>
        <v>-11.928047462087541</v>
      </c>
      <c r="AT416" s="132"/>
      <c r="AU416" s="146"/>
    </row>
    <row r="417" spans="13:47" ht="14.5" x14ac:dyDescent="0.35">
      <c r="M417" s="27"/>
      <c r="N417" s="27"/>
      <c r="O417" s="2" t="s">
        <v>191</v>
      </c>
      <c r="P417" s="10"/>
      <c r="Q417" s="2"/>
      <c r="R417" s="181">
        <f>R416/R413</f>
        <v>0.50259958579387154</v>
      </c>
      <c r="S417" s="132"/>
      <c r="T417" s="146"/>
      <c r="U417" s="138">
        <f>U416/U413</f>
        <v>0.50187051112528136</v>
      </c>
      <c r="V417" s="132"/>
      <c r="W417" s="146"/>
      <c r="X417" s="138">
        <f>X416/X413</f>
        <v>0.49810271343719986</v>
      </c>
      <c r="Y417" s="132"/>
      <c r="Z417" s="146"/>
      <c r="AA417" s="138">
        <f>AA416/AA413</f>
        <v>0.48509545264314469</v>
      </c>
      <c r="AB417" s="132"/>
      <c r="AC417" s="146"/>
      <c r="AD417" s="138">
        <f>AD416/AD413</f>
        <v>0.45223085275554037</v>
      </c>
      <c r="AE417" s="132"/>
      <c r="AF417" s="146"/>
      <c r="AG417" s="138">
        <f>AG416/AG413</f>
        <v>0.39275324381884036</v>
      </c>
      <c r="AH417" s="132"/>
      <c r="AI417" s="146"/>
      <c r="AJ417" s="138">
        <f>AJ416/AJ413</f>
        <v>0.29781366720199898</v>
      </c>
      <c r="AK417" s="132"/>
      <c r="AL417" s="146"/>
      <c r="AM417" s="138">
        <f>AM416/AM413</f>
        <v>0.16963079455663005</v>
      </c>
      <c r="AN417" s="132"/>
      <c r="AO417" s="146"/>
      <c r="AP417" s="138">
        <f>AP416/AP413</f>
        <v>6.9518029863152439E-3</v>
      </c>
      <c r="AQ417" s="132"/>
      <c r="AR417" s="146"/>
      <c r="AS417" s="138">
        <f>AS416/AS413</f>
        <v>-0.31330275089541215</v>
      </c>
      <c r="AT417" s="132"/>
      <c r="AU417" s="146"/>
    </row>
    <row r="418" spans="13:47" x14ac:dyDescent="0.25">
      <c r="M418" s="27"/>
      <c r="N418" s="27"/>
      <c r="O418" s="2" t="s">
        <v>26</v>
      </c>
      <c r="P418" s="7">
        <v>12</v>
      </c>
      <c r="Q418" s="2"/>
      <c r="R418" s="181">
        <f>1-R417/(3*F_GAMMA*R$29)</f>
        <v>0.7382403763652341</v>
      </c>
      <c r="S418" s="133"/>
      <c r="T418" s="146"/>
      <c r="U418" s="138">
        <f>1-U417/(3*F_GAMMA*U$29)</f>
        <v>0.73867763615516491</v>
      </c>
      <c r="V418" s="133"/>
      <c r="W418" s="146"/>
      <c r="X418" s="138">
        <f>1-X417/(3*F_GAMMA*X$29)</f>
        <v>0.73674869628787265</v>
      </c>
      <c r="Y418" s="133"/>
      <c r="Z418" s="146"/>
      <c r="AA418" s="138">
        <f>1-AA417/(3*F_GAMMA*AA$29)</f>
        <v>0.74010785503249088</v>
      </c>
      <c r="AB418" s="133"/>
      <c r="AC418" s="146"/>
      <c r="AD418" s="138">
        <f>1-AD417/(3*F_GAMMA*AD$29)</f>
        <v>0.75107228372325419</v>
      </c>
      <c r="AE418" s="133"/>
      <c r="AF418" s="146"/>
      <c r="AG418" s="138">
        <f>1-AG417/(3*F_GAMMA*AG$29)</f>
        <v>0.77147963024291188</v>
      </c>
      <c r="AH418" s="133"/>
      <c r="AI418" s="146"/>
      <c r="AJ418" s="138">
        <f>1-AJ417/(3*F_GAMMA*AJ$29)</f>
        <v>0.81476076679160991</v>
      </c>
      <c r="AK418" s="133"/>
      <c r="AL418" s="146"/>
      <c r="AM418" s="138">
        <f>1-AM417/(3*F_GAMMA*AM$29)</f>
        <v>0.88471974885210181</v>
      </c>
      <c r="AN418" s="133"/>
      <c r="AO418" s="146"/>
      <c r="AP418" s="138">
        <f>1-AP417/(3*F_GAMMA*AP$29)</f>
        <v>0.99609578541715749</v>
      </c>
      <c r="AQ418" s="133"/>
      <c r="AR418" s="146"/>
      <c r="AS418" s="138">
        <f>1-AS417/(3*F_GAMMA*AS$29)</f>
        <v>1.2671142531287183</v>
      </c>
      <c r="AT418" s="133"/>
      <c r="AU418" s="146"/>
    </row>
    <row r="419" spans="13:47" x14ac:dyDescent="0.25">
      <c r="M419" s="27"/>
      <c r="N419" s="27"/>
      <c r="O419" s="2" t="s">
        <v>71</v>
      </c>
      <c r="P419" s="85">
        <v>5</v>
      </c>
      <c r="Q419" s="2"/>
      <c r="R419" s="179">
        <f>R411/((N_6*R$27*R418)*SQRT(R417*R413*R415))</f>
        <v>8.4506384140607946E-2</v>
      </c>
      <c r="S419" s="133"/>
      <c r="T419" s="146"/>
      <c r="U419" s="143">
        <f>U411/((N_6*U$27*U418)*SQRT(U417*U413*U415))</f>
        <v>2.6336510635481436</v>
      </c>
      <c r="V419" s="133"/>
      <c r="W419" s="146"/>
      <c r="X419" s="143">
        <f>X411/((N_6*X$27*X418)*SQRT(X417*X413*X415))</f>
        <v>6.6192567537921665</v>
      </c>
      <c r="Y419" s="133"/>
      <c r="Z419" s="146"/>
      <c r="AA419" s="143">
        <f>AA411/((N_6*AA$27*AA418)*SQRT(AA417*AA413*AA415))</f>
        <v>13.41880824286223</v>
      </c>
      <c r="AB419" s="133"/>
      <c r="AC419" s="146"/>
      <c r="AD419" s="143">
        <f>AD411/((N_6*AD$27*AD418)*SQRT(AD417*AD413*AD415))</f>
        <v>24.246270248450578</v>
      </c>
      <c r="AE419" s="133"/>
      <c r="AF419" s="146"/>
      <c r="AG419" s="143">
        <f>AG411/((N_6*AG$27*AG418)*SQRT(AG417*AG413*AG415))</f>
        <v>40.233469407916218</v>
      </c>
      <c r="AH419" s="133"/>
      <c r="AI419" s="146"/>
      <c r="AJ419" s="143">
        <f>AJ411/((N_6*AJ$27*AJ418)*SQRT(AJ417*AJ413*AJ415))</f>
        <v>66.439924910917696</v>
      </c>
      <c r="AK419" s="133"/>
      <c r="AL419" s="146"/>
      <c r="AM419" s="143">
        <f>AM411/((N_6*AM$27*AM418)*SQRT(AM417*AM413*AM415))</f>
        <v>119.32146321380907</v>
      </c>
      <c r="AN419" s="133"/>
      <c r="AO419" s="146"/>
      <c r="AP419" s="143">
        <f>AP411/((N_6*AP$27*AP418)*SQRT(AP417*AP413*AP415))</f>
        <v>793.4419105752396</v>
      </c>
      <c r="AQ419" s="133"/>
      <c r="AR419" s="146"/>
      <c r="AS419" s="143" t="e">
        <f>AS411/((N_6*AS$27*AS418)*SQRT(AS417*AS413*AS415))</f>
        <v>#NUM!</v>
      </c>
      <c r="AT419" s="133"/>
      <c r="AU419" s="146"/>
    </row>
    <row r="420" spans="13:47" x14ac:dyDescent="0.25">
      <c r="M420" s="27"/>
      <c r="N420" s="27"/>
      <c r="O420" s="2" t="s">
        <v>73</v>
      </c>
      <c r="P420" s="85">
        <v>5</v>
      </c>
      <c r="Q420" s="2"/>
      <c r="R420" s="179">
        <f>R411/((N_6*R$27*0.667)*SQRT(R421*R413*R415))</f>
        <v>8.2884521764290342E-2</v>
      </c>
      <c r="S420" s="133"/>
      <c r="T420" s="147"/>
      <c r="U420" s="143">
        <f>U411/((N_6*U$27*0.667)*SQRT(U421*U413*U415))</f>
        <v>2.5824758403708614</v>
      </c>
      <c r="V420" s="133"/>
      <c r="W420" s="155"/>
      <c r="X420" s="143">
        <f>X411/((N_6*X$27*0.667)*SQRT(X421*X413*X415))</f>
        <v>6.4975355151550929</v>
      </c>
      <c r="Y420" s="133"/>
      <c r="Z420" s="155"/>
      <c r="AA420" s="143">
        <f>AA411/((N_6*AA$27*0.667)*SQRT(AA421*AA413*AA415))</f>
        <v>13.147413753518354</v>
      </c>
      <c r="AB420" s="133"/>
      <c r="AC420" s="155"/>
      <c r="AD420" s="143">
        <f>AD411/((N_6*AD$27*0.667)*SQRT(AD421*AD413*AD415))</f>
        <v>23.593811109385708</v>
      </c>
      <c r="AE420" s="133"/>
      <c r="AF420" s="155"/>
      <c r="AG420" s="143">
        <f>AG411/((N_6*AG$27*0.667)*SQRT(AG421*AG413*AG415))</f>
        <v>38.530904173552607</v>
      </c>
      <c r="AH420" s="133"/>
      <c r="AI420" s="155"/>
      <c r="AJ420" s="143">
        <f>AJ411/((N_6*AJ$27*0.667)*SQRT(AJ421*AJ413*AJ415))</f>
        <v>60.500717050533744</v>
      </c>
      <c r="AK420" s="133"/>
      <c r="AL420" s="155"/>
      <c r="AM420" s="143">
        <f>AM411/((N_6*AM$27*0.667)*SQRT(AM421*AM413*AM415))</f>
        <v>93.075749602289193</v>
      </c>
      <c r="AN420" s="133"/>
      <c r="AO420" s="155"/>
      <c r="AP420" s="143">
        <f>AP411/((N_6*AP$27*0.667)*SQRT(AP421*AP413*AP415))</f>
        <v>128.23833549924743</v>
      </c>
      <c r="AQ420" s="133"/>
      <c r="AR420" s="155"/>
      <c r="AS420" s="143">
        <f>AS411/((N_6*AS$27*0.667)*SQRT(AS421*AS413*AS415))</f>
        <v>306.32556604206906</v>
      </c>
      <c r="AT420" s="133"/>
      <c r="AU420" s="155"/>
    </row>
    <row r="421" spans="13:47" ht="15.5" x14ac:dyDescent="0.4">
      <c r="M421" s="27"/>
      <c r="N421" s="27"/>
      <c r="O421" s="2" t="s">
        <v>192</v>
      </c>
      <c r="P421" s="85">
        <v>10</v>
      </c>
      <c r="Q421" s="2"/>
      <c r="R421" s="181">
        <f>F_GAMMA*R$29</f>
        <v>0.64002688015162901</v>
      </c>
      <c r="S421" s="133"/>
      <c r="T421" s="147"/>
      <c r="U421" s="138">
        <f>F_GAMMA*U$29</f>
        <v>0.64016782916606918</v>
      </c>
      <c r="V421" s="133"/>
      <c r="W421" s="155"/>
      <c r="X421" s="138">
        <f>F_GAMMA*X$29</f>
        <v>0.6307062319203669</v>
      </c>
      <c r="Y421" s="133"/>
      <c r="Z421" s="155"/>
      <c r="AA421" s="138">
        <f>F_GAMMA*AA$29</f>
        <v>0.62217534213893466</v>
      </c>
      <c r="AB421" s="133"/>
      <c r="AC421" s="155"/>
      <c r="AD421" s="138">
        <f>F_GAMMA*AD$29</f>
        <v>0.60557184969146072</v>
      </c>
      <c r="AE421" s="133"/>
      <c r="AF421" s="155"/>
      <c r="AG421" s="138">
        <f>F_GAMMA*AG$29</f>
        <v>0.57289312142622573</v>
      </c>
      <c r="AH421" s="133"/>
      <c r="AI421" s="155"/>
      <c r="AJ421" s="138">
        <f>F_GAMMA*AJ$29</f>
        <v>0.53590819116049981</v>
      </c>
      <c r="AK421" s="133"/>
      <c r="AL421" s="155"/>
      <c r="AM421" s="138">
        <f>F_GAMMA*AM$29</f>
        <v>0.49048815926850342</v>
      </c>
      <c r="AN421" s="133"/>
      <c r="AO421" s="155"/>
      <c r="AP421" s="138">
        <f>F_GAMMA*AP$29</f>
        <v>0.59352979016280105</v>
      </c>
      <c r="AQ421" s="133"/>
      <c r="AR421" s="155"/>
      <c r="AS421" s="138">
        <f>F_GAMMA*AS$29</f>
        <v>0.39097221161068291</v>
      </c>
      <c r="AT421" s="133"/>
      <c r="AU421" s="155"/>
    </row>
    <row r="422" spans="13:47" x14ac:dyDescent="0.25">
      <c r="M422" s="27"/>
      <c r="N422" s="27"/>
      <c r="O422" s="2" t="s">
        <v>193</v>
      </c>
      <c r="P422" s="134"/>
      <c r="Q422" s="2"/>
      <c r="R422" s="181">
        <f>IF(R417&lt;R421,R419,R420)</f>
        <v>8.4506384140607946E-2</v>
      </c>
      <c r="S422" s="133"/>
      <c r="T422" s="147"/>
      <c r="U422" s="138">
        <f>IF(U417&lt;U421,U419,U420)</f>
        <v>2.6336510635481436</v>
      </c>
      <c r="V422" s="133"/>
      <c r="W422" s="155"/>
      <c r="X422" s="138">
        <f>IF(X417&lt;X421,X419,X420)</f>
        <v>6.6192567537921665</v>
      </c>
      <c r="Y422" s="133"/>
      <c r="Z422" s="155"/>
      <c r="AA422" s="138">
        <f>IF(AA417&lt;AA421,AA419,AA420)</f>
        <v>13.41880824286223</v>
      </c>
      <c r="AB422" s="133"/>
      <c r="AC422" s="155"/>
      <c r="AD422" s="138">
        <f>IF(AD417&lt;AD421,AD419,AD420)</f>
        <v>24.246270248450578</v>
      </c>
      <c r="AE422" s="133"/>
      <c r="AF422" s="155"/>
      <c r="AG422" s="138">
        <f>IF(AG417&lt;AG421,AG419,AG420)</f>
        <v>40.233469407916218</v>
      </c>
      <c r="AH422" s="133"/>
      <c r="AI422" s="155"/>
      <c r="AJ422" s="138">
        <f>IF(AJ417&lt;AJ421,AJ419,AJ420)</f>
        <v>66.439924910917696</v>
      </c>
      <c r="AK422" s="133"/>
      <c r="AL422" s="155"/>
      <c r="AM422" s="138">
        <f>IF(AM417&lt;AM421,AM419,AM420)</f>
        <v>119.32146321380907</v>
      </c>
      <c r="AN422" s="133"/>
      <c r="AO422" s="155"/>
      <c r="AP422" s="138">
        <f>IF(AP417&lt;AP421,AP419,AP420)</f>
        <v>793.4419105752396</v>
      </c>
      <c r="AQ422" s="133"/>
      <c r="AR422" s="155"/>
      <c r="AS422" s="138" t="e">
        <f>IF(AS417&lt;AS421,AS419,AS420)</f>
        <v>#NUM!</v>
      </c>
      <c r="AT422" s="133"/>
      <c r="AU422" s="155"/>
    </row>
    <row r="423" spans="13:47" ht="13" x14ac:dyDescent="0.3">
      <c r="M423" s="28"/>
      <c r="N423" s="28"/>
      <c r="O423" s="9" t="s">
        <v>194</v>
      </c>
      <c r="P423" s="1"/>
      <c r="Q423" s="1"/>
      <c r="R423" s="135"/>
      <c r="S423" s="132">
        <f>IF(R416&lt;=0,W_max,ABS(R$23-R422))</f>
        <v>1.915493615859392</v>
      </c>
      <c r="T423" s="151">
        <f>R411</f>
        <v>19.54385015754066</v>
      </c>
      <c r="U423" s="135"/>
      <c r="V423" s="132">
        <f>IF(U416&lt;=0,W_max,ABS(U$23-U422))</f>
        <v>2.3663489364518564</v>
      </c>
      <c r="W423" s="151">
        <f>U411</f>
        <v>607.73562945024605</v>
      </c>
      <c r="X423" s="135"/>
      <c r="Y423" s="132">
        <f>IF(X416&lt;=0,W_max,ABS(X$23-X422))</f>
        <v>3.3807432462078335</v>
      </c>
      <c r="Z423" s="151">
        <f>X411</f>
        <v>1503.002533018134</v>
      </c>
      <c r="AA423" s="135"/>
      <c r="AB423" s="132">
        <f>IF(AA416&lt;=0,W_max,ABS(AA$23-AA422))</f>
        <v>3.7811917571377691</v>
      </c>
      <c r="AC423" s="151">
        <f>AA411</f>
        <v>2927.4652998165261</v>
      </c>
      <c r="AD423" s="135"/>
      <c r="AE423" s="132">
        <f>IF(AD416&lt;=0,W_max,ABS(AD$23-AD422))</f>
        <v>2.3537297515494231</v>
      </c>
      <c r="AF423" s="151">
        <f>AD411</f>
        <v>4814.6025894220038</v>
      </c>
      <c r="AG423" s="135"/>
      <c r="AH423" s="132">
        <f>IF(AG416&lt;=0,W_max,ABS(AG$23-AG422))</f>
        <v>1.833469407916219</v>
      </c>
      <c r="AI423" s="151">
        <f>AG411</f>
        <v>6752.8507894757322</v>
      </c>
      <c r="AJ423" s="135"/>
      <c r="AK423" s="132">
        <f>IF(AJ416&lt;=0,W_max,ABS(AJ$23-AJ422))</f>
        <v>13.939924910917696</v>
      </c>
      <c r="AL423" s="151">
        <f>AJ411</f>
        <v>8574.3286237634311</v>
      </c>
      <c r="AM423" s="135"/>
      <c r="AN423" s="132">
        <f>IF(AM416&lt;=0,W_max,ABS(AM$23-AM422))</f>
        <v>46.921463213809062</v>
      </c>
      <c r="AO423" s="151">
        <f>AM411</f>
        <v>10054.074638783006</v>
      </c>
      <c r="AP423" s="135"/>
      <c r="AQ423" s="132">
        <f>IF(AP416&lt;=0,W_max,ABS(AP$23-AP422))</f>
        <v>685.4419105752396</v>
      </c>
      <c r="AR423" s="151">
        <f>AP411</f>
        <v>11217.012829500727</v>
      </c>
      <c r="AS423" s="135"/>
      <c r="AT423" s="132">
        <f>IF(AS416&lt;=0,W_max,ABS(AS$23-AS422))</f>
        <v>7174</v>
      </c>
      <c r="AU423" s="151">
        <f>AS411</f>
        <v>12514.466158012721</v>
      </c>
    </row>
    <row r="424" spans="13:47" ht="13" x14ac:dyDescent="0.25">
      <c r="M424" s="12"/>
      <c r="N424" s="12"/>
      <c r="O424" s="12"/>
      <c r="P424" s="12"/>
      <c r="Q424" s="12"/>
      <c r="R424" s="182"/>
      <c r="S424" s="22"/>
      <c r="T424" s="152"/>
      <c r="U424" s="157"/>
      <c r="V424" s="1"/>
      <c r="W424" s="147"/>
      <c r="X424" s="157"/>
      <c r="Y424" s="1"/>
      <c r="Z424" s="147"/>
      <c r="AA424" s="157"/>
      <c r="AB424" s="1"/>
      <c r="AC424" s="147"/>
      <c r="AD424" s="157"/>
      <c r="AE424" s="1"/>
      <c r="AF424" s="147"/>
      <c r="AG424" s="157"/>
      <c r="AH424" s="1"/>
      <c r="AI424" s="147"/>
      <c r="AJ424" s="157"/>
      <c r="AK424" s="1"/>
      <c r="AL424" s="147"/>
      <c r="AM424" s="157"/>
      <c r="AN424" s="1"/>
      <c r="AO424" s="147"/>
      <c r="AP424" s="157"/>
      <c r="AQ424" s="1"/>
      <c r="AR424" s="147"/>
      <c r="AS424" s="157"/>
      <c r="AT424" s="1"/>
      <c r="AU424" s="147"/>
    </row>
    <row r="425" spans="13:47" ht="14" x14ac:dyDescent="0.3">
      <c r="M425" s="23"/>
      <c r="N425" s="23"/>
      <c r="O425" s="23" t="s">
        <v>238</v>
      </c>
      <c r="P425" s="20"/>
      <c r="Q425" s="20"/>
      <c r="R425" s="18">
        <f>R411*1.02</f>
        <v>19.934727160691473</v>
      </c>
      <c r="S425" s="128" t="s">
        <v>185</v>
      </c>
      <c r="T425" s="153" t="s">
        <v>186</v>
      </c>
      <c r="U425" s="143">
        <f>U411*1.01</f>
        <v>613.81298574474852</v>
      </c>
      <c r="V425" s="128" t="s">
        <v>185</v>
      </c>
      <c r="W425" s="153" t="s">
        <v>186</v>
      </c>
      <c r="X425" s="143">
        <f>X411*1.01</f>
        <v>1518.0325583483154</v>
      </c>
      <c r="Y425" s="128" t="s">
        <v>185</v>
      </c>
      <c r="Z425" s="153" t="s">
        <v>186</v>
      </c>
      <c r="AA425" s="143">
        <f>AA411*1.01</f>
        <v>2956.7399528146916</v>
      </c>
      <c r="AB425" s="128" t="s">
        <v>185</v>
      </c>
      <c r="AC425" s="153" t="s">
        <v>186</v>
      </c>
      <c r="AD425" s="143">
        <f>AD411*1.01</f>
        <v>4862.7486153162235</v>
      </c>
      <c r="AE425" s="128" t="s">
        <v>185</v>
      </c>
      <c r="AF425" s="153" t="s">
        <v>186</v>
      </c>
      <c r="AG425" s="143">
        <f>AG411*1.01</f>
        <v>6820.3792973704894</v>
      </c>
      <c r="AH425" s="128" t="s">
        <v>185</v>
      </c>
      <c r="AI425" s="153" t="s">
        <v>186</v>
      </c>
      <c r="AJ425" s="143">
        <f>AJ411*1.01</f>
        <v>8660.0719100010647</v>
      </c>
      <c r="AK425" s="128" t="s">
        <v>185</v>
      </c>
      <c r="AL425" s="153" t="s">
        <v>186</v>
      </c>
      <c r="AM425" s="143">
        <f>AM411*1.01</f>
        <v>10154.615385170837</v>
      </c>
      <c r="AN425" s="128" t="s">
        <v>185</v>
      </c>
      <c r="AO425" s="153" t="s">
        <v>186</v>
      </c>
      <c r="AP425" s="143">
        <f>AP411*1.01</f>
        <v>11329.182957795734</v>
      </c>
      <c r="AQ425" s="128" t="s">
        <v>185</v>
      </c>
      <c r="AR425" s="153" t="s">
        <v>186</v>
      </c>
      <c r="AS425" s="143">
        <f>AS411*1.01</f>
        <v>12639.610819592848</v>
      </c>
      <c r="AT425" s="128" t="s">
        <v>185</v>
      </c>
      <c r="AU425" s="153" t="s">
        <v>186</v>
      </c>
    </row>
    <row r="426" spans="13:47" ht="14" x14ac:dyDescent="0.3">
      <c r="M426" s="12"/>
      <c r="N426" s="12"/>
      <c r="O426" s="20"/>
      <c r="P426" s="20"/>
      <c r="Q426" s="23"/>
      <c r="R426" s="139"/>
      <c r="S426" s="130" t="s">
        <v>228</v>
      </c>
      <c r="T426" s="154" t="s">
        <v>187</v>
      </c>
      <c r="U426" s="144"/>
      <c r="V426" s="130" t="s">
        <v>228</v>
      </c>
      <c r="W426" s="154" t="s">
        <v>187</v>
      </c>
      <c r="X426" s="144"/>
      <c r="Y426" s="130" t="s">
        <v>228</v>
      </c>
      <c r="Z426" s="154" t="s">
        <v>187</v>
      </c>
      <c r="AA426" s="144"/>
      <c r="AB426" s="130" t="s">
        <v>228</v>
      </c>
      <c r="AC426" s="154" t="s">
        <v>187</v>
      </c>
      <c r="AD426" s="144"/>
      <c r="AE426" s="130" t="s">
        <v>228</v>
      </c>
      <c r="AF426" s="154" t="s">
        <v>187</v>
      </c>
      <c r="AG426" s="144"/>
      <c r="AH426" s="130" t="s">
        <v>228</v>
      </c>
      <c r="AI426" s="154" t="s">
        <v>187</v>
      </c>
      <c r="AJ426" s="144"/>
      <c r="AK426" s="130" t="s">
        <v>228</v>
      </c>
      <c r="AL426" s="154" t="s">
        <v>187</v>
      </c>
      <c r="AM426" s="144"/>
      <c r="AN426" s="130" t="s">
        <v>228</v>
      </c>
      <c r="AO426" s="154" t="s">
        <v>187</v>
      </c>
      <c r="AP426" s="144"/>
      <c r="AQ426" s="130" t="s">
        <v>228</v>
      </c>
      <c r="AR426" s="154" t="s">
        <v>187</v>
      </c>
      <c r="AS426" s="144"/>
      <c r="AT426" s="130" t="s">
        <v>228</v>
      </c>
      <c r="AU426" s="154" t="s">
        <v>187</v>
      </c>
    </row>
    <row r="427" spans="13:47" x14ac:dyDescent="0.25">
      <c r="M427" s="20"/>
      <c r="N427" s="20"/>
      <c r="O427" s="7" t="s">
        <v>188</v>
      </c>
      <c r="P427" s="7"/>
      <c r="Q427" s="7"/>
      <c r="R427" s="181">
        <f>P_1_minW-(R425^2*R_up)+dpup_minQ</f>
        <v>100.52262827142587</v>
      </c>
      <c r="S427" s="132"/>
      <c r="T427" s="145"/>
      <c r="U427" s="138">
        <f>P_1_minW-(U425^2*R_up)+dpup_minQ</f>
        <v>100.37254668251231</v>
      </c>
      <c r="V427" s="132"/>
      <c r="W427" s="145"/>
      <c r="X427" s="138">
        <f>P_1_minW-(X425^2*R_up)+dpup_minQ</f>
        <v>99.603870849652196</v>
      </c>
      <c r="Y427" s="132"/>
      <c r="Z427" s="145"/>
      <c r="AA427" s="138">
        <f>P_1_minW-(AA425^2*R_up)+dpup_minQ</f>
        <v>97.036686687672798</v>
      </c>
      <c r="AB427" s="132"/>
      <c r="AC427" s="145"/>
      <c r="AD427" s="138">
        <f>P_1_minW-(AD425^2*R_up)+dpup_minQ</f>
        <v>91.093535113298572</v>
      </c>
      <c r="AE427" s="132"/>
      <c r="AF427" s="145"/>
      <c r="AG427" s="138">
        <f>P_1_minW-(AG425^2*R_up)+dpup_minQ</f>
        <v>81.973353593624736</v>
      </c>
      <c r="AH427" s="132"/>
      <c r="AI427" s="145"/>
      <c r="AJ427" s="138">
        <f>P_1_minW-(AJ425^2*R_up)+dpup_minQ</f>
        <v>70.61690689719029</v>
      </c>
      <c r="AK427" s="132"/>
      <c r="AL427" s="145"/>
      <c r="AM427" s="138">
        <f>P_1_minW-(AM425^2*R_up)+dpup_minQ</f>
        <v>59.403976018085018</v>
      </c>
      <c r="AN427" s="132"/>
      <c r="AO427" s="145"/>
      <c r="AP427" s="138">
        <f>P_1_minW-(AP425^2*R_up)+dpup_minQ</f>
        <v>49.341550901137232</v>
      </c>
      <c r="AQ427" s="132"/>
      <c r="AR427" s="145"/>
      <c r="AS427" s="138">
        <f>P_1_minW-(AS425^2*R_up)+dpup_minQ</f>
        <v>36.816690770516296</v>
      </c>
      <c r="AT427" s="132"/>
      <c r="AU427" s="145"/>
    </row>
    <row r="428" spans="13:47" x14ac:dyDescent="0.25">
      <c r="M428" s="20"/>
      <c r="N428" s="20"/>
      <c r="O428" s="7" t="s">
        <v>189</v>
      </c>
      <c r="P428" s="1"/>
      <c r="Q428" s="7"/>
      <c r="R428" s="181">
        <f>P_2_minW+(R425^2*R_dn)-dpdn_minQ</f>
        <v>50</v>
      </c>
      <c r="S428" s="132"/>
      <c r="T428" s="146"/>
      <c r="U428" s="138">
        <f>P_2_minW+(U425^2*R_dn)-dpdn_minQ</f>
        <v>50</v>
      </c>
      <c r="V428" s="132"/>
      <c r="W428" s="146"/>
      <c r="X428" s="138">
        <f>P_2_minW+(X425^2*R_dn)-dpdn_minQ</f>
        <v>50</v>
      </c>
      <c r="Y428" s="132"/>
      <c r="Z428" s="146"/>
      <c r="AA428" s="138">
        <f>P_2_minW+(AA425^2*R_dn)-dpdn_minQ</f>
        <v>50</v>
      </c>
      <c r="AB428" s="132"/>
      <c r="AC428" s="146"/>
      <c r="AD428" s="138">
        <f>P_2_minW+(AD425^2*R_dn)-dpdn_minQ</f>
        <v>50</v>
      </c>
      <c r="AE428" s="132"/>
      <c r="AF428" s="146"/>
      <c r="AG428" s="138">
        <f>P_2_minW+(AG425^2*R_dn)-dpdn_minQ</f>
        <v>50</v>
      </c>
      <c r="AH428" s="132"/>
      <c r="AI428" s="146"/>
      <c r="AJ428" s="138">
        <f>P_2_minW+(AJ425^2*R_dn)-dpdn_minQ</f>
        <v>50</v>
      </c>
      <c r="AK428" s="132"/>
      <c r="AL428" s="146"/>
      <c r="AM428" s="138">
        <f>P_2_minW+(AM425^2*R_dn)-dpdn_minQ</f>
        <v>50</v>
      </c>
      <c r="AN428" s="132"/>
      <c r="AO428" s="146"/>
      <c r="AP428" s="138">
        <f>P_2_minW+(AP425^2*R_dn)-dpdn_minQ</f>
        <v>50</v>
      </c>
      <c r="AQ428" s="132"/>
      <c r="AR428" s="146"/>
      <c r="AS428" s="138">
        <f>P_2_minW+(AS425^2*R_dn)-dpdn_minQ</f>
        <v>50</v>
      </c>
      <c r="AT428" s="132"/>
      <c r="AU428" s="146"/>
    </row>
    <row r="429" spans="13:47" x14ac:dyDescent="0.25">
      <c r="M429" s="20"/>
      <c r="N429" s="20"/>
      <c r="O429" s="7" t="s">
        <v>234</v>
      </c>
      <c r="P429" s="1"/>
      <c r="Q429" s="7"/>
      <c r="R429" s="179">
        <f>'Valve Sizing'!G$8*R427/P_1_maxW</f>
        <v>0.48490326183049265</v>
      </c>
      <c r="S429" s="132"/>
      <c r="T429" s="146"/>
      <c r="U429" s="143">
        <f>'Valve Sizing'!$G$8*U427/P_1_maxW</f>
        <v>0.48417929496595358</v>
      </c>
      <c r="V429" s="132"/>
      <c r="W429" s="146"/>
      <c r="X429" s="143">
        <f>'Valve Sizing'!$G$8*X427/P_1_maxW</f>
        <v>0.4804713396025333</v>
      </c>
      <c r="Y429" s="132"/>
      <c r="Z429" s="146"/>
      <c r="AA429" s="143">
        <f>'Valve Sizing'!$G$8*AA427/P_1_maxW</f>
        <v>0.46808770026411339</v>
      </c>
      <c r="AB429" s="132"/>
      <c r="AC429" s="146"/>
      <c r="AD429" s="143">
        <f>'Valve Sizing'!$G$8*AD427/P_1_maxW</f>
        <v>0.43941899518225203</v>
      </c>
      <c r="AE429" s="132"/>
      <c r="AF429" s="146"/>
      <c r="AG429" s="143">
        <f>'Valve Sizing'!$G$8*AG427/P_1_maxW</f>
        <v>0.39542486327958354</v>
      </c>
      <c r="AH429" s="132"/>
      <c r="AI429" s="146"/>
      <c r="AJ429" s="143">
        <f>'Valve Sizing'!$G$8*AJ427/P_1_maxW</f>
        <v>0.34064338630669666</v>
      </c>
      <c r="AK429" s="132"/>
      <c r="AL429" s="146"/>
      <c r="AM429" s="143">
        <f>'Valve Sizing'!$G$8*AM427/P_1_maxW</f>
        <v>0.28655420408518928</v>
      </c>
      <c r="AN429" s="132"/>
      <c r="AO429" s="146"/>
      <c r="AP429" s="143">
        <f>'Valve Sizing'!$G$8*AP427/P_1_maxW</f>
        <v>0.23801485682540391</v>
      </c>
      <c r="AQ429" s="132"/>
      <c r="AR429" s="146"/>
      <c r="AS429" s="143">
        <f>'Valve Sizing'!$G$8*AS427/P_1_maxW</f>
        <v>0.17759716146919163</v>
      </c>
      <c r="AT429" s="132"/>
      <c r="AU429" s="146"/>
    </row>
    <row r="430" spans="13:47" x14ac:dyDescent="0.25">
      <c r="M430" s="20"/>
      <c r="N430" s="20"/>
      <c r="O430" s="7" t="s">
        <v>190</v>
      </c>
      <c r="P430" s="1"/>
      <c r="Q430" s="7"/>
      <c r="R430" s="181">
        <f>R427-R428</f>
        <v>50.522628271425873</v>
      </c>
      <c r="S430" s="132"/>
      <c r="T430" s="146"/>
      <c r="U430" s="138">
        <f>U427-U428</f>
        <v>50.372546682512308</v>
      </c>
      <c r="V430" s="132"/>
      <c r="W430" s="146"/>
      <c r="X430" s="138">
        <f>X427-X428</f>
        <v>49.603870849652196</v>
      </c>
      <c r="Y430" s="132"/>
      <c r="Z430" s="146"/>
      <c r="AA430" s="138">
        <f>AA427-AA428</f>
        <v>47.036686687672798</v>
      </c>
      <c r="AB430" s="132"/>
      <c r="AC430" s="146"/>
      <c r="AD430" s="138">
        <f>AD427-AD428</f>
        <v>41.093535113298572</v>
      </c>
      <c r="AE430" s="132"/>
      <c r="AF430" s="146"/>
      <c r="AG430" s="138">
        <f>AG427-AG428</f>
        <v>31.973353593624736</v>
      </c>
      <c r="AH430" s="132"/>
      <c r="AI430" s="146"/>
      <c r="AJ430" s="138">
        <f>AJ427-AJ428</f>
        <v>20.61690689719029</v>
      </c>
      <c r="AK430" s="132"/>
      <c r="AL430" s="146"/>
      <c r="AM430" s="138">
        <f>AM427-AM428</f>
        <v>9.403976018085018</v>
      </c>
      <c r="AN430" s="132"/>
      <c r="AO430" s="146"/>
      <c r="AP430" s="138">
        <f>AP427-AP428</f>
        <v>-0.65844909886276781</v>
      </c>
      <c r="AQ430" s="132"/>
      <c r="AR430" s="146"/>
      <c r="AS430" s="138">
        <f>AS427-AS428</f>
        <v>-13.183309229483704</v>
      </c>
      <c r="AT430" s="132"/>
      <c r="AU430" s="146"/>
    </row>
    <row r="431" spans="13:47" ht="14.5" x14ac:dyDescent="0.35">
      <c r="M431" s="27"/>
      <c r="N431" s="27"/>
      <c r="O431" s="2" t="s">
        <v>191</v>
      </c>
      <c r="P431" s="10"/>
      <c r="Q431" s="2"/>
      <c r="R431" s="181">
        <f>R430/R427</f>
        <v>0.50259955534596001</v>
      </c>
      <c r="S431" s="132"/>
      <c r="T431" s="146"/>
      <c r="U431" s="138">
        <f>U430/U427</f>
        <v>0.50185581961814074</v>
      </c>
      <c r="V431" s="132"/>
      <c r="W431" s="146"/>
      <c r="X431" s="138">
        <f>X430/X427</f>
        <v>0.49801147712950966</v>
      </c>
      <c r="Y431" s="132"/>
      <c r="Z431" s="146"/>
      <c r="AA431" s="138">
        <f>AA430/AA427</f>
        <v>0.48473096406380262</v>
      </c>
      <c r="AB431" s="132"/>
      <c r="AC431" s="146"/>
      <c r="AD431" s="138">
        <f>AD430/AD427</f>
        <v>0.45111362801090155</v>
      </c>
      <c r="AE431" s="132"/>
      <c r="AF431" s="146"/>
      <c r="AG431" s="138">
        <f>AG430/AG427</f>
        <v>0.39004569402064065</v>
      </c>
      <c r="AH431" s="132"/>
      <c r="AI431" s="146"/>
      <c r="AJ431" s="138">
        <f>AJ430/AJ427</f>
        <v>0.29195426142362796</v>
      </c>
      <c r="AK431" s="132"/>
      <c r="AL431" s="146"/>
      <c r="AM431" s="138">
        <f>AM430/AM427</f>
        <v>0.15830549819126685</v>
      </c>
      <c r="AN431" s="132"/>
      <c r="AO431" s="146"/>
      <c r="AP431" s="138">
        <f>AP430/AP427</f>
        <v>-1.3344718332467165E-2</v>
      </c>
      <c r="AQ431" s="132"/>
      <c r="AR431" s="146"/>
      <c r="AS431" s="138">
        <f>AS430/AS427</f>
        <v>-0.35807969031375358</v>
      </c>
      <c r="AT431" s="132"/>
      <c r="AU431" s="146"/>
    </row>
    <row r="432" spans="13:47" x14ac:dyDescent="0.25">
      <c r="M432" s="27"/>
      <c r="N432" s="27"/>
      <c r="O432" s="2" t="s">
        <v>26</v>
      </c>
      <c r="P432" s="7">
        <v>12</v>
      </c>
      <c r="Q432" s="2"/>
      <c r="R432" s="181">
        <f>1-R431/(3*F_GAMMA*R$29)</f>
        <v>0.73824039222285531</v>
      </c>
      <c r="S432" s="133"/>
      <c r="T432" s="146"/>
      <c r="U432" s="138">
        <f>1-U431/(3*F_GAMMA*U$29)</f>
        <v>0.73868528597576466</v>
      </c>
      <c r="V432" s="133"/>
      <c r="W432" s="146"/>
      <c r="X432" s="138">
        <f>1-X431/(3*F_GAMMA*X$29)</f>
        <v>0.73679691541275871</v>
      </c>
      <c r="Y432" s="133"/>
      <c r="Z432" s="146"/>
      <c r="AA432" s="138">
        <f>1-AA431/(3*F_GAMMA*AA$29)</f>
        <v>0.74030313148413618</v>
      </c>
      <c r="AB432" s="133"/>
      <c r="AC432" s="146"/>
      <c r="AD432" s="138">
        <f>1-AD431/(3*F_GAMMA*AD$29)</f>
        <v>0.75168725327377517</v>
      </c>
      <c r="AE432" s="133"/>
      <c r="AF432" s="146"/>
      <c r="AG432" s="138">
        <f>1-AG431/(3*F_GAMMA*AG$29)</f>
        <v>0.77305499668674893</v>
      </c>
      <c r="AH432" s="133"/>
      <c r="AI432" s="146"/>
      <c r="AJ432" s="138">
        <f>1-AJ431/(3*F_GAMMA*AJ$29)</f>
        <v>0.81840530011219137</v>
      </c>
      <c r="AK432" s="133"/>
      <c r="AL432" s="146"/>
      <c r="AM432" s="138">
        <f>1-AM431/(3*F_GAMMA*AM$29)</f>
        <v>0.89241636439137284</v>
      </c>
      <c r="AN432" s="133"/>
      <c r="AO432" s="146"/>
      <c r="AP432" s="138">
        <f>1-AP431/(3*F_GAMMA*AP$29)</f>
        <v>1.0074945512725413</v>
      </c>
      <c r="AQ432" s="133"/>
      <c r="AR432" s="146"/>
      <c r="AS432" s="138">
        <f>1-AS431/(3*F_GAMMA*AS$29)</f>
        <v>1.3052899751609606</v>
      </c>
      <c r="AT432" s="133"/>
      <c r="AU432" s="146"/>
    </row>
    <row r="433" spans="13:47" x14ac:dyDescent="0.25">
      <c r="M433" s="27"/>
      <c r="N433" s="27"/>
      <c r="O433" s="2" t="s">
        <v>71</v>
      </c>
      <c r="P433" s="85">
        <v>5</v>
      </c>
      <c r="Q433" s="2"/>
      <c r="R433" s="179">
        <f>R425/((N_6*R$27*R432)*SQRT(R431*R427*R429))</f>
        <v>8.619651785926348E-2</v>
      </c>
      <c r="S433" s="133"/>
      <c r="T433" s="146"/>
      <c r="U433" s="143">
        <f>U425/((N_6*U$27*U432)*SQRT(U431*U427*U429))</f>
        <v>2.6600774136733794</v>
      </c>
      <c r="V433" s="133"/>
      <c r="W433" s="146"/>
      <c r="X433" s="143">
        <f>X425/((N_6*X$27*X432)*SQRT(X431*X427*X429))</f>
        <v>6.6868394518351622</v>
      </c>
      <c r="Y433" s="133"/>
      <c r="Z433" s="146"/>
      <c r="AA433" s="143">
        <f>AA425/((N_6*AA$27*AA432)*SQRT(AA431*AA427*AA429))</f>
        <v>13.564109463002339</v>
      </c>
      <c r="AB433" s="133"/>
      <c r="AC433" s="146"/>
      <c r="AD433" s="143">
        <f>AD425/((N_6*AD$27*AD432)*SQRT(AD431*AD427*AD429))</f>
        <v>24.548946904066153</v>
      </c>
      <c r="AE433" s="133"/>
      <c r="AF433" s="146"/>
      <c r="AG433" s="143">
        <f>AG425/((N_6*AG$27*AG432)*SQRT(AG431*AG427*AG429))</f>
        <v>40.874944360064383</v>
      </c>
      <c r="AH433" s="133"/>
      <c r="AI433" s="146"/>
      <c r="AJ433" s="143">
        <f>AJ425/((N_6*AJ$27*AJ432)*SQRT(AJ431*AJ427*AJ429))</f>
        <v>68.035569689656143</v>
      </c>
      <c r="AK433" s="133"/>
      <c r="AL433" s="146"/>
      <c r="AM433" s="143">
        <f>AM425/((N_6*AM$27*AM432)*SQRT(AM431*AM427*AM429))</f>
        <v>125.36195165876786</v>
      </c>
      <c r="AN433" s="133"/>
      <c r="AO433" s="146"/>
      <c r="AP433" s="143" t="e">
        <f>AP425/((N_6*AP$27*AP432)*SQRT(AP431*AP427*AP429))</f>
        <v>#NUM!</v>
      </c>
      <c r="AQ433" s="133"/>
      <c r="AR433" s="146"/>
      <c r="AS433" s="143" t="e">
        <f>AS425/((N_6*AS$27*AS432)*SQRT(AS431*AS427*AS429))</f>
        <v>#NUM!</v>
      </c>
      <c r="AT433" s="133"/>
      <c r="AU433" s="146"/>
    </row>
    <row r="434" spans="13:47" x14ac:dyDescent="0.25">
      <c r="M434" s="27"/>
      <c r="N434" s="27"/>
      <c r="O434" s="2" t="s">
        <v>73</v>
      </c>
      <c r="P434" s="85">
        <v>5</v>
      </c>
      <c r="Q434" s="2"/>
      <c r="R434" s="179">
        <f>R425/((N_6*R$27*0.667)*SQRT(R435*R427*R429))</f>
        <v>8.4542217374750359E-2</v>
      </c>
      <c r="S434" s="133"/>
      <c r="T434" s="155"/>
      <c r="U434" s="143">
        <f>U425/((N_6*U$27*0.667)*SQRT(U435*U427*U429))</f>
        <v>2.6083775262958824</v>
      </c>
      <c r="V434" s="133"/>
      <c r="W434" s="155"/>
      <c r="X434" s="143">
        <f>X425/((N_6*X$27*0.667)*SQRT(X435*X427*X429))</f>
        <v>6.5637038220858512</v>
      </c>
      <c r="Y434" s="133"/>
      <c r="Z434" s="155"/>
      <c r="AA434" s="143">
        <f>AA425/((N_6*AA$27*0.667)*SQRT(AA435*AA427*AA429))</f>
        <v>13.288287697304034</v>
      </c>
      <c r="AB434" s="133"/>
      <c r="AC434" s="155"/>
      <c r="AD434" s="143">
        <f>AD425/((N_6*AD$27*0.667)*SQRT(AD435*AD427*AD429))</f>
        <v>23.878352150421101</v>
      </c>
      <c r="AE434" s="133"/>
      <c r="AF434" s="155"/>
      <c r="AG434" s="143">
        <f>AG425/((N_6*AG$27*0.667)*SQRT(AG435*AG427*AG429))</f>
        <v>39.08973013269479</v>
      </c>
      <c r="AH434" s="133"/>
      <c r="AI434" s="155"/>
      <c r="AJ434" s="143">
        <f>AJ425/((N_6*AJ$27*0.667)*SQRT(AJ435*AJ427*AJ429))</f>
        <v>61.615621974482387</v>
      </c>
      <c r="AK434" s="133"/>
      <c r="AL434" s="155"/>
      <c r="AM434" s="143">
        <f>AM425/((N_6*AM$27*0.667)*SQRT(AM435*AM427*AM429))</f>
        <v>95.288649482906607</v>
      </c>
      <c r="AN434" s="133"/>
      <c r="AO434" s="155"/>
      <c r="AP434" s="143">
        <f>AP425/((N_6*AP$27*0.667)*SQRT(AP435*AP427*AP429))</f>
        <v>132.16794185847527</v>
      </c>
      <c r="AQ434" s="133"/>
      <c r="AR434" s="155"/>
      <c r="AS434" s="143">
        <f>AS425/((N_6*AS$27*0.667)*SQRT(AS435*AS427*AS429))</f>
        <v>319.93740580972553</v>
      </c>
      <c r="AT434" s="133"/>
      <c r="AU434" s="155"/>
    </row>
    <row r="435" spans="13:47" ht="15.5" x14ac:dyDescent="0.4">
      <c r="M435" s="27"/>
      <c r="N435" s="27"/>
      <c r="O435" s="2" t="s">
        <v>192</v>
      </c>
      <c r="P435" s="85">
        <v>10</v>
      </c>
      <c r="Q435" s="2"/>
      <c r="R435" s="181">
        <f>F_GAMMA*R$29</f>
        <v>0.64002688015162901</v>
      </c>
      <c r="S435" s="133"/>
      <c r="T435" s="155"/>
      <c r="U435" s="138">
        <f>F_GAMMA*U$29</f>
        <v>0.64016782916606918</v>
      </c>
      <c r="V435" s="133"/>
      <c r="W435" s="155"/>
      <c r="X435" s="138">
        <f>F_GAMMA*X$29</f>
        <v>0.6307062319203669</v>
      </c>
      <c r="Y435" s="133"/>
      <c r="Z435" s="155"/>
      <c r="AA435" s="138">
        <f>F_GAMMA*AA$29</f>
        <v>0.62217534213893466</v>
      </c>
      <c r="AB435" s="133"/>
      <c r="AC435" s="155"/>
      <c r="AD435" s="138">
        <f>F_GAMMA*AD$29</f>
        <v>0.60557184969146072</v>
      </c>
      <c r="AE435" s="133"/>
      <c r="AF435" s="155"/>
      <c r="AG435" s="138">
        <f>F_GAMMA*AG$29</f>
        <v>0.57289312142622573</v>
      </c>
      <c r="AH435" s="133"/>
      <c r="AI435" s="155"/>
      <c r="AJ435" s="138">
        <f>F_GAMMA*AJ$29</f>
        <v>0.53590819116049981</v>
      </c>
      <c r="AK435" s="133"/>
      <c r="AL435" s="155"/>
      <c r="AM435" s="138">
        <f>F_GAMMA*AM$29</f>
        <v>0.49048815926850342</v>
      </c>
      <c r="AN435" s="133"/>
      <c r="AO435" s="155"/>
      <c r="AP435" s="138">
        <f>F_GAMMA*AP$29</f>
        <v>0.59352979016280105</v>
      </c>
      <c r="AQ435" s="133"/>
      <c r="AR435" s="155"/>
      <c r="AS435" s="138">
        <f>F_GAMMA*AS$29</f>
        <v>0.39097221161068291</v>
      </c>
      <c r="AT435" s="133"/>
      <c r="AU435" s="155"/>
    </row>
    <row r="436" spans="13:47" x14ac:dyDescent="0.25">
      <c r="M436" s="27"/>
      <c r="N436" s="27"/>
      <c r="O436" s="2" t="s">
        <v>193</v>
      </c>
      <c r="P436" s="134"/>
      <c r="Q436" s="2"/>
      <c r="R436" s="181">
        <f>IF(R431&lt;R435,R433,R434)</f>
        <v>8.619651785926348E-2</v>
      </c>
      <c r="S436" s="133"/>
      <c r="T436" s="155"/>
      <c r="U436" s="138">
        <f>IF(U431&lt;U435,U433,U434)</f>
        <v>2.6600774136733794</v>
      </c>
      <c r="V436" s="133"/>
      <c r="W436" s="155"/>
      <c r="X436" s="138">
        <f>IF(X431&lt;X435,X433,X434)</f>
        <v>6.6868394518351622</v>
      </c>
      <c r="Y436" s="133"/>
      <c r="Z436" s="155"/>
      <c r="AA436" s="138">
        <f>IF(AA431&lt;AA435,AA433,AA434)</f>
        <v>13.564109463002339</v>
      </c>
      <c r="AB436" s="133"/>
      <c r="AC436" s="155"/>
      <c r="AD436" s="138">
        <f>IF(AD431&lt;AD435,AD433,AD434)</f>
        <v>24.548946904066153</v>
      </c>
      <c r="AE436" s="133"/>
      <c r="AF436" s="155"/>
      <c r="AG436" s="138">
        <f>IF(AG431&lt;AG435,AG433,AG434)</f>
        <v>40.874944360064383</v>
      </c>
      <c r="AH436" s="133"/>
      <c r="AI436" s="155"/>
      <c r="AJ436" s="138">
        <f>IF(AJ431&lt;AJ435,AJ433,AJ434)</f>
        <v>68.035569689656143</v>
      </c>
      <c r="AK436" s="133"/>
      <c r="AL436" s="155"/>
      <c r="AM436" s="138">
        <f>IF(AM431&lt;AM435,AM433,AM434)</f>
        <v>125.36195165876786</v>
      </c>
      <c r="AN436" s="133"/>
      <c r="AO436" s="155"/>
      <c r="AP436" s="138" t="e">
        <f>IF(AP431&lt;AP435,AP433,AP434)</f>
        <v>#NUM!</v>
      </c>
      <c r="AQ436" s="133"/>
      <c r="AR436" s="155"/>
      <c r="AS436" s="138" t="e">
        <f>IF(AS431&lt;AS435,AS433,AS434)</f>
        <v>#NUM!</v>
      </c>
      <c r="AT436" s="133"/>
      <c r="AU436" s="155"/>
    </row>
    <row r="437" spans="13:47" ht="13" x14ac:dyDescent="0.3">
      <c r="M437" s="28"/>
      <c r="N437" s="28"/>
      <c r="O437" s="9" t="s">
        <v>194</v>
      </c>
      <c r="P437" s="1"/>
      <c r="Q437" s="1"/>
      <c r="R437" s="135"/>
      <c r="S437" s="132">
        <f>IF(R430&lt;=0,W_max,ABS(R$23-R436))</f>
        <v>1.9138034821407366</v>
      </c>
      <c r="T437" s="151">
        <f>R425</f>
        <v>19.934727160691473</v>
      </c>
      <c r="U437" s="135"/>
      <c r="V437" s="132">
        <f>IF(U430&lt;=0,W_max,ABS(U$23-U436))</f>
        <v>2.3399225863266206</v>
      </c>
      <c r="W437" s="151">
        <f>U425</f>
        <v>613.81298574474852</v>
      </c>
      <c r="X437" s="135"/>
      <c r="Y437" s="132">
        <f>IF(X430&lt;=0,W_max,ABS(X$23-X436))</f>
        <v>3.3131605481648378</v>
      </c>
      <c r="Z437" s="151">
        <f>X425</f>
        <v>1518.0325583483154</v>
      </c>
      <c r="AA437" s="135"/>
      <c r="AB437" s="132">
        <f>IF(AA430&lt;=0,W_max,ABS(AA$23-AA436))</f>
        <v>3.6358905369976604</v>
      </c>
      <c r="AC437" s="151">
        <f>AA425</f>
        <v>2956.7399528146916</v>
      </c>
      <c r="AD437" s="135"/>
      <c r="AE437" s="132">
        <f>IF(AD430&lt;=0,W_max,ABS(AD$23-AD436))</f>
        <v>2.0510530959338489</v>
      </c>
      <c r="AF437" s="151">
        <f>AD425</f>
        <v>4862.7486153162235</v>
      </c>
      <c r="AG437" s="135"/>
      <c r="AH437" s="132">
        <f>IF(AG430&lt;=0,W_max,ABS(AG$23-AG436))</f>
        <v>2.4749443600643843</v>
      </c>
      <c r="AI437" s="151">
        <f>AG425</f>
        <v>6820.3792973704894</v>
      </c>
      <c r="AJ437" s="135"/>
      <c r="AK437" s="132">
        <f>IF(AJ430&lt;=0,W_max,ABS(AJ$23-AJ436))</f>
        <v>15.535569689656143</v>
      </c>
      <c r="AL437" s="151">
        <f>AJ425</f>
        <v>8660.0719100010647</v>
      </c>
      <c r="AM437" s="135"/>
      <c r="AN437" s="132">
        <f>IF(AM430&lt;=0,W_max,ABS(AM$23-AM436))</f>
        <v>52.961951658767859</v>
      </c>
      <c r="AO437" s="151">
        <f>AM425</f>
        <v>10154.615385170837</v>
      </c>
      <c r="AP437" s="135"/>
      <c r="AQ437" s="132">
        <f>IF(AP430&lt;=0,W_max,ABS(AP$23-AP436))</f>
        <v>7174</v>
      </c>
      <c r="AR437" s="151">
        <f>AP425</f>
        <v>11329.182957795734</v>
      </c>
      <c r="AS437" s="135"/>
      <c r="AT437" s="132">
        <f>IF(AS430&lt;=0,W_max,ABS(AS$23-AS436))</f>
        <v>7174</v>
      </c>
      <c r="AU437" s="151">
        <f>AS425</f>
        <v>12639.610819592848</v>
      </c>
    </row>
    <row r="438" spans="13:47" ht="13" x14ac:dyDescent="0.25">
      <c r="M438" s="12"/>
      <c r="N438" s="12"/>
      <c r="O438" s="2"/>
      <c r="P438" s="85"/>
      <c r="Q438" s="2"/>
      <c r="R438" s="18"/>
      <c r="S438" s="150"/>
      <c r="T438" s="152"/>
      <c r="U438" s="157"/>
      <c r="V438" s="1"/>
      <c r="W438" s="147"/>
      <c r="X438" s="157"/>
      <c r="Y438" s="1"/>
      <c r="Z438" s="147"/>
      <c r="AA438" s="157"/>
      <c r="AB438" s="1"/>
      <c r="AC438" s="147"/>
      <c r="AD438" s="157"/>
      <c r="AE438" s="1"/>
      <c r="AF438" s="147"/>
      <c r="AG438" s="157"/>
      <c r="AH438" s="1"/>
      <c r="AI438" s="147"/>
      <c r="AJ438" s="157"/>
      <c r="AK438" s="1"/>
      <c r="AL438" s="147"/>
      <c r="AM438" s="157"/>
      <c r="AN438" s="1"/>
      <c r="AO438" s="147"/>
      <c r="AP438" s="157"/>
      <c r="AQ438" s="1"/>
      <c r="AR438" s="147"/>
      <c r="AS438" s="157"/>
      <c r="AT438" s="1"/>
      <c r="AU438" s="147"/>
    </row>
    <row r="439" spans="13:47" ht="14" x14ac:dyDescent="0.3">
      <c r="M439" s="23"/>
      <c r="N439" s="23"/>
      <c r="O439" s="23" t="s">
        <v>238</v>
      </c>
      <c r="P439" s="20"/>
      <c r="Q439" s="20"/>
      <c r="R439" s="181">
        <f>R425*1.02</f>
        <v>20.333421703905302</v>
      </c>
      <c r="S439" s="128" t="s">
        <v>185</v>
      </c>
      <c r="T439" s="153" t="s">
        <v>186</v>
      </c>
      <c r="U439" s="143">
        <f>U425*1.01</f>
        <v>619.95111560219596</v>
      </c>
      <c r="V439" s="128" t="s">
        <v>185</v>
      </c>
      <c r="W439" s="153" t="s">
        <v>186</v>
      </c>
      <c r="X439" s="143">
        <f>X425*1.01</f>
        <v>1533.2128839317986</v>
      </c>
      <c r="Y439" s="128" t="s">
        <v>185</v>
      </c>
      <c r="Z439" s="153" t="s">
        <v>186</v>
      </c>
      <c r="AA439" s="143">
        <f>AA425*1.01</f>
        <v>2986.3073523428384</v>
      </c>
      <c r="AB439" s="128" t="s">
        <v>185</v>
      </c>
      <c r="AC439" s="153" t="s">
        <v>186</v>
      </c>
      <c r="AD439" s="143">
        <f>AD425*1.01</f>
        <v>4911.3761014693855</v>
      </c>
      <c r="AE439" s="128" t="s">
        <v>185</v>
      </c>
      <c r="AF439" s="153" t="s">
        <v>186</v>
      </c>
      <c r="AG439" s="143">
        <f>AG425*1.01</f>
        <v>6888.5830903441947</v>
      </c>
      <c r="AH439" s="128" t="s">
        <v>185</v>
      </c>
      <c r="AI439" s="153" t="s">
        <v>186</v>
      </c>
      <c r="AJ439" s="143">
        <f>AJ425*1.01</f>
        <v>8746.6726291010746</v>
      </c>
      <c r="AK439" s="128" t="s">
        <v>185</v>
      </c>
      <c r="AL439" s="153" t="s">
        <v>186</v>
      </c>
      <c r="AM439" s="143">
        <f>AM425*1.01</f>
        <v>10256.161539022545</v>
      </c>
      <c r="AN439" s="128" t="s">
        <v>185</v>
      </c>
      <c r="AO439" s="153" t="s">
        <v>186</v>
      </c>
      <c r="AP439" s="143">
        <f>AP425*1.01</f>
        <v>11442.474787373692</v>
      </c>
      <c r="AQ439" s="128" t="s">
        <v>185</v>
      </c>
      <c r="AR439" s="153" t="s">
        <v>186</v>
      </c>
      <c r="AS439" s="143">
        <f>AS425*1.01</f>
        <v>12766.006927788776</v>
      </c>
      <c r="AT439" s="128" t="s">
        <v>185</v>
      </c>
      <c r="AU439" s="153" t="s">
        <v>186</v>
      </c>
    </row>
    <row r="440" spans="13:47" ht="14" x14ac:dyDescent="0.3">
      <c r="M440" s="12"/>
      <c r="N440" s="12"/>
      <c r="O440" s="20"/>
      <c r="P440" s="20"/>
      <c r="Q440" s="23"/>
      <c r="R440" s="139"/>
      <c r="S440" s="130" t="s">
        <v>228</v>
      </c>
      <c r="T440" s="154" t="s">
        <v>187</v>
      </c>
      <c r="U440" s="144"/>
      <c r="V440" s="130" t="s">
        <v>228</v>
      </c>
      <c r="W440" s="154" t="s">
        <v>187</v>
      </c>
      <c r="X440" s="144"/>
      <c r="Y440" s="130" t="s">
        <v>228</v>
      </c>
      <c r="Z440" s="154" t="s">
        <v>187</v>
      </c>
      <c r="AA440" s="144"/>
      <c r="AB440" s="130" t="s">
        <v>228</v>
      </c>
      <c r="AC440" s="154" t="s">
        <v>187</v>
      </c>
      <c r="AD440" s="144"/>
      <c r="AE440" s="130" t="s">
        <v>228</v>
      </c>
      <c r="AF440" s="154" t="s">
        <v>187</v>
      </c>
      <c r="AG440" s="144"/>
      <c r="AH440" s="130" t="s">
        <v>228</v>
      </c>
      <c r="AI440" s="154" t="s">
        <v>187</v>
      </c>
      <c r="AJ440" s="144"/>
      <c r="AK440" s="130" t="s">
        <v>228</v>
      </c>
      <c r="AL440" s="154" t="s">
        <v>187</v>
      </c>
      <c r="AM440" s="144"/>
      <c r="AN440" s="130" t="s">
        <v>228</v>
      </c>
      <c r="AO440" s="154" t="s">
        <v>187</v>
      </c>
      <c r="AP440" s="144"/>
      <c r="AQ440" s="130" t="s">
        <v>228</v>
      </c>
      <c r="AR440" s="154" t="s">
        <v>187</v>
      </c>
      <c r="AS440" s="144"/>
      <c r="AT440" s="130" t="s">
        <v>228</v>
      </c>
      <c r="AU440" s="154" t="s">
        <v>187</v>
      </c>
    </row>
    <row r="441" spans="13:47" x14ac:dyDescent="0.25">
      <c r="M441" s="20"/>
      <c r="N441" s="20"/>
      <c r="O441" s="7" t="s">
        <v>188</v>
      </c>
      <c r="P441" s="7"/>
      <c r="Q441" s="7"/>
      <c r="R441" s="181">
        <f>P_1_minW-(R439^2*R_up)+dpup_minQ</f>
        <v>100.52262186942771</v>
      </c>
      <c r="S441" s="132"/>
      <c r="T441" s="145"/>
      <c r="U441" s="138">
        <f>P_1_minW-(U439^2*R_up)+dpup_minQ</f>
        <v>100.3695268574226</v>
      </c>
      <c r="V441" s="132"/>
      <c r="W441" s="145"/>
      <c r="X441" s="138">
        <f>P_1_minW-(X439^2*R_up)+dpup_minQ</f>
        <v>99.585400640322007</v>
      </c>
      <c r="Y441" s="132"/>
      <c r="Z441" s="145"/>
      <c r="AA441" s="138">
        <f>P_1_minW-(AA439^2*R_up)+dpup_minQ</f>
        <v>96.966616076686805</v>
      </c>
      <c r="AB441" s="132"/>
      <c r="AC441" s="145"/>
      <c r="AD441" s="138">
        <f>P_1_minW-(AD439^2*R_up)+dpup_minQ</f>
        <v>90.904007155667657</v>
      </c>
      <c r="AE441" s="132"/>
      <c r="AF441" s="145"/>
      <c r="AG441" s="138">
        <f>P_1_minW-(AG439^2*R_up)+dpup_minQ</f>
        <v>81.600509987448376</v>
      </c>
      <c r="AH441" s="132"/>
      <c r="AI441" s="145"/>
      <c r="AJ441" s="138">
        <f>P_1_minW-(AJ439^2*R_up)+dpup_minQ</f>
        <v>70.015798712415616</v>
      </c>
      <c r="AK441" s="132"/>
      <c r="AL441" s="145"/>
      <c r="AM441" s="138">
        <f>P_1_minW-(AM439^2*R_up)+dpup_minQ</f>
        <v>58.577487922640316</v>
      </c>
      <c r="AN441" s="132"/>
      <c r="AO441" s="145"/>
      <c r="AP441" s="138">
        <f>P_1_minW-(AP439^2*R_up)+dpup_minQ</f>
        <v>48.312808060841874</v>
      </c>
      <c r="AQ441" s="132"/>
      <c r="AR441" s="145"/>
      <c r="AS441" s="138">
        <f>P_1_minW-(AS439^2*R_up)+dpup_minQ</f>
        <v>35.536198241595471</v>
      </c>
      <c r="AT441" s="132"/>
      <c r="AU441" s="145"/>
    </row>
    <row r="442" spans="13:47" x14ac:dyDescent="0.25">
      <c r="M442" s="20"/>
      <c r="N442" s="20"/>
      <c r="O442" s="7" t="s">
        <v>189</v>
      </c>
      <c r="P442" s="1"/>
      <c r="Q442" s="7"/>
      <c r="R442" s="181">
        <f>P_2_minW+(R439^2*R_dn)-dpdn_minQ</f>
        <v>50</v>
      </c>
      <c r="S442" s="132"/>
      <c r="T442" s="146"/>
      <c r="U442" s="138">
        <f>P_2_minW+(U439^2*R_dn)-dpdn_minQ</f>
        <v>50</v>
      </c>
      <c r="V442" s="132"/>
      <c r="W442" s="146"/>
      <c r="X442" s="138">
        <f>P_2_minW+(X439^2*R_dn)-dpdn_minQ</f>
        <v>50</v>
      </c>
      <c r="Y442" s="132"/>
      <c r="Z442" s="146"/>
      <c r="AA442" s="138">
        <f>P_2_minW+(AA439^2*R_dn)-dpdn_minQ</f>
        <v>50</v>
      </c>
      <c r="AB442" s="132"/>
      <c r="AC442" s="146"/>
      <c r="AD442" s="138">
        <f>P_2_minW+(AD439^2*R_dn)-dpdn_minQ</f>
        <v>50</v>
      </c>
      <c r="AE442" s="132"/>
      <c r="AF442" s="146"/>
      <c r="AG442" s="138">
        <f>P_2_minW+(AG439^2*R_dn)-dpdn_minQ</f>
        <v>50</v>
      </c>
      <c r="AH442" s="132"/>
      <c r="AI442" s="146"/>
      <c r="AJ442" s="138">
        <f>P_2_minW+(AJ439^2*R_dn)-dpdn_minQ</f>
        <v>50</v>
      </c>
      <c r="AK442" s="132"/>
      <c r="AL442" s="146"/>
      <c r="AM442" s="138">
        <f>P_2_minW+(AM439^2*R_dn)-dpdn_minQ</f>
        <v>50</v>
      </c>
      <c r="AN442" s="132"/>
      <c r="AO442" s="146"/>
      <c r="AP442" s="138">
        <f>P_2_minW+(AP439^2*R_dn)-dpdn_minQ</f>
        <v>50</v>
      </c>
      <c r="AQ442" s="132"/>
      <c r="AR442" s="146"/>
      <c r="AS442" s="138">
        <f>P_2_minW+(AS439^2*R_dn)-dpdn_minQ</f>
        <v>50</v>
      </c>
      <c r="AT442" s="132"/>
      <c r="AU442" s="146"/>
    </row>
    <row r="443" spans="13:47" x14ac:dyDescent="0.25">
      <c r="M443" s="20"/>
      <c r="N443" s="20"/>
      <c r="O443" s="7" t="s">
        <v>234</v>
      </c>
      <c r="P443" s="1"/>
      <c r="Q443" s="7"/>
      <c r="R443" s="179">
        <f>'Valve Sizing'!G$8*R441/P_1_maxW</f>
        <v>0.48490323094839338</v>
      </c>
      <c r="S443" s="132"/>
      <c r="T443" s="146"/>
      <c r="U443" s="143">
        <f>'Valve Sizing'!$G$8*U441/P_1_maxW</f>
        <v>0.48416472786736764</v>
      </c>
      <c r="V443" s="132"/>
      <c r="W443" s="146"/>
      <c r="X443" s="143">
        <f>'Valve Sizing'!$G$8*X441/P_1_maxW</f>
        <v>0.48038224260114254</v>
      </c>
      <c r="Y443" s="132"/>
      <c r="Z443" s="146"/>
      <c r="AA443" s="143">
        <f>'Valve Sizing'!$G$8*AA441/P_1_maxW</f>
        <v>0.46774969211202039</v>
      </c>
      <c r="AB443" s="132"/>
      <c r="AC443" s="146"/>
      <c r="AD443" s="143">
        <f>'Valve Sizing'!$G$8*AD441/P_1_maxW</f>
        <v>0.43850474605801348</v>
      </c>
      <c r="AE443" s="132"/>
      <c r="AF443" s="146"/>
      <c r="AG443" s="143">
        <f>'Valve Sizing'!$G$8*AG441/P_1_maxW</f>
        <v>0.39362633210410142</v>
      </c>
      <c r="AH443" s="132"/>
      <c r="AI443" s="146"/>
      <c r="AJ443" s="143">
        <f>'Valve Sizing'!$G$8*AJ441/P_1_maxW</f>
        <v>0.33774374744405955</v>
      </c>
      <c r="AK443" s="132"/>
      <c r="AL443" s="146"/>
      <c r="AM443" s="143">
        <f>'Valve Sizing'!$G$8*AM441/P_1_maxW</f>
        <v>0.2825673726598999</v>
      </c>
      <c r="AN443" s="132"/>
      <c r="AO443" s="146"/>
      <c r="AP443" s="143">
        <f>'Valve Sizing'!$G$8*AP441/P_1_maxW</f>
        <v>0.23305238452019278</v>
      </c>
      <c r="AQ443" s="132"/>
      <c r="AR443" s="146"/>
      <c r="AS443" s="143">
        <f>'Valve Sizing'!$G$8*AS441/P_1_maxW</f>
        <v>0.17142029348732069</v>
      </c>
      <c r="AT443" s="132"/>
      <c r="AU443" s="146"/>
    </row>
    <row r="444" spans="13:47" x14ac:dyDescent="0.25">
      <c r="M444" s="20"/>
      <c r="N444" s="20"/>
      <c r="O444" s="7" t="s">
        <v>190</v>
      </c>
      <c r="P444" s="1"/>
      <c r="Q444" s="7"/>
      <c r="R444" s="181">
        <f>R441-R442</f>
        <v>50.522621869427709</v>
      </c>
      <c r="S444" s="132"/>
      <c r="T444" s="146"/>
      <c r="U444" s="138">
        <f>U441-U442</f>
        <v>50.369526857422599</v>
      </c>
      <c r="V444" s="132"/>
      <c r="W444" s="146"/>
      <c r="X444" s="138">
        <f>X441-X442</f>
        <v>49.585400640322007</v>
      </c>
      <c r="Y444" s="132"/>
      <c r="Z444" s="146"/>
      <c r="AA444" s="138">
        <f>AA441-AA442</f>
        <v>46.966616076686805</v>
      </c>
      <c r="AB444" s="132"/>
      <c r="AC444" s="146"/>
      <c r="AD444" s="138">
        <f>AD441-AD442</f>
        <v>40.904007155667657</v>
      </c>
      <c r="AE444" s="132"/>
      <c r="AF444" s="146"/>
      <c r="AG444" s="138">
        <f>AG441-AG442</f>
        <v>31.600509987448376</v>
      </c>
      <c r="AH444" s="132"/>
      <c r="AI444" s="146"/>
      <c r="AJ444" s="138">
        <f>AJ441-AJ442</f>
        <v>20.015798712415616</v>
      </c>
      <c r="AK444" s="132"/>
      <c r="AL444" s="146"/>
      <c r="AM444" s="138">
        <f>AM441-AM442</f>
        <v>8.5774879226403158</v>
      </c>
      <c r="AN444" s="132"/>
      <c r="AO444" s="146"/>
      <c r="AP444" s="138">
        <f>AP441-AP442</f>
        <v>-1.6871919391581258</v>
      </c>
      <c r="AQ444" s="132"/>
      <c r="AR444" s="146"/>
      <c r="AS444" s="138">
        <f>AS441-AS442</f>
        <v>-14.463801758404529</v>
      </c>
      <c r="AT444" s="132"/>
      <c r="AU444" s="146"/>
    </row>
    <row r="445" spans="13:47" ht="14.5" x14ac:dyDescent="0.35">
      <c r="M445" s="27"/>
      <c r="N445" s="27"/>
      <c r="O445" s="2" t="s">
        <v>191</v>
      </c>
      <c r="P445" s="10"/>
      <c r="Q445" s="2"/>
      <c r="R445" s="181">
        <f>R444/R441</f>
        <v>0.50259952366794891</v>
      </c>
      <c r="S445" s="132"/>
      <c r="T445" s="146"/>
      <c r="U445" s="138">
        <f>U444/U441</f>
        <v>0.50184083191877316</v>
      </c>
      <c r="V445" s="132"/>
      <c r="W445" s="146"/>
      <c r="X445" s="138">
        <f>X444/X441</f>
        <v>0.49791837278852036</v>
      </c>
      <c r="Y445" s="132"/>
      <c r="Z445" s="146"/>
      <c r="AA445" s="138">
        <f>AA444/AA441</f>
        <v>0.48435861719195078</v>
      </c>
      <c r="AB445" s="132"/>
      <c r="AC445" s="146"/>
      <c r="AD445" s="138">
        <f>AD444/AD441</f>
        <v>0.4499692415717384</v>
      </c>
      <c r="AE445" s="132"/>
      <c r="AF445" s="146"/>
      <c r="AG445" s="138">
        <f>AG444/AG441</f>
        <v>0.38725873149946122</v>
      </c>
      <c r="AH445" s="132"/>
      <c r="AI445" s="146"/>
      <c r="AJ445" s="138">
        <f>AJ444/AJ441</f>
        <v>0.28587546068893588</v>
      </c>
      <c r="AK445" s="132"/>
      <c r="AL445" s="146"/>
      <c r="AM445" s="138">
        <f>AM444/AM441</f>
        <v>0.14642976725065568</v>
      </c>
      <c r="AN445" s="132"/>
      <c r="AO445" s="146"/>
      <c r="AP445" s="138">
        <f>AP444/AP441</f>
        <v>-3.4922249541641019E-2</v>
      </c>
      <c r="AQ445" s="132"/>
      <c r="AR445" s="146"/>
      <c r="AS445" s="138">
        <f>AS444/AS441</f>
        <v>-0.40701601392673753</v>
      </c>
      <c r="AT445" s="132"/>
      <c r="AU445" s="146"/>
    </row>
    <row r="446" spans="13:47" x14ac:dyDescent="0.25">
      <c r="M446" s="27"/>
      <c r="N446" s="27"/>
      <c r="O446" s="2" t="s">
        <v>26</v>
      </c>
      <c r="P446" s="7">
        <v>12</v>
      </c>
      <c r="Q446" s="2"/>
      <c r="R446" s="181">
        <f>1-R445/(3*F_GAMMA*R$29)</f>
        <v>0.73824040872112651</v>
      </c>
      <c r="S446" s="133"/>
      <c r="T446" s="146"/>
      <c r="U446" s="138">
        <f>1-U445/(3*F_GAMMA*U$29)</f>
        <v>0.73869309002270611</v>
      </c>
      <c r="V446" s="133"/>
      <c r="W446" s="146"/>
      <c r="X446" s="138">
        <f>1-X445/(3*F_GAMMA*X$29)</f>
        <v>0.73684612180831821</v>
      </c>
      <c r="Y446" s="133"/>
      <c r="Z446" s="146"/>
      <c r="AA446" s="138">
        <f>1-AA445/(3*F_GAMMA*AA$29)</f>
        <v>0.74050261805254292</v>
      </c>
      <c r="AB446" s="133"/>
      <c r="AC446" s="146"/>
      <c r="AD446" s="138">
        <f>1-AD445/(3*F_GAMMA*AD$29)</f>
        <v>0.75231717381348007</v>
      </c>
      <c r="AE446" s="133"/>
      <c r="AF446" s="146"/>
      <c r="AG446" s="138">
        <f>1-AG445/(3*F_GAMMA*AG$29)</f>
        <v>0.7746765687956042</v>
      </c>
      <c r="AH446" s="133"/>
      <c r="AI446" s="146"/>
      <c r="AJ446" s="138">
        <f>1-AJ445/(3*F_GAMMA*AJ$29)</f>
        <v>0.82218629645631558</v>
      </c>
      <c r="AK446" s="133"/>
      <c r="AL446" s="146"/>
      <c r="AM446" s="138">
        <f>1-AM445/(3*F_GAMMA*AM$29)</f>
        <v>0.90048705255254557</v>
      </c>
      <c r="AN446" s="133"/>
      <c r="AO446" s="146"/>
      <c r="AP446" s="138">
        <f>1-AP445/(3*F_GAMMA*AP$29)</f>
        <v>1.0196127473972632</v>
      </c>
      <c r="AQ446" s="133"/>
      <c r="AR446" s="146"/>
      <c r="AS446" s="138">
        <f>1-AS445/(3*F_GAMMA*AS$29)</f>
        <v>1.3470118863008698</v>
      </c>
      <c r="AT446" s="133"/>
      <c r="AU446" s="146"/>
    </row>
    <row r="447" spans="13:47" x14ac:dyDescent="0.25">
      <c r="M447" s="27"/>
      <c r="N447" s="27"/>
      <c r="O447" s="2" t="s">
        <v>71</v>
      </c>
      <c r="P447" s="85">
        <v>5</v>
      </c>
      <c r="Q447" s="2"/>
      <c r="R447" s="179">
        <f>R439/((N_6*R$27*R446)*SQRT(R445*R441*R443))</f>
        <v>8.7920454621735145E-2</v>
      </c>
      <c r="S447" s="133"/>
      <c r="T447" s="146"/>
      <c r="U447" s="143">
        <f>U439/((N_6*U$27*U446)*SQRT(U445*U441*U443))</f>
        <v>2.6867707572742296</v>
      </c>
      <c r="V447" s="133"/>
      <c r="W447" s="146"/>
      <c r="X447" s="143">
        <f>X439/((N_6*X$27*X446)*SQRT(X445*X441*X443))</f>
        <v>6.7551408428757886</v>
      </c>
      <c r="Y447" s="133"/>
      <c r="Z447" s="146"/>
      <c r="AA447" s="143">
        <f>AA439/((N_6*AA$27*AA446)*SQRT(AA445*AA441*AA443))</f>
        <v>13.711224226361665</v>
      </c>
      <c r="AB447" s="133"/>
      <c r="AC447" s="146"/>
      <c r="AD447" s="143">
        <f>AD439/((N_6*AD$27*AD446)*SQRT(AD445*AD441*AD443))</f>
        <v>24.856875568935422</v>
      </c>
      <c r="AE447" s="133"/>
      <c r="AF447" s="146"/>
      <c r="AG447" s="143">
        <f>AG439/((N_6*AG$27*AG446)*SQRT(AG445*AG441*AG443))</f>
        <v>41.534165008280127</v>
      </c>
      <c r="AH447" s="133"/>
      <c r="AI447" s="146"/>
      <c r="AJ447" s="143">
        <f>AJ439/((N_6*AJ$27*AJ446)*SQRT(AJ445*AJ441*AJ443))</f>
        <v>69.716762773733137</v>
      </c>
      <c r="AK447" s="133"/>
      <c r="AL447" s="146"/>
      <c r="AM447" s="143">
        <f>AM439/((N_6*AM$27*AM446)*SQRT(AM445*AM441*AM443))</f>
        <v>132.31078783012305</v>
      </c>
      <c r="AN447" s="133"/>
      <c r="AO447" s="146"/>
      <c r="AP447" s="143" t="e">
        <f>AP439/((N_6*AP$27*AP446)*SQRT(AP445*AP441*AP443))</f>
        <v>#NUM!</v>
      </c>
      <c r="AQ447" s="133"/>
      <c r="AR447" s="146"/>
      <c r="AS447" s="143" t="e">
        <f>AS439/((N_6*AS$27*AS446)*SQRT(AS445*AS441*AS443))</f>
        <v>#NUM!</v>
      </c>
      <c r="AT447" s="133"/>
      <c r="AU447" s="146"/>
    </row>
    <row r="448" spans="13:47" x14ac:dyDescent="0.25">
      <c r="M448" s="27"/>
      <c r="N448" s="27"/>
      <c r="O448" s="2" t="s">
        <v>73</v>
      </c>
      <c r="P448" s="85">
        <v>5</v>
      </c>
      <c r="Q448" s="2"/>
      <c r="R448" s="179">
        <f>R439/((N_6*R$27*0.667)*SQRT(R449*R441*R443))</f>
        <v>8.6233067214182307E-2</v>
      </c>
      <c r="S448" s="133"/>
      <c r="T448" s="155"/>
      <c r="U448" s="143">
        <f>U439/((N_6*U$27*0.667)*SQRT(U449*U441*U443))</f>
        <v>2.6345405647833018</v>
      </c>
      <c r="V448" s="133"/>
      <c r="W448" s="155"/>
      <c r="X448" s="143">
        <f>X439/((N_6*X$27*0.667)*SQRT(X449*X441*X443))</f>
        <v>6.630570411150746</v>
      </c>
      <c r="Y448" s="133"/>
      <c r="Z448" s="155"/>
      <c r="AA448" s="143">
        <f>AA439/((N_6*AA$27*0.667)*SQRT(AA449*AA441*AA443))</f>
        <v>13.430869062894462</v>
      </c>
      <c r="AB448" s="133"/>
      <c r="AC448" s="155"/>
      <c r="AD448" s="143">
        <f>AD439/((N_6*AD$27*0.667)*SQRT(AD449*AD441*AD443))</f>
        <v>24.167418069927635</v>
      </c>
      <c r="AE448" s="133"/>
      <c r="AF448" s="155"/>
      <c r="AG448" s="143">
        <f>AG439/((N_6*AG$27*0.667)*SQRT(AG449*AG441*AG443))</f>
        <v>39.661019682904374</v>
      </c>
      <c r="AH448" s="133"/>
      <c r="AI448" s="155"/>
      <c r="AJ448" s="143">
        <f>AJ439/((N_6*AJ$27*0.667)*SQRT(AJ449*AJ441*AJ443))</f>
        <v>62.766058055537975</v>
      </c>
      <c r="AK448" s="133"/>
      <c r="AL448" s="155"/>
      <c r="AM448" s="143">
        <f>AM439/((N_6*AM$27*0.667)*SQRT(AM449*AM441*AM443))</f>
        <v>97.599437905485757</v>
      </c>
      <c r="AN448" s="133"/>
      <c r="AO448" s="155"/>
      <c r="AP448" s="143">
        <f>AP439/((N_6*AP$27*0.667)*SQRT(AP449*AP441*AP443))</f>
        <v>136.33206612045589</v>
      </c>
      <c r="AQ448" s="133"/>
      <c r="AR448" s="155"/>
      <c r="AS448" s="143">
        <f>AS439/((N_6*AS$27*0.667)*SQRT(AS449*AS441*AS443))</f>
        <v>334.7805192916972</v>
      </c>
      <c r="AT448" s="133"/>
      <c r="AU448" s="155"/>
    </row>
    <row r="449" spans="13:47" ht="15.5" x14ac:dyDescent="0.4">
      <c r="M449" s="27"/>
      <c r="N449" s="27"/>
      <c r="O449" s="2" t="s">
        <v>192</v>
      </c>
      <c r="P449" s="85">
        <v>10</v>
      </c>
      <c r="Q449" s="2"/>
      <c r="R449" s="181">
        <f>F_GAMMA*R$29</f>
        <v>0.64002688015162901</v>
      </c>
      <c r="S449" s="133"/>
      <c r="T449" s="155"/>
      <c r="U449" s="138">
        <f>F_GAMMA*U$29</f>
        <v>0.64016782916606918</v>
      </c>
      <c r="V449" s="133"/>
      <c r="W449" s="155"/>
      <c r="X449" s="138">
        <f>F_GAMMA*X$29</f>
        <v>0.6307062319203669</v>
      </c>
      <c r="Y449" s="133"/>
      <c r="Z449" s="155"/>
      <c r="AA449" s="138">
        <f>F_GAMMA*AA$29</f>
        <v>0.62217534213893466</v>
      </c>
      <c r="AB449" s="133"/>
      <c r="AC449" s="155"/>
      <c r="AD449" s="138">
        <f>F_GAMMA*AD$29</f>
        <v>0.60557184969146072</v>
      </c>
      <c r="AE449" s="133"/>
      <c r="AF449" s="155"/>
      <c r="AG449" s="138">
        <f>F_GAMMA*AG$29</f>
        <v>0.57289312142622573</v>
      </c>
      <c r="AH449" s="133"/>
      <c r="AI449" s="155"/>
      <c r="AJ449" s="138">
        <f>F_GAMMA*AJ$29</f>
        <v>0.53590819116049981</v>
      </c>
      <c r="AK449" s="133"/>
      <c r="AL449" s="155"/>
      <c r="AM449" s="138">
        <f>F_GAMMA*AM$29</f>
        <v>0.49048815926850342</v>
      </c>
      <c r="AN449" s="133"/>
      <c r="AO449" s="155"/>
      <c r="AP449" s="138">
        <f>F_GAMMA*AP$29</f>
        <v>0.59352979016280105</v>
      </c>
      <c r="AQ449" s="133"/>
      <c r="AR449" s="155"/>
      <c r="AS449" s="138">
        <f>F_GAMMA*AS$29</f>
        <v>0.39097221161068291</v>
      </c>
      <c r="AT449" s="133"/>
      <c r="AU449" s="155"/>
    </row>
    <row r="450" spans="13:47" x14ac:dyDescent="0.25">
      <c r="M450" s="27"/>
      <c r="N450" s="27"/>
      <c r="O450" s="2" t="s">
        <v>193</v>
      </c>
      <c r="P450" s="134"/>
      <c r="Q450" s="2"/>
      <c r="R450" s="181">
        <f>IF(R445&lt;R449,R447,R448)</f>
        <v>8.7920454621735145E-2</v>
      </c>
      <c r="S450" s="133"/>
      <c r="T450" s="155"/>
      <c r="U450" s="138">
        <f>IF(U445&lt;U449,U447,U448)</f>
        <v>2.6867707572742296</v>
      </c>
      <c r="V450" s="133"/>
      <c r="W450" s="155"/>
      <c r="X450" s="138">
        <f>IF(X445&lt;X449,X447,X448)</f>
        <v>6.7551408428757886</v>
      </c>
      <c r="Y450" s="133"/>
      <c r="Z450" s="155"/>
      <c r="AA450" s="138">
        <f>IF(AA445&lt;AA449,AA447,AA448)</f>
        <v>13.711224226361665</v>
      </c>
      <c r="AB450" s="133"/>
      <c r="AC450" s="155"/>
      <c r="AD450" s="138">
        <f>IF(AD445&lt;AD449,AD447,AD448)</f>
        <v>24.856875568935422</v>
      </c>
      <c r="AE450" s="133"/>
      <c r="AF450" s="155"/>
      <c r="AG450" s="138">
        <f>IF(AG445&lt;AG449,AG447,AG448)</f>
        <v>41.534165008280127</v>
      </c>
      <c r="AH450" s="133"/>
      <c r="AI450" s="155"/>
      <c r="AJ450" s="138">
        <f>IF(AJ445&lt;AJ449,AJ447,AJ448)</f>
        <v>69.716762773733137</v>
      </c>
      <c r="AK450" s="133"/>
      <c r="AL450" s="155"/>
      <c r="AM450" s="138">
        <f>IF(AM445&lt;AM449,AM447,AM448)</f>
        <v>132.31078783012305</v>
      </c>
      <c r="AN450" s="133"/>
      <c r="AO450" s="155"/>
      <c r="AP450" s="138" t="e">
        <f>IF(AP445&lt;AP449,AP447,AP448)</f>
        <v>#NUM!</v>
      </c>
      <c r="AQ450" s="133"/>
      <c r="AR450" s="155"/>
      <c r="AS450" s="138" t="e">
        <f>IF(AS445&lt;AS449,AS447,AS448)</f>
        <v>#NUM!</v>
      </c>
      <c r="AT450" s="133"/>
      <c r="AU450" s="155"/>
    </row>
    <row r="451" spans="13:47" ht="13" x14ac:dyDescent="0.3">
      <c r="M451" s="28"/>
      <c r="N451" s="28"/>
      <c r="O451" s="9" t="s">
        <v>194</v>
      </c>
      <c r="P451" s="1"/>
      <c r="Q451" s="1"/>
      <c r="R451" s="135"/>
      <c r="S451" s="132">
        <f>IF(R444&lt;=0,W_max,ABS(R$23-R450))</f>
        <v>1.9120795453782649</v>
      </c>
      <c r="T451" s="151">
        <f>R439</f>
        <v>20.333421703905302</v>
      </c>
      <c r="U451" s="135"/>
      <c r="V451" s="132">
        <f>IF(U444&lt;=0,W_max,ABS(U$23-U450))</f>
        <v>2.3132292427257704</v>
      </c>
      <c r="W451" s="151">
        <f>U439</f>
        <v>619.95111560219596</v>
      </c>
      <c r="X451" s="135"/>
      <c r="Y451" s="132">
        <f>IF(X444&lt;=0,W_max,ABS(X$23-X450))</f>
        <v>3.2448591571242114</v>
      </c>
      <c r="Z451" s="151">
        <f>X439</f>
        <v>1533.2128839317986</v>
      </c>
      <c r="AA451" s="135"/>
      <c r="AB451" s="132">
        <f>IF(AA444&lt;=0,W_max,ABS(AA$23-AA450))</f>
        <v>3.4887757736383342</v>
      </c>
      <c r="AC451" s="151">
        <f>AA439</f>
        <v>2986.3073523428384</v>
      </c>
      <c r="AD451" s="135"/>
      <c r="AE451" s="132">
        <f>IF(AD444&lt;=0,W_max,ABS(AD$23-AD450))</f>
        <v>1.7431244310645795</v>
      </c>
      <c r="AF451" s="151">
        <f>AD439</f>
        <v>4911.3761014693855</v>
      </c>
      <c r="AG451" s="135"/>
      <c r="AH451" s="132">
        <f>IF(AG444&lt;=0,W_max,ABS(AG$23-AG450))</f>
        <v>3.134165008280128</v>
      </c>
      <c r="AI451" s="151">
        <f>AG439</f>
        <v>6888.5830903441947</v>
      </c>
      <c r="AJ451" s="135"/>
      <c r="AK451" s="132">
        <f>IF(AJ444&lt;=0,W_max,ABS(AJ$23-AJ450))</f>
        <v>17.216762773733137</v>
      </c>
      <c r="AL451" s="151">
        <f>AJ439</f>
        <v>8746.6726291010746</v>
      </c>
      <c r="AM451" s="135"/>
      <c r="AN451" s="132">
        <f>IF(AM444&lt;=0,W_max,ABS(AM$23-AM450))</f>
        <v>59.910787830123041</v>
      </c>
      <c r="AO451" s="151">
        <f>AM439</f>
        <v>10256.161539022545</v>
      </c>
      <c r="AP451" s="135"/>
      <c r="AQ451" s="132">
        <f>IF(AP444&lt;=0,W_max,ABS(AP$23-AP450))</f>
        <v>7174</v>
      </c>
      <c r="AR451" s="151">
        <f>AP439</f>
        <v>11442.474787373692</v>
      </c>
      <c r="AS451" s="135"/>
      <c r="AT451" s="132">
        <f>IF(AS444&lt;=0,W_max,ABS(AS$23-AS450))</f>
        <v>7174</v>
      </c>
      <c r="AU451" s="151">
        <f>AS439</f>
        <v>12766.006927788776</v>
      </c>
    </row>
    <row r="452" spans="13:47" ht="13" x14ac:dyDescent="0.25">
      <c r="M452" s="12"/>
      <c r="N452" s="12"/>
      <c r="O452" s="2"/>
      <c r="P452" s="85"/>
      <c r="Q452" s="2"/>
      <c r="R452" s="18"/>
      <c r="S452" s="150"/>
      <c r="T452" s="148"/>
      <c r="U452" s="157"/>
      <c r="V452" s="1"/>
      <c r="W452" s="147"/>
      <c r="X452" s="157"/>
      <c r="Y452" s="1"/>
      <c r="Z452" s="147"/>
      <c r="AA452" s="157"/>
      <c r="AB452" s="1"/>
      <c r="AC452" s="147"/>
      <c r="AD452" s="157"/>
      <c r="AE452" s="1"/>
      <c r="AF452" s="147"/>
      <c r="AG452" s="157"/>
      <c r="AH452" s="1"/>
      <c r="AI452" s="147"/>
      <c r="AJ452" s="157"/>
      <c r="AK452" s="1"/>
      <c r="AL452" s="147"/>
      <c r="AM452" s="157"/>
      <c r="AN452" s="1"/>
      <c r="AO452" s="147"/>
      <c r="AP452" s="157"/>
      <c r="AQ452" s="1"/>
      <c r="AR452" s="147"/>
      <c r="AS452" s="157"/>
      <c r="AT452" s="1"/>
      <c r="AU452" s="147"/>
    </row>
    <row r="453" spans="13:47" ht="14" x14ac:dyDescent="0.3">
      <c r="M453" s="23"/>
      <c r="N453" s="23"/>
      <c r="O453" s="23" t="s">
        <v>238</v>
      </c>
      <c r="P453" s="20"/>
      <c r="Q453" s="20"/>
      <c r="R453" s="181">
        <f>R439*1.02</f>
        <v>20.740090137983408</v>
      </c>
      <c r="S453" s="128" t="s">
        <v>185</v>
      </c>
      <c r="T453" s="149" t="s">
        <v>186</v>
      </c>
      <c r="U453" s="143">
        <f>U439*1.01</f>
        <v>626.15062675821787</v>
      </c>
      <c r="V453" s="128" t="s">
        <v>185</v>
      </c>
      <c r="W453" s="153" t="s">
        <v>186</v>
      </c>
      <c r="X453" s="143">
        <f>X439*1.01</f>
        <v>1548.5450127711167</v>
      </c>
      <c r="Y453" s="128" t="s">
        <v>185</v>
      </c>
      <c r="Z453" s="153" t="s">
        <v>186</v>
      </c>
      <c r="AA453" s="143">
        <f>AA439*1.01</f>
        <v>3016.1704258662667</v>
      </c>
      <c r="AB453" s="128" t="s">
        <v>185</v>
      </c>
      <c r="AC453" s="153" t="s">
        <v>186</v>
      </c>
      <c r="AD453" s="143">
        <f>AD439*1.01</f>
        <v>4960.4898624840798</v>
      </c>
      <c r="AE453" s="128" t="s">
        <v>185</v>
      </c>
      <c r="AF453" s="153" t="s">
        <v>186</v>
      </c>
      <c r="AG453" s="143">
        <f>AG439*1.01</f>
        <v>6957.4689212476369</v>
      </c>
      <c r="AH453" s="128" t="s">
        <v>185</v>
      </c>
      <c r="AI453" s="153" t="s">
        <v>186</v>
      </c>
      <c r="AJ453" s="143">
        <f>AJ439*1.01</f>
        <v>8834.1393553920861</v>
      </c>
      <c r="AK453" s="128" t="s">
        <v>185</v>
      </c>
      <c r="AL453" s="153" t="s">
        <v>186</v>
      </c>
      <c r="AM453" s="143">
        <f>AM439*1.01</f>
        <v>10358.72315441277</v>
      </c>
      <c r="AN453" s="128" t="s">
        <v>185</v>
      </c>
      <c r="AO453" s="153" t="s">
        <v>186</v>
      </c>
      <c r="AP453" s="143">
        <f>AP439*1.01</f>
        <v>11556.899535247429</v>
      </c>
      <c r="AQ453" s="128" t="s">
        <v>185</v>
      </c>
      <c r="AR453" s="153" t="s">
        <v>186</v>
      </c>
      <c r="AS453" s="143">
        <f>AS439*1.01</f>
        <v>12893.666997066664</v>
      </c>
      <c r="AT453" s="128" t="s">
        <v>185</v>
      </c>
      <c r="AU453" s="153" t="s">
        <v>186</v>
      </c>
    </row>
    <row r="454" spans="13:47" ht="14" x14ac:dyDescent="0.3">
      <c r="M454" s="12"/>
      <c r="N454" s="12"/>
      <c r="O454" s="20"/>
      <c r="P454" s="20"/>
      <c r="Q454" s="23"/>
      <c r="R454" s="139"/>
      <c r="S454" s="130" t="s">
        <v>228</v>
      </c>
      <c r="T454" s="131" t="s">
        <v>187</v>
      </c>
      <c r="U454" s="144"/>
      <c r="V454" s="130" t="s">
        <v>228</v>
      </c>
      <c r="W454" s="154" t="s">
        <v>187</v>
      </c>
      <c r="X454" s="144"/>
      <c r="Y454" s="130" t="s">
        <v>228</v>
      </c>
      <c r="Z454" s="154" t="s">
        <v>187</v>
      </c>
      <c r="AA454" s="144"/>
      <c r="AB454" s="130" t="s">
        <v>228</v>
      </c>
      <c r="AC454" s="154" t="s">
        <v>187</v>
      </c>
      <c r="AD454" s="144"/>
      <c r="AE454" s="130" t="s">
        <v>228</v>
      </c>
      <c r="AF454" s="154" t="s">
        <v>187</v>
      </c>
      <c r="AG454" s="144"/>
      <c r="AH454" s="130" t="s">
        <v>228</v>
      </c>
      <c r="AI454" s="154" t="s">
        <v>187</v>
      </c>
      <c r="AJ454" s="144"/>
      <c r="AK454" s="130" t="s">
        <v>228</v>
      </c>
      <c r="AL454" s="154" t="s">
        <v>187</v>
      </c>
      <c r="AM454" s="144"/>
      <c r="AN454" s="130" t="s">
        <v>228</v>
      </c>
      <c r="AO454" s="154" t="s">
        <v>187</v>
      </c>
      <c r="AP454" s="144"/>
      <c r="AQ454" s="130" t="s">
        <v>228</v>
      </c>
      <c r="AR454" s="154" t="s">
        <v>187</v>
      </c>
      <c r="AS454" s="144"/>
      <c r="AT454" s="130" t="s">
        <v>228</v>
      </c>
      <c r="AU454" s="154" t="s">
        <v>187</v>
      </c>
    </row>
    <row r="455" spans="13:47" x14ac:dyDescent="0.25">
      <c r="M455" s="20"/>
      <c r="N455" s="20"/>
      <c r="O455" s="7" t="s">
        <v>188</v>
      </c>
      <c r="P455" s="7"/>
      <c r="Q455" s="7"/>
      <c r="R455" s="181">
        <f>P_1_minW-(R453^2*R_up)+dpup_minQ</f>
        <v>100.52261520878884</v>
      </c>
      <c r="S455" s="132"/>
      <c r="T455" s="145"/>
      <c r="U455" s="138">
        <f>P_1_minW-(U453^2*R_up)+dpup_minQ</f>
        <v>100.36644633384859</v>
      </c>
      <c r="V455" s="132"/>
      <c r="W455" s="145"/>
      <c r="X455" s="138">
        <f>P_1_minW-(X453^2*R_up)+dpup_minQ</f>
        <v>99.566559179784264</v>
      </c>
      <c r="Y455" s="132"/>
      <c r="Z455" s="145"/>
      <c r="AA455" s="138">
        <f>P_1_minW-(AA453^2*R_up)+dpup_minQ</f>
        <v>96.895137046420004</v>
      </c>
      <c r="AB455" s="132"/>
      <c r="AC455" s="145"/>
      <c r="AD455" s="138">
        <f>P_1_minW-(AD453^2*R_up)+dpup_minQ</f>
        <v>90.710669686088366</v>
      </c>
      <c r="AE455" s="132"/>
      <c r="AF455" s="145"/>
      <c r="AG455" s="138">
        <f>P_1_minW-(AG453^2*R_up)+dpup_minQ</f>
        <v>81.220172224787888</v>
      </c>
      <c r="AH455" s="132"/>
      <c r="AI455" s="145"/>
      <c r="AJ455" s="138">
        <f>P_1_minW-(AJ453^2*R_up)+dpup_minQ</f>
        <v>69.402608253126957</v>
      </c>
      <c r="AK455" s="132"/>
      <c r="AL455" s="145"/>
      <c r="AM455" s="138">
        <f>P_1_minW-(AM453^2*R_up)+dpup_minQ</f>
        <v>57.73438741647719</v>
      </c>
      <c r="AN455" s="132"/>
      <c r="AO455" s="145"/>
      <c r="AP455" s="138">
        <f>P_1_minW-(AP453^2*R_up)+dpup_minQ</f>
        <v>47.263387489456591</v>
      </c>
      <c r="AQ455" s="132"/>
      <c r="AR455" s="145"/>
      <c r="AS455" s="138">
        <f>P_1_minW-(AS453^2*R_up)+dpup_minQ</f>
        <v>34.229967812843327</v>
      </c>
      <c r="AT455" s="132"/>
      <c r="AU455" s="145"/>
    </row>
    <row r="456" spans="13:47" x14ac:dyDescent="0.25">
      <c r="M456" s="20"/>
      <c r="N456" s="20"/>
      <c r="O456" s="7" t="s">
        <v>189</v>
      </c>
      <c r="P456" s="1"/>
      <c r="Q456" s="7"/>
      <c r="R456" s="181">
        <f>P_2_minW+(R453^2*R_dn)-dpdn_minQ</f>
        <v>50</v>
      </c>
      <c r="S456" s="132"/>
      <c r="T456" s="146"/>
      <c r="U456" s="138">
        <f>P_2_minW+(U453^2*R_dn)-dpdn_minQ</f>
        <v>50</v>
      </c>
      <c r="V456" s="132"/>
      <c r="W456" s="146"/>
      <c r="X456" s="138">
        <f>P_2_minW+(X453^2*R_dn)-dpdn_minQ</f>
        <v>50</v>
      </c>
      <c r="Y456" s="132"/>
      <c r="Z456" s="146"/>
      <c r="AA456" s="138">
        <f>P_2_minW+(AA453^2*R_dn)-dpdn_minQ</f>
        <v>50</v>
      </c>
      <c r="AB456" s="132"/>
      <c r="AC456" s="146"/>
      <c r="AD456" s="138">
        <f>P_2_minW+(AD453^2*R_dn)-dpdn_minQ</f>
        <v>50</v>
      </c>
      <c r="AE456" s="132"/>
      <c r="AF456" s="146"/>
      <c r="AG456" s="138">
        <f>P_2_minW+(AG453^2*R_dn)-dpdn_minQ</f>
        <v>50</v>
      </c>
      <c r="AH456" s="132"/>
      <c r="AI456" s="146"/>
      <c r="AJ456" s="138">
        <f>P_2_minW+(AJ453^2*R_dn)-dpdn_minQ</f>
        <v>50</v>
      </c>
      <c r="AK456" s="132"/>
      <c r="AL456" s="146"/>
      <c r="AM456" s="138">
        <f>P_2_minW+(AM453^2*R_dn)-dpdn_minQ</f>
        <v>50</v>
      </c>
      <c r="AN456" s="132"/>
      <c r="AO456" s="146"/>
      <c r="AP456" s="138">
        <f>P_2_minW+(AP453^2*R_dn)-dpdn_minQ</f>
        <v>50</v>
      </c>
      <c r="AQ456" s="132"/>
      <c r="AR456" s="146"/>
      <c r="AS456" s="138">
        <f>P_2_minW+(AS453^2*R_dn)-dpdn_minQ</f>
        <v>50</v>
      </c>
      <c r="AT456" s="132"/>
      <c r="AU456" s="146"/>
    </row>
    <row r="457" spans="13:47" x14ac:dyDescent="0.25">
      <c r="M457" s="20"/>
      <c r="N457" s="20"/>
      <c r="O457" s="7" t="s">
        <v>234</v>
      </c>
      <c r="P457" s="1"/>
      <c r="Q457" s="7"/>
      <c r="R457" s="179">
        <f>'Valve Sizing'!G$8*R455/P_1_maxW</f>
        <v>0.48490319881865729</v>
      </c>
      <c r="S457" s="132"/>
      <c r="T457" s="146"/>
      <c r="U457" s="143">
        <f>'Valve Sizing'!$G$8*U455/P_1_maxW</f>
        <v>0.48414986797010001</v>
      </c>
      <c r="V457" s="132"/>
      <c r="W457" s="146"/>
      <c r="X457" s="143">
        <f>'Valve Sizing'!$G$8*X455/P_1_maxW</f>
        <v>0.48029135475002382</v>
      </c>
      <c r="Y457" s="132"/>
      <c r="Z457" s="146"/>
      <c r="AA457" s="143">
        <f>'Valve Sizing'!$G$8*AA455/P_1_maxW</f>
        <v>0.46740488999607022</v>
      </c>
      <c r="AB457" s="132"/>
      <c r="AC457" s="146"/>
      <c r="AD457" s="143">
        <f>'Valve Sizing'!$G$8*AD455/P_1_maxW</f>
        <v>0.43757212052637789</v>
      </c>
      <c r="AE457" s="132"/>
      <c r="AF457" s="146"/>
      <c r="AG457" s="143">
        <f>'Valve Sizing'!$G$8*AG455/P_1_maxW</f>
        <v>0.39179165045199216</v>
      </c>
      <c r="AH457" s="132"/>
      <c r="AI457" s="146"/>
      <c r="AJ457" s="143">
        <f>'Valve Sizing'!$G$8*AJ455/P_1_maxW</f>
        <v>0.33478582584028344</v>
      </c>
      <c r="AK457" s="132"/>
      <c r="AL457" s="146"/>
      <c r="AM457" s="143">
        <f>'Valve Sizing'!$G$8*AM455/P_1_maxW</f>
        <v>0.27850040592296221</v>
      </c>
      <c r="AN457" s="132"/>
      <c r="AO457" s="146"/>
      <c r="AP457" s="143">
        <f>'Valve Sizing'!$G$8*AP455/P_1_maxW</f>
        <v>0.22799016652164697</v>
      </c>
      <c r="AQ457" s="132"/>
      <c r="AR457" s="146"/>
      <c r="AS457" s="143">
        <f>'Valve Sizing'!$G$8*AS455/P_1_maxW</f>
        <v>0.16511927045901409</v>
      </c>
      <c r="AT457" s="132"/>
      <c r="AU457" s="146"/>
    </row>
    <row r="458" spans="13:47" x14ac:dyDescent="0.25">
      <c r="M458" s="20"/>
      <c r="N458" s="20"/>
      <c r="O458" s="7" t="s">
        <v>190</v>
      </c>
      <c r="P458" s="1"/>
      <c r="Q458" s="7"/>
      <c r="R458" s="181">
        <f>R455-R456</f>
        <v>50.522615208788835</v>
      </c>
      <c r="S458" s="132"/>
      <c r="T458" s="146"/>
      <c r="U458" s="138">
        <f>U455-U456</f>
        <v>50.366446333848586</v>
      </c>
      <c r="V458" s="132"/>
      <c r="W458" s="146"/>
      <c r="X458" s="138">
        <f>X455-X456</f>
        <v>49.566559179784264</v>
      </c>
      <c r="Y458" s="132"/>
      <c r="Z458" s="146"/>
      <c r="AA458" s="138">
        <f>AA455-AA456</f>
        <v>46.895137046420004</v>
      </c>
      <c r="AB458" s="132"/>
      <c r="AC458" s="146"/>
      <c r="AD458" s="138">
        <f>AD455-AD456</f>
        <v>40.710669686088366</v>
      </c>
      <c r="AE458" s="132"/>
      <c r="AF458" s="146"/>
      <c r="AG458" s="138">
        <f>AG455-AG456</f>
        <v>31.220172224787888</v>
      </c>
      <c r="AH458" s="132"/>
      <c r="AI458" s="146"/>
      <c r="AJ458" s="138">
        <f>AJ455-AJ456</f>
        <v>19.402608253126957</v>
      </c>
      <c r="AK458" s="132"/>
      <c r="AL458" s="146"/>
      <c r="AM458" s="138">
        <f>AM455-AM456</f>
        <v>7.7343874164771904</v>
      </c>
      <c r="AN458" s="132"/>
      <c r="AO458" s="146"/>
      <c r="AP458" s="138">
        <f>AP455-AP456</f>
        <v>-2.7366125105434094</v>
      </c>
      <c r="AQ458" s="132"/>
      <c r="AR458" s="146"/>
      <c r="AS458" s="138">
        <f>AS455-AS456</f>
        <v>-15.770032187156673</v>
      </c>
      <c r="AT458" s="132"/>
      <c r="AU458" s="146"/>
    </row>
    <row r="459" spans="13:47" ht="14.5" x14ac:dyDescent="0.35">
      <c r="M459" s="27"/>
      <c r="N459" s="27"/>
      <c r="O459" s="2" t="s">
        <v>191</v>
      </c>
      <c r="P459" s="10"/>
      <c r="Q459" s="2"/>
      <c r="R459" s="181">
        <f>R458/R455</f>
        <v>0.50259949071014187</v>
      </c>
      <c r="S459" s="132"/>
      <c r="T459" s="146"/>
      <c r="U459" s="138">
        <f>U458/U455</f>
        <v>0.50182554203737406</v>
      </c>
      <c r="V459" s="132"/>
      <c r="W459" s="146"/>
      <c r="X459" s="138">
        <f>X458/X455</f>
        <v>0.49782336145897599</v>
      </c>
      <c r="Y459" s="132"/>
      <c r="Z459" s="146"/>
      <c r="AA459" s="138">
        <f>AA458/AA455</f>
        <v>0.48397823127030343</v>
      </c>
      <c r="AB459" s="132"/>
      <c r="AC459" s="146"/>
      <c r="AD459" s="138">
        <f>AD458/AD455</f>
        <v>0.44879692573068791</v>
      </c>
      <c r="AE459" s="132"/>
      <c r="AF459" s="146"/>
      <c r="AG459" s="138">
        <f>AG458/AG455</f>
        <v>0.38438938713872473</v>
      </c>
      <c r="AH459" s="132"/>
      <c r="AI459" s="146"/>
      <c r="AJ459" s="138">
        <f>AJ458/AJ455</f>
        <v>0.27956598089745088</v>
      </c>
      <c r="AK459" s="132"/>
      <c r="AL459" s="146"/>
      <c r="AM459" s="138">
        <f>AM458/AM455</f>
        <v>0.13396500357202756</v>
      </c>
      <c r="AN459" s="132"/>
      <c r="AO459" s="146"/>
      <c r="AP459" s="138">
        <f>AP458/AP455</f>
        <v>-5.7901319729862503E-2</v>
      </c>
      <c r="AQ459" s="132"/>
      <c r="AR459" s="146"/>
      <c r="AS459" s="138">
        <f>AS458/AS455</f>
        <v>-0.46070835571278701</v>
      </c>
      <c r="AT459" s="132"/>
      <c r="AU459" s="146"/>
    </row>
    <row r="460" spans="13:47" x14ac:dyDescent="0.25">
      <c r="M460" s="27"/>
      <c r="N460" s="27"/>
      <c r="O460" s="2" t="s">
        <v>26</v>
      </c>
      <c r="P460" s="7">
        <v>12</v>
      </c>
      <c r="Q460" s="2"/>
      <c r="R460" s="181">
        <f>1-R459/(3*F_GAMMA*R$29)</f>
        <v>0.73824042588593008</v>
      </c>
      <c r="S460" s="133"/>
      <c r="T460" s="146"/>
      <c r="U460" s="138">
        <f>1-U459/(3*F_GAMMA*U$29)</f>
        <v>0.73870105141486109</v>
      </c>
      <c r="V460" s="133"/>
      <c r="W460" s="146"/>
      <c r="X460" s="138">
        <f>1-X459/(3*F_GAMMA*X$29)</f>
        <v>0.73689633606271854</v>
      </c>
      <c r="Y460" s="133"/>
      <c r="Z460" s="146"/>
      <c r="AA460" s="138">
        <f>1-AA459/(3*F_GAMMA*AA$29)</f>
        <v>0.74070641157926786</v>
      </c>
      <c r="AB460" s="133"/>
      <c r="AC460" s="146"/>
      <c r="AD460" s="138">
        <f>1-AD459/(3*F_GAMMA*AD$29)</f>
        <v>0.75296246792220711</v>
      </c>
      <c r="AE460" s="133"/>
      <c r="AF460" s="146"/>
      <c r="AG460" s="138">
        <f>1-AG459/(3*F_GAMMA*AG$29)</f>
        <v>0.77634607412648404</v>
      </c>
      <c r="AH460" s="133"/>
      <c r="AI460" s="146"/>
      <c r="AJ460" s="138">
        <f>1-AJ459/(3*F_GAMMA*AJ$29)</f>
        <v>0.82611077450159531</v>
      </c>
      <c r="AK460" s="133"/>
      <c r="AL460" s="146"/>
      <c r="AM460" s="138">
        <f>1-AM459/(3*F_GAMMA*AM$29)</f>
        <v>0.90895804445662309</v>
      </c>
      <c r="AN460" s="133"/>
      <c r="AO460" s="146"/>
      <c r="AP460" s="138">
        <f>1-AP459/(3*F_GAMMA*AP$29)</f>
        <v>1.0325180643496601</v>
      </c>
      <c r="AQ460" s="133"/>
      <c r="AR460" s="146"/>
      <c r="AS460" s="138">
        <f>1-AS459/(3*F_GAMMA*AS$29)</f>
        <v>1.3927886620678342</v>
      </c>
      <c r="AT460" s="133"/>
      <c r="AU460" s="146"/>
    </row>
    <row r="461" spans="13:47" x14ac:dyDescent="0.25">
      <c r="M461" s="27"/>
      <c r="N461" s="27"/>
      <c r="O461" s="2" t="s">
        <v>71</v>
      </c>
      <c r="P461" s="85">
        <v>5</v>
      </c>
      <c r="Q461" s="2"/>
      <c r="R461" s="179">
        <f>R453/((N_6*R$27*R460)*SQRT(R459*R455*R457))</f>
        <v>8.9678870511512243E-2</v>
      </c>
      <c r="S461" s="133"/>
      <c r="T461" s="146"/>
      <c r="U461" s="143">
        <f>U453/((N_6*U$27*U460)*SQRT(U459*U455*U457))</f>
        <v>2.7137338474028136</v>
      </c>
      <c r="V461" s="133"/>
      <c r="W461" s="146"/>
      <c r="X461" s="143">
        <f>X453/((N_6*X$27*X460)*SQRT(X459*X455*X457))</f>
        <v>6.8241694513672853</v>
      </c>
      <c r="Y461" s="133"/>
      <c r="Z461" s="146"/>
      <c r="AA461" s="143">
        <f>AA453/((N_6*AA$27*AA460)*SQRT(AA459*AA455*AA457))</f>
        <v>13.86018289717083</v>
      </c>
      <c r="AB461" s="133"/>
      <c r="AC461" s="146"/>
      <c r="AD461" s="143">
        <f>AD453/((N_6*AD$27*AD460)*SQRT(AD459*AD455*AD457))</f>
        <v>25.17020142335641</v>
      </c>
      <c r="AE461" s="133"/>
      <c r="AF461" s="146"/>
      <c r="AG461" s="143">
        <f>AG453/((N_6*AG$27*AG460)*SQRT(AG459*AG455*AG457))</f>
        <v>42.211987306538965</v>
      </c>
      <c r="AH461" s="133"/>
      <c r="AI461" s="146"/>
      <c r="AJ461" s="143">
        <f>AJ453/((N_6*AJ$27*AJ460)*SQRT(AJ459*AJ455*AJ457))</f>
        <v>71.491937452375865</v>
      </c>
      <c r="AK461" s="133"/>
      <c r="AL461" s="146"/>
      <c r="AM461" s="143">
        <f>AM453/((N_6*AM$27*AM460)*SQRT(AM459*AM455*AM457))</f>
        <v>140.43179642473299</v>
      </c>
      <c r="AN461" s="133"/>
      <c r="AO461" s="146"/>
      <c r="AP461" s="143" t="e">
        <f>AP453/((N_6*AP$27*AP460)*SQRT(AP459*AP455*AP457))</f>
        <v>#NUM!</v>
      </c>
      <c r="AQ461" s="133"/>
      <c r="AR461" s="146"/>
      <c r="AS461" s="143" t="e">
        <f>AS453/((N_6*AS$27*AS460)*SQRT(AS459*AS455*AS457))</f>
        <v>#NUM!</v>
      </c>
      <c r="AT461" s="133"/>
      <c r="AU461" s="146"/>
    </row>
    <row r="462" spans="13:47" x14ac:dyDescent="0.25">
      <c r="M462" s="27"/>
      <c r="N462" s="27"/>
      <c r="O462" s="2" t="s">
        <v>73</v>
      </c>
      <c r="P462" s="85">
        <v>5</v>
      </c>
      <c r="Q462" s="2"/>
      <c r="R462" s="179">
        <f>R453/((N_6*R$27*0.667)*SQRT(R463*R455*R457))</f>
        <v>8.7957734386554146E-2</v>
      </c>
      <c r="S462" s="133"/>
      <c r="T462" s="147"/>
      <c r="U462" s="143">
        <f>U453/((N_6*U$27*0.667)*SQRT(U463*U455*U457))</f>
        <v>2.6609676403742188</v>
      </c>
      <c r="V462" s="133"/>
      <c r="W462" s="155"/>
      <c r="X462" s="143">
        <f>X453/((N_6*X$27*0.667)*SQRT(X463*X455*X457))</f>
        <v>6.6981433974510862</v>
      </c>
      <c r="Y462" s="133"/>
      <c r="Z462" s="155"/>
      <c r="AA462" s="143">
        <f>AA453/((N_6*AA$27*0.667)*SQRT(AA463*AA455*AA457))</f>
        <v>13.575184713426403</v>
      </c>
      <c r="AB462" s="133"/>
      <c r="AC462" s="155"/>
      <c r="AD462" s="143">
        <f>AD453/((N_6*AD$27*0.667)*SQRT(AD463*AD455*AD457))</f>
        <v>24.461116914834502</v>
      </c>
      <c r="AE462" s="133"/>
      <c r="AF462" s="155"/>
      <c r="AG462" s="143">
        <f>AG453/((N_6*AG$27*0.667)*SQRT(AG463*AG455*AG457))</f>
        <v>40.245211719424347</v>
      </c>
      <c r="AH462" s="133"/>
      <c r="AI462" s="155"/>
      <c r="AJ462" s="143">
        <f>AJ453/((N_6*AJ$27*0.667)*SQRT(AJ463*AJ455*AJ457))</f>
        <v>63.953818961209464</v>
      </c>
      <c r="AK462" s="133"/>
      <c r="AL462" s="155"/>
      <c r="AM462" s="143">
        <f>AM453/((N_6*AM$27*0.667)*SQRT(AM463*AM455*AM457))</f>
        <v>100.01493828041832</v>
      </c>
      <c r="AN462" s="133"/>
      <c r="AO462" s="155"/>
      <c r="AP462" s="143">
        <f>AP453/((N_6*AP$27*0.667)*SQRT(AP463*AP455*AP457))</f>
        <v>140.75272945532646</v>
      </c>
      <c r="AQ462" s="133"/>
      <c r="AR462" s="155"/>
      <c r="AS462" s="143">
        <f>AS453/((N_6*AS$27*0.667)*SQRT(AS463*AS455*AS457))</f>
        <v>351.03144810657278</v>
      </c>
      <c r="AT462" s="133"/>
      <c r="AU462" s="155"/>
    </row>
    <row r="463" spans="13:47" ht="15.5" x14ac:dyDescent="0.4">
      <c r="M463" s="27"/>
      <c r="N463" s="27"/>
      <c r="O463" s="2" t="s">
        <v>192</v>
      </c>
      <c r="P463" s="85">
        <v>10</v>
      </c>
      <c r="Q463" s="2"/>
      <c r="R463" s="181">
        <f>F_GAMMA*R$29</f>
        <v>0.64002688015162901</v>
      </c>
      <c r="S463" s="133"/>
      <c r="T463" s="147"/>
      <c r="U463" s="138">
        <f>F_GAMMA*U$29</f>
        <v>0.64016782916606918</v>
      </c>
      <c r="V463" s="133"/>
      <c r="W463" s="155"/>
      <c r="X463" s="138">
        <f>F_GAMMA*X$29</f>
        <v>0.6307062319203669</v>
      </c>
      <c r="Y463" s="133"/>
      <c r="Z463" s="155"/>
      <c r="AA463" s="138">
        <f>F_GAMMA*AA$29</f>
        <v>0.62217534213893466</v>
      </c>
      <c r="AB463" s="133"/>
      <c r="AC463" s="155"/>
      <c r="AD463" s="138">
        <f>F_GAMMA*AD$29</f>
        <v>0.60557184969146072</v>
      </c>
      <c r="AE463" s="133"/>
      <c r="AF463" s="155"/>
      <c r="AG463" s="138">
        <f>F_GAMMA*AG$29</f>
        <v>0.57289312142622573</v>
      </c>
      <c r="AH463" s="133"/>
      <c r="AI463" s="155"/>
      <c r="AJ463" s="138">
        <f>F_GAMMA*AJ$29</f>
        <v>0.53590819116049981</v>
      </c>
      <c r="AK463" s="133"/>
      <c r="AL463" s="155"/>
      <c r="AM463" s="138">
        <f>F_GAMMA*AM$29</f>
        <v>0.49048815926850342</v>
      </c>
      <c r="AN463" s="133"/>
      <c r="AO463" s="155"/>
      <c r="AP463" s="138">
        <f>F_GAMMA*AP$29</f>
        <v>0.59352979016280105</v>
      </c>
      <c r="AQ463" s="133"/>
      <c r="AR463" s="155"/>
      <c r="AS463" s="138">
        <f>F_GAMMA*AS$29</f>
        <v>0.39097221161068291</v>
      </c>
      <c r="AT463" s="133"/>
      <c r="AU463" s="155"/>
    </row>
    <row r="464" spans="13:47" x14ac:dyDescent="0.25">
      <c r="M464" s="27"/>
      <c r="N464" s="27"/>
      <c r="O464" s="2" t="s">
        <v>193</v>
      </c>
      <c r="P464" s="134"/>
      <c r="Q464" s="2"/>
      <c r="R464" s="181">
        <f>IF(R459&lt;R463,R461,R462)</f>
        <v>8.9678870511512243E-2</v>
      </c>
      <c r="S464" s="133"/>
      <c r="T464" s="147"/>
      <c r="U464" s="138">
        <f>IF(U459&lt;U463,U461,U462)</f>
        <v>2.7137338474028136</v>
      </c>
      <c r="V464" s="133"/>
      <c r="W464" s="155"/>
      <c r="X464" s="138">
        <f>IF(X459&lt;X463,X461,X462)</f>
        <v>6.8241694513672853</v>
      </c>
      <c r="Y464" s="133"/>
      <c r="Z464" s="155"/>
      <c r="AA464" s="138">
        <f>IF(AA459&lt;AA463,AA461,AA462)</f>
        <v>13.86018289717083</v>
      </c>
      <c r="AB464" s="133"/>
      <c r="AC464" s="155"/>
      <c r="AD464" s="138">
        <f>IF(AD459&lt;AD463,AD461,AD462)</f>
        <v>25.17020142335641</v>
      </c>
      <c r="AE464" s="133"/>
      <c r="AF464" s="155"/>
      <c r="AG464" s="138">
        <f>IF(AG459&lt;AG463,AG461,AG462)</f>
        <v>42.211987306538965</v>
      </c>
      <c r="AH464" s="133"/>
      <c r="AI464" s="155"/>
      <c r="AJ464" s="138">
        <f>IF(AJ459&lt;AJ463,AJ461,AJ462)</f>
        <v>71.491937452375865</v>
      </c>
      <c r="AK464" s="133"/>
      <c r="AL464" s="155"/>
      <c r="AM464" s="138">
        <f>IF(AM459&lt;AM463,AM461,AM462)</f>
        <v>140.43179642473299</v>
      </c>
      <c r="AN464" s="133"/>
      <c r="AO464" s="155"/>
      <c r="AP464" s="138" t="e">
        <f>IF(AP459&lt;AP463,AP461,AP462)</f>
        <v>#NUM!</v>
      </c>
      <c r="AQ464" s="133"/>
      <c r="AR464" s="155"/>
      <c r="AS464" s="138" t="e">
        <f>IF(AS459&lt;AS463,AS461,AS462)</f>
        <v>#NUM!</v>
      </c>
      <c r="AT464" s="133"/>
      <c r="AU464" s="155"/>
    </row>
    <row r="465" spans="13:47" ht="13" x14ac:dyDescent="0.3">
      <c r="M465" s="28"/>
      <c r="N465" s="28"/>
      <c r="O465" s="9" t="s">
        <v>194</v>
      </c>
      <c r="P465" s="1"/>
      <c r="Q465" s="1"/>
      <c r="R465" s="135"/>
      <c r="S465" s="132">
        <f>IF(R458&lt;=0,W_max,ABS(R$23-R464))</f>
        <v>1.9103211294884876</v>
      </c>
      <c r="T465" s="151">
        <f>R453</f>
        <v>20.740090137983408</v>
      </c>
      <c r="U465" s="135"/>
      <c r="V465" s="132">
        <f>IF(U458&lt;=0,W_max,ABS(U$23-U464))</f>
        <v>2.2862661525971864</v>
      </c>
      <c r="W465" s="151">
        <f>U453</f>
        <v>626.15062675821787</v>
      </c>
      <c r="X465" s="135"/>
      <c r="Y465" s="132">
        <f>IF(X458&lt;=0,W_max,ABS(X$23-X464))</f>
        <v>3.1758305486327147</v>
      </c>
      <c r="Z465" s="151">
        <f>X453</f>
        <v>1548.5450127711167</v>
      </c>
      <c r="AA465" s="135"/>
      <c r="AB465" s="132">
        <f>IF(AA458&lt;=0,W_max,ABS(AA$23-AA464))</f>
        <v>3.3398171028291692</v>
      </c>
      <c r="AC465" s="151">
        <f>AA453</f>
        <v>3016.1704258662667</v>
      </c>
      <c r="AD465" s="135"/>
      <c r="AE465" s="132">
        <f>IF(AD458&lt;=0,W_max,ABS(AD$23-AD464))</f>
        <v>1.4297985766435914</v>
      </c>
      <c r="AF465" s="151">
        <f>AD453</f>
        <v>4960.4898624840798</v>
      </c>
      <c r="AG465" s="135"/>
      <c r="AH465" s="132">
        <f>IF(AG458&lt;=0,W_max,ABS(AG$23-AG464))</f>
        <v>3.8119873065389669</v>
      </c>
      <c r="AI465" s="151">
        <f>AG453</f>
        <v>6957.4689212476369</v>
      </c>
      <c r="AJ465" s="135"/>
      <c r="AK465" s="132">
        <f>IF(AJ458&lt;=0,W_max,ABS(AJ$23-AJ464))</f>
        <v>18.991937452375865</v>
      </c>
      <c r="AL465" s="151">
        <f>AJ453</f>
        <v>8834.1393553920861</v>
      </c>
      <c r="AM465" s="135"/>
      <c r="AN465" s="132">
        <f>IF(AM458&lt;=0,W_max,ABS(AM$23-AM464))</f>
        <v>68.031796424732988</v>
      </c>
      <c r="AO465" s="151">
        <f>AM453</f>
        <v>10358.72315441277</v>
      </c>
      <c r="AP465" s="135"/>
      <c r="AQ465" s="132">
        <f>IF(AP458&lt;=0,W_max,ABS(AP$23-AP464))</f>
        <v>7174</v>
      </c>
      <c r="AR465" s="151">
        <f>AP453</f>
        <v>11556.899535247429</v>
      </c>
      <c r="AS465" s="135"/>
      <c r="AT465" s="132">
        <f>IF(AS458&lt;=0,W_max,ABS(AS$23-AS464))</f>
        <v>7174</v>
      </c>
      <c r="AU465" s="151">
        <f>AS453</f>
        <v>12893.666997066664</v>
      </c>
    </row>
    <row r="466" spans="13:47" ht="13" x14ac:dyDescent="0.25">
      <c r="M466" s="12"/>
      <c r="N466" s="12"/>
      <c r="O466" s="12"/>
      <c r="P466" s="12"/>
      <c r="Q466" s="12"/>
      <c r="R466" s="182"/>
      <c r="S466" s="22"/>
      <c r="T466" s="152"/>
      <c r="U466" s="157"/>
      <c r="V466" s="1"/>
      <c r="W466" s="147"/>
      <c r="X466" s="157"/>
      <c r="Y466" s="1"/>
      <c r="Z466" s="147"/>
      <c r="AA466" s="157"/>
      <c r="AB466" s="1"/>
      <c r="AC466" s="147"/>
      <c r="AD466" s="157"/>
      <c r="AE466" s="1"/>
      <c r="AF466" s="147"/>
      <c r="AG466" s="157"/>
      <c r="AH466" s="1"/>
      <c r="AI466" s="147"/>
      <c r="AJ466" s="157"/>
      <c r="AK466" s="1"/>
      <c r="AL466" s="147"/>
      <c r="AM466" s="157"/>
      <c r="AN466" s="1"/>
      <c r="AO466" s="147"/>
      <c r="AP466" s="157"/>
      <c r="AQ466" s="1"/>
      <c r="AR466" s="147"/>
      <c r="AS466" s="157"/>
      <c r="AT466" s="1"/>
      <c r="AU466" s="147"/>
    </row>
    <row r="467" spans="13:47" ht="14" x14ac:dyDescent="0.3">
      <c r="M467" s="23"/>
      <c r="N467" s="23"/>
      <c r="O467" s="23" t="s">
        <v>238</v>
      </c>
      <c r="P467" s="20"/>
      <c r="Q467" s="20"/>
      <c r="R467" s="18">
        <f>R453*1.02</f>
        <v>21.154891940743077</v>
      </c>
      <c r="S467" s="128" t="s">
        <v>185</v>
      </c>
      <c r="T467" s="153" t="s">
        <v>186</v>
      </c>
      <c r="U467" s="143">
        <f>U453*1.01</f>
        <v>632.41213302580002</v>
      </c>
      <c r="V467" s="128" t="s">
        <v>185</v>
      </c>
      <c r="W467" s="153" t="s">
        <v>186</v>
      </c>
      <c r="X467" s="143">
        <f>X453*1.01</f>
        <v>1564.0304628988279</v>
      </c>
      <c r="Y467" s="128" t="s">
        <v>185</v>
      </c>
      <c r="Z467" s="153" t="s">
        <v>186</v>
      </c>
      <c r="AA467" s="143">
        <f>AA453*1.01</f>
        <v>3046.3321301249293</v>
      </c>
      <c r="AB467" s="128" t="s">
        <v>185</v>
      </c>
      <c r="AC467" s="153" t="s">
        <v>186</v>
      </c>
      <c r="AD467" s="143">
        <f>AD453*1.01</f>
        <v>5010.0947611089205</v>
      </c>
      <c r="AE467" s="128" t="s">
        <v>185</v>
      </c>
      <c r="AF467" s="153" t="s">
        <v>186</v>
      </c>
      <c r="AG467" s="143">
        <f>AG453*1.01</f>
        <v>7027.0436104601131</v>
      </c>
      <c r="AH467" s="128" t="s">
        <v>185</v>
      </c>
      <c r="AI467" s="153" t="s">
        <v>186</v>
      </c>
      <c r="AJ467" s="143">
        <f>AJ453*1.01</f>
        <v>8922.4807489460072</v>
      </c>
      <c r="AK467" s="128" t="s">
        <v>185</v>
      </c>
      <c r="AL467" s="153" t="s">
        <v>186</v>
      </c>
      <c r="AM467" s="143">
        <f>AM453*1.01</f>
        <v>10462.310385956898</v>
      </c>
      <c r="AN467" s="128" t="s">
        <v>185</v>
      </c>
      <c r="AO467" s="153" t="s">
        <v>186</v>
      </c>
      <c r="AP467" s="143">
        <f>AP453*1.01</f>
        <v>11672.468530599903</v>
      </c>
      <c r="AQ467" s="128" t="s">
        <v>185</v>
      </c>
      <c r="AR467" s="153" t="s">
        <v>186</v>
      </c>
      <c r="AS467" s="143">
        <f>AS453*1.01</f>
        <v>13022.603667037331</v>
      </c>
      <c r="AT467" s="128" t="s">
        <v>185</v>
      </c>
      <c r="AU467" s="153" t="s">
        <v>186</v>
      </c>
    </row>
    <row r="468" spans="13:47" ht="14" x14ac:dyDescent="0.3">
      <c r="M468" s="12"/>
      <c r="N468" s="12"/>
      <c r="O468" s="20"/>
      <c r="P468" s="20"/>
      <c r="Q468" s="23"/>
      <c r="R468" s="139"/>
      <c r="S468" s="130" t="s">
        <v>228</v>
      </c>
      <c r="T468" s="154" t="s">
        <v>187</v>
      </c>
      <c r="U468" s="144"/>
      <c r="V468" s="130" t="s">
        <v>228</v>
      </c>
      <c r="W468" s="154" t="s">
        <v>187</v>
      </c>
      <c r="X468" s="144"/>
      <c r="Y468" s="130" t="s">
        <v>228</v>
      </c>
      <c r="Z468" s="154" t="s">
        <v>187</v>
      </c>
      <c r="AA468" s="144"/>
      <c r="AB468" s="130" t="s">
        <v>228</v>
      </c>
      <c r="AC468" s="154" t="s">
        <v>187</v>
      </c>
      <c r="AD468" s="144"/>
      <c r="AE468" s="130" t="s">
        <v>228</v>
      </c>
      <c r="AF468" s="154" t="s">
        <v>187</v>
      </c>
      <c r="AG468" s="144"/>
      <c r="AH468" s="130" t="s">
        <v>228</v>
      </c>
      <c r="AI468" s="154" t="s">
        <v>187</v>
      </c>
      <c r="AJ468" s="144"/>
      <c r="AK468" s="130" t="s">
        <v>228</v>
      </c>
      <c r="AL468" s="154" t="s">
        <v>187</v>
      </c>
      <c r="AM468" s="144"/>
      <c r="AN468" s="130" t="s">
        <v>228</v>
      </c>
      <c r="AO468" s="154" t="s">
        <v>187</v>
      </c>
      <c r="AP468" s="144"/>
      <c r="AQ468" s="130" t="s">
        <v>228</v>
      </c>
      <c r="AR468" s="154" t="s">
        <v>187</v>
      </c>
      <c r="AS468" s="144"/>
      <c r="AT468" s="130" t="s">
        <v>228</v>
      </c>
      <c r="AU468" s="154" t="s">
        <v>187</v>
      </c>
    </row>
    <row r="469" spans="13:47" x14ac:dyDescent="0.25">
      <c r="M469" s="20"/>
      <c r="N469" s="20"/>
      <c r="O469" s="7" t="s">
        <v>188</v>
      </c>
      <c r="P469" s="7"/>
      <c r="Q469" s="7"/>
      <c r="R469" s="181">
        <f>P_1_minW-(R467^2*R_up)+dpup_minQ</f>
        <v>100.52260827906014</v>
      </c>
      <c r="S469" s="132"/>
      <c r="T469" s="145"/>
      <c r="U469" s="138">
        <f>P_1_minW-(U467^2*R_up)+dpup_minQ</f>
        <v>100.36330389175075</v>
      </c>
      <c r="V469" s="132"/>
      <c r="W469" s="145"/>
      <c r="X469" s="138">
        <f>P_1_minW-(X467^2*R_up)+dpup_minQ</f>
        <v>99.547339005889725</v>
      </c>
      <c r="Y469" s="132"/>
      <c r="Z469" s="145"/>
      <c r="AA469" s="138">
        <f>P_1_minW-(AA467^2*R_up)+dpup_minQ</f>
        <v>96.822221287644837</v>
      </c>
      <c r="AB469" s="132"/>
      <c r="AC469" s="145"/>
      <c r="AD469" s="138">
        <f>P_1_minW-(AD467^2*R_up)+dpup_minQ</f>
        <v>90.513446133370536</v>
      </c>
      <c r="AE469" s="132"/>
      <c r="AF469" s="145"/>
      <c r="AG469" s="138">
        <f>P_1_minW-(AG467^2*R_up)+dpup_minQ</f>
        <v>80.832189673097915</v>
      </c>
      <c r="AH469" s="132"/>
      <c r="AI469" s="145"/>
      <c r="AJ469" s="138">
        <f>P_1_minW-(AJ467^2*R_up)+dpup_minQ</f>
        <v>68.777092665606588</v>
      </c>
      <c r="AK469" s="132"/>
      <c r="AL469" s="145"/>
      <c r="AM469" s="138">
        <f>P_1_minW-(AM467^2*R_up)+dpup_minQ</f>
        <v>56.874340590140172</v>
      </c>
      <c r="AN469" s="132"/>
      <c r="AO469" s="145"/>
      <c r="AP469" s="138">
        <f>P_1_minW-(AP467^2*R_up)+dpup_minQ</f>
        <v>46.192873564586471</v>
      </c>
      <c r="AQ469" s="132"/>
      <c r="AR469" s="145"/>
      <c r="AS469" s="138">
        <f>P_1_minW-(AS467^2*R_up)+dpup_minQ</f>
        <v>32.897482152473273</v>
      </c>
      <c r="AT469" s="132"/>
      <c r="AU469" s="145"/>
    </row>
    <row r="470" spans="13:47" x14ac:dyDescent="0.25">
      <c r="M470" s="20"/>
      <c r="N470" s="20"/>
      <c r="O470" s="7" t="s">
        <v>189</v>
      </c>
      <c r="P470" s="1"/>
      <c r="Q470" s="7"/>
      <c r="R470" s="181">
        <f>P_2_minW+(R467^2*R_dn)-dpdn_minQ</f>
        <v>50</v>
      </c>
      <c r="S470" s="132"/>
      <c r="T470" s="146"/>
      <c r="U470" s="138">
        <f>P_2_minW+(U467^2*R_dn)-dpdn_minQ</f>
        <v>50</v>
      </c>
      <c r="V470" s="132"/>
      <c r="W470" s="146"/>
      <c r="X470" s="138">
        <f>P_2_minW+(X467^2*R_dn)-dpdn_minQ</f>
        <v>50</v>
      </c>
      <c r="Y470" s="132"/>
      <c r="Z470" s="146"/>
      <c r="AA470" s="138">
        <f>P_2_minW+(AA467^2*R_dn)-dpdn_minQ</f>
        <v>50</v>
      </c>
      <c r="AB470" s="132"/>
      <c r="AC470" s="146"/>
      <c r="AD470" s="138">
        <f>P_2_minW+(AD467^2*R_dn)-dpdn_minQ</f>
        <v>50</v>
      </c>
      <c r="AE470" s="132"/>
      <c r="AF470" s="146"/>
      <c r="AG470" s="138">
        <f>P_2_minW+(AG467^2*R_dn)-dpdn_minQ</f>
        <v>50</v>
      </c>
      <c r="AH470" s="132"/>
      <c r="AI470" s="146"/>
      <c r="AJ470" s="138">
        <f>P_2_minW+(AJ467^2*R_dn)-dpdn_minQ</f>
        <v>50</v>
      </c>
      <c r="AK470" s="132"/>
      <c r="AL470" s="146"/>
      <c r="AM470" s="138">
        <f>P_2_minW+(AM467^2*R_dn)-dpdn_minQ</f>
        <v>50</v>
      </c>
      <c r="AN470" s="132"/>
      <c r="AO470" s="146"/>
      <c r="AP470" s="138">
        <f>P_2_minW+(AP467^2*R_dn)-dpdn_minQ</f>
        <v>50</v>
      </c>
      <c r="AQ470" s="132"/>
      <c r="AR470" s="146"/>
      <c r="AS470" s="138">
        <f>P_2_minW+(AS467^2*R_dn)-dpdn_minQ</f>
        <v>50</v>
      </c>
      <c r="AT470" s="132"/>
      <c r="AU470" s="146"/>
    </row>
    <row r="471" spans="13:47" x14ac:dyDescent="0.25">
      <c r="M471" s="20"/>
      <c r="N471" s="20"/>
      <c r="O471" s="7" t="s">
        <v>234</v>
      </c>
      <c r="P471" s="1"/>
      <c r="Q471" s="7"/>
      <c r="R471" s="179">
        <f>'Valve Sizing'!G$8*R469/P_1_maxW</f>
        <v>0.48490316539087985</v>
      </c>
      <c r="S471" s="132"/>
      <c r="T471" s="146"/>
      <c r="U471" s="143">
        <f>'Valve Sizing'!$G$8*U469/P_1_maxW</f>
        <v>0.4841347093888973</v>
      </c>
      <c r="V471" s="132"/>
      <c r="W471" s="146"/>
      <c r="X471" s="143">
        <f>'Valve Sizing'!$G$8*X469/P_1_maxW</f>
        <v>0.48019864005309759</v>
      </c>
      <c r="Y471" s="132"/>
      <c r="Z471" s="146"/>
      <c r="AA471" s="143">
        <f>'Valve Sizing'!$G$8*AA469/P_1_maxW</f>
        <v>0.46705315735758957</v>
      </c>
      <c r="AB471" s="132"/>
      <c r="AC471" s="146"/>
      <c r="AD471" s="143">
        <f>'Valve Sizing'!$G$8*AD469/P_1_maxW</f>
        <v>0.43662074922155636</v>
      </c>
      <c r="AE471" s="132"/>
      <c r="AF471" s="146"/>
      <c r="AG471" s="143">
        <f>'Valve Sizing'!$G$8*AG469/P_1_maxW</f>
        <v>0.38992009169867548</v>
      </c>
      <c r="AH471" s="132"/>
      <c r="AI471" s="146"/>
      <c r="AJ471" s="143">
        <f>'Valve Sizing'!$G$8*AJ469/P_1_maxW</f>
        <v>0.3317684500122714</v>
      </c>
      <c r="AK471" s="132"/>
      <c r="AL471" s="146"/>
      <c r="AM471" s="143">
        <f>'Valve Sizing'!$G$8*AM469/P_1_maxW</f>
        <v>0.27435169315461205</v>
      </c>
      <c r="AN471" s="132"/>
      <c r="AO471" s="146"/>
      <c r="AP471" s="143">
        <f>'Valve Sizing'!$G$8*AP469/P_1_maxW</f>
        <v>0.22282619794133041</v>
      </c>
      <c r="AQ471" s="132"/>
      <c r="AR471" s="146"/>
      <c r="AS471" s="143">
        <f>'Valve Sizing'!$G$8*AS469/P_1_maxW</f>
        <v>0.15869159686783857</v>
      </c>
      <c r="AT471" s="132"/>
      <c r="AU471" s="146"/>
    </row>
    <row r="472" spans="13:47" x14ac:dyDescent="0.25">
      <c r="M472" s="20"/>
      <c r="N472" s="20"/>
      <c r="O472" s="7" t="s">
        <v>190</v>
      </c>
      <c r="P472" s="1"/>
      <c r="Q472" s="7"/>
      <c r="R472" s="181">
        <f>R469-R470</f>
        <v>50.522608279060137</v>
      </c>
      <c r="S472" s="132"/>
      <c r="T472" s="146"/>
      <c r="U472" s="138">
        <f>U469-U470</f>
        <v>50.363303891750746</v>
      </c>
      <c r="V472" s="132"/>
      <c r="W472" s="146"/>
      <c r="X472" s="138">
        <f>X469-X470</f>
        <v>49.547339005889725</v>
      </c>
      <c r="Y472" s="132"/>
      <c r="Z472" s="146"/>
      <c r="AA472" s="138">
        <f>AA469-AA470</f>
        <v>46.822221287644837</v>
      </c>
      <c r="AB472" s="132"/>
      <c r="AC472" s="146"/>
      <c r="AD472" s="138">
        <f>AD469-AD470</f>
        <v>40.513446133370536</v>
      </c>
      <c r="AE472" s="132"/>
      <c r="AF472" s="146"/>
      <c r="AG472" s="138">
        <f>AG469-AG470</f>
        <v>30.832189673097915</v>
      </c>
      <c r="AH472" s="132"/>
      <c r="AI472" s="146"/>
      <c r="AJ472" s="138">
        <f>AJ469-AJ470</f>
        <v>18.777092665606588</v>
      </c>
      <c r="AK472" s="132"/>
      <c r="AL472" s="146"/>
      <c r="AM472" s="138">
        <f>AM469-AM470</f>
        <v>6.8743405901401715</v>
      </c>
      <c r="AN472" s="132"/>
      <c r="AO472" s="146"/>
      <c r="AP472" s="138">
        <f>AP469-AP470</f>
        <v>-3.8071264354135295</v>
      </c>
      <c r="AQ472" s="132"/>
      <c r="AR472" s="146"/>
      <c r="AS472" s="138">
        <f>AS469-AS470</f>
        <v>-17.102517847526727</v>
      </c>
      <c r="AT472" s="132"/>
      <c r="AU472" s="146"/>
    </row>
    <row r="473" spans="13:47" ht="14.5" x14ac:dyDescent="0.35">
      <c r="M473" s="27"/>
      <c r="N473" s="27"/>
      <c r="O473" s="2" t="s">
        <v>191</v>
      </c>
      <c r="P473" s="10"/>
      <c r="Q473" s="2"/>
      <c r="R473" s="181">
        <f>R472/R469</f>
        <v>0.50259945642083481</v>
      </c>
      <c r="S473" s="132"/>
      <c r="T473" s="146"/>
      <c r="U473" s="138">
        <f>U472/U469</f>
        <v>0.50180994386226363</v>
      </c>
      <c r="V473" s="132"/>
      <c r="W473" s="146"/>
      <c r="X473" s="138">
        <f>X472/X469</f>
        <v>0.49772640334422452</v>
      </c>
      <c r="Y473" s="132"/>
      <c r="Z473" s="146"/>
      <c r="AA473" s="138">
        <f>AA472/AA469</f>
        <v>0.48358962090471752</v>
      </c>
      <c r="AB473" s="132"/>
      <c r="AC473" s="146"/>
      <c r="AD473" s="138">
        <f>AD472/AD469</f>
        <v>0.4475958861810922</v>
      </c>
      <c r="AE473" s="132"/>
      <c r="AF473" s="146"/>
      <c r="AG473" s="138">
        <f>AG472/AG469</f>
        <v>0.38143454727367482</v>
      </c>
      <c r="AH473" s="132"/>
      <c r="AI473" s="146"/>
      <c r="AJ473" s="138">
        <f>AJ472/AJ469</f>
        <v>0.27301375992876858</v>
      </c>
      <c r="AK473" s="132"/>
      <c r="AL473" s="146"/>
      <c r="AM473" s="138">
        <f>AM472/AM469</f>
        <v>0.12086892821631973</v>
      </c>
      <c r="AN473" s="132"/>
      <c r="AO473" s="146"/>
      <c r="AP473" s="138">
        <f>AP472/AP469</f>
        <v>-8.2418047236018754E-2</v>
      </c>
      <c r="AQ473" s="132"/>
      <c r="AR473" s="146"/>
      <c r="AS473" s="138">
        <f>AS472/AS469</f>
        <v>-0.51987315528464961</v>
      </c>
      <c r="AT473" s="132"/>
      <c r="AU473" s="146"/>
    </row>
    <row r="474" spans="13:47" x14ac:dyDescent="0.25">
      <c r="M474" s="27"/>
      <c r="N474" s="27"/>
      <c r="O474" s="2" t="s">
        <v>26</v>
      </c>
      <c r="P474" s="7">
        <v>12</v>
      </c>
      <c r="Q474" s="2"/>
      <c r="R474" s="181">
        <f>1-R473/(3*F_GAMMA*R$29)</f>
        <v>0.73824044374419406</v>
      </c>
      <c r="S474" s="133"/>
      <c r="T474" s="146"/>
      <c r="U474" s="138">
        <f>1-U473/(3*F_GAMMA*U$29)</f>
        <v>0.73870917333456187</v>
      </c>
      <c r="V474" s="133"/>
      <c r="W474" s="146"/>
      <c r="X474" s="138">
        <f>1-X473/(3*F_GAMMA*X$29)</f>
        <v>0.73694757920881115</v>
      </c>
      <c r="Y474" s="133"/>
      <c r="Z474" s="146"/>
      <c r="AA474" s="138">
        <f>1-AA473/(3*F_GAMMA*AA$29)</f>
        <v>0.7409146113900853</v>
      </c>
      <c r="AB474" s="133"/>
      <c r="AC474" s="146"/>
      <c r="AD474" s="138">
        <f>1-AD473/(3*F_GAMMA*AD$29)</f>
        <v>0.75362357282121428</v>
      </c>
      <c r="AE474" s="133"/>
      <c r="AF474" s="146"/>
      <c r="AG474" s="138">
        <f>1-AG473/(3*F_GAMMA*AG$29)</f>
        <v>0.77806532434061004</v>
      </c>
      <c r="AH474" s="133"/>
      <c r="AI474" s="146"/>
      <c r="AJ474" s="138">
        <f>1-AJ473/(3*F_GAMMA*AJ$29)</f>
        <v>0.83018623685177484</v>
      </c>
      <c r="AK474" s="133"/>
      <c r="AL474" s="146"/>
      <c r="AM474" s="138">
        <f>1-AM473/(3*F_GAMMA*AM$29)</f>
        <v>0.91785807266201946</v>
      </c>
      <c r="AN474" s="133"/>
      <c r="AO474" s="146"/>
      <c r="AP474" s="138">
        <f>1-AP473/(3*F_GAMMA*AP$29)</f>
        <v>1.0462869477949384</v>
      </c>
      <c r="AQ474" s="133"/>
      <c r="AR474" s="146"/>
      <c r="AS474" s="138">
        <f>1-AS473/(3*F_GAMMA*AS$29)</f>
        <v>1.4432311213312197</v>
      </c>
      <c r="AT474" s="133"/>
      <c r="AU474" s="146"/>
    </row>
    <row r="475" spans="13:47" x14ac:dyDescent="0.25">
      <c r="M475" s="27"/>
      <c r="N475" s="27"/>
      <c r="O475" s="2" t="s">
        <v>71</v>
      </c>
      <c r="P475" s="85">
        <v>5</v>
      </c>
      <c r="Q475" s="2"/>
      <c r="R475" s="179">
        <f>R467/((N_6*R$27*R474)*SQRT(R473*R469*R471))</f>
        <v>9.147245513513802E-2</v>
      </c>
      <c r="S475" s="133"/>
      <c r="T475" s="146"/>
      <c r="U475" s="143">
        <f>U467/((N_6*U$27*U474)*SQRT(U473*U469*U471))</f>
        <v>2.7409694671806104</v>
      </c>
      <c r="V475" s="133"/>
      <c r="W475" s="146"/>
      <c r="X475" s="143">
        <f>X467/((N_6*X$27*X474)*SQRT(X473*X469*X471))</f>
        <v>6.8939339295586217</v>
      </c>
      <c r="Y475" s="133"/>
      <c r="Z475" s="146"/>
      <c r="AA475" s="143">
        <f>AA467/((N_6*AA$27*AA474)*SQRT(AA473*AA469*AA471))</f>
        <v>14.011016587438329</v>
      </c>
      <c r="AB475" s="133"/>
      <c r="AC475" s="146"/>
      <c r="AD475" s="143">
        <f>AD467/((N_6*AD$27*AD474)*SQRT(AD473*AD469*AD471))</f>
        <v>25.489075624811225</v>
      </c>
      <c r="AE475" s="133"/>
      <c r="AF475" s="146"/>
      <c r="AG475" s="143">
        <f>AG467/((N_6*AG$27*AG474)*SQRT(AG473*AG469*AG471))</f>
        <v>42.909328387245424</v>
      </c>
      <c r="AH475" s="133"/>
      <c r="AI475" s="146"/>
      <c r="AJ475" s="143">
        <f>AJ467/((N_6*AJ$27*AJ474)*SQRT(AJ473*AJ469*AJ471))</f>
        <v>73.370768835121197</v>
      </c>
      <c r="AK475" s="133"/>
      <c r="AL475" s="146"/>
      <c r="AM475" s="143">
        <f>AM467/((N_6*AM$27*AM474)*SQRT(AM473*AM469*AM471))</f>
        <v>150.11070445409169</v>
      </c>
      <c r="AN475" s="133"/>
      <c r="AO475" s="146"/>
      <c r="AP475" s="143" t="e">
        <f>AP467/((N_6*AP$27*AP474)*SQRT(AP473*AP469*AP471))</f>
        <v>#NUM!</v>
      </c>
      <c r="AQ475" s="133"/>
      <c r="AR475" s="146"/>
      <c r="AS475" s="143" t="e">
        <f>AS467/((N_6*AS$27*AS474)*SQRT(AS473*AS469*AS471))</f>
        <v>#NUM!</v>
      </c>
      <c r="AT475" s="133"/>
      <c r="AU475" s="146"/>
    </row>
    <row r="476" spans="13:47" x14ac:dyDescent="0.25">
      <c r="M476" s="27"/>
      <c r="N476" s="27"/>
      <c r="O476" s="2" t="s">
        <v>73</v>
      </c>
      <c r="P476" s="85">
        <v>5</v>
      </c>
      <c r="Q476" s="2"/>
      <c r="R476" s="179">
        <f>R467/((N_6*R$27*0.667)*SQRT(R477*R469*R471))</f>
        <v>8.9716895259099899E-2</v>
      </c>
      <c r="S476" s="133"/>
      <c r="T476" s="155"/>
      <c r="U476" s="143">
        <f>U467/((N_6*U$27*0.667)*SQRT(U477*U469*U471))</f>
        <v>2.6876614666193266</v>
      </c>
      <c r="V476" s="133"/>
      <c r="W476" s="155"/>
      <c r="X476" s="143">
        <f>X467/((N_6*X$27*0.667)*SQRT(X477*X469*X471))</f>
        <v>6.7664310127557741</v>
      </c>
      <c r="Y476" s="133"/>
      <c r="Z476" s="155"/>
      <c r="AA476" s="143">
        <f>AA467/((N_6*AA$27*0.667)*SQRT(AA477*AA469*AA471))</f>
        <v>13.721262117334058</v>
      </c>
      <c r="AB476" s="133"/>
      <c r="AC476" s="155"/>
      <c r="AD476" s="143">
        <f>AD467/((N_6*AD$27*0.667)*SQRT(AD477*AD469*AD471))</f>
        <v>24.759560433466302</v>
      </c>
      <c r="AE476" s="133"/>
      <c r="AF476" s="155"/>
      <c r="AG476" s="143">
        <f>AG467/((N_6*AG$27*0.667)*SQRT(AG477*AG469*AG471))</f>
        <v>40.842766609404379</v>
      </c>
      <c r="AH476" s="133"/>
      <c r="AI476" s="155"/>
      <c r="AJ476" s="143">
        <f>AJ467/((N_6*AJ$27*0.667)*SQRT(AJ477*AJ469*AJ471))</f>
        <v>65.180822398074071</v>
      </c>
      <c r="AK476" s="133"/>
      <c r="AL476" s="155"/>
      <c r="AM476" s="143">
        <f>AM467/((N_6*AM$27*0.667)*SQRT(AM477*AM469*AM471))</f>
        <v>102.54262547122958</v>
      </c>
      <c r="AN476" s="133"/>
      <c r="AO476" s="155"/>
      <c r="AP476" s="143">
        <f>AP467/((N_6*AP$27*0.667)*SQRT(AP477*AP469*AP471))</f>
        <v>145.45480248107512</v>
      </c>
      <c r="AQ476" s="133"/>
      <c r="AR476" s="155"/>
      <c r="AS476" s="143">
        <f>AS467/((N_6*AS$27*0.667)*SQRT(AS477*AS469*AS471))</f>
        <v>368.90218726879715</v>
      </c>
      <c r="AT476" s="133"/>
      <c r="AU476" s="155"/>
    </row>
    <row r="477" spans="13:47" ht="15.5" x14ac:dyDescent="0.4">
      <c r="M477" s="27"/>
      <c r="N477" s="27"/>
      <c r="O477" s="2" t="s">
        <v>192</v>
      </c>
      <c r="P477" s="85">
        <v>10</v>
      </c>
      <c r="Q477" s="2"/>
      <c r="R477" s="181">
        <f>F_GAMMA*R$29</f>
        <v>0.64002688015162901</v>
      </c>
      <c r="S477" s="133"/>
      <c r="T477" s="155"/>
      <c r="U477" s="138">
        <f>F_GAMMA*U$29</f>
        <v>0.64016782916606918</v>
      </c>
      <c r="V477" s="133"/>
      <c r="W477" s="155"/>
      <c r="X477" s="138">
        <f>F_GAMMA*X$29</f>
        <v>0.6307062319203669</v>
      </c>
      <c r="Y477" s="133"/>
      <c r="Z477" s="155"/>
      <c r="AA477" s="138">
        <f>F_GAMMA*AA$29</f>
        <v>0.62217534213893466</v>
      </c>
      <c r="AB477" s="133"/>
      <c r="AC477" s="155"/>
      <c r="AD477" s="138">
        <f>F_GAMMA*AD$29</f>
        <v>0.60557184969146072</v>
      </c>
      <c r="AE477" s="133"/>
      <c r="AF477" s="155"/>
      <c r="AG477" s="138">
        <f>F_GAMMA*AG$29</f>
        <v>0.57289312142622573</v>
      </c>
      <c r="AH477" s="133"/>
      <c r="AI477" s="155"/>
      <c r="AJ477" s="138">
        <f>F_GAMMA*AJ$29</f>
        <v>0.53590819116049981</v>
      </c>
      <c r="AK477" s="133"/>
      <c r="AL477" s="155"/>
      <c r="AM477" s="138">
        <f>F_GAMMA*AM$29</f>
        <v>0.49048815926850342</v>
      </c>
      <c r="AN477" s="133"/>
      <c r="AO477" s="155"/>
      <c r="AP477" s="138">
        <f>F_GAMMA*AP$29</f>
        <v>0.59352979016280105</v>
      </c>
      <c r="AQ477" s="133"/>
      <c r="AR477" s="155"/>
      <c r="AS477" s="138">
        <f>F_GAMMA*AS$29</f>
        <v>0.39097221161068291</v>
      </c>
      <c r="AT477" s="133"/>
      <c r="AU477" s="155"/>
    </row>
    <row r="478" spans="13:47" x14ac:dyDescent="0.25">
      <c r="M478" s="27"/>
      <c r="N478" s="27"/>
      <c r="O478" s="2" t="s">
        <v>193</v>
      </c>
      <c r="P478" s="134"/>
      <c r="Q478" s="2"/>
      <c r="R478" s="181">
        <f>IF(R473&lt;R477,R475,R476)</f>
        <v>9.147245513513802E-2</v>
      </c>
      <c r="S478" s="133"/>
      <c r="T478" s="155"/>
      <c r="U478" s="138">
        <f>IF(U473&lt;U477,U475,U476)</f>
        <v>2.7409694671806104</v>
      </c>
      <c r="V478" s="133"/>
      <c r="W478" s="155"/>
      <c r="X478" s="138">
        <f>IF(X473&lt;X477,X475,X476)</f>
        <v>6.8939339295586217</v>
      </c>
      <c r="Y478" s="133"/>
      <c r="Z478" s="155"/>
      <c r="AA478" s="138">
        <f>IF(AA473&lt;AA477,AA475,AA476)</f>
        <v>14.011016587438329</v>
      </c>
      <c r="AB478" s="133"/>
      <c r="AC478" s="155"/>
      <c r="AD478" s="138">
        <f>IF(AD473&lt;AD477,AD475,AD476)</f>
        <v>25.489075624811225</v>
      </c>
      <c r="AE478" s="133"/>
      <c r="AF478" s="155"/>
      <c r="AG478" s="138">
        <f>IF(AG473&lt;AG477,AG475,AG476)</f>
        <v>42.909328387245424</v>
      </c>
      <c r="AH478" s="133"/>
      <c r="AI478" s="155"/>
      <c r="AJ478" s="138">
        <f>IF(AJ473&lt;AJ477,AJ475,AJ476)</f>
        <v>73.370768835121197</v>
      </c>
      <c r="AK478" s="133"/>
      <c r="AL478" s="155"/>
      <c r="AM478" s="138">
        <f>IF(AM473&lt;AM477,AM475,AM476)</f>
        <v>150.11070445409169</v>
      </c>
      <c r="AN478" s="133"/>
      <c r="AO478" s="155"/>
      <c r="AP478" s="138" t="e">
        <f>IF(AP473&lt;AP477,AP475,AP476)</f>
        <v>#NUM!</v>
      </c>
      <c r="AQ478" s="133"/>
      <c r="AR478" s="155"/>
      <c r="AS478" s="138" t="e">
        <f>IF(AS473&lt;AS477,AS475,AS476)</f>
        <v>#NUM!</v>
      </c>
      <c r="AT478" s="133"/>
      <c r="AU478" s="155"/>
    </row>
    <row r="479" spans="13:47" ht="13" x14ac:dyDescent="0.3">
      <c r="M479" s="28"/>
      <c r="N479" s="28"/>
      <c r="O479" s="9" t="s">
        <v>194</v>
      </c>
      <c r="P479" s="1"/>
      <c r="Q479" s="1"/>
      <c r="R479" s="135"/>
      <c r="S479" s="132">
        <f>IF(R472&lt;=0,W_max,ABS(R$23-R478))</f>
        <v>1.908527544864862</v>
      </c>
      <c r="T479" s="151">
        <f>R467</f>
        <v>21.154891940743077</v>
      </c>
      <c r="U479" s="135"/>
      <c r="V479" s="132">
        <f>IF(U472&lt;=0,W_max,ABS(U$23-U478))</f>
        <v>2.2590305328193896</v>
      </c>
      <c r="W479" s="151">
        <f>U467</f>
        <v>632.41213302580002</v>
      </c>
      <c r="X479" s="135"/>
      <c r="Y479" s="132">
        <f>IF(X472&lt;=0,W_max,ABS(X$23-X478))</f>
        <v>3.1060660704413783</v>
      </c>
      <c r="Z479" s="151">
        <f>X467</f>
        <v>1564.0304628988279</v>
      </c>
      <c r="AA479" s="135"/>
      <c r="AB479" s="132">
        <f>IF(AA472&lt;=0,W_max,ABS(AA$23-AA478))</f>
        <v>3.1889834125616705</v>
      </c>
      <c r="AC479" s="151">
        <f>AA467</f>
        <v>3046.3321301249293</v>
      </c>
      <c r="AD479" s="135"/>
      <c r="AE479" s="132">
        <f>IF(AD472&lt;=0,W_max,ABS(AD$23-AD478))</f>
        <v>1.1109243751887767</v>
      </c>
      <c r="AF479" s="151">
        <f>AD467</f>
        <v>5010.0947611089205</v>
      </c>
      <c r="AG479" s="135"/>
      <c r="AH479" s="132">
        <f>IF(AG472&lt;=0,W_max,ABS(AG$23-AG478))</f>
        <v>4.5093283872454251</v>
      </c>
      <c r="AI479" s="151">
        <f>AG467</f>
        <v>7027.0436104601131</v>
      </c>
      <c r="AJ479" s="135"/>
      <c r="AK479" s="132">
        <f>IF(AJ472&lt;=0,W_max,ABS(AJ$23-AJ478))</f>
        <v>20.870768835121197</v>
      </c>
      <c r="AL479" s="151">
        <f>AJ467</f>
        <v>8922.4807489460072</v>
      </c>
      <c r="AM479" s="135"/>
      <c r="AN479" s="132">
        <f>IF(AM472&lt;=0,W_max,ABS(AM$23-AM478))</f>
        <v>77.710704454091683</v>
      </c>
      <c r="AO479" s="151">
        <f>AM467</f>
        <v>10462.310385956898</v>
      </c>
      <c r="AP479" s="135"/>
      <c r="AQ479" s="132">
        <f>IF(AP472&lt;=0,W_max,ABS(AP$23-AP478))</f>
        <v>7174</v>
      </c>
      <c r="AR479" s="151">
        <f>AP467</f>
        <v>11672.468530599903</v>
      </c>
      <c r="AS479" s="135"/>
      <c r="AT479" s="132">
        <f>IF(AS472&lt;=0,W_max,ABS(AS$23-AS478))</f>
        <v>7174</v>
      </c>
      <c r="AU479" s="151">
        <f>AS467</f>
        <v>13022.603667037331</v>
      </c>
    </row>
    <row r="480" spans="13:47" ht="13" x14ac:dyDescent="0.25">
      <c r="M480" s="12"/>
      <c r="N480" s="12"/>
      <c r="O480" s="2"/>
      <c r="P480" s="85"/>
      <c r="Q480" s="2"/>
      <c r="R480" s="18"/>
      <c r="S480" s="150"/>
      <c r="T480" s="152"/>
      <c r="U480" s="157"/>
      <c r="V480" s="1"/>
      <c r="W480" s="147"/>
      <c r="X480" s="157"/>
      <c r="Y480" s="1"/>
      <c r="Z480" s="147"/>
      <c r="AA480" s="157"/>
      <c r="AB480" s="1"/>
      <c r="AC480" s="147"/>
      <c r="AD480" s="157"/>
      <c r="AE480" s="1"/>
      <c r="AF480" s="147"/>
      <c r="AG480" s="157"/>
      <c r="AH480" s="1"/>
      <c r="AI480" s="147"/>
      <c r="AJ480" s="157"/>
      <c r="AK480" s="1"/>
      <c r="AL480" s="147"/>
      <c r="AM480" s="157"/>
      <c r="AN480" s="1"/>
      <c r="AO480" s="147"/>
      <c r="AP480" s="157"/>
      <c r="AQ480" s="1"/>
      <c r="AR480" s="147"/>
      <c r="AS480" s="157"/>
      <c r="AT480" s="1"/>
      <c r="AU480" s="147"/>
    </row>
    <row r="481" spans="13:47" ht="14" x14ac:dyDescent="0.3">
      <c r="M481" s="23"/>
      <c r="N481" s="23"/>
      <c r="O481" s="23" t="s">
        <v>238</v>
      </c>
      <c r="P481" s="20"/>
      <c r="Q481" s="20"/>
      <c r="R481" s="181">
        <f>R467*1.02</f>
        <v>21.577989779557939</v>
      </c>
      <c r="S481" s="128" t="s">
        <v>185</v>
      </c>
      <c r="T481" s="153" t="s">
        <v>186</v>
      </c>
      <c r="U481" s="143">
        <f>U467*1.01</f>
        <v>638.736254356058</v>
      </c>
      <c r="V481" s="128" t="s">
        <v>185</v>
      </c>
      <c r="W481" s="153" t="s">
        <v>186</v>
      </c>
      <c r="X481" s="143">
        <f>X467*1.01</f>
        <v>1579.6707675278162</v>
      </c>
      <c r="Y481" s="128" t="s">
        <v>185</v>
      </c>
      <c r="Z481" s="153" t="s">
        <v>186</v>
      </c>
      <c r="AA481" s="143">
        <f>AA467*1.01</f>
        <v>3076.7954514261787</v>
      </c>
      <c r="AB481" s="128" t="s">
        <v>185</v>
      </c>
      <c r="AC481" s="153" t="s">
        <v>186</v>
      </c>
      <c r="AD481" s="143">
        <f>AD467*1.01</f>
        <v>5060.1957087200099</v>
      </c>
      <c r="AE481" s="128" t="s">
        <v>185</v>
      </c>
      <c r="AF481" s="153" t="s">
        <v>186</v>
      </c>
      <c r="AG481" s="143">
        <f>AG467*1.01</f>
        <v>7097.3140465647139</v>
      </c>
      <c r="AH481" s="128" t="s">
        <v>185</v>
      </c>
      <c r="AI481" s="153" t="s">
        <v>186</v>
      </c>
      <c r="AJ481" s="143">
        <f>AJ467*1.01</f>
        <v>9011.7055564354669</v>
      </c>
      <c r="AK481" s="128" t="s">
        <v>185</v>
      </c>
      <c r="AL481" s="153" t="s">
        <v>186</v>
      </c>
      <c r="AM481" s="143">
        <f>AM467*1.01</f>
        <v>10566.933489816467</v>
      </c>
      <c r="AN481" s="128" t="s">
        <v>185</v>
      </c>
      <c r="AO481" s="153" t="s">
        <v>186</v>
      </c>
      <c r="AP481" s="143">
        <f>AP467*1.01</f>
        <v>11789.193215905902</v>
      </c>
      <c r="AQ481" s="128" t="s">
        <v>185</v>
      </c>
      <c r="AR481" s="153" t="s">
        <v>186</v>
      </c>
      <c r="AS481" s="143">
        <f>AS467*1.01</f>
        <v>13152.829703707705</v>
      </c>
      <c r="AT481" s="128" t="s">
        <v>185</v>
      </c>
      <c r="AU481" s="153" t="s">
        <v>186</v>
      </c>
    </row>
    <row r="482" spans="13:47" ht="14" x14ac:dyDescent="0.3">
      <c r="M482" s="12"/>
      <c r="N482" s="12"/>
      <c r="O482" s="20"/>
      <c r="P482" s="20"/>
      <c r="Q482" s="23"/>
      <c r="R482" s="139"/>
      <c r="S482" s="130" t="s">
        <v>228</v>
      </c>
      <c r="T482" s="154" t="s">
        <v>187</v>
      </c>
      <c r="U482" s="144"/>
      <c r="V482" s="130" t="s">
        <v>228</v>
      </c>
      <c r="W482" s="154" t="s">
        <v>187</v>
      </c>
      <c r="X482" s="144"/>
      <c r="Y482" s="130" t="s">
        <v>228</v>
      </c>
      <c r="Z482" s="154" t="s">
        <v>187</v>
      </c>
      <c r="AA482" s="144"/>
      <c r="AB482" s="130" t="s">
        <v>228</v>
      </c>
      <c r="AC482" s="154" t="s">
        <v>187</v>
      </c>
      <c r="AD482" s="144"/>
      <c r="AE482" s="130" t="s">
        <v>228</v>
      </c>
      <c r="AF482" s="154" t="s">
        <v>187</v>
      </c>
      <c r="AG482" s="144"/>
      <c r="AH482" s="130" t="s">
        <v>228</v>
      </c>
      <c r="AI482" s="154" t="s">
        <v>187</v>
      </c>
      <c r="AJ482" s="144"/>
      <c r="AK482" s="130" t="s">
        <v>228</v>
      </c>
      <c r="AL482" s="154" t="s">
        <v>187</v>
      </c>
      <c r="AM482" s="144"/>
      <c r="AN482" s="130" t="s">
        <v>228</v>
      </c>
      <c r="AO482" s="154" t="s">
        <v>187</v>
      </c>
      <c r="AP482" s="144"/>
      <c r="AQ482" s="130" t="s">
        <v>228</v>
      </c>
      <c r="AR482" s="154" t="s">
        <v>187</v>
      </c>
      <c r="AS482" s="144"/>
      <c r="AT482" s="130" t="s">
        <v>228</v>
      </c>
      <c r="AU482" s="154" t="s">
        <v>187</v>
      </c>
    </row>
    <row r="483" spans="13:47" x14ac:dyDescent="0.25">
      <c r="M483" s="20"/>
      <c r="N483" s="20"/>
      <c r="O483" s="7" t="s">
        <v>188</v>
      </c>
      <c r="P483" s="7"/>
      <c r="Q483" s="7"/>
      <c r="R483" s="181">
        <f>P_1_minW-(R481^2*R_up)+dpup_minQ</f>
        <v>100.52260106937041</v>
      </c>
      <c r="S483" s="132"/>
      <c r="T483" s="145"/>
      <c r="U483" s="138">
        <f>P_1_minW-(U481^2*R_up)+dpup_minQ</f>
        <v>100.36009828656672</v>
      </c>
      <c r="V483" s="132"/>
      <c r="W483" s="145"/>
      <c r="X483" s="138">
        <f>P_1_minW-(X481^2*R_up)+dpup_minQ</f>
        <v>99.527732506499902</v>
      </c>
      <c r="Y483" s="132"/>
      <c r="Z483" s="145"/>
      <c r="AA483" s="138">
        <f>P_1_minW-(AA481^2*R_up)+dpup_minQ</f>
        <v>96.747839922118303</v>
      </c>
      <c r="AB483" s="132"/>
      <c r="AC483" s="145"/>
      <c r="AD483" s="138">
        <f>P_1_minW-(AD481^2*R_up)+dpup_minQ</f>
        <v>90.312258387243077</v>
      </c>
      <c r="AE483" s="132"/>
      <c r="AF483" s="145"/>
      <c r="AG483" s="138">
        <f>P_1_minW-(AG481^2*R_up)+dpup_minQ</f>
        <v>80.436408672118986</v>
      </c>
      <c r="AH483" s="132"/>
      <c r="AI483" s="145"/>
      <c r="AJ483" s="138">
        <f>P_1_minW-(AJ481^2*R_up)+dpup_minQ</f>
        <v>68.139004214777088</v>
      </c>
      <c r="AK483" s="132"/>
      <c r="AL483" s="145"/>
      <c r="AM483" s="138">
        <f>P_1_minW-(AM481^2*R_up)+dpup_minQ</f>
        <v>55.997006822593782</v>
      </c>
      <c r="AN483" s="132"/>
      <c r="AO483" s="145"/>
      <c r="AP483" s="138">
        <f>P_1_minW-(AP481^2*R_up)+dpup_minQ</f>
        <v>45.100842309826447</v>
      </c>
      <c r="AQ483" s="132"/>
      <c r="AR483" s="145"/>
      <c r="AS483" s="138">
        <f>P_1_minW-(AS481^2*R_up)+dpup_minQ</f>
        <v>31.53821353032977</v>
      </c>
      <c r="AT483" s="132"/>
      <c r="AU483" s="145"/>
    </row>
    <row r="484" spans="13:47" x14ac:dyDescent="0.25">
      <c r="M484" s="20"/>
      <c r="N484" s="20"/>
      <c r="O484" s="7" t="s">
        <v>189</v>
      </c>
      <c r="P484" s="1"/>
      <c r="Q484" s="7"/>
      <c r="R484" s="181">
        <f>P_2_minW+(R481^2*R_dn)-dpdn_minQ</f>
        <v>50</v>
      </c>
      <c r="S484" s="132"/>
      <c r="T484" s="146"/>
      <c r="U484" s="138">
        <f>P_2_minW+(U481^2*R_dn)-dpdn_minQ</f>
        <v>50</v>
      </c>
      <c r="V484" s="132"/>
      <c r="W484" s="146"/>
      <c r="X484" s="138">
        <f>P_2_minW+(X481^2*R_dn)-dpdn_minQ</f>
        <v>50</v>
      </c>
      <c r="Y484" s="132"/>
      <c r="Z484" s="146"/>
      <c r="AA484" s="138">
        <f>P_2_minW+(AA481^2*R_dn)-dpdn_minQ</f>
        <v>50</v>
      </c>
      <c r="AB484" s="132"/>
      <c r="AC484" s="146"/>
      <c r="AD484" s="138">
        <f>P_2_minW+(AD481^2*R_dn)-dpdn_minQ</f>
        <v>50</v>
      </c>
      <c r="AE484" s="132"/>
      <c r="AF484" s="146"/>
      <c r="AG484" s="138">
        <f>P_2_minW+(AG481^2*R_dn)-dpdn_minQ</f>
        <v>50</v>
      </c>
      <c r="AH484" s="132"/>
      <c r="AI484" s="146"/>
      <c r="AJ484" s="138">
        <f>P_2_minW+(AJ481^2*R_dn)-dpdn_minQ</f>
        <v>50</v>
      </c>
      <c r="AK484" s="132"/>
      <c r="AL484" s="146"/>
      <c r="AM484" s="138">
        <f>P_2_minW+(AM481^2*R_dn)-dpdn_minQ</f>
        <v>50</v>
      </c>
      <c r="AN484" s="132"/>
      <c r="AO484" s="146"/>
      <c r="AP484" s="138">
        <f>P_2_minW+(AP481^2*R_dn)-dpdn_minQ</f>
        <v>50</v>
      </c>
      <c r="AQ484" s="132"/>
      <c r="AR484" s="146"/>
      <c r="AS484" s="138">
        <f>P_2_minW+(AS481^2*R_dn)-dpdn_minQ</f>
        <v>50</v>
      </c>
      <c r="AT484" s="132"/>
      <c r="AU484" s="146"/>
    </row>
    <row r="485" spans="13:47" x14ac:dyDescent="0.25">
      <c r="M485" s="20"/>
      <c r="N485" s="20"/>
      <c r="O485" s="7" t="s">
        <v>234</v>
      </c>
      <c r="P485" s="1"/>
      <c r="Q485" s="7"/>
      <c r="R485" s="179">
        <f>'Valve Sizing'!G$8*R483/P_1_maxW</f>
        <v>0.48490313061262019</v>
      </c>
      <c r="S485" s="132"/>
      <c r="T485" s="146"/>
      <c r="U485" s="143">
        <f>'Valve Sizing'!$G$8*U483/P_1_maxW</f>
        <v>0.4841192461202124</v>
      </c>
      <c r="V485" s="132"/>
      <c r="W485" s="146"/>
      <c r="X485" s="143">
        <f>'Valve Sizing'!$G$8*X483/P_1_maxW</f>
        <v>0.48010406179076315</v>
      </c>
      <c r="Y485" s="132"/>
      <c r="Z485" s="146"/>
      <c r="AA485" s="143">
        <f>'Valve Sizing'!$G$8*AA483/P_1_maxW</f>
        <v>0.46669435489307542</v>
      </c>
      <c r="AB485" s="132"/>
      <c r="AC485" s="146"/>
      <c r="AD485" s="143">
        <f>'Valve Sizing'!$G$8*AD483/P_1_maxW</f>
        <v>0.43565025535350799</v>
      </c>
      <c r="AE485" s="132"/>
      <c r="AF485" s="146"/>
      <c r="AG485" s="143">
        <f>'Valve Sizing'!$G$8*AG483/P_1_maxW</f>
        <v>0.38801091461441717</v>
      </c>
      <c r="AH485" s="132"/>
      <c r="AI485" s="146"/>
      <c r="AJ485" s="143">
        <f>'Valve Sizing'!$G$8*AJ483/P_1_maxW</f>
        <v>0.32869042493011635</v>
      </c>
      <c r="AK485" s="132"/>
      <c r="AL485" s="146"/>
      <c r="AM485" s="143">
        <f>'Valve Sizing'!$G$8*AM483/P_1_maxW</f>
        <v>0.27011959125961804</v>
      </c>
      <c r="AN485" s="132"/>
      <c r="AO485" s="146"/>
      <c r="AP485" s="143">
        <f>'Valve Sizing'!$G$8*AP483/P_1_maxW</f>
        <v>0.21755843359254942</v>
      </c>
      <c r="AQ485" s="132"/>
      <c r="AR485" s="146"/>
      <c r="AS485" s="143">
        <f>'Valve Sizing'!$G$8*AS483/P_1_maxW</f>
        <v>0.15213472703748038</v>
      </c>
      <c r="AT485" s="132"/>
      <c r="AU485" s="146"/>
    </row>
    <row r="486" spans="13:47" x14ac:dyDescent="0.25">
      <c r="M486" s="20"/>
      <c r="N486" s="20"/>
      <c r="O486" s="7" t="s">
        <v>190</v>
      </c>
      <c r="P486" s="1"/>
      <c r="Q486" s="7"/>
      <c r="R486" s="181">
        <f>R483-R484</f>
        <v>50.52260106937041</v>
      </c>
      <c r="S486" s="132"/>
      <c r="T486" s="146"/>
      <c r="U486" s="138">
        <f>U483-U484</f>
        <v>50.360098286566725</v>
      </c>
      <c r="V486" s="132"/>
      <c r="W486" s="146"/>
      <c r="X486" s="138">
        <f>X483-X484</f>
        <v>49.527732506499902</v>
      </c>
      <c r="Y486" s="132"/>
      <c r="Z486" s="146"/>
      <c r="AA486" s="138">
        <f>AA483-AA484</f>
        <v>46.747839922118303</v>
      </c>
      <c r="AB486" s="132"/>
      <c r="AC486" s="146"/>
      <c r="AD486" s="138">
        <f>AD483-AD484</f>
        <v>40.312258387243077</v>
      </c>
      <c r="AE486" s="132"/>
      <c r="AF486" s="146"/>
      <c r="AG486" s="138">
        <f>AG483-AG484</f>
        <v>30.436408672118986</v>
      </c>
      <c r="AH486" s="132"/>
      <c r="AI486" s="146"/>
      <c r="AJ486" s="138">
        <f>AJ483-AJ484</f>
        <v>18.139004214777088</v>
      </c>
      <c r="AK486" s="132"/>
      <c r="AL486" s="146"/>
      <c r="AM486" s="138">
        <f>AM483-AM484</f>
        <v>5.9970068225937823</v>
      </c>
      <c r="AN486" s="132"/>
      <c r="AO486" s="146"/>
      <c r="AP486" s="138">
        <f>AP483-AP484</f>
        <v>-4.8991576901735527</v>
      </c>
      <c r="AQ486" s="132"/>
      <c r="AR486" s="146"/>
      <c r="AS486" s="138">
        <f>AS483-AS484</f>
        <v>-18.46178646967023</v>
      </c>
      <c r="AT486" s="132"/>
      <c r="AU486" s="146"/>
    </row>
    <row r="487" spans="13:47" ht="14.5" x14ac:dyDescent="0.35">
      <c r="M487" s="27"/>
      <c r="N487" s="27"/>
      <c r="O487" s="2" t="s">
        <v>191</v>
      </c>
      <c r="P487" s="10"/>
      <c r="Q487" s="2"/>
      <c r="R487" s="181">
        <f>R486/R483</f>
        <v>0.50259942074623476</v>
      </c>
      <c r="S487" s="132"/>
      <c r="T487" s="146"/>
      <c r="U487" s="138">
        <f>U486/U483</f>
        <v>0.50179403115737542</v>
      </c>
      <c r="V487" s="132"/>
      <c r="W487" s="146"/>
      <c r="X487" s="138">
        <f>X486/X483</f>
        <v>0.49762745778685724</v>
      </c>
      <c r="Y487" s="132"/>
      <c r="Z487" s="146"/>
      <c r="AA487" s="138">
        <f>AA486/AA483</f>
        <v>0.48319259592514069</v>
      </c>
      <c r="AB487" s="132"/>
      <c r="AC487" s="146"/>
      <c r="AD487" s="138">
        <f>AD486/AD483</f>
        <v>0.44636530086969151</v>
      </c>
      <c r="AE487" s="132"/>
      <c r="AF487" s="146"/>
      <c r="AG487" s="138">
        <f>AG486/AG483</f>
        <v>0.37839094477957352</v>
      </c>
      <c r="AH487" s="132"/>
      <c r="AI487" s="146"/>
      <c r="AJ487" s="138">
        <f>AJ486/AJ483</f>
        <v>0.26620588932591621</v>
      </c>
      <c r="AK487" s="132"/>
      <c r="AL487" s="146"/>
      <c r="AM487" s="138">
        <f>AM486/AM483</f>
        <v>0.10709513173790029</v>
      </c>
      <c r="AN487" s="132"/>
      <c r="AO487" s="146"/>
      <c r="AP487" s="138">
        <f>AP486/AP483</f>
        <v>-0.10862674485141795</v>
      </c>
      <c r="AQ487" s="132"/>
      <c r="AR487" s="146"/>
      <c r="AS487" s="138">
        <f>AS486/AS483</f>
        <v>-0.58537832055439154</v>
      </c>
      <c r="AT487" s="132"/>
      <c r="AU487" s="146"/>
    </row>
    <row r="488" spans="13:47" x14ac:dyDescent="0.25">
      <c r="M488" s="27"/>
      <c r="N488" s="27"/>
      <c r="O488" s="2" t="s">
        <v>26</v>
      </c>
      <c r="P488" s="7">
        <v>12</v>
      </c>
      <c r="Q488" s="2"/>
      <c r="R488" s="181">
        <f>1-R487/(3*F_GAMMA*R$29)</f>
        <v>0.73824046232393459</v>
      </c>
      <c r="S488" s="133"/>
      <c r="T488" s="146"/>
      <c r="U488" s="138">
        <f>1-U487/(3*F_GAMMA*U$29)</f>
        <v>0.73871745902890806</v>
      </c>
      <c r="V488" s="133"/>
      <c r="W488" s="146"/>
      <c r="X488" s="138">
        <f>1-X487/(3*F_GAMMA*X$29)</f>
        <v>0.73699987273436474</v>
      </c>
      <c r="Y488" s="133"/>
      <c r="Z488" s="146"/>
      <c r="AA488" s="138">
        <f>1-AA487/(3*F_GAMMA*AA$29)</f>
        <v>0.74112731936948539</v>
      </c>
      <c r="AB488" s="133"/>
      <c r="AC488" s="146"/>
      <c r="AD488" s="138">
        <f>1-AD487/(3*F_GAMMA*AD$29)</f>
        <v>0.75430094100470768</v>
      </c>
      <c r="AE488" s="133"/>
      <c r="AF488" s="146"/>
      <c r="AG488" s="138">
        <f>1-AG487/(3*F_GAMMA*AG$29)</f>
        <v>0.77983622038868039</v>
      </c>
      <c r="AH488" s="133"/>
      <c r="AI488" s="146"/>
      <c r="AJ488" s="138">
        <f>1-AJ487/(3*F_GAMMA*AJ$29)</f>
        <v>0.83442071252947758</v>
      </c>
      <c r="AK488" s="133"/>
      <c r="AL488" s="146"/>
      <c r="AM488" s="138">
        <f>1-AM487/(3*F_GAMMA*AM$29)</f>
        <v>0.92721867679903625</v>
      </c>
      <c r="AN488" s="133"/>
      <c r="AO488" s="146"/>
      <c r="AP488" s="138">
        <f>1-AP487/(3*F_GAMMA*AP$29)</f>
        <v>1.0610060616174646</v>
      </c>
      <c r="AQ488" s="133"/>
      <c r="AR488" s="146"/>
      <c r="AS488" s="138">
        <f>1-AS487/(3*F_GAMMA*AS$29)</f>
        <v>1.4990792211231727</v>
      </c>
      <c r="AT488" s="133"/>
      <c r="AU488" s="146"/>
    </row>
    <row r="489" spans="13:47" x14ac:dyDescent="0.25">
      <c r="M489" s="27"/>
      <c r="N489" s="27"/>
      <c r="O489" s="2" t="s">
        <v>71</v>
      </c>
      <c r="P489" s="85">
        <v>5</v>
      </c>
      <c r="Q489" s="2"/>
      <c r="R489" s="179">
        <f>R481/((N_6*R$27*R488)*SQRT(R487*R483*R485))</f>
        <v>9.3301911892755288E-2</v>
      </c>
      <c r="S489" s="133"/>
      <c r="T489" s="146"/>
      <c r="U489" s="143">
        <f>U481/((N_6*U$27*U488)*SQRT(U487*U483*U485))</f>
        <v>2.7684804301771355</v>
      </c>
      <c r="V489" s="133"/>
      <c r="W489" s="146"/>
      <c r="X489" s="143">
        <f>X481/((N_6*X$27*X488)*SQRT(X487*X483*X485))</f>
        <v>6.9644430601688079</v>
      </c>
      <c r="Y489" s="133"/>
      <c r="Z489" s="146"/>
      <c r="AA489" s="143">
        <f>AA481/((N_6*AA$27*AA488)*SQRT(AA487*AA483*AA485))</f>
        <v>14.163757182200657</v>
      </c>
      <c r="AB489" s="133"/>
      <c r="AC489" s="146"/>
      <c r="AD489" s="143">
        <f>AD481/((N_6*AD$27*AD488)*SQRT(AD487*AD483*AD485))</f>
        <v>25.813655633484363</v>
      </c>
      <c r="AE489" s="133"/>
      <c r="AF489" s="146"/>
      <c r="AG489" s="143">
        <f>AG481/((N_6*AG$27*AG488)*SQRT(AG487*AG483*AG485))</f>
        <v>43.627172385415598</v>
      </c>
      <c r="AH489" s="133"/>
      <c r="AI489" s="146"/>
      <c r="AJ489" s="143">
        <f>AJ481/((N_6*AJ$27*AJ488)*SQRT(AJ487*AJ483*AJ485))</f>
        <v>75.364420912613653</v>
      </c>
      <c r="AK489" s="133"/>
      <c r="AL489" s="146"/>
      <c r="AM489" s="143">
        <f>AM481/((N_6*AM$27*AM488)*SQRT(AM487*AM483*AM485))</f>
        <v>161.93861834310667</v>
      </c>
      <c r="AN489" s="133"/>
      <c r="AO489" s="146"/>
      <c r="AP489" s="143" t="e">
        <f>AP481/((N_6*AP$27*AP488)*SQRT(AP487*AP483*AP485))</f>
        <v>#NUM!</v>
      </c>
      <c r="AQ489" s="133"/>
      <c r="AR489" s="146"/>
      <c r="AS489" s="143" t="e">
        <f>AS481/((N_6*AS$27*AS488)*SQRT(AS487*AS483*AS485))</f>
        <v>#NUM!</v>
      </c>
      <c r="AT489" s="133"/>
      <c r="AU489" s="146"/>
    </row>
    <row r="490" spans="13:47" x14ac:dyDescent="0.25">
      <c r="M490" s="27"/>
      <c r="N490" s="27"/>
      <c r="O490" s="2" t="s">
        <v>73</v>
      </c>
      <c r="P490" s="85">
        <v>5</v>
      </c>
      <c r="Q490" s="2"/>
      <c r="R490" s="179">
        <f>R481/((N_6*R$27*0.667)*SQRT(R491*R483*R485))</f>
        <v>9.1511239727657595E-2</v>
      </c>
      <c r="S490" s="133"/>
      <c r="T490" s="155"/>
      <c r="U490" s="143">
        <f>U481/((N_6*U$27*0.667)*SQRT(U491*U483*U485))</f>
        <v>2.7146247864352175</v>
      </c>
      <c r="V490" s="133"/>
      <c r="W490" s="155"/>
      <c r="X490" s="143">
        <f>X481/((N_6*X$27*0.667)*SQRT(X491*X483*X485))</f>
        <v>6.8354416078071782</v>
      </c>
      <c r="Y490" s="133"/>
      <c r="Z490" s="155"/>
      <c r="AA490" s="143">
        <f>AA481/((N_6*AA$27*0.667)*SQRT(AA491*AA483*AA485))</f>
        <v>13.869129366827732</v>
      </c>
      <c r="AB490" s="133"/>
      <c r="AC490" s="155"/>
      <c r="AD490" s="143">
        <f>AD481/((N_6*AD$27*0.667)*SQRT(AD491*AD483*AD485))</f>
        <v>25.062864237885279</v>
      </c>
      <c r="AE490" s="133"/>
      <c r="AF490" s="155"/>
      <c r="AG490" s="143">
        <f>AG481/((N_6*AG$27*0.667)*SQRT(AG491*AG483*AG485))</f>
        <v>41.454167521463248</v>
      </c>
      <c r="AH490" s="133"/>
      <c r="AI490" s="155"/>
      <c r="AJ490" s="143">
        <f>AJ481/((N_6*AJ$27*0.667)*SQRT(AJ491*AJ483*AJ485))</f>
        <v>66.449121012129339</v>
      </c>
      <c r="AK490" s="133"/>
      <c r="AL490" s="155"/>
      <c r="AM490" s="143">
        <f>AM481/((N_6*AM$27*0.667)*SQRT(AM491*AM483*AM485))</f>
        <v>105.19070540287909</v>
      </c>
      <c r="AN490" s="133"/>
      <c r="AO490" s="155"/>
      <c r="AP490" s="143">
        <f>AP481/((N_6*AP$27*0.667)*SQRT(AP491*AP483*AP485))</f>
        <v>150.46648146292722</v>
      </c>
      <c r="AQ490" s="133"/>
      <c r="AR490" s="155"/>
      <c r="AS490" s="143">
        <f>AS481/((N_6*AS$27*0.667)*SQRT(AS491*AS483*AS485))</f>
        <v>388.64955496330799</v>
      </c>
      <c r="AT490" s="133"/>
      <c r="AU490" s="155"/>
    </row>
    <row r="491" spans="13:47" ht="15.5" x14ac:dyDescent="0.4">
      <c r="M491" s="27"/>
      <c r="N491" s="27"/>
      <c r="O491" s="2" t="s">
        <v>192</v>
      </c>
      <c r="P491" s="85">
        <v>10</v>
      </c>
      <c r="Q491" s="2"/>
      <c r="R491" s="181">
        <f>F_GAMMA*R$29</f>
        <v>0.64002688015162901</v>
      </c>
      <c r="S491" s="133"/>
      <c r="T491" s="155"/>
      <c r="U491" s="138">
        <f>F_GAMMA*U$29</f>
        <v>0.64016782916606918</v>
      </c>
      <c r="V491" s="133"/>
      <c r="W491" s="155"/>
      <c r="X491" s="138">
        <f>F_GAMMA*X$29</f>
        <v>0.6307062319203669</v>
      </c>
      <c r="Y491" s="133"/>
      <c r="Z491" s="155"/>
      <c r="AA491" s="138">
        <f>F_GAMMA*AA$29</f>
        <v>0.62217534213893466</v>
      </c>
      <c r="AB491" s="133"/>
      <c r="AC491" s="155"/>
      <c r="AD491" s="138">
        <f>F_GAMMA*AD$29</f>
        <v>0.60557184969146072</v>
      </c>
      <c r="AE491" s="133"/>
      <c r="AF491" s="155"/>
      <c r="AG491" s="138">
        <f>F_GAMMA*AG$29</f>
        <v>0.57289312142622573</v>
      </c>
      <c r="AH491" s="133"/>
      <c r="AI491" s="155"/>
      <c r="AJ491" s="138">
        <f>F_GAMMA*AJ$29</f>
        <v>0.53590819116049981</v>
      </c>
      <c r="AK491" s="133"/>
      <c r="AL491" s="155"/>
      <c r="AM491" s="138">
        <f>F_GAMMA*AM$29</f>
        <v>0.49048815926850342</v>
      </c>
      <c r="AN491" s="133"/>
      <c r="AO491" s="155"/>
      <c r="AP491" s="138">
        <f>F_GAMMA*AP$29</f>
        <v>0.59352979016280105</v>
      </c>
      <c r="AQ491" s="133"/>
      <c r="AR491" s="155"/>
      <c r="AS491" s="138">
        <f>F_GAMMA*AS$29</f>
        <v>0.39097221161068291</v>
      </c>
      <c r="AT491" s="133"/>
      <c r="AU491" s="155"/>
    </row>
    <row r="492" spans="13:47" x14ac:dyDescent="0.25">
      <c r="M492" s="27"/>
      <c r="N492" s="27"/>
      <c r="O492" s="2" t="s">
        <v>193</v>
      </c>
      <c r="P492" s="134"/>
      <c r="Q492" s="2"/>
      <c r="R492" s="181">
        <f>IF(R487&lt;R491,R489,R490)</f>
        <v>9.3301911892755288E-2</v>
      </c>
      <c r="S492" s="133"/>
      <c r="T492" s="155"/>
      <c r="U492" s="138">
        <f>IF(U487&lt;U491,U489,U490)</f>
        <v>2.7684804301771355</v>
      </c>
      <c r="V492" s="133"/>
      <c r="W492" s="155"/>
      <c r="X492" s="138">
        <f>IF(X487&lt;X491,X489,X490)</f>
        <v>6.9644430601688079</v>
      </c>
      <c r="Y492" s="133"/>
      <c r="Z492" s="155"/>
      <c r="AA492" s="138">
        <f>IF(AA487&lt;AA491,AA489,AA490)</f>
        <v>14.163757182200657</v>
      </c>
      <c r="AB492" s="133"/>
      <c r="AC492" s="155"/>
      <c r="AD492" s="138">
        <f>IF(AD487&lt;AD491,AD489,AD490)</f>
        <v>25.813655633484363</v>
      </c>
      <c r="AE492" s="133"/>
      <c r="AF492" s="155"/>
      <c r="AG492" s="138">
        <f>IF(AG487&lt;AG491,AG489,AG490)</f>
        <v>43.627172385415598</v>
      </c>
      <c r="AH492" s="133"/>
      <c r="AI492" s="155"/>
      <c r="AJ492" s="138">
        <f>IF(AJ487&lt;AJ491,AJ489,AJ490)</f>
        <v>75.364420912613653</v>
      </c>
      <c r="AK492" s="133"/>
      <c r="AL492" s="155"/>
      <c r="AM492" s="138">
        <f>IF(AM487&lt;AM491,AM489,AM490)</f>
        <v>161.93861834310667</v>
      </c>
      <c r="AN492" s="133"/>
      <c r="AO492" s="155"/>
      <c r="AP492" s="138" t="e">
        <f>IF(AP487&lt;AP491,AP489,AP490)</f>
        <v>#NUM!</v>
      </c>
      <c r="AQ492" s="133"/>
      <c r="AR492" s="155"/>
      <c r="AS492" s="138" t="e">
        <f>IF(AS487&lt;AS491,AS489,AS490)</f>
        <v>#NUM!</v>
      </c>
      <c r="AT492" s="133"/>
      <c r="AU492" s="155"/>
    </row>
    <row r="493" spans="13:47" ht="13" x14ac:dyDescent="0.3">
      <c r="M493" s="28"/>
      <c r="N493" s="28"/>
      <c r="O493" s="9" t="s">
        <v>194</v>
      </c>
      <c r="P493" s="1"/>
      <c r="Q493" s="1"/>
      <c r="R493" s="135"/>
      <c r="S493" s="132">
        <f>IF(R486&lt;=0,W_max,ABS(R$23-R492))</f>
        <v>1.9066980881072446</v>
      </c>
      <c r="T493" s="151">
        <f>R481</f>
        <v>21.577989779557939</v>
      </c>
      <c r="U493" s="135"/>
      <c r="V493" s="132">
        <f>IF(U486&lt;=0,W_max,ABS(U$23-U492))</f>
        <v>2.2315195698228645</v>
      </c>
      <c r="W493" s="151">
        <f>U481</f>
        <v>638.736254356058</v>
      </c>
      <c r="X493" s="135"/>
      <c r="Y493" s="132">
        <f>IF(X486&lt;=0,W_max,ABS(X$23-X492))</f>
        <v>3.0355569398311921</v>
      </c>
      <c r="Z493" s="151">
        <f>X481</f>
        <v>1579.6707675278162</v>
      </c>
      <c r="AA493" s="135"/>
      <c r="AB493" s="132">
        <f>IF(AA486&lt;=0,W_max,ABS(AA$23-AA492))</f>
        <v>3.0362428177993426</v>
      </c>
      <c r="AC493" s="151">
        <f>AA481</f>
        <v>3076.7954514261787</v>
      </c>
      <c r="AD493" s="135"/>
      <c r="AE493" s="132">
        <f>IF(AD486&lt;=0,W_max,ABS(AD$23-AD492))</f>
        <v>0.78634436651563888</v>
      </c>
      <c r="AF493" s="151">
        <f>AD481</f>
        <v>5060.1957087200099</v>
      </c>
      <c r="AG493" s="135"/>
      <c r="AH493" s="132">
        <f>IF(AG486&lt;=0,W_max,ABS(AG$23-AG492))</f>
        <v>5.2271723854155994</v>
      </c>
      <c r="AI493" s="151">
        <f>AG481</f>
        <v>7097.3140465647139</v>
      </c>
      <c r="AJ493" s="135"/>
      <c r="AK493" s="132">
        <f>IF(AJ486&lt;=0,W_max,ABS(AJ$23-AJ492))</f>
        <v>22.864420912613653</v>
      </c>
      <c r="AL493" s="151">
        <f>AJ481</f>
        <v>9011.7055564354669</v>
      </c>
      <c r="AM493" s="135"/>
      <c r="AN493" s="132">
        <f>IF(AM486&lt;=0,W_max,ABS(AM$23-AM492))</f>
        <v>89.538618343106663</v>
      </c>
      <c r="AO493" s="151">
        <f>AM481</f>
        <v>10566.933489816467</v>
      </c>
      <c r="AP493" s="135"/>
      <c r="AQ493" s="132">
        <f>IF(AP486&lt;=0,W_max,ABS(AP$23-AP492))</f>
        <v>7174</v>
      </c>
      <c r="AR493" s="151">
        <f>AP481</f>
        <v>11789.193215905902</v>
      </c>
      <c r="AS493" s="135"/>
      <c r="AT493" s="132">
        <f>IF(AS486&lt;=0,W_max,ABS(AS$23-AS492))</f>
        <v>7174</v>
      </c>
      <c r="AU493" s="151">
        <f>AS481</f>
        <v>13152.829703707705</v>
      </c>
    </row>
    <row r="494" spans="13:47" ht="13" x14ac:dyDescent="0.25">
      <c r="M494" s="12"/>
      <c r="N494" s="12"/>
      <c r="O494" s="2"/>
      <c r="P494" s="85"/>
      <c r="Q494" s="2"/>
      <c r="R494" s="18"/>
      <c r="S494" s="150"/>
      <c r="T494" s="148"/>
      <c r="U494" s="157"/>
      <c r="V494" s="1"/>
      <c r="W494" s="147"/>
      <c r="X494" s="157"/>
      <c r="Y494" s="1"/>
      <c r="Z494" s="147"/>
      <c r="AA494" s="157"/>
      <c r="AB494" s="1"/>
      <c r="AC494" s="147"/>
      <c r="AD494" s="157"/>
      <c r="AE494" s="1"/>
      <c r="AF494" s="147"/>
      <c r="AG494" s="157"/>
      <c r="AH494" s="1"/>
      <c r="AI494" s="147"/>
      <c r="AJ494" s="157"/>
      <c r="AK494" s="1"/>
      <c r="AL494" s="147"/>
      <c r="AM494" s="157"/>
      <c r="AN494" s="1"/>
      <c r="AO494" s="147"/>
      <c r="AP494" s="157"/>
      <c r="AQ494" s="1"/>
      <c r="AR494" s="147"/>
      <c r="AS494" s="157"/>
      <c r="AT494" s="1"/>
      <c r="AU494" s="147"/>
    </row>
    <row r="495" spans="13:47" ht="14" x14ac:dyDescent="0.3">
      <c r="M495" s="23"/>
      <c r="N495" s="23"/>
      <c r="O495" s="23" t="s">
        <v>238</v>
      </c>
      <c r="P495" s="20"/>
      <c r="Q495" s="20"/>
      <c r="R495" s="181">
        <f>R481*1.02</f>
        <v>22.009549575149098</v>
      </c>
      <c r="S495" s="128" t="s">
        <v>185</v>
      </c>
      <c r="T495" s="149" t="s">
        <v>186</v>
      </c>
      <c r="U495" s="143">
        <f>U481*1.01</f>
        <v>645.12361689961858</v>
      </c>
      <c r="V495" s="128" t="s">
        <v>185</v>
      </c>
      <c r="W495" s="153" t="s">
        <v>186</v>
      </c>
      <c r="X495" s="143">
        <f>X481*1.01</f>
        <v>1595.4674752030944</v>
      </c>
      <c r="Y495" s="128" t="s">
        <v>185</v>
      </c>
      <c r="Z495" s="153" t="s">
        <v>186</v>
      </c>
      <c r="AA495" s="143">
        <f>AA481*1.01</f>
        <v>3107.5634059404406</v>
      </c>
      <c r="AB495" s="128" t="s">
        <v>185</v>
      </c>
      <c r="AC495" s="153" t="s">
        <v>186</v>
      </c>
      <c r="AD495" s="143">
        <f>AD481*1.01</f>
        <v>5110.7976658072103</v>
      </c>
      <c r="AE495" s="128" t="s">
        <v>185</v>
      </c>
      <c r="AF495" s="153" t="s">
        <v>186</v>
      </c>
      <c r="AG495" s="143">
        <f>AG481*1.01</f>
        <v>7168.2871870303607</v>
      </c>
      <c r="AH495" s="128" t="s">
        <v>185</v>
      </c>
      <c r="AI495" s="153" t="s">
        <v>186</v>
      </c>
      <c r="AJ495" s="143">
        <f>AJ481*1.01</f>
        <v>9101.8226119998217</v>
      </c>
      <c r="AK495" s="128" t="s">
        <v>185</v>
      </c>
      <c r="AL495" s="153" t="s">
        <v>186</v>
      </c>
      <c r="AM495" s="143">
        <f>AM481*1.01</f>
        <v>10672.602824714631</v>
      </c>
      <c r="AN495" s="128" t="s">
        <v>185</v>
      </c>
      <c r="AO495" s="153" t="s">
        <v>186</v>
      </c>
      <c r="AP495" s="143">
        <f>AP481*1.01</f>
        <v>11907.08514806496</v>
      </c>
      <c r="AQ495" s="128" t="s">
        <v>185</v>
      </c>
      <c r="AR495" s="153" t="s">
        <v>186</v>
      </c>
      <c r="AS495" s="143">
        <f>AS481*1.01</f>
        <v>13284.358000744782</v>
      </c>
      <c r="AT495" s="128" t="s">
        <v>185</v>
      </c>
      <c r="AU495" s="153" t="s">
        <v>186</v>
      </c>
    </row>
    <row r="496" spans="13:47" ht="14" x14ac:dyDescent="0.3">
      <c r="M496" s="12"/>
      <c r="N496" s="12"/>
      <c r="O496" s="20"/>
      <c r="P496" s="20"/>
      <c r="Q496" s="23"/>
      <c r="R496" s="139"/>
      <c r="S496" s="130" t="s">
        <v>228</v>
      </c>
      <c r="T496" s="131" t="s">
        <v>187</v>
      </c>
      <c r="U496" s="144"/>
      <c r="V496" s="130" t="s">
        <v>228</v>
      </c>
      <c r="W496" s="154" t="s">
        <v>187</v>
      </c>
      <c r="X496" s="144"/>
      <c r="Y496" s="130" t="s">
        <v>228</v>
      </c>
      <c r="Z496" s="154" t="s">
        <v>187</v>
      </c>
      <c r="AA496" s="144"/>
      <c r="AB496" s="130" t="s">
        <v>228</v>
      </c>
      <c r="AC496" s="154" t="s">
        <v>187</v>
      </c>
      <c r="AD496" s="144"/>
      <c r="AE496" s="130" t="s">
        <v>228</v>
      </c>
      <c r="AF496" s="154" t="s">
        <v>187</v>
      </c>
      <c r="AG496" s="144"/>
      <c r="AH496" s="130" t="s">
        <v>228</v>
      </c>
      <c r="AI496" s="154" t="s">
        <v>187</v>
      </c>
      <c r="AJ496" s="144"/>
      <c r="AK496" s="130" t="s">
        <v>228</v>
      </c>
      <c r="AL496" s="154" t="s">
        <v>187</v>
      </c>
      <c r="AM496" s="144"/>
      <c r="AN496" s="130" t="s">
        <v>228</v>
      </c>
      <c r="AO496" s="154" t="s">
        <v>187</v>
      </c>
      <c r="AP496" s="144"/>
      <c r="AQ496" s="130" t="s">
        <v>228</v>
      </c>
      <c r="AR496" s="154" t="s">
        <v>187</v>
      </c>
      <c r="AS496" s="144"/>
      <c r="AT496" s="130" t="s">
        <v>228</v>
      </c>
      <c r="AU496" s="154" t="s">
        <v>187</v>
      </c>
    </row>
    <row r="497" spans="13:47" x14ac:dyDescent="0.25">
      <c r="M497" s="20"/>
      <c r="N497" s="20"/>
      <c r="O497" s="7" t="s">
        <v>188</v>
      </c>
      <c r="P497" s="7"/>
      <c r="Q497" s="7"/>
      <c r="R497" s="181">
        <f>P_1_minW-(R495^2*R_up)+dpup_minQ</f>
        <v>100.52259356840922</v>
      </c>
      <c r="S497" s="132"/>
      <c r="T497" s="145"/>
      <c r="U497" s="138">
        <f>P_1_minW-(U495^2*R_up)+dpup_minQ</f>
        <v>100.3568282487185</v>
      </c>
      <c r="V497" s="132"/>
      <c r="W497" s="145"/>
      <c r="X497" s="138">
        <f>P_1_minW-(X495^2*R_up)+dpup_minQ</f>
        <v>99.507731916472338</v>
      </c>
      <c r="Y497" s="132"/>
      <c r="Z497" s="145"/>
      <c r="AA497" s="138">
        <f>P_1_minW-(AA495^2*R_up)+dpup_minQ</f>
        <v>96.671963491144666</v>
      </c>
      <c r="AB497" s="132"/>
      <c r="AC497" s="145"/>
      <c r="AD497" s="138">
        <f>P_1_minW-(AD495^2*R_up)+dpup_minQ</f>
        <v>90.107026767418461</v>
      </c>
      <c r="AE497" s="132"/>
      <c r="AF497" s="145"/>
      <c r="AG497" s="138">
        <f>P_1_minW-(AG495^2*R_up)+dpup_minQ</f>
        <v>80.032672473020369</v>
      </c>
      <c r="AH497" s="132"/>
      <c r="AI497" s="145"/>
      <c r="AJ497" s="138">
        <f>P_1_minW-(AJ495^2*R_up)+dpup_minQ</f>
        <v>67.488090186085898</v>
      </c>
      <c r="AK497" s="132"/>
      <c r="AL497" s="145"/>
      <c r="AM497" s="138">
        <f>P_1_minW-(AM495^2*R_up)+dpup_minQ</f>
        <v>55.102038646319713</v>
      </c>
      <c r="AN497" s="132"/>
      <c r="AO497" s="145"/>
      <c r="AP497" s="138">
        <f>P_1_minW-(AP495^2*R_up)+dpup_minQ</f>
        <v>43.986861226845761</v>
      </c>
      <c r="AQ497" s="132"/>
      <c r="AR497" s="145"/>
      <c r="AS497" s="138">
        <f>P_1_minW-(AS495^2*R_up)+dpup_minQ</f>
        <v>30.151623608881195</v>
      </c>
      <c r="AT497" s="132"/>
      <c r="AU497" s="145"/>
    </row>
    <row r="498" spans="13:47" x14ac:dyDescent="0.25">
      <c r="M498" s="20"/>
      <c r="N498" s="20"/>
      <c r="O498" s="7" t="s">
        <v>189</v>
      </c>
      <c r="P498" s="1"/>
      <c r="Q498" s="7"/>
      <c r="R498" s="181">
        <f>P_2_minW+(R495^2*R_dn)-dpdn_minQ</f>
        <v>50</v>
      </c>
      <c r="S498" s="132"/>
      <c r="T498" s="146"/>
      <c r="U498" s="138">
        <f>P_2_minW+(U495^2*R_dn)-dpdn_minQ</f>
        <v>50</v>
      </c>
      <c r="V498" s="132"/>
      <c r="W498" s="146"/>
      <c r="X498" s="138">
        <f>P_2_minW+(X495^2*R_dn)-dpdn_minQ</f>
        <v>50</v>
      </c>
      <c r="Y498" s="132"/>
      <c r="Z498" s="146"/>
      <c r="AA498" s="138">
        <f>P_2_minW+(AA495^2*R_dn)-dpdn_minQ</f>
        <v>50</v>
      </c>
      <c r="AB498" s="132"/>
      <c r="AC498" s="146"/>
      <c r="AD498" s="138">
        <f>P_2_minW+(AD495^2*R_dn)-dpdn_minQ</f>
        <v>50</v>
      </c>
      <c r="AE498" s="132"/>
      <c r="AF498" s="146"/>
      <c r="AG498" s="138">
        <f>P_2_minW+(AG495^2*R_dn)-dpdn_minQ</f>
        <v>50</v>
      </c>
      <c r="AH498" s="132"/>
      <c r="AI498" s="146"/>
      <c r="AJ498" s="138">
        <f>P_2_minW+(AJ495^2*R_dn)-dpdn_minQ</f>
        <v>50</v>
      </c>
      <c r="AK498" s="132"/>
      <c r="AL498" s="146"/>
      <c r="AM498" s="138">
        <f>P_2_minW+(AM495^2*R_dn)-dpdn_minQ</f>
        <v>50</v>
      </c>
      <c r="AN498" s="132"/>
      <c r="AO498" s="146"/>
      <c r="AP498" s="138">
        <f>P_2_minW+(AP495^2*R_dn)-dpdn_minQ</f>
        <v>50</v>
      </c>
      <c r="AQ498" s="132"/>
      <c r="AR498" s="146"/>
      <c r="AS498" s="138">
        <f>P_2_minW+(AS495^2*R_dn)-dpdn_minQ</f>
        <v>50</v>
      </c>
      <c r="AT498" s="132"/>
      <c r="AU498" s="146"/>
    </row>
    <row r="499" spans="13:47" x14ac:dyDescent="0.25">
      <c r="M499" s="20"/>
      <c r="N499" s="20"/>
      <c r="O499" s="7" t="s">
        <v>234</v>
      </c>
      <c r="P499" s="1"/>
      <c r="Q499" s="7"/>
      <c r="R499" s="179">
        <f>'Valve Sizing'!G$8*R497/P_1_maxW</f>
        <v>0.48490309442931884</v>
      </c>
      <c r="S499" s="132"/>
      <c r="T499" s="146"/>
      <c r="U499" s="143">
        <f>'Valve Sizing'!$G$8*U497/P_1_maxW</f>
        <v>0.48410347203982695</v>
      </c>
      <c r="V499" s="132"/>
      <c r="W499" s="146"/>
      <c r="X499" s="143">
        <f>'Valve Sizing'!$G$8*X497/P_1_maxW</f>
        <v>0.48000758250535575</v>
      </c>
      <c r="Y499" s="132"/>
      <c r="Z499" s="146"/>
      <c r="AA499" s="143">
        <f>'Valve Sizing'!$G$8*AA497/P_1_maxW</f>
        <v>0.4663283404990245</v>
      </c>
      <c r="AB499" s="132"/>
      <c r="AC499" s="146"/>
      <c r="AD499" s="143">
        <f>'Valve Sizing'!$G$8*AD497/P_1_maxW</f>
        <v>0.43466025455871177</v>
      </c>
      <c r="AE499" s="132"/>
      <c r="AF499" s="146"/>
      <c r="AG499" s="143">
        <f>'Valve Sizing'!$G$8*AG497/P_1_maxW</f>
        <v>0.38606336307076528</v>
      </c>
      <c r="AH499" s="132"/>
      <c r="AI499" s="146"/>
      <c r="AJ499" s="143">
        <f>'Valve Sizing'!$G$8*AJ497/P_1_maxW</f>
        <v>0.32555053154380997</v>
      </c>
      <c r="AK499" s="132"/>
      <c r="AL499" s="146"/>
      <c r="AM499" s="143">
        <f>'Valve Sizing'!$G$8*AM497/P_1_maxW</f>
        <v>0.26580242411653465</v>
      </c>
      <c r="AN499" s="132"/>
      <c r="AO499" s="146"/>
      <c r="AP499" s="143">
        <f>'Valve Sizing'!$G$8*AP497/P_1_maxW</f>
        <v>0.21218478718035799</v>
      </c>
      <c r="AQ499" s="132"/>
      <c r="AR499" s="146"/>
      <c r="AS499" s="143">
        <f>'Valve Sizing'!$G$8*AS497/P_1_maxW</f>
        <v>0.14544606412353206</v>
      </c>
      <c r="AT499" s="132"/>
      <c r="AU499" s="146"/>
    </row>
    <row r="500" spans="13:47" x14ac:dyDescent="0.25">
      <c r="M500" s="20"/>
      <c r="N500" s="20"/>
      <c r="O500" s="7" t="s">
        <v>190</v>
      </c>
      <c r="P500" s="1"/>
      <c r="Q500" s="7"/>
      <c r="R500" s="181">
        <f>R497-R498</f>
        <v>50.522593568409221</v>
      </c>
      <c r="S500" s="132"/>
      <c r="T500" s="146"/>
      <c r="U500" s="138">
        <f>U497-U498</f>
        <v>50.3568282487185</v>
      </c>
      <c r="V500" s="132"/>
      <c r="W500" s="146"/>
      <c r="X500" s="138">
        <f>X497-X498</f>
        <v>49.507731916472338</v>
      </c>
      <c r="Y500" s="132"/>
      <c r="Z500" s="146"/>
      <c r="AA500" s="138">
        <f>AA497-AA498</f>
        <v>46.671963491144666</v>
      </c>
      <c r="AB500" s="132"/>
      <c r="AC500" s="146"/>
      <c r="AD500" s="138">
        <f>AD497-AD498</f>
        <v>40.107026767418461</v>
      </c>
      <c r="AE500" s="132"/>
      <c r="AF500" s="146"/>
      <c r="AG500" s="138">
        <f>AG497-AG498</f>
        <v>30.032672473020369</v>
      </c>
      <c r="AH500" s="132"/>
      <c r="AI500" s="146"/>
      <c r="AJ500" s="138">
        <f>AJ497-AJ498</f>
        <v>17.488090186085898</v>
      </c>
      <c r="AK500" s="132"/>
      <c r="AL500" s="146"/>
      <c r="AM500" s="138">
        <f>AM497-AM498</f>
        <v>5.1020386463197127</v>
      </c>
      <c r="AN500" s="132"/>
      <c r="AO500" s="146"/>
      <c r="AP500" s="138">
        <f>AP497-AP498</f>
        <v>-6.0131387731542389</v>
      </c>
      <c r="AQ500" s="132"/>
      <c r="AR500" s="146"/>
      <c r="AS500" s="138">
        <f>AS497-AS498</f>
        <v>-19.848376391118805</v>
      </c>
      <c r="AT500" s="132"/>
      <c r="AU500" s="146"/>
    </row>
    <row r="501" spans="13:47" ht="14.5" x14ac:dyDescent="0.35">
      <c r="M501" s="27"/>
      <c r="N501" s="27"/>
      <c r="O501" s="2" t="s">
        <v>191</v>
      </c>
      <c r="P501" s="10"/>
      <c r="Q501" s="2"/>
      <c r="R501" s="181">
        <f>R500/R497</f>
        <v>0.50259938363037548</v>
      </c>
      <c r="S501" s="132"/>
      <c r="T501" s="146"/>
      <c r="U501" s="138">
        <f>U500/U497</f>
        <v>0.50177779755969443</v>
      </c>
      <c r="V501" s="132"/>
      <c r="W501" s="146"/>
      <c r="X501" s="138">
        <f>X500/X497</f>
        <v>0.49752648324885507</v>
      </c>
      <c r="Y501" s="132"/>
      <c r="Z501" s="146"/>
      <c r="AA501" s="138">
        <f>AA500/AA497</f>
        <v>0.48278696124155901</v>
      </c>
      <c r="AB501" s="132"/>
      <c r="AC501" s="146"/>
      <c r="AD501" s="138">
        <f>AD500/AD497</f>
        <v>0.44510431878904971</v>
      </c>
      <c r="AE501" s="132"/>
      <c r="AF501" s="146"/>
      <c r="AG501" s="138">
        <f>AG500/AG497</f>
        <v>0.37525514949091093</v>
      </c>
      <c r="AH501" s="132"/>
      <c r="AI501" s="146"/>
      <c r="AJ501" s="138">
        <f>AJ500/AJ497</f>
        <v>0.25912853864831159</v>
      </c>
      <c r="AK501" s="132"/>
      <c r="AL501" s="146"/>
      <c r="AM501" s="138">
        <f>AM500/AM497</f>
        <v>9.2592556857430897E-2</v>
      </c>
      <c r="AN501" s="132"/>
      <c r="AO501" s="146"/>
      <c r="AP501" s="138">
        <f>AP500/AP497</f>
        <v>-0.13670306553913289</v>
      </c>
      <c r="AQ501" s="132"/>
      <c r="AR501" s="146"/>
      <c r="AS501" s="138">
        <f>AS500/AS497</f>
        <v>-0.65828549230338773</v>
      </c>
      <c r="AT501" s="132"/>
      <c r="AU501" s="146"/>
    </row>
    <row r="502" spans="13:47" x14ac:dyDescent="0.25">
      <c r="M502" s="27"/>
      <c r="N502" s="27"/>
      <c r="O502" s="2" t="s">
        <v>26</v>
      </c>
      <c r="P502" s="7">
        <v>12</v>
      </c>
      <c r="Q502" s="2"/>
      <c r="R502" s="181">
        <f>1-R501/(3*F_GAMMA*R$29)</f>
        <v>0.73824048165429934</v>
      </c>
      <c r="S502" s="133"/>
      <c r="T502" s="146"/>
      <c r="U502" s="138">
        <f>1-U501/(3*F_GAMMA*U$29)</f>
        <v>0.73872591181110114</v>
      </c>
      <c r="V502" s="133"/>
      <c r="W502" s="146"/>
      <c r="X502" s="138">
        <f>1-X501/(3*F_GAMMA*X$29)</f>
        <v>0.73705323859255767</v>
      </c>
      <c r="Y502" s="133"/>
      <c r="Z502" s="146"/>
      <c r="AA502" s="138">
        <f>1-AA501/(3*F_GAMMA*AA$29)</f>
        <v>0.7413446400378505</v>
      </c>
      <c r="AB502" s="133"/>
      <c r="AC502" s="146"/>
      <c r="AD502" s="138">
        <f>1-AD501/(3*F_GAMMA*AD$29)</f>
        <v>0.75499504090454295</v>
      </c>
      <c r="AE502" s="133"/>
      <c r="AF502" s="146"/>
      <c r="AG502" s="138">
        <f>1-AG501/(3*F_GAMMA*AG$29)</f>
        <v>0.78166075808537794</v>
      </c>
      <c r="AH502" s="133"/>
      <c r="AI502" s="146"/>
      <c r="AJ502" s="138">
        <f>1-AJ501/(3*F_GAMMA*AJ$29)</f>
        <v>0.83882280402844545</v>
      </c>
      <c r="AK502" s="133"/>
      <c r="AL502" s="146"/>
      <c r="AM502" s="138">
        <f>1-AM501/(3*F_GAMMA*AM$29)</f>
        <v>0.93707455514283289</v>
      </c>
      <c r="AN502" s="133"/>
      <c r="AO502" s="146"/>
      <c r="AP502" s="138">
        <f>1-AP501/(3*F_GAMMA*AP$29)</f>
        <v>1.0767740545938653</v>
      </c>
      <c r="AQ502" s="133"/>
      <c r="AR502" s="146"/>
      <c r="AS502" s="138">
        <f>1-AS501/(3*F_GAMMA*AS$29)</f>
        <v>1.5612380903760039</v>
      </c>
      <c r="AT502" s="133"/>
      <c r="AU502" s="146"/>
    </row>
    <row r="503" spans="13:47" x14ac:dyDescent="0.25">
      <c r="M503" s="27"/>
      <c r="N503" s="27"/>
      <c r="O503" s="2" t="s">
        <v>71</v>
      </c>
      <c r="P503" s="85">
        <v>5</v>
      </c>
      <c r="Q503" s="2"/>
      <c r="R503" s="179">
        <f>R495/((N_6*R$27*R502)*SQRT(R501*R497*R499))</f>
        <v>9.516795825406861E-2</v>
      </c>
      <c r="S503" s="133"/>
      <c r="T503" s="146"/>
      <c r="U503" s="143">
        <f>U495/((N_6*U$27*U502)*SQRT(U501*U497*U499))</f>
        <v>2.7962695807948017</v>
      </c>
      <c r="V503" s="133"/>
      <c r="W503" s="146"/>
      <c r="X503" s="143">
        <f>X495/((N_6*X$27*X502)*SQRT(X501*X497*X499))</f>
        <v>7.0357057591360279</v>
      </c>
      <c r="Y503" s="133"/>
      <c r="Z503" s="146"/>
      <c r="AA503" s="143">
        <f>AA495/((N_6*AA$27*AA502)*SQRT(AA501*AA497*AA499))</f>
        <v>14.31843736582935</v>
      </c>
      <c r="AB503" s="133"/>
      <c r="AC503" s="146"/>
      <c r="AD503" s="143">
        <f>AD495/((N_6*AD$27*AD502)*SQRT(AD501*AD497*AD499))</f>
        <v>26.144105559831431</v>
      </c>
      <c r="AE503" s="133"/>
      <c r="AF503" s="146"/>
      <c r="AG503" s="143">
        <f>AG495/((N_6*AG$27*AG502)*SQRT(AG501*AG497*AG499))</f>
        <v>44.366576960800927</v>
      </c>
      <c r="AH503" s="133"/>
      <c r="AI503" s="146"/>
      <c r="AJ503" s="143">
        <f>AJ495/((N_6*AJ$27*AJ502)*SQRT(AJ501*AJ497*AJ499))</f>
        <v>77.485856567007389</v>
      </c>
      <c r="AK503" s="133"/>
      <c r="AL503" s="146"/>
      <c r="AM503" s="143">
        <f>AM495/((N_6*AM$27*AM502)*SQRT(AM501*AM497*AM499))</f>
        <v>176.87799295217647</v>
      </c>
      <c r="AN503" s="133"/>
      <c r="AO503" s="146"/>
      <c r="AP503" s="143" t="e">
        <f>AP495/((N_6*AP$27*AP502)*SQRT(AP501*AP497*AP499))</f>
        <v>#NUM!</v>
      </c>
      <c r="AQ503" s="133"/>
      <c r="AR503" s="146"/>
      <c r="AS503" s="143" t="e">
        <f>AS495/((N_6*AS$27*AS502)*SQRT(AS501*AS497*AS499))</f>
        <v>#NUM!</v>
      </c>
      <c r="AT503" s="133"/>
      <c r="AU503" s="146"/>
    </row>
    <row r="504" spans="13:47" x14ac:dyDescent="0.25">
      <c r="M504" s="27"/>
      <c r="N504" s="27"/>
      <c r="O504" s="2" t="s">
        <v>73</v>
      </c>
      <c r="P504" s="85">
        <v>5</v>
      </c>
      <c r="Q504" s="2"/>
      <c r="R504" s="179">
        <f>R495/((N_6*R$27*0.667)*SQRT(R505*R497*R499))</f>
        <v>9.3341471487318584E-2</v>
      </c>
      <c r="S504" s="133"/>
      <c r="T504" s="147"/>
      <c r="U504" s="143">
        <f>U495/((N_6*U$27*0.667)*SQRT(U505*U497*U499))</f>
        <v>2.7418603724662876</v>
      </c>
      <c r="V504" s="133"/>
      <c r="W504" s="155"/>
      <c r="X504" s="143">
        <f>X495/((N_6*X$27*0.667)*SQRT(X505*X497*X499))</f>
        <v>6.9051836546878844</v>
      </c>
      <c r="Y504" s="133"/>
      <c r="Z504" s="155"/>
      <c r="AA504" s="143">
        <f>AA495/((N_6*AA$27*0.667)*SQRT(AA505*AA497*AA499))</f>
        <v>14.018815197061253</v>
      </c>
      <c r="AB504" s="133"/>
      <c r="AC504" s="155"/>
      <c r="AD504" s="143">
        <f>AD495/((N_6*AD$27*0.667)*SQRT(AD505*AD497*AD499))</f>
        <v>25.371147974806814</v>
      </c>
      <c r="AE504" s="133"/>
      <c r="AF504" s="155"/>
      <c r="AG504" s="143">
        <f>AG495/((N_6*AG$27*0.667)*SQRT(AG505*AG497*AG499))</f>
        <v>42.079921855082226</v>
      </c>
      <c r="AH504" s="133"/>
      <c r="AI504" s="155"/>
      <c r="AJ504" s="143">
        <f>AJ495/((N_6*AJ$27*0.667)*SQRT(AJ505*AJ497*AJ499))</f>
        <v>67.760914458706722</v>
      </c>
      <c r="AK504" s="133"/>
      <c r="AL504" s="155"/>
      <c r="AM504" s="143">
        <f>AM495/((N_6*AM$27*0.667)*SQRT(AM505*AM497*AM499))</f>
        <v>107.96820663543656</v>
      </c>
      <c r="AN504" s="133"/>
      <c r="AO504" s="155"/>
      <c r="AP504" s="143">
        <f>AP495/((N_6*AP$27*0.667)*SQRT(AP505*AP497*AP499))</f>
        <v>155.81986331237792</v>
      </c>
      <c r="AQ504" s="133"/>
      <c r="AR504" s="155"/>
      <c r="AS504" s="143">
        <f>AS495/((N_6*AS$27*0.667)*SQRT(AS505*AS497*AS499))</f>
        <v>410.58769968801744</v>
      </c>
      <c r="AT504" s="133"/>
      <c r="AU504" s="155"/>
    </row>
    <row r="505" spans="13:47" ht="15.5" x14ac:dyDescent="0.4">
      <c r="M505" s="27"/>
      <c r="N505" s="27"/>
      <c r="O505" s="2" t="s">
        <v>192</v>
      </c>
      <c r="P505" s="85">
        <v>10</v>
      </c>
      <c r="Q505" s="2"/>
      <c r="R505" s="181">
        <f>F_GAMMA*R$29</f>
        <v>0.64002688015162901</v>
      </c>
      <c r="S505" s="133"/>
      <c r="T505" s="147"/>
      <c r="U505" s="138">
        <f>F_GAMMA*U$29</f>
        <v>0.64016782916606918</v>
      </c>
      <c r="V505" s="133"/>
      <c r="W505" s="155"/>
      <c r="X505" s="138">
        <f>F_GAMMA*X$29</f>
        <v>0.6307062319203669</v>
      </c>
      <c r="Y505" s="133"/>
      <c r="Z505" s="155"/>
      <c r="AA505" s="138">
        <f>F_GAMMA*AA$29</f>
        <v>0.62217534213893466</v>
      </c>
      <c r="AB505" s="133"/>
      <c r="AC505" s="155"/>
      <c r="AD505" s="138">
        <f>F_GAMMA*AD$29</f>
        <v>0.60557184969146072</v>
      </c>
      <c r="AE505" s="133"/>
      <c r="AF505" s="155"/>
      <c r="AG505" s="138">
        <f>F_GAMMA*AG$29</f>
        <v>0.57289312142622573</v>
      </c>
      <c r="AH505" s="133"/>
      <c r="AI505" s="155"/>
      <c r="AJ505" s="138">
        <f>F_GAMMA*AJ$29</f>
        <v>0.53590819116049981</v>
      </c>
      <c r="AK505" s="133"/>
      <c r="AL505" s="155"/>
      <c r="AM505" s="138">
        <f>F_GAMMA*AM$29</f>
        <v>0.49048815926850342</v>
      </c>
      <c r="AN505" s="133"/>
      <c r="AO505" s="155"/>
      <c r="AP505" s="138">
        <f>F_GAMMA*AP$29</f>
        <v>0.59352979016280105</v>
      </c>
      <c r="AQ505" s="133"/>
      <c r="AR505" s="155"/>
      <c r="AS505" s="138">
        <f>F_GAMMA*AS$29</f>
        <v>0.39097221161068291</v>
      </c>
      <c r="AT505" s="133"/>
      <c r="AU505" s="155"/>
    </row>
    <row r="506" spans="13:47" x14ac:dyDescent="0.25">
      <c r="M506" s="27"/>
      <c r="N506" s="27"/>
      <c r="O506" s="2" t="s">
        <v>193</v>
      </c>
      <c r="P506" s="134"/>
      <c r="Q506" s="2"/>
      <c r="R506" s="181">
        <f>IF(R501&lt;R505,R503,R504)</f>
        <v>9.516795825406861E-2</v>
      </c>
      <c r="S506" s="133"/>
      <c r="T506" s="147"/>
      <c r="U506" s="138">
        <f>IF(U501&lt;U505,U503,U504)</f>
        <v>2.7962695807948017</v>
      </c>
      <c r="V506" s="133"/>
      <c r="W506" s="155"/>
      <c r="X506" s="138">
        <f>IF(X501&lt;X505,X503,X504)</f>
        <v>7.0357057591360279</v>
      </c>
      <c r="Y506" s="133"/>
      <c r="Z506" s="155"/>
      <c r="AA506" s="138">
        <f>IF(AA501&lt;AA505,AA503,AA504)</f>
        <v>14.31843736582935</v>
      </c>
      <c r="AB506" s="133"/>
      <c r="AC506" s="155"/>
      <c r="AD506" s="138">
        <f>IF(AD501&lt;AD505,AD503,AD504)</f>
        <v>26.144105559831431</v>
      </c>
      <c r="AE506" s="133"/>
      <c r="AF506" s="155"/>
      <c r="AG506" s="138">
        <f>IF(AG501&lt;AG505,AG503,AG504)</f>
        <v>44.366576960800927</v>
      </c>
      <c r="AH506" s="133"/>
      <c r="AI506" s="155"/>
      <c r="AJ506" s="138">
        <f>IF(AJ501&lt;AJ505,AJ503,AJ504)</f>
        <v>77.485856567007389</v>
      </c>
      <c r="AK506" s="133"/>
      <c r="AL506" s="155"/>
      <c r="AM506" s="138">
        <f>IF(AM501&lt;AM505,AM503,AM504)</f>
        <v>176.87799295217647</v>
      </c>
      <c r="AN506" s="133"/>
      <c r="AO506" s="155"/>
      <c r="AP506" s="138" t="e">
        <f>IF(AP501&lt;AP505,AP503,AP504)</f>
        <v>#NUM!</v>
      </c>
      <c r="AQ506" s="133"/>
      <c r="AR506" s="155"/>
      <c r="AS506" s="138" t="e">
        <f>IF(AS501&lt;AS505,AS503,AS504)</f>
        <v>#NUM!</v>
      </c>
      <c r="AT506" s="133"/>
      <c r="AU506" s="155"/>
    </row>
    <row r="507" spans="13:47" ht="13" x14ac:dyDescent="0.3">
      <c r="M507" s="28"/>
      <c r="N507" s="28"/>
      <c r="O507" s="9" t="s">
        <v>194</v>
      </c>
      <c r="P507" s="1"/>
      <c r="Q507" s="1"/>
      <c r="R507" s="135"/>
      <c r="S507" s="132">
        <f>IF(R500&lt;=0,W_max,ABS(R$23-R506))</f>
        <v>1.9048320417459315</v>
      </c>
      <c r="T507" s="151">
        <f>R495</f>
        <v>22.009549575149098</v>
      </c>
      <c r="U507" s="135"/>
      <c r="V507" s="132">
        <f>IF(U500&lt;=0,W_max,ABS(U$23-U506))</f>
        <v>2.2037304192051983</v>
      </c>
      <c r="W507" s="151">
        <f>U495</f>
        <v>645.12361689961858</v>
      </c>
      <c r="X507" s="135"/>
      <c r="Y507" s="132">
        <f>IF(X500&lt;=0,W_max,ABS(X$23-X506))</f>
        <v>2.9642942408639721</v>
      </c>
      <c r="Z507" s="151">
        <f>X495</f>
        <v>1595.4674752030944</v>
      </c>
      <c r="AA507" s="135"/>
      <c r="AB507" s="132">
        <f>IF(AA500&lt;=0,W_max,ABS(AA$23-AA506))</f>
        <v>2.8815626341706491</v>
      </c>
      <c r="AC507" s="151">
        <f>AA495</f>
        <v>3107.5634059404406</v>
      </c>
      <c r="AD507" s="135"/>
      <c r="AE507" s="132">
        <f>IF(AD500&lt;=0,W_max,ABS(AD$23-AD506))</f>
        <v>0.45589444016857072</v>
      </c>
      <c r="AF507" s="151">
        <f>AD495</f>
        <v>5110.7976658072103</v>
      </c>
      <c r="AG507" s="135"/>
      <c r="AH507" s="132">
        <f>IF(AG500&lt;=0,W_max,ABS(AG$23-AG506))</f>
        <v>5.9665769608009285</v>
      </c>
      <c r="AI507" s="151">
        <f>AG495</f>
        <v>7168.2871870303607</v>
      </c>
      <c r="AJ507" s="135"/>
      <c r="AK507" s="132">
        <f>IF(AJ500&lt;=0,W_max,ABS(AJ$23-AJ506))</f>
        <v>24.985856567007389</v>
      </c>
      <c r="AL507" s="151">
        <f>AJ495</f>
        <v>9101.8226119998217</v>
      </c>
      <c r="AM507" s="135"/>
      <c r="AN507" s="132">
        <f>IF(AM500&lt;=0,W_max,ABS(AM$23-AM506))</f>
        <v>104.47799295217646</v>
      </c>
      <c r="AO507" s="151">
        <f>AM495</f>
        <v>10672.602824714631</v>
      </c>
      <c r="AP507" s="135"/>
      <c r="AQ507" s="132">
        <f>IF(AP500&lt;=0,W_max,ABS(AP$23-AP506))</f>
        <v>7174</v>
      </c>
      <c r="AR507" s="151">
        <f>AP495</f>
        <v>11907.08514806496</v>
      </c>
      <c r="AS507" s="135"/>
      <c r="AT507" s="132">
        <f>IF(AS500&lt;=0,W_max,ABS(AS$23-AS506))</f>
        <v>7174</v>
      </c>
      <c r="AU507" s="151">
        <f>AS495</f>
        <v>13284.358000744782</v>
      </c>
    </row>
    <row r="508" spans="13:47" ht="13" x14ac:dyDescent="0.25">
      <c r="M508" s="12"/>
      <c r="N508" s="12"/>
      <c r="O508" s="12"/>
      <c r="P508" s="12"/>
      <c r="Q508" s="12"/>
      <c r="R508" s="182"/>
      <c r="S508" s="22"/>
      <c r="T508" s="152"/>
      <c r="U508" s="157"/>
      <c r="V508" s="1"/>
      <c r="W508" s="147"/>
      <c r="X508" s="157"/>
      <c r="Y508" s="1"/>
      <c r="Z508" s="147"/>
      <c r="AA508" s="157"/>
      <c r="AB508" s="1"/>
      <c r="AC508" s="147"/>
      <c r="AD508" s="157"/>
      <c r="AE508" s="1"/>
      <c r="AF508" s="147"/>
      <c r="AG508" s="157"/>
      <c r="AH508" s="1"/>
      <c r="AI508" s="147"/>
      <c r="AJ508" s="157"/>
      <c r="AK508" s="1"/>
      <c r="AL508" s="147"/>
      <c r="AM508" s="157"/>
      <c r="AN508" s="1"/>
      <c r="AO508" s="147"/>
      <c r="AP508" s="157"/>
      <c r="AQ508" s="1"/>
      <c r="AR508" s="147"/>
      <c r="AS508" s="157"/>
      <c r="AT508" s="1"/>
      <c r="AU508" s="147"/>
    </row>
    <row r="509" spans="13:47" ht="14" x14ac:dyDescent="0.3">
      <c r="M509" s="23"/>
      <c r="N509" s="23"/>
      <c r="O509" s="23" t="s">
        <v>238</v>
      </c>
      <c r="P509" s="20"/>
      <c r="Q509" s="20"/>
      <c r="R509" s="18">
        <f>R495*1.02</f>
        <v>22.449740566652082</v>
      </c>
      <c r="S509" s="128" t="s">
        <v>185</v>
      </c>
      <c r="T509" s="153" t="s">
        <v>186</v>
      </c>
      <c r="U509" s="143">
        <f>U495*1.01</f>
        <v>651.57485306861474</v>
      </c>
      <c r="V509" s="128" t="s">
        <v>185</v>
      </c>
      <c r="W509" s="153" t="s">
        <v>186</v>
      </c>
      <c r="X509" s="143">
        <f>X495*1.01</f>
        <v>1611.4221499551254</v>
      </c>
      <c r="Y509" s="128" t="s">
        <v>185</v>
      </c>
      <c r="Z509" s="153" t="s">
        <v>186</v>
      </c>
      <c r="AA509" s="143">
        <f>AA495*1.01</f>
        <v>3138.639039999845</v>
      </c>
      <c r="AB509" s="128" t="s">
        <v>185</v>
      </c>
      <c r="AC509" s="153" t="s">
        <v>186</v>
      </c>
      <c r="AD509" s="143">
        <f>AD495*1.01</f>
        <v>5161.9056424652827</v>
      </c>
      <c r="AE509" s="128" t="s">
        <v>185</v>
      </c>
      <c r="AF509" s="153" t="s">
        <v>186</v>
      </c>
      <c r="AG509" s="143">
        <f>AG495*1.01</f>
        <v>7239.9700589006643</v>
      </c>
      <c r="AH509" s="128" t="s">
        <v>185</v>
      </c>
      <c r="AI509" s="153" t="s">
        <v>186</v>
      </c>
      <c r="AJ509" s="143">
        <f>AJ495*1.01</f>
        <v>9192.8408381198205</v>
      </c>
      <c r="AK509" s="128" t="s">
        <v>185</v>
      </c>
      <c r="AL509" s="153" t="s">
        <v>186</v>
      </c>
      <c r="AM509" s="143">
        <f>AM495*1.01</f>
        <v>10779.328852961778</v>
      </c>
      <c r="AN509" s="128" t="s">
        <v>185</v>
      </c>
      <c r="AO509" s="153" t="s">
        <v>186</v>
      </c>
      <c r="AP509" s="143">
        <f>AP495*1.01</f>
        <v>12026.15599954561</v>
      </c>
      <c r="AQ509" s="128" t="s">
        <v>185</v>
      </c>
      <c r="AR509" s="153" t="s">
        <v>186</v>
      </c>
      <c r="AS509" s="143">
        <f>AS495*1.01</f>
        <v>13417.201580752229</v>
      </c>
      <c r="AT509" s="128" t="s">
        <v>185</v>
      </c>
      <c r="AU509" s="153" t="s">
        <v>186</v>
      </c>
    </row>
    <row r="510" spans="13:47" ht="14" x14ac:dyDescent="0.3">
      <c r="M510" s="12"/>
      <c r="N510" s="12"/>
      <c r="O510" s="20"/>
      <c r="P510" s="20"/>
      <c r="Q510" s="23"/>
      <c r="R510" s="139"/>
      <c r="S510" s="130" t="s">
        <v>228</v>
      </c>
      <c r="T510" s="154" t="s">
        <v>187</v>
      </c>
      <c r="U510" s="144"/>
      <c r="V510" s="130" t="s">
        <v>228</v>
      </c>
      <c r="W510" s="154" t="s">
        <v>187</v>
      </c>
      <c r="X510" s="144"/>
      <c r="Y510" s="130" t="s">
        <v>228</v>
      </c>
      <c r="Z510" s="154" t="s">
        <v>187</v>
      </c>
      <c r="AA510" s="144"/>
      <c r="AB510" s="130" t="s">
        <v>228</v>
      </c>
      <c r="AC510" s="154" t="s">
        <v>187</v>
      </c>
      <c r="AD510" s="144"/>
      <c r="AE510" s="130" t="s">
        <v>228</v>
      </c>
      <c r="AF510" s="154" t="s">
        <v>187</v>
      </c>
      <c r="AG510" s="144"/>
      <c r="AH510" s="130" t="s">
        <v>228</v>
      </c>
      <c r="AI510" s="154" t="s">
        <v>187</v>
      </c>
      <c r="AJ510" s="144"/>
      <c r="AK510" s="130" t="s">
        <v>228</v>
      </c>
      <c r="AL510" s="154" t="s">
        <v>187</v>
      </c>
      <c r="AM510" s="144"/>
      <c r="AN510" s="130" t="s">
        <v>228</v>
      </c>
      <c r="AO510" s="154" t="s">
        <v>187</v>
      </c>
      <c r="AP510" s="144"/>
      <c r="AQ510" s="130" t="s">
        <v>228</v>
      </c>
      <c r="AR510" s="154" t="s">
        <v>187</v>
      </c>
      <c r="AS510" s="144"/>
      <c r="AT510" s="130" t="s">
        <v>228</v>
      </c>
      <c r="AU510" s="154" t="s">
        <v>187</v>
      </c>
    </row>
    <row r="511" spans="13:47" x14ac:dyDescent="0.25">
      <c r="M511" s="20"/>
      <c r="N511" s="20"/>
      <c r="O511" s="7" t="s">
        <v>188</v>
      </c>
      <c r="P511" s="7"/>
      <c r="Q511" s="7"/>
      <c r="R511" s="181">
        <f>P_1_minW-(R509^2*R_up)+dpup_minQ</f>
        <v>100.52258576440919</v>
      </c>
      <c r="S511" s="132"/>
      <c r="T511" s="145"/>
      <c r="U511" s="138">
        <f>P_1_minW-(U509^2*R_up)+dpup_minQ</f>
        <v>100.35349248310955</v>
      </c>
      <c r="V511" s="132"/>
      <c r="W511" s="145"/>
      <c r="X511" s="138">
        <f>P_1_minW-(X509^2*R_up)+dpup_minQ</f>
        <v>99.487329314585224</v>
      </c>
      <c r="Y511" s="132"/>
      <c r="Z511" s="145"/>
      <c r="AA511" s="138">
        <f>P_1_minW-(AA509^2*R_up)+dpup_minQ</f>
        <v>96.59456194390846</v>
      </c>
      <c r="AB511" s="132"/>
      <c r="AC511" s="145"/>
      <c r="AD511" s="138">
        <f>P_1_minW-(AD509^2*R_up)+dpup_minQ</f>
        <v>89.897669992035361</v>
      </c>
      <c r="AE511" s="132"/>
      <c r="AF511" s="145"/>
      <c r="AG511" s="138">
        <f>P_1_minW-(AG509^2*R_up)+dpup_minQ</f>
        <v>79.620821176319865</v>
      </c>
      <c r="AH511" s="132"/>
      <c r="AI511" s="145"/>
      <c r="AJ511" s="138">
        <f>P_1_minW-(AJ509^2*R_up)+dpup_minQ</f>
        <v>66.824092785418017</v>
      </c>
      <c r="AK511" s="132"/>
      <c r="AL511" s="145"/>
      <c r="AM511" s="138">
        <f>P_1_minW-(AM509^2*R_up)+dpup_minQ</f>
        <v>54.189081609702527</v>
      </c>
      <c r="AN511" s="132"/>
      <c r="AO511" s="145"/>
      <c r="AP511" s="138">
        <f>P_1_minW-(AP509^2*R_up)+dpup_minQ</f>
        <v>42.850489124097152</v>
      </c>
      <c r="AQ511" s="132"/>
      <c r="AR511" s="145"/>
      <c r="AS511" s="138">
        <f>P_1_minW-(AS509^2*R_up)+dpup_minQ</f>
        <v>28.737163230011504</v>
      </c>
      <c r="AT511" s="132"/>
      <c r="AU511" s="145"/>
    </row>
    <row r="512" spans="13:47" x14ac:dyDescent="0.25">
      <c r="M512" s="20"/>
      <c r="N512" s="20"/>
      <c r="O512" s="7" t="s">
        <v>189</v>
      </c>
      <c r="P512" s="1"/>
      <c r="Q512" s="7"/>
      <c r="R512" s="181">
        <f>P_2_minW+(R509^2*R_dn)-dpdn_minQ</f>
        <v>50</v>
      </c>
      <c r="S512" s="132"/>
      <c r="T512" s="146"/>
      <c r="U512" s="138">
        <f>P_2_minW+(U509^2*R_dn)-dpdn_minQ</f>
        <v>50</v>
      </c>
      <c r="V512" s="132"/>
      <c r="W512" s="146"/>
      <c r="X512" s="138">
        <f>P_2_minW+(X509^2*R_dn)-dpdn_minQ</f>
        <v>50</v>
      </c>
      <c r="Y512" s="132"/>
      <c r="Z512" s="146"/>
      <c r="AA512" s="138">
        <f>P_2_minW+(AA509^2*R_dn)-dpdn_minQ</f>
        <v>50</v>
      </c>
      <c r="AB512" s="132"/>
      <c r="AC512" s="146"/>
      <c r="AD512" s="138">
        <f>P_2_minW+(AD509^2*R_dn)-dpdn_minQ</f>
        <v>50</v>
      </c>
      <c r="AE512" s="132"/>
      <c r="AF512" s="146"/>
      <c r="AG512" s="138">
        <f>P_2_minW+(AG509^2*R_dn)-dpdn_minQ</f>
        <v>50</v>
      </c>
      <c r="AH512" s="132"/>
      <c r="AI512" s="146"/>
      <c r="AJ512" s="138">
        <f>P_2_minW+(AJ509^2*R_dn)-dpdn_minQ</f>
        <v>50</v>
      </c>
      <c r="AK512" s="132"/>
      <c r="AL512" s="146"/>
      <c r="AM512" s="138">
        <f>P_2_minW+(AM509^2*R_dn)-dpdn_minQ</f>
        <v>50</v>
      </c>
      <c r="AN512" s="132"/>
      <c r="AO512" s="146"/>
      <c r="AP512" s="138">
        <f>P_2_minW+(AP509^2*R_dn)-dpdn_minQ</f>
        <v>50</v>
      </c>
      <c r="AQ512" s="132"/>
      <c r="AR512" s="146"/>
      <c r="AS512" s="138">
        <f>P_2_minW+(AS509^2*R_dn)-dpdn_minQ</f>
        <v>50</v>
      </c>
      <c r="AT512" s="132"/>
      <c r="AU512" s="146"/>
    </row>
    <row r="513" spans="13:47" x14ac:dyDescent="0.25">
      <c r="M513" s="20"/>
      <c r="N513" s="20"/>
      <c r="O513" s="7" t="s">
        <v>234</v>
      </c>
      <c r="P513" s="1"/>
      <c r="Q513" s="7"/>
      <c r="R513" s="179">
        <f>'Valve Sizing'!G$8*R511/P_1_maxW</f>
        <v>0.48490305678421208</v>
      </c>
      <c r="S513" s="132"/>
      <c r="T513" s="146"/>
      <c r="U513" s="143">
        <f>'Valve Sizing'!$G$8*U511/P_1_maxW</f>
        <v>0.48408738090042586</v>
      </c>
      <c r="V513" s="132"/>
      <c r="W513" s="146"/>
      <c r="X513" s="143">
        <f>'Valve Sizing'!$G$8*X511/P_1_maxW</f>
        <v>0.47990916398631167</v>
      </c>
      <c r="Y513" s="132"/>
      <c r="Z513" s="146"/>
      <c r="AA513" s="143">
        <f>'Valve Sizing'!$G$8*AA511/P_1_maxW</f>
        <v>0.46595496921565316</v>
      </c>
      <c r="AB513" s="132"/>
      <c r="AC513" s="146"/>
      <c r="AD513" s="143">
        <f>'Valve Sizing'!$G$8*AD511/P_1_maxW</f>
        <v>0.43365035474794017</v>
      </c>
      <c r="AE513" s="132"/>
      <c r="AF513" s="146"/>
      <c r="AG513" s="143">
        <f>'Valve Sizing'!$G$8*AG511/P_1_maxW</f>
        <v>0.38407666574108595</v>
      </c>
      <c r="AH513" s="132"/>
      <c r="AI513" s="146"/>
      <c r="AJ513" s="143">
        <f>'Valve Sizing'!$G$8*AJ511/P_1_maxW</f>
        <v>0.32234752630043884</v>
      </c>
      <c r="AK513" s="132"/>
      <c r="AL513" s="146"/>
      <c r="AM513" s="143">
        <f>'Valve Sizing'!$G$8*AM511/P_1_maxW</f>
        <v>0.26139848191387527</v>
      </c>
      <c r="AN513" s="132"/>
      <c r="AO513" s="146"/>
      <c r="AP513" s="143">
        <f>'Valve Sizing'!$G$8*AP511/P_1_maxW</f>
        <v>0.20670313047528147</v>
      </c>
      <c r="AQ513" s="132"/>
      <c r="AR513" s="146"/>
      <c r="AS513" s="143">
        <f>'Valve Sizing'!$G$8*AS511/P_1_maxW</f>
        <v>0.13862295908501338</v>
      </c>
      <c r="AT513" s="132"/>
      <c r="AU513" s="146"/>
    </row>
    <row r="514" spans="13:47" x14ac:dyDescent="0.25">
      <c r="M514" s="20"/>
      <c r="N514" s="20"/>
      <c r="O514" s="7" t="s">
        <v>190</v>
      </c>
      <c r="P514" s="1"/>
      <c r="Q514" s="7"/>
      <c r="R514" s="181">
        <f>R511-R512</f>
        <v>50.522585764409186</v>
      </c>
      <c r="S514" s="132"/>
      <c r="T514" s="146"/>
      <c r="U514" s="138">
        <f>U511-U512</f>
        <v>50.353492483109548</v>
      </c>
      <c r="V514" s="132"/>
      <c r="W514" s="146"/>
      <c r="X514" s="138">
        <f>X511-X512</f>
        <v>49.487329314585224</v>
      </c>
      <c r="Y514" s="132"/>
      <c r="Z514" s="146"/>
      <c r="AA514" s="138">
        <f>AA511-AA512</f>
        <v>46.59456194390846</v>
      </c>
      <c r="AB514" s="132"/>
      <c r="AC514" s="146"/>
      <c r="AD514" s="138">
        <f>AD511-AD512</f>
        <v>39.897669992035361</v>
      </c>
      <c r="AE514" s="132"/>
      <c r="AF514" s="146"/>
      <c r="AG514" s="138">
        <f>AG511-AG512</f>
        <v>29.620821176319865</v>
      </c>
      <c r="AH514" s="132"/>
      <c r="AI514" s="146"/>
      <c r="AJ514" s="138">
        <f>AJ511-AJ512</f>
        <v>16.824092785418017</v>
      </c>
      <c r="AK514" s="132"/>
      <c r="AL514" s="146"/>
      <c r="AM514" s="138">
        <f>AM511-AM512</f>
        <v>4.1890816097025265</v>
      </c>
      <c r="AN514" s="132"/>
      <c r="AO514" s="146"/>
      <c r="AP514" s="138">
        <f>AP511-AP512</f>
        <v>-7.1495108759028483</v>
      </c>
      <c r="AQ514" s="132"/>
      <c r="AR514" s="146"/>
      <c r="AS514" s="138">
        <f>AS511-AS512</f>
        <v>-21.262836769988496</v>
      </c>
      <c r="AT514" s="132"/>
      <c r="AU514" s="146"/>
    </row>
    <row r="515" spans="13:47" ht="14.5" x14ac:dyDescent="0.35">
      <c r="M515" s="27"/>
      <c r="N515" s="27"/>
      <c r="O515" s="2" t="s">
        <v>191</v>
      </c>
      <c r="P515" s="10"/>
      <c r="Q515" s="2"/>
      <c r="R515" s="181">
        <f>R514/R511</f>
        <v>0.50259934501502945</v>
      </c>
      <c r="S515" s="132"/>
      <c r="T515" s="146"/>
      <c r="U515" s="138">
        <f>U514/U511</f>
        <v>0.50176123657663951</v>
      </c>
      <c r="V515" s="132"/>
      <c r="W515" s="146"/>
      <c r="X515" s="138">
        <f>X514/X511</f>
        <v>0.4974234372912269</v>
      </c>
      <c r="Y515" s="132"/>
      <c r="Z515" s="146"/>
      <c r="AA515" s="138">
        <f>AA514/AA511</f>
        <v>0.48237251669473358</v>
      </c>
      <c r="AB515" s="132"/>
      <c r="AC515" s="146"/>
      <c r="AD515" s="138">
        <f>AD514/AD511</f>
        <v>0.44381205870597273</v>
      </c>
      <c r="AE515" s="132"/>
      <c r="AF515" s="146"/>
      <c r="AG515" s="138">
        <f>AG514/AG511</f>
        <v>0.37202355789228447</v>
      </c>
      <c r="AH515" s="132"/>
      <c r="AI515" s="146"/>
      <c r="AJ515" s="138">
        <f>AJ514/AJ511</f>
        <v>0.2517668715599724</v>
      </c>
      <c r="AK515" s="132"/>
      <c r="AL515" s="146"/>
      <c r="AM515" s="138">
        <f>AM514/AM511</f>
        <v>7.7304901379846858E-2</v>
      </c>
      <c r="AN515" s="132"/>
      <c r="AO515" s="146"/>
      <c r="AP515" s="138">
        <f>AP514/AP511</f>
        <v>-0.1668478241916331</v>
      </c>
      <c r="AQ515" s="132"/>
      <c r="AR515" s="146"/>
      <c r="AS515" s="138">
        <f>AS514/AS511</f>
        <v>-0.73990729703559488</v>
      </c>
      <c r="AT515" s="132"/>
      <c r="AU515" s="146"/>
    </row>
    <row r="516" spans="13:47" x14ac:dyDescent="0.25">
      <c r="M516" s="27"/>
      <c r="N516" s="27"/>
      <c r="O516" s="2" t="s">
        <v>26</v>
      </c>
      <c r="P516" s="7">
        <v>12</v>
      </c>
      <c r="Q516" s="2"/>
      <c r="R516" s="181">
        <f>1-R515/(3*F_GAMMA*R$29)</f>
        <v>0.73824050176561418</v>
      </c>
      <c r="S516" s="133"/>
      <c r="T516" s="146"/>
      <c r="U516" s="138">
        <f>1-U515/(3*F_GAMMA*U$29)</f>
        <v>0.73873453506180742</v>
      </c>
      <c r="V516" s="133"/>
      <c r="W516" s="146"/>
      <c r="X516" s="138">
        <f>1-X515/(3*F_GAMMA*X$29)</f>
        <v>0.73710769921273922</v>
      </c>
      <c r="Y516" s="133"/>
      <c r="Z516" s="146"/>
      <c r="AA516" s="138">
        <f>1-AA515/(3*F_GAMMA*AA$29)</f>
        <v>0.74156668063142372</v>
      </c>
      <c r="AB516" s="133"/>
      <c r="AC516" s="146"/>
      <c r="AD516" s="138">
        <f>1-AD515/(3*F_GAMMA*AD$29)</f>
        <v>0.75570635759016036</v>
      </c>
      <c r="AE516" s="133"/>
      <c r="AF516" s="146"/>
      <c r="AG516" s="138">
        <f>1-AG515/(3*F_GAMMA*AG$29)</f>
        <v>0.78354103410764975</v>
      </c>
      <c r="AH516" s="133"/>
      <c r="AI516" s="146"/>
      <c r="AJ516" s="138">
        <f>1-AJ515/(3*F_GAMMA*AJ$29)</f>
        <v>0.84340173950642816</v>
      </c>
      <c r="AK516" s="133"/>
      <c r="AL516" s="146"/>
      <c r="AM516" s="138">
        <f>1-AM515/(3*F_GAMMA*AM$29)</f>
        <v>0.94746397038742203</v>
      </c>
      <c r="AN516" s="133"/>
      <c r="AO516" s="146"/>
      <c r="AP516" s="138">
        <f>1-AP515/(3*F_GAMMA*AP$29)</f>
        <v>1.0937037067372068</v>
      </c>
      <c r="AQ516" s="133"/>
      <c r="AR516" s="146"/>
      <c r="AS516" s="138">
        <f>1-AS515/(3*F_GAMMA*AS$29)</f>
        <v>1.6308268423028571</v>
      </c>
      <c r="AT516" s="133"/>
      <c r="AU516" s="146"/>
    </row>
    <row r="517" spans="13:47" x14ac:dyDescent="0.25">
      <c r="M517" s="27"/>
      <c r="N517" s="27"/>
      <c r="O517" s="2" t="s">
        <v>71</v>
      </c>
      <c r="P517" s="85">
        <v>5</v>
      </c>
      <c r="Q517" s="2"/>
      <c r="R517" s="179">
        <f>R509/((N_6*R$27*R516)*SQRT(R515*R511*R513))</f>
        <v>9.707132603983068E-2</v>
      </c>
      <c r="S517" s="133"/>
      <c r="T517" s="146"/>
      <c r="U517" s="143">
        <f>U509/((N_6*U$27*U516)*SQRT(U515*U511*U513))</f>
        <v>2.8243397946601294</v>
      </c>
      <c r="V517" s="133"/>
      <c r="W517" s="146"/>
      <c r="X517" s="143">
        <f>X509/((N_6*X$27*X516)*SQRT(X515*X511*X513))</f>
        <v>7.1077310784440773</v>
      </c>
      <c r="Y517" s="133"/>
      <c r="Z517" s="146"/>
      <c r="AA517" s="143">
        <f>AA509/((N_6*AA$27*AA516)*SQRT(AA515*AA511*AA513))</f>
        <v>14.47509064944726</v>
      </c>
      <c r="AB517" s="133"/>
      <c r="AC517" s="146"/>
      <c r="AD517" s="143">
        <f>AD509/((N_6*AD$27*AD516)*SQRT(AD515*AD511*AD513))</f>
        <v>26.480596535996593</v>
      </c>
      <c r="AE517" s="133"/>
      <c r="AF517" s="146"/>
      <c r="AG517" s="143">
        <f>AG509/((N_6*AG$27*AG516)*SQRT(AG515*AG511*AG513))</f>
        <v>45.12868061942897</v>
      </c>
      <c r="AH517" s="133"/>
      <c r="AI517" s="146"/>
      <c r="AJ517" s="143">
        <f>AJ509/((N_6*AJ$27*AJ516)*SQRT(AJ515*AJ511*AJ513))</f>
        <v>79.750230411025342</v>
      </c>
      <c r="AK517" s="133"/>
      <c r="AL517" s="146"/>
      <c r="AM517" s="143">
        <f>AM509/((N_6*AM$27*AM516)*SQRT(AM515*AM511*AM513))</f>
        <v>196.62874917456739</v>
      </c>
      <c r="AN517" s="133"/>
      <c r="AO517" s="146"/>
      <c r="AP517" s="143" t="e">
        <f>AP509/((N_6*AP$27*AP516)*SQRT(AP515*AP511*AP513))</f>
        <v>#NUM!</v>
      </c>
      <c r="AQ517" s="133"/>
      <c r="AR517" s="146"/>
      <c r="AS517" s="143" t="e">
        <f>AS509/((N_6*AS$27*AS516)*SQRT(AS515*AS511*AS513))</f>
        <v>#NUM!</v>
      </c>
      <c r="AT517" s="133"/>
      <c r="AU517" s="146"/>
    </row>
    <row r="518" spans="13:47" x14ac:dyDescent="0.25">
      <c r="M518" s="27"/>
      <c r="N518" s="27"/>
      <c r="O518" s="2" t="s">
        <v>73</v>
      </c>
      <c r="P518" s="85">
        <v>5</v>
      </c>
      <c r="Q518" s="2"/>
      <c r="R518" s="179">
        <f>R509/((N_6*R$27*0.667)*SQRT(R519*R511*R513))</f>
        <v>9.5208308308494236E-2</v>
      </c>
      <c r="S518" s="133"/>
      <c r="T518" s="155"/>
      <c r="U518" s="143">
        <f>U509/((N_6*U$27*0.667)*SQRT(U519*U511*U513))</f>
        <v>2.769371027452364</v>
      </c>
      <c r="V518" s="133"/>
      <c r="W518" s="155"/>
      <c r="X518" s="143">
        <f>X509/((N_6*X$27*0.667)*SQRT(X519*X511*X513))</f>
        <v>6.9756657492502825</v>
      </c>
      <c r="Y518" s="133"/>
      <c r="Z518" s="155"/>
      <c r="AA518" s="143">
        <f>AA509/((N_6*AA$27*0.667)*SQRT(AA519*AA511*AA513))</f>
        <v>14.170349006017959</v>
      </c>
      <c r="AB518" s="133"/>
      <c r="AC518" s="155"/>
      <c r="AD518" s="143">
        <f>AD509/((N_6*AD$27*0.667)*SQRT(AD519*AD511*AD513))</f>
        <v>25.684535505619678</v>
      </c>
      <c r="AE518" s="133"/>
      <c r="AF518" s="155"/>
      <c r="AG518" s="143">
        <f>AG509/((N_6*AG$27*0.667)*SQRT(AG519*AG511*AG513))</f>
        <v>42.720562778683032</v>
      </c>
      <c r="AH518" s="133"/>
      <c r="AI518" s="155"/>
      <c r="AJ518" s="143">
        <f>AJ509/((N_6*AJ$27*0.667)*SQRT(AJ519*AJ511*AJ513))</f>
        <v>69.118562791016984</v>
      </c>
      <c r="AK518" s="133"/>
      <c r="AL518" s="155"/>
      <c r="AM518" s="143">
        <f>AM509/((N_6*AM$27*0.667)*SQRT(AM519*AM511*AM513))</f>
        <v>110.8850860552283</v>
      </c>
      <c r="AN518" s="133"/>
      <c r="AO518" s="155"/>
      <c r="AP518" s="143">
        <f>AP509/((N_6*AP$27*0.667)*SQRT(AP519*AP511*AP513))</f>
        <v>161.55164415740089</v>
      </c>
      <c r="AQ518" s="133"/>
      <c r="AR518" s="155"/>
      <c r="AS518" s="143">
        <f>AS509/((N_6*AS$27*0.667)*SQRT(AS519*AS511*AS513))</f>
        <v>435.1050428027491</v>
      </c>
      <c r="AT518" s="133"/>
      <c r="AU518" s="155"/>
    </row>
    <row r="519" spans="13:47" ht="15.5" x14ac:dyDescent="0.4">
      <c r="M519" s="27"/>
      <c r="N519" s="27"/>
      <c r="O519" s="2" t="s">
        <v>192</v>
      </c>
      <c r="P519" s="85">
        <v>10</v>
      </c>
      <c r="Q519" s="2"/>
      <c r="R519" s="181">
        <f>F_GAMMA*R$29</f>
        <v>0.64002688015162901</v>
      </c>
      <c r="S519" s="133"/>
      <c r="T519" s="155"/>
      <c r="U519" s="138">
        <f>F_GAMMA*U$29</f>
        <v>0.64016782916606918</v>
      </c>
      <c r="V519" s="133"/>
      <c r="W519" s="155"/>
      <c r="X519" s="138">
        <f>F_GAMMA*X$29</f>
        <v>0.6307062319203669</v>
      </c>
      <c r="Y519" s="133"/>
      <c r="Z519" s="155"/>
      <c r="AA519" s="138">
        <f>F_GAMMA*AA$29</f>
        <v>0.62217534213893466</v>
      </c>
      <c r="AB519" s="133"/>
      <c r="AC519" s="155"/>
      <c r="AD519" s="138">
        <f>F_GAMMA*AD$29</f>
        <v>0.60557184969146072</v>
      </c>
      <c r="AE519" s="133"/>
      <c r="AF519" s="155"/>
      <c r="AG519" s="138">
        <f>F_GAMMA*AG$29</f>
        <v>0.57289312142622573</v>
      </c>
      <c r="AH519" s="133"/>
      <c r="AI519" s="155"/>
      <c r="AJ519" s="138">
        <f>F_GAMMA*AJ$29</f>
        <v>0.53590819116049981</v>
      </c>
      <c r="AK519" s="133"/>
      <c r="AL519" s="155"/>
      <c r="AM519" s="138">
        <f>F_GAMMA*AM$29</f>
        <v>0.49048815926850342</v>
      </c>
      <c r="AN519" s="133"/>
      <c r="AO519" s="155"/>
      <c r="AP519" s="138">
        <f>F_GAMMA*AP$29</f>
        <v>0.59352979016280105</v>
      </c>
      <c r="AQ519" s="133"/>
      <c r="AR519" s="155"/>
      <c r="AS519" s="138">
        <f>F_GAMMA*AS$29</f>
        <v>0.39097221161068291</v>
      </c>
      <c r="AT519" s="133"/>
      <c r="AU519" s="155"/>
    </row>
    <row r="520" spans="13:47" x14ac:dyDescent="0.25">
      <c r="M520" s="27"/>
      <c r="N520" s="27"/>
      <c r="O520" s="2" t="s">
        <v>193</v>
      </c>
      <c r="P520" s="134"/>
      <c r="Q520" s="2"/>
      <c r="R520" s="181">
        <f>IF(R515&lt;R519,R517,R518)</f>
        <v>9.707132603983068E-2</v>
      </c>
      <c r="S520" s="133"/>
      <c r="T520" s="155"/>
      <c r="U520" s="138">
        <f>IF(U515&lt;U519,U517,U518)</f>
        <v>2.8243397946601294</v>
      </c>
      <c r="V520" s="133"/>
      <c r="W520" s="155"/>
      <c r="X520" s="138">
        <f>IF(X515&lt;X519,X517,X518)</f>
        <v>7.1077310784440773</v>
      </c>
      <c r="Y520" s="133"/>
      <c r="Z520" s="155"/>
      <c r="AA520" s="138">
        <f>IF(AA515&lt;AA519,AA517,AA518)</f>
        <v>14.47509064944726</v>
      </c>
      <c r="AB520" s="133"/>
      <c r="AC520" s="155"/>
      <c r="AD520" s="138">
        <f>IF(AD515&lt;AD519,AD517,AD518)</f>
        <v>26.480596535996593</v>
      </c>
      <c r="AE520" s="133"/>
      <c r="AF520" s="155"/>
      <c r="AG520" s="138">
        <f>IF(AG515&lt;AG519,AG517,AG518)</f>
        <v>45.12868061942897</v>
      </c>
      <c r="AH520" s="133"/>
      <c r="AI520" s="155"/>
      <c r="AJ520" s="138">
        <f>IF(AJ515&lt;AJ519,AJ517,AJ518)</f>
        <v>79.750230411025342</v>
      </c>
      <c r="AK520" s="133"/>
      <c r="AL520" s="155"/>
      <c r="AM520" s="138">
        <f>IF(AM515&lt;AM519,AM517,AM518)</f>
        <v>196.62874917456739</v>
      </c>
      <c r="AN520" s="133"/>
      <c r="AO520" s="155"/>
      <c r="AP520" s="138" t="e">
        <f>IF(AP515&lt;AP519,AP517,AP518)</f>
        <v>#NUM!</v>
      </c>
      <c r="AQ520" s="133"/>
      <c r="AR520" s="155"/>
      <c r="AS520" s="138" t="e">
        <f>IF(AS515&lt;AS519,AS517,AS518)</f>
        <v>#NUM!</v>
      </c>
      <c r="AT520" s="133"/>
      <c r="AU520" s="155"/>
    </row>
    <row r="521" spans="13:47" ht="13" x14ac:dyDescent="0.3">
      <c r="M521" s="28"/>
      <c r="N521" s="28"/>
      <c r="O521" s="9" t="s">
        <v>194</v>
      </c>
      <c r="P521" s="1"/>
      <c r="Q521" s="1"/>
      <c r="R521" s="135"/>
      <c r="S521" s="132">
        <f>IF(R514&lt;=0,W_max,ABS(R$23-R520))</f>
        <v>1.9029286739601694</v>
      </c>
      <c r="T521" s="151">
        <f>R509</f>
        <v>22.449740566652082</v>
      </c>
      <c r="U521" s="135"/>
      <c r="V521" s="132">
        <f>IF(U514&lt;=0,W_max,ABS(U$23-U520))</f>
        <v>2.1756602053398706</v>
      </c>
      <c r="W521" s="151">
        <f>U509</f>
        <v>651.57485306861474</v>
      </c>
      <c r="X521" s="135"/>
      <c r="Y521" s="132">
        <f>IF(X514&lt;=0,W_max,ABS(X$23-X520))</f>
        <v>2.8922689215559227</v>
      </c>
      <c r="Z521" s="151">
        <f>X509</f>
        <v>1611.4221499551254</v>
      </c>
      <c r="AA521" s="135"/>
      <c r="AB521" s="132">
        <f>IF(AA514&lt;=0,W_max,ABS(AA$23-AA520))</f>
        <v>2.7249093505527391</v>
      </c>
      <c r="AC521" s="151">
        <f>AA509</f>
        <v>3138.639039999845</v>
      </c>
      <c r="AD521" s="135"/>
      <c r="AE521" s="132">
        <f>IF(AD514&lt;=0,W_max,ABS(AD$23-AD520))</f>
        <v>0.11940346400340829</v>
      </c>
      <c r="AF521" s="151">
        <f>AD509</f>
        <v>5161.9056424652827</v>
      </c>
      <c r="AG521" s="135"/>
      <c r="AH521" s="132">
        <f>IF(AG514&lt;=0,W_max,ABS(AG$23-AG520))</f>
        <v>6.728680619428971</v>
      </c>
      <c r="AI521" s="151">
        <f>AG509</f>
        <v>7239.9700589006643</v>
      </c>
      <c r="AJ521" s="135"/>
      <c r="AK521" s="132">
        <f>IF(AJ514&lt;=0,W_max,ABS(AJ$23-AJ520))</f>
        <v>27.250230411025342</v>
      </c>
      <c r="AL521" s="151">
        <f>AJ509</f>
        <v>9192.8408381198205</v>
      </c>
      <c r="AM521" s="135"/>
      <c r="AN521" s="132">
        <f>IF(AM514&lt;=0,W_max,ABS(AM$23-AM520))</f>
        <v>124.22874917456738</v>
      </c>
      <c r="AO521" s="151">
        <f>AM509</f>
        <v>10779.328852961778</v>
      </c>
      <c r="AP521" s="135"/>
      <c r="AQ521" s="132">
        <f>IF(AP514&lt;=0,W_max,ABS(AP$23-AP520))</f>
        <v>7174</v>
      </c>
      <c r="AR521" s="151">
        <f>AP509</f>
        <v>12026.15599954561</v>
      </c>
      <c r="AS521" s="135"/>
      <c r="AT521" s="132">
        <f>IF(AS514&lt;=0,W_max,ABS(AS$23-AS520))</f>
        <v>7174</v>
      </c>
      <c r="AU521" s="151">
        <f>AS509</f>
        <v>13417.201580752229</v>
      </c>
    </row>
    <row r="522" spans="13:47" ht="13" x14ac:dyDescent="0.25">
      <c r="M522" s="12"/>
      <c r="N522" s="12"/>
      <c r="O522" s="2"/>
      <c r="P522" s="85"/>
      <c r="Q522" s="2"/>
      <c r="R522" s="18"/>
      <c r="S522" s="150"/>
      <c r="T522" s="152"/>
      <c r="U522" s="157"/>
      <c r="V522" s="1"/>
      <c r="W522" s="147"/>
      <c r="X522" s="157"/>
      <c r="Y522" s="1"/>
      <c r="Z522" s="147"/>
      <c r="AA522" s="157"/>
      <c r="AB522" s="1"/>
      <c r="AC522" s="147"/>
      <c r="AD522" s="157"/>
      <c r="AE522" s="1"/>
      <c r="AF522" s="147"/>
      <c r="AG522" s="157"/>
      <c r="AH522" s="1"/>
      <c r="AI522" s="147"/>
      <c r="AJ522" s="157"/>
      <c r="AK522" s="1"/>
      <c r="AL522" s="147"/>
      <c r="AM522" s="157"/>
      <c r="AN522" s="1"/>
      <c r="AO522" s="147"/>
      <c r="AP522" s="157"/>
      <c r="AQ522" s="1"/>
      <c r="AR522" s="147"/>
      <c r="AS522" s="157"/>
      <c r="AT522" s="1"/>
      <c r="AU522" s="147"/>
    </row>
    <row r="523" spans="13:47" ht="14" x14ac:dyDescent="0.3">
      <c r="M523" s="23"/>
      <c r="N523" s="23"/>
      <c r="O523" s="23" t="s">
        <v>238</v>
      </c>
      <c r="P523" s="20"/>
      <c r="Q523" s="20"/>
      <c r="R523" s="181">
        <f>R509*1.02</f>
        <v>22.898735377985123</v>
      </c>
      <c r="S523" s="128" t="s">
        <v>185</v>
      </c>
      <c r="T523" s="153" t="s">
        <v>186</v>
      </c>
      <c r="U523" s="143">
        <f>U509*1.01</f>
        <v>658.09060159930095</v>
      </c>
      <c r="V523" s="128" t="s">
        <v>185</v>
      </c>
      <c r="W523" s="153" t="s">
        <v>186</v>
      </c>
      <c r="X523" s="143">
        <f>X509*1.01</f>
        <v>1627.5363714546768</v>
      </c>
      <c r="Y523" s="128" t="s">
        <v>185</v>
      </c>
      <c r="Z523" s="153" t="s">
        <v>186</v>
      </c>
      <c r="AA523" s="143">
        <f>AA509*1.01</f>
        <v>3170.0254303998436</v>
      </c>
      <c r="AB523" s="128" t="s">
        <v>185</v>
      </c>
      <c r="AC523" s="153" t="s">
        <v>186</v>
      </c>
      <c r="AD523" s="143">
        <f>AD509*1.01</f>
        <v>5213.5246988899353</v>
      </c>
      <c r="AE523" s="128" t="s">
        <v>185</v>
      </c>
      <c r="AF523" s="153" t="s">
        <v>186</v>
      </c>
      <c r="AG523" s="143">
        <f>AG509*1.01</f>
        <v>7312.3697594896712</v>
      </c>
      <c r="AH523" s="128" t="s">
        <v>185</v>
      </c>
      <c r="AI523" s="153" t="s">
        <v>186</v>
      </c>
      <c r="AJ523" s="143">
        <f>AJ509*1.01</f>
        <v>9284.7692465010186</v>
      </c>
      <c r="AK523" s="128" t="s">
        <v>185</v>
      </c>
      <c r="AL523" s="153" t="s">
        <v>186</v>
      </c>
      <c r="AM523" s="143">
        <f>AM509*1.01</f>
        <v>10887.122141491396</v>
      </c>
      <c r="AN523" s="128" t="s">
        <v>185</v>
      </c>
      <c r="AO523" s="153" t="s">
        <v>186</v>
      </c>
      <c r="AP523" s="143">
        <f>AP509*1.01</f>
        <v>12146.417559541067</v>
      </c>
      <c r="AQ523" s="128" t="s">
        <v>185</v>
      </c>
      <c r="AR523" s="153" t="s">
        <v>186</v>
      </c>
      <c r="AS523" s="143">
        <f>AS509*1.01</f>
        <v>13551.373596559752</v>
      </c>
      <c r="AT523" s="128" t="s">
        <v>185</v>
      </c>
      <c r="AU523" s="153" t="s">
        <v>186</v>
      </c>
    </row>
    <row r="524" spans="13:47" ht="14" x14ac:dyDescent="0.3">
      <c r="M524" s="12"/>
      <c r="N524" s="12"/>
      <c r="O524" s="20"/>
      <c r="P524" s="20"/>
      <c r="Q524" s="23"/>
      <c r="R524" s="139"/>
      <c r="S524" s="130" t="s">
        <v>228</v>
      </c>
      <c r="T524" s="154" t="s">
        <v>187</v>
      </c>
      <c r="U524" s="144"/>
      <c r="V524" s="130" t="s">
        <v>228</v>
      </c>
      <c r="W524" s="154" t="s">
        <v>187</v>
      </c>
      <c r="X524" s="144"/>
      <c r="Y524" s="130" t="s">
        <v>228</v>
      </c>
      <c r="Z524" s="154" t="s">
        <v>187</v>
      </c>
      <c r="AA524" s="144"/>
      <c r="AB524" s="130" t="s">
        <v>228</v>
      </c>
      <c r="AC524" s="154" t="s">
        <v>187</v>
      </c>
      <c r="AD524" s="144"/>
      <c r="AE524" s="130" t="s">
        <v>228</v>
      </c>
      <c r="AF524" s="154" t="s">
        <v>187</v>
      </c>
      <c r="AG524" s="144"/>
      <c r="AH524" s="130" t="s">
        <v>228</v>
      </c>
      <c r="AI524" s="154" t="s">
        <v>187</v>
      </c>
      <c r="AJ524" s="144"/>
      <c r="AK524" s="130" t="s">
        <v>228</v>
      </c>
      <c r="AL524" s="154" t="s">
        <v>187</v>
      </c>
      <c r="AM524" s="144"/>
      <c r="AN524" s="130" t="s">
        <v>228</v>
      </c>
      <c r="AO524" s="154" t="s">
        <v>187</v>
      </c>
      <c r="AP524" s="144"/>
      <c r="AQ524" s="130" t="s">
        <v>228</v>
      </c>
      <c r="AR524" s="154" t="s">
        <v>187</v>
      </c>
      <c r="AS524" s="144"/>
      <c r="AT524" s="130" t="s">
        <v>228</v>
      </c>
      <c r="AU524" s="154" t="s">
        <v>187</v>
      </c>
    </row>
    <row r="525" spans="13:47" x14ac:dyDescent="0.25">
      <c r="M525" s="20"/>
      <c r="N525" s="20"/>
      <c r="O525" s="7" t="s">
        <v>188</v>
      </c>
      <c r="P525" s="7"/>
      <c r="Q525" s="7"/>
      <c r="R525" s="181">
        <f>P_1_minW-(R523^2*R_up)+dpup_minQ</f>
        <v>100.52257764512757</v>
      </c>
      <c r="S525" s="132"/>
      <c r="T525" s="145"/>
      <c r="U525" s="138">
        <f>P_1_minW-(U523^2*R_up)+dpup_minQ</f>
        <v>100.35008966861183</v>
      </c>
      <c r="V525" s="132"/>
      <c r="W525" s="145"/>
      <c r="X525" s="138">
        <f>P_1_minW-(X523^2*R_up)+dpup_minQ</f>
        <v>99.466516620400185</v>
      </c>
      <c r="Y525" s="132"/>
      <c r="Z525" s="145"/>
      <c r="AA525" s="138">
        <f>P_1_minW-(AA523^2*R_up)+dpup_minQ</f>
        <v>96.51560462557282</v>
      </c>
      <c r="AB525" s="132"/>
      <c r="AC525" s="145"/>
      <c r="AD525" s="138">
        <f>P_1_minW-(AD523^2*R_up)+dpup_minQ</f>
        <v>89.684105145467072</v>
      </c>
      <c r="AE525" s="132"/>
      <c r="AF525" s="145"/>
      <c r="AG525" s="138">
        <f>P_1_minW-(AG523^2*R_up)+dpup_minQ</f>
        <v>79.200691668555692</v>
      </c>
      <c r="AH525" s="132"/>
      <c r="AI525" s="145"/>
      <c r="AJ525" s="138">
        <f>P_1_minW-(AJ523^2*R_up)+dpup_minQ</f>
        <v>66.146749036996695</v>
      </c>
      <c r="AK525" s="132"/>
      <c r="AL525" s="145"/>
      <c r="AM525" s="138">
        <f>P_1_minW-(AM523^2*R_up)+dpup_minQ</f>
        <v>53.257774136649338</v>
      </c>
      <c r="AN525" s="132"/>
      <c r="AO525" s="145"/>
      <c r="AP525" s="138">
        <f>P_1_minW-(AP523^2*R_up)+dpup_minQ</f>
        <v>41.691275942083287</v>
      </c>
      <c r="AQ525" s="132"/>
      <c r="AR525" s="145"/>
      <c r="AS525" s="138">
        <f>P_1_minW-(AS523^2*R_up)+dpup_minQ</f>
        <v>27.294272197526524</v>
      </c>
      <c r="AT525" s="132"/>
      <c r="AU525" s="145"/>
    </row>
    <row r="526" spans="13:47" x14ac:dyDescent="0.25">
      <c r="M526" s="20"/>
      <c r="N526" s="20"/>
      <c r="O526" s="7" t="s">
        <v>189</v>
      </c>
      <c r="P526" s="1"/>
      <c r="Q526" s="7"/>
      <c r="R526" s="181">
        <f>P_2_minW+(R523^2*R_dn)-dpdn_minQ</f>
        <v>50</v>
      </c>
      <c r="S526" s="132"/>
      <c r="T526" s="146"/>
      <c r="U526" s="138">
        <f>P_2_minW+(U523^2*R_dn)-dpdn_minQ</f>
        <v>50</v>
      </c>
      <c r="V526" s="132"/>
      <c r="W526" s="146"/>
      <c r="X526" s="138">
        <f>P_2_minW+(X523^2*R_dn)-dpdn_minQ</f>
        <v>50</v>
      </c>
      <c r="Y526" s="132"/>
      <c r="Z526" s="146"/>
      <c r="AA526" s="138">
        <f>P_2_minW+(AA523^2*R_dn)-dpdn_minQ</f>
        <v>50</v>
      </c>
      <c r="AB526" s="132"/>
      <c r="AC526" s="146"/>
      <c r="AD526" s="138">
        <f>P_2_minW+(AD523^2*R_dn)-dpdn_minQ</f>
        <v>50</v>
      </c>
      <c r="AE526" s="132"/>
      <c r="AF526" s="146"/>
      <c r="AG526" s="138">
        <f>P_2_minW+(AG523^2*R_dn)-dpdn_minQ</f>
        <v>50</v>
      </c>
      <c r="AH526" s="132"/>
      <c r="AI526" s="146"/>
      <c r="AJ526" s="138">
        <f>P_2_minW+(AJ523^2*R_dn)-dpdn_minQ</f>
        <v>50</v>
      </c>
      <c r="AK526" s="132"/>
      <c r="AL526" s="146"/>
      <c r="AM526" s="138">
        <f>P_2_minW+(AM523^2*R_dn)-dpdn_minQ</f>
        <v>50</v>
      </c>
      <c r="AN526" s="132"/>
      <c r="AO526" s="146"/>
      <c r="AP526" s="138">
        <f>P_2_minW+(AP523^2*R_dn)-dpdn_minQ</f>
        <v>50</v>
      </c>
      <c r="AQ526" s="132"/>
      <c r="AR526" s="146"/>
      <c r="AS526" s="138">
        <f>P_2_minW+(AS523^2*R_dn)-dpdn_minQ</f>
        <v>50</v>
      </c>
      <c r="AT526" s="132"/>
      <c r="AU526" s="146"/>
    </row>
    <row r="527" spans="13:47" x14ac:dyDescent="0.25">
      <c r="M527" s="20"/>
      <c r="N527" s="20"/>
      <c r="O527" s="7" t="s">
        <v>234</v>
      </c>
      <c r="P527" s="1"/>
      <c r="Q527" s="7"/>
      <c r="R527" s="179">
        <f>'Valve Sizing'!G$8*R525/P_1_maxW</f>
        <v>0.48490301761824312</v>
      </c>
      <c r="S527" s="132"/>
      <c r="T527" s="146"/>
      <c r="U527" s="143">
        <f>'Valve Sizing'!$G$8*U525/P_1_maxW</f>
        <v>0.48407096632912261</v>
      </c>
      <c r="V527" s="132"/>
      <c r="W527" s="146"/>
      <c r="X527" s="143">
        <f>'Valve Sizing'!$G$8*X525/P_1_maxW</f>
        <v>0.47980876725503485</v>
      </c>
      <c r="Y527" s="132"/>
      <c r="Z527" s="146"/>
      <c r="AA527" s="143">
        <f>'Valve Sizing'!$G$8*AA525/P_1_maxW</f>
        <v>0.46557409316948617</v>
      </c>
      <c r="AB527" s="132"/>
      <c r="AC527" s="146"/>
      <c r="AD527" s="143">
        <f>'Valve Sizing'!$G$8*AD525/P_1_maxW</f>
        <v>0.43262015595097203</v>
      </c>
      <c r="AE527" s="132"/>
      <c r="AF527" s="146"/>
      <c r="AG527" s="143">
        <f>'Valve Sizing'!$G$8*AG525/P_1_maxW</f>
        <v>0.38205003579508007</v>
      </c>
      <c r="AH527" s="132"/>
      <c r="AI527" s="146"/>
      <c r="AJ527" s="143">
        <f>'Valve Sizing'!$G$8*AJ525/P_1_maxW</f>
        <v>0.31908014065167589</v>
      </c>
      <c r="AK527" s="132"/>
      <c r="AL527" s="146"/>
      <c r="AM527" s="143">
        <f>'Valve Sizing'!$G$8*AM525/P_1_maxW</f>
        <v>0.25690602047294242</v>
      </c>
      <c r="AN527" s="132"/>
      <c r="AO527" s="146"/>
      <c r="AP527" s="143">
        <f>'Valve Sizing'!$G$8*AP525/P_1_maxW</f>
        <v>0.20111129247043288</v>
      </c>
      <c r="AQ527" s="132"/>
      <c r="AR527" s="146"/>
      <c r="AS527" s="143">
        <f>'Valve Sizing'!$G$8*AS525/P_1_maxW</f>
        <v>0.13166270963522039</v>
      </c>
      <c r="AT527" s="132"/>
      <c r="AU527" s="146"/>
    </row>
    <row r="528" spans="13:47" x14ac:dyDescent="0.25">
      <c r="M528" s="20"/>
      <c r="N528" s="20"/>
      <c r="O528" s="7" t="s">
        <v>190</v>
      </c>
      <c r="P528" s="1"/>
      <c r="Q528" s="7"/>
      <c r="R528" s="181">
        <f>R525-R526</f>
        <v>50.522577645127569</v>
      </c>
      <c r="S528" s="132"/>
      <c r="T528" s="146"/>
      <c r="U528" s="138">
        <f>U525-U526</f>
        <v>50.35008966861183</v>
      </c>
      <c r="V528" s="132"/>
      <c r="W528" s="146"/>
      <c r="X528" s="138">
        <f>X525-X526</f>
        <v>49.466516620400185</v>
      </c>
      <c r="Y528" s="132"/>
      <c r="Z528" s="146"/>
      <c r="AA528" s="138">
        <f>AA525-AA526</f>
        <v>46.51560462557282</v>
      </c>
      <c r="AB528" s="132"/>
      <c r="AC528" s="146"/>
      <c r="AD528" s="138">
        <f>AD525-AD526</f>
        <v>39.684105145467072</v>
      </c>
      <c r="AE528" s="132"/>
      <c r="AF528" s="146"/>
      <c r="AG528" s="138">
        <f>AG525-AG526</f>
        <v>29.200691668555692</v>
      </c>
      <c r="AH528" s="132"/>
      <c r="AI528" s="146"/>
      <c r="AJ528" s="138">
        <f>AJ525-AJ526</f>
        <v>16.146749036996695</v>
      </c>
      <c r="AK528" s="132"/>
      <c r="AL528" s="146"/>
      <c r="AM528" s="138">
        <f>AM525-AM526</f>
        <v>3.2577741366493385</v>
      </c>
      <c r="AN528" s="132"/>
      <c r="AO528" s="146"/>
      <c r="AP528" s="138">
        <f>AP525-AP526</f>
        <v>-8.308724057916713</v>
      </c>
      <c r="AQ528" s="132"/>
      <c r="AR528" s="146"/>
      <c r="AS528" s="138">
        <f>AS525-AS526</f>
        <v>-22.705727802473476</v>
      </c>
      <c r="AT528" s="132"/>
      <c r="AU528" s="146"/>
    </row>
    <row r="529" spans="13:47" ht="14.5" x14ac:dyDescent="0.35">
      <c r="M529" s="27"/>
      <c r="N529" s="27"/>
      <c r="O529" s="2" t="s">
        <v>191</v>
      </c>
      <c r="P529" s="10"/>
      <c r="Q529" s="2"/>
      <c r="R529" s="181">
        <f>R528/R525</f>
        <v>0.50259930483961723</v>
      </c>
      <c r="S529" s="132"/>
      <c r="T529" s="146"/>
      <c r="U529" s="138">
        <f>U528/U525</f>
        <v>0.50174434158339043</v>
      </c>
      <c r="V529" s="132"/>
      <c r="W529" s="146"/>
      <c r="X529" s="138">
        <f>X528/X525</f>
        <v>0.49731827655312499</v>
      </c>
      <c r="Y529" s="132"/>
      <c r="Z529" s="146"/>
      <c r="AA529" s="138">
        <f>AA528/AA525</f>
        <v>0.48194905690149947</v>
      </c>
      <c r="AB529" s="132"/>
      <c r="AC529" s="146"/>
      <c r="AD529" s="138">
        <f>AD528/AD525</f>
        <v>0.44248760782191776</v>
      </c>
      <c r="AE529" s="132"/>
      <c r="AF529" s="146"/>
      <c r="AG529" s="138">
        <f>AG528/AG525</f>
        <v>0.36869238201550919</v>
      </c>
      <c r="AH529" s="132"/>
      <c r="AI529" s="146"/>
      <c r="AJ529" s="138">
        <f>AJ528/AJ525</f>
        <v>0.24410495257999179</v>
      </c>
      <c r="AK529" s="132"/>
      <c r="AL529" s="146"/>
      <c r="AM529" s="138">
        <f>AM528/AM525</f>
        <v>6.1169926634382213E-2</v>
      </c>
      <c r="AN529" s="132"/>
      <c r="AO529" s="146"/>
      <c r="AP529" s="138">
        <f>AP528/AP525</f>
        <v>-0.19929167122299235</v>
      </c>
      <c r="AQ529" s="132"/>
      <c r="AR529" s="146"/>
      <c r="AS529" s="138">
        <f>AS528/AS525</f>
        <v>-0.83188617883466132</v>
      </c>
      <c r="AT529" s="132"/>
      <c r="AU529" s="146"/>
    </row>
    <row r="530" spans="13:47" x14ac:dyDescent="0.25">
      <c r="M530" s="27"/>
      <c r="N530" s="27"/>
      <c r="O530" s="2" t="s">
        <v>26</v>
      </c>
      <c r="P530" s="7">
        <v>12</v>
      </c>
      <c r="Q530" s="2"/>
      <c r="R530" s="181">
        <f>1-R529/(3*F_GAMMA*R$29)</f>
        <v>0.73824052268942919</v>
      </c>
      <c r="S530" s="133"/>
      <c r="T530" s="146"/>
      <c r="U530" s="138">
        <f>1-U529/(3*F_GAMMA*U$29)</f>
        <v>0.73874333223054944</v>
      </c>
      <c r="V530" s="133"/>
      <c r="W530" s="146"/>
      <c r="X530" s="138">
        <f>1-X529/(3*F_GAMMA*X$29)</f>
        <v>0.73716327751146715</v>
      </c>
      <c r="Y530" s="133"/>
      <c r="Z530" s="146"/>
      <c r="AA530" s="138">
        <f>1-AA529/(3*F_GAMMA*AA$29)</f>
        <v>0.74179355118519097</v>
      </c>
      <c r="AB530" s="133"/>
      <c r="AC530" s="146"/>
      <c r="AD530" s="138">
        <f>1-AD529/(3*F_GAMMA*AD$29)</f>
        <v>0.75643539350595335</v>
      </c>
      <c r="AE530" s="133"/>
      <c r="AF530" s="146"/>
      <c r="AG530" s="138">
        <f>1-AG529/(3*F_GAMMA*AG$29)</f>
        <v>0.78547925245483596</v>
      </c>
      <c r="AH530" s="133"/>
      <c r="AI530" s="146"/>
      <c r="AJ530" s="138">
        <f>1-AJ529/(3*F_GAMMA*AJ$29)</f>
        <v>0.84816743078611601</v>
      </c>
      <c r="AK530" s="133"/>
      <c r="AL530" s="146"/>
      <c r="AM530" s="138">
        <f>1-AM529/(3*F_GAMMA*AM$29)</f>
        <v>0.95842921962641681</v>
      </c>
      <c r="AN530" s="133"/>
      <c r="AO530" s="146"/>
      <c r="AP530" s="138">
        <f>1-AP529/(3*F_GAMMA*AP$29)</f>
        <v>1.1119245540415239</v>
      </c>
      <c r="AQ530" s="133"/>
      <c r="AR530" s="146"/>
      <c r="AS530" s="138">
        <f>1-AS529/(3*F_GAMMA*AS$29)</f>
        <v>1.7092457845086151</v>
      </c>
      <c r="AT530" s="133"/>
      <c r="AU530" s="146"/>
    </row>
    <row r="531" spans="13:47" x14ac:dyDescent="0.25">
      <c r="M531" s="27"/>
      <c r="N531" s="27"/>
      <c r="O531" s="2" t="s">
        <v>71</v>
      </c>
      <c r="P531" s="85">
        <v>5</v>
      </c>
      <c r="Q531" s="2"/>
      <c r="R531" s="179">
        <f>R523/((N_6*R$27*R530)*SQRT(R529*R525*R527))</f>
        <v>9.90127617089646E-2</v>
      </c>
      <c r="S531" s="133"/>
      <c r="T531" s="146"/>
      <c r="U531" s="143">
        <f>U523/((N_6*U$27*U530)*SQRT(U529*U525*U527))</f>
        <v>2.8526939790214452</v>
      </c>
      <c r="V531" s="133"/>
      <c r="W531" s="146"/>
      <c r="X531" s="143">
        <f>X523/((N_6*X$27*X530)*SQRT(X529*X525*X527))</f>
        <v>7.1805282090287426</v>
      </c>
      <c r="Y531" s="133"/>
      <c r="Z531" s="146"/>
      <c r="AA531" s="143">
        <f>AA523/((N_6*AA$27*AA530)*SQRT(AA529*AA525*AA527))</f>
        <v>14.633751399509494</v>
      </c>
      <c r="AB531" s="133"/>
      <c r="AC531" s="146"/>
      <c r="AD531" s="143">
        <f>AD523/((N_6*AD$27*AD530)*SQRT(AD529*AD525*AD527))</f>
        <v>26.823307113049953</v>
      </c>
      <c r="AE531" s="133"/>
      <c r="AF531" s="146"/>
      <c r="AG531" s="143">
        <f>AG523/((N_6*AG$27*AG530)*SQRT(AG529*AG525*AG527))</f>
        <v>45.914710953481361</v>
      </c>
      <c r="AH531" s="133"/>
      <c r="AI531" s="146"/>
      <c r="AJ531" s="143">
        <f>AJ523/((N_6*AJ$27*AJ530)*SQRT(AJ529*AJ525*AJ527))</f>
        <v>82.175391947654461</v>
      </c>
      <c r="AK531" s="133"/>
      <c r="AL531" s="146"/>
      <c r="AM531" s="143">
        <f>AM523/((N_6*AM$27*AM530)*SQRT(AM529*AM525*AM527))</f>
        <v>224.56101529902003</v>
      </c>
      <c r="AN531" s="133"/>
      <c r="AO531" s="146"/>
      <c r="AP531" s="143" t="e">
        <f>AP523/((N_6*AP$27*AP530)*SQRT(AP529*AP525*AP527))</f>
        <v>#NUM!</v>
      </c>
      <c r="AQ531" s="133"/>
      <c r="AR531" s="146"/>
      <c r="AS531" s="143" t="e">
        <f>AS523/((N_6*AS$27*AS530)*SQRT(AS529*AS525*AS527))</f>
        <v>#NUM!</v>
      </c>
      <c r="AT531" s="133"/>
      <c r="AU531" s="146"/>
    </row>
    <row r="532" spans="13:47" x14ac:dyDescent="0.25">
      <c r="M532" s="27"/>
      <c r="N532" s="27"/>
      <c r="O532" s="2" t="s">
        <v>73</v>
      </c>
      <c r="P532" s="85">
        <v>5</v>
      </c>
      <c r="Q532" s="2"/>
      <c r="R532" s="179">
        <f>R523/((N_6*R$27*0.667)*SQRT(R533*R525*R527))</f>
        <v>9.7112482318509219E-2</v>
      </c>
      <c r="S532" s="133"/>
      <c r="T532" s="155"/>
      <c r="U532" s="143">
        <f>U523/((N_6*U$27*0.667)*SQRT(U533*U525*U527))</f>
        <v>2.7971595846021824</v>
      </c>
      <c r="V532" s="133"/>
      <c r="W532" s="155"/>
      <c r="X532" s="143">
        <f>X523/((N_6*X$27*0.667)*SQRT(X533*X525*X527))</f>
        <v>7.0468966136109668</v>
      </c>
      <c r="Y532" s="133"/>
      <c r="Z532" s="155"/>
      <c r="AA532" s="143">
        <f>AA523/((N_6*AA$27*0.667)*SQRT(AA533*AA525*AA527))</f>
        <v>14.323760875146512</v>
      </c>
      <c r="AB532" s="133"/>
      <c r="AC532" s="155"/>
      <c r="AD532" s="143">
        <f>AD523/((N_6*AD$27*0.667)*SQRT(AD533*AD525*AD527))</f>
        <v>26.003155096080178</v>
      </c>
      <c r="AE532" s="133"/>
      <c r="AF532" s="155"/>
      <c r="AG532" s="143">
        <f>AG523/((N_6*AG$27*0.667)*SQRT(AG533*AG525*AG527))</f>
        <v>43.376650886153193</v>
      </c>
      <c r="AH532" s="133"/>
      <c r="AI532" s="155"/>
      <c r="AJ532" s="143">
        <f>AJ523/((N_6*AJ$27*0.667)*SQRT(AJ533*AJ525*AJ527))</f>
        <v>70.524601338516263</v>
      </c>
      <c r="AK532" s="133"/>
      <c r="AL532" s="155"/>
      <c r="AM532" s="143">
        <f>AM523/((N_6*AM$27*0.667)*SQRT(AM533*AM525*AM527))</f>
        <v>113.9523512895901</v>
      </c>
      <c r="AN532" s="133"/>
      <c r="AO532" s="155"/>
      <c r="AP532" s="143">
        <f>AP523/((N_6*AP$27*0.667)*SQRT(AP533*AP525*AP527))</f>
        <v>167.70397361714356</v>
      </c>
      <c r="AQ532" s="133"/>
      <c r="AR532" s="155"/>
      <c r="AS532" s="143">
        <f>AS523/((N_6*AS$27*0.667)*SQRT(AS533*AS525*AS527))</f>
        <v>462.68760684303669</v>
      </c>
      <c r="AT532" s="133"/>
      <c r="AU532" s="155"/>
    </row>
    <row r="533" spans="13:47" ht="15.5" x14ac:dyDescent="0.4">
      <c r="M533" s="27"/>
      <c r="N533" s="27"/>
      <c r="O533" s="2" t="s">
        <v>192</v>
      </c>
      <c r="P533" s="85">
        <v>10</v>
      </c>
      <c r="Q533" s="2"/>
      <c r="R533" s="181">
        <f>F_GAMMA*R$29</f>
        <v>0.64002688015162901</v>
      </c>
      <c r="S533" s="133"/>
      <c r="T533" s="155"/>
      <c r="U533" s="138">
        <f>F_GAMMA*U$29</f>
        <v>0.64016782916606918</v>
      </c>
      <c r="V533" s="133"/>
      <c r="W533" s="155"/>
      <c r="X533" s="138">
        <f>F_GAMMA*X$29</f>
        <v>0.6307062319203669</v>
      </c>
      <c r="Y533" s="133"/>
      <c r="Z533" s="155"/>
      <c r="AA533" s="138">
        <f>F_GAMMA*AA$29</f>
        <v>0.62217534213893466</v>
      </c>
      <c r="AB533" s="133"/>
      <c r="AC533" s="155"/>
      <c r="AD533" s="138">
        <f>F_GAMMA*AD$29</f>
        <v>0.60557184969146072</v>
      </c>
      <c r="AE533" s="133"/>
      <c r="AF533" s="155"/>
      <c r="AG533" s="138">
        <f>F_GAMMA*AG$29</f>
        <v>0.57289312142622573</v>
      </c>
      <c r="AH533" s="133"/>
      <c r="AI533" s="155"/>
      <c r="AJ533" s="138">
        <f>F_GAMMA*AJ$29</f>
        <v>0.53590819116049981</v>
      </c>
      <c r="AK533" s="133"/>
      <c r="AL533" s="155"/>
      <c r="AM533" s="138">
        <f>F_GAMMA*AM$29</f>
        <v>0.49048815926850342</v>
      </c>
      <c r="AN533" s="133"/>
      <c r="AO533" s="155"/>
      <c r="AP533" s="138">
        <f>F_GAMMA*AP$29</f>
        <v>0.59352979016280105</v>
      </c>
      <c r="AQ533" s="133"/>
      <c r="AR533" s="155"/>
      <c r="AS533" s="138">
        <f>F_GAMMA*AS$29</f>
        <v>0.39097221161068291</v>
      </c>
      <c r="AT533" s="133"/>
      <c r="AU533" s="155"/>
    </row>
    <row r="534" spans="13:47" x14ac:dyDescent="0.25">
      <c r="M534" s="27"/>
      <c r="N534" s="27"/>
      <c r="O534" s="2" t="s">
        <v>193</v>
      </c>
      <c r="P534" s="134"/>
      <c r="Q534" s="2"/>
      <c r="R534" s="181">
        <f>IF(R529&lt;R533,R531,R532)</f>
        <v>9.90127617089646E-2</v>
      </c>
      <c r="S534" s="133"/>
      <c r="T534" s="155"/>
      <c r="U534" s="138">
        <f>IF(U529&lt;U533,U531,U532)</f>
        <v>2.8526939790214452</v>
      </c>
      <c r="V534" s="133"/>
      <c r="W534" s="155"/>
      <c r="X534" s="138">
        <f>IF(X529&lt;X533,X531,X532)</f>
        <v>7.1805282090287426</v>
      </c>
      <c r="Y534" s="133"/>
      <c r="Z534" s="155"/>
      <c r="AA534" s="138">
        <f>IF(AA529&lt;AA533,AA531,AA532)</f>
        <v>14.633751399509494</v>
      </c>
      <c r="AB534" s="133"/>
      <c r="AC534" s="155"/>
      <c r="AD534" s="138">
        <f>IF(AD529&lt;AD533,AD531,AD532)</f>
        <v>26.823307113049953</v>
      </c>
      <c r="AE534" s="133"/>
      <c r="AF534" s="155"/>
      <c r="AG534" s="138">
        <f>IF(AG529&lt;AG533,AG531,AG532)</f>
        <v>45.914710953481361</v>
      </c>
      <c r="AH534" s="133"/>
      <c r="AI534" s="155"/>
      <c r="AJ534" s="138">
        <f>IF(AJ529&lt;AJ533,AJ531,AJ532)</f>
        <v>82.175391947654461</v>
      </c>
      <c r="AK534" s="133"/>
      <c r="AL534" s="155"/>
      <c r="AM534" s="138">
        <f>IF(AM529&lt;AM533,AM531,AM532)</f>
        <v>224.56101529902003</v>
      </c>
      <c r="AN534" s="133"/>
      <c r="AO534" s="155"/>
      <c r="AP534" s="138" t="e">
        <f>IF(AP529&lt;AP533,AP531,AP532)</f>
        <v>#NUM!</v>
      </c>
      <c r="AQ534" s="133"/>
      <c r="AR534" s="155"/>
      <c r="AS534" s="138" t="e">
        <f>IF(AS529&lt;AS533,AS531,AS532)</f>
        <v>#NUM!</v>
      </c>
      <c r="AT534" s="133"/>
      <c r="AU534" s="155"/>
    </row>
    <row r="535" spans="13:47" ht="13" x14ac:dyDescent="0.3">
      <c r="M535" s="28"/>
      <c r="N535" s="28"/>
      <c r="O535" s="9" t="s">
        <v>194</v>
      </c>
      <c r="P535" s="1"/>
      <c r="Q535" s="1"/>
      <c r="R535" s="135"/>
      <c r="S535" s="132">
        <f>IF(R528&lt;=0,W_max,ABS(R$23-R534))</f>
        <v>1.9009872382910353</v>
      </c>
      <c r="T535" s="151">
        <f>R523</f>
        <v>22.898735377985123</v>
      </c>
      <c r="U535" s="135"/>
      <c r="V535" s="132">
        <f>IF(U528&lt;=0,W_max,ABS(U$23-U534))</f>
        <v>2.1473060209785548</v>
      </c>
      <c r="W535" s="151">
        <f>U523</f>
        <v>658.09060159930095</v>
      </c>
      <c r="X535" s="135"/>
      <c r="Y535" s="132">
        <f>IF(X528&lt;=0,W_max,ABS(X$23-X534))</f>
        <v>2.8194717909712574</v>
      </c>
      <c r="Z535" s="151">
        <f>X523</f>
        <v>1627.5363714546768</v>
      </c>
      <c r="AA535" s="135"/>
      <c r="AB535" s="132">
        <f>IF(AA528&lt;=0,W_max,ABS(AA$23-AA534))</f>
        <v>2.5662486004905052</v>
      </c>
      <c r="AC535" s="151">
        <f>AA523</f>
        <v>3170.0254303998436</v>
      </c>
      <c r="AD535" s="135"/>
      <c r="AE535" s="132">
        <f>IF(AD528&lt;=0,W_max,ABS(AD$23-AD534))</f>
        <v>0.22330711304995177</v>
      </c>
      <c r="AF535" s="151">
        <f>AD523</f>
        <v>5213.5246988899353</v>
      </c>
      <c r="AG535" s="135"/>
      <c r="AH535" s="132">
        <f>IF(AG528&lt;=0,W_max,ABS(AG$23-AG534))</f>
        <v>7.5147109534813623</v>
      </c>
      <c r="AI535" s="151">
        <f>AG523</f>
        <v>7312.3697594896712</v>
      </c>
      <c r="AJ535" s="135"/>
      <c r="AK535" s="132">
        <f>IF(AJ528&lt;=0,W_max,ABS(AJ$23-AJ534))</f>
        <v>29.675391947654461</v>
      </c>
      <c r="AL535" s="151">
        <f>AJ523</f>
        <v>9284.7692465010186</v>
      </c>
      <c r="AM535" s="135"/>
      <c r="AN535" s="132">
        <f>IF(AM528&lt;=0,W_max,ABS(AM$23-AM534))</f>
        <v>152.16101529902002</v>
      </c>
      <c r="AO535" s="151">
        <f>AM523</f>
        <v>10887.122141491396</v>
      </c>
      <c r="AP535" s="135"/>
      <c r="AQ535" s="132">
        <f>IF(AP528&lt;=0,W_max,ABS(AP$23-AP534))</f>
        <v>7174</v>
      </c>
      <c r="AR535" s="151">
        <f>AP523</f>
        <v>12146.417559541067</v>
      </c>
      <c r="AS535" s="135"/>
      <c r="AT535" s="132">
        <f>IF(AS528&lt;=0,W_max,ABS(AS$23-AS534))</f>
        <v>7174</v>
      </c>
      <c r="AU535" s="151">
        <f>AS523</f>
        <v>13551.373596559752</v>
      </c>
    </row>
    <row r="536" spans="13:47" ht="13" x14ac:dyDescent="0.25">
      <c r="M536" s="12"/>
      <c r="N536" s="12"/>
      <c r="O536" s="2"/>
      <c r="P536" s="85"/>
      <c r="Q536" s="2"/>
      <c r="R536" s="18"/>
      <c r="S536" s="150"/>
      <c r="T536" s="148"/>
      <c r="U536" s="157"/>
      <c r="V536" s="1"/>
      <c r="W536" s="147"/>
      <c r="X536" s="157"/>
      <c r="Y536" s="1"/>
      <c r="Z536" s="147"/>
      <c r="AA536" s="157"/>
      <c r="AB536" s="1"/>
      <c r="AC536" s="147"/>
      <c r="AD536" s="157"/>
      <c r="AE536" s="1"/>
      <c r="AF536" s="147"/>
      <c r="AG536" s="157"/>
      <c r="AH536" s="1"/>
      <c r="AI536" s="147"/>
      <c r="AJ536" s="157"/>
      <c r="AK536" s="1"/>
      <c r="AL536" s="147"/>
      <c r="AM536" s="157"/>
      <c r="AN536" s="1"/>
      <c r="AO536" s="147"/>
      <c r="AP536" s="157"/>
      <c r="AQ536" s="1"/>
      <c r="AR536" s="147"/>
      <c r="AS536" s="157"/>
      <c r="AT536" s="1"/>
      <c r="AU536" s="147"/>
    </row>
    <row r="537" spans="13:47" ht="14" x14ac:dyDescent="0.3">
      <c r="M537" s="23"/>
      <c r="N537" s="23"/>
      <c r="O537" s="23" t="s">
        <v>238</v>
      </c>
      <c r="P537" s="20"/>
      <c r="Q537" s="20"/>
      <c r="R537" s="181">
        <f>R523*1.02</f>
        <v>23.356710085544826</v>
      </c>
      <c r="S537" s="128" t="s">
        <v>185</v>
      </c>
      <c r="T537" s="149" t="s">
        <v>186</v>
      </c>
      <c r="U537" s="143">
        <f>U523*1.01</f>
        <v>664.67150761529399</v>
      </c>
      <c r="V537" s="128" t="s">
        <v>185</v>
      </c>
      <c r="W537" s="153" t="s">
        <v>186</v>
      </c>
      <c r="X537" s="143">
        <f>X523*1.01</f>
        <v>1643.8117351692235</v>
      </c>
      <c r="Y537" s="128" t="s">
        <v>185</v>
      </c>
      <c r="Z537" s="153" t="s">
        <v>186</v>
      </c>
      <c r="AA537" s="143">
        <f>AA523*1.01</f>
        <v>3201.725684703842</v>
      </c>
      <c r="AB537" s="128" t="s">
        <v>185</v>
      </c>
      <c r="AC537" s="153" t="s">
        <v>186</v>
      </c>
      <c r="AD537" s="143">
        <f>AD523*1.01</f>
        <v>5265.6599458788351</v>
      </c>
      <c r="AE537" s="128" t="s">
        <v>185</v>
      </c>
      <c r="AF537" s="153" t="s">
        <v>186</v>
      </c>
      <c r="AG537" s="143">
        <f>AG523*1.01</f>
        <v>7385.493457084568</v>
      </c>
      <c r="AH537" s="128" t="s">
        <v>185</v>
      </c>
      <c r="AI537" s="153" t="s">
        <v>186</v>
      </c>
      <c r="AJ537" s="143">
        <f>AJ523*1.01</f>
        <v>9377.6169389660281</v>
      </c>
      <c r="AK537" s="128" t="s">
        <v>185</v>
      </c>
      <c r="AL537" s="153" t="s">
        <v>186</v>
      </c>
      <c r="AM537" s="143">
        <f>AM523*1.01</f>
        <v>10995.993362906311</v>
      </c>
      <c r="AN537" s="128" t="s">
        <v>185</v>
      </c>
      <c r="AO537" s="153" t="s">
        <v>186</v>
      </c>
      <c r="AP537" s="143">
        <f>AP523*1.01</f>
        <v>12267.881735136478</v>
      </c>
      <c r="AQ537" s="128" t="s">
        <v>185</v>
      </c>
      <c r="AR537" s="153" t="s">
        <v>186</v>
      </c>
      <c r="AS537" s="143">
        <f>AS523*1.01</f>
        <v>13686.88733252535</v>
      </c>
      <c r="AT537" s="128" t="s">
        <v>185</v>
      </c>
      <c r="AU537" s="153" t="s">
        <v>186</v>
      </c>
    </row>
    <row r="538" spans="13:47" ht="14" x14ac:dyDescent="0.3">
      <c r="M538" s="12"/>
      <c r="N538" s="12"/>
      <c r="O538" s="20"/>
      <c r="P538" s="20"/>
      <c r="Q538" s="23"/>
      <c r="R538" s="139"/>
      <c r="S538" s="130" t="s">
        <v>228</v>
      </c>
      <c r="T538" s="131" t="s">
        <v>187</v>
      </c>
      <c r="U538" s="144"/>
      <c r="V538" s="130" t="s">
        <v>228</v>
      </c>
      <c r="W538" s="154" t="s">
        <v>187</v>
      </c>
      <c r="X538" s="144"/>
      <c r="Y538" s="130" t="s">
        <v>228</v>
      </c>
      <c r="Z538" s="154" t="s">
        <v>187</v>
      </c>
      <c r="AA538" s="144"/>
      <c r="AB538" s="130" t="s">
        <v>228</v>
      </c>
      <c r="AC538" s="154" t="s">
        <v>187</v>
      </c>
      <c r="AD538" s="144"/>
      <c r="AE538" s="130" t="s">
        <v>228</v>
      </c>
      <c r="AF538" s="154" t="s">
        <v>187</v>
      </c>
      <c r="AG538" s="144"/>
      <c r="AH538" s="130" t="s">
        <v>228</v>
      </c>
      <c r="AI538" s="154" t="s">
        <v>187</v>
      </c>
      <c r="AJ538" s="144"/>
      <c r="AK538" s="130" t="s">
        <v>228</v>
      </c>
      <c r="AL538" s="154" t="s">
        <v>187</v>
      </c>
      <c r="AM538" s="144"/>
      <c r="AN538" s="130" t="s">
        <v>228</v>
      </c>
      <c r="AO538" s="154" t="s">
        <v>187</v>
      </c>
      <c r="AP538" s="144"/>
      <c r="AQ538" s="130" t="s">
        <v>228</v>
      </c>
      <c r="AR538" s="154" t="s">
        <v>187</v>
      </c>
      <c r="AS538" s="144"/>
      <c r="AT538" s="130" t="s">
        <v>228</v>
      </c>
      <c r="AU538" s="154" t="s">
        <v>187</v>
      </c>
    </row>
    <row r="539" spans="13:47" x14ac:dyDescent="0.25">
      <c r="M539" s="20"/>
      <c r="N539" s="20"/>
      <c r="O539" s="7" t="s">
        <v>188</v>
      </c>
      <c r="P539" s="7"/>
      <c r="Q539" s="7"/>
      <c r="R539" s="181">
        <f>P_1_minW-(R537^2*R_up)+dpup_minQ</f>
        <v>100.52256919782695</v>
      </c>
      <c r="S539" s="132"/>
      <c r="T539" s="145"/>
      <c r="U539" s="138">
        <f>P_1_minW-(U537^2*R_up)+dpup_minQ</f>
        <v>100.34661845754273</v>
      </c>
      <c r="V539" s="132"/>
      <c r="W539" s="145"/>
      <c r="X539" s="138">
        <f>P_1_minW-(X537^2*R_up)+dpup_minQ</f>
        <v>99.445285591062017</v>
      </c>
      <c r="Y539" s="132"/>
      <c r="Z539" s="145"/>
      <c r="AA539" s="138">
        <f>P_1_minW-(AA537^2*R_up)+dpup_minQ</f>
        <v>96.435060265138631</v>
      </c>
      <c r="AB539" s="132"/>
      <c r="AC539" s="145"/>
      <c r="AD539" s="138">
        <f>P_1_minW-(AD537^2*R_up)+dpup_minQ</f>
        <v>89.466247645482738</v>
      </c>
      <c r="AE539" s="132"/>
      <c r="AF539" s="145"/>
      <c r="AG539" s="138">
        <f>P_1_minW-(AG537^2*R_up)+dpup_minQ</f>
        <v>78.772117557685448</v>
      </c>
      <c r="AH539" s="132"/>
      <c r="AI539" s="145"/>
      <c r="AJ539" s="138">
        <f>P_1_minW-(AJ537^2*R_up)+dpup_minQ</f>
        <v>65.455790679232138</v>
      </c>
      <c r="AK539" s="132"/>
      <c r="AL539" s="145"/>
      <c r="AM539" s="138">
        <f>P_1_minW-(AM537^2*R_up)+dpup_minQ</f>
        <v>52.307747383387778</v>
      </c>
      <c r="AN539" s="132"/>
      <c r="AO539" s="145"/>
      <c r="AP539" s="138">
        <f>P_1_minW-(AP537^2*R_up)+dpup_minQ</f>
        <v>40.508762575110943</v>
      </c>
      <c r="AQ539" s="132"/>
      <c r="AR539" s="145"/>
      <c r="AS539" s="138">
        <f>P_1_minW-(AS537^2*R_up)+dpup_minQ</f>
        <v>25.822379055288593</v>
      </c>
      <c r="AT539" s="132"/>
      <c r="AU539" s="145"/>
    </row>
    <row r="540" spans="13:47" x14ac:dyDescent="0.25">
      <c r="M540" s="20"/>
      <c r="N540" s="20"/>
      <c r="O540" s="7" t="s">
        <v>189</v>
      </c>
      <c r="P540" s="1"/>
      <c r="Q540" s="7"/>
      <c r="R540" s="181">
        <f>P_2_minW+(R537^2*R_dn)-dpdn_minQ</f>
        <v>50</v>
      </c>
      <c r="S540" s="132"/>
      <c r="T540" s="146"/>
      <c r="U540" s="138">
        <f>P_2_minW+(U537^2*R_dn)-dpdn_minQ</f>
        <v>50</v>
      </c>
      <c r="V540" s="132"/>
      <c r="W540" s="146"/>
      <c r="X540" s="138">
        <f>P_2_minW+(X537^2*R_dn)-dpdn_minQ</f>
        <v>50</v>
      </c>
      <c r="Y540" s="132"/>
      <c r="Z540" s="146"/>
      <c r="AA540" s="138">
        <f>P_2_minW+(AA537^2*R_dn)-dpdn_minQ</f>
        <v>50</v>
      </c>
      <c r="AB540" s="132"/>
      <c r="AC540" s="146"/>
      <c r="AD540" s="138">
        <f>P_2_minW+(AD537^2*R_dn)-dpdn_minQ</f>
        <v>50</v>
      </c>
      <c r="AE540" s="132"/>
      <c r="AF540" s="146"/>
      <c r="AG540" s="138">
        <f>P_2_minW+(AG537^2*R_dn)-dpdn_minQ</f>
        <v>50</v>
      </c>
      <c r="AH540" s="132"/>
      <c r="AI540" s="146"/>
      <c r="AJ540" s="138">
        <f>P_2_minW+(AJ537^2*R_dn)-dpdn_minQ</f>
        <v>50</v>
      </c>
      <c r="AK540" s="132"/>
      <c r="AL540" s="146"/>
      <c r="AM540" s="138">
        <f>P_2_minW+(AM537^2*R_dn)-dpdn_minQ</f>
        <v>50</v>
      </c>
      <c r="AN540" s="132"/>
      <c r="AO540" s="146"/>
      <c r="AP540" s="138">
        <f>P_2_minW+(AP537^2*R_dn)-dpdn_minQ</f>
        <v>50</v>
      </c>
      <c r="AQ540" s="132"/>
      <c r="AR540" s="146"/>
      <c r="AS540" s="138">
        <f>P_2_minW+(AS537^2*R_dn)-dpdn_minQ</f>
        <v>50</v>
      </c>
      <c r="AT540" s="132"/>
      <c r="AU540" s="146"/>
    </row>
    <row r="541" spans="13:47" x14ac:dyDescent="0.25">
      <c r="M541" s="20"/>
      <c r="N541" s="20"/>
      <c r="O541" s="7" t="s">
        <v>234</v>
      </c>
      <c r="P541" s="1"/>
      <c r="Q541" s="7"/>
      <c r="R541" s="179">
        <f>'Valve Sizing'!G$8*R539/P_1_maxW</f>
        <v>0.48490297686996897</v>
      </c>
      <c r="S541" s="132"/>
      <c r="T541" s="146"/>
      <c r="U541" s="143">
        <f>'Valve Sizing'!$G$8*U539/P_1_maxW</f>
        <v>0.48405422182493635</v>
      </c>
      <c r="V541" s="132"/>
      <c r="W541" s="146"/>
      <c r="X541" s="143">
        <f>'Valve Sizing'!$G$8*X539/P_1_maxW</f>
        <v>0.47970635254945931</v>
      </c>
      <c r="Y541" s="132"/>
      <c r="Z541" s="146"/>
      <c r="AA541" s="143">
        <f>'Valve Sizing'!$G$8*AA539/P_1_maxW</f>
        <v>0.46518556151479107</v>
      </c>
      <c r="AB541" s="132"/>
      <c r="AC541" s="146"/>
      <c r="AD541" s="143">
        <f>'Valve Sizing'!$G$8*AD539/P_1_maxW</f>
        <v>0.43156925015818481</v>
      </c>
      <c r="AE541" s="132"/>
      <c r="AF541" s="146"/>
      <c r="AG541" s="143">
        <f>'Valve Sizing'!$G$8*AG539/P_1_maxW</f>
        <v>0.37998267058715945</v>
      </c>
      <c r="AH541" s="132"/>
      <c r="AI541" s="146"/>
      <c r="AJ541" s="143">
        <f>'Valve Sizing'!$G$8*AJ539/P_1_maxW</f>
        <v>0.31574708055137296</v>
      </c>
      <c r="AK541" s="132"/>
      <c r="AL541" s="146"/>
      <c r="AM541" s="143">
        <f>'Valve Sizing'!$G$8*AM539/P_1_maxW</f>
        <v>0.25232326055704679</v>
      </c>
      <c r="AN541" s="132"/>
      <c r="AO541" s="146"/>
      <c r="AP541" s="143">
        <f>'Valve Sizing'!$G$8*AP539/P_1_maxW</f>
        <v>0.1954070585216868</v>
      </c>
      <c r="AQ541" s="132"/>
      <c r="AR541" s="146"/>
      <c r="AS541" s="143">
        <f>'Valve Sizing'!$G$8*AS539/P_1_maxW</f>
        <v>0.12456255917148658</v>
      </c>
      <c r="AT541" s="132"/>
      <c r="AU541" s="146"/>
    </row>
    <row r="542" spans="13:47" x14ac:dyDescent="0.25">
      <c r="M542" s="20"/>
      <c r="N542" s="20"/>
      <c r="O542" s="7" t="s">
        <v>190</v>
      </c>
      <c r="P542" s="1"/>
      <c r="Q542" s="7"/>
      <c r="R542" s="181">
        <f>R539-R540</f>
        <v>50.522569197826954</v>
      </c>
      <c r="S542" s="132"/>
      <c r="T542" s="146"/>
      <c r="U542" s="138">
        <f>U539-U540</f>
        <v>50.346618457542732</v>
      </c>
      <c r="V542" s="132"/>
      <c r="W542" s="146"/>
      <c r="X542" s="138">
        <f>X539-X540</f>
        <v>49.445285591062017</v>
      </c>
      <c r="Y542" s="132"/>
      <c r="Z542" s="146"/>
      <c r="AA542" s="138">
        <f>AA539-AA540</f>
        <v>46.435060265138631</v>
      </c>
      <c r="AB542" s="132"/>
      <c r="AC542" s="146"/>
      <c r="AD542" s="138">
        <f>AD539-AD540</f>
        <v>39.466247645482738</v>
      </c>
      <c r="AE542" s="132"/>
      <c r="AF542" s="146"/>
      <c r="AG542" s="138">
        <f>AG539-AG540</f>
        <v>28.772117557685448</v>
      </c>
      <c r="AH542" s="132"/>
      <c r="AI542" s="146"/>
      <c r="AJ542" s="138">
        <f>AJ539-AJ540</f>
        <v>15.455790679232138</v>
      </c>
      <c r="AK542" s="132"/>
      <c r="AL542" s="146"/>
      <c r="AM542" s="138">
        <f>AM539-AM540</f>
        <v>2.3077473833877775</v>
      </c>
      <c r="AN542" s="132"/>
      <c r="AO542" s="146"/>
      <c r="AP542" s="138">
        <f>AP539-AP540</f>
        <v>-9.4912374248890572</v>
      </c>
      <c r="AQ542" s="132"/>
      <c r="AR542" s="146"/>
      <c r="AS542" s="138">
        <f>AS539-AS540</f>
        <v>-24.177620944711407</v>
      </c>
      <c r="AT542" s="132"/>
      <c r="AU542" s="146"/>
    </row>
    <row r="543" spans="13:47" ht="14.5" x14ac:dyDescent="0.35">
      <c r="M543" s="27"/>
      <c r="N543" s="27"/>
      <c r="O543" s="2" t="s">
        <v>191</v>
      </c>
      <c r="P543" s="10"/>
      <c r="Q543" s="2"/>
      <c r="R543" s="181">
        <f>R542/R539</f>
        <v>0.50259926304111147</v>
      </c>
      <c r="S543" s="132"/>
      <c r="T543" s="146"/>
      <c r="U543" s="138">
        <f>U542/U539</f>
        <v>0.50172710582015967</v>
      </c>
      <c r="V543" s="132"/>
      <c r="W543" s="146"/>
      <c r="X543" s="138">
        <f>X542/X539</f>
        <v>0.4972109567304222</v>
      </c>
      <c r="Y543" s="132"/>
      <c r="Z543" s="146"/>
      <c r="AA543" s="138">
        <f>AA542/AA539</f>
        <v>0.48151637109439283</v>
      </c>
      <c r="AB543" s="132"/>
      <c r="AC543" s="146"/>
      <c r="AD543" s="138">
        <f>AD542/AD539</f>
        <v>0.44113002036109689</v>
      </c>
      <c r="AE543" s="132"/>
      <c r="AF543" s="146"/>
      <c r="AG543" s="138">
        <f>AG542/AG539</f>
        <v>0.36525763747071288</v>
      </c>
      <c r="AH543" s="132"/>
      <c r="AI543" s="146"/>
      <c r="AJ543" s="138">
        <f>AJ542/AJ539</f>
        <v>0.23612564326009985</v>
      </c>
      <c r="AK543" s="132"/>
      <c r="AL543" s="146"/>
      <c r="AM543" s="138">
        <f>AM542/AM539</f>
        <v>4.4118653523219517E-2</v>
      </c>
      <c r="AN543" s="132"/>
      <c r="AO543" s="146"/>
      <c r="AP543" s="138">
        <f>AP542/AP539</f>
        <v>-0.23430084805208501</v>
      </c>
      <c r="AQ543" s="132"/>
      <c r="AR543" s="146"/>
      <c r="AS543" s="138">
        <f>AS542/AS539</f>
        <v>-0.93630493506986423</v>
      </c>
      <c r="AT543" s="132"/>
      <c r="AU543" s="146"/>
    </row>
    <row r="544" spans="13:47" x14ac:dyDescent="0.25">
      <c r="M544" s="27"/>
      <c r="N544" s="27"/>
      <c r="O544" s="2" t="s">
        <v>26</v>
      </c>
      <c r="P544" s="7">
        <v>12</v>
      </c>
      <c r="Q544" s="2"/>
      <c r="R544" s="181">
        <f>1-R543/(3*F_GAMMA*R$29)</f>
        <v>0.73824054445857001</v>
      </c>
      <c r="S544" s="133"/>
      <c r="T544" s="146"/>
      <c r="U544" s="138">
        <f>1-U543/(3*F_GAMMA*U$29)</f>
        <v>0.73875230683712678</v>
      </c>
      <c r="V544" s="133"/>
      <c r="W544" s="146"/>
      <c r="X544" s="138">
        <f>1-X543/(3*F_GAMMA*X$29)</f>
        <v>0.73721999690383044</v>
      </c>
      <c r="Y544" s="133"/>
      <c r="Z544" s="146"/>
      <c r="AA544" s="138">
        <f>1-AA543/(3*F_GAMMA*AA$29)</f>
        <v>0.7420253646188012</v>
      </c>
      <c r="AB544" s="133"/>
      <c r="AC544" s="146"/>
      <c r="AD544" s="138">
        <f>1-AD543/(3*F_GAMMA*AD$29)</f>
        <v>0.75718266924843958</v>
      </c>
      <c r="AE544" s="133"/>
      <c r="AF544" s="146"/>
      <c r="AG544" s="138">
        <f>1-AG543/(3*F_GAMMA*AG$29)</f>
        <v>0.78747773141268262</v>
      </c>
      <c r="AH544" s="133"/>
      <c r="AI544" s="146"/>
      <c r="AJ544" s="138">
        <f>1-AJ543/(3*F_GAMMA*AJ$29)</f>
        <v>0.85313053793239346</v>
      </c>
      <c r="AK544" s="133"/>
      <c r="AL544" s="146"/>
      <c r="AM544" s="138">
        <f>1-AM543/(3*F_GAMMA*AM$29)</f>
        <v>0.97001718071440191</v>
      </c>
      <c r="AN544" s="133"/>
      <c r="AO544" s="146"/>
      <c r="AP544" s="138">
        <f>1-AP543/(3*F_GAMMA*AP$29)</f>
        <v>1.1315861208290927</v>
      </c>
      <c r="AQ544" s="133"/>
      <c r="AR544" s="146"/>
      <c r="AS544" s="138">
        <f>1-AS543/(3*F_GAMMA*AS$29)</f>
        <v>1.7982706590259374</v>
      </c>
      <c r="AT544" s="133"/>
      <c r="AU544" s="146"/>
    </row>
    <row r="545" spans="13:47" x14ac:dyDescent="0.25">
      <c r="M545" s="27"/>
      <c r="N545" s="27"/>
      <c r="O545" s="2" t="s">
        <v>71</v>
      </c>
      <c r="P545" s="85">
        <v>5</v>
      </c>
      <c r="Q545" s="2"/>
      <c r="R545" s="179">
        <f>R537/((N_6*R$27*R544)*SQRT(R543*R539*R541))</f>
        <v>0.10099302665143488</v>
      </c>
      <c r="S545" s="133"/>
      <c r="T545" s="146"/>
      <c r="U545" s="143">
        <f>U537/((N_6*U$27*U544)*SQRT(U543*U539*U541))</f>
        <v>2.8813350731531888</v>
      </c>
      <c r="V545" s="133"/>
      <c r="W545" s="146"/>
      <c r="X545" s="143">
        <f>X537/((N_6*X$27*X544)*SQRT(X543*X539*X541))</f>
        <v>7.2541064837668285</v>
      </c>
      <c r="Y545" s="133"/>
      <c r="Z545" s="146"/>
      <c r="AA545" s="143">
        <f>AA537/((N_6*AA$27*AA544)*SQRT(AA543*AA539*AA541))</f>
        <v>14.794454867607584</v>
      </c>
      <c r="AB545" s="133"/>
      <c r="AC545" s="146"/>
      <c r="AD545" s="143">
        <f>AD537/((N_6*AD$27*AD544)*SQRT(AD543*AD539*AD541))</f>
        <v>27.172423686206969</v>
      </c>
      <c r="AE545" s="133"/>
      <c r="AF545" s="146"/>
      <c r="AG545" s="143">
        <f>AG537/((N_6*AG$27*AG544)*SQRT(AG543*AG539*AG541))</f>
        <v>46.725993939356123</v>
      </c>
      <c r="AH545" s="133"/>
      <c r="AI545" s="146"/>
      <c r="AJ545" s="143">
        <f>AJ537/((N_6*AJ$27*AJ544)*SQRT(AJ543*AJ539*AJ541))</f>
        <v>84.782537637392181</v>
      </c>
      <c r="AK545" s="133"/>
      <c r="AL545" s="146"/>
      <c r="AM545" s="143">
        <f>AM537/((N_6*AM$27*AM544)*SQRT(AM543*AM539*AM541))</f>
        <v>268.66506930419939</v>
      </c>
      <c r="AN545" s="133"/>
      <c r="AO545" s="146"/>
      <c r="AP545" s="143" t="e">
        <f>AP537/((N_6*AP$27*AP544)*SQRT(AP543*AP539*AP541))</f>
        <v>#NUM!</v>
      </c>
      <c r="AQ545" s="133"/>
      <c r="AR545" s="146"/>
      <c r="AS545" s="143" t="e">
        <f>AS537/((N_6*AS$27*AS544)*SQRT(AS543*AS539*AS541))</f>
        <v>#NUM!</v>
      </c>
      <c r="AT545" s="133"/>
      <c r="AU545" s="146"/>
    </row>
    <row r="546" spans="13:47" x14ac:dyDescent="0.25">
      <c r="M546" s="27"/>
      <c r="N546" s="27"/>
      <c r="O546" s="2" t="s">
        <v>73</v>
      </c>
      <c r="P546" s="85">
        <v>5</v>
      </c>
      <c r="Q546" s="2"/>
      <c r="R546" s="179">
        <f>R537/((N_6*R$27*0.667)*SQRT(R547*R539*R541))</f>
        <v>9.9054740288831974E-2</v>
      </c>
      <c r="S546" s="133"/>
      <c r="T546" s="147"/>
      <c r="U546" s="143">
        <f>U537/((N_6*U$27*0.667)*SQRT(U547*U539*U541))</f>
        <v>2.8252289079728183</v>
      </c>
      <c r="V546" s="133"/>
      <c r="W546" s="155"/>
      <c r="X546" s="143">
        <f>X537/((N_6*X$27*0.667)*SQRT(X547*X539*X541))</f>
        <v>7.1188850987120631</v>
      </c>
      <c r="Y546" s="133"/>
      <c r="Z546" s="155"/>
      <c r="AA546" s="143">
        <f>AA537/((N_6*AA$27*0.667)*SQRT(AA547*AA539*AA541))</f>
        <v>14.479081590779273</v>
      </c>
      <c r="AB546" s="133"/>
      <c r="AC546" s="155"/>
      <c r="AD546" s="143">
        <f>AD537/((N_6*AD$27*0.667)*SQRT(AD547*AD539*AD541))</f>
        <v>26.327139616290552</v>
      </c>
      <c r="AE546" s="133"/>
      <c r="AF546" s="155"/>
      <c r="AG546" s="143">
        <f>AG537/((N_6*AG$27*0.667)*SQRT(AG547*AG539*AG541))</f>
        <v>44.048775982597093</v>
      </c>
      <c r="AH546" s="133"/>
      <c r="AI546" s="155"/>
      <c r="AJ546" s="143">
        <f>AJ537/((N_6*AJ$27*0.667)*SQRT(AJ547*AJ539*AJ541))</f>
        <v>71.981757272160081</v>
      </c>
      <c r="AK546" s="133"/>
      <c r="AL546" s="155"/>
      <c r="AM546" s="143">
        <f>AM537/((N_6*AM$27*0.667)*SQRT(AM547*AM539*AM541))</f>
        <v>117.18220301608666</v>
      </c>
      <c r="AN546" s="133"/>
      <c r="AO546" s="155"/>
      <c r="AP546" s="143">
        <f>AP537/((N_6*AP$27*0.667)*SQRT(AP547*AP539*AP541))</f>
        <v>174.32550683247845</v>
      </c>
      <c r="AQ546" s="133"/>
      <c r="AR546" s="155"/>
      <c r="AS546" s="143">
        <f>AS537/((N_6*AS$27*0.667)*SQRT(AS547*AS539*AS541))</f>
        <v>493.95172579265625</v>
      </c>
      <c r="AT546" s="133"/>
      <c r="AU546" s="155"/>
    </row>
    <row r="547" spans="13:47" ht="15.5" x14ac:dyDescent="0.4">
      <c r="M547" s="27"/>
      <c r="N547" s="27"/>
      <c r="O547" s="2" t="s">
        <v>192</v>
      </c>
      <c r="P547" s="85">
        <v>10</v>
      </c>
      <c r="Q547" s="2"/>
      <c r="R547" s="181">
        <f>F_GAMMA*R$29</f>
        <v>0.64002688015162901</v>
      </c>
      <c r="S547" s="133"/>
      <c r="T547" s="147"/>
      <c r="U547" s="138">
        <f>F_GAMMA*U$29</f>
        <v>0.64016782916606918</v>
      </c>
      <c r="V547" s="133"/>
      <c r="W547" s="155"/>
      <c r="X547" s="138">
        <f>F_GAMMA*X$29</f>
        <v>0.6307062319203669</v>
      </c>
      <c r="Y547" s="133"/>
      <c r="Z547" s="155"/>
      <c r="AA547" s="138">
        <f>F_GAMMA*AA$29</f>
        <v>0.62217534213893466</v>
      </c>
      <c r="AB547" s="133"/>
      <c r="AC547" s="155"/>
      <c r="AD547" s="138">
        <f>F_GAMMA*AD$29</f>
        <v>0.60557184969146072</v>
      </c>
      <c r="AE547" s="133"/>
      <c r="AF547" s="155"/>
      <c r="AG547" s="138">
        <f>F_GAMMA*AG$29</f>
        <v>0.57289312142622573</v>
      </c>
      <c r="AH547" s="133"/>
      <c r="AI547" s="155"/>
      <c r="AJ547" s="138">
        <f>F_GAMMA*AJ$29</f>
        <v>0.53590819116049981</v>
      </c>
      <c r="AK547" s="133"/>
      <c r="AL547" s="155"/>
      <c r="AM547" s="138">
        <f>F_GAMMA*AM$29</f>
        <v>0.49048815926850342</v>
      </c>
      <c r="AN547" s="133"/>
      <c r="AO547" s="155"/>
      <c r="AP547" s="138">
        <f>F_GAMMA*AP$29</f>
        <v>0.59352979016280105</v>
      </c>
      <c r="AQ547" s="133"/>
      <c r="AR547" s="155"/>
      <c r="AS547" s="138">
        <f>F_GAMMA*AS$29</f>
        <v>0.39097221161068291</v>
      </c>
      <c r="AT547" s="133"/>
      <c r="AU547" s="155"/>
    </row>
    <row r="548" spans="13:47" x14ac:dyDescent="0.25">
      <c r="M548" s="27"/>
      <c r="N548" s="27"/>
      <c r="O548" s="2" t="s">
        <v>193</v>
      </c>
      <c r="P548" s="134"/>
      <c r="Q548" s="2"/>
      <c r="R548" s="181">
        <f>IF(R543&lt;R547,R545,R546)</f>
        <v>0.10099302665143488</v>
      </c>
      <c r="S548" s="133"/>
      <c r="T548" s="147"/>
      <c r="U548" s="138">
        <f>IF(U543&lt;U547,U545,U546)</f>
        <v>2.8813350731531888</v>
      </c>
      <c r="V548" s="133"/>
      <c r="W548" s="155"/>
      <c r="X548" s="138">
        <f>IF(X543&lt;X547,X545,X546)</f>
        <v>7.2541064837668285</v>
      </c>
      <c r="Y548" s="133"/>
      <c r="Z548" s="155"/>
      <c r="AA548" s="138">
        <f>IF(AA543&lt;AA547,AA545,AA546)</f>
        <v>14.794454867607584</v>
      </c>
      <c r="AB548" s="133"/>
      <c r="AC548" s="155"/>
      <c r="AD548" s="138">
        <f>IF(AD543&lt;AD547,AD545,AD546)</f>
        <v>27.172423686206969</v>
      </c>
      <c r="AE548" s="133"/>
      <c r="AF548" s="155"/>
      <c r="AG548" s="138">
        <f>IF(AG543&lt;AG547,AG545,AG546)</f>
        <v>46.725993939356123</v>
      </c>
      <c r="AH548" s="133"/>
      <c r="AI548" s="155"/>
      <c r="AJ548" s="138">
        <f>IF(AJ543&lt;AJ547,AJ545,AJ546)</f>
        <v>84.782537637392181</v>
      </c>
      <c r="AK548" s="133"/>
      <c r="AL548" s="155"/>
      <c r="AM548" s="138">
        <f>IF(AM543&lt;AM547,AM545,AM546)</f>
        <v>268.66506930419939</v>
      </c>
      <c r="AN548" s="133"/>
      <c r="AO548" s="155"/>
      <c r="AP548" s="138" t="e">
        <f>IF(AP543&lt;AP547,AP545,AP546)</f>
        <v>#NUM!</v>
      </c>
      <c r="AQ548" s="133"/>
      <c r="AR548" s="155"/>
      <c r="AS548" s="138" t="e">
        <f>IF(AS543&lt;AS547,AS545,AS546)</f>
        <v>#NUM!</v>
      </c>
      <c r="AT548" s="133"/>
      <c r="AU548" s="155"/>
    </row>
    <row r="549" spans="13:47" ht="13" x14ac:dyDescent="0.3">
      <c r="M549" s="28"/>
      <c r="N549" s="28"/>
      <c r="O549" s="9" t="s">
        <v>194</v>
      </c>
      <c r="P549" s="1"/>
      <c r="Q549" s="1"/>
      <c r="R549" s="135"/>
      <c r="S549" s="132">
        <f>IF(R542&lt;=0,W_max,ABS(R$23-R548))</f>
        <v>1.8990069733485651</v>
      </c>
      <c r="T549" s="151">
        <f>R537</f>
        <v>23.356710085544826</v>
      </c>
      <c r="U549" s="135"/>
      <c r="V549" s="132">
        <f>IF(U542&lt;=0,W_max,ABS(U$23-U548))</f>
        <v>2.1186649268468112</v>
      </c>
      <c r="W549" s="151">
        <f>U537</f>
        <v>664.67150761529399</v>
      </c>
      <c r="X549" s="135"/>
      <c r="Y549" s="132">
        <f>IF(X542&lt;=0,W_max,ABS(X$23-X548))</f>
        <v>2.7458935162331715</v>
      </c>
      <c r="Z549" s="151">
        <f>X537</f>
        <v>1643.8117351692235</v>
      </c>
      <c r="AA549" s="135"/>
      <c r="AB549" s="132">
        <f>IF(AA542&lt;=0,W_max,ABS(AA$23-AA548))</f>
        <v>2.4055451323924153</v>
      </c>
      <c r="AC549" s="151">
        <f>AA537</f>
        <v>3201.725684703842</v>
      </c>
      <c r="AD549" s="135"/>
      <c r="AE549" s="132">
        <f>IF(AD542&lt;=0,W_max,ABS(AD$23-AD548))</f>
        <v>0.57242368620696737</v>
      </c>
      <c r="AF549" s="151">
        <f>AD537</f>
        <v>5265.6599458788351</v>
      </c>
      <c r="AG549" s="135"/>
      <c r="AH549" s="132">
        <f>IF(AG542&lt;=0,W_max,ABS(AG$23-AG548))</f>
        <v>8.325993939356124</v>
      </c>
      <c r="AI549" s="151">
        <f>AG537</f>
        <v>7385.493457084568</v>
      </c>
      <c r="AJ549" s="135"/>
      <c r="AK549" s="132">
        <f>IF(AJ542&lt;=0,W_max,ABS(AJ$23-AJ548))</f>
        <v>32.282537637392181</v>
      </c>
      <c r="AL549" s="151">
        <f>AJ537</f>
        <v>9377.6169389660281</v>
      </c>
      <c r="AM549" s="135"/>
      <c r="AN549" s="132">
        <f>IF(AM542&lt;=0,W_max,ABS(AM$23-AM548))</f>
        <v>196.26506930419939</v>
      </c>
      <c r="AO549" s="151">
        <f>AM537</f>
        <v>10995.993362906311</v>
      </c>
      <c r="AP549" s="135"/>
      <c r="AQ549" s="132">
        <f>IF(AP542&lt;=0,W_max,ABS(AP$23-AP548))</f>
        <v>7174</v>
      </c>
      <c r="AR549" s="151">
        <f>AP537</f>
        <v>12267.881735136478</v>
      </c>
      <c r="AS549" s="135"/>
      <c r="AT549" s="132">
        <f>IF(AS542&lt;=0,W_max,ABS(AS$23-AS548))</f>
        <v>7174</v>
      </c>
      <c r="AU549" s="151">
        <f>AS537</f>
        <v>13686.88733252535</v>
      </c>
    </row>
    <row r="550" spans="13:47" ht="13" x14ac:dyDescent="0.25">
      <c r="M550" s="12"/>
      <c r="N550" s="12"/>
      <c r="O550" s="12"/>
      <c r="P550" s="12"/>
      <c r="Q550" s="12"/>
      <c r="R550" s="182"/>
      <c r="S550" s="22"/>
      <c r="T550" s="152"/>
      <c r="U550" s="157"/>
      <c r="V550" s="1"/>
      <c r="W550" s="147"/>
      <c r="X550" s="157"/>
      <c r="Y550" s="1"/>
      <c r="Z550" s="147"/>
      <c r="AA550" s="157"/>
      <c r="AB550" s="1"/>
      <c r="AC550" s="147"/>
      <c r="AD550" s="157"/>
      <c r="AE550" s="1"/>
      <c r="AF550" s="147"/>
      <c r="AG550" s="157"/>
      <c r="AH550" s="1"/>
      <c r="AI550" s="147"/>
      <c r="AJ550" s="157"/>
      <c r="AK550" s="1"/>
      <c r="AL550" s="147"/>
      <c r="AM550" s="157"/>
      <c r="AN550" s="1"/>
      <c r="AO550" s="147"/>
      <c r="AP550" s="157"/>
      <c r="AQ550" s="1"/>
      <c r="AR550" s="147"/>
      <c r="AS550" s="157"/>
      <c r="AT550" s="1"/>
      <c r="AU550" s="147"/>
    </row>
    <row r="551" spans="13:47" ht="14" x14ac:dyDescent="0.3">
      <c r="M551" s="23"/>
      <c r="N551" s="23"/>
      <c r="O551" s="23" t="s">
        <v>238</v>
      </c>
      <c r="P551" s="20"/>
      <c r="Q551" s="20"/>
      <c r="R551" s="18">
        <f>R537*1.02</f>
        <v>23.823844287255724</v>
      </c>
      <c r="S551" s="128" t="s">
        <v>185</v>
      </c>
      <c r="T551" s="153" t="s">
        <v>186</v>
      </c>
      <c r="U551" s="143">
        <f>U537*1.01</f>
        <v>671.31822269144698</v>
      </c>
      <c r="V551" s="128" t="s">
        <v>185</v>
      </c>
      <c r="W551" s="153" t="s">
        <v>186</v>
      </c>
      <c r="X551" s="143">
        <f>X537*1.01</f>
        <v>1660.2498525209157</v>
      </c>
      <c r="Y551" s="128" t="s">
        <v>185</v>
      </c>
      <c r="Z551" s="153" t="s">
        <v>186</v>
      </c>
      <c r="AA551" s="143">
        <f>AA537*1.01</f>
        <v>3233.7429415508805</v>
      </c>
      <c r="AB551" s="128" t="s">
        <v>185</v>
      </c>
      <c r="AC551" s="153" t="s">
        <v>186</v>
      </c>
      <c r="AD551" s="143">
        <f>AD537*1.01</f>
        <v>5318.3165453376232</v>
      </c>
      <c r="AE551" s="128" t="s">
        <v>185</v>
      </c>
      <c r="AF551" s="153" t="s">
        <v>186</v>
      </c>
      <c r="AG551" s="143">
        <f>AG537*1.01</f>
        <v>7459.3483916554142</v>
      </c>
      <c r="AH551" s="128" t="s">
        <v>185</v>
      </c>
      <c r="AI551" s="153" t="s">
        <v>186</v>
      </c>
      <c r="AJ551" s="143">
        <f>AJ537*1.01</f>
        <v>9471.393108355689</v>
      </c>
      <c r="AK551" s="128" t="s">
        <v>185</v>
      </c>
      <c r="AL551" s="153" t="s">
        <v>186</v>
      </c>
      <c r="AM551" s="143">
        <f>AM537*1.01</f>
        <v>11105.953296535374</v>
      </c>
      <c r="AN551" s="128" t="s">
        <v>185</v>
      </c>
      <c r="AO551" s="153" t="s">
        <v>186</v>
      </c>
      <c r="AP551" s="143">
        <f>AP537*1.01</f>
        <v>12390.560552487843</v>
      </c>
      <c r="AQ551" s="128" t="s">
        <v>185</v>
      </c>
      <c r="AR551" s="153" t="s">
        <v>186</v>
      </c>
      <c r="AS551" s="143">
        <f>AS537*1.01</f>
        <v>13823.756205850603</v>
      </c>
      <c r="AT551" s="128" t="s">
        <v>185</v>
      </c>
      <c r="AU551" s="153" t="s">
        <v>186</v>
      </c>
    </row>
    <row r="552" spans="13:47" ht="14" x14ac:dyDescent="0.3">
      <c r="M552" s="12"/>
      <c r="N552" s="12"/>
      <c r="O552" s="20"/>
      <c r="P552" s="20"/>
      <c r="Q552" s="23"/>
      <c r="R552" s="139"/>
      <c r="S552" s="130" t="s">
        <v>228</v>
      </c>
      <c r="T552" s="154" t="s">
        <v>187</v>
      </c>
      <c r="U552" s="144"/>
      <c r="V552" s="130" t="s">
        <v>228</v>
      </c>
      <c r="W552" s="154" t="s">
        <v>187</v>
      </c>
      <c r="X552" s="144"/>
      <c r="Y552" s="130" t="s">
        <v>228</v>
      </c>
      <c r="Z552" s="154" t="s">
        <v>187</v>
      </c>
      <c r="AA552" s="144"/>
      <c r="AB552" s="130" t="s">
        <v>228</v>
      </c>
      <c r="AC552" s="154" t="s">
        <v>187</v>
      </c>
      <c r="AD552" s="144"/>
      <c r="AE552" s="130" t="s">
        <v>228</v>
      </c>
      <c r="AF552" s="154" t="s">
        <v>187</v>
      </c>
      <c r="AG552" s="144"/>
      <c r="AH552" s="130" t="s">
        <v>228</v>
      </c>
      <c r="AI552" s="154" t="s">
        <v>187</v>
      </c>
      <c r="AJ552" s="144"/>
      <c r="AK552" s="130" t="s">
        <v>228</v>
      </c>
      <c r="AL552" s="154" t="s">
        <v>187</v>
      </c>
      <c r="AM552" s="144"/>
      <c r="AN552" s="130" t="s">
        <v>228</v>
      </c>
      <c r="AO552" s="154" t="s">
        <v>187</v>
      </c>
      <c r="AP552" s="144"/>
      <c r="AQ552" s="130" t="s">
        <v>228</v>
      </c>
      <c r="AR552" s="154" t="s">
        <v>187</v>
      </c>
      <c r="AS552" s="144"/>
      <c r="AT552" s="130" t="s">
        <v>228</v>
      </c>
      <c r="AU552" s="154" t="s">
        <v>187</v>
      </c>
    </row>
    <row r="553" spans="13:47" x14ac:dyDescent="0.25">
      <c r="M553" s="20"/>
      <c r="N553" s="20"/>
      <c r="O553" s="7" t="s">
        <v>188</v>
      </c>
      <c r="P553" s="7"/>
      <c r="Q553" s="7"/>
      <c r="R553" s="181">
        <f>P_1_minW-(R551^2*R_up)+dpup_minQ</f>
        <v>100.52256040925541</v>
      </c>
      <c r="S553" s="132"/>
      <c r="T553" s="145"/>
      <c r="U553" s="138">
        <f>P_1_minW-(U551^2*R_up)+dpup_minQ</f>
        <v>100.34307747513112</v>
      </c>
      <c r="V553" s="132"/>
      <c r="W553" s="145"/>
      <c r="X553" s="138">
        <f>P_1_minW-(X551^2*R_up)+dpup_minQ</f>
        <v>99.423627818034163</v>
      </c>
      <c r="Y553" s="132"/>
      <c r="Z553" s="145"/>
      <c r="AA553" s="138">
        <f>P_1_minW-(AA551^2*R_up)+dpup_minQ</f>
        <v>96.352896963059706</v>
      </c>
      <c r="AB553" s="132"/>
      <c r="AC553" s="145"/>
      <c r="AD553" s="138">
        <f>P_1_minW-(AD551^2*R_up)+dpup_minQ</f>
        <v>89.244011209748734</v>
      </c>
      <c r="AE553" s="132"/>
      <c r="AF553" s="145"/>
      <c r="AG553" s="138">
        <f>P_1_minW-(AG551^2*R_up)+dpup_minQ</f>
        <v>78.33492910718671</v>
      </c>
      <c r="AH553" s="132"/>
      <c r="AI553" s="145"/>
      <c r="AJ553" s="138">
        <f>P_1_minW-(AJ551^2*R_up)+dpup_minQ</f>
        <v>64.750944058476492</v>
      </c>
      <c r="AK553" s="132"/>
      <c r="AL553" s="145"/>
      <c r="AM553" s="138">
        <f>P_1_minW-(AM551^2*R_up)+dpup_minQ</f>
        <v>51.338625092385662</v>
      </c>
      <c r="AN553" s="132"/>
      <c r="AO553" s="145"/>
      <c r="AP553" s="138">
        <f>P_1_minW-(AP551^2*R_up)+dpup_minQ</f>
        <v>39.30248068946247</v>
      </c>
      <c r="AQ553" s="132"/>
      <c r="AR553" s="145"/>
      <c r="AS553" s="138">
        <f>P_1_minW-(AS551^2*R_up)+dpup_minQ</f>
        <v>24.320900860891697</v>
      </c>
      <c r="AT553" s="132"/>
      <c r="AU553" s="145"/>
    </row>
    <row r="554" spans="13:47" x14ac:dyDescent="0.25">
      <c r="M554" s="20"/>
      <c r="N554" s="20"/>
      <c r="O554" s="7" t="s">
        <v>189</v>
      </c>
      <c r="P554" s="1"/>
      <c r="Q554" s="7"/>
      <c r="R554" s="181">
        <f>P_2_minW+(R551^2*R_dn)-dpdn_minQ</f>
        <v>50</v>
      </c>
      <c r="S554" s="132"/>
      <c r="T554" s="146"/>
      <c r="U554" s="138">
        <f>P_2_minW+(U551^2*R_dn)-dpdn_minQ</f>
        <v>50</v>
      </c>
      <c r="V554" s="132"/>
      <c r="W554" s="146"/>
      <c r="X554" s="138">
        <f>P_2_minW+(X551^2*R_dn)-dpdn_minQ</f>
        <v>50</v>
      </c>
      <c r="Y554" s="132"/>
      <c r="Z554" s="146"/>
      <c r="AA554" s="138">
        <f>P_2_minW+(AA551^2*R_dn)-dpdn_minQ</f>
        <v>50</v>
      </c>
      <c r="AB554" s="132"/>
      <c r="AC554" s="146"/>
      <c r="AD554" s="138">
        <f>P_2_minW+(AD551^2*R_dn)-dpdn_minQ</f>
        <v>50</v>
      </c>
      <c r="AE554" s="132"/>
      <c r="AF554" s="146"/>
      <c r="AG554" s="138">
        <f>P_2_minW+(AG551^2*R_dn)-dpdn_minQ</f>
        <v>50</v>
      </c>
      <c r="AH554" s="132"/>
      <c r="AI554" s="146"/>
      <c r="AJ554" s="138">
        <f>P_2_minW+(AJ551^2*R_dn)-dpdn_minQ</f>
        <v>50</v>
      </c>
      <c r="AK554" s="132"/>
      <c r="AL554" s="146"/>
      <c r="AM554" s="138">
        <f>P_2_minW+(AM551^2*R_dn)-dpdn_minQ</f>
        <v>50</v>
      </c>
      <c r="AN554" s="132"/>
      <c r="AO554" s="146"/>
      <c r="AP554" s="138">
        <f>P_2_minW+(AP551^2*R_dn)-dpdn_minQ</f>
        <v>50</v>
      </c>
      <c r="AQ554" s="132"/>
      <c r="AR554" s="146"/>
      <c r="AS554" s="138">
        <f>P_2_minW+(AS551^2*R_dn)-dpdn_minQ</f>
        <v>50</v>
      </c>
      <c r="AT554" s="132"/>
      <c r="AU554" s="146"/>
    </row>
    <row r="555" spans="13:47" x14ac:dyDescent="0.25">
      <c r="M555" s="20"/>
      <c r="N555" s="20"/>
      <c r="O555" s="7" t="s">
        <v>234</v>
      </c>
      <c r="P555" s="1"/>
      <c r="Q555" s="7"/>
      <c r="R555" s="179">
        <f>'Valve Sizing'!G$8*R553/P_1_maxW</f>
        <v>0.48490293447546451</v>
      </c>
      <c r="S555" s="132"/>
      <c r="T555" s="146"/>
      <c r="U555" s="143">
        <f>'Valve Sizing'!$G$8*U553/P_1_maxW</f>
        <v>0.48403714075621573</v>
      </c>
      <c r="V555" s="132"/>
      <c r="W555" s="146"/>
      <c r="X555" s="143">
        <f>'Valve Sizing'!$G$8*X553/P_1_maxW</f>
        <v>0.47960187930830178</v>
      </c>
      <c r="Y555" s="132"/>
      <c r="Z555" s="146"/>
      <c r="AA555" s="143">
        <f>'Valve Sizing'!$G$8*AA553/P_1_maxW</f>
        <v>0.46478922037383663</v>
      </c>
      <c r="AB555" s="132"/>
      <c r="AC555" s="146"/>
      <c r="AD555" s="143">
        <f>'Valve Sizing'!$G$8*AD553/P_1_maxW</f>
        <v>0.43049722115896272</v>
      </c>
      <c r="AE555" s="132"/>
      <c r="AF555" s="146"/>
      <c r="AG555" s="143">
        <f>'Valve Sizing'!$G$8*AG553/P_1_maxW</f>
        <v>0.3778737513385596</v>
      </c>
      <c r="AH555" s="132"/>
      <c r="AI555" s="146"/>
      <c r="AJ555" s="143">
        <f>'Valve Sizing'!$G$8*AJ553/P_1_maxW</f>
        <v>0.3123470259430538</v>
      </c>
      <c r="AK555" s="132"/>
      <c r="AL555" s="146"/>
      <c r="AM555" s="143">
        <f>'Valve Sizing'!$G$8*AM553/P_1_maxW</f>
        <v>0.24764838716684173</v>
      </c>
      <c r="AN555" s="132"/>
      <c r="AO555" s="146"/>
      <c r="AP555" s="143">
        <f>'Valve Sizing'!$G$8*AP553/P_1_maxW</f>
        <v>0.18958816947057103</v>
      </c>
      <c r="AQ555" s="132"/>
      <c r="AR555" s="146"/>
      <c r="AS555" s="143">
        <f>'Valve Sizing'!$G$8*AS553/P_1_maxW</f>
        <v>0.11731969568343181</v>
      </c>
      <c r="AT555" s="132"/>
      <c r="AU555" s="146"/>
    </row>
    <row r="556" spans="13:47" x14ac:dyDescent="0.25">
      <c r="M556" s="20"/>
      <c r="N556" s="20"/>
      <c r="O556" s="7" t="s">
        <v>190</v>
      </c>
      <c r="P556" s="1"/>
      <c r="Q556" s="7"/>
      <c r="R556" s="181">
        <f>R553-R554</f>
        <v>50.522560409255405</v>
      </c>
      <c r="S556" s="132"/>
      <c r="T556" s="146"/>
      <c r="U556" s="138">
        <f>U553-U554</f>
        <v>50.343077475131125</v>
      </c>
      <c r="V556" s="132"/>
      <c r="W556" s="146"/>
      <c r="X556" s="138">
        <f>X553-X554</f>
        <v>49.423627818034163</v>
      </c>
      <c r="Y556" s="132"/>
      <c r="Z556" s="146"/>
      <c r="AA556" s="138">
        <f>AA553-AA554</f>
        <v>46.352896963059706</v>
      </c>
      <c r="AB556" s="132"/>
      <c r="AC556" s="146"/>
      <c r="AD556" s="138">
        <f>AD553-AD554</f>
        <v>39.244011209748734</v>
      </c>
      <c r="AE556" s="132"/>
      <c r="AF556" s="146"/>
      <c r="AG556" s="138">
        <f>AG553-AG554</f>
        <v>28.33492910718671</v>
      </c>
      <c r="AH556" s="132"/>
      <c r="AI556" s="146"/>
      <c r="AJ556" s="138">
        <f>AJ553-AJ554</f>
        <v>14.750944058476492</v>
      </c>
      <c r="AK556" s="132"/>
      <c r="AL556" s="146"/>
      <c r="AM556" s="138">
        <f>AM553-AM554</f>
        <v>1.3386250923856622</v>
      </c>
      <c r="AN556" s="132"/>
      <c r="AO556" s="146"/>
      <c r="AP556" s="138">
        <f>AP553-AP554</f>
        <v>-10.69751931053753</v>
      </c>
      <c r="AQ556" s="132"/>
      <c r="AR556" s="146"/>
      <c r="AS556" s="138">
        <f>AS553-AS554</f>
        <v>-25.679099139108303</v>
      </c>
      <c r="AT556" s="132"/>
      <c r="AU556" s="146"/>
    </row>
    <row r="557" spans="13:47" ht="14.5" x14ac:dyDescent="0.35">
      <c r="M557" s="27"/>
      <c r="N557" s="27"/>
      <c r="O557" s="2" t="s">
        <v>191</v>
      </c>
      <c r="P557" s="10"/>
      <c r="Q557" s="2"/>
      <c r="R557" s="181">
        <f>R556/R553</f>
        <v>0.50259921955393849</v>
      </c>
      <c r="S557" s="132"/>
      <c r="T557" s="146"/>
      <c r="U557" s="138">
        <f>U556/U553</f>
        <v>0.50170952238940525</v>
      </c>
      <c r="V557" s="132"/>
      <c r="W557" s="146"/>
      <c r="X557" s="138">
        <f>X556/X553</f>
        <v>0.49710143255373501</v>
      </c>
      <c r="Y557" s="132"/>
      <c r="Z557" s="146"/>
      <c r="AA557" s="138">
        <f>AA556/AA553</f>
        <v>0.4810742429553595</v>
      </c>
      <c r="AB557" s="132"/>
      <c r="AC557" s="146"/>
      <c r="AD557" s="138">
        <f>AD556/AD553</f>
        <v>0.43973831608167163</v>
      </c>
      <c r="AE557" s="132"/>
      <c r="AF557" s="146"/>
      <c r="AG557" s="138">
        <f>AG556/AG553</f>
        <v>0.36171513053156218</v>
      </c>
      <c r="AH557" s="132"/>
      <c r="AI557" s="146"/>
      <c r="AJ557" s="138">
        <f>AJ556/AJ553</f>
        <v>0.22781048636379625</v>
      </c>
      <c r="AK557" s="132"/>
      <c r="AL557" s="146"/>
      <c r="AM557" s="138">
        <f>AM556/AM553</f>
        <v>2.6074424275616247E-2</v>
      </c>
      <c r="AN557" s="132"/>
      <c r="AO557" s="146"/>
      <c r="AP557" s="138">
        <f>AP556/AP553</f>
        <v>-0.27218432839038786</v>
      </c>
      <c r="AQ557" s="132"/>
      <c r="AR557" s="146"/>
      <c r="AS557" s="138">
        <f>AS556/AS553</f>
        <v>-1.0558449000711403</v>
      </c>
      <c r="AT557" s="132"/>
      <c r="AU557" s="146"/>
    </row>
    <row r="558" spans="13:47" x14ac:dyDescent="0.25">
      <c r="M558" s="27"/>
      <c r="N558" s="27"/>
      <c r="O558" s="2" t="s">
        <v>26</v>
      </c>
      <c r="P558" s="7">
        <v>12</v>
      </c>
      <c r="Q558" s="2"/>
      <c r="R558" s="181">
        <f>1-R557/(3*F_GAMMA*R$29)</f>
        <v>0.73824056710718799</v>
      </c>
      <c r="S558" s="133"/>
      <c r="T558" s="146"/>
      <c r="U558" s="138">
        <f>1-U557/(3*F_GAMMA*U$29)</f>
        <v>0.73876146247306751</v>
      </c>
      <c r="V558" s="133"/>
      <c r="W558" s="146"/>
      <c r="X558" s="138">
        <f>1-X557/(3*F_GAMMA*X$29)</f>
        <v>0.73727788131506355</v>
      </c>
      <c r="Y558" s="133"/>
      <c r="Z558" s="146"/>
      <c r="AA558" s="138">
        <f>1-AA557/(3*F_GAMMA*AA$29)</f>
        <v>0.74226223682565817</v>
      </c>
      <c r="AB558" s="133"/>
      <c r="AC558" s="146"/>
      <c r="AD558" s="138">
        <f>1-AD557/(3*F_GAMMA*AD$29)</f>
        <v>0.75794872438576388</v>
      </c>
      <c r="AE558" s="133"/>
      <c r="AF558" s="146"/>
      <c r="AG558" s="138">
        <f>1-AG557/(3*F_GAMMA*AG$29)</f>
        <v>0.7895389110677008</v>
      </c>
      <c r="AH558" s="133"/>
      <c r="AI558" s="146"/>
      <c r="AJ558" s="138">
        <f>1-AJ557/(3*F_GAMMA*AJ$29)</f>
        <v>0.85830254129258177</v>
      </c>
      <c r="AK558" s="133"/>
      <c r="AL558" s="146"/>
      <c r="AM558" s="138">
        <f>1-AM557/(3*F_GAMMA*AM$29)</f>
        <v>0.98227994989420153</v>
      </c>
      <c r="AN558" s="133"/>
      <c r="AO558" s="146"/>
      <c r="AP558" s="138">
        <f>1-AP557/(3*F_GAMMA*AP$29)</f>
        <v>1.1528619303819216</v>
      </c>
      <c r="AQ558" s="133"/>
      <c r="AR558" s="146"/>
      <c r="AS558" s="138">
        <f>1-AS557/(3*F_GAMMA*AS$29)</f>
        <v>1.9001875058429263</v>
      </c>
      <c r="AT558" s="133"/>
      <c r="AU558" s="146"/>
    </row>
    <row r="559" spans="13:47" x14ac:dyDescent="0.25">
      <c r="M559" s="27"/>
      <c r="N559" s="27"/>
      <c r="O559" s="2" t="s">
        <v>71</v>
      </c>
      <c r="P559" s="85">
        <v>5</v>
      </c>
      <c r="Q559" s="2"/>
      <c r="R559" s="179">
        <f>R551/((N_6*R$27*R558)*SQRT(R557*R553*R555))</f>
        <v>0.10301289748698216</v>
      </c>
      <c r="S559" s="133"/>
      <c r="T559" s="146"/>
      <c r="U559" s="143">
        <f>U551/((N_6*U$27*U558)*SQRT(U557*U553*U555))</f>
        <v>2.9102660487670238</v>
      </c>
      <c r="V559" s="133"/>
      <c r="W559" s="146"/>
      <c r="X559" s="143">
        <f>X551/((N_6*X$27*X558)*SQRT(X557*X553*X555))</f>
        <v>7.3284753805506462</v>
      </c>
      <c r="Y559" s="133"/>
      <c r="Z559" s="146"/>
      <c r="AA559" s="143">
        <f>AA551/((N_6*AA$27*AA558)*SQRT(AA557*AA553*AA555))</f>
        <v>14.957237221558971</v>
      </c>
      <c r="AB559" s="133"/>
      <c r="AC559" s="146"/>
      <c r="AD559" s="143">
        <f>AD551/((N_6*AD$27*AD558)*SQRT(AD557*AD553*AD555))</f>
        <v>27.528140950405305</v>
      </c>
      <c r="AE559" s="133"/>
      <c r="AF559" s="146"/>
      <c r="AG559" s="143">
        <f>AG551/((N_6*AG$27*AG558)*SQRT(AG557*AG553*AG555))</f>
        <v>47.563964458962211</v>
      </c>
      <c r="AH559" s="133"/>
      <c r="AI559" s="146"/>
      <c r="AJ559" s="143">
        <f>AJ551/((N_6*AJ$27*AJ558)*SQRT(AJ557*AJ553*AJ555))</f>
        <v>87.597066918287027</v>
      </c>
      <c r="AK559" s="133"/>
      <c r="AL559" s="146"/>
      <c r="AM559" s="143">
        <f>AM551/((N_6*AM$27*AM558)*SQRT(AM557*AM553*AM555))</f>
        <v>355.14219182241987</v>
      </c>
      <c r="AN559" s="133"/>
      <c r="AO559" s="146"/>
      <c r="AP559" s="143" t="e">
        <f>AP551/((N_6*AP$27*AP558)*SQRT(AP557*AP553*AP555))</f>
        <v>#NUM!</v>
      </c>
      <c r="AQ559" s="133"/>
      <c r="AR559" s="146"/>
      <c r="AS559" s="143" t="e">
        <f>AS551/((N_6*AS$27*AS558)*SQRT(AS557*AS553*AS555))</f>
        <v>#NUM!</v>
      </c>
      <c r="AT559" s="133"/>
      <c r="AU559" s="146"/>
    </row>
    <row r="560" spans="13:47" x14ac:dyDescent="0.25">
      <c r="M560" s="27"/>
      <c r="N560" s="27"/>
      <c r="O560" s="2" t="s">
        <v>73</v>
      </c>
      <c r="P560" s="85">
        <v>5</v>
      </c>
      <c r="Q560" s="2"/>
      <c r="R560" s="179">
        <f>R551/((N_6*R$27*0.667)*SQRT(R561*R553*R555))</f>
        <v>0.10103584392805519</v>
      </c>
      <c r="S560" s="133"/>
      <c r="T560" s="155"/>
      <c r="U560" s="143">
        <f>U551/((N_6*U$27*0.667)*SQRT(U561*U553*U555))</f>
        <v>2.8535818928552357</v>
      </c>
      <c r="V560" s="133"/>
      <c r="W560" s="155"/>
      <c r="X560" s="143">
        <f>X551/((N_6*X$27*0.667)*SQRT(X561*X553*X555))</f>
        <v>7.1916401869515711</v>
      </c>
      <c r="Y560" s="133"/>
      <c r="Z560" s="155"/>
      <c r="AA560" s="143">
        <f>AA551/((N_6*AA$27*0.667)*SQRT(AA561*AA553*AA555))</f>
        <v>14.636342666367739</v>
      </c>
      <c r="AB560" s="133"/>
      <c r="AC560" s="155"/>
      <c r="AD560" s="143">
        <f>AD551/((N_6*AD$27*0.667)*SQRT(AD561*AD553*AD555))</f>
        <v>26.65662675161629</v>
      </c>
      <c r="AE560" s="133"/>
      <c r="AF560" s="155"/>
      <c r="AG560" s="143">
        <f>AG551/((N_6*AG$27*0.667)*SQRT(AG561*AG553*AG555))</f>
        <v>44.737559011226665</v>
      </c>
      <c r="AH560" s="133"/>
      <c r="AI560" s="155"/>
      <c r="AJ560" s="143">
        <f>AJ551/((N_6*AJ$27*0.667)*SQRT(AJ561*AJ553*AJ555))</f>
        <v>73.492968083978738</v>
      </c>
      <c r="AK560" s="133"/>
      <c r="AL560" s="155"/>
      <c r="AM560" s="143">
        <f>AM551/((N_6*AM$27*0.667)*SQRT(AM561*AM553*AM555))</f>
        <v>120.58820104328163</v>
      </c>
      <c r="AN560" s="133"/>
      <c r="AO560" s="155"/>
      <c r="AP560" s="143">
        <f>AP551/((N_6*AP$27*0.667)*SQRT(AP561*AP553*AP555))</f>
        <v>181.47270980392977</v>
      </c>
      <c r="AQ560" s="133"/>
      <c r="AR560" s="155"/>
      <c r="AS560" s="143">
        <f>AS551/((N_6*AS$27*0.667)*SQRT(AS561*AS553*AS555))</f>
        <v>529.69085557729363</v>
      </c>
      <c r="AT560" s="133"/>
      <c r="AU560" s="155"/>
    </row>
    <row r="561" spans="13:47" ht="15.5" x14ac:dyDescent="0.4">
      <c r="M561" s="27"/>
      <c r="N561" s="27"/>
      <c r="O561" s="2" t="s">
        <v>192</v>
      </c>
      <c r="P561" s="85">
        <v>10</v>
      </c>
      <c r="Q561" s="2"/>
      <c r="R561" s="181">
        <f>F_GAMMA*R$29</f>
        <v>0.64002688015162901</v>
      </c>
      <c r="S561" s="133"/>
      <c r="T561" s="155"/>
      <c r="U561" s="138">
        <f>F_GAMMA*U$29</f>
        <v>0.64016782916606918</v>
      </c>
      <c r="V561" s="133"/>
      <c r="W561" s="155"/>
      <c r="X561" s="138">
        <f>F_GAMMA*X$29</f>
        <v>0.6307062319203669</v>
      </c>
      <c r="Y561" s="133"/>
      <c r="Z561" s="155"/>
      <c r="AA561" s="138">
        <f>F_GAMMA*AA$29</f>
        <v>0.62217534213893466</v>
      </c>
      <c r="AB561" s="133"/>
      <c r="AC561" s="155"/>
      <c r="AD561" s="138">
        <f>F_GAMMA*AD$29</f>
        <v>0.60557184969146072</v>
      </c>
      <c r="AE561" s="133"/>
      <c r="AF561" s="155"/>
      <c r="AG561" s="138">
        <f>F_GAMMA*AG$29</f>
        <v>0.57289312142622573</v>
      </c>
      <c r="AH561" s="133"/>
      <c r="AI561" s="155"/>
      <c r="AJ561" s="138">
        <f>F_GAMMA*AJ$29</f>
        <v>0.53590819116049981</v>
      </c>
      <c r="AK561" s="133"/>
      <c r="AL561" s="155"/>
      <c r="AM561" s="138">
        <f>F_GAMMA*AM$29</f>
        <v>0.49048815926850342</v>
      </c>
      <c r="AN561" s="133"/>
      <c r="AO561" s="155"/>
      <c r="AP561" s="138">
        <f>F_GAMMA*AP$29</f>
        <v>0.59352979016280105</v>
      </c>
      <c r="AQ561" s="133"/>
      <c r="AR561" s="155"/>
      <c r="AS561" s="138">
        <f>F_GAMMA*AS$29</f>
        <v>0.39097221161068291</v>
      </c>
      <c r="AT561" s="133"/>
      <c r="AU561" s="155"/>
    </row>
    <row r="562" spans="13:47" x14ac:dyDescent="0.25">
      <c r="M562" s="27"/>
      <c r="N562" s="27"/>
      <c r="O562" s="2" t="s">
        <v>193</v>
      </c>
      <c r="P562" s="134"/>
      <c r="Q562" s="2"/>
      <c r="R562" s="181">
        <f>IF(R557&lt;R561,R559,R560)</f>
        <v>0.10301289748698216</v>
      </c>
      <c r="S562" s="133"/>
      <c r="T562" s="155"/>
      <c r="U562" s="138">
        <f>IF(U557&lt;U561,U559,U560)</f>
        <v>2.9102660487670238</v>
      </c>
      <c r="V562" s="133"/>
      <c r="W562" s="155"/>
      <c r="X562" s="138">
        <f>IF(X557&lt;X561,X559,X560)</f>
        <v>7.3284753805506462</v>
      </c>
      <c r="Y562" s="133"/>
      <c r="Z562" s="155"/>
      <c r="AA562" s="138">
        <f>IF(AA557&lt;AA561,AA559,AA560)</f>
        <v>14.957237221558971</v>
      </c>
      <c r="AB562" s="133"/>
      <c r="AC562" s="155"/>
      <c r="AD562" s="138">
        <f>IF(AD557&lt;AD561,AD559,AD560)</f>
        <v>27.528140950405305</v>
      </c>
      <c r="AE562" s="133"/>
      <c r="AF562" s="155"/>
      <c r="AG562" s="138">
        <f>IF(AG557&lt;AG561,AG559,AG560)</f>
        <v>47.563964458962211</v>
      </c>
      <c r="AH562" s="133"/>
      <c r="AI562" s="155"/>
      <c r="AJ562" s="138">
        <f>IF(AJ557&lt;AJ561,AJ559,AJ560)</f>
        <v>87.597066918287027</v>
      </c>
      <c r="AK562" s="133"/>
      <c r="AL562" s="155"/>
      <c r="AM562" s="138">
        <f>IF(AM557&lt;AM561,AM559,AM560)</f>
        <v>355.14219182241987</v>
      </c>
      <c r="AN562" s="133"/>
      <c r="AO562" s="155"/>
      <c r="AP562" s="138" t="e">
        <f>IF(AP557&lt;AP561,AP559,AP560)</f>
        <v>#NUM!</v>
      </c>
      <c r="AQ562" s="133"/>
      <c r="AR562" s="155"/>
      <c r="AS562" s="138" t="e">
        <f>IF(AS557&lt;AS561,AS559,AS560)</f>
        <v>#NUM!</v>
      </c>
      <c r="AT562" s="133"/>
      <c r="AU562" s="155"/>
    </row>
    <row r="563" spans="13:47" ht="13" x14ac:dyDescent="0.3">
      <c r="M563" s="28"/>
      <c r="N563" s="28"/>
      <c r="O563" s="9" t="s">
        <v>194</v>
      </c>
      <c r="P563" s="1"/>
      <c r="Q563" s="1"/>
      <c r="R563" s="135"/>
      <c r="S563" s="132">
        <f>IF(R556&lt;=0,W_max,ABS(R$23-R562))</f>
        <v>1.8969871025130178</v>
      </c>
      <c r="T563" s="151">
        <f>R551</f>
        <v>23.823844287255724</v>
      </c>
      <c r="U563" s="135"/>
      <c r="V563" s="132">
        <f>IF(U556&lt;=0,W_max,ABS(U$23-U562))</f>
        <v>2.0897339512329762</v>
      </c>
      <c r="W563" s="151">
        <f>U551</f>
        <v>671.31822269144698</v>
      </c>
      <c r="X563" s="135"/>
      <c r="Y563" s="132">
        <f>IF(X556&lt;=0,W_max,ABS(X$23-X562))</f>
        <v>2.6715246194493538</v>
      </c>
      <c r="Z563" s="151">
        <f>X551</f>
        <v>1660.2498525209157</v>
      </c>
      <c r="AA563" s="135"/>
      <c r="AB563" s="132">
        <f>IF(AA556&lt;=0,W_max,ABS(AA$23-AA562))</f>
        <v>2.242762778441028</v>
      </c>
      <c r="AC563" s="151">
        <f>AA551</f>
        <v>3233.7429415508805</v>
      </c>
      <c r="AD563" s="135"/>
      <c r="AE563" s="132">
        <f>IF(AD556&lt;=0,W_max,ABS(AD$23-AD562))</f>
        <v>0.92814095040530376</v>
      </c>
      <c r="AF563" s="151">
        <f>AD551</f>
        <v>5318.3165453376232</v>
      </c>
      <c r="AG563" s="135"/>
      <c r="AH563" s="132">
        <f>IF(AG556&lt;=0,W_max,ABS(AG$23-AG562))</f>
        <v>9.1639644589622122</v>
      </c>
      <c r="AI563" s="151">
        <f>AG551</f>
        <v>7459.3483916554142</v>
      </c>
      <c r="AJ563" s="135"/>
      <c r="AK563" s="132">
        <f>IF(AJ556&lt;=0,W_max,ABS(AJ$23-AJ562))</f>
        <v>35.097066918287027</v>
      </c>
      <c r="AL563" s="151">
        <f>AJ551</f>
        <v>9471.393108355689</v>
      </c>
      <c r="AM563" s="135"/>
      <c r="AN563" s="132">
        <f>IF(AM556&lt;=0,W_max,ABS(AM$23-AM562))</f>
        <v>282.74219182241984</v>
      </c>
      <c r="AO563" s="151">
        <f>AM551</f>
        <v>11105.953296535374</v>
      </c>
      <c r="AP563" s="135"/>
      <c r="AQ563" s="132">
        <f>IF(AP556&lt;=0,W_max,ABS(AP$23-AP562))</f>
        <v>7174</v>
      </c>
      <c r="AR563" s="151">
        <f>AP551</f>
        <v>12390.560552487843</v>
      </c>
      <c r="AS563" s="135"/>
      <c r="AT563" s="132">
        <f>IF(AS556&lt;=0,W_max,ABS(AS$23-AS562))</f>
        <v>7174</v>
      </c>
      <c r="AU563" s="151">
        <f>AS551</f>
        <v>13823.756205850603</v>
      </c>
    </row>
    <row r="564" spans="13:47" ht="13" x14ac:dyDescent="0.25">
      <c r="M564" s="12"/>
      <c r="N564" s="12"/>
      <c r="O564" s="2"/>
      <c r="P564" s="85"/>
      <c r="Q564" s="2"/>
      <c r="R564" s="18"/>
      <c r="S564" s="150"/>
      <c r="T564" s="152"/>
      <c r="U564" s="157"/>
      <c r="V564" s="1"/>
      <c r="W564" s="147"/>
      <c r="X564" s="157"/>
      <c r="Y564" s="1"/>
      <c r="Z564" s="147"/>
      <c r="AA564" s="157"/>
      <c r="AB564" s="1"/>
      <c r="AC564" s="147"/>
      <c r="AD564" s="157"/>
      <c r="AE564" s="1"/>
      <c r="AF564" s="147"/>
      <c r="AG564" s="157"/>
      <c r="AH564" s="1"/>
      <c r="AI564" s="147"/>
      <c r="AJ564" s="157"/>
      <c r="AK564" s="1"/>
      <c r="AL564" s="147"/>
      <c r="AM564" s="157"/>
      <c r="AN564" s="1"/>
      <c r="AO564" s="147"/>
      <c r="AP564" s="157"/>
      <c r="AQ564" s="1"/>
      <c r="AR564" s="147"/>
      <c r="AS564" s="157"/>
      <c r="AT564" s="1"/>
      <c r="AU564" s="147"/>
    </row>
    <row r="565" spans="13:47" ht="14" x14ac:dyDescent="0.3">
      <c r="M565" s="23"/>
      <c r="N565" s="23"/>
      <c r="O565" s="23" t="s">
        <v>238</v>
      </c>
      <c r="P565" s="20"/>
      <c r="Q565" s="20"/>
      <c r="R565" s="181">
        <f>R551*1.02</f>
        <v>24.300321173000839</v>
      </c>
      <c r="S565" s="128" t="s">
        <v>185</v>
      </c>
      <c r="T565" s="153" t="s">
        <v>186</v>
      </c>
      <c r="U565" s="143">
        <f>U551*1.01</f>
        <v>678.03140491836143</v>
      </c>
      <c r="V565" s="128" t="s">
        <v>185</v>
      </c>
      <c r="W565" s="153" t="s">
        <v>186</v>
      </c>
      <c r="X565" s="143">
        <f>X551*1.01</f>
        <v>1676.852351046125</v>
      </c>
      <c r="Y565" s="128" t="s">
        <v>185</v>
      </c>
      <c r="Z565" s="153" t="s">
        <v>186</v>
      </c>
      <c r="AA565" s="143">
        <f>AA551*1.01</f>
        <v>3266.0803709663892</v>
      </c>
      <c r="AB565" s="128" t="s">
        <v>185</v>
      </c>
      <c r="AC565" s="153" t="s">
        <v>186</v>
      </c>
      <c r="AD565" s="143">
        <f>AD551*1.01</f>
        <v>5371.4997107909994</v>
      </c>
      <c r="AE565" s="128" t="s">
        <v>185</v>
      </c>
      <c r="AF565" s="153" t="s">
        <v>186</v>
      </c>
      <c r="AG565" s="143">
        <f>AG551*1.01</f>
        <v>7533.941875571968</v>
      </c>
      <c r="AH565" s="128" t="s">
        <v>185</v>
      </c>
      <c r="AI565" s="153" t="s">
        <v>186</v>
      </c>
      <c r="AJ565" s="143">
        <f>AJ551*1.01</f>
        <v>9566.1070394392464</v>
      </c>
      <c r="AK565" s="128" t="s">
        <v>185</v>
      </c>
      <c r="AL565" s="153" t="s">
        <v>186</v>
      </c>
      <c r="AM565" s="143">
        <f>AM551*1.01</f>
        <v>11217.012829500727</v>
      </c>
      <c r="AN565" s="128" t="s">
        <v>185</v>
      </c>
      <c r="AO565" s="153" t="s">
        <v>186</v>
      </c>
      <c r="AP565" s="143">
        <f>AP551*1.01</f>
        <v>12514.466158012721</v>
      </c>
      <c r="AQ565" s="128" t="s">
        <v>185</v>
      </c>
      <c r="AR565" s="153" t="s">
        <v>186</v>
      </c>
      <c r="AS565" s="143">
        <f>AS551*1.01</f>
        <v>13961.993767909109</v>
      </c>
      <c r="AT565" s="128" t="s">
        <v>185</v>
      </c>
      <c r="AU565" s="153" t="s">
        <v>186</v>
      </c>
    </row>
    <row r="566" spans="13:47" ht="14" x14ac:dyDescent="0.3">
      <c r="M566" s="12"/>
      <c r="N566" s="12"/>
      <c r="O566" s="20"/>
      <c r="P566" s="20"/>
      <c r="Q566" s="23"/>
      <c r="R566" s="139"/>
      <c r="S566" s="130" t="s">
        <v>228</v>
      </c>
      <c r="T566" s="154" t="s">
        <v>187</v>
      </c>
      <c r="U566" s="144"/>
      <c r="V566" s="130" t="s">
        <v>228</v>
      </c>
      <c r="W566" s="154" t="s">
        <v>187</v>
      </c>
      <c r="X566" s="144"/>
      <c r="Y566" s="130" t="s">
        <v>228</v>
      </c>
      <c r="Z566" s="154" t="s">
        <v>187</v>
      </c>
      <c r="AA566" s="144"/>
      <c r="AB566" s="130" t="s">
        <v>228</v>
      </c>
      <c r="AC566" s="154" t="s">
        <v>187</v>
      </c>
      <c r="AD566" s="144"/>
      <c r="AE566" s="130" t="s">
        <v>228</v>
      </c>
      <c r="AF566" s="154" t="s">
        <v>187</v>
      </c>
      <c r="AG566" s="144"/>
      <c r="AH566" s="130" t="s">
        <v>228</v>
      </c>
      <c r="AI566" s="154" t="s">
        <v>187</v>
      </c>
      <c r="AJ566" s="144"/>
      <c r="AK566" s="130" t="s">
        <v>228</v>
      </c>
      <c r="AL566" s="154" t="s">
        <v>187</v>
      </c>
      <c r="AM566" s="144"/>
      <c r="AN566" s="130" t="s">
        <v>228</v>
      </c>
      <c r="AO566" s="154" t="s">
        <v>187</v>
      </c>
      <c r="AP566" s="144"/>
      <c r="AQ566" s="130" t="s">
        <v>228</v>
      </c>
      <c r="AR566" s="154" t="s">
        <v>187</v>
      </c>
      <c r="AS566" s="144"/>
      <c r="AT566" s="130" t="s">
        <v>228</v>
      </c>
      <c r="AU566" s="154" t="s">
        <v>187</v>
      </c>
    </row>
    <row r="567" spans="13:47" x14ac:dyDescent="0.25">
      <c r="M567" s="20"/>
      <c r="N567" s="20"/>
      <c r="O567" s="7" t="s">
        <v>188</v>
      </c>
      <c r="P567" s="7"/>
      <c r="Q567" s="7"/>
      <c r="R567" s="181">
        <f>P_1_minW-(R565^2*R_up)+dpup_minQ</f>
        <v>100.52255126562557</v>
      </c>
      <c r="S567" s="132"/>
      <c r="T567" s="145"/>
      <c r="U567" s="138">
        <f>P_1_minW-(U565^2*R_up)+dpup_minQ</f>
        <v>100.33946531897305</v>
      </c>
      <c r="V567" s="132"/>
      <c r="W567" s="145"/>
      <c r="X567" s="138">
        <f>P_1_minW-(X565^2*R_up)+dpup_minQ</f>
        <v>99.401534723768435</v>
      </c>
      <c r="Y567" s="132"/>
      <c r="Z567" s="145"/>
      <c r="AA567" s="138">
        <f>P_1_minW-(AA565^2*R_up)+dpup_minQ</f>
        <v>96.269082178608997</v>
      </c>
      <c r="AB567" s="132"/>
      <c r="AC567" s="145"/>
      <c r="AD567" s="138">
        <f>P_1_minW-(AD565^2*R_up)+dpup_minQ</f>
        <v>89.017307821656487</v>
      </c>
      <c r="AE567" s="132"/>
      <c r="AF567" s="145"/>
      <c r="AG567" s="138">
        <f>P_1_minW-(AG565^2*R_up)+dpup_minQ</f>
        <v>77.88895316883297</v>
      </c>
      <c r="AH567" s="132"/>
      <c r="AI567" s="145"/>
      <c r="AJ567" s="138">
        <f>P_1_minW-(AJ565^2*R_up)+dpup_minQ</f>
        <v>64.031930020643657</v>
      </c>
      <c r="AK567" s="132"/>
      <c r="AL567" s="145"/>
      <c r="AM567" s="138">
        <f>P_1_minW-(AM565^2*R_up)+dpup_minQ</f>
        <v>50.350023443334415</v>
      </c>
      <c r="AN567" s="132"/>
      <c r="AO567" s="145"/>
      <c r="AP567" s="138">
        <f>P_1_minW-(AP565^2*R_up)+dpup_minQ</f>
        <v>38.071952537912459</v>
      </c>
      <c r="AQ567" s="132"/>
      <c r="AR567" s="145"/>
      <c r="AS567" s="138">
        <f>P_1_minW-(AS565^2*R_up)+dpup_minQ</f>
        <v>22.789242954787412</v>
      </c>
      <c r="AT567" s="132"/>
      <c r="AU567" s="145"/>
    </row>
    <row r="568" spans="13:47" x14ac:dyDescent="0.25">
      <c r="M568" s="20"/>
      <c r="N568" s="20"/>
      <c r="O568" s="7" t="s">
        <v>189</v>
      </c>
      <c r="P568" s="1"/>
      <c r="Q568" s="7"/>
      <c r="R568" s="181">
        <f>P_2_minW+(R565^2*R_dn)-dpdn_minQ</f>
        <v>50</v>
      </c>
      <c r="S568" s="132"/>
      <c r="T568" s="146"/>
      <c r="U568" s="138">
        <f>P_2_minW+(U565^2*R_dn)-dpdn_minQ</f>
        <v>50</v>
      </c>
      <c r="V568" s="132"/>
      <c r="W568" s="146"/>
      <c r="X568" s="138">
        <f>P_2_minW+(X565^2*R_dn)-dpdn_minQ</f>
        <v>50</v>
      </c>
      <c r="Y568" s="132"/>
      <c r="Z568" s="146"/>
      <c r="AA568" s="138">
        <f>P_2_minW+(AA565^2*R_dn)-dpdn_minQ</f>
        <v>50</v>
      </c>
      <c r="AB568" s="132"/>
      <c r="AC568" s="146"/>
      <c r="AD568" s="138">
        <f>P_2_minW+(AD565^2*R_dn)-dpdn_minQ</f>
        <v>50</v>
      </c>
      <c r="AE568" s="132"/>
      <c r="AF568" s="146"/>
      <c r="AG568" s="138">
        <f>P_2_minW+(AG565^2*R_dn)-dpdn_minQ</f>
        <v>50</v>
      </c>
      <c r="AH568" s="132"/>
      <c r="AI568" s="146"/>
      <c r="AJ568" s="138">
        <f>P_2_minW+(AJ565^2*R_dn)-dpdn_minQ</f>
        <v>50</v>
      </c>
      <c r="AK568" s="132"/>
      <c r="AL568" s="146"/>
      <c r="AM568" s="138">
        <f>P_2_minW+(AM565^2*R_dn)-dpdn_minQ</f>
        <v>50</v>
      </c>
      <c r="AN568" s="132"/>
      <c r="AO568" s="146"/>
      <c r="AP568" s="138">
        <f>P_2_minW+(AP565^2*R_dn)-dpdn_minQ</f>
        <v>50</v>
      </c>
      <c r="AQ568" s="132"/>
      <c r="AR568" s="146"/>
      <c r="AS568" s="138">
        <f>P_2_minW+(AS565^2*R_dn)-dpdn_minQ</f>
        <v>50</v>
      </c>
      <c r="AT568" s="132"/>
      <c r="AU568" s="146"/>
    </row>
    <row r="569" spans="13:47" x14ac:dyDescent="0.25">
      <c r="M569" s="20"/>
      <c r="N569" s="20"/>
      <c r="O569" s="7" t="s">
        <v>234</v>
      </c>
      <c r="P569" s="1"/>
      <c r="Q569" s="7"/>
      <c r="R569" s="179">
        <f>'Valve Sizing'!G$8*R567/P_1_maxW</f>
        <v>0.48490289036822204</v>
      </c>
      <c r="S569" s="132"/>
      <c r="T569" s="146"/>
      <c r="U569" s="143">
        <f>'Valve Sizing'!$G$8*U567/P_1_maxW</f>
        <v>0.48401971635801405</v>
      </c>
      <c r="V569" s="132"/>
      <c r="W569" s="146"/>
      <c r="X569" s="143">
        <f>'Valve Sizing'!$G$8*X567/P_1_maxW</f>
        <v>0.47949530615499691</v>
      </c>
      <c r="Y569" s="132"/>
      <c r="Z569" s="146"/>
      <c r="AA569" s="143">
        <f>'Valve Sizing'!$G$8*AA567/P_1_maxW</f>
        <v>0.46438491277594907</v>
      </c>
      <c r="AB569" s="132"/>
      <c r="AC569" s="146"/>
      <c r="AD569" s="143">
        <f>'Valve Sizing'!$G$8*AD567/P_1_maxW</f>
        <v>0.42940364437685619</v>
      </c>
      <c r="AE569" s="132"/>
      <c r="AF569" s="146"/>
      <c r="AG569" s="143">
        <f>'Valve Sizing'!$G$8*AG567/P_1_maxW</f>
        <v>0.375722442813063</v>
      </c>
      <c r="AH569" s="132"/>
      <c r="AI569" s="146"/>
      <c r="AJ569" s="143">
        <f>'Valve Sizing'!$G$8*AJ567/P_1_maxW</f>
        <v>0.30887863023710749</v>
      </c>
      <c r="AK569" s="132"/>
      <c r="AL569" s="146"/>
      <c r="AM569" s="143">
        <f>'Valve Sizing'!$G$8*AM567/P_1_maxW</f>
        <v>0.2428795488214936</v>
      </c>
      <c r="AN569" s="132"/>
      <c r="AO569" s="146"/>
      <c r="AP569" s="143">
        <f>'Valve Sizing'!$G$8*AP567/P_1_maxW</f>
        <v>0.18365232074952781</v>
      </c>
      <c r="AQ569" s="132"/>
      <c r="AR569" s="146"/>
      <c r="AS569" s="143">
        <f>'Valve Sizing'!$G$8*AS567/P_1_maxW</f>
        <v>0.10993125063926708</v>
      </c>
      <c r="AT569" s="132"/>
      <c r="AU569" s="146"/>
    </row>
    <row r="570" spans="13:47" x14ac:dyDescent="0.25">
      <c r="M570" s="20"/>
      <c r="N570" s="20"/>
      <c r="O570" s="7" t="s">
        <v>190</v>
      </c>
      <c r="P570" s="1"/>
      <c r="Q570" s="7"/>
      <c r="R570" s="181">
        <f>R567-R568</f>
        <v>50.522551265625566</v>
      </c>
      <c r="S570" s="132"/>
      <c r="T570" s="146"/>
      <c r="U570" s="138">
        <f>U567-U568</f>
        <v>50.339465318973055</v>
      </c>
      <c r="V570" s="132"/>
      <c r="W570" s="146"/>
      <c r="X570" s="138">
        <f>X567-X568</f>
        <v>49.401534723768435</v>
      </c>
      <c r="Y570" s="132"/>
      <c r="Z570" s="146"/>
      <c r="AA570" s="138">
        <f>AA567-AA568</f>
        <v>46.269082178608997</v>
      </c>
      <c r="AB570" s="132"/>
      <c r="AC570" s="146"/>
      <c r="AD570" s="138">
        <f>AD567-AD568</f>
        <v>39.017307821656487</v>
      </c>
      <c r="AE570" s="132"/>
      <c r="AF570" s="146"/>
      <c r="AG570" s="138">
        <f>AG567-AG568</f>
        <v>27.88895316883297</v>
      </c>
      <c r="AH570" s="132"/>
      <c r="AI570" s="146"/>
      <c r="AJ570" s="138">
        <f>AJ567-AJ568</f>
        <v>14.031930020643657</v>
      </c>
      <c r="AK570" s="132"/>
      <c r="AL570" s="146"/>
      <c r="AM570" s="138">
        <f>AM567-AM568</f>
        <v>0.35002344333441471</v>
      </c>
      <c r="AN570" s="132"/>
      <c r="AO570" s="146"/>
      <c r="AP570" s="138">
        <f>AP567-AP568</f>
        <v>-11.928047462087541</v>
      </c>
      <c r="AQ570" s="132"/>
      <c r="AR570" s="146"/>
      <c r="AS570" s="138">
        <f>AS567-AS568</f>
        <v>-27.210757045212588</v>
      </c>
      <c r="AT570" s="132"/>
      <c r="AU570" s="146"/>
    </row>
    <row r="571" spans="13:47" ht="14.5" x14ac:dyDescent="0.35">
      <c r="M571" s="27"/>
      <c r="N571" s="27"/>
      <c r="O571" s="2" t="s">
        <v>191</v>
      </c>
      <c r="P571" s="10"/>
      <c r="Q571" s="2"/>
      <c r="R571" s="181">
        <f>R570/R567</f>
        <v>0.50259917430987577</v>
      </c>
      <c r="S571" s="132"/>
      <c r="T571" s="146"/>
      <c r="U571" s="138">
        <f>U570/U567</f>
        <v>0.50169158425298521</v>
      </c>
      <c r="V571" s="132"/>
      <c r="W571" s="146"/>
      <c r="X571" s="138">
        <f>X570/X567</f>
        <v>0.49698965776587523</v>
      </c>
      <c r="Y571" s="132"/>
      <c r="Z571" s="146"/>
      <c r="AA571" s="138">
        <f>AA570/AA567</f>
        <v>0.48062245044328461</v>
      </c>
      <c r="AB571" s="132"/>
      <c r="AC571" s="146"/>
      <c r="AD571" s="138">
        <f>AD570/AD567</f>
        <v>0.43831147870509063</v>
      </c>
      <c r="AE571" s="132"/>
      <c r="AF571" s="146"/>
      <c r="AG571" s="138">
        <f>AG570/AG567</f>
        <v>0.35806044418623217</v>
      </c>
      <c r="AH571" s="132"/>
      <c r="AI571" s="146"/>
      <c r="AJ571" s="138">
        <f>AJ570/AJ567</f>
        <v>0.219139576397585</v>
      </c>
      <c r="AK571" s="132"/>
      <c r="AL571" s="146"/>
      <c r="AM571" s="138">
        <f>AM570/AM567</f>
        <v>6.9518029863152439E-3</v>
      </c>
      <c r="AN571" s="132"/>
      <c r="AO571" s="146"/>
      <c r="AP571" s="138">
        <f>AP570/AP567</f>
        <v>-0.31330275089541215</v>
      </c>
      <c r="AQ571" s="132"/>
      <c r="AR571" s="146"/>
      <c r="AS571" s="138">
        <f>AS570/AS567</f>
        <v>-1.1940175941428688</v>
      </c>
      <c r="AT571" s="132"/>
      <c r="AU571" s="146"/>
    </row>
    <row r="572" spans="13:47" x14ac:dyDescent="0.25">
      <c r="M572" s="27"/>
      <c r="N572" s="27"/>
      <c r="O572" s="2" t="s">
        <v>26</v>
      </c>
      <c r="P572" s="7">
        <v>12</v>
      </c>
      <c r="Q572" s="2"/>
      <c r="R572" s="181">
        <f>1-R571/(3*F_GAMMA*R$29)</f>
        <v>0.73824059067081427</v>
      </c>
      <c r="S572" s="133"/>
      <c r="T572" s="146"/>
      <c r="U572" s="138">
        <f>1-U571/(3*F_GAMMA*U$29)</f>
        <v>0.73877080280310947</v>
      </c>
      <c r="V572" s="133"/>
      <c r="W572" s="146"/>
      <c r="X572" s="138">
        <f>1-X571/(3*F_GAMMA*X$29)</f>
        <v>0.73733695519246367</v>
      </c>
      <c r="Y572" s="133"/>
      <c r="Z572" s="146"/>
      <c r="AA572" s="138">
        <f>1-AA571/(3*F_GAMMA*AA$29)</f>
        <v>0.74250428676532187</v>
      </c>
      <c r="AB572" s="133"/>
      <c r="AC572" s="146"/>
      <c r="AD572" s="138">
        <f>1-AD571/(3*F_GAMMA*AD$29)</f>
        <v>0.75873411832225979</v>
      </c>
      <c r="AE572" s="133"/>
      <c r="AF572" s="146"/>
      <c r="AG572" s="138">
        <f>1-AG571/(3*F_GAMMA*AG$29)</f>
        <v>0.79166536142329913</v>
      </c>
      <c r="AH572" s="133"/>
      <c r="AI572" s="146"/>
      <c r="AJ572" s="138">
        <f>1-AJ571/(3*F_GAMMA*AJ$29)</f>
        <v>0.86369582202563333</v>
      </c>
      <c r="AK572" s="133"/>
      <c r="AL572" s="146"/>
      <c r="AM572" s="138">
        <f>1-AM571/(3*F_GAMMA*AM$29)</f>
        <v>0.99527558898555069</v>
      </c>
      <c r="AN572" s="133"/>
      <c r="AO572" s="146"/>
      <c r="AP572" s="138">
        <f>1-AP571/(3*F_GAMMA*AP$29)</f>
        <v>1.1759545216253176</v>
      </c>
      <c r="AQ572" s="133"/>
      <c r="AR572" s="146"/>
      <c r="AS572" s="138">
        <f>1-AS571/(3*F_GAMMA*AS$29)</f>
        <v>2.0179901611795636</v>
      </c>
      <c r="AT572" s="133"/>
      <c r="AU572" s="146"/>
    </row>
    <row r="573" spans="13:47" x14ac:dyDescent="0.25">
      <c r="M573" s="27"/>
      <c r="N573" s="27"/>
      <c r="O573" s="2" t="s">
        <v>71</v>
      </c>
      <c r="P573" s="85">
        <v>5</v>
      </c>
      <c r="Q573" s="2"/>
      <c r="R573" s="179">
        <f>R565/((N_6*R$27*R572)*SQRT(R571*R567*R569))</f>
        <v>0.10507316636983965</v>
      </c>
      <c r="S573" s="133"/>
      <c r="T573" s="146"/>
      <c r="U573" s="143">
        <f>U565/((N_6*U$27*U572)*SQRT(U571*U567*U569))</f>
        <v>2.9394899104298617</v>
      </c>
      <c r="V573" s="133"/>
      <c r="W573" s="146"/>
      <c r="X573" s="143">
        <f>X565/((N_6*X$27*X572)*SQRT(X571*X567*X569))</f>
        <v>7.4036445254509227</v>
      </c>
      <c r="Y573" s="133"/>
      <c r="Z573" s="146"/>
      <c r="AA573" s="143">
        <f>AA565/((N_6*AA$27*AA572)*SQRT(AA571*AA567*AA569))</f>
        <v>15.122135577847427</v>
      </c>
      <c r="AB573" s="133"/>
      <c r="AC573" s="146"/>
      <c r="AD573" s="143">
        <f>AD565/((N_6*AD$27*AD572)*SQRT(AD571*AD567*AD569))</f>
        <v>27.890662388851233</v>
      </c>
      <c r="AE573" s="133"/>
      <c r="AF573" s="146"/>
      <c r="AG573" s="143">
        <f>AG565/((N_6*AG$27*AG572)*SQRT(AG571*AG567*AG569))</f>
        <v>48.430178239773959</v>
      </c>
      <c r="AH573" s="133"/>
      <c r="AI573" s="146"/>
      <c r="AJ573" s="143">
        <f>AJ565/((N_6*AJ$27*AJ572)*SQRT(AJ571*AJ567*AJ569))</f>
        <v>90.649722118552887</v>
      </c>
      <c r="AK573" s="133"/>
      <c r="AL573" s="146"/>
      <c r="AM573" s="143">
        <f>AM565/((N_6*AM$27*AM572)*SQRT(AM571*AM567*AM569))</f>
        <v>699.06694005662393</v>
      </c>
      <c r="AN573" s="133"/>
      <c r="AO573" s="146"/>
      <c r="AP573" s="143" t="e">
        <f>AP565/((N_6*AP$27*AP572)*SQRT(AP571*AP567*AP569))</f>
        <v>#NUM!</v>
      </c>
      <c r="AQ573" s="133"/>
      <c r="AR573" s="146"/>
      <c r="AS573" s="143" t="e">
        <f>AS565/((N_6*AS$27*AS572)*SQRT(AS571*AS567*AS569))</f>
        <v>#NUM!</v>
      </c>
      <c r="AT573" s="133"/>
      <c r="AU573" s="146"/>
    </row>
    <row r="574" spans="13:47" x14ac:dyDescent="0.25">
      <c r="M574" s="27"/>
      <c r="N574" s="27"/>
      <c r="O574" s="2" t="s">
        <v>73</v>
      </c>
      <c r="P574" s="85">
        <v>5</v>
      </c>
      <c r="Q574" s="2"/>
      <c r="R574" s="179">
        <f>R565/((N_6*R$27*0.667)*SQRT(R575*R567*R569))</f>
        <v>0.10305657018074214</v>
      </c>
      <c r="S574" s="133"/>
      <c r="T574" s="155"/>
      <c r="U574" s="143">
        <f>U565/((N_6*U$27*0.667)*SQRT(U575*U567*U569))</f>
        <v>2.8822214661660519</v>
      </c>
      <c r="V574" s="133"/>
      <c r="W574" s="155"/>
      <c r="X574" s="143">
        <f>X565/((N_6*X$27*0.667)*SQRT(X575*X567*X569))</f>
        <v>7.2651709948850103</v>
      </c>
      <c r="Y574" s="133"/>
      <c r="Z574" s="155"/>
      <c r="AA574" s="143">
        <f>AA565/((N_6*AA$27*0.667)*SQRT(AA575*AA567*AA569))</f>
        <v>14.795576365571115</v>
      </c>
      <c r="AB574" s="133"/>
      <c r="AC574" s="155"/>
      <c r="AD574" s="143">
        <f>AD565/((N_6*AD$27*0.667)*SQRT(AD575*AD567*AD569))</f>
        <v>26.991759225245168</v>
      </c>
      <c r="AE574" s="133"/>
      <c r="AF574" s="155"/>
      <c r="AG574" s="143">
        <f>AG565/((N_6*AG$27*0.667)*SQRT(AG575*AG567*AG569))</f>
        <v>45.443654134577535</v>
      </c>
      <c r="AH574" s="133"/>
      <c r="AI574" s="155"/>
      <c r="AJ574" s="143">
        <f>AJ565/((N_6*AJ$27*0.667)*SQRT(AJ575*AJ567*AJ569))</f>
        <v>75.061402244138733</v>
      </c>
      <c r="AK574" s="133"/>
      <c r="AL574" s="155"/>
      <c r="AM574" s="143">
        <f>AM565/((N_6*AM$27*0.667)*SQRT(AM575*AM567*AM569))</f>
        <v>124.18545892838699</v>
      </c>
      <c r="AN574" s="133"/>
      <c r="AO574" s="155"/>
      <c r="AP574" s="143">
        <f>AP565/((N_6*AP$27*0.667)*SQRT(AP575*AP567*AP569))</f>
        <v>189.21149216834195</v>
      </c>
      <c r="AQ574" s="133"/>
      <c r="AR574" s="155"/>
      <c r="AS574" s="143">
        <f>AS565/((N_6*AS$27*0.667)*SQRT(AS575*AS567*AS569))</f>
        <v>570.94412478221784</v>
      </c>
      <c r="AT574" s="133"/>
      <c r="AU574" s="155"/>
    </row>
    <row r="575" spans="13:47" ht="15.5" x14ac:dyDescent="0.4">
      <c r="M575" s="27"/>
      <c r="N575" s="27"/>
      <c r="O575" s="2" t="s">
        <v>192</v>
      </c>
      <c r="P575" s="85">
        <v>10</v>
      </c>
      <c r="Q575" s="2"/>
      <c r="R575" s="181">
        <f>F_GAMMA*R$29</f>
        <v>0.64002688015162901</v>
      </c>
      <c r="S575" s="133"/>
      <c r="T575" s="155"/>
      <c r="U575" s="138">
        <f>F_GAMMA*U$29</f>
        <v>0.64016782916606918</v>
      </c>
      <c r="V575" s="133"/>
      <c r="W575" s="155"/>
      <c r="X575" s="138">
        <f>F_GAMMA*X$29</f>
        <v>0.6307062319203669</v>
      </c>
      <c r="Y575" s="133"/>
      <c r="Z575" s="155"/>
      <c r="AA575" s="138">
        <f>F_GAMMA*AA$29</f>
        <v>0.62217534213893466</v>
      </c>
      <c r="AB575" s="133"/>
      <c r="AC575" s="155"/>
      <c r="AD575" s="138">
        <f>F_GAMMA*AD$29</f>
        <v>0.60557184969146072</v>
      </c>
      <c r="AE575" s="133"/>
      <c r="AF575" s="155"/>
      <c r="AG575" s="138">
        <f>F_GAMMA*AG$29</f>
        <v>0.57289312142622573</v>
      </c>
      <c r="AH575" s="133"/>
      <c r="AI575" s="155"/>
      <c r="AJ575" s="138">
        <f>F_GAMMA*AJ$29</f>
        <v>0.53590819116049981</v>
      </c>
      <c r="AK575" s="133"/>
      <c r="AL575" s="155"/>
      <c r="AM575" s="138">
        <f>F_GAMMA*AM$29</f>
        <v>0.49048815926850342</v>
      </c>
      <c r="AN575" s="133"/>
      <c r="AO575" s="155"/>
      <c r="AP575" s="138">
        <f>F_GAMMA*AP$29</f>
        <v>0.59352979016280105</v>
      </c>
      <c r="AQ575" s="133"/>
      <c r="AR575" s="155"/>
      <c r="AS575" s="138">
        <f>F_GAMMA*AS$29</f>
        <v>0.39097221161068291</v>
      </c>
      <c r="AT575" s="133"/>
      <c r="AU575" s="155"/>
    </row>
    <row r="576" spans="13:47" x14ac:dyDescent="0.25">
      <c r="M576" s="27"/>
      <c r="N576" s="27"/>
      <c r="O576" s="2" t="s">
        <v>193</v>
      </c>
      <c r="P576" s="134"/>
      <c r="Q576" s="2"/>
      <c r="R576" s="181">
        <f>IF(R571&lt;R575,R573,R574)</f>
        <v>0.10507316636983965</v>
      </c>
      <c r="S576" s="133"/>
      <c r="T576" s="155"/>
      <c r="U576" s="138">
        <f>IF(U571&lt;U575,U573,U574)</f>
        <v>2.9394899104298617</v>
      </c>
      <c r="V576" s="133"/>
      <c r="W576" s="155"/>
      <c r="X576" s="138">
        <f>IF(X571&lt;X575,X573,X574)</f>
        <v>7.4036445254509227</v>
      </c>
      <c r="Y576" s="133"/>
      <c r="Z576" s="155"/>
      <c r="AA576" s="138">
        <f>IF(AA571&lt;AA575,AA573,AA574)</f>
        <v>15.122135577847427</v>
      </c>
      <c r="AB576" s="133"/>
      <c r="AC576" s="155"/>
      <c r="AD576" s="138">
        <f>IF(AD571&lt;AD575,AD573,AD574)</f>
        <v>27.890662388851233</v>
      </c>
      <c r="AE576" s="133"/>
      <c r="AF576" s="155"/>
      <c r="AG576" s="138">
        <f>IF(AG571&lt;AG575,AG573,AG574)</f>
        <v>48.430178239773959</v>
      </c>
      <c r="AH576" s="133"/>
      <c r="AI576" s="155"/>
      <c r="AJ576" s="138">
        <f>IF(AJ571&lt;AJ575,AJ573,AJ574)</f>
        <v>90.649722118552887</v>
      </c>
      <c r="AK576" s="133"/>
      <c r="AL576" s="155"/>
      <c r="AM576" s="138">
        <f>IF(AM571&lt;AM575,AM573,AM574)</f>
        <v>699.06694005662393</v>
      </c>
      <c r="AN576" s="133"/>
      <c r="AO576" s="155"/>
      <c r="AP576" s="138" t="e">
        <f>IF(AP571&lt;AP575,AP573,AP574)</f>
        <v>#NUM!</v>
      </c>
      <c r="AQ576" s="133"/>
      <c r="AR576" s="155"/>
      <c r="AS576" s="138" t="e">
        <f>IF(AS571&lt;AS575,AS573,AS574)</f>
        <v>#NUM!</v>
      </c>
      <c r="AT576" s="133"/>
      <c r="AU576" s="155"/>
    </row>
    <row r="577" spans="13:47" ht="13" x14ac:dyDescent="0.3">
      <c r="M577" s="28"/>
      <c r="N577" s="28"/>
      <c r="O577" s="9" t="s">
        <v>194</v>
      </c>
      <c r="P577" s="1"/>
      <c r="Q577" s="1"/>
      <c r="R577" s="135"/>
      <c r="S577" s="132">
        <f>IF(R570&lt;=0,W_max,ABS(R$23-R576))</f>
        <v>1.8949268336301603</v>
      </c>
      <c r="T577" s="151">
        <f>R565</f>
        <v>24.300321173000839</v>
      </c>
      <c r="U577" s="135"/>
      <c r="V577" s="132">
        <f>IF(U570&lt;=0,W_max,ABS(U$23-U576))</f>
        <v>2.0605100895701383</v>
      </c>
      <c r="W577" s="151">
        <f>U565</f>
        <v>678.03140491836143</v>
      </c>
      <c r="X577" s="135"/>
      <c r="Y577" s="132">
        <f>IF(X570&lt;=0,W_max,ABS(X$23-X576))</f>
        <v>2.5963554745490773</v>
      </c>
      <c r="Z577" s="151">
        <f>X565</f>
        <v>1676.852351046125</v>
      </c>
      <c r="AA577" s="135"/>
      <c r="AB577" s="132">
        <f>IF(AA570&lt;=0,W_max,ABS(AA$23-AA576))</f>
        <v>2.0778644221525724</v>
      </c>
      <c r="AC577" s="151">
        <f>AA565</f>
        <v>3266.0803709663892</v>
      </c>
      <c r="AD577" s="135"/>
      <c r="AE577" s="132">
        <f>IF(AD570&lt;=0,W_max,ABS(AD$23-AD576))</f>
        <v>1.2906623888512314</v>
      </c>
      <c r="AF577" s="151">
        <f>AD565</f>
        <v>5371.4997107909994</v>
      </c>
      <c r="AG577" s="135"/>
      <c r="AH577" s="132">
        <f>IF(AG570&lt;=0,W_max,ABS(AG$23-AG576))</f>
        <v>10.03017823977396</v>
      </c>
      <c r="AI577" s="151">
        <f>AG565</f>
        <v>7533.941875571968</v>
      </c>
      <c r="AJ577" s="135"/>
      <c r="AK577" s="132">
        <f>IF(AJ570&lt;=0,W_max,ABS(AJ$23-AJ576))</f>
        <v>38.149722118552887</v>
      </c>
      <c r="AL577" s="151">
        <f>AJ565</f>
        <v>9566.1070394392464</v>
      </c>
      <c r="AM577" s="135"/>
      <c r="AN577" s="132">
        <f>IF(AM570&lt;=0,W_max,ABS(AM$23-AM576))</f>
        <v>626.66694005662396</v>
      </c>
      <c r="AO577" s="151">
        <f>AM565</f>
        <v>11217.012829500727</v>
      </c>
      <c r="AP577" s="135"/>
      <c r="AQ577" s="132">
        <f>IF(AP570&lt;=0,W_max,ABS(AP$23-AP576))</f>
        <v>7174</v>
      </c>
      <c r="AR577" s="151">
        <f>AP565</f>
        <v>12514.466158012721</v>
      </c>
      <c r="AS577" s="135"/>
      <c r="AT577" s="132">
        <f>IF(AS570&lt;=0,W_max,ABS(AS$23-AS576))</f>
        <v>7174</v>
      </c>
      <c r="AU577" s="151">
        <f>AS565</f>
        <v>13961.993767909109</v>
      </c>
    </row>
    <row r="578" spans="13:47" ht="13" x14ac:dyDescent="0.25">
      <c r="M578" s="12"/>
      <c r="N578" s="12"/>
      <c r="O578" s="2"/>
      <c r="P578" s="85"/>
      <c r="Q578" s="2"/>
      <c r="R578" s="18"/>
      <c r="S578" s="150"/>
      <c r="T578" s="148"/>
      <c r="U578" s="157"/>
      <c r="V578" s="1"/>
      <c r="W578" s="147"/>
      <c r="X578" s="157"/>
      <c r="Y578" s="1"/>
      <c r="Z578" s="147"/>
      <c r="AA578" s="157"/>
      <c r="AB578" s="1"/>
      <c r="AC578" s="147"/>
      <c r="AD578" s="157"/>
      <c r="AE578" s="1"/>
      <c r="AF578" s="147"/>
      <c r="AG578" s="157"/>
      <c r="AH578" s="1"/>
      <c r="AI578" s="147"/>
      <c r="AJ578" s="157"/>
      <c r="AK578" s="1"/>
      <c r="AL578" s="147"/>
      <c r="AM578" s="157"/>
      <c r="AN578" s="1"/>
      <c r="AO578" s="147"/>
      <c r="AP578" s="157"/>
      <c r="AQ578" s="1"/>
      <c r="AR578" s="147"/>
      <c r="AS578" s="157"/>
      <c r="AT578" s="1"/>
      <c r="AU578" s="147"/>
    </row>
    <row r="579" spans="13:47" ht="14" x14ac:dyDescent="0.3">
      <c r="M579" s="23"/>
      <c r="N579" s="23"/>
      <c r="O579" s="23" t="s">
        <v>238</v>
      </c>
      <c r="P579" s="20"/>
      <c r="Q579" s="20"/>
      <c r="R579" s="181">
        <f>R565*1.02</f>
        <v>24.786327596460858</v>
      </c>
      <c r="S579" s="128" t="s">
        <v>185</v>
      </c>
      <c r="T579" s="149" t="s">
        <v>186</v>
      </c>
      <c r="U579" s="143">
        <f>U565*1.01</f>
        <v>684.81171896754506</v>
      </c>
      <c r="V579" s="128" t="s">
        <v>185</v>
      </c>
      <c r="W579" s="153" t="s">
        <v>186</v>
      </c>
      <c r="X579" s="143">
        <f>X565*1.01</f>
        <v>1693.6208745565864</v>
      </c>
      <c r="Y579" s="128" t="s">
        <v>185</v>
      </c>
      <c r="Z579" s="153" t="s">
        <v>186</v>
      </c>
      <c r="AA579" s="143">
        <f>AA565*1.01</f>
        <v>3298.7411746760531</v>
      </c>
      <c r="AB579" s="128" t="s">
        <v>185</v>
      </c>
      <c r="AC579" s="153" t="s">
        <v>186</v>
      </c>
      <c r="AD579" s="143">
        <f>AD565*1.01</f>
        <v>5425.2147078989092</v>
      </c>
      <c r="AE579" s="128" t="s">
        <v>185</v>
      </c>
      <c r="AF579" s="153" t="s">
        <v>186</v>
      </c>
      <c r="AG579" s="143">
        <f>AG565*1.01</f>
        <v>7609.2812943276876</v>
      </c>
      <c r="AH579" s="128" t="s">
        <v>185</v>
      </c>
      <c r="AI579" s="153" t="s">
        <v>186</v>
      </c>
      <c r="AJ579" s="143">
        <f>AJ565*1.01</f>
        <v>9661.7681098336398</v>
      </c>
      <c r="AK579" s="128" t="s">
        <v>185</v>
      </c>
      <c r="AL579" s="153" t="s">
        <v>186</v>
      </c>
      <c r="AM579" s="143">
        <f>AM565*1.01</f>
        <v>11329.182957795734</v>
      </c>
      <c r="AN579" s="128" t="s">
        <v>185</v>
      </c>
      <c r="AO579" s="153" t="s">
        <v>186</v>
      </c>
      <c r="AP579" s="143">
        <f>AP565*1.01</f>
        <v>12639.610819592848</v>
      </c>
      <c r="AQ579" s="128" t="s">
        <v>185</v>
      </c>
      <c r="AR579" s="153" t="s">
        <v>186</v>
      </c>
      <c r="AS579" s="143">
        <f>AS565*1.01</f>
        <v>14101.613705588201</v>
      </c>
      <c r="AT579" s="128" t="s">
        <v>185</v>
      </c>
      <c r="AU579" s="153" t="s">
        <v>186</v>
      </c>
    </row>
    <row r="580" spans="13:47" ht="14" x14ac:dyDescent="0.3">
      <c r="M580" s="12"/>
      <c r="N580" s="12"/>
      <c r="O580" s="20"/>
      <c r="P580" s="20"/>
      <c r="Q580" s="23"/>
      <c r="R580" s="139"/>
      <c r="S580" s="130" t="s">
        <v>228</v>
      </c>
      <c r="T580" s="131" t="s">
        <v>187</v>
      </c>
      <c r="U580" s="144"/>
      <c r="V580" s="130" t="s">
        <v>228</v>
      </c>
      <c r="W580" s="154" t="s">
        <v>187</v>
      </c>
      <c r="X580" s="144"/>
      <c r="Y580" s="130" t="s">
        <v>228</v>
      </c>
      <c r="Z580" s="154" t="s">
        <v>187</v>
      </c>
      <c r="AA580" s="144"/>
      <c r="AB580" s="130" t="s">
        <v>228</v>
      </c>
      <c r="AC580" s="154" t="s">
        <v>187</v>
      </c>
      <c r="AD580" s="144"/>
      <c r="AE580" s="130" t="s">
        <v>228</v>
      </c>
      <c r="AF580" s="154" t="s">
        <v>187</v>
      </c>
      <c r="AG580" s="144"/>
      <c r="AH580" s="130" t="s">
        <v>228</v>
      </c>
      <c r="AI580" s="154" t="s">
        <v>187</v>
      </c>
      <c r="AJ580" s="144"/>
      <c r="AK580" s="130" t="s">
        <v>228</v>
      </c>
      <c r="AL580" s="154" t="s">
        <v>187</v>
      </c>
      <c r="AM580" s="144"/>
      <c r="AN580" s="130" t="s">
        <v>228</v>
      </c>
      <c r="AO580" s="154" t="s">
        <v>187</v>
      </c>
      <c r="AP580" s="144"/>
      <c r="AQ580" s="130" t="s">
        <v>228</v>
      </c>
      <c r="AR580" s="154" t="s">
        <v>187</v>
      </c>
      <c r="AS580" s="144"/>
      <c r="AT580" s="130" t="s">
        <v>228</v>
      </c>
      <c r="AU580" s="154" t="s">
        <v>187</v>
      </c>
    </row>
    <row r="581" spans="13:47" x14ac:dyDescent="0.25">
      <c r="M581" s="20"/>
      <c r="N581" s="20"/>
      <c r="O581" s="7" t="s">
        <v>188</v>
      </c>
      <c r="P581" s="7"/>
      <c r="Q581" s="7"/>
      <c r="R581" s="181">
        <f>P_1_minW-(R579^2*R_up)+dpup_minQ</f>
        <v>100.52254175259307</v>
      </c>
      <c r="S581" s="132"/>
      <c r="T581" s="145"/>
      <c r="U581" s="138">
        <f>P_1_minW-(U579^2*R_up)+dpup_minQ</f>
        <v>100.3357805584762</v>
      </c>
      <c r="V581" s="132"/>
      <c r="W581" s="145"/>
      <c r="X581" s="138">
        <f>P_1_minW-(X579^2*R_up)+dpup_minQ</f>
        <v>99.378997558307972</v>
      </c>
      <c r="Y581" s="132"/>
      <c r="Z581" s="145"/>
      <c r="AA581" s="138">
        <f>P_1_minW-(AA579^2*R_up)+dpup_minQ</f>
        <v>96.183582716990827</v>
      </c>
      <c r="AB581" s="132"/>
      <c r="AC581" s="145"/>
      <c r="AD581" s="138">
        <f>P_1_minW-(AD579^2*R_up)+dpup_minQ</f>
        <v>88.78604769546358</v>
      </c>
      <c r="AE581" s="132"/>
      <c r="AF581" s="145"/>
      <c r="AG581" s="138">
        <f>P_1_minW-(AG579^2*R_up)+dpup_minQ</f>
        <v>77.434013114118301</v>
      </c>
      <c r="AH581" s="132"/>
      <c r="AI581" s="145"/>
      <c r="AJ581" s="138">
        <f>P_1_minW-(AJ579^2*R_up)+dpup_minQ</f>
        <v>63.298463800650381</v>
      </c>
      <c r="AK581" s="132"/>
      <c r="AL581" s="145"/>
      <c r="AM581" s="138">
        <f>P_1_minW-(AM579^2*R_up)+dpup_minQ</f>
        <v>49.341550901137232</v>
      </c>
      <c r="AN581" s="132"/>
      <c r="AO581" s="145"/>
      <c r="AP581" s="138">
        <f>P_1_minW-(AP579^2*R_up)+dpup_minQ</f>
        <v>36.816690770516296</v>
      </c>
      <c r="AQ581" s="132"/>
      <c r="AR581" s="145"/>
      <c r="AS581" s="138">
        <f>P_1_minW-(AS579^2*R_up)+dpup_minQ</f>
        <v>21.226798724770418</v>
      </c>
      <c r="AT581" s="132"/>
      <c r="AU581" s="145"/>
    </row>
    <row r="582" spans="13:47" x14ac:dyDescent="0.25">
      <c r="M582" s="20"/>
      <c r="N582" s="20"/>
      <c r="O582" s="7" t="s">
        <v>189</v>
      </c>
      <c r="P582" s="1"/>
      <c r="Q582" s="7"/>
      <c r="R582" s="181">
        <f>P_2_minW+(R579^2*R_dn)-dpdn_minQ</f>
        <v>50</v>
      </c>
      <c r="S582" s="132"/>
      <c r="T582" s="146"/>
      <c r="U582" s="138">
        <f>P_2_minW+(U579^2*R_dn)-dpdn_minQ</f>
        <v>50</v>
      </c>
      <c r="V582" s="132"/>
      <c r="W582" s="146"/>
      <c r="X582" s="138">
        <f>P_2_minW+(X579^2*R_dn)-dpdn_minQ</f>
        <v>50</v>
      </c>
      <c r="Y582" s="132"/>
      <c r="Z582" s="146"/>
      <c r="AA582" s="138">
        <f>P_2_minW+(AA579^2*R_dn)-dpdn_minQ</f>
        <v>50</v>
      </c>
      <c r="AB582" s="132"/>
      <c r="AC582" s="146"/>
      <c r="AD582" s="138">
        <f>P_2_minW+(AD579^2*R_dn)-dpdn_minQ</f>
        <v>50</v>
      </c>
      <c r="AE582" s="132"/>
      <c r="AF582" s="146"/>
      <c r="AG582" s="138">
        <f>P_2_minW+(AG579^2*R_dn)-dpdn_minQ</f>
        <v>50</v>
      </c>
      <c r="AH582" s="132"/>
      <c r="AI582" s="146"/>
      <c r="AJ582" s="138">
        <f>P_2_minW+(AJ579^2*R_dn)-dpdn_minQ</f>
        <v>50</v>
      </c>
      <c r="AK582" s="132"/>
      <c r="AL582" s="146"/>
      <c r="AM582" s="138">
        <f>P_2_minW+(AM579^2*R_dn)-dpdn_minQ</f>
        <v>50</v>
      </c>
      <c r="AN582" s="132"/>
      <c r="AO582" s="146"/>
      <c r="AP582" s="138">
        <f>P_2_minW+(AP579^2*R_dn)-dpdn_minQ</f>
        <v>50</v>
      </c>
      <c r="AQ582" s="132"/>
      <c r="AR582" s="146"/>
      <c r="AS582" s="138">
        <f>P_2_minW+(AS579^2*R_dn)-dpdn_minQ</f>
        <v>50</v>
      </c>
      <c r="AT582" s="132"/>
      <c r="AU582" s="146"/>
    </row>
    <row r="583" spans="13:47" x14ac:dyDescent="0.25">
      <c r="M583" s="20"/>
      <c r="N583" s="20"/>
      <c r="O583" s="7" t="s">
        <v>234</v>
      </c>
      <c r="P583" s="1"/>
      <c r="Q583" s="7"/>
      <c r="R583" s="179">
        <f>'Valve Sizing'!G$8*R581/P_1_maxW</f>
        <v>0.48490284447904697</v>
      </c>
      <c r="S583" s="132"/>
      <c r="T583" s="146"/>
      <c r="U583" s="143">
        <f>'Valve Sizing'!$G$8*U581/P_1_maxW</f>
        <v>0.48400194172940836</v>
      </c>
      <c r="V583" s="132"/>
      <c r="W583" s="146"/>
      <c r="X583" s="143">
        <f>'Valve Sizing'!$G$8*X581/P_1_maxW</f>
        <v>0.47938659088131058</v>
      </c>
      <c r="Y583" s="132"/>
      <c r="Z583" s="146"/>
      <c r="AA583" s="143">
        <f>'Valve Sizing'!$G$8*AA581/P_1_maxW</f>
        <v>0.46397247859534396</v>
      </c>
      <c r="AB583" s="132"/>
      <c r="AC583" s="146"/>
      <c r="AD583" s="143">
        <f>'Valve Sizing'!$G$8*AD581/P_1_maxW</f>
        <v>0.42828808670142926</v>
      </c>
      <c r="AE583" s="132"/>
      <c r="AF583" s="146"/>
      <c r="AG583" s="143">
        <f>'Valve Sizing'!$G$8*AG581/P_1_maxW</f>
        <v>0.37352789298620381</v>
      </c>
      <c r="AH583" s="132"/>
      <c r="AI583" s="146"/>
      <c r="AJ583" s="143">
        <f>'Valve Sizing'!$G$8*AJ581/P_1_maxW</f>
        <v>0.30534051977747156</v>
      </c>
      <c r="AK583" s="132"/>
      <c r="AL583" s="146"/>
      <c r="AM583" s="143">
        <f>'Valve Sizing'!$G$8*AM581/P_1_maxW</f>
        <v>0.23801485682540391</v>
      </c>
      <c r="AN583" s="132"/>
      <c r="AO583" s="146"/>
      <c r="AP583" s="143">
        <f>'Valve Sizing'!$G$8*AP581/P_1_maxW</f>
        <v>0.17759716146919163</v>
      </c>
      <c r="AQ583" s="132"/>
      <c r="AR583" s="146"/>
      <c r="AS583" s="143">
        <f>'Valve Sizing'!$G$8*AS581/P_1_maxW</f>
        <v>0.10239429784971457</v>
      </c>
      <c r="AT583" s="132"/>
      <c r="AU583" s="146"/>
    </row>
    <row r="584" spans="13:47" x14ac:dyDescent="0.25">
      <c r="M584" s="20"/>
      <c r="N584" s="20"/>
      <c r="O584" s="7" t="s">
        <v>190</v>
      </c>
      <c r="P584" s="1"/>
      <c r="Q584" s="7"/>
      <c r="R584" s="181">
        <f>R581-R582</f>
        <v>50.522541752593071</v>
      </c>
      <c r="S584" s="132"/>
      <c r="T584" s="146"/>
      <c r="U584" s="138">
        <f>U581-U582</f>
        <v>50.335780558476202</v>
      </c>
      <c r="V584" s="132"/>
      <c r="W584" s="146"/>
      <c r="X584" s="138">
        <f>X581-X582</f>
        <v>49.378997558307972</v>
      </c>
      <c r="Y584" s="132"/>
      <c r="Z584" s="146"/>
      <c r="AA584" s="138">
        <f>AA581-AA582</f>
        <v>46.183582716990827</v>
      </c>
      <c r="AB584" s="132"/>
      <c r="AC584" s="146"/>
      <c r="AD584" s="138">
        <f>AD581-AD582</f>
        <v>38.78604769546358</v>
      </c>
      <c r="AE584" s="132"/>
      <c r="AF584" s="146"/>
      <c r="AG584" s="138">
        <f>AG581-AG582</f>
        <v>27.434013114118301</v>
      </c>
      <c r="AH584" s="132"/>
      <c r="AI584" s="146"/>
      <c r="AJ584" s="138">
        <f>AJ581-AJ582</f>
        <v>13.298463800650381</v>
      </c>
      <c r="AK584" s="132"/>
      <c r="AL584" s="146"/>
      <c r="AM584" s="138">
        <f>AM581-AM582</f>
        <v>-0.65844909886276781</v>
      </c>
      <c r="AN584" s="132"/>
      <c r="AO584" s="146"/>
      <c r="AP584" s="138">
        <f>AP581-AP582</f>
        <v>-13.183309229483704</v>
      </c>
      <c r="AQ584" s="132"/>
      <c r="AR584" s="146"/>
      <c r="AS584" s="138">
        <f>AS581-AS582</f>
        <v>-28.773201275229582</v>
      </c>
      <c r="AT584" s="132"/>
      <c r="AU584" s="146"/>
    </row>
    <row r="585" spans="13:47" ht="14.5" x14ac:dyDescent="0.35">
      <c r="M585" s="27"/>
      <c r="N585" s="27"/>
      <c r="O585" s="2" t="s">
        <v>191</v>
      </c>
      <c r="P585" s="10"/>
      <c r="Q585" s="2"/>
      <c r="R585" s="181">
        <f>R584/R581</f>
        <v>0.50259912723794409</v>
      </c>
      <c r="S585" s="132"/>
      <c r="T585" s="146"/>
      <c r="U585" s="138">
        <f>U584/U581</f>
        <v>0.50167328422925117</v>
      </c>
      <c r="V585" s="132"/>
      <c r="W585" s="146"/>
      <c r="X585" s="138">
        <f>X584/X581</f>
        <v>0.49687558509871427</v>
      </c>
      <c r="Y585" s="132"/>
      <c r="Z585" s="146"/>
      <c r="AA585" s="138">
        <f>AA584/AA581</f>
        <v>0.48016076561507098</v>
      </c>
      <c r="AB585" s="132"/>
      <c r="AC585" s="146"/>
      <c r="AD585" s="138">
        <f>AD584/AD581</f>
        <v>0.43684845425826191</v>
      </c>
      <c r="AE585" s="132"/>
      <c r="AF585" s="146"/>
      <c r="AG585" s="138">
        <f>AG584/AG581</f>
        <v>0.35428892305616977</v>
      </c>
      <c r="AH585" s="132"/>
      <c r="AI585" s="146"/>
      <c r="AJ585" s="138">
        <f>AJ584/AJ581</f>
        <v>0.21009141458048688</v>
      </c>
      <c r="AK585" s="132"/>
      <c r="AL585" s="146"/>
      <c r="AM585" s="138">
        <f>AM584/AM581</f>
        <v>-1.3344718332467165E-2</v>
      </c>
      <c r="AN585" s="132"/>
      <c r="AO585" s="146"/>
      <c r="AP585" s="138">
        <f>AP584/AP581</f>
        <v>-0.35807969031375358</v>
      </c>
      <c r="AQ585" s="132"/>
      <c r="AR585" s="146"/>
      <c r="AS585" s="138">
        <f>AS584/AS581</f>
        <v>-1.3555129837667399</v>
      </c>
      <c r="AT585" s="132"/>
      <c r="AU585" s="146"/>
    </row>
    <row r="586" spans="13:47" x14ac:dyDescent="0.25">
      <c r="M586" s="27"/>
      <c r="N586" s="27"/>
      <c r="O586" s="2" t="s">
        <v>26</v>
      </c>
      <c r="P586" s="7">
        <v>12</v>
      </c>
      <c r="Q586" s="2"/>
      <c r="R586" s="181">
        <f>1-R585/(3*F_GAMMA*R$29)</f>
        <v>0.73824061518641571</v>
      </c>
      <c r="S586" s="133"/>
      <c r="T586" s="146"/>
      <c r="U586" s="138">
        <f>1-U585/(3*F_GAMMA*U$29)</f>
        <v>0.73878033156671408</v>
      </c>
      <c r="V586" s="133"/>
      <c r="W586" s="146"/>
      <c r="X586" s="138">
        <f>1-X585/(3*F_GAMMA*X$29)</f>
        <v>0.73739724351761815</v>
      </c>
      <c r="Y586" s="133"/>
      <c r="Z586" s="146"/>
      <c r="AA586" s="138">
        <f>1-AA585/(3*F_GAMMA*AA$29)</f>
        <v>0.74275163655936671</v>
      </c>
      <c r="AB586" s="133"/>
      <c r="AC586" s="146"/>
      <c r="AD586" s="138">
        <f>1-AD585/(3*F_GAMMA*AD$29)</f>
        <v>0.75953943121099143</v>
      </c>
      <c r="AE586" s="133"/>
      <c r="AF586" s="146"/>
      <c r="AG586" s="138">
        <f>1-AG585/(3*F_GAMMA*AG$29)</f>
        <v>0.79385979117468297</v>
      </c>
      <c r="AH586" s="133"/>
      <c r="AI586" s="146"/>
      <c r="AJ586" s="138">
        <f>1-AJ585/(3*F_GAMMA*AJ$29)</f>
        <v>0.86932375231067249</v>
      </c>
      <c r="AK586" s="133"/>
      <c r="AL586" s="146"/>
      <c r="AM586" s="138">
        <f>1-AM585/(3*F_GAMMA*AM$29)</f>
        <v>1.0090690047457815</v>
      </c>
      <c r="AN586" s="133"/>
      <c r="AO586" s="146"/>
      <c r="AP586" s="138">
        <f>1-AP585/(3*F_GAMMA*AP$29)</f>
        <v>1.2011017791348124</v>
      </c>
      <c r="AQ586" s="133"/>
      <c r="AR586" s="146"/>
      <c r="AS586" s="138">
        <f>1-AS585/(3*F_GAMMA*AS$29)</f>
        <v>2.1556771756083393</v>
      </c>
      <c r="AT586" s="133"/>
      <c r="AU586" s="146"/>
    </row>
    <row r="587" spans="13:47" x14ac:dyDescent="0.25">
      <c r="M587" s="27"/>
      <c r="N587" s="27"/>
      <c r="O587" s="2" t="s">
        <v>71</v>
      </c>
      <c r="P587" s="85">
        <v>5</v>
      </c>
      <c r="Q587" s="2"/>
      <c r="R587" s="179">
        <f>R579/((N_6*R$27*R586)*SQRT(R585*R581*R583))</f>
        <v>0.10717464129955161</v>
      </c>
      <c r="S587" s="133"/>
      <c r="T587" s="146"/>
      <c r="U587" s="143">
        <f>U579/((N_6*U$27*U586)*SQRT(U585*U581*U583))</f>
        <v>2.9690096959889876</v>
      </c>
      <c r="V587" s="133"/>
      <c r="W587" s="146"/>
      <c r="X587" s="143">
        <f>X579/((N_6*X$27*X586)*SQRT(X585*X581*X583))</f>
        <v>7.479623695971128</v>
      </c>
      <c r="Y587" s="133"/>
      <c r="Z587" s="146"/>
      <c r="AA587" s="143">
        <f>AA579/((N_6*AA$27*AA586)*SQRT(AA585*AA581*AA583))</f>
        <v>15.289188035484122</v>
      </c>
      <c r="AB587" s="133"/>
      <c r="AC587" s="146"/>
      <c r="AD587" s="143">
        <f>AD579/((N_6*AD$27*AD586)*SQRT(AD585*AD581*AD583))</f>
        <v>28.260200797411983</v>
      </c>
      <c r="AE587" s="133"/>
      <c r="AF587" s="146"/>
      <c r="AG587" s="143">
        <f>AG579/((N_6*AG$27*AG586)*SQRT(AG585*AG581*AG583))</f>
        <v>49.326325446194147</v>
      </c>
      <c r="AH587" s="133"/>
      <c r="AI587" s="146"/>
      <c r="AJ587" s="143">
        <f>AJ579/((N_6*AJ$27*AJ586)*SQRT(AJ585*AJ581*AJ583))</f>
        <v>93.978130676188627</v>
      </c>
      <c r="AK587" s="133"/>
      <c r="AL587" s="146"/>
      <c r="AM587" s="143" t="e">
        <f>AM579/((N_6*AM$27*AM586)*SQRT(AM585*AM581*AM583))</f>
        <v>#NUM!</v>
      </c>
      <c r="AN587" s="133"/>
      <c r="AO587" s="146"/>
      <c r="AP587" s="143" t="e">
        <f>AP579/((N_6*AP$27*AP586)*SQRT(AP585*AP581*AP583))</f>
        <v>#NUM!</v>
      </c>
      <c r="AQ587" s="133"/>
      <c r="AR587" s="146"/>
      <c r="AS587" s="143" t="e">
        <f>AS579/((N_6*AS$27*AS586)*SQRT(AS585*AS581*AS583))</f>
        <v>#NUM!</v>
      </c>
      <c r="AT587" s="133"/>
      <c r="AU587" s="146"/>
    </row>
    <row r="588" spans="13:47" x14ac:dyDescent="0.25">
      <c r="M588" s="27"/>
      <c r="N588" s="27"/>
      <c r="O588" s="2" t="s">
        <v>73</v>
      </c>
      <c r="P588" s="85">
        <v>5</v>
      </c>
      <c r="Q588" s="2"/>
      <c r="R588" s="179">
        <f>R579/((N_6*R$27*0.667)*SQRT(R589*R581*R583))</f>
        <v>0.10511771153225617</v>
      </c>
      <c r="S588" s="133"/>
      <c r="T588" s="147"/>
      <c r="U588" s="143">
        <f>U579/((N_6*U$27*0.667)*SQRT(U589*U581*U583))</f>
        <v>2.9111505868456855</v>
      </c>
      <c r="V588" s="133"/>
      <c r="W588" s="155"/>
      <c r="X588" s="143">
        <f>X579/((N_6*X$27*0.667)*SQRT(X589*X581*X583))</f>
        <v>7.339486776000621</v>
      </c>
      <c r="Y588" s="133"/>
      <c r="Z588" s="155"/>
      <c r="AA588" s="143">
        <f>AA579/((N_6*AA$27*0.667)*SQRT(AA589*AA581*AA583))</f>
        <v>14.956815726236119</v>
      </c>
      <c r="AB588" s="133"/>
      <c r="AC588" s="155"/>
      <c r="AD588" s="143">
        <f>AD579/((N_6*AD$27*0.667)*SQRT(AD589*AD581*AD583))</f>
        <v>27.332685033142823</v>
      </c>
      <c r="AE588" s="133"/>
      <c r="AF588" s="155"/>
      <c r="AG588" s="143">
        <f>AG579/((N_6*AG$27*0.667)*SQRT(AG589*AG581*AG583))</f>
        <v>46.167750984664259</v>
      </c>
      <c r="AH588" s="133"/>
      <c r="AI588" s="155"/>
      <c r="AJ588" s="143">
        <f>AJ579/((N_6*AJ$27*0.667)*SQRT(AJ589*AJ581*AJ583))</f>
        <v>76.690482340831778</v>
      </c>
      <c r="AK588" s="133"/>
      <c r="AL588" s="155"/>
      <c r="AM588" s="143">
        <f>AM579/((N_6*AM$27*0.667)*SQRT(AM589*AM581*AM583))</f>
        <v>127.99087302105106</v>
      </c>
      <c r="AN588" s="133"/>
      <c r="AO588" s="155"/>
      <c r="AP588" s="143">
        <f>AP579/((N_6*AP$27*0.667)*SQRT(AP589*AP581*AP583))</f>
        <v>197.61926742155399</v>
      </c>
      <c r="AQ588" s="133"/>
      <c r="AR588" s="155"/>
      <c r="AS588" s="143">
        <f>AS579/((N_6*AS$27*0.667)*SQRT(AS589*AS581*AS583))</f>
        <v>619.09939352596655</v>
      </c>
      <c r="AT588" s="133"/>
      <c r="AU588" s="155"/>
    </row>
    <row r="589" spans="13:47" ht="15.5" x14ac:dyDescent="0.4">
      <c r="M589" s="27"/>
      <c r="N589" s="27"/>
      <c r="O589" s="2" t="s">
        <v>192</v>
      </c>
      <c r="P589" s="85">
        <v>10</v>
      </c>
      <c r="Q589" s="2"/>
      <c r="R589" s="181">
        <f>F_GAMMA*R$29</f>
        <v>0.64002688015162901</v>
      </c>
      <c r="S589" s="133"/>
      <c r="T589" s="147"/>
      <c r="U589" s="138">
        <f>F_GAMMA*U$29</f>
        <v>0.64016782916606918</v>
      </c>
      <c r="V589" s="133"/>
      <c r="W589" s="155"/>
      <c r="X589" s="138">
        <f>F_GAMMA*X$29</f>
        <v>0.6307062319203669</v>
      </c>
      <c r="Y589" s="133"/>
      <c r="Z589" s="155"/>
      <c r="AA589" s="138">
        <f>F_GAMMA*AA$29</f>
        <v>0.62217534213893466</v>
      </c>
      <c r="AB589" s="133"/>
      <c r="AC589" s="155"/>
      <c r="AD589" s="138">
        <f>F_GAMMA*AD$29</f>
        <v>0.60557184969146072</v>
      </c>
      <c r="AE589" s="133"/>
      <c r="AF589" s="155"/>
      <c r="AG589" s="138">
        <f>F_GAMMA*AG$29</f>
        <v>0.57289312142622573</v>
      </c>
      <c r="AH589" s="133"/>
      <c r="AI589" s="155"/>
      <c r="AJ589" s="138">
        <f>F_GAMMA*AJ$29</f>
        <v>0.53590819116049981</v>
      </c>
      <c r="AK589" s="133"/>
      <c r="AL589" s="155"/>
      <c r="AM589" s="138">
        <f>F_GAMMA*AM$29</f>
        <v>0.49048815926850342</v>
      </c>
      <c r="AN589" s="133"/>
      <c r="AO589" s="155"/>
      <c r="AP589" s="138">
        <f>F_GAMMA*AP$29</f>
        <v>0.59352979016280105</v>
      </c>
      <c r="AQ589" s="133"/>
      <c r="AR589" s="155"/>
      <c r="AS589" s="138">
        <f>F_GAMMA*AS$29</f>
        <v>0.39097221161068291</v>
      </c>
      <c r="AT589" s="133"/>
      <c r="AU589" s="155"/>
    </row>
    <row r="590" spans="13:47" x14ac:dyDescent="0.25">
      <c r="M590" s="27"/>
      <c r="N590" s="27"/>
      <c r="O590" s="2" t="s">
        <v>193</v>
      </c>
      <c r="P590" s="134"/>
      <c r="Q590" s="2"/>
      <c r="R590" s="181">
        <f>IF(R585&lt;R589,R587,R588)</f>
        <v>0.10717464129955161</v>
      </c>
      <c r="S590" s="133"/>
      <c r="T590" s="147"/>
      <c r="U590" s="138">
        <f>IF(U585&lt;U589,U587,U588)</f>
        <v>2.9690096959889876</v>
      </c>
      <c r="V590" s="133"/>
      <c r="W590" s="155"/>
      <c r="X590" s="138">
        <f>IF(X585&lt;X589,X587,X588)</f>
        <v>7.479623695971128</v>
      </c>
      <c r="Y590" s="133"/>
      <c r="Z590" s="155"/>
      <c r="AA590" s="138">
        <f>IF(AA585&lt;AA589,AA587,AA588)</f>
        <v>15.289188035484122</v>
      </c>
      <c r="AB590" s="133"/>
      <c r="AC590" s="155"/>
      <c r="AD590" s="138">
        <f>IF(AD585&lt;AD589,AD587,AD588)</f>
        <v>28.260200797411983</v>
      </c>
      <c r="AE590" s="133"/>
      <c r="AF590" s="155"/>
      <c r="AG590" s="138">
        <f>IF(AG585&lt;AG589,AG587,AG588)</f>
        <v>49.326325446194147</v>
      </c>
      <c r="AH590" s="133"/>
      <c r="AI590" s="155"/>
      <c r="AJ590" s="138">
        <f>IF(AJ585&lt;AJ589,AJ587,AJ588)</f>
        <v>93.978130676188627</v>
      </c>
      <c r="AK590" s="133"/>
      <c r="AL590" s="155"/>
      <c r="AM590" s="138" t="e">
        <f>IF(AM585&lt;AM589,AM587,AM588)</f>
        <v>#NUM!</v>
      </c>
      <c r="AN590" s="133"/>
      <c r="AO590" s="155"/>
      <c r="AP590" s="138" t="e">
        <f>IF(AP585&lt;AP589,AP587,AP588)</f>
        <v>#NUM!</v>
      </c>
      <c r="AQ590" s="133"/>
      <c r="AR590" s="155"/>
      <c r="AS590" s="138" t="e">
        <f>IF(AS585&lt;AS589,AS587,AS588)</f>
        <v>#NUM!</v>
      </c>
      <c r="AT590" s="133"/>
      <c r="AU590" s="155"/>
    </row>
    <row r="591" spans="13:47" ht="13" x14ac:dyDescent="0.3">
      <c r="M591" s="28"/>
      <c r="N591" s="28"/>
      <c r="O591" s="9" t="s">
        <v>194</v>
      </c>
      <c r="P591" s="1"/>
      <c r="Q591" s="1"/>
      <c r="R591" s="135"/>
      <c r="S591" s="132">
        <f>IF(R584&lt;=0,W_max,ABS(R$23-R590))</f>
        <v>1.8928253587004484</v>
      </c>
      <c r="T591" s="151">
        <f>R579</f>
        <v>24.786327596460858</v>
      </c>
      <c r="U591" s="135"/>
      <c r="V591" s="132">
        <f>IF(U584&lt;=0,W_max,ABS(U$23-U590))</f>
        <v>2.0309903040110124</v>
      </c>
      <c r="W591" s="151">
        <f>U579</f>
        <v>684.81171896754506</v>
      </c>
      <c r="X591" s="135"/>
      <c r="Y591" s="132">
        <f>IF(X584&lt;=0,W_max,ABS(X$23-X590))</f>
        <v>2.520376304028872</v>
      </c>
      <c r="Z591" s="151">
        <f>X579</f>
        <v>1693.6208745565864</v>
      </c>
      <c r="AA591" s="135"/>
      <c r="AB591" s="132">
        <f>IF(AA584&lt;=0,W_max,ABS(AA$23-AA590))</f>
        <v>1.9108119645158776</v>
      </c>
      <c r="AC591" s="151">
        <f>AA579</f>
        <v>3298.7411746760531</v>
      </c>
      <c r="AD591" s="135"/>
      <c r="AE591" s="132">
        <f>IF(AD584&lt;=0,W_max,ABS(AD$23-AD590))</f>
        <v>1.6602007974119815</v>
      </c>
      <c r="AF591" s="151">
        <f>AD579</f>
        <v>5425.2147078989092</v>
      </c>
      <c r="AG591" s="135"/>
      <c r="AH591" s="132">
        <f>IF(AG584&lt;=0,W_max,ABS(AG$23-AG590))</f>
        <v>10.926325446194149</v>
      </c>
      <c r="AI591" s="151">
        <f>AG579</f>
        <v>7609.2812943276876</v>
      </c>
      <c r="AJ591" s="135"/>
      <c r="AK591" s="132">
        <f>IF(AJ584&lt;=0,W_max,ABS(AJ$23-AJ590))</f>
        <v>41.478130676188627</v>
      </c>
      <c r="AL591" s="151">
        <f>AJ579</f>
        <v>9661.7681098336398</v>
      </c>
      <c r="AM591" s="135"/>
      <c r="AN591" s="132">
        <f>IF(AM584&lt;=0,W_max,ABS(AM$23-AM590))</f>
        <v>7174</v>
      </c>
      <c r="AO591" s="151">
        <f>AM579</f>
        <v>11329.182957795734</v>
      </c>
      <c r="AP591" s="135"/>
      <c r="AQ591" s="132">
        <f>IF(AP584&lt;=0,W_max,ABS(AP$23-AP590))</f>
        <v>7174</v>
      </c>
      <c r="AR591" s="151">
        <f>AP579</f>
        <v>12639.610819592848</v>
      </c>
      <c r="AS591" s="135"/>
      <c r="AT591" s="132">
        <f>IF(AS584&lt;=0,W_max,ABS(AS$23-AS590))</f>
        <v>7174</v>
      </c>
      <c r="AU591" s="151">
        <f>AS579</f>
        <v>14101.613705588201</v>
      </c>
    </row>
    <row r="592" spans="13:47" ht="13" x14ac:dyDescent="0.25">
      <c r="M592" s="12"/>
      <c r="N592" s="12"/>
      <c r="O592" s="12"/>
      <c r="P592" s="12"/>
      <c r="Q592" s="12"/>
      <c r="R592" s="182"/>
      <c r="S592" s="22"/>
      <c r="T592" s="152"/>
      <c r="U592" s="157"/>
      <c r="V592" s="1"/>
      <c r="W592" s="147"/>
      <c r="X592" s="157"/>
      <c r="Y592" s="1"/>
      <c r="Z592" s="147"/>
      <c r="AA592" s="157"/>
      <c r="AB592" s="1"/>
      <c r="AC592" s="147"/>
      <c r="AD592" s="157"/>
      <c r="AE592" s="1"/>
      <c r="AF592" s="147"/>
      <c r="AG592" s="157"/>
      <c r="AH592" s="1"/>
      <c r="AI592" s="147"/>
      <c r="AJ592" s="157"/>
      <c r="AK592" s="1"/>
      <c r="AL592" s="147"/>
      <c r="AM592" s="157"/>
      <c r="AN592" s="1"/>
      <c r="AO592" s="147"/>
      <c r="AP592" s="157"/>
      <c r="AQ592" s="1"/>
      <c r="AR592" s="147"/>
      <c r="AS592" s="157"/>
      <c r="AT592" s="1"/>
      <c r="AU592" s="147"/>
    </row>
    <row r="593" spans="13:47" ht="14" x14ac:dyDescent="0.3">
      <c r="M593" s="23"/>
      <c r="N593" s="23"/>
      <c r="O593" s="23" t="s">
        <v>238</v>
      </c>
      <c r="P593" s="20"/>
      <c r="Q593" s="20"/>
      <c r="R593" s="18">
        <f>R579*1.02</f>
        <v>25.282054148390074</v>
      </c>
      <c r="S593" s="128" t="s">
        <v>185</v>
      </c>
      <c r="T593" s="153" t="s">
        <v>186</v>
      </c>
      <c r="U593" s="143">
        <f>U579*1.01</f>
        <v>691.65983615722052</v>
      </c>
      <c r="V593" s="128" t="s">
        <v>185</v>
      </c>
      <c r="W593" s="153" t="s">
        <v>186</v>
      </c>
      <c r="X593" s="143">
        <f>X579*1.01</f>
        <v>1710.5570833021523</v>
      </c>
      <c r="Y593" s="128" t="s">
        <v>185</v>
      </c>
      <c r="Z593" s="153" t="s">
        <v>186</v>
      </c>
      <c r="AA593" s="143">
        <f>AA579*1.01</f>
        <v>3331.7285864228138</v>
      </c>
      <c r="AB593" s="128" t="s">
        <v>185</v>
      </c>
      <c r="AC593" s="153" t="s">
        <v>186</v>
      </c>
      <c r="AD593" s="143">
        <f>AD579*1.01</f>
        <v>5479.466854977898</v>
      </c>
      <c r="AE593" s="128" t="s">
        <v>185</v>
      </c>
      <c r="AF593" s="153" t="s">
        <v>186</v>
      </c>
      <c r="AG593" s="143">
        <f>AG579*1.01</f>
        <v>7685.3741072709645</v>
      </c>
      <c r="AH593" s="128" t="s">
        <v>185</v>
      </c>
      <c r="AI593" s="153" t="s">
        <v>186</v>
      </c>
      <c r="AJ593" s="143">
        <f>AJ579*1.01</f>
        <v>9758.3857909319759</v>
      </c>
      <c r="AK593" s="128" t="s">
        <v>185</v>
      </c>
      <c r="AL593" s="153" t="s">
        <v>186</v>
      </c>
      <c r="AM593" s="143">
        <f>AM579*1.01</f>
        <v>11442.474787373692</v>
      </c>
      <c r="AN593" s="128" t="s">
        <v>185</v>
      </c>
      <c r="AO593" s="153" t="s">
        <v>186</v>
      </c>
      <c r="AP593" s="143">
        <f>AP579*1.01</f>
        <v>12766.006927788776</v>
      </c>
      <c r="AQ593" s="128" t="s">
        <v>185</v>
      </c>
      <c r="AR593" s="153" t="s">
        <v>186</v>
      </c>
      <c r="AS593" s="143">
        <f>AS579*1.01</f>
        <v>14242.629842644083</v>
      </c>
      <c r="AT593" s="128" t="s">
        <v>185</v>
      </c>
      <c r="AU593" s="153" t="s">
        <v>186</v>
      </c>
    </row>
    <row r="594" spans="13:47" ht="14" x14ac:dyDescent="0.3">
      <c r="M594" s="12"/>
      <c r="N594" s="12"/>
      <c r="O594" s="20"/>
      <c r="P594" s="20"/>
      <c r="Q594" s="23"/>
      <c r="R594" s="139"/>
      <c r="S594" s="130" t="s">
        <v>228</v>
      </c>
      <c r="T594" s="154" t="s">
        <v>187</v>
      </c>
      <c r="U594" s="144"/>
      <c r="V594" s="130" t="s">
        <v>228</v>
      </c>
      <c r="W594" s="154" t="s">
        <v>187</v>
      </c>
      <c r="X594" s="144"/>
      <c r="Y594" s="130" t="s">
        <v>228</v>
      </c>
      <c r="Z594" s="154" t="s">
        <v>187</v>
      </c>
      <c r="AA594" s="144"/>
      <c r="AB594" s="130" t="s">
        <v>228</v>
      </c>
      <c r="AC594" s="154" t="s">
        <v>187</v>
      </c>
      <c r="AD594" s="144"/>
      <c r="AE594" s="130" t="s">
        <v>228</v>
      </c>
      <c r="AF594" s="154" t="s">
        <v>187</v>
      </c>
      <c r="AG594" s="144"/>
      <c r="AH594" s="130" t="s">
        <v>228</v>
      </c>
      <c r="AI594" s="154" t="s">
        <v>187</v>
      </c>
      <c r="AJ594" s="144"/>
      <c r="AK594" s="130" t="s">
        <v>228</v>
      </c>
      <c r="AL594" s="154" t="s">
        <v>187</v>
      </c>
      <c r="AM594" s="144"/>
      <c r="AN594" s="130" t="s">
        <v>228</v>
      </c>
      <c r="AO594" s="154" t="s">
        <v>187</v>
      </c>
      <c r="AP594" s="144"/>
      <c r="AQ594" s="130" t="s">
        <v>228</v>
      </c>
      <c r="AR594" s="154" t="s">
        <v>187</v>
      </c>
      <c r="AS594" s="144"/>
      <c r="AT594" s="130" t="s">
        <v>228</v>
      </c>
      <c r="AU594" s="154" t="s">
        <v>187</v>
      </c>
    </row>
    <row r="595" spans="13:47" x14ac:dyDescent="0.25">
      <c r="M595" s="20"/>
      <c r="N595" s="20"/>
      <c r="O595" s="7" t="s">
        <v>188</v>
      </c>
      <c r="P595" s="7"/>
      <c r="Q595" s="7"/>
      <c r="R595" s="181">
        <f>P_1_minW-(R593^2*R_up)+dpup_minQ</f>
        <v>100.52253185523408</v>
      </c>
      <c r="S595" s="132"/>
      <c r="T595" s="145"/>
      <c r="U595" s="138">
        <f>P_1_minW-(U593^2*R_up)+dpup_minQ</f>
        <v>100.33202173429338</v>
      </c>
      <c r="V595" s="132"/>
      <c r="W595" s="145"/>
      <c r="X595" s="138">
        <f>P_1_minW-(X593^2*R_up)+dpup_minQ</f>
        <v>99.356007395821763</v>
      </c>
      <c r="Y595" s="132"/>
      <c r="Z595" s="145"/>
      <c r="AA595" s="138">
        <f>P_1_minW-(AA593^2*R_up)+dpup_minQ</f>
        <v>96.096364716194145</v>
      </c>
      <c r="AB595" s="132"/>
      <c r="AC595" s="145"/>
      <c r="AD595" s="138">
        <f>P_1_minW-(AD593^2*R_up)+dpup_minQ</f>
        <v>88.550139240734183</v>
      </c>
      <c r="AE595" s="132"/>
      <c r="AF595" s="145"/>
      <c r="AG595" s="138">
        <f>P_1_minW-(AG593^2*R_up)+dpup_minQ</f>
        <v>76.969928764303873</v>
      </c>
      <c r="AH595" s="132"/>
      <c r="AI595" s="145"/>
      <c r="AJ595" s="138">
        <f>P_1_minW-(AJ593^2*R_up)+dpup_minQ</f>
        <v>62.55025490963525</v>
      </c>
      <c r="AK595" s="132"/>
      <c r="AL595" s="145"/>
      <c r="AM595" s="138">
        <f>P_1_minW-(AM593^2*R_up)+dpup_minQ</f>
        <v>48.312808060841874</v>
      </c>
      <c r="AN595" s="132"/>
      <c r="AO595" s="145"/>
      <c r="AP595" s="138">
        <f>P_1_minW-(AP593^2*R_up)+dpup_minQ</f>
        <v>35.536198241595471</v>
      </c>
      <c r="AQ595" s="132"/>
      <c r="AR595" s="145"/>
      <c r="AS595" s="138">
        <f>P_1_minW-(AS593^2*R_up)+dpup_minQ</f>
        <v>19.632949365730099</v>
      </c>
      <c r="AT595" s="132"/>
      <c r="AU595" s="145"/>
    </row>
    <row r="596" spans="13:47" x14ac:dyDescent="0.25">
      <c r="M596" s="20"/>
      <c r="N596" s="20"/>
      <c r="O596" s="7" t="s">
        <v>189</v>
      </c>
      <c r="P596" s="1"/>
      <c r="Q596" s="7"/>
      <c r="R596" s="181">
        <f>P_2_minW+(R593^2*R_dn)-dpdn_minQ</f>
        <v>50</v>
      </c>
      <c r="S596" s="132"/>
      <c r="T596" s="146"/>
      <c r="U596" s="138">
        <f>P_2_minW+(U593^2*R_dn)-dpdn_minQ</f>
        <v>50</v>
      </c>
      <c r="V596" s="132"/>
      <c r="W596" s="146"/>
      <c r="X596" s="138">
        <f>P_2_minW+(X593^2*R_dn)-dpdn_minQ</f>
        <v>50</v>
      </c>
      <c r="Y596" s="132"/>
      <c r="Z596" s="146"/>
      <c r="AA596" s="138">
        <f>P_2_minW+(AA593^2*R_dn)-dpdn_minQ</f>
        <v>50</v>
      </c>
      <c r="AB596" s="132"/>
      <c r="AC596" s="146"/>
      <c r="AD596" s="138">
        <f>P_2_minW+(AD593^2*R_dn)-dpdn_minQ</f>
        <v>50</v>
      </c>
      <c r="AE596" s="132"/>
      <c r="AF596" s="146"/>
      <c r="AG596" s="138">
        <f>P_2_minW+(AG593^2*R_dn)-dpdn_minQ</f>
        <v>50</v>
      </c>
      <c r="AH596" s="132"/>
      <c r="AI596" s="146"/>
      <c r="AJ596" s="138">
        <f>P_2_minW+(AJ593^2*R_dn)-dpdn_minQ</f>
        <v>50</v>
      </c>
      <c r="AK596" s="132"/>
      <c r="AL596" s="146"/>
      <c r="AM596" s="138">
        <f>P_2_minW+(AM593^2*R_dn)-dpdn_minQ</f>
        <v>50</v>
      </c>
      <c r="AN596" s="132"/>
      <c r="AO596" s="146"/>
      <c r="AP596" s="138">
        <f>P_2_minW+(AP593^2*R_dn)-dpdn_minQ</f>
        <v>50</v>
      </c>
      <c r="AQ596" s="132"/>
      <c r="AR596" s="146"/>
      <c r="AS596" s="138">
        <f>P_2_minW+(AS593^2*R_dn)-dpdn_minQ</f>
        <v>50</v>
      </c>
      <c r="AT596" s="132"/>
      <c r="AU596" s="146"/>
    </row>
    <row r="597" spans="13:47" x14ac:dyDescent="0.25">
      <c r="M597" s="20"/>
      <c r="N597" s="20"/>
      <c r="O597" s="7" t="s">
        <v>234</v>
      </c>
      <c r="P597" s="1"/>
      <c r="Q597" s="7"/>
      <c r="R597" s="179">
        <f>'Valve Sizing'!G$8*R595/P_1_maxW</f>
        <v>0.48490279673594933</v>
      </c>
      <c r="S597" s="132"/>
      <c r="T597" s="146"/>
      <c r="U597" s="143">
        <f>'Valve Sizing'!$G$8*U595/P_1_maxW</f>
        <v>0.48398380983076777</v>
      </c>
      <c r="V597" s="132"/>
      <c r="W597" s="146"/>
      <c r="X597" s="143">
        <f>'Valve Sizing'!$G$8*X595/P_1_maxW</f>
        <v>0.47927569043062335</v>
      </c>
      <c r="Y597" s="132"/>
      <c r="Z597" s="146"/>
      <c r="AA597" s="143">
        <f>'Valve Sizing'!$G$8*AA595/P_1_maxW</f>
        <v>0.46355175448770869</v>
      </c>
      <c r="AB597" s="132"/>
      <c r="AC597" s="146"/>
      <c r="AD597" s="143">
        <f>'Valve Sizing'!$G$8*AD595/P_1_maxW</f>
        <v>0.42715010631672623</v>
      </c>
      <c r="AE597" s="132"/>
      <c r="AF597" s="146"/>
      <c r="AG597" s="143">
        <f>'Valve Sizing'!$G$8*AG595/P_1_maxW</f>
        <v>0.37128923270782482</v>
      </c>
      <c r="AH597" s="132"/>
      <c r="AI597" s="146"/>
      <c r="AJ597" s="143">
        <f>'Valve Sizing'!$G$8*AJ595/P_1_maxW</f>
        <v>0.30173129329759707</v>
      </c>
      <c r="AK597" s="132"/>
      <c r="AL597" s="146"/>
      <c r="AM597" s="143">
        <f>'Valve Sizing'!$G$8*AM595/P_1_maxW</f>
        <v>0.23305238452019278</v>
      </c>
      <c r="AN597" s="132"/>
      <c r="AO597" s="146"/>
      <c r="AP597" s="143">
        <f>'Valve Sizing'!$G$8*AP595/P_1_maxW</f>
        <v>0.17142029348732069</v>
      </c>
      <c r="AQ597" s="132"/>
      <c r="AR597" s="146"/>
      <c r="AS597" s="143">
        <f>'Valve Sizing'!$G$8*AS595/P_1_maxW</f>
        <v>9.4705852309092134E-2</v>
      </c>
      <c r="AT597" s="132"/>
      <c r="AU597" s="146"/>
    </row>
    <row r="598" spans="13:47" x14ac:dyDescent="0.25">
      <c r="M598" s="20"/>
      <c r="N598" s="20"/>
      <c r="O598" s="7" t="s">
        <v>190</v>
      </c>
      <c r="P598" s="1"/>
      <c r="Q598" s="7"/>
      <c r="R598" s="181">
        <f>R595-R596</f>
        <v>50.522531855234078</v>
      </c>
      <c r="S598" s="132"/>
      <c r="T598" s="146"/>
      <c r="U598" s="138">
        <f>U595-U596</f>
        <v>50.332021734293377</v>
      </c>
      <c r="V598" s="132"/>
      <c r="W598" s="146"/>
      <c r="X598" s="138">
        <f>X595-X596</f>
        <v>49.356007395821763</v>
      </c>
      <c r="Y598" s="132"/>
      <c r="Z598" s="146"/>
      <c r="AA598" s="138">
        <f>AA595-AA596</f>
        <v>46.096364716194145</v>
      </c>
      <c r="AB598" s="132"/>
      <c r="AC598" s="146"/>
      <c r="AD598" s="138">
        <f>AD595-AD596</f>
        <v>38.550139240734183</v>
      </c>
      <c r="AE598" s="132"/>
      <c r="AF598" s="146"/>
      <c r="AG598" s="138">
        <f>AG595-AG596</f>
        <v>26.969928764303873</v>
      </c>
      <c r="AH598" s="132"/>
      <c r="AI598" s="146"/>
      <c r="AJ598" s="138">
        <f>AJ595-AJ596</f>
        <v>12.55025490963525</v>
      </c>
      <c r="AK598" s="132"/>
      <c r="AL598" s="146"/>
      <c r="AM598" s="138">
        <f>AM595-AM596</f>
        <v>-1.6871919391581258</v>
      </c>
      <c r="AN598" s="132"/>
      <c r="AO598" s="146"/>
      <c r="AP598" s="138">
        <f>AP595-AP596</f>
        <v>-14.463801758404529</v>
      </c>
      <c r="AQ598" s="132"/>
      <c r="AR598" s="146"/>
      <c r="AS598" s="138">
        <f>AS595-AS596</f>
        <v>-30.367050634269901</v>
      </c>
      <c r="AT598" s="132"/>
      <c r="AU598" s="146"/>
    </row>
    <row r="599" spans="13:47" ht="14.5" x14ac:dyDescent="0.35">
      <c r="M599" s="27"/>
      <c r="N599" s="27"/>
      <c r="O599" s="2" t="s">
        <v>191</v>
      </c>
      <c r="P599" s="10"/>
      <c r="Q599" s="2"/>
      <c r="R599" s="181">
        <f>R598/R595</f>
        <v>0.50259907826429695</v>
      </c>
      <c r="S599" s="132"/>
      <c r="T599" s="146"/>
      <c r="U599" s="138">
        <f>U598/U595</f>
        <v>0.5016546149900809</v>
      </c>
      <c r="V599" s="132"/>
      <c r="W599" s="146"/>
      <c r="X599" s="138">
        <f>X598/X595</f>
        <v>0.4967591662494415</v>
      </c>
      <c r="Y599" s="132"/>
      <c r="Z599" s="146"/>
      <c r="AA599" s="138">
        <f>AA598/AA595</f>
        <v>0.47968895443997989</v>
      </c>
      <c r="AB599" s="132"/>
      <c r="AC599" s="146"/>
      <c r="AD599" s="138">
        <f>AD598/AD595</f>
        <v>0.4353481493228486</v>
      </c>
      <c r="AE599" s="132"/>
      <c r="AF599" s="146"/>
      <c r="AG599" s="138">
        <f>AG598/AG595</f>
        <v>0.35039565707395642</v>
      </c>
      <c r="AH599" s="132"/>
      <c r="AI599" s="146"/>
      <c r="AJ599" s="138">
        <f>AJ598/AJ595</f>
        <v>0.20064274602503668</v>
      </c>
      <c r="AK599" s="132"/>
      <c r="AL599" s="146"/>
      <c r="AM599" s="138">
        <f>AM598/AM595</f>
        <v>-3.4922249541641019E-2</v>
      </c>
      <c r="AN599" s="132"/>
      <c r="AO599" s="146"/>
      <c r="AP599" s="138">
        <f>AP598/AP595</f>
        <v>-0.40701601392673753</v>
      </c>
      <c r="AQ599" s="132"/>
      <c r="AR599" s="146"/>
      <c r="AS599" s="138">
        <f>AS598/AS595</f>
        <v>-1.5467391102875505</v>
      </c>
      <c r="AT599" s="132"/>
      <c r="AU599" s="146"/>
    </row>
    <row r="600" spans="13:47" x14ac:dyDescent="0.25">
      <c r="M600" s="27"/>
      <c r="N600" s="27"/>
      <c r="O600" s="2" t="s">
        <v>26</v>
      </c>
      <c r="P600" s="7">
        <v>12</v>
      </c>
      <c r="Q600" s="2"/>
      <c r="R600" s="181">
        <f>1-R599/(3*F_GAMMA*R$29)</f>
        <v>0.73824064069245243</v>
      </c>
      <c r="S600" s="133"/>
      <c r="T600" s="146"/>
      <c r="U600" s="138">
        <f>1-U599/(3*F_GAMMA*U$29)</f>
        <v>0.73879005257961072</v>
      </c>
      <c r="V600" s="133"/>
      <c r="W600" s="146"/>
      <c r="X600" s="138">
        <f>1-X599/(3*F_GAMMA*X$29)</f>
        <v>0.73745877181895225</v>
      </c>
      <c r="Y600" s="133"/>
      <c r="Z600" s="146"/>
      <c r="AA600" s="138">
        <f>1-AA599/(3*F_GAMMA*AA$29)</f>
        <v>0.74300441159084962</v>
      </c>
      <c r="AB600" s="133"/>
      <c r="AC600" s="146"/>
      <c r="AD600" s="138">
        <f>1-AD599/(3*F_GAMMA*AD$29)</f>
        <v>0.76036526491741718</v>
      </c>
      <c r="AE600" s="133"/>
      <c r="AF600" s="146"/>
      <c r="AG600" s="138">
        <f>1-AG599/(3*F_GAMMA*AG$29)</f>
        <v>0.79612505720575988</v>
      </c>
      <c r="AH600" s="133"/>
      <c r="AI600" s="146"/>
      <c r="AJ600" s="138">
        <f>1-AJ599/(3*F_GAMMA*AJ$29)</f>
        <v>0.87520079661994077</v>
      </c>
      <c r="AK600" s="133"/>
      <c r="AL600" s="146"/>
      <c r="AM600" s="138">
        <f>1-AM599/(3*F_GAMMA*AM$29)</f>
        <v>1.0237329885079678</v>
      </c>
      <c r="AN600" s="133"/>
      <c r="AO600" s="146"/>
      <c r="AP600" s="138">
        <f>1-AP599/(3*F_GAMMA*AP$29)</f>
        <v>1.2285849958854331</v>
      </c>
      <c r="AQ600" s="133"/>
      <c r="AR600" s="146"/>
      <c r="AS600" s="138">
        <f>1-AS599/(3*F_GAMMA*AS$29)</f>
        <v>2.3187118882571136</v>
      </c>
      <c r="AT600" s="133"/>
      <c r="AU600" s="146"/>
    </row>
    <row r="601" spans="13:47" x14ac:dyDescent="0.25">
      <c r="M601" s="27"/>
      <c r="N601" s="27"/>
      <c r="O601" s="2" t="s">
        <v>71</v>
      </c>
      <c r="P601" s="85">
        <v>5</v>
      </c>
      <c r="Q601" s="2"/>
      <c r="R601" s="179">
        <f>R593/((N_6*R$27*R600)*SQRT(R599*R595*R597))</f>
        <v>0.10931814643801561</v>
      </c>
      <c r="S601" s="133"/>
      <c r="T601" s="146"/>
      <c r="U601" s="143">
        <f>U593/((N_6*U$27*U600)*SQRT(U599*U595*U597))</f>
        <v>2.9988284770044333</v>
      </c>
      <c r="V601" s="133"/>
      <c r="W601" s="146"/>
      <c r="X601" s="143">
        <f>X593/((N_6*X$27*X600)*SQRT(X599*X595*X597))</f>
        <v>7.5564228243964395</v>
      </c>
      <c r="Y601" s="133"/>
      <c r="Z601" s="146"/>
      <c r="AA601" s="143">
        <f>AA593/((N_6*AA$27*AA600)*SQRT(AA599*AA595*AA597))</f>
        <v>15.458433711363035</v>
      </c>
      <c r="AB601" s="133"/>
      <c r="AC601" s="146"/>
      <c r="AD601" s="143">
        <f>AD593/((N_6*AD$27*AD600)*SQRT(AD599*AD595*AD597))</f>
        <v>28.636978848025592</v>
      </c>
      <c r="AE601" s="133"/>
      <c r="AF601" s="146"/>
      <c r="AG601" s="143">
        <f>AG593/((N_6*AG$27*AG600)*SQRT(AG599*AG595*AG597))</f>
        <v>50.254246199949534</v>
      </c>
      <c r="AH601" s="133"/>
      <c r="AI601" s="146"/>
      <c r="AJ601" s="143">
        <f>AJ593/((N_6*AJ$27*AJ600)*SQRT(AJ599*AJ595*AJ597))</f>
        <v>97.628928983777314</v>
      </c>
      <c r="AK601" s="133"/>
      <c r="AL601" s="146"/>
      <c r="AM601" s="143" t="e">
        <f>AM593/((N_6*AM$27*AM600)*SQRT(AM599*AM595*AM597))</f>
        <v>#NUM!</v>
      </c>
      <c r="AN601" s="133"/>
      <c r="AO601" s="146"/>
      <c r="AP601" s="143" t="e">
        <f>AP593/((N_6*AP$27*AP600)*SQRT(AP599*AP595*AP597))</f>
        <v>#NUM!</v>
      </c>
      <c r="AQ601" s="133"/>
      <c r="AR601" s="146"/>
      <c r="AS601" s="143" t="e">
        <f>AS593/((N_6*AS$27*AS600)*SQRT(AS599*AS595*AS597))</f>
        <v>#NUM!</v>
      </c>
      <c r="AT601" s="133"/>
      <c r="AU601" s="146"/>
    </row>
    <row r="602" spans="13:47" x14ac:dyDescent="0.25">
      <c r="M602" s="27"/>
      <c r="N602" s="27"/>
      <c r="O602" s="2" t="s">
        <v>73</v>
      </c>
      <c r="P602" s="85">
        <v>5</v>
      </c>
      <c r="Q602" s="2"/>
      <c r="R602" s="179">
        <f>R593/((N_6*R$27*0.667)*SQRT(R603*R595*R597))</f>
        <v>0.10722007631969351</v>
      </c>
      <c r="S602" s="133"/>
      <c r="T602" s="155"/>
      <c r="U602" s="143">
        <f>U593/((N_6*U$27*0.667)*SQRT(U603*U595*U597))</f>
        <v>2.9403722462629984</v>
      </c>
      <c r="V602" s="133"/>
      <c r="W602" s="155"/>
      <c r="X602" s="143">
        <f>X593/((N_6*X$27*0.667)*SQRT(X603*X595*X597))</f>
        <v>7.4145969235705547</v>
      </c>
      <c r="Y602" s="133"/>
      <c r="Z602" s="155"/>
      <c r="AA602" s="143">
        <f>AA593/((N_6*AA$27*0.667)*SQRT(AA603*AA595*AA597))</f>
        <v>15.120094585307831</v>
      </c>
      <c r="AB602" s="133"/>
      <c r="AC602" s="155"/>
      <c r="AD602" s="143">
        <f>AD593/((N_6*AD$27*0.667)*SQRT(AD603*AD595*AD597))</f>
        <v>27.679557692216193</v>
      </c>
      <c r="AE602" s="133"/>
      <c r="AF602" s="155"/>
      <c r="AG602" s="143">
        <f>AG593/((N_6*AG$27*0.667)*SQRT(AG603*AG595*AG597))</f>
        <v>46.910577098290432</v>
      </c>
      <c r="AH602" s="133"/>
      <c r="AI602" s="155"/>
      <c r="AJ602" s="143">
        <f>AJ593/((N_6*AJ$27*0.667)*SQRT(AJ603*AJ595*AJ597))</f>
        <v>78.38391105826436</v>
      </c>
      <c r="AK602" s="133"/>
      <c r="AL602" s="155"/>
      <c r="AM602" s="143">
        <f>AM593/((N_6*AM$27*0.667)*SQRT(AM603*AM595*AM597))</f>
        <v>132.02339325375425</v>
      </c>
      <c r="AN602" s="133"/>
      <c r="AO602" s="155"/>
      <c r="AP602" s="143">
        <f>AP593/((N_6*AP$27*0.667)*SQRT(AP603*AP595*AP597))</f>
        <v>206.78757709493649</v>
      </c>
      <c r="AQ602" s="133"/>
      <c r="AR602" s="155"/>
      <c r="AS602" s="143">
        <f>AS593/((N_6*AS$27*0.667)*SQRT(AS603*AS595*AS597))</f>
        <v>676.05294303572271</v>
      </c>
      <c r="AT602" s="133"/>
      <c r="AU602" s="155"/>
    </row>
    <row r="603" spans="13:47" ht="15.5" x14ac:dyDescent="0.4">
      <c r="M603" s="27"/>
      <c r="N603" s="27"/>
      <c r="O603" s="2" t="s">
        <v>192</v>
      </c>
      <c r="P603" s="85">
        <v>10</v>
      </c>
      <c r="Q603" s="2"/>
      <c r="R603" s="181">
        <f>F_GAMMA*R$29</f>
        <v>0.64002688015162901</v>
      </c>
      <c r="S603" s="133"/>
      <c r="T603" s="155"/>
      <c r="U603" s="138">
        <f>F_GAMMA*U$29</f>
        <v>0.64016782916606918</v>
      </c>
      <c r="V603" s="133"/>
      <c r="W603" s="155"/>
      <c r="X603" s="138">
        <f>F_GAMMA*X$29</f>
        <v>0.6307062319203669</v>
      </c>
      <c r="Y603" s="133"/>
      <c r="Z603" s="155"/>
      <c r="AA603" s="138">
        <f>F_GAMMA*AA$29</f>
        <v>0.62217534213893466</v>
      </c>
      <c r="AB603" s="133"/>
      <c r="AC603" s="155"/>
      <c r="AD603" s="138">
        <f>F_GAMMA*AD$29</f>
        <v>0.60557184969146072</v>
      </c>
      <c r="AE603" s="133"/>
      <c r="AF603" s="155"/>
      <c r="AG603" s="138">
        <f>F_GAMMA*AG$29</f>
        <v>0.57289312142622573</v>
      </c>
      <c r="AH603" s="133"/>
      <c r="AI603" s="155"/>
      <c r="AJ603" s="138">
        <f>F_GAMMA*AJ$29</f>
        <v>0.53590819116049981</v>
      </c>
      <c r="AK603" s="133"/>
      <c r="AL603" s="155"/>
      <c r="AM603" s="138">
        <f>F_GAMMA*AM$29</f>
        <v>0.49048815926850342</v>
      </c>
      <c r="AN603" s="133"/>
      <c r="AO603" s="155"/>
      <c r="AP603" s="138">
        <f>F_GAMMA*AP$29</f>
        <v>0.59352979016280105</v>
      </c>
      <c r="AQ603" s="133"/>
      <c r="AR603" s="155"/>
      <c r="AS603" s="138">
        <f>F_GAMMA*AS$29</f>
        <v>0.39097221161068291</v>
      </c>
      <c r="AT603" s="133"/>
      <c r="AU603" s="155"/>
    </row>
    <row r="604" spans="13:47" x14ac:dyDescent="0.25">
      <c r="M604" s="27"/>
      <c r="N604" s="27"/>
      <c r="O604" s="2" t="s">
        <v>193</v>
      </c>
      <c r="P604" s="134"/>
      <c r="Q604" s="2"/>
      <c r="R604" s="181">
        <f>IF(R599&lt;R603,R601,R602)</f>
        <v>0.10931814643801561</v>
      </c>
      <c r="S604" s="133"/>
      <c r="T604" s="155"/>
      <c r="U604" s="138">
        <f>IF(U599&lt;U603,U601,U602)</f>
        <v>2.9988284770044333</v>
      </c>
      <c r="V604" s="133"/>
      <c r="W604" s="155"/>
      <c r="X604" s="138">
        <f>IF(X599&lt;X603,X601,X602)</f>
        <v>7.5564228243964395</v>
      </c>
      <c r="Y604" s="133"/>
      <c r="Z604" s="155"/>
      <c r="AA604" s="138">
        <f>IF(AA599&lt;AA603,AA601,AA602)</f>
        <v>15.458433711363035</v>
      </c>
      <c r="AB604" s="133"/>
      <c r="AC604" s="155"/>
      <c r="AD604" s="138">
        <f>IF(AD599&lt;AD603,AD601,AD602)</f>
        <v>28.636978848025592</v>
      </c>
      <c r="AE604" s="133"/>
      <c r="AF604" s="155"/>
      <c r="AG604" s="138">
        <f>IF(AG599&lt;AG603,AG601,AG602)</f>
        <v>50.254246199949534</v>
      </c>
      <c r="AH604" s="133"/>
      <c r="AI604" s="155"/>
      <c r="AJ604" s="138">
        <f>IF(AJ599&lt;AJ603,AJ601,AJ602)</f>
        <v>97.628928983777314</v>
      </c>
      <c r="AK604" s="133"/>
      <c r="AL604" s="155"/>
      <c r="AM604" s="138" t="e">
        <f>IF(AM599&lt;AM603,AM601,AM602)</f>
        <v>#NUM!</v>
      </c>
      <c r="AN604" s="133"/>
      <c r="AO604" s="155"/>
      <c r="AP604" s="138" t="e">
        <f>IF(AP599&lt;AP603,AP601,AP602)</f>
        <v>#NUM!</v>
      </c>
      <c r="AQ604" s="133"/>
      <c r="AR604" s="155"/>
      <c r="AS604" s="138" t="e">
        <f>IF(AS599&lt;AS603,AS601,AS602)</f>
        <v>#NUM!</v>
      </c>
      <c r="AT604" s="133"/>
      <c r="AU604" s="155"/>
    </row>
    <row r="605" spans="13:47" ht="13" x14ac:dyDescent="0.3">
      <c r="M605" s="28"/>
      <c r="N605" s="28"/>
      <c r="O605" s="9" t="s">
        <v>194</v>
      </c>
      <c r="P605" s="1"/>
      <c r="Q605" s="1"/>
      <c r="R605" s="135"/>
      <c r="S605" s="132">
        <f>IF(R598&lt;=0,W_max,ABS(R$23-R604))</f>
        <v>1.8906818535619845</v>
      </c>
      <c r="T605" s="151">
        <f>R593</f>
        <v>25.282054148390074</v>
      </c>
      <c r="U605" s="135"/>
      <c r="V605" s="132">
        <f>IF(U598&lt;=0,W_max,ABS(U$23-U604))</f>
        <v>2.0011715229955667</v>
      </c>
      <c r="W605" s="151">
        <f>U593</f>
        <v>691.65983615722052</v>
      </c>
      <c r="X605" s="135"/>
      <c r="Y605" s="132">
        <f>IF(X598&lt;=0,W_max,ABS(X$23-X604))</f>
        <v>2.4435771756035605</v>
      </c>
      <c r="Z605" s="151">
        <f>X593</f>
        <v>1710.5570833021523</v>
      </c>
      <c r="AA605" s="135"/>
      <c r="AB605" s="132">
        <f>IF(AA598&lt;=0,W_max,ABS(AA$23-AA604))</f>
        <v>1.7415662886369638</v>
      </c>
      <c r="AC605" s="151">
        <f>AA593</f>
        <v>3331.7285864228138</v>
      </c>
      <c r="AD605" s="135"/>
      <c r="AE605" s="132">
        <f>IF(AD598&lt;=0,W_max,ABS(AD$23-AD604))</f>
        <v>2.0369788480255906</v>
      </c>
      <c r="AF605" s="151">
        <f>AD593</f>
        <v>5479.466854977898</v>
      </c>
      <c r="AG605" s="135"/>
      <c r="AH605" s="132">
        <f>IF(AG598&lt;=0,W_max,ABS(AG$23-AG604))</f>
        <v>11.854246199949536</v>
      </c>
      <c r="AI605" s="151">
        <f>AG593</f>
        <v>7685.3741072709645</v>
      </c>
      <c r="AJ605" s="135"/>
      <c r="AK605" s="132">
        <f>IF(AJ598&lt;=0,W_max,ABS(AJ$23-AJ604))</f>
        <v>45.128928983777314</v>
      </c>
      <c r="AL605" s="151">
        <f>AJ593</f>
        <v>9758.3857909319759</v>
      </c>
      <c r="AM605" s="135"/>
      <c r="AN605" s="132">
        <f>IF(AM598&lt;=0,W_max,ABS(AM$23-AM604))</f>
        <v>7174</v>
      </c>
      <c r="AO605" s="151">
        <f>AM593</f>
        <v>11442.474787373692</v>
      </c>
      <c r="AP605" s="135"/>
      <c r="AQ605" s="132">
        <f>IF(AP598&lt;=0,W_max,ABS(AP$23-AP604))</f>
        <v>7174</v>
      </c>
      <c r="AR605" s="151">
        <f>AP593</f>
        <v>12766.006927788776</v>
      </c>
      <c r="AS605" s="135"/>
      <c r="AT605" s="132">
        <f>IF(AS598&lt;=0,W_max,ABS(AS$23-AS604))</f>
        <v>7174</v>
      </c>
      <c r="AU605" s="151">
        <f>AS593</f>
        <v>14242.629842644083</v>
      </c>
    </row>
    <row r="606" spans="13:47" ht="13" x14ac:dyDescent="0.25">
      <c r="M606" s="12"/>
      <c r="N606" s="12"/>
      <c r="O606" s="2"/>
      <c r="P606" s="85"/>
      <c r="Q606" s="2"/>
      <c r="R606" s="18"/>
      <c r="S606" s="150"/>
      <c r="T606" s="152"/>
      <c r="U606" s="157"/>
      <c r="V606" s="1"/>
      <c r="W606" s="147"/>
      <c r="X606" s="157"/>
      <c r="Y606" s="1"/>
      <c r="Z606" s="147"/>
      <c r="AA606" s="157"/>
      <c r="AB606" s="1"/>
      <c r="AC606" s="147"/>
      <c r="AD606" s="157"/>
      <c r="AE606" s="1"/>
      <c r="AF606" s="147"/>
      <c r="AG606" s="157"/>
      <c r="AH606" s="1"/>
      <c r="AI606" s="147"/>
      <c r="AJ606" s="157"/>
      <c r="AK606" s="1"/>
      <c r="AL606" s="147"/>
      <c r="AM606" s="157"/>
      <c r="AN606" s="1"/>
      <c r="AO606" s="147"/>
      <c r="AP606" s="157"/>
      <c r="AQ606" s="1"/>
      <c r="AR606" s="147"/>
      <c r="AS606" s="157"/>
      <c r="AT606" s="1"/>
      <c r="AU606" s="147"/>
    </row>
    <row r="607" spans="13:47" ht="14" x14ac:dyDescent="0.3">
      <c r="M607" s="23"/>
      <c r="N607" s="23"/>
      <c r="O607" s="23" t="s">
        <v>238</v>
      </c>
      <c r="P607" s="20"/>
      <c r="Q607" s="20"/>
      <c r="R607" s="181">
        <f>R593*1.02</f>
        <v>25.787695231357876</v>
      </c>
      <c r="S607" s="128" t="s">
        <v>185</v>
      </c>
      <c r="T607" s="153" t="s">
        <v>186</v>
      </c>
      <c r="U607" s="143">
        <f>U593*1.01</f>
        <v>698.57643451879278</v>
      </c>
      <c r="V607" s="128" t="s">
        <v>185</v>
      </c>
      <c r="W607" s="153" t="s">
        <v>186</v>
      </c>
      <c r="X607" s="143">
        <f>X593*1.01</f>
        <v>1727.6626541351739</v>
      </c>
      <c r="Y607" s="128" t="s">
        <v>185</v>
      </c>
      <c r="Z607" s="153" t="s">
        <v>186</v>
      </c>
      <c r="AA607" s="143">
        <f>AA593*1.01</f>
        <v>3365.0458722870421</v>
      </c>
      <c r="AB607" s="128" t="s">
        <v>185</v>
      </c>
      <c r="AC607" s="153" t="s">
        <v>186</v>
      </c>
      <c r="AD607" s="143">
        <f>AD593*1.01</f>
        <v>5534.2615235276771</v>
      </c>
      <c r="AE607" s="128" t="s">
        <v>185</v>
      </c>
      <c r="AF607" s="153" t="s">
        <v>186</v>
      </c>
      <c r="AG607" s="143">
        <f>AG593*1.01</f>
        <v>7762.2278483436739</v>
      </c>
      <c r="AH607" s="128" t="s">
        <v>185</v>
      </c>
      <c r="AI607" s="153" t="s">
        <v>186</v>
      </c>
      <c r="AJ607" s="143">
        <f>AJ593*1.01</f>
        <v>9855.9696488412956</v>
      </c>
      <c r="AK607" s="128" t="s">
        <v>185</v>
      </c>
      <c r="AL607" s="153" t="s">
        <v>186</v>
      </c>
      <c r="AM607" s="143">
        <f>AM593*1.01</f>
        <v>11556.899535247429</v>
      </c>
      <c r="AN607" s="128" t="s">
        <v>185</v>
      </c>
      <c r="AO607" s="153" t="s">
        <v>186</v>
      </c>
      <c r="AP607" s="143">
        <f>AP593*1.01</f>
        <v>12893.666997066664</v>
      </c>
      <c r="AQ607" s="128" t="s">
        <v>185</v>
      </c>
      <c r="AR607" s="153" t="s">
        <v>186</v>
      </c>
      <c r="AS607" s="143">
        <f>AS593*1.01</f>
        <v>14385.056141070523</v>
      </c>
      <c r="AT607" s="128" t="s">
        <v>185</v>
      </c>
      <c r="AU607" s="153" t="s">
        <v>186</v>
      </c>
    </row>
    <row r="608" spans="13:47" ht="14" x14ac:dyDescent="0.3">
      <c r="M608" s="12"/>
      <c r="N608" s="12"/>
      <c r="O608" s="20"/>
      <c r="P608" s="20"/>
      <c r="Q608" s="23"/>
      <c r="R608" s="139"/>
      <c r="S608" s="130" t="s">
        <v>228</v>
      </c>
      <c r="T608" s="154" t="s">
        <v>187</v>
      </c>
      <c r="U608" s="144"/>
      <c r="V608" s="130" t="s">
        <v>228</v>
      </c>
      <c r="W608" s="154" t="s">
        <v>187</v>
      </c>
      <c r="X608" s="144"/>
      <c r="Y608" s="130" t="s">
        <v>228</v>
      </c>
      <c r="Z608" s="154" t="s">
        <v>187</v>
      </c>
      <c r="AA608" s="144"/>
      <c r="AB608" s="130" t="s">
        <v>228</v>
      </c>
      <c r="AC608" s="154" t="s">
        <v>187</v>
      </c>
      <c r="AD608" s="144"/>
      <c r="AE608" s="130" t="s">
        <v>228</v>
      </c>
      <c r="AF608" s="154" t="s">
        <v>187</v>
      </c>
      <c r="AG608" s="144"/>
      <c r="AH608" s="130" t="s">
        <v>228</v>
      </c>
      <c r="AI608" s="154" t="s">
        <v>187</v>
      </c>
      <c r="AJ608" s="144"/>
      <c r="AK608" s="130" t="s">
        <v>228</v>
      </c>
      <c r="AL608" s="154" t="s">
        <v>187</v>
      </c>
      <c r="AM608" s="144"/>
      <c r="AN608" s="130" t="s">
        <v>228</v>
      </c>
      <c r="AO608" s="154" t="s">
        <v>187</v>
      </c>
      <c r="AP608" s="144"/>
      <c r="AQ608" s="130" t="s">
        <v>228</v>
      </c>
      <c r="AR608" s="154" t="s">
        <v>187</v>
      </c>
      <c r="AS608" s="144"/>
      <c r="AT608" s="130" t="s">
        <v>228</v>
      </c>
      <c r="AU608" s="154" t="s">
        <v>187</v>
      </c>
    </row>
    <row r="609" spans="13:47" x14ac:dyDescent="0.25">
      <c r="M609" s="20"/>
      <c r="N609" s="20"/>
      <c r="O609" s="7" t="s">
        <v>188</v>
      </c>
      <c r="P609" s="7"/>
      <c r="Q609" s="7"/>
      <c r="R609" s="181">
        <f>P_1_minW-(R607^2*R_up)+dpup_minQ</f>
        <v>100.52252155802178</v>
      </c>
      <c r="S609" s="132"/>
      <c r="T609" s="145"/>
      <c r="U609" s="138">
        <f>P_1_minW-(U607^2*R_up)+dpup_minQ</f>
        <v>100.32818735774445</v>
      </c>
      <c r="V609" s="132"/>
      <c r="W609" s="145"/>
      <c r="X609" s="138">
        <f>P_1_minW-(X607^2*R_up)+dpup_minQ</f>
        <v>99.332555131069569</v>
      </c>
      <c r="Y609" s="132"/>
      <c r="Z609" s="145"/>
      <c r="AA609" s="138">
        <f>P_1_minW-(AA607^2*R_up)+dpup_minQ</f>
        <v>96.00739363358143</v>
      </c>
      <c r="AB609" s="132"/>
      <c r="AC609" s="145"/>
      <c r="AD609" s="138">
        <f>P_1_minW-(AD607^2*R_up)+dpup_minQ</f>
        <v>88.309489026064739</v>
      </c>
      <c r="AE609" s="132"/>
      <c r="AF609" s="145"/>
      <c r="AG609" s="138">
        <f>P_1_minW-(AG607^2*R_up)+dpup_minQ</f>
        <v>76.496516319058173</v>
      </c>
      <c r="AH609" s="132"/>
      <c r="AI609" s="145"/>
      <c r="AJ609" s="138">
        <f>P_1_minW-(AJ607^2*R_up)+dpup_minQ</f>
        <v>61.78700701991071</v>
      </c>
      <c r="AK609" s="132"/>
      <c r="AL609" s="145"/>
      <c r="AM609" s="138">
        <f>P_1_minW-(AM607^2*R_up)+dpup_minQ</f>
        <v>47.263387489456591</v>
      </c>
      <c r="AN609" s="132"/>
      <c r="AO609" s="145"/>
      <c r="AP609" s="138">
        <f>P_1_minW-(AP607^2*R_up)+dpup_minQ</f>
        <v>34.229967812843327</v>
      </c>
      <c r="AQ609" s="132"/>
      <c r="AR609" s="145"/>
      <c r="AS609" s="138">
        <f>P_1_minW-(AS607^2*R_up)+dpup_minQ</f>
        <v>18.007063634573072</v>
      </c>
      <c r="AT609" s="132"/>
      <c r="AU609" s="145"/>
    </row>
    <row r="610" spans="13:47" x14ac:dyDescent="0.25">
      <c r="M610" s="20"/>
      <c r="N610" s="20"/>
      <c r="O610" s="7" t="s">
        <v>189</v>
      </c>
      <c r="P610" s="1"/>
      <c r="Q610" s="7"/>
      <c r="R610" s="181">
        <f>P_2_minW+(R607^2*R_dn)-dpdn_minQ</f>
        <v>50</v>
      </c>
      <c r="S610" s="132"/>
      <c r="T610" s="146"/>
      <c r="U610" s="138">
        <f>P_2_minW+(U607^2*R_dn)-dpdn_minQ</f>
        <v>50</v>
      </c>
      <c r="V610" s="132"/>
      <c r="W610" s="146"/>
      <c r="X610" s="138">
        <f>P_2_minW+(X607^2*R_dn)-dpdn_minQ</f>
        <v>50</v>
      </c>
      <c r="Y610" s="132"/>
      <c r="Z610" s="146"/>
      <c r="AA610" s="138">
        <f>P_2_minW+(AA607^2*R_dn)-dpdn_minQ</f>
        <v>50</v>
      </c>
      <c r="AB610" s="132"/>
      <c r="AC610" s="146"/>
      <c r="AD610" s="138">
        <f>P_2_minW+(AD607^2*R_dn)-dpdn_minQ</f>
        <v>50</v>
      </c>
      <c r="AE610" s="132"/>
      <c r="AF610" s="146"/>
      <c r="AG610" s="138">
        <f>P_2_minW+(AG607^2*R_dn)-dpdn_minQ</f>
        <v>50</v>
      </c>
      <c r="AH610" s="132"/>
      <c r="AI610" s="146"/>
      <c r="AJ610" s="138">
        <f>P_2_minW+(AJ607^2*R_dn)-dpdn_minQ</f>
        <v>50</v>
      </c>
      <c r="AK610" s="132"/>
      <c r="AL610" s="146"/>
      <c r="AM610" s="138">
        <f>P_2_minW+(AM607^2*R_dn)-dpdn_minQ</f>
        <v>50</v>
      </c>
      <c r="AN610" s="132"/>
      <c r="AO610" s="146"/>
      <c r="AP610" s="138">
        <f>P_2_minW+(AP607^2*R_dn)-dpdn_minQ</f>
        <v>50</v>
      </c>
      <c r="AQ610" s="132"/>
      <c r="AR610" s="146"/>
      <c r="AS610" s="138">
        <f>P_2_minW+(AS607^2*R_dn)-dpdn_minQ</f>
        <v>50</v>
      </c>
      <c r="AT610" s="132"/>
      <c r="AU610" s="146"/>
    </row>
    <row r="611" spans="13:47" x14ac:dyDescent="0.25">
      <c r="M611" s="20"/>
      <c r="N611" s="20"/>
      <c r="O611" s="7" t="s">
        <v>234</v>
      </c>
      <c r="P611" s="1"/>
      <c r="Q611" s="7"/>
      <c r="R611" s="179">
        <f>'Valve Sizing'!G$8*R609/P_1_maxW</f>
        <v>0.48490274706403047</v>
      </c>
      <c r="S611" s="132"/>
      <c r="T611" s="146"/>
      <c r="U611" s="143">
        <f>'Valve Sizing'!$G$8*U609/P_1_maxW</f>
        <v>0.48396531348096444</v>
      </c>
      <c r="V611" s="132"/>
      <c r="W611" s="146"/>
      <c r="X611" s="143">
        <f>'Valve Sizing'!$G$8*X609/P_1_maxW</f>
        <v>0.47916256088087711</v>
      </c>
      <c r="Y611" s="132"/>
      <c r="Z611" s="146"/>
      <c r="AA611" s="143">
        <f>'Valve Sizing'!$G$8*AA609/P_1_maxW</f>
        <v>0.46312257382550986</v>
      </c>
      <c r="AB611" s="132"/>
      <c r="AC611" s="146"/>
      <c r="AD611" s="143">
        <f>'Valve Sizing'!$G$8*AD609/P_1_maxW</f>
        <v>0.42598925252629077</v>
      </c>
      <c r="AE611" s="132"/>
      <c r="AF611" s="146"/>
      <c r="AG611" s="143">
        <f>'Valve Sizing'!$G$8*AG609/P_1_maxW</f>
        <v>0.36900557535785039</v>
      </c>
      <c r="AH611" s="132"/>
      <c r="AI611" s="146"/>
      <c r="AJ611" s="143">
        <f>'Valve Sizing'!$G$8*AJ609/P_1_maxW</f>
        <v>0.29804952136547708</v>
      </c>
      <c r="AK611" s="132"/>
      <c r="AL611" s="146"/>
      <c r="AM611" s="143">
        <f>'Valve Sizing'!$G$8*AM609/P_1_maxW</f>
        <v>0.22799016652164697</v>
      </c>
      <c r="AN611" s="132"/>
      <c r="AO611" s="146"/>
      <c r="AP611" s="143">
        <f>'Valve Sizing'!$G$8*AP609/P_1_maxW</f>
        <v>0.16511927045901409</v>
      </c>
      <c r="AQ611" s="132"/>
      <c r="AR611" s="146"/>
      <c r="AS611" s="143">
        <f>'Valve Sizing'!$G$8*AS609/P_1_maxW</f>
        <v>8.6862869013103194E-2</v>
      </c>
      <c r="AT611" s="132"/>
      <c r="AU611" s="146"/>
    </row>
    <row r="612" spans="13:47" x14ac:dyDescent="0.25">
      <c r="M612" s="20"/>
      <c r="N612" s="20"/>
      <c r="O612" s="7" t="s">
        <v>190</v>
      </c>
      <c r="P612" s="1"/>
      <c r="Q612" s="7"/>
      <c r="R612" s="181">
        <f>R609-R610</f>
        <v>50.522521558021779</v>
      </c>
      <c r="S612" s="132"/>
      <c r="T612" s="146"/>
      <c r="U612" s="138">
        <f>U609-U610</f>
        <v>50.328187357744454</v>
      </c>
      <c r="V612" s="132"/>
      <c r="W612" s="146"/>
      <c r="X612" s="138">
        <f>X609-X610</f>
        <v>49.332555131069569</v>
      </c>
      <c r="Y612" s="132"/>
      <c r="Z612" s="146"/>
      <c r="AA612" s="138">
        <f>AA609-AA610</f>
        <v>46.00739363358143</v>
      </c>
      <c r="AB612" s="132"/>
      <c r="AC612" s="146"/>
      <c r="AD612" s="138">
        <f>AD609-AD610</f>
        <v>38.309489026064739</v>
      </c>
      <c r="AE612" s="132"/>
      <c r="AF612" s="146"/>
      <c r="AG612" s="138">
        <f>AG609-AG610</f>
        <v>26.496516319058173</v>
      </c>
      <c r="AH612" s="132"/>
      <c r="AI612" s="146"/>
      <c r="AJ612" s="138">
        <f>AJ609-AJ610</f>
        <v>11.78700701991071</v>
      </c>
      <c r="AK612" s="132"/>
      <c r="AL612" s="146"/>
      <c r="AM612" s="138">
        <f>AM609-AM610</f>
        <v>-2.7366125105434094</v>
      </c>
      <c r="AN612" s="132"/>
      <c r="AO612" s="146"/>
      <c r="AP612" s="138">
        <f>AP609-AP610</f>
        <v>-15.770032187156673</v>
      </c>
      <c r="AQ612" s="132"/>
      <c r="AR612" s="146"/>
      <c r="AS612" s="138">
        <f>AS609-AS610</f>
        <v>-31.992936365426928</v>
      </c>
      <c r="AT612" s="132"/>
      <c r="AU612" s="146"/>
    </row>
    <row r="613" spans="13:47" ht="14.5" x14ac:dyDescent="0.35">
      <c r="M613" s="27"/>
      <c r="N613" s="27"/>
      <c r="O613" s="2" t="s">
        <v>191</v>
      </c>
      <c r="P613" s="10"/>
      <c r="Q613" s="2"/>
      <c r="R613" s="181">
        <f>R612/R609</f>
        <v>0.50259902731210426</v>
      </c>
      <c r="S613" s="132"/>
      <c r="T613" s="146"/>
      <c r="U613" s="138">
        <f>U612/U609</f>
        <v>0.50163556905784723</v>
      </c>
      <c r="V613" s="132"/>
      <c r="W613" s="146"/>
      <c r="X613" s="138">
        <f>X612/X609</f>
        <v>0.49664035185619793</v>
      </c>
      <c r="Y613" s="132"/>
      <c r="Z613" s="146"/>
      <c r="AA613" s="138">
        <f>AA612/AA609</f>
        <v>0.47920677660693189</v>
      </c>
      <c r="AB613" s="132"/>
      <c r="AC613" s="146"/>
      <c r="AD613" s="138">
        <f>AD612/AD609</f>
        <v>0.43380942918555004</v>
      </c>
      <c r="AE613" s="132"/>
      <c r="AF613" s="146"/>
      <c r="AG613" s="138">
        <f>AG612/AG609</f>
        <v>0.34637546379947881</v>
      </c>
      <c r="AH613" s="132"/>
      <c r="AI613" s="146"/>
      <c r="AJ613" s="138">
        <f>AJ612/AJ609</f>
        <v>0.19076837653120787</v>
      </c>
      <c r="AK613" s="132"/>
      <c r="AL613" s="146"/>
      <c r="AM613" s="138">
        <f>AM612/AM609</f>
        <v>-5.7901319729862503E-2</v>
      </c>
      <c r="AN613" s="132"/>
      <c r="AO613" s="146"/>
      <c r="AP613" s="138">
        <f>AP612/AP609</f>
        <v>-0.46070835571278701</v>
      </c>
      <c r="AQ613" s="132"/>
      <c r="AR613" s="146"/>
      <c r="AS613" s="138">
        <f>AS612/AS609</f>
        <v>-1.7766881383148645</v>
      </c>
      <c r="AT613" s="132"/>
      <c r="AU613" s="146"/>
    </row>
    <row r="614" spans="13:47" x14ac:dyDescent="0.25">
      <c r="M614" s="27"/>
      <c r="N614" s="27"/>
      <c r="O614" s="2" t="s">
        <v>26</v>
      </c>
      <c r="P614" s="7">
        <v>12</v>
      </c>
      <c r="Q614" s="2"/>
      <c r="R614" s="181">
        <f>1-R613/(3*F_GAMMA*R$29)</f>
        <v>0.73824066722893811</v>
      </c>
      <c r="S614" s="133"/>
      <c r="T614" s="146"/>
      <c r="U614" s="138">
        <f>1-U613/(3*F_GAMMA*U$29)</f>
        <v>0.73879996973537621</v>
      </c>
      <c r="V614" s="133"/>
      <c r="W614" s="146"/>
      <c r="X614" s="138">
        <f>1-X613/(3*F_GAMMA*X$29)</f>
        <v>0.73752156618460685</v>
      </c>
      <c r="Y614" s="133"/>
      <c r="Z614" s="146"/>
      <c r="AA614" s="138">
        <f>1-AA613/(3*F_GAMMA*AA$29)</f>
        <v>0.74326274060754893</v>
      </c>
      <c r="AB614" s="133"/>
      <c r="AC614" s="146"/>
      <c r="AD614" s="138">
        <f>1-AD613/(3*F_GAMMA*AD$29)</f>
        <v>0.76121224403755661</v>
      </c>
      <c r="AE614" s="133"/>
      <c r="AF614" s="146"/>
      <c r="AG614" s="138">
        <f>1-AG613/(3*F_GAMMA*AG$29)</f>
        <v>0.79846417487833676</v>
      </c>
      <c r="AH614" s="133"/>
      <c r="AI614" s="146"/>
      <c r="AJ614" s="138">
        <f>1-AJ613/(3*F_GAMMA*AJ$29)</f>
        <v>0.88134262567244193</v>
      </c>
      <c r="AK614" s="133"/>
      <c r="AL614" s="146"/>
      <c r="AM614" s="138">
        <f>1-AM613/(3*F_GAMMA*AM$29)</f>
        <v>1.0393494512461587</v>
      </c>
      <c r="AN614" s="133"/>
      <c r="AO614" s="146"/>
      <c r="AP614" s="138">
        <f>1-AP613/(3*F_GAMMA*AP$29)</f>
        <v>1.2587392485592666</v>
      </c>
      <c r="AQ614" s="133"/>
      <c r="AR614" s="146"/>
      <c r="AS614" s="138">
        <f>1-AS613/(3*F_GAMMA*AS$29)</f>
        <v>2.514760798468231</v>
      </c>
      <c r="AT614" s="133"/>
      <c r="AU614" s="146"/>
    </row>
    <row r="615" spans="13:47" x14ac:dyDescent="0.25">
      <c r="M615" s="27"/>
      <c r="N615" s="27"/>
      <c r="O615" s="2" t="s">
        <v>71</v>
      </c>
      <c r="P615" s="85">
        <v>5</v>
      </c>
      <c r="Q615" s="2"/>
      <c r="R615" s="179">
        <f>R607/((N_6*R$27*R614)*SQRT(R613*R609*R611))</f>
        <v>0.11150452243287447</v>
      </c>
      <c r="S615" s="133"/>
      <c r="T615" s="146"/>
      <c r="U615" s="143">
        <f>U607/((N_6*U$27*U614)*SQRT(U613*U609*U611))</f>
        <v>3.028949359188772</v>
      </c>
      <c r="V615" s="133"/>
      <c r="W615" s="146"/>
      <c r="X615" s="143">
        <f>X607/((N_6*X$27*X614)*SQRT(X613*X609*X611))</f>
        <v>7.6340520012405957</v>
      </c>
      <c r="Y615" s="133"/>
      <c r="Z615" s="146"/>
      <c r="AA615" s="143">
        <f>AA607/((N_6*AA$27*AA614)*SQRT(AA613*AA609*AA611))</f>
        <v>15.629912777189039</v>
      </c>
      <c r="AB615" s="133"/>
      <c r="AC615" s="146"/>
      <c r="AD615" s="143">
        <f>AD607/((N_6*AD$27*AD614)*SQRT(AD613*AD609*AD611))</f>
        <v>29.02122969462954</v>
      </c>
      <c r="AE615" s="133"/>
      <c r="AF615" s="146"/>
      <c r="AG615" s="143">
        <f>AG607/((N_6*AG$27*AG614)*SQRT(AG613*AG609*AG611))</f>
        <v>51.215948362632389</v>
      </c>
      <c r="AH615" s="133"/>
      <c r="AI615" s="146"/>
      <c r="AJ615" s="143">
        <f>AJ607/((N_6*AJ$27*AJ614)*SQRT(AJ613*AJ609*AJ611))</f>
        <v>101.66074620254042</v>
      </c>
      <c r="AK615" s="133"/>
      <c r="AL615" s="146"/>
      <c r="AM615" s="143" t="e">
        <f>AM607/((N_6*AM$27*AM614)*SQRT(AM613*AM609*AM611))</f>
        <v>#NUM!</v>
      </c>
      <c r="AN615" s="133"/>
      <c r="AO615" s="146"/>
      <c r="AP615" s="143" t="e">
        <f>AP607/((N_6*AP$27*AP614)*SQRT(AP613*AP609*AP611))</f>
        <v>#NUM!</v>
      </c>
      <c r="AQ615" s="133"/>
      <c r="AR615" s="146"/>
      <c r="AS615" s="143" t="e">
        <f>AS607/((N_6*AS$27*AS614)*SQRT(AS613*AS609*AS611))</f>
        <v>#NUM!</v>
      </c>
      <c r="AT615" s="133"/>
      <c r="AU615" s="146"/>
    </row>
    <row r="616" spans="13:47" x14ac:dyDescent="0.25">
      <c r="M616" s="27"/>
      <c r="N616" s="27"/>
      <c r="O616" s="2" t="s">
        <v>73</v>
      </c>
      <c r="P616" s="85">
        <v>5</v>
      </c>
      <c r="Q616" s="2"/>
      <c r="R616" s="179">
        <f>R607/((N_6*R$27*0.667)*SQRT(R617*R609*R611))</f>
        <v>0.10936448904904197</v>
      </c>
      <c r="S616" s="133"/>
      <c r="T616" s="155"/>
      <c r="U616" s="143">
        <f>U607/((N_6*U$27*0.667)*SQRT(U617*U609*U611))</f>
        <v>2.9698894686266031</v>
      </c>
      <c r="V616" s="133"/>
      <c r="W616" s="155"/>
      <c r="X616" s="143">
        <f>X607/((N_6*X$27*0.667)*SQRT(X617*X609*X611))</f>
        <v>7.4905109735804993</v>
      </c>
      <c r="Y616" s="133"/>
      <c r="Z616" s="155"/>
      <c r="AA616" s="143">
        <f>AA607/((N_6*AA$27*0.667)*SQRT(AA617*AA609*AA611))</f>
        <v>15.285447604713614</v>
      </c>
      <c r="AB616" s="133"/>
      <c r="AC616" s="155"/>
      <c r="AD616" s="143">
        <f>AD607/((N_6*AD$27*0.667)*SQRT(AD617*AD609*AD611))</f>
        <v>28.032536502557448</v>
      </c>
      <c r="AE616" s="133"/>
      <c r="AF616" s="155"/>
      <c r="AG616" s="143">
        <f>AG607/((N_6*AG$27*0.667)*SQRT(AG617*AG609*AG611))</f>
        <v>47.672900555534426</v>
      </c>
      <c r="AH616" s="133"/>
      <c r="AI616" s="155"/>
      <c r="AJ616" s="143">
        <f>AJ607/((N_6*AJ$27*0.667)*SQRT(AJ617*AJ609*AJ611))</f>
        <v>80.145700407335497</v>
      </c>
      <c r="AK616" s="133"/>
      <c r="AL616" s="155"/>
      <c r="AM616" s="143">
        <f>AM607/((N_6*AM$27*0.667)*SQRT(AM617*AM609*AM611))</f>
        <v>136.30434483404059</v>
      </c>
      <c r="AN616" s="133"/>
      <c r="AO616" s="155"/>
      <c r="AP616" s="143">
        <f>AP607/((N_6*AP$27*0.667)*SQRT(AP617*AP609*AP611))</f>
        <v>216.82546759788536</v>
      </c>
      <c r="AQ616" s="133"/>
      <c r="AR616" s="155"/>
      <c r="AS616" s="143">
        <f>AS607/((N_6*AS$27*0.667)*SQRT(AS617*AS609*AS611))</f>
        <v>744.46576094874342</v>
      </c>
      <c r="AT616" s="133"/>
      <c r="AU616" s="155"/>
    </row>
    <row r="617" spans="13:47" ht="15.5" x14ac:dyDescent="0.4">
      <c r="M617" s="27"/>
      <c r="N617" s="27"/>
      <c r="O617" s="2" t="s">
        <v>192</v>
      </c>
      <c r="P617" s="85">
        <v>10</v>
      </c>
      <c r="Q617" s="2"/>
      <c r="R617" s="181">
        <f>F_GAMMA*R$29</f>
        <v>0.64002688015162901</v>
      </c>
      <c r="S617" s="133"/>
      <c r="T617" s="155"/>
      <c r="U617" s="138">
        <f>F_GAMMA*U$29</f>
        <v>0.64016782916606918</v>
      </c>
      <c r="V617" s="133"/>
      <c r="W617" s="155"/>
      <c r="X617" s="138">
        <f>F_GAMMA*X$29</f>
        <v>0.6307062319203669</v>
      </c>
      <c r="Y617" s="133"/>
      <c r="Z617" s="155"/>
      <c r="AA617" s="138">
        <f>F_GAMMA*AA$29</f>
        <v>0.62217534213893466</v>
      </c>
      <c r="AB617" s="133"/>
      <c r="AC617" s="155"/>
      <c r="AD617" s="138">
        <f>F_GAMMA*AD$29</f>
        <v>0.60557184969146072</v>
      </c>
      <c r="AE617" s="133"/>
      <c r="AF617" s="155"/>
      <c r="AG617" s="138">
        <f>F_GAMMA*AG$29</f>
        <v>0.57289312142622573</v>
      </c>
      <c r="AH617" s="133"/>
      <c r="AI617" s="155"/>
      <c r="AJ617" s="138">
        <f>F_GAMMA*AJ$29</f>
        <v>0.53590819116049981</v>
      </c>
      <c r="AK617" s="133"/>
      <c r="AL617" s="155"/>
      <c r="AM617" s="138">
        <f>F_GAMMA*AM$29</f>
        <v>0.49048815926850342</v>
      </c>
      <c r="AN617" s="133"/>
      <c r="AO617" s="155"/>
      <c r="AP617" s="138">
        <f>F_GAMMA*AP$29</f>
        <v>0.59352979016280105</v>
      </c>
      <c r="AQ617" s="133"/>
      <c r="AR617" s="155"/>
      <c r="AS617" s="138">
        <f>F_GAMMA*AS$29</f>
        <v>0.39097221161068291</v>
      </c>
      <c r="AT617" s="133"/>
      <c r="AU617" s="155"/>
    </row>
    <row r="618" spans="13:47" x14ac:dyDescent="0.25">
      <c r="M618" s="27"/>
      <c r="N618" s="27"/>
      <c r="O618" s="2" t="s">
        <v>193</v>
      </c>
      <c r="P618" s="134"/>
      <c r="Q618" s="2"/>
      <c r="R618" s="181">
        <f>IF(R613&lt;R617,R615,R616)</f>
        <v>0.11150452243287447</v>
      </c>
      <c r="S618" s="133"/>
      <c r="T618" s="155"/>
      <c r="U618" s="138">
        <f>IF(U613&lt;U617,U615,U616)</f>
        <v>3.028949359188772</v>
      </c>
      <c r="V618" s="133"/>
      <c r="W618" s="155"/>
      <c r="X618" s="138">
        <f>IF(X613&lt;X617,X615,X616)</f>
        <v>7.6340520012405957</v>
      </c>
      <c r="Y618" s="133"/>
      <c r="Z618" s="155"/>
      <c r="AA618" s="138">
        <f>IF(AA613&lt;AA617,AA615,AA616)</f>
        <v>15.629912777189039</v>
      </c>
      <c r="AB618" s="133"/>
      <c r="AC618" s="155"/>
      <c r="AD618" s="138">
        <f>IF(AD613&lt;AD617,AD615,AD616)</f>
        <v>29.02122969462954</v>
      </c>
      <c r="AE618" s="133"/>
      <c r="AF618" s="155"/>
      <c r="AG618" s="138">
        <f>IF(AG613&lt;AG617,AG615,AG616)</f>
        <v>51.215948362632389</v>
      </c>
      <c r="AH618" s="133"/>
      <c r="AI618" s="155"/>
      <c r="AJ618" s="138">
        <f>IF(AJ613&lt;AJ617,AJ615,AJ616)</f>
        <v>101.66074620254042</v>
      </c>
      <c r="AK618" s="133"/>
      <c r="AL618" s="155"/>
      <c r="AM618" s="138" t="e">
        <f>IF(AM613&lt;AM617,AM615,AM616)</f>
        <v>#NUM!</v>
      </c>
      <c r="AN618" s="133"/>
      <c r="AO618" s="155"/>
      <c r="AP618" s="138" t="e">
        <f>IF(AP613&lt;AP617,AP615,AP616)</f>
        <v>#NUM!</v>
      </c>
      <c r="AQ618" s="133"/>
      <c r="AR618" s="155"/>
      <c r="AS618" s="138" t="e">
        <f>IF(AS613&lt;AS617,AS615,AS616)</f>
        <v>#NUM!</v>
      </c>
      <c r="AT618" s="133"/>
      <c r="AU618" s="155"/>
    </row>
    <row r="619" spans="13:47" ht="13" x14ac:dyDescent="0.3">
      <c r="M619" s="28"/>
      <c r="N619" s="28"/>
      <c r="O619" s="9" t="s">
        <v>194</v>
      </c>
      <c r="P619" s="1"/>
      <c r="Q619" s="1"/>
      <c r="R619" s="135"/>
      <c r="S619" s="132">
        <f>IF(R612&lt;=0,W_max,ABS(R$23-R618))</f>
        <v>1.8884954775671254</v>
      </c>
      <c r="T619" s="151">
        <f>R607</f>
        <v>25.787695231357876</v>
      </c>
      <c r="U619" s="135"/>
      <c r="V619" s="132">
        <f>IF(U612&lt;=0,W_max,ABS(U$23-U618))</f>
        <v>1.971050640811228</v>
      </c>
      <c r="W619" s="151">
        <f>U607</f>
        <v>698.57643451879278</v>
      </c>
      <c r="X619" s="135"/>
      <c r="Y619" s="132">
        <f>IF(X612&lt;=0,W_max,ABS(X$23-X618))</f>
        <v>2.3659479987594043</v>
      </c>
      <c r="Z619" s="151">
        <f>X607</f>
        <v>1727.6626541351739</v>
      </c>
      <c r="AA619" s="135"/>
      <c r="AB619" s="132">
        <f>IF(AA612&lt;=0,W_max,ABS(AA$23-AA618))</f>
        <v>1.5700872228109599</v>
      </c>
      <c r="AC619" s="151">
        <f>AA607</f>
        <v>3365.0458722870421</v>
      </c>
      <c r="AD619" s="135"/>
      <c r="AE619" s="132">
        <f>IF(AD612&lt;=0,W_max,ABS(AD$23-AD618))</f>
        <v>2.4212296946295382</v>
      </c>
      <c r="AF619" s="151">
        <f>AD607</f>
        <v>5534.2615235276771</v>
      </c>
      <c r="AG619" s="135"/>
      <c r="AH619" s="132">
        <f>IF(AG612&lt;=0,W_max,ABS(AG$23-AG618))</f>
        <v>12.81594836263239</v>
      </c>
      <c r="AI619" s="151">
        <f>AG607</f>
        <v>7762.2278483436739</v>
      </c>
      <c r="AJ619" s="135"/>
      <c r="AK619" s="132">
        <f>IF(AJ612&lt;=0,W_max,ABS(AJ$23-AJ618))</f>
        <v>49.160746202540423</v>
      </c>
      <c r="AL619" s="151">
        <f>AJ607</f>
        <v>9855.9696488412956</v>
      </c>
      <c r="AM619" s="135"/>
      <c r="AN619" s="132">
        <f>IF(AM612&lt;=0,W_max,ABS(AM$23-AM618))</f>
        <v>7174</v>
      </c>
      <c r="AO619" s="151">
        <f>AM607</f>
        <v>11556.899535247429</v>
      </c>
      <c r="AP619" s="135"/>
      <c r="AQ619" s="132">
        <f>IF(AP612&lt;=0,W_max,ABS(AP$23-AP618))</f>
        <v>7174</v>
      </c>
      <c r="AR619" s="151">
        <f>AP607</f>
        <v>12893.666997066664</v>
      </c>
      <c r="AS619" s="135"/>
      <c r="AT619" s="132">
        <f>IF(AS612&lt;=0,W_max,ABS(AS$23-AS618))</f>
        <v>7174</v>
      </c>
      <c r="AU619" s="151">
        <f>AS607</f>
        <v>14385.056141070523</v>
      </c>
    </row>
    <row r="620" spans="13:47" ht="13" x14ac:dyDescent="0.25">
      <c r="M620" s="12"/>
      <c r="N620" s="12"/>
      <c r="O620" s="2"/>
      <c r="P620" s="85"/>
      <c r="Q620" s="2"/>
      <c r="R620" s="18"/>
      <c r="S620" s="150"/>
      <c r="T620" s="148"/>
      <c r="U620" s="157"/>
      <c r="V620" s="1"/>
      <c r="W620" s="147"/>
      <c r="X620" s="157"/>
      <c r="Y620" s="1"/>
      <c r="Z620" s="147"/>
      <c r="AA620" s="157"/>
      <c r="AB620" s="1"/>
      <c r="AC620" s="147"/>
      <c r="AD620" s="157"/>
      <c r="AE620" s="1"/>
      <c r="AF620" s="147"/>
      <c r="AG620" s="157"/>
      <c r="AH620" s="1"/>
      <c r="AI620" s="147"/>
      <c r="AJ620" s="157"/>
      <c r="AK620" s="1"/>
      <c r="AL620" s="147"/>
      <c r="AM620" s="157"/>
      <c r="AN620" s="1"/>
      <c r="AO620" s="147"/>
      <c r="AP620" s="157"/>
      <c r="AQ620" s="1"/>
      <c r="AR620" s="147"/>
      <c r="AS620" s="157"/>
      <c r="AT620" s="1"/>
      <c r="AU620" s="147"/>
    </row>
    <row r="621" spans="13:47" ht="14" x14ac:dyDescent="0.3">
      <c r="M621" s="23"/>
      <c r="N621" s="23"/>
      <c r="O621" s="23" t="s">
        <v>238</v>
      </c>
      <c r="P621" s="20"/>
      <c r="Q621" s="20"/>
      <c r="R621" s="181">
        <f>R607*1.02</f>
        <v>26.303449135985034</v>
      </c>
      <c r="S621" s="128" t="s">
        <v>185</v>
      </c>
      <c r="T621" s="149" t="s">
        <v>186</v>
      </c>
      <c r="U621" s="143">
        <f>U607*1.01</f>
        <v>705.56219886398071</v>
      </c>
      <c r="V621" s="128" t="s">
        <v>185</v>
      </c>
      <c r="W621" s="153" t="s">
        <v>186</v>
      </c>
      <c r="X621" s="143">
        <f>X607*1.01</f>
        <v>1744.9392806765256</v>
      </c>
      <c r="Y621" s="128" t="s">
        <v>185</v>
      </c>
      <c r="Z621" s="153" t="s">
        <v>186</v>
      </c>
      <c r="AA621" s="143">
        <f>AA607*1.01</f>
        <v>3398.6963310099127</v>
      </c>
      <c r="AB621" s="128" t="s">
        <v>185</v>
      </c>
      <c r="AC621" s="153" t="s">
        <v>186</v>
      </c>
      <c r="AD621" s="143">
        <f>AD607*1.01</f>
        <v>5589.6041387629539</v>
      </c>
      <c r="AE621" s="128" t="s">
        <v>185</v>
      </c>
      <c r="AF621" s="153" t="s">
        <v>186</v>
      </c>
      <c r="AG621" s="143">
        <f>AG607*1.01</f>
        <v>7839.8501268271111</v>
      </c>
      <c r="AH621" s="128" t="s">
        <v>185</v>
      </c>
      <c r="AI621" s="153" t="s">
        <v>186</v>
      </c>
      <c r="AJ621" s="143">
        <f>AJ607*1.01</f>
        <v>9954.529345329709</v>
      </c>
      <c r="AK621" s="128" t="s">
        <v>185</v>
      </c>
      <c r="AL621" s="153" t="s">
        <v>186</v>
      </c>
      <c r="AM621" s="143">
        <f>AM607*1.01</f>
        <v>11672.468530599903</v>
      </c>
      <c r="AN621" s="128" t="s">
        <v>185</v>
      </c>
      <c r="AO621" s="153" t="s">
        <v>186</v>
      </c>
      <c r="AP621" s="143">
        <f>AP607*1.01</f>
        <v>13022.603667037331</v>
      </c>
      <c r="AQ621" s="128" t="s">
        <v>185</v>
      </c>
      <c r="AR621" s="153" t="s">
        <v>186</v>
      </c>
      <c r="AS621" s="143">
        <f>AS607*1.01</f>
        <v>14528.906702481228</v>
      </c>
      <c r="AT621" s="128" t="s">
        <v>185</v>
      </c>
      <c r="AU621" s="153" t="s">
        <v>186</v>
      </c>
    </row>
    <row r="622" spans="13:47" ht="14" x14ac:dyDescent="0.3">
      <c r="M622" s="12"/>
      <c r="N622" s="12"/>
      <c r="O622" s="20"/>
      <c r="P622" s="20"/>
      <c r="Q622" s="23"/>
      <c r="R622" s="139"/>
      <c r="S622" s="130" t="s">
        <v>228</v>
      </c>
      <c r="T622" s="131" t="s">
        <v>187</v>
      </c>
      <c r="U622" s="144"/>
      <c r="V622" s="130" t="s">
        <v>228</v>
      </c>
      <c r="W622" s="154" t="s">
        <v>187</v>
      </c>
      <c r="X622" s="144"/>
      <c r="Y622" s="130" t="s">
        <v>228</v>
      </c>
      <c r="Z622" s="154" t="s">
        <v>187</v>
      </c>
      <c r="AA622" s="144"/>
      <c r="AB622" s="130" t="s">
        <v>228</v>
      </c>
      <c r="AC622" s="154" t="s">
        <v>187</v>
      </c>
      <c r="AD622" s="144"/>
      <c r="AE622" s="130" t="s">
        <v>228</v>
      </c>
      <c r="AF622" s="154" t="s">
        <v>187</v>
      </c>
      <c r="AG622" s="144"/>
      <c r="AH622" s="130" t="s">
        <v>228</v>
      </c>
      <c r="AI622" s="154" t="s">
        <v>187</v>
      </c>
      <c r="AJ622" s="144"/>
      <c r="AK622" s="130" t="s">
        <v>228</v>
      </c>
      <c r="AL622" s="154" t="s">
        <v>187</v>
      </c>
      <c r="AM622" s="144"/>
      <c r="AN622" s="130" t="s">
        <v>228</v>
      </c>
      <c r="AO622" s="154" t="s">
        <v>187</v>
      </c>
      <c r="AP622" s="144"/>
      <c r="AQ622" s="130" t="s">
        <v>228</v>
      </c>
      <c r="AR622" s="154" t="s">
        <v>187</v>
      </c>
      <c r="AS622" s="144"/>
      <c r="AT622" s="130" t="s">
        <v>228</v>
      </c>
      <c r="AU622" s="154" t="s">
        <v>187</v>
      </c>
    </row>
    <row r="623" spans="13:47" x14ac:dyDescent="0.25">
      <c r="M623" s="20"/>
      <c r="N623" s="20"/>
      <c r="O623" s="7" t="s">
        <v>188</v>
      </c>
      <c r="P623" s="7"/>
      <c r="Q623" s="7"/>
      <c r="R623" s="181">
        <f>P_1_minW-(R621^2*R_up)+dpup_minQ</f>
        <v>100.5225108448021</v>
      </c>
      <c r="S623" s="132"/>
      <c r="T623" s="145"/>
      <c r="U623" s="138">
        <f>P_1_minW-(U621^2*R_up)+dpup_minQ</f>
        <v>100.32427591022692</v>
      </c>
      <c r="V623" s="132"/>
      <c r="W623" s="145"/>
      <c r="X623" s="138">
        <f>P_1_minW-(X621^2*R_up)+dpup_minQ</f>
        <v>99.308631475795863</v>
      </c>
      <c r="Y623" s="132"/>
      <c r="Z623" s="145"/>
      <c r="AA623" s="138">
        <f>P_1_minW-(AA621^2*R_up)+dpup_minQ</f>
        <v>95.91663423220821</v>
      </c>
      <c r="AB623" s="132"/>
      <c r="AC623" s="145"/>
      <c r="AD623" s="138">
        <f>P_1_minW-(AD621^2*R_up)+dpup_minQ</f>
        <v>88.064001742080436</v>
      </c>
      <c r="AE623" s="132"/>
      <c r="AF623" s="145"/>
      <c r="AG623" s="138">
        <f>P_1_minW-(AG621^2*R_up)+dpup_minQ</f>
        <v>76.013588283663026</v>
      </c>
      <c r="AH623" s="132"/>
      <c r="AI623" s="145"/>
      <c r="AJ623" s="138">
        <f>P_1_minW-(AJ621^2*R_up)+dpup_minQ</f>
        <v>61.008417847602708</v>
      </c>
      <c r="AK623" s="132"/>
      <c r="AL623" s="145"/>
      <c r="AM623" s="138">
        <f>P_1_minW-(AM621^2*R_up)+dpup_minQ</f>
        <v>46.192873564586471</v>
      </c>
      <c r="AN623" s="132"/>
      <c r="AO623" s="145"/>
      <c r="AP623" s="138">
        <f>P_1_minW-(AP621^2*R_up)+dpup_minQ</f>
        <v>32.897482152473273</v>
      </c>
      <c r="AQ623" s="132"/>
      <c r="AR623" s="145"/>
      <c r="AS623" s="138">
        <f>P_1_minW-(AS621^2*R_up)+dpup_minQ</f>
        <v>16.348497600219787</v>
      </c>
      <c r="AT623" s="132"/>
      <c r="AU623" s="145"/>
    </row>
    <row r="624" spans="13:47" x14ac:dyDescent="0.25">
      <c r="M624" s="20"/>
      <c r="N624" s="20"/>
      <c r="O624" s="7" t="s">
        <v>189</v>
      </c>
      <c r="P624" s="1"/>
      <c r="Q624" s="7"/>
      <c r="R624" s="181">
        <f>P_2_minW+(R621^2*R_dn)-dpdn_minQ</f>
        <v>50</v>
      </c>
      <c r="S624" s="132"/>
      <c r="T624" s="146"/>
      <c r="U624" s="138">
        <f>P_2_minW+(U621^2*R_dn)-dpdn_minQ</f>
        <v>50</v>
      </c>
      <c r="V624" s="132"/>
      <c r="W624" s="146"/>
      <c r="X624" s="138">
        <f>P_2_minW+(X621^2*R_dn)-dpdn_minQ</f>
        <v>50</v>
      </c>
      <c r="Y624" s="132"/>
      <c r="Z624" s="146"/>
      <c r="AA624" s="138">
        <f>P_2_minW+(AA621^2*R_dn)-dpdn_minQ</f>
        <v>50</v>
      </c>
      <c r="AB624" s="132"/>
      <c r="AC624" s="146"/>
      <c r="AD624" s="138">
        <f>P_2_minW+(AD621^2*R_dn)-dpdn_minQ</f>
        <v>50</v>
      </c>
      <c r="AE624" s="132"/>
      <c r="AF624" s="146"/>
      <c r="AG624" s="138">
        <f>P_2_minW+(AG621^2*R_dn)-dpdn_minQ</f>
        <v>50</v>
      </c>
      <c r="AH624" s="132"/>
      <c r="AI624" s="146"/>
      <c r="AJ624" s="138">
        <f>P_2_minW+(AJ621^2*R_dn)-dpdn_minQ</f>
        <v>50</v>
      </c>
      <c r="AK624" s="132"/>
      <c r="AL624" s="146"/>
      <c r="AM624" s="138">
        <f>P_2_minW+(AM621^2*R_dn)-dpdn_minQ</f>
        <v>50</v>
      </c>
      <c r="AN624" s="132"/>
      <c r="AO624" s="146"/>
      <c r="AP624" s="138">
        <f>P_2_minW+(AP621^2*R_dn)-dpdn_minQ</f>
        <v>50</v>
      </c>
      <c r="AQ624" s="132"/>
      <c r="AR624" s="146"/>
      <c r="AS624" s="138">
        <f>P_2_minW+(AS621^2*R_dn)-dpdn_minQ</f>
        <v>50</v>
      </c>
      <c r="AT624" s="132"/>
      <c r="AU624" s="146"/>
    </row>
    <row r="625" spans="13:47" x14ac:dyDescent="0.25">
      <c r="M625" s="20"/>
      <c r="N625" s="20"/>
      <c r="O625" s="7" t="s">
        <v>234</v>
      </c>
      <c r="P625" s="1"/>
      <c r="Q625" s="7"/>
      <c r="R625" s="179">
        <f>'Valve Sizing'!G$8*R623/P_1_maxW</f>
        <v>0.48490269538536612</v>
      </c>
      <c r="S625" s="132"/>
      <c r="T625" s="146"/>
      <c r="U625" s="143">
        <f>'Valve Sizing'!$G$8*U623/P_1_maxW</f>
        <v>0.48394644535453024</v>
      </c>
      <c r="V625" s="132"/>
      <c r="W625" s="146"/>
      <c r="X625" s="143">
        <f>'Valve Sizing'!$G$8*X623/P_1_maxW</f>
        <v>0.47904715742718107</v>
      </c>
      <c r="Y625" s="132"/>
      <c r="Z625" s="146"/>
      <c r="AA625" s="143">
        <f>'Valve Sizing'!$G$8*AA623/P_1_maxW</f>
        <v>0.46268476663200087</v>
      </c>
      <c r="AB625" s="132"/>
      <c r="AC625" s="146"/>
      <c r="AD625" s="143">
        <f>'Valve Sizing'!$G$8*AD623/P_1_maxW</f>
        <v>0.42480506557466746</v>
      </c>
      <c r="AE625" s="132"/>
      <c r="AF625" s="146"/>
      <c r="AG625" s="143">
        <f>'Valve Sizing'!$G$8*AG623/P_1_maxW</f>
        <v>0.36667601649514142</v>
      </c>
      <c r="AH625" s="132"/>
      <c r="AI625" s="146"/>
      <c r="AJ625" s="143">
        <f>'Valve Sizing'!$G$8*AJ623/P_1_maxW</f>
        <v>0.29429374581752143</v>
      </c>
      <c r="AK625" s="132"/>
      <c r="AL625" s="146"/>
      <c r="AM625" s="143">
        <f>'Valve Sizing'!$G$8*AM623/P_1_maxW</f>
        <v>0.22282619794133041</v>
      </c>
      <c r="AN625" s="132"/>
      <c r="AO625" s="146"/>
      <c r="AP625" s="143">
        <f>'Valve Sizing'!$G$8*AP623/P_1_maxW</f>
        <v>0.15869159686783857</v>
      </c>
      <c r="AQ625" s="132"/>
      <c r="AR625" s="146"/>
      <c r="AS625" s="143">
        <f>'Valve Sizing'!$G$8*AS623/P_1_maxW</f>
        <v>7.8862241752864881E-2</v>
      </c>
      <c r="AT625" s="132"/>
      <c r="AU625" s="146"/>
    </row>
    <row r="626" spans="13:47" x14ac:dyDescent="0.25">
      <c r="M626" s="20"/>
      <c r="N626" s="20"/>
      <c r="O626" s="7" t="s">
        <v>190</v>
      </c>
      <c r="P626" s="1"/>
      <c r="Q626" s="7"/>
      <c r="R626" s="181">
        <f>R623-R624</f>
        <v>50.522510844802099</v>
      </c>
      <c r="S626" s="132"/>
      <c r="T626" s="146"/>
      <c r="U626" s="138">
        <f>U623-U624</f>
        <v>50.324275910226916</v>
      </c>
      <c r="V626" s="132"/>
      <c r="W626" s="146"/>
      <c r="X626" s="138">
        <f>X623-X624</f>
        <v>49.308631475795863</v>
      </c>
      <c r="Y626" s="132"/>
      <c r="Z626" s="146"/>
      <c r="AA626" s="138">
        <f>AA623-AA624</f>
        <v>45.91663423220821</v>
      </c>
      <c r="AB626" s="132"/>
      <c r="AC626" s="146"/>
      <c r="AD626" s="138">
        <f>AD623-AD624</f>
        <v>38.064001742080436</v>
      </c>
      <c r="AE626" s="132"/>
      <c r="AF626" s="146"/>
      <c r="AG626" s="138">
        <f>AG623-AG624</f>
        <v>26.013588283663026</v>
      </c>
      <c r="AH626" s="132"/>
      <c r="AI626" s="146"/>
      <c r="AJ626" s="138">
        <f>AJ623-AJ624</f>
        <v>11.008417847602708</v>
      </c>
      <c r="AK626" s="132"/>
      <c r="AL626" s="146"/>
      <c r="AM626" s="138">
        <f>AM623-AM624</f>
        <v>-3.8071264354135295</v>
      </c>
      <c r="AN626" s="132"/>
      <c r="AO626" s="146"/>
      <c r="AP626" s="138">
        <f>AP623-AP624</f>
        <v>-17.102517847526727</v>
      </c>
      <c r="AQ626" s="132"/>
      <c r="AR626" s="146"/>
      <c r="AS626" s="138">
        <f>AS623-AS624</f>
        <v>-33.651502399780213</v>
      </c>
      <c r="AT626" s="132"/>
      <c r="AU626" s="146"/>
    </row>
    <row r="627" spans="13:47" ht="14.5" x14ac:dyDescent="0.35">
      <c r="M627" s="27"/>
      <c r="N627" s="27"/>
      <c r="O627" s="2" t="s">
        <v>191</v>
      </c>
      <c r="P627" s="10"/>
      <c r="Q627" s="2"/>
      <c r="R627" s="181">
        <f>R626/R623</f>
        <v>0.50259897430143186</v>
      </c>
      <c r="S627" s="132"/>
      <c r="T627" s="146"/>
      <c r="U627" s="138">
        <f>U626/U623</f>
        <v>0.50161613880232281</v>
      </c>
      <c r="V627" s="132"/>
      <c r="W627" s="146"/>
      <c r="X627" s="138">
        <f>X626/X623</f>
        <v>0.49651909147306778</v>
      </c>
      <c r="Y627" s="132"/>
      <c r="Z627" s="146"/>
      <c r="AA627" s="138">
        <f>AA626/AA623</f>
        <v>0.47871398532445258</v>
      </c>
      <c r="AB627" s="132"/>
      <c r="AC627" s="146"/>
      <c r="AD627" s="138">
        <f>AD626/AD623</f>
        <v>0.43223111588275648</v>
      </c>
      <c r="AE627" s="132"/>
      <c r="AF627" s="146"/>
      <c r="AG627" s="138">
        <f>AG626/AG623</f>
        <v>0.34222286923999762</v>
      </c>
      <c r="AH627" s="132"/>
      <c r="AI627" s="146"/>
      <c r="AJ627" s="138">
        <f>AJ626/AJ623</f>
        <v>0.18044096595164003</v>
      </c>
      <c r="AK627" s="132"/>
      <c r="AL627" s="146"/>
      <c r="AM627" s="138">
        <f>AM626/AM623</f>
        <v>-8.2418047236018754E-2</v>
      </c>
      <c r="AN627" s="132"/>
      <c r="AO627" s="146"/>
      <c r="AP627" s="138">
        <f>AP626/AP623</f>
        <v>-0.51987315528464961</v>
      </c>
      <c r="AQ627" s="132"/>
      <c r="AR627" s="146"/>
      <c r="AS627" s="138">
        <f>AS626/AS623</f>
        <v>-2.0583850102120582</v>
      </c>
      <c r="AT627" s="132"/>
      <c r="AU627" s="146"/>
    </row>
    <row r="628" spans="13:47" x14ac:dyDescent="0.25">
      <c r="M628" s="27"/>
      <c r="N628" s="27"/>
      <c r="O628" s="2" t="s">
        <v>26</v>
      </c>
      <c r="P628" s="7">
        <v>12</v>
      </c>
      <c r="Q628" s="2"/>
      <c r="R628" s="181">
        <f>1-R627/(3*F_GAMMA*R$29)</f>
        <v>0.73824069483750376</v>
      </c>
      <c r="S628" s="133"/>
      <c r="T628" s="146"/>
      <c r="U628" s="138">
        <f>1-U627/(3*F_GAMMA*U$29)</f>
        <v>0.73881008700704531</v>
      </c>
      <c r="V628" s="133"/>
      <c r="W628" s="146"/>
      <c r="X628" s="138">
        <f>1-X627/(3*F_GAMMA*X$29)</f>
        <v>0.73758565327565562</v>
      </c>
      <c r="Y628" s="133"/>
      <c r="Z628" s="146"/>
      <c r="AA628" s="138">
        <f>1-AA627/(3*F_GAMMA*AA$29)</f>
        <v>0.74352675582914507</v>
      </c>
      <c r="AB628" s="133"/>
      <c r="AC628" s="146"/>
      <c r="AD628" s="138">
        <f>1-AD627/(3*F_GAMMA*AD$29)</f>
        <v>0.7620810169742982</v>
      </c>
      <c r="AE628" s="133"/>
      <c r="AF628" s="146"/>
      <c r="AG628" s="138">
        <f>1-AG627/(3*F_GAMMA*AG$29)</f>
        <v>0.80088032919181107</v>
      </c>
      <c r="AH628" s="133"/>
      <c r="AI628" s="146"/>
      <c r="AJ628" s="138">
        <f>1-AJ627/(3*F_GAMMA*AJ$29)</f>
        <v>0.88776624496016865</v>
      </c>
      <c r="AK628" s="133"/>
      <c r="AL628" s="146"/>
      <c r="AM628" s="138">
        <f>1-AM627/(3*F_GAMMA*AM$29)</f>
        <v>1.0560108983119552</v>
      </c>
      <c r="AN628" s="133"/>
      <c r="AO628" s="146"/>
      <c r="AP628" s="138">
        <f>1-AP627/(3*F_GAMMA*AP$29)</f>
        <v>1.2919668980962478</v>
      </c>
      <c r="AQ628" s="133"/>
      <c r="AR628" s="146"/>
      <c r="AS628" s="138">
        <f>1-AS627/(3*F_GAMMA*AS$29)</f>
        <v>2.7549286531406389</v>
      </c>
      <c r="AT628" s="133"/>
      <c r="AU628" s="146"/>
    </row>
    <row r="629" spans="13:47" x14ac:dyDescent="0.25">
      <c r="M629" s="27"/>
      <c r="N629" s="27"/>
      <c r="O629" s="2" t="s">
        <v>71</v>
      </c>
      <c r="P629" s="85">
        <v>5</v>
      </c>
      <c r="Q629" s="2"/>
      <c r="R629" s="179">
        <f>R621/((N_6*R$27*R628)*SQRT(R627*R623*R625))</f>
        <v>0.1137346267473843</v>
      </c>
      <c r="S629" s="133"/>
      <c r="T629" s="146"/>
      <c r="U629" s="143">
        <f>U621/((N_6*U$27*U628)*SQRT(U627*U623*U625))</f>
        <v>3.0593754828545108</v>
      </c>
      <c r="V629" s="133"/>
      <c r="W629" s="146"/>
      <c r="X629" s="143">
        <f>X621/((N_6*X$27*X628)*SQRT(X627*X623*X625))</f>
        <v>7.7125214787940468</v>
      </c>
      <c r="Y629" s="133"/>
      <c r="Z629" s="146"/>
      <c r="AA629" s="143">
        <f>AA621/((N_6*AA$27*AA628)*SQRT(AA627*AA623*AA625))</f>
        <v>15.803666498061613</v>
      </c>
      <c r="AB629" s="133"/>
      <c r="AC629" s="146"/>
      <c r="AD629" s="143">
        <f>AD621/((N_6*AD$27*AD628)*SQRT(AD627*AD623*AD625))</f>
        <v>29.413197625479317</v>
      </c>
      <c r="AE629" s="133"/>
      <c r="AF629" s="146"/>
      <c r="AG629" s="143">
        <f>AG621/((N_6*AG$27*AG628)*SQRT(AG627*AG623*AG625))</f>
        <v>52.213627981756666</v>
      </c>
      <c r="AH629" s="133"/>
      <c r="AI629" s="146"/>
      <c r="AJ629" s="143">
        <f>AJ621/((N_6*AJ$27*AJ628)*SQRT(AJ627*AJ623*AJ625))</f>
        <v>106.14849233521871</v>
      </c>
      <c r="AK629" s="133"/>
      <c r="AL629" s="146"/>
      <c r="AM629" s="143" t="e">
        <f>AM621/((N_6*AM$27*AM628)*SQRT(AM627*AM623*AM625))</f>
        <v>#NUM!</v>
      </c>
      <c r="AN629" s="133"/>
      <c r="AO629" s="146"/>
      <c r="AP629" s="143" t="e">
        <f>AP621/((N_6*AP$27*AP628)*SQRT(AP627*AP623*AP625))</f>
        <v>#NUM!</v>
      </c>
      <c r="AQ629" s="133"/>
      <c r="AR629" s="146"/>
      <c r="AS629" s="143" t="e">
        <f>AS621/((N_6*AS$27*AS628)*SQRT(AS627*AS623*AS625))</f>
        <v>#NUM!</v>
      </c>
      <c r="AT629" s="133"/>
      <c r="AU629" s="146"/>
    </row>
    <row r="630" spans="13:47" x14ac:dyDescent="0.25">
      <c r="M630" s="27"/>
      <c r="N630" s="27"/>
      <c r="O630" s="2" t="s">
        <v>73</v>
      </c>
      <c r="P630" s="85">
        <v>5</v>
      </c>
      <c r="Q630" s="2"/>
      <c r="R630" s="179">
        <f>R621/((N_6*R$27*0.667)*SQRT(R631*R623*R625))</f>
        <v>0.11155179071869038</v>
      </c>
      <c r="S630" s="133"/>
      <c r="T630" s="147"/>
      <c r="U630" s="143">
        <f>U621/((N_6*U$27*0.667)*SQRT(U631*U623*U625))</f>
        <v>2.999705311402959</v>
      </c>
      <c r="V630" s="133"/>
      <c r="W630" s="155"/>
      <c r="X630" s="143">
        <f>X621/((N_6*X$27*0.667)*SQRT(X631*X623*X625))</f>
        <v>7.567238607740312</v>
      </c>
      <c r="Y630" s="133"/>
      <c r="Z630" s="155"/>
      <c r="AA630" s="143">
        <f>AA621/((N_6*AA$27*0.667)*SQRT(AA631*AA623*AA625))</f>
        <v>15.452910298264264</v>
      </c>
      <c r="AB630" s="133"/>
      <c r="AC630" s="155"/>
      <c r="AD630" s="143">
        <f>AD621/((N_6*AD$27*0.667)*SQRT(AD631*AD623*AD625))</f>
        <v>28.391786824707417</v>
      </c>
      <c r="AE630" s="133"/>
      <c r="AF630" s="155"/>
      <c r="AG630" s="143">
        <f>AG621/((N_6*AG$27*0.667)*SQRT(AG631*AG623*AG625))</f>
        <v>48.455532841463373</v>
      </c>
      <c r="AH630" s="133"/>
      <c r="AI630" s="155"/>
      <c r="AJ630" s="143">
        <f>AJ621/((N_6*AJ$27*0.667)*SQRT(AJ631*AJ623*AJ625))</f>
        <v>81.980204694278385</v>
      </c>
      <c r="AK630" s="133"/>
      <c r="AL630" s="155"/>
      <c r="AM630" s="143">
        <f>AM621/((N_6*AM$27*0.667)*SQRT(AM631*AM623*AM625))</f>
        <v>140.85781236263946</v>
      </c>
      <c r="AN630" s="133"/>
      <c r="AO630" s="155"/>
      <c r="AP630" s="143">
        <f>AP621/((N_6*AP$27*0.667)*SQRT(AP631*AP623*AP625))</f>
        <v>227.86388422998363</v>
      </c>
      <c r="AQ630" s="133"/>
      <c r="AR630" s="155"/>
      <c r="AS630" s="143">
        <f>AS621/((N_6*AS$27*0.667)*SQRT(AS631*AS623*AS625))</f>
        <v>828.19223426955841</v>
      </c>
      <c r="AT630" s="133"/>
      <c r="AU630" s="155"/>
    </row>
    <row r="631" spans="13:47" ht="15.5" x14ac:dyDescent="0.4">
      <c r="M631" s="27"/>
      <c r="N631" s="27"/>
      <c r="O631" s="2" t="s">
        <v>192</v>
      </c>
      <c r="P631" s="85">
        <v>10</v>
      </c>
      <c r="Q631" s="2"/>
      <c r="R631" s="181">
        <f>F_GAMMA*R$29</f>
        <v>0.64002688015162901</v>
      </c>
      <c r="S631" s="133"/>
      <c r="T631" s="147"/>
      <c r="U631" s="138">
        <f>F_GAMMA*U$29</f>
        <v>0.64016782916606918</v>
      </c>
      <c r="V631" s="133"/>
      <c r="W631" s="155"/>
      <c r="X631" s="138">
        <f>F_GAMMA*X$29</f>
        <v>0.6307062319203669</v>
      </c>
      <c r="Y631" s="133"/>
      <c r="Z631" s="155"/>
      <c r="AA631" s="138">
        <f>F_GAMMA*AA$29</f>
        <v>0.62217534213893466</v>
      </c>
      <c r="AB631" s="133"/>
      <c r="AC631" s="155"/>
      <c r="AD631" s="138">
        <f>F_GAMMA*AD$29</f>
        <v>0.60557184969146072</v>
      </c>
      <c r="AE631" s="133"/>
      <c r="AF631" s="155"/>
      <c r="AG631" s="138">
        <f>F_GAMMA*AG$29</f>
        <v>0.57289312142622573</v>
      </c>
      <c r="AH631" s="133"/>
      <c r="AI631" s="155"/>
      <c r="AJ631" s="138">
        <f>F_GAMMA*AJ$29</f>
        <v>0.53590819116049981</v>
      </c>
      <c r="AK631" s="133"/>
      <c r="AL631" s="155"/>
      <c r="AM631" s="138">
        <f>F_GAMMA*AM$29</f>
        <v>0.49048815926850342</v>
      </c>
      <c r="AN631" s="133"/>
      <c r="AO631" s="155"/>
      <c r="AP631" s="138">
        <f>F_GAMMA*AP$29</f>
        <v>0.59352979016280105</v>
      </c>
      <c r="AQ631" s="133"/>
      <c r="AR631" s="155"/>
      <c r="AS631" s="138">
        <f>F_GAMMA*AS$29</f>
        <v>0.39097221161068291</v>
      </c>
      <c r="AT631" s="133"/>
      <c r="AU631" s="155"/>
    </row>
    <row r="632" spans="13:47" x14ac:dyDescent="0.25">
      <c r="M632" s="27"/>
      <c r="N632" s="27"/>
      <c r="O632" s="2" t="s">
        <v>193</v>
      </c>
      <c r="P632" s="134"/>
      <c r="Q632" s="2"/>
      <c r="R632" s="181">
        <f>IF(R627&lt;R631,R629,R630)</f>
        <v>0.1137346267473843</v>
      </c>
      <c r="S632" s="133"/>
      <c r="T632" s="147"/>
      <c r="U632" s="138">
        <f>IF(U627&lt;U631,U629,U630)</f>
        <v>3.0593754828545108</v>
      </c>
      <c r="V632" s="133"/>
      <c r="W632" s="155"/>
      <c r="X632" s="138">
        <f>IF(X627&lt;X631,X629,X630)</f>
        <v>7.7125214787940468</v>
      </c>
      <c r="Y632" s="133"/>
      <c r="Z632" s="155"/>
      <c r="AA632" s="138">
        <f>IF(AA627&lt;AA631,AA629,AA630)</f>
        <v>15.803666498061613</v>
      </c>
      <c r="AB632" s="133"/>
      <c r="AC632" s="155"/>
      <c r="AD632" s="138">
        <f>IF(AD627&lt;AD631,AD629,AD630)</f>
        <v>29.413197625479317</v>
      </c>
      <c r="AE632" s="133"/>
      <c r="AF632" s="155"/>
      <c r="AG632" s="138">
        <f>IF(AG627&lt;AG631,AG629,AG630)</f>
        <v>52.213627981756666</v>
      </c>
      <c r="AH632" s="133"/>
      <c r="AI632" s="155"/>
      <c r="AJ632" s="138">
        <f>IF(AJ627&lt;AJ631,AJ629,AJ630)</f>
        <v>106.14849233521871</v>
      </c>
      <c r="AK632" s="133"/>
      <c r="AL632" s="155"/>
      <c r="AM632" s="138" t="e">
        <f>IF(AM627&lt;AM631,AM629,AM630)</f>
        <v>#NUM!</v>
      </c>
      <c r="AN632" s="133"/>
      <c r="AO632" s="155"/>
      <c r="AP632" s="138" t="e">
        <f>IF(AP627&lt;AP631,AP629,AP630)</f>
        <v>#NUM!</v>
      </c>
      <c r="AQ632" s="133"/>
      <c r="AR632" s="155"/>
      <c r="AS632" s="138" t="e">
        <f>IF(AS627&lt;AS631,AS629,AS630)</f>
        <v>#NUM!</v>
      </c>
      <c r="AT632" s="133"/>
      <c r="AU632" s="155"/>
    </row>
    <row r="633" spans="13:47" ht="13" x14ac:dyDescent="0.3">
      <c r="M633" s="28"/>
      <c r="N633" s="28"/>
      <c r="O633" s="9" t="s">
        <v>194</v>
      </c>
      <c r="P633" s="1"/>
      <c r="Q633" s="1"/>
      <c r="R633" s="135"/>
      <c r="S633" s="132">
        <f>IF(R626&lt;=0,W_max,ABS(R$23-R632))</f>
        <v>1.8862653732526158</v>
      </c>
      <c r="T633" s="151">
        <f>R621</f>
        <v>26.303449135985034</v>
      </c>
      <c r="U633" s="135"/>
      <c r="V633" s="132">
        <f>IF(U626&lt;=0,W_max,ABS(U$23-U632))</f>
        <v>1.9406245171454892</v>
      </c>
      <c r="W633" s="151">
        <f>U621</f>
        <v>705.56219886398071</v>
      </c>
      <c r="X633" s="135"/>
      <c r="Y633" s="132">
        <f>IF(X626&lt;=0,W_max,ABS(X$23-X632))</f>
        <v>2.2874785212059532</v>
      </c>
      <c r="Z633" s="151">
        <f>X621</f>
        <v>1744.9392806765256</v>
      </c>
      <c r="AA633" s="135"/>
      <c r="AB633" s="132">
        <f>IF(AA626&lt;=0,W_max,ABS(AA$23-AA632))</f>
        <v>1.3963335019383862</v>
      </c>
      <c r="AC633" s="151">
        <f>AA621</f>
        <v>3398.6963310099127</v>
      </c>
      <c r="AD633" s="135"/>
      <c r="AE633" s="132">
        <f>IF(AD626&lt;=0,W_max,ABS(AD$23-AD632))</f>
        <v>2.8131976254793152</v>
      </c>
      <c r="AF633" s="151">
        <f>AD621</f>
        <v>5589.6041387629539</v>
      </c>
      <c r="AG633" s="135"/>
      <c r="AH633" s="132">
        <f>IF(AG626&lt;=0,W_max,ABS(AG$23-AG632))</f>
        <v>13.813627981756667</v>
      </c>
      <c r="AI633" s="151">
        <f>AG621</f>
        <v>7839.8501268271111</v>
      </c>
      <c r="AJ633" s="135"/>
      <c r="AK633" s="132">
        <f>IF(AJ626&lt;=0,W_max,ABS(AJ$23-AJ632))</f>
        <v>53.648492335218705</v>
      </c>
      <c r="AL633" s="151">
        <f>AJ621</f>
        <v>9954.529345329709</v>
      </c>
      <c r="AM633" s="135"/>
      <c r="AN633" s="132">
        <f>IF(AM626&lt;=0,W_max,ABS(AM$23-AM632))</f>
        <v>7174</v>
      </c>
      <c r="AO633" s="151">
        <f>AM621</f>
        <v>11672.468530599903</v>
      </c>
      <c r="AP633" s="135"/>
      <c r="AQ633" s="132">
        <f>IF(AP626&lt;=0,W_max,ABS(AP$23-AP632))</f>
        <v>7174</v>
      </c>
      <c r="AR633" s="151">
        <f>AP621</f>
        <v>13022.603667037331</v>
      </c>
      <c r="AS633" s="135"/>
      <c r="AT633" s="132">
        <f>IF(AS626&lt;=0,W_max,ABS(AS$23-AS632))</f>
        <v>7174</v>
      </c>
      <c r="AU633" s="151">
        <f>AS621</f>
        <v>14528.906702481228</v>
      </c>
    </row>
    <row r="634" spans="13:47" ht="13" x14ac:dyDescent="0.25">
      <c r="M634" s="12"/>
      <c r="N634" s="12"/>
      <c r="O634" s="12"/>
      <c r="P634" s="12"/>
      <c r="Q634" s="12"/>
      <c r="R634" s="182"/>
      <c r="S634" s="22"/>
      <c r="T634" s="152"/>
      <c r="U634" s="157"/>
      <c r="V634" s="1"/>
      <c r="W634" s="147"/>
      <c r="X634" s="157"/>
      <c r="Y634" s="1"/>
      <c r="Z634" s="147"/>
      <c r="AA634" s="157"/>
      <c r="AB634" s="1"/>
      <c r="AC634" s="147"/>
      <c r="AD634" s="157"/>
      <c r="AE634" s="1"/>
      <c r="AF634" s="147"/>
      <c r="AG634" s="157"/>
      <c r="AH634" s="1"/>
      <c r="AI634" s="147"/>
      <c r="AJ634" s="157"/>
      <c r="AK634" s="1"/>
      <c r="AL634" s="147"/>
      <c r="AM634" s="157"/>
      <c r="AN634" s="1"/>
      <c r="AO634" s="147"/>
      <c r="AP634" s="157"/>
      <c r="AQ634" s="1"/>
      <c r="AR634" s="147"/>
      <c r="AS634" s="157"/>
      <c r="AT634" s="1"/>
      <c r="AU634" s="147"/>
    </row>
    <row r="635" spans="13:47" ht="14" x14ac:dyDescent="0.3">
      <c r="M635" s="23"/>
      <c r="N635" s="23"/>
      <c r="O635" s="23" t="s">
        <v>238</v>
      </c>
      <c r="P635" s="20"/>
      <c r="Q635" s="20"/>
      <c r="R635" s="18">
        <f>R621*1.02</f>
        <v>26.829518118704733</v>
      </c>
      <c r="S635" s="128" t="s">
        <v>185</v>
      </c>
      <c r="T635" s="153" t="s">
        <v>186</v>
      </c>
      <c r="U635" s="143">
        <f>U621*1.01</f>
        <v>712.61782085262053</v>
      </c>
      <c r="V635" s="128" t="s">
        <v>185</v>
      </c>
      <c r="W635" s="153" t="s">
        <v>186</v>
      </c>
      <c r="X635" s="143">
        <f>X621*1.01</f>
        <v>1762.3886734832909</v>
      </c>
      <c r="Y635" s="128" t="s">
        <v>185</v>
      </c>
      <c r="Z635" s="153" t="s">
        <v>186</v>
      </c>
      <c r="AA635" s="143">
        <f>AA621*1.01</f>
        <v>3432.683294320012</v>
      </c>
      <c r="AB635" s="128" t="s">
        <v>185</v>
      </c>
      <c r="AC635" s="153" t="s">
        <v>186</v>
      </c>
      <c r="AD635" s="143">
        <f>AD621*1.01</f>
        <v>5645.5001801505832</v>
      </c>
      <c r="AE635" s="128" t="s">
        <v>185</v>
      </c>
      <c r="AF635" s="153" t="s">
        <v>186</v>
      </c>
      <c r="AG635" s="143">
        <f>AG621*1.01</f>
        <v>7918.2486280953826</v>
      </c>
      <c r="AH635" s="128" t="s">
        <v>185</v>
      </c>
      <c r="AI635" s="153" t="s">
        <v>186</v>
      </c>
      <c r="AJ635" s="143">
        <f>AJ621*1.01</f>
        <v>10054.074638783006</v>
      </c>
      <c r="AK635" s="128" t="s">
        <v>185</v>
      </c>
      <c r="AL635" s="153" t="s">
        <v>186</v>
      </c>
      <c r="AM635" s="143">
        <f>AM621*1.01</f>
        <v>11789.193215905902</v>
      </c>
      <c r="AN635" s="128" t="s">
        <v>185</v>
      </c>
      <c r="AO635" s="153" t="s">
        <v>186</v>
      </c>
      <c r="AP635" s="143">
        <f>AP621*1.01</f>
        <v>13152.829703707705</v>
      </c>
      <c r="AQ635" s="128" t="s">
        <v>185</v>
      </c>
      <c r="AR635" s="153" t="s">
        <v>186</v>
      </c>
      <c r="AS635" s="143">
        <f>AS621*1.01</f>
        <v>14674.195769506041</v>
      </c>
      <c r="AT635" s="128" t="s">
        <v>185</v>
      </c>
      <c r="AU635" s="153" t="s">
        <v>186</v>
      </c>
    </row>
    <row r="636" spans="13:47" ht="14" x14ac:dyDescent="0.3">
      <c r="M636" s="12"/>
      <c r="N636" s="12"/>
      <c r="O636" s="20"/>
      <c r="P636" s="20"/>
      <c r="Q636" s="23"/>
      <c r="R636" s="139"/>
      <c r="S636" s="130" t="s">
        <v>228</v>
      </c>
      <c r="T636" s="154" t="s">
        <v>187</v>
      </c>
      <c r="U636" s="144"/>
      <c r="V636" s="130" t="s">
        <v>228</v>
      </c>
      <c r="W636" s="154" t="s">
        <v>187</v>
      </c>
      <c r="X636" s="144"/>
      <c r="Y636" s="130" t="s">
        <v>228</v>
      </c>
      <c r="Z636" s="154" t="s">
        <v>187</v>
      </c>
      <c r="AA636" s="144"/>
      <c r="AB636" s="130" t="s">
        <v>228</v>
      </c>
      <c r="AC636" s="154" t="s">
        <v>187</v>
      </c>
      <c r="AD636" s="144"/>
      <c r="AE636" s="130" t="s">
        <v>228</v>
      </c>
      <c r="AF636" s="154" t="s">
        <v>187</v>
      </c>
      <c r="AG636" s="144"/>
      <c r="AH636" s="130" t="s">
        <v>228</v>
      </c>
      <c r="AI636" s="154" t="s">
        <v>187</v>
      </c>
      <c r="AJ636" s="144"/>
      <c r="AK636" s="130" t="s">
        <v>228</v>
      </c>
      <c r="AL636" s="154" t="s">
        <v>187</v>
      </c>
      <c r="AM636" s="144"/>
      <c r="AN636" s="130" t="s">
        <v>228</v>
      </c>
      <c r="AO636" s="154" t="s">
        <v>187</v>
      </c>
      <c r="AP636" s="144"/>
      <c r="AQ636" s="130" t="s">
        <v>228</v>
      </c>
      <c r="AR636" s="154" t="s">
        <v>187</v>
      </c>
      <c r="AS636" s="144"/>
      <c r="AT636" s="130" t="s">
        <v>228</v>
      </c>
      <c r="AU636" s="154" t="s">
        <v>187</v>
      </c>
    </row>
    <row r="637" spans="13:47" x14ac:dyDescent="0.25">
      <c r="M637" s="20"/>
      <c r="N637" s="20"/>
      <c r="O637" s="7" t="s">
        <v>188</v>
      </c>
      <c r="P637" s="7"/>
      <c r="Q637" s="7"/>
      <c r="R637" s="181">
        <f>P_1_minW-(R635^2*R_up)+dpup_minQ</f>
        <v>100.52249969876834</v>
      </c>
      <c r="S637" s="132"/>
      <c r="T637" s="145"/>
      <c r="U637" s="138">
        <f>P_1_minW-(U635^2*R_up)+dpup_minQ</f>
        <v>100.32028584261427</v>
      </c>
      <c r="V637" s="132"/>
      <c r="W637" s="145"/>
      <c r="X637" s="138">
        <f>P_1_minW-(X635^2*R_up)+dpup_minQ</f>
        <v>99.284226955051153</v>
      </c>
      <c r="Y637" s="132"/>
      <c r="Z637" s="145"/>
      <c r="AA637" s="138">
        <f>P_1_minW-(AA635^2*R_up)+dpup_minQ</f>
        <v>95.824050566867385</v>
      </c>
      <c r="AB637" s="132"/>
      <c r="AC637" s="145"/>
      <c r="AD637" s="138">
        <f>P_1_minW-(AD635^2*R_up)+dpup_minQ</f>
        <v>87.813580163688044</v>
      </c>
      <c r="AE637" s="132"/>
      <c r="AF637" s="145"/>
      <c r="AG637" s="138">
        <f>P_1_minW-(AG635^2*R_up)+dpup_minQ</f>
        <v>75.520953394756447</v>
      </c>
      <c r="AH637" s="132"/>
      <c r="AI637" s="145"/>
      <c r="AJ637" s="138">
        <f>P_1_minW-(AJ635^2*R_up)+dpup_minQ</f>
        <v>60.214179032931312</v>
      </c>
      <c r="AK637" s="132"/>
      <c r="AL637" s="145"/>
      <c r="AM637" s="138">
        <f>P_1_minW-(AM635^2*R_up)+dpup_minQ</f>
        <v>45.100842309826447</v>
      </c>
      <c r="AN637" s="132"/>
      <c r="AO637" s="145"/>
      <c r="AP637" s="138">
        <f>P_1_minW-(AP635^2*R_up)+dpup_minQ</f>
        <v>31.53821353032977</v>
      </c>
      <c r="AQ637" s="132"/>
      <c r="AR637" s="145"/>
      <c r="AS637" s="138">
        <f>P_1_minW-(AS635^2*R_up)+dpup_minQ</f>
        <v>14.656594388575982</v>
      </c>
      <c r="AT637" s="132"/>
      <c r="AU637" s="145"/>
    </row>
    <row r="638" spans="13:47" x14ac:dyDescent="0.25">
      <c r="M638" s="20"/>
      <c r="N638" s="20"/>
      <c r="O638" s="7" t="s">
        <v>189</v>
      </c>
      <c r="P638" s="1"/>
      <c r="Q638" s="7"/>
      <c r="R638" s="181">
        <f>P_2_minW+(R635^2*R_dn)-dpdn_minQ</f>
        <v>50</v>
      </c>
      <c r="S638" s="132"/>
      <c r="T638" s="146"/>
      <c r="U638" s="138">
        <f>P_2_minW+(U635^2*R_dn)-dpdn_minQ</f>
        <v>50</v>
      </c>
      <c r="V638" s="132"/>
      <c r="W638" s="146"/>
      <c r="X638" s="138">
        <f>P_2_minW+(X635^2*R_dn)-dpdn_minQ</f>
        <v>50</v>
      </c>
      <c r="Y638" s="132"/>
      <c r="Z638" s="146"/>
      <c r="AA638" s="138">
        <f>P_2_minW+(AA635^2*R_dn)-dpdn_minQ</f>
        <v>50</v>
      </c>
      <c r="AB638" s="132"/>
      <c r="AC638" s="146"/>
      <c r="AD638" s="138">
        <f>P_2_minW+(AD635^2*R_dn)-dpdn_minQ</f>
        <v>50</v>
      </c>
      <c r="AE638" s="132"/>
      <c r="AF638" s="146"/>
      <c r="AG638" s="138">
        <f>P_2_minW+(AG635^2*R_dn)-dpdn_minQ</f>
        <v>50</v>
      </c>
      <c r="AH638" s="132"/>
      <c r="AI638" s="146"/>
      <c r="AJ638" s="138">
        <f>P_2_minW+(AJ635^2*R_dn)-dpdn_minQ</f>
        <v>50</v>
      </c>
      <c r="AK638" s="132"/>
      <c r="AL638" s="146"/>
      <c r="AM638" s="138">
        <f>P_2_minW+(AM635^2*R_dn)-dpdn_minQ</f>
        <v>50</v>
      </c>
      <c r="AN638" s="132"/>
      <c r="AO638" s="146"/>
      <c r="AP638" s="138">
        <f>P_2_minW+(AP635^2*R_dn)-dpdn_minQ</f>
        <v>50</v>
      </c>
      <c r="AQ638" s="132"/>
      <c r="AR638" s="146"/>
      <c r="AS638" s="138">
        <f>P_2_minW+(AS635^2*R_dn)-dpdn_minQ</f>
        <v>50</v>
      </c>
      <c r="AT638" s="132"/>
      <c r="AU638" s="146"/>
    </row>
    <row r="639" spans="13:47" x14ac:dyDescent="0.25">
      <c r="M639" s="20"/>
      <c r="N639" s="20"/>
      <c r="O639" s="7" t="s">
        <v>234</v>
      </c>
      <c r="P639" s="1"/>
      <c r="Q639" s="7"/>
      <c r="R639" s="179">
        <f>'Valve Sizing'!G$8*R637/P_1_maxW</f>
        <v>0.48490264161888375</v>
      </c>
      <c r="S639" s="132"/>
      <c r="T639" s="146"/>
      <c r="U639" s="143">
        <f>'Valve Sizing'!$G$8*U637/P_1_maxW</f>
        <v>0.48392719797875455</v>
      </c>
      <c r="V639" s="132"/>
      <c r="W639" s="146"/>
      <c r="X639" s="143">
        <f>'Valve Sizing'!$G$8*X637/P_1_maxW</f>
        <v>0.47892943436406565</v>
      </c>
      <c r="Y639" s="132"/>
      <c r="Z639" s="146"/>
      <c r="AA639" s="143">
        <f>'Valve Sizing'!$G$8*AA637/P_1_maxW</f>
        <v>0.4622381595139024</v>
      </c>
      <c r="AB639" s="132"/>
      <c r="AC639" s="146"/>
      <c r="AD639" s="143">
        <f>'Valve Sizing'!$G$8*AD637/P_1_maxW</f>
        <v>0.42359707646531664</v>
      </c>
      <c r="AE639" s="132"/>
      <c r="AF639" s="146"/>
      <c r="AG639" s="143">
        <f>'Valve Sizing'!$G$8*AG637/P_1_maxW</f>
        <v>0.36429963349929206</v>
      </c>
      <c r="AH639" s="132"/>
      <c r="AI639" s="146"/>
      <c r="AJ639" s="143">
        <f>'Valve Sizing'!$G$8*AJ637/P_1_maxW</f>
        <v>0.29046247918105189</v>
      </c>
      <c r="AK639" s="132"/>
      <c r="AL639" s="146"/>
      <c r="AM639" s="143">
        <f>'Valve Sizing'!$G$8*AM637/P_1_maxW</f>
        <v>0.21755843359254942</v>
      </c>
      <c r="AN639" s="132"/>
      <c r="AO639" s="146"/>
      <c r="AP639" s="143">
        <f>'Valve Sizing'!$G$8*AP637/P_1_maxW</f>
        <v>0.15213472703748038</v>
      </c>
      <c r="AQ639" s="132"/>
      <c r="AR639" s="146"/>
      <c r="AS639" s="143">
        <f>'Valve Sizing'!$G$8*AS637/P_1_maxW</f>
        <v>7.0700801884695672E-2</v>
      </c>
      <c r="AT639" s="132"/>
      <c r="AU639" s="146"/>
    </row>
    <row r="640" spans="13:47" x14ac:dyDescent="0.25">
      <c r="M640" s="20"/>
      <c r="N640" s="20"/>
      <c r="O640" s="7" t="s">
        <v>190</v>
      </c>
      <c r="P640" s="1"/>
      <c r="Q640" s="7"/>
      <c r="R640" s="181">
        <f>R637-R638</f>
        <v>50.522499698768343</v>
      </c>
      <c r="S640" s="132"/>
      <c r="T640" s="146"/>
      <c r="U640" s="138">
        <f>U637-U638</f>
        <v>50.320285842614268</v>
      </c>
      <c r="V640" s="132"/>
      <c r="W640" s="146"/>
      <c r="X640" s="138">
        <f>X637-X638</f>
        <v>49.284226955051153</v>
      </c>
      <c r="Y640" s="132"/>
      <c r="Z640" s="146"/>
      <c r="AA640" s="138">
        <f>AA637-AA638</f>
        <v>45.824050566867385</v>
      </c>
      <c r="AB640" s="132"/>
      <c r="AC640" s="146"/>
      <c r="AD640" s="138">
        <f>AD637-AD638</f>
        <v>37.813580163688044</v>
      </c>
      <c r="AE640" s="132"/>
      <c r="AF640" s="146"/>
      <c r="AG640" s="138">
        <f>AG637-AG638</f>
        <v>25.520953394756447</v>
      </c>
      <c r="AH640" s="132"/>
      <c r="AI640" s="146"/>
      <c r="AJ640" s="138">
        <f>AJ637-AJ638</f>
        <v>10.214179032931312</v>
      </c>
      <c r="AK640" s="132"/>
      <c r="AL640" s="146"/>
      <c r="AM640" s="138">
        <f>AM637-AM638</f>
        <v>-4.8991576901735527</v>
      </c>
      <c r="AN640" s="132"/>
      <c r="AO640" s="146"/>
      <c r="AP640" s="138">
        <f>AP637-AP638</f>
        <v>-18.46178646967023</v>
      </c>
      <c r="AQ640" s="132"/>
      <c r="AR640" s="146"/>
      <c r="AS640" s="138">
        <f>AS637-AS638</f>
        <v>-35.343405611424018</v>
      </c>
      <c r="AT640" s="132"/>
      <c r="AU640" s="146"/>
    </row>
    <row r="641" spans="13:47" ht="14.5" x14ac:dyDescent="0.35">
      <c r="M641" s="27"/>
      <c r="N641" s="27"/>
      <c r="O641" s="2" t="s">
        <v>191</v>
      </c>
      <c r="P641" s="10"/>
      <c r="Q641" s="2"/>
      <c r="R641" s="181">
        <f>R640/R637</f>
        <v>0.50259891914911636</v>
      </c>
      <c r="S641" s="132"/>
      <c r="T641" s="146"/>
      <c r="U641" s="138">
        <f>U640/U637</f>
        <v>0.50159631643751867</v>
      </c>
      <c r="V641" s="132"/>
      <c r="W641" s="146"/>
      <c r="X641" s="138">
        <f>X640/X637</f>
        <v>0.49639533354440629</v>
      </c>
      <c r="Y641" s="132"/>
      <c r="Z641" s="146"/>
      <c r="AA641" s="138">
        <f>AA640/AA637</f>
        <v>0.47821032711292777</v>
      </c>
      <c r="AB641" s="132"/>
      <c r="AC641" s="146"/>
      <c r="AD641" s="138">
        <f>AD640/AD637</f>
        <v>0.43061198613246393</v>
      </c>
      <c r="AE641" s="132"/>
      <c r="AF641" s="146"/>
      <c r="AG641" s="138">
        <f>AG640/AG637</f>
        <v>0.33793208702431993</v>
      </c>
      <c r="AH641" s="132"/>
      <c r="AI641" s="146"/>
      <c r="AJ641" s="138">
        <f>AJ640/AJ637</f>
        <v>0.16963079455663005</v>
      </c>
      <c r="AK641" s="132"/>
      <c r="AL641" s="146"/>
      <c r="AM641" s="138">
        <f>AM640/AM637</f>
        <v>-0.10862674485141795</v>
      </c>
      <c r="AN641" s="132"/>
      <c r="AO641" s="146"/>
      <c r="AP641" s="138">
        <f>AP640/AP637</f>
        <v>-0.58537832055439154</v>
      </c>
      <c r="AQ641" s="132"/>
      <c r="AR641" s="146"/>
      <c r="AS641" s="138">
        <f>AS640/AS637</f>
        <v>-2.4114336983339242</v>
      </c>
      <c r="AT641" s="132"/>
      <c r="AU641" s="146"/>
    </row>
    <row r="642" spans="13:47" x14ac:dyDescent="0.25">
      <c r="M642" s="27"/>
      <c r="N642" s="27"/>
      <c r="O642" s="2" t="s">
        <v>26</v>
      </c>
      <c r="P642" s="7">
        <v>12</v>
      </c>
      <c r="Q642" s="2"/>
      <c r="R642" s="181">
        <f>1-R641/(3*F_GAMMA*R$29)</f>
        <v>0.73824072356146164</v>
      </c>
      <c r="S642" s="133"/>
      <c r="T642" s="146"/>
      <c r="U642" s="138">
        <f>1-U641/(3*F_GAMMA*U$29)</f>
        <v>0.73882040844875752</v>
      </c>
      <c r="V642" s="133"/>
      <c r="W642" s="146"/>
      <c r="X642" s="138">
        <f>1-X641/(3*F_GAMMA*X$29)</f>
        <v>0.73765106033967265</v>
      </c>
      <c r="Y642" s="133"/>
      <c r="Z642" s="146"/>
      <c r="AA642" s="138">
        <f>1-AA641/(3*F_GAMMA*AA$29)</f>
        <v>0.74379659305852019</v>
      </c>
      <c r="AB642" s="133"/>
      <c r="AC642" s="146"/>
      <c r="AD642" s="138">
        <f>1-AD641/(3*F_GAMMA*AD$29)</f>
        <v>0.76297225707576455</v>
      </c>
      <c r="AE642" s="133"/>
      <c r="AF642" s="146"/>
      <c r="AG642" s="138">
        <f>1-AG641/(3*F_GAMMA*AG$29)</f>
        <v>0.80337688690051356</v>
      </c>
      <c r="AH642" s="133"/>
      <c r="AI642" s="146"/>
      <c r="AJ642" s="138">
        <f>1-AJ641/(3*F_GAMMA*AJ$29)</f>
        <v>0.89449014006839644</v>
      </c>
      <c r="AK642" s="133"/>
      <c r="AL642" s="146"/>
      <c r="AM642" s="138">
        <f>1-AM641/(3*F_GAMMA*AM$29)</f>
        <v>1.073822199917065</v>
      </c>
      <c r="AN642" s="133"/>
      <c r="AO642" s="146"/>
      <c r="AP642" s="138">
        <f>1-AP641/(3*F_GAMMA*AP$29)</f>
        <v>1.3287553718204137</v>
      </c>
      <c r="AQ642" s="133"/>
      <c r="AR642" s="146"/>
      <c r="AS642" s="138">
        <f>1-AS641/(3*F_GAMMA*AS$29)</f>
        <v>3.0559293190340164</v>
      </c>
      <c r="AT642" s="133"/>
      <c r="AU642" s="146"/>
    </row>
    <row r="643" spans="13:47" x14ac:dyDescent="0.25">
      <c r="M643" s="27"/>
      <c r="N643" s="27"/>
      <c r="O643" s="2" t="s">
        <v>71</v>
      </c>
      <c r="P643" s="85">
        <v>5</v>
      </c>
      <c r="Q643" s="2"/>
      <c r="R643" s="179">
        <f>R635/((N_6*R$27*R642)*SQRT(R641*R637*R639))</f>
        <v>0.1160093339968899</v>
      </c>
      <c r="S643" s="133"/>
      <c r="T643" s="146"/>
      <c r="U643" s="143">
        <f>U635/((N_6*U$27*U642)*SQRT(U641*U637*U639))</f>
        <v>3.0901100233692529</v>
      </c>
      <c r="V643" s="133"/>
      <c r="W643" s="146"/>
      <c r="X643" s="143">
        <f>X635/((N_6*X$27*X642)*SQRT(X641*X637*X639))</f>
        <v>7.7918416747770296</v>
      </c>
      <c r="Y643" s="133"/>
      <c r="Z643" s="146"/>
      <c r="AA643" s="143">
        <f>AA635/((N_6*AA$27*AA642)*SQRT(AA641*AA637*AA639))</f>
        <v>15.979737272802417</v>
      </c>
      <c r="AB643" s="133"/>
      <c r="AC643" s="146"/>
      <c r="AD643" s="143">
        <f>AD635/((N_6*AD$27*AD642)*SQRT(AD641*AD637*AD639))</f>
        <v>29.813138766142185</v>
      </c>
      <c r="AE643" s="133"/>
      <c r="AF643" s="146"/>
      <c r="AG643" s="143">
        <f>AG635/((N_6*AG$27*AG642)*SQRT(AG641*AG637*AG639))</f>
        <v>53.249692886252312</v>
      </c>
      <c r="AH643" s="133"/>
      <c r="AI643" s="146"/>
      <c r="AJ643" s="143">
        <f>AJ635/((N_6*AJ$27*AJ642)*SQRT(AJ641*AJ637*AJ639))</f>
        <v>111.18968263904357</v>
      </c>
      <c r="AK643" s="133"/>
      <c r="AL643" s="146"/>
      <c r="AM643" s="143" t="e">
        <f>AM635/((N_6*AM$27*AM642)*SQRT(AM641*AM637*AM639))</f>
        <v>#NUM!</v>
      </c>
      <c r="AN643" s="133"/>
      <c r="AO643" s="146"/>
      <c r="AP643" s="143" t="e">
        <f>AP635/((N_6*AP$27*AP642)*SQRT(AP641*AP637*AP639))</f>
        <v>#NUM!</v>
      </c>
      <c r="AQ643" s="133"/>
      <c r="AR643" s="146"/>
      <c r="AS643" s="143" t="e">
        <f>AS635/((N_6*AS$27*AS642)*SQRT(AS641*AS637*AS639))</f>
        <v>#NUM!</v>
      </c>
      <c r="AT643" s="133"/>
      <c r="AU643" s="146"/>
    </row>
    <row r="644" spans="13:47" x14ac:dyDescent="0.25">
      <c r="M644" s="27"/>
      <c r="N644" s="27"/>
      <c r="O644" s="2" t="s">
        <v>73</v>
      </c>
      <c r="P644" s="85">
        <v>5</v>
      </c>
      <c r="Q644" s="2"/>
      <c r="R644" s="179">
        <f>R635/((N_6*R$27*0.667)*SQRT(R645*R637*R639))</f>
        <v>0.11378283914941603</v>
      </c>
      <c r="S644" s="133"/>
      <c r="T644" s="155"/>
      <c r="U644" s="143">
        <f>U635/((N_6*U$27*0.667)*SQRT(U645*U637*U639))</f>
        <v>3.0298228657414326</v>
      </c>
      <c r="V644" s="133"/>
      <c r="W644" s="155"/>
      <c r="X644" s="143">
        <f>X635/((N_6*X$27*0.667)*SQRT(X645*X637*X639))</f>
        <v>7.6447896565783466</v>
      </c>
      <c r="Y644" s="133"/>
      <c r="Z644" s="155"/>
      <c r="AA644" s="143">
        <f>AA635/((N_6*AA$27*0.667)*SQRT(AA645*AA637*AA639))</f>
        <v>15.622519059618726</v>
      </c>
      <c r="AB644" s="133"/>
      <c r="AC644" s="155"/>
      <c r="AD644" s="143">
        <f>AD635/((N_6*AD$27*0.667)*SQRT(AD645*AD637*AD639))</f>
        <v>28.757480372949964</v>
      </c>
      <c r="AE644" s="133"/>
      <c r="AF644" s="155"/>
      <c r="AG644" s="143">
        <f>AG635/((N_6*AG$27*0.667)*SQRT(AG645*AG637*AG639))</f>
        <v>49.259331953422738</v>
      </c>
      <c r="AH644" s="133"/>
      <c r="AI644" s="155"/>
      <c r="AJ644" s="143">
        <f>AJ635/((N_6*AJ$27*0.667)*SQRT(AJ645*AJ637*AJ639))</f>
        <v>83.892157797087336</v>
      </c>
      <c r="AK644" s="133"/>
      <c r="AL644" s="155"/>
      <c r="AM644" s="143">
        <f>AM635/((N_6*AM$27*0.667)*SQRT(AM645*AM637*AM639))</f>
        <v>145.7111009829265</v>
      </c>
      <c r="AN644" s="133"/>
      <c r="AO644" s="155"/>
      <c r="AP644" s="143">
        <f>AP635/((N_6*AP$27*0.667)*SQRT(AP645*AP637*AP639))</f>
        <v>240.06145871308172</v>
      </c>
      <c r="AQ644" s="133"/>
      <c r="AR644" s="155"/>
      <c r="AS644" s="143">
        <f>AS635/((N_6*AS$27*0.667)*SQRT(AS645*AS637*AS639))</f>
        <v>933.03364884548466</v>
      </c>
      <c r="AT644" s="133"/>
      <c r="AU644" s="155"/>
    </row>
    <row r="645" spans="13:47" ht="15.5" x14ac:dyDescent="0.4">
      <c r="M645" s="27"/>
      <c r="N645" s="27"/>
      <c r="O645" s="2" t="s">
        <v>192</v>
      </c>
      <c r="P645" s="85">
        <v>10</v>
      </c>
      <c r="Q645" s="2"/>
      <c r="R645" s="181">
        <f>F_GAMMA*R$29</f>
        <v>0.64002688015162901</v>
      </c>
      <c r="S645" s="133"/>
      <c r="T645" s="155"/>
      <c r="U645" s="138">
        <f>F_GAMMA*U$29</f>
        <v>0.64016782916606918</v>
      </c>
      <c r="V645" s="133"/>
      <c r="W645" s="155"/>
      <c r="X645" s="138">
        <f>F_GAMMA*X$29</f>
        <v>0.6307062319203669</v>
      </c>
      <c r="Y645" s="133"/>
      <c r="Z645" s="155"/>
      <c r="AA645" s="138">
        <f>F_GAMMA*AA$29</f>
        <v>0.62217534213893466</v>
      </c>
      <c r="AB645" s="133"/>
      <c r="AC645" s="155"/>
      <c r="AD645" s="138">
        <f>F_GAMMA*AD$29</f>
        <v>0.60557184969146072</v>
      </c>
      <c r="AE645" s="133"/>
      <c r="AF645" s="155"/>
      <c r="AG645" s="138">
        <f>F_GAMMA*AG$29</f>
        <v>0.57289312142622573</v>
      </c>
      <c r="AH645" s="133"/>
      <c r="AI645" s="155"/>
      <c r="AJ645" s="138">
        <f>F_GAMMA*AJ$29</f>
        <v>0.53590819116049981</v>
      </c>
      <c r="AK645" s="133"/>
      <c r="AL645" s="155"/>
      <c r="AM645" s="138">
        <f>F_GAMMA*AM$29</f>
        <v>0.49048815926850342</v>
      </c>
      <c r="AN645" s="133"/>
      <c r="AO645" s="155"/>
      <c r="AP645" s="138">
        <f>F_GAMMA*AP$29</f>
        <v>0.59352979016280105</v>
      </c>
      <c r="AQ645" s="133"/>
      <c r="AR645" s="155"/>
      <c r="AS645" s="138">
        <f>F_GAMMA*AS$29</f>
        <v>0.39097221161068291</v>
      </c>
      <c r="AT645" s="133"/>
      <c r="AU645" s="155"/>
    </row>
    <row r="646" spans="13:47" x14ac:dyDescent="0.25">
      <c r="M646" s="27"/>
      <c r="N646" s="27"/>
      <c r="O646" s="2" t="s">
        <v>193</v>
      </c>
      <c r="P646" s="134"/>
      <c r="Q646" s="2"/>
      <c r="R646" s="181">
        <f>IF(R641&lt;R645,R643,R644)</f>
        <v>0.1160093339968899</v>
      </c>
      <c r="S646" s="133"/>
      <c r="T646" s="155"/>
      <c r="U646" s="138">
        <f>IF(U641&lt;U645,U643,U644)</f>
        <v>3.0901100233692529</v>
      </c>
      <c r="V646" s="133"/>
      <c r="W646" s="155"/>
      <c r="X646" s="138">
        <f>IF(X641&lt;X645,X643,X644)</f>
        <v>7.7918416747770296</v>
      </c>
      <c r="Y646" s="133"/>
      <c r="Z646" s="155"/>
      <c r="AA646" s="138">
        <f>IF(AA641&lt;AA645,AA643,AA644)</f>
        <v>15.979737272802417</v>
      </c>
      <c r="AB646" s="133"/>
      <c r="AC646" s="155"/>
      <c r="AD646" s="138">
        <f>IF(AD641&lt;AD645,AD643,AD644)</f>
        <v>29.813138766142185</v>
      </c>
      <c r="AE646" s="133"/>
      <c r="AF646" s="155"/>
      <c r="AG646" s="138">
        <f>IF(AG641&lt;AG645,AG643,AG644)</f>
        <v>53.249692886252312</v>
      </c>
      <c r="AH646" s="133"/>
      <c r="AI646" s="155"/>
      <c r="AJ646" s="138">
        <f>IF(AJ641&lt;AJ645,AJ643,AJ644)</f>
        <v>111.18968263904357</v>
      </c>
      <c r="AK646" s="133"/>
      <c r="AL646" s="155"/>
      <c r="AM646" s="138" t="e">
        <f>IF(AM641&lt;AM645,AM643,AM644)</f>
        <v>#NUM!</v>
      </c>
      <c r="AN646" s="133"/>
      <c r="AO646" s="155"/>
      <c r="AP646" s="138" t="e">
        <f>IF(AP641&lt;AP645,AP643,AP644)</f>
        <v>#NUM!</v>
      </c>
      <c r="AQ646" s="133"/>
      <c r="AR646" s="155"/>
      <c r="AS646" s="138" t="e">
        <f>IF(AS641&lt;AS645,AS643,AS644)</f>
        <v>#NUM!</v>
      </c>
      <c r="AT646" s="133"/>
      <c r="AU646" s="155"/>
    </row>
    <row r="647" spans="13:47" ht="13" x14ac:dyDescent="0.3">
      <c r="M647" s="28"/>
      <c r="N647" s="28"/>
      <c r="O647" s="9" t="s">
        <v>194</v>
      </c>
      <c r="P647" s="1"/>
      <c r="Q647" s="1"/>
      <c r="R647" s="135"/>
      <c r="S647" s="132">
        <f>IF(R640&lt;=0,W_max,ABS(R$23-R646))</f>
        <v>1.88399066600311</v>
      </c>
      <c r="T647" s="151">
        <f>R635</f>
        <v>26.829518118704733</v>
      </c>
      <c r="U647" s="135"/>
      <c r="V647" s="132">
        <f>IF(U640&lt;=0,W_max,ABS(U$23-U646))</f>
        <v>1.9098899766307471</v>
      </c>
      <c r="W647" s="151">
        <f>U635</f>
        <v>712.61782085262053</v>
      </c>
      <c r="X647" s="135"/>
      <c r="Y647" s="132">
        <f>IF(X640&lt;=0,W_max,ABS(X$23-X646))</f>
        <v>2.2081583252229704</v>
      </c>
      <c r="Z647" s="151">
        <f>X635</f>
        <v>1762.3886734832909</v>
      </c>
      <c r="AA647" s="135"/>
      <c r="AB647" s="132">
        <f>IF(AA640&lt;=0,W_max,ABS(AA$23-AA646))</f>
        <v>1.2202627271975821</v>
      </c>
      <c r="AC647" s="151">
        <f>AA635</f>
        <v>3432.683294320012</v>
      </c>
      <c r="AD647" s="135"/>
      <c r="AE647" s="132">
        <f>IF(AD640&lt;=0,W_max,ABS(AD$23-AD646))</f>
        <v>3.2131387661421833</v>
      </c>
      <c r="AF647" s="151">
        <f>AD635</f>
        <v>5645.5001801505832</v>
      </c>
      <c r="AG647" s="135"/>
      <c r="AH647" s="132">
        <f>IF(AG640&lt;=0,W_max,ABS(AG$23-AG646))</f>
        <v>14.849692886252313</v>
      </c>
      <c r="AI647" s="151">
        <f>AG635</f>
        <v>7918.2486280953826</v>
      </c>
      <c r="AJ647" s="135"/>
      <c r="AK647" s="132">
        <f>IF(AJ640&lt;=0,W_max,ABS(AJ$23-AJ646))</f>
        <v>58.689682639043568</v>
      </c>
      <c r="AL647" s="151">
        <f>AJ635</f>
        <v>10054.074638783006</v>
      </c>
      <c r="AM647" s="135"/>
      <c r="AN647" s="132">
        <f>IF(AM640&lt;=0,W_max,ABS(AM$23-AM646))</f>
        <v>7174</v>
      </c>
      <c r="AO647" s="151">
        <f>AM635</f>
        <v>11789.193215905902</v>
      </c>
      <c r="AP647" s="135"/>
      <c r="AQ647" s="132">
        <f>IF(AP640&lt;=0,W_max,ABS(AP$23-AP646))</f>
        <v>7174</v>
      </c>
      <c r="AR647" s="151">
        <f>AP635</f>
        <v>13152.829703707705</v>
      </c>
      <c r="AS647" s="135"/>
      <c r="AT647" s="132">
        <f>IF(AS640&lt;=0,W_max,ABS(AS$23-AS646))</f>
        <v>7174</v>
      </c>
      <c r="AU647" s="151">
        <f>AS635</f>
        <v>14674.195769506041</v>
      </c>
    </row>
    <row r="648" spans="13:47" ht="13" x14ac:dyDescent="0.25">
      <c r="M648" s="12"/>
      <c r="N648" s="12"/>
      <c r="O648" s="2"/>
      <c r="P648" s="85"/>
      <c r="Q648" s="2"/>
      <c r="R648" s="18"/>
      <c r="S648" s="150"/>
      <c r="T648" s="152"/>
      <c r="U648" s="157"/>
      <c r="V648" s="1"/>
      <c r="W648" s="147"/>
      <c r="X648" s="157"/>
      <c r="Y648" s="1"/>
      <c r="Z648" s="147"/>
      <c r="AA648" s="157"/>
      <c r="AB648" s="1"/>
      <c r="AC648" s="147"/>
      <c r="AD648" s="157"/>
      <c r="AE648" s="1"/>
      <c r="AF648" s="147"/>
      <c r="AG648" s="157"/>
      <c r="AH648" s="1"/>
      <c r="AI648" s="147"/>
      <c r="AJ648" s="157"/>
      <c r="AK648" s="1"/>
      <c r="AL648" s="147"/>
      <c r="AM648" s="157"/>
      <c r="AN648" s="1"/>
      <c r="AO648" s="147"/>
      <c r="AP648" s="157"/>
      <c r="AQ648" s="1"/>
      <c r="AR648" s="147"/>
      <c r="AS648" s="157"/>
      <c r="AT648" s="1"/>
      <c r="AU648" s="147"/>
    </row>
    <row r="649" spans="13:47" ht="14" x14ac:dyDescent="0.3">
      <c r="M649" s="23"/>
      <c r="N649" s="23"/>
      <c r="O649" s="23" t="s">
        <v>238</v>
      </c>
      <c r="P649" s="20"/>
      <c r="Q649" s="20"/>
      <c r="R649" s="181">
        <f>R635*1.02</f>
        <v>27.366108481078829</v>
      </c>
      <c r="S649" s="128" t="s">
        <v>185</v>
      </c>
      <c r="T649" s="153" t="s">
        <v>186</v>
      </c>
      <c r="U649" s="143">
        <f>U635*1.01</f>
        <v>719.74399906114672</v>
      </c>
      <c r="V649" s="128" t="s">
        <v>185</v>
      </c>
      <c r="W649" s="153" t="s">
        <v>186</v>
      </c>
      <c r="X649" s="143">
        <f>X635*1.01</f>
        <v>1780.0125602181238</v>
      </c>
      <c r="Y649" s="128" t="s">
        <v>185</v>
      </c>
      <c r="Z649" s="153" t="s">
        <v>186</v>
      </c>
      <c r="AA649" s="143">
        <f>AA635*1.01</f>
        <v>3467.0101272632123</v>
      </c>
      <c r="AB649" s="128" t="s">
        <v>185</v>
      </c>
      <c r="AC649" s="153" t="s">
        <v>186</v>
      </c>
      <c r="AD649" s="143">
        <f>AD635*1.01</f>
        <v>5701.9551819520893</v>
      </c>
      <c r="AE649" s="128" t="s">
        <v>185</v>
      </c>
      <c r="AF649" s="153" t="s">
        <v>186</v>
      </c>
      <c r="AG649" s="143">
        <f>AG635*1.01</f>
        <v>7997.4311143763362</v>
      </c>
      <c r="AH649" s="128" t="s">
        <v>185</v>
      </c>
      <c r="AI649" s="153" t="s">
        <v>186</v>
      </c>
      <c r="AJ649" s="143">
        <f>AJ635*1.01</f>
        <v>10154.615385170837</v>
      </c>
      <c r="AK649" s="128" t="s">
        <v>185</v>
      </c>
      <c r="AL649" s="153" t="s">
        <v>186</v>
      </c>
      <c r="AM649" s="143">
        <f>AM635*1.01</f>
        <v>11907.08514806496</v>
      </c>
      <c r="AN649" s="128" t="s">
        <v>185</v>
      </c>
      <c r="AO649" s="153" t="s">
        <v>186</v>
      </c>
      <c r="AP649" s="143">
        <f>AP635*1.01</f>
        <v>13284.358000744782</v>
      </c>
      <c r="AQ649" s="128" t="s">
        <v>185</v>
      </c>
      <c r="AR649" s="153" t="s">
        <v>186</v>
      </c>
      <c r="AS649" s="143">
        <f>AS635*1.01</f>
        <v>14820.937727201101</v>
      </c>
      <c r="AT649" s="128" t="s">
        <v>185</v>
      </c>
      <c r="AU649" s="153" t="s">
        <v>186</v>
      </c>
    </row>
    <row r="650" spans="13:47" ht="14" x14ac:dyDescent="0.3">
      <c r="M650" s="12"/>
      <c r="N650" s="12"/>
      <c r="O650" s="20"/>
      <c r="P650" s="20"/>
      <c r="Q650" s="23"/>
      <c r="R650" s="139"/>
      <c r="S650" s="130" t="s">
        <v>228</v>
      </c>
      <c r="T650" s="154" t="s">
        <v>187</v>
      </c>
      <c r="U650" s="144"/>
      <c r="V650" s="130" t="s">
        <v>228</v>
      </c>
      <c r="W650" s="154" t="s">
        <v>187</v>
      </c>
      <c r="X650" s="144"/>
      <c r="Y650" s="130" t="s">
        <v>228</v>
      </c>
      <c r="Z650" s="154" t="s">
        <v>187</v>
      </c>
      <c r="AA650" s="144"/>
      <c r="AB650" s="130" t="s">
        <v>228</v>
      </c>
      <c r="AC650" s="154" t="s">
        <v>187</v>
      </c>
      <c r="AD650" s="144"/>
      <c r="AE650" s="130" t="s">
        <v>228</v>
      </c>
      <c r="AF650" s="154" t="s">
        <v>187</v>
      </c>
      <c r="AG650" s="144"/>
      <c r="AH650" s="130" t="s">
        <v>228</v>
      </c>
      <c r="AI650" s="154" t="s">
        <v>187</v>
      </c>
      <c r="AJ650" s="144"/>
      <c r="AK650" s="130" t="s">
        <v>228</v>
      </c>
      <c r="AL650" s="154" t="s">
        <v>187</v>
      </c>
      <c r="AM650" s="144"/>
      <c r="AN650" s="130" t="s">
        <v>228</v>
      </c>
      <c r="AO650" s="154" t="s">
        <v>187</v>
      </c>
      <c r="AP650" s="144"/>
      <c r="AQ650" s="130" t="s">
        <v>228</v>
      </c>
      <c r="AR650" s="154" t="s">
        <v>187</v>
      </c>
      <c r="AS650" s="144"/>
      <c r="AT650" s="130" t="s">
        <v>228</v>
      </c>
      <c r="AU650" s="154" t="s">
        <v>187</v>
      </c>
    </row>
    <row r="651" spans="13:47" x14ac:dyDescent="0.25">
      <c r="M651" s="20"/>
      <c r="N651" s="20"/>
      <c r="O651" s="7" t="s">
        <v>188</v>
      </c>
      <c r="P651" s="7"/>
      <c r="Q651" s="7"/>
      <c r="R651" s="181">
        <f>P_1_minW-(R649^2*R_up)+dpup_minQ</f>
        <v>100.52248810243482</v>
      </c>
      <c r="S651" s="132"/>
      <c r="T651" s="145"/>
      <c r="U651" s="138">
        <f>P_1_minW-(U649^2*R_up)+dpup_minQ</f>
        <v>100.31621557464261</v>
      </c>
      <c r="V651" s="132"/>
      <c r="W651" s="145"/>
      <c r="X651" s="138">
        <f>P_1_minW-(X649^2*R_up)+dpup_minQ</f>
        <v>99.259331903439474</v>
      </c>
      <c r="Y651" s="132"/>
      <c r="Z651" s="145"/>
      <c r="AA651" s="138">
        <f>P_1_minW-(AA649^2*R_up)+dpup_minQ</f>
        <v>95.72960596985321</v>
      </c>
      <c r="AB651" s="132"/>
      <c r="AC651" s="145"/>
      <c r="AD651" s="138">
        <f>P_1_minW-(AD649^2*R_up)+dpup_minQ</f>
        <v>87.558125111569964</v>
      </c>
      <c r="AE651" s="132"/>
      <c r="AF651" s="145"/>
      <c r="AG651" s="138">
        <f>P_1_minW-(AG649^2*R_up)+dpup_minQ</f>
        <v>75.018416544582848</v>
      </c>
      <c r="AH651" s="132"/>
      <c r="AI651" s="145"/>
      <c r="AJ651" s="138">
        <f>P_1_minW-(AJ649^2*R_up)+dpup_minQ</f>
        <v>59.403976018085018</v>
      </c>
      <c r="AK651" s="132"/>
      <c r="AL651" s="145"/>
      <c r="AM651" s="138">
        <f>P_1_minW-(AM649^2*R_up)+dpup_minQ</f>
        <v>43.986861226845761</v>
      </c>
      <c r="AN651" s="132"/>
      <c r="AO651" s="145"/>
      <c r="AP651" s="138">
        <f>P_1_minW-(AP649^2*R_up)+dpup_minQ</f>
        <v>30.151623608881195</v>
      </c>
      <c r="AQ651" s="132"/>
      <c r="AR651" s="145"/>
      <c r="AS651" s="138">
        <f>P_1_minW-(AS649^2*R_up)+dpup_minQ</f>
        <v>12.930683922378165</v>
      </c>
      <c r="AT651" s="132"/>
      <c r="AU651" s="145"/>
    </row>
    <row r="652" spans="13:47" x14ac:dyDescent="0.25">
      <c r="M652" s="20"/>
      <c r="N652" s="20"/>
      <c r="O652" s="7" t="s">
        <v>189</v>
      </c>
      <c r="P652" s="1"/>
      <c r="Q652" s="7"/>
      <c r="R652" s="181">
        <f>P_2_minW+(R649^2*R_dn)-dpdn_minQ</f>
        <v>50</v>
      </c>
      <c r="S652" s="132"/>
      <c r="T652" s="146"/>
      <c r="U652" s="138">
        <f>P_2_minW+(U649^2*R_dn)-dpdn_minQ</f>
        <v>50</v>
      </c>
      <c r="V652" s="132"/>
      <c r="W652" s="146"/>
      <c r="X652" s="138">
        <f>P_2_minW+(X649^2*R_dn)-dpdn_minQ</f>
        <v>50</v>
      </c>
      <c r="Y652" s="132"/>
      <c r="Z652" s="146"/>
      <c r="AA652" s="138">
        <f>P_2_minW+(AA649^2*R_dn)-dpdn_minQ</f>
        <v>50</v>
      </c>
      <c r="AB652" s="132"/>
      <c r="AC652" s="146"/>
      <c r="AD652" s="138">
        <f>P_2_minW+(AD649^2*R_dn)-dpdn_minQ</f>
        <v>50</v>
      </c>
      <c r="AE652" s="132"/>
      <c r="AF652" s="146"/>
      <c r="AG652" s="138">
        <f>P_2_minW+(AG649^2*R_dn)-dpdn_minQ</f>
        <v>50</v>
      </c>
      <c r="AH652" s="132"/>
      <c r="AI652" s="146"/>
      <c r="AJ652" s="138">
        <f>P_2_minW+(AJ649^2*R_dn)-dpdn_minQ</f>
        <v>50</v>
      </c>
      <c r="AK652" s="132"/>
      <c r="AL652" s="146"/>
      <c r="AM652" s="138">
        <f>P_2_minW+(AM649^2*R_dn)-dpdn_minQ</f>
        <v>50</v>
      </c>
      <c r="AN652" s="132"/>
      <c r="AO652" s="146"/>
      <c r="AP652" s="138">
        <f>P_2_minW+(AP649^2*R_dn)-dpdn_minQ</f>
        <v>50</v>
      </c>
      <c r="AQ652" s="132"/>
      <c r="AR652" s="146"/>
      <c r="AS652" s="138">
        <f>P_2_minW+(AS649^2*R_dn)-dpdn_minQ</f>
        <v>50</v>
      </c>
      <c r="AT652" s="132"/>
      <c r="AU652" s="146"/>
    </row>
    <row r="653" spans="13:47" x14ac:dyDescent="0.25">
      <c r="M653" s="20"/>
      <c r="N653" s="20"/>
      <c r="O653" s="7" t="s">
        <v>234</v>
      </c>
      <c r="P653" s="1"/>
      <c r="Q653" s="7"/>
      <c r="R653" s="179">
        <f>'Valve Sizing'!G$8*R651/P_1_maxW</f>
        <v>0.48490258568023537</v>
      </c>
      <c r="S653" s="132"/>
      <c r="T653" s="146"/>
      <c r="U653" s="143">
        <f>'Valve Sizing'!$G$8*U651/P_1_maxW</f>
        <v>0.4839075637307258</v>
      </c>
      <c r="V653" s="132"/>
      <c r="W653" s="146"/>
      <c r="X653" s="143">
        <f>'Valve Sizing'!$G$8*X651/P_1_maxW</f>
        <v>0.47880934506738165</v>
      </c>
      <c r="Y653" s="132"/>
      <c r="Z653" s="146"/>
      <c r="AA653" s="143">
        <f>'Valve Sizing'!$G$8*AA651/P_1_maxW</f>
        <v>0.46178257559273012</v>
      </c>
      <c r="AB653" s="132"/>
      <c r="AC653" s="146"/>
      <c r="AD653" s="143">
        <f>'Valve Sizing'!$G$8*AD651/P_1_maxW</f>
        <v>0.42236480677486776</v>
      </c>
      <c r="AE653" s="132"/>
      <c r="AF653" s="146"/>
      <c r="AG653" s="143">
        <f>'Valve Sizing'!$G$8*AG651/P_1_maxW</f>
        <v>0.36187548520522617</v>
      </c>
      <c r="AH653" s="132"/>
      <c r="AI653" s="146"/>
      <c r="AJ653" s="143">
        <f>'Valve Sizing'!$G$8*AJ651/P_1_maxW</f>
        <v>0.28655420408518928</v>
      </c>
      <c r="AK653" s="132"/>
      <c r="AL653" s="146"/>
      <c r="AM653" s="143">
        <f>'Valve Sizing'!$G$8*AM651/P_1_maxW</f>
        <v>0.21218478718035799</v>
      </c>
      <c r="AN653" s="132"/>
      <c r="AO653" s="146"/>
      <c r="AP653" s="143">
        <f>'Valve Sizing'!$G$8*AP651/P_1_maxW</f>
        <v>0.14544606412353206</v>
      </c>
      <c r="AQ653" s="132"/>
      <c r="AR653" s="146"/>
      <c r="AS653" s="143">
        <f>'Valve Sizing'!$G$8*AS651/P_1_maxW</f>
        <v>6.237531707517642E-2</v>
      </c>
      <c r="AT653" s="132"/>
      <c r="AU653" s="146"/>
    </row>
    <row r="654" spans="13:47" x14ac:dyDescent="0.25">
      <c r="M654" s="20"/>
      <c r="N654" s="20"/>
      <c r="O654" s="7" t="s">
        <v>190</v>
      </c>
      <c r="P654" s="1"/>
      <c r="Q654" s="7"/>
      <c r="R654" s="181">
        <f>R651-R652</f>
        <v>50.522488102434821</v>
      </c>
      <c r="S654" s="132"/>
      <c r="T654" s="146"/>
      <c r="U654" s="138">
        <f>U651-U652</f>
        <v>50.316215574642612</v>
      </c>
      <c r="V654" s="132"/>
      <c r="W654" s="146"/>
      <c r="X654" s="138">
        <f>X651-X652</f>
        <v>49.259331903439474</v>
      </c>
      <c r="Y654" s="132"/>
      <c r="Z654" s="146"/>
      <c r="AA654" s="138">
        <f>AA651-AA652</f>
        <v>45.72960596985321</v>
      </c>
      <c r="AB654" s="132"/>
      <c r="AC654" s="146"/>
      <c r="AD654" s="138">
        <f>AD651-AD652</f>
        <v>37.558125111569964</v>
      </c>
      <c r="AE654" s="132"/>
      <c r="AF654" s="146"/>
      <c r="AG654" s="138">
        <f>AG651-AG652</f>
        <v>25.018416544582848</v>
      </c>
      <c r="AH654" s="132"/>
      <c r="AI654" s="146"/>
      <c r="AJ654" s="138">
        <f>AJ651-AJ652</f>
        <v>9.403976018085018</v>
      </c>
      <c r="AK654" s="132"/>
      <c r="AL654" s="146"/>
      <c r="AM654" s="138">
        <f>AM651-AM652</f>
        <v>-6.0131387731542389</v>
      </c>
      <c r="AN654" s="132"/>
      <c r="AO654" s="146"/>
      <c r="AP654" s="138">
        <f>AP651-AP652</f>
        <v>-19.848376391118805</v>
      </c>
      <c r="AQ654" s="132"/>
      <c r="AR654" s="146"/>
      <c r="AS654" s="138">
        <f>AS651-AS652</f>
        <v>-37.069316077621835</v>
      </c>
      <c r="AT654" s="132"/>
      <c r="AU654" s="146"/>
    </row>
    <row r="655" spans="13:47" ht="14.5" x14ac:dyDescent="0.35">
      <c r="M655" s="27"/>
      <c r="N655" s="27"/>
      <c r="O655" s="2" t="s">
        <v>191</v>
      </c>
      <c r="P655" s="10"/>
      <c r="Q655" s="2"/>
      <c r="R655" s="181">
        <f>R654/R651</f>
        <v>0.50259886176863422</v>
      </c>
      <c r="S655" s="132"/>
      <c r="T655" s="146"/>
      <c r="U655" s="138">
        <f>U654/U651</f>
        <v>0.50157609401845571</v>
      </c>
      <c r="V655" s="132"/>
      <c r="W655" s="146"/>
      <c r="X655" s="138">
        <f>X654/X651</f>
        <v>0.49626902537848505</v>
      </c>
      <c r="Y655" s="132"/>
      <c r="Z655" s="146"/>
      <c r="AA655" s="138">
        <f>AA654/AA651</f>
        <v>0.47769554158881838</v>
      </c>
      <c r="AB655" s="132"/>
      <c r="AC655" s="146"/>
      <c r="AD655" s="138">
        <f>AD654/AD651</f>
        <v>0.42895076914577535</v>
      </c>
      <c r="AE655" s="132"/>
      <c r="AF655" s="146"/>
      <c r="AG655" s="138">
        <f>AG654/AG651</f>
        <v>0.33349699576389491</v>
      </c>
      <c r="AH655" s="132"/>
      <c r="AI655" s="146"/>
      <c r="AJ655" s="138">
        <f>AJ654/AJ651</f>
        <v>0.15830549819126685</v>
      </c>
      <c r="AK655" s="132"/>
      <c r="AL655" s="146"/>
      <c r="AM655" s="138">
        <f>AM654/AM651</f>
        <v>-0.13670306553913289</v>
      </c>
      <c r="AN655" s="132"/>
      <c r="AO655" s="146"/>
      <c r="AP655" s="138">
        <f>AP654/AP651</f>
        <v>-0.65828549230338773</v>
      </c>
      <c r="AQ655" s="132"/>
      <c r="AR655" s="146"/>
      <c r="AS655" s="138">
        <f>AS654/AS651</f>
        <v>-2.866771494852546</v>
      </c>
      <c r="AT655" s="132"/>
      <c r="AU655" s="146"/>
    </row>
    <row r="656" spans="13:47" x14ac:dyDescent="0.25">
      <c r="M656" s="27"/>
      <c r="N656" s="27"/>
      <c r="O656" s="2" t="s">
        <v>26</v>
      </c>
      <c r="P656" s="7">
        <v>12</v>
      </c>
      <c r="Q656" s="2"/>
      <c r="R656" s="181">
        <f>1-R655/(3*F_GAMMA*R$29)</f>
        <v>0.73824075344587436</v>
      </c>
      <c r="S656" s="133"/>
      <c r="T656" s="146"/>
      <c r="U656" s="138">
        <f>1-U655/(3*F_GAMMA*U$29)</f>
        <v>0.73883093819743784</v>
      </c>
      <c r="V656" s="133"/>
      <c r="W656" s="146"/>
      <c r="X656" s="138">
        <f>1-X655/(3*F_GAMMA*X$29)</f>
        <v>0.73771781522466173</v>
      </c>
      <c r="Y656" s="133"/>
      <c r="Z656" s="146"/>
      <c r="AA656" s="138">
        <f>1-AA655/(3*F_GAMMA*AA$29)</f>
        <v>0.74407239179736639</v>
      </c>
      <c r="AB656" s="133"/>
      <c r="AC656" s="146"/>
      <c r="AD656" s="138">
        <f>1-AD655/(3*F_GAMMA*AD$29)</f>
        <v>0.76388666383995774</v>
      </c>
      <c r="AE656" s="133"/>
      <c r="AF656" s="146"/>
      <c r="AG656" s="138">
        <f>1-AG655/(3*F_GAMMA*AG$29)</f>
        <v>0.80595740968597585</v>
      </c>
      <c r="AH656" s="133"/>
      <c r="AI656" s="146"/>
      <c r="AJ656" s="138">
        <f>1-AJ655/(3*F_GAMMA*AJ$29)</f>
        <v>0.9015344414071752</v>
      </c>
      <c r="AK656" s="133"/>
      <c r="AL656" s="146"/>
      <c r="AM656" s="138">
        <f>1-AM655/(3*F_GAMMA*AM$29)</f>
        <v>1.0929027289486506</v>
      </c>
      <c r="AN656" s="133"/>
      <c r="AO656" s="146"/>
      <c r="AP656" s="138">
        <f>1-AP655/(3*F_GAMMA*AP$29)</f>
        <v>1.3697008997210989</v>
      </c>
      <c r="AQ656" s="133"/>
      <c r="AR656" s="146"/>
      <c r="AS656" s="138">
        <f>1-AS655/(3*F_GAMMA*AS$29)</f>
        <v>3.4441391738493352</v>
      </c>
      <c r="AT656" s="133"/>
      <c r="AU656" s="146"/>
    </row>
    <row r="657" spans="13:47" x14ac:dyDescent="0.25">
      <c r="M657" s="27"/>
      <c r="N657" s="27"/>
      <c r="O657" s="2" t="s">
        <v>71</v>
      </c>
      <c r="P657" s="85">
        <v>5</v>
      </c>
      <c r="Q657" s="2"/>
      <c r="R657" s="179">
        <f>R649/((N_6*R$27*R656)*SQRT(R655*R651*R653))</f>
        <v>0.11832953629203923</v>
      </c>
      <c r="S657" s="133"/>
      <c r="T657" s="146"/>
      <c r="U657" s="143">
        <f>U649/((N_6*U$27*U656)*SQRT(U655*U651*U653))</f>
        <v>3.1211561916188049</v>
      </c>
      <c r="V657" s="133"/>
      <c r="W657" s="146"/>
      <c r="X657" s="143">
        <f>X649/((N_6*X$27*X656)*SQRT(X655*X651*X653))</f>
        <v>7.8720231761011572</v>
      </c>
      <c r="Y657" s="133"/>
      <c r="Z657" s="146"/>
      <c r="AA657" s="143">
        <f>AA649/((N_6*AA$27*AA656)*SQRT(AA655*AA651*AA653))</f>
        <v>16.158168676120273</v>
      </c>
      <c r="AB657" s="133"/>
      <c r="AC657" s="146"/>
      <c r="AD657" s="143">
        <f>AD649/((N_6*AD$27*AD656)*SQRT(AD655*AD651*AD653))</f>
        <v>30.221321837917287</v>
      </c>
      <c r="AE657" s="133"/>
      <c r="AF657" s="146"/>
      <c r="AG657" s="143">
        <f>AG649/((N_6*AG$27*AG656)*SQRT(AG655*AG651*AG653))</f>
        <v>54.326790022653888</v>
      </c>
      <c r="AH657" s="133"/>
      <c r="AI657" s="146"/>
      <c r="AJ657" s="143">
        <f>AJ649/((N_6*AJ$27*AJ656)*SQRT(AJ655*AJ651*AJ653))</f>
        <v>116.9140495870612</v>
      </c>
      <c r="AK657" s="133"/>
      <c r="AL657" s="146"/>
      <c r="AM657" s="143" t="e">
        <f>AM649/((N_6*AM$27*AM656)*SQRT(AM655*AM651*AM653))</f>
        <v>#NUM!</v>
      </c>
      <c r="AN657" s="133"/>
      <c r="AO657" s="146"/>
      <c r="AP657" s="143" t="e">
        <f>AP649/((N_6*AP$27*AP656)*SQRT(AP655*AP651*AP653))</f>
        <v>#NUM!</v>
      </c>
      <c r="AQ657" s="133"/>
      <c r="AR657" s="146"/>
      <c r="AS657" s="143" t="e">
        <f>AS649/((N_6*AS$27*AS656)*SQRT(AS655*AS651*AS653))</f>
        <v>#NUM!</v>
      </c>
      <c r="AT657" s="133"/>
      <c r="AU657" s="146"/>
    </row>
    <row r="658" spans="13:47" x14ac:dyDescent="0.25">
      <c r="M658" s="27"/>
      <c r="N658" s="27"/>
      <c r="O658" s="2" t="s">
        <v>73</v>
      </c>
      <c r="P658" s="85">
        <v>5</v>
      </c>
      <c r="Q658" s="2"/>
      <c r="R658" s="179">
        <f>R649/((N_6*R$27*0.667)*SQRT(R659*R651*R653))</f>
        <v>0.11605850932098091</v>
      </c>
      <c r="S658" s="133"/>
      <c r="T658" s="155"/>
      <c r="U658" s="143">
        <f>U649/((N_6*U$27*0.667)*SQRT(U659*U651*U653))</f>
        <v>3.0602452569064584</v>
      </c>
      <c r="V658" s="133"/>
      <c r="W658" s="155"/>
      <c r="X658" s="143">
        <f>X649/((N_6*X$27*0.667)*SQRT(X659*X651*X653))</f>
        <v>7.7231741026222043</v>
      </c>
      <c r="Y658" s="133"/>
      <c r="Z658" s="155"/>
      <c r="AA658" s="143">
        <f>AA649/((N_6*AA$27*0.667)*SQRT(AA659*AA651*AA653))</f>
        <v>15.794311191361318</v>
      </c>
      <c r="AB658" s="133"/>
      <c r="AC658" s="155"/>
      <c r="AD658" s="143">
        <f>AD649/((N_6*AD$27*0.667)*SQRT(AD659*AD651*AD653))</f>
        <v>29.129795525727339</v>
      </c>
      <c r="AE658" s="133"/>
      <c r="AF658" s="155"/>
      <c r="AG658" s="143">
        <f>AG649/((N_6*AG$27*0.667)*SQRT(AG659*AG651*AG653))</f>
        <v>50.085205778842933</v>
      </c>
      <c r="AH658" s="133"/>
      <c r="AI658" s="155"/>
      <c r="AJ658" s="143">
        <f>AJ649/((N_6*AJ$27*0.667)*SQRT(AJ659*AJ651*AJ653))</f>
        <v>85.88671542103522</v>
      </c>
      <c r="AK658" s="133"/>
      <c r="AL658" s="155"/>
      <c r="AM658" s="143">
        <f>AM649/((N_6*AM$27*0.667)*SQRT(AM659*AM651*AM653))</f>
        <v>150.89529320754281</v>
      </c>
      <c r="AN658" s="133"/>
      <c r="AO658" s="155"/>
      <c r="AP658" s="143">
        <f>AP649/((N_6*AP$27*0.667)*SQRT(AP659*AP651*AP653))</f>
        <v>253.612234615989</v>
      </c>
      <c r="AQ658" s="133"/>
      <c r="AR658" s="155"/>
      <c r="AS658" s="143">
        <f>AS649/((N_6*AS$27*0.667)*SQRT(AS659*AS651*AS653))</f>
        <v>1068.1451021734733</v>
      </c>
      <c r="AT658" s="133"/>
      <c r="AU658" s="155"/>
    </row>
    <row r="659" spans="13:47" ht="15.5" x14ac:dyDescent="0.4">
      <c r="M659" s="27"/>
      <c r="N659" s="27"/>
      <c r="O659" s="2" t="s">
        <v>192</v>
      </c>
      <c r="P659" s="85">
        <v>10</v>
      </c>
      <c r="Q659" s="2"/>
      <c r="R659" s="181">
        <f>F_GAMMA*R$29</f>
        <v>0.64002688015162901</v>
      </c>
      <c r="S659" s="133"/>
      <c r="T659" s="155"/>
      <c r="U659" s="138">
        <f>F_GAMMA*U$29</f>
        <v>0.64016782916606918</v>
      </c>
      <c r="V659" s="133"/>
      <c r="W659" s="155"/>
      <c r="X659" s="138">
        <f>F_GAMMA*X$29</f>
        <v>0.6307062319203669</v>
      </c>
      <c r="Y659" s="133"/>
      <c r="Z659" s="155"/>
      <c r="AA659" s="138">
        <f>F_GAMMA*AA$29</f>
        <v>0.62217534213893466</v>
      </c>
      <c r="AB659" s="133"/>
      <c r="AC659" s="155"/>
      <c r="AD659" s="138">
        <f>F_GAMMA*AD$29</f>
        <v>0.60557184969146072</v>
      </c>
      <c r="AE659" s="133"/>
      <c r="AF659" s="155"/>
      <c r="AG659" s="138">
        <f>F_GAMMA*AG$29</f>
        <v>0.57289312142622573</v>
      </c>
      <c r="AH659" s="133"/>
      <c r="AI659" s="155"/>
      <c r="AJ659" s="138">
        <f>F_GAMMA*AJ$29</f>
        <v>0.53590819116049981</v>
      </c>
      <c r="AK659" s="133"/>
      <c r="AL659" s="155"/>
      <c r="AM659" s="138">
        <f>F_GAMMA*AM$29</f>
        <v>0.49048815926850342</v>
      </c>
      <c r="AN659" s="133"/>
      <c r="AO659" s="155"/>
      <c r="AP659" s="138">
        <f>F_GAMMA*AP$29</f>
        <v>0.59352979016280105</v>
      </c>
      <c r="AQ659" s="133"/>
      <c r="AR659" s="155"/>
      <c r="AS659" s="138">
        <f>F_GAMMA*AS$29</f>
        <v>0.39097221161068291</v>
      </c>
      <c r="AT659" s="133"/>
      <c r="AU659" s="155"/>
    </row>
    <row r="660" spans="13:47" x14ac:dyDescent="0.25">
      <c r="M660" s="27"/>
      <c r="N660" s="27"/>
      <c r="O660" s="2" t="s">
        <v>193</v>
      </c>
      <c r="P660" s="134"/>
      <c r="Q660" s="2"/>
      <c r="R660" s="181">
        <f>IF(R655&lt;R659,R657,R658)</f>
        <v>0.11832953629203923</v>
      </c>
      <c r="S660" s="133"/>
      <c r="T660" s="155"/>
      <c r="U660" s="138">
        <f>IF(U655&lt;U659,U657,U658)</f>
        <v>3.1211561916188049</v>
      </c>
      <c r="V660" s="133"/>
      <c r="W660" s="155"/>
      <c r="X660" s="138">
        <f>IF(X655&lt;X659,X657,X658)</f>
        <v>7.8720231761011572</v>
      </c>
      <c r="Y660" s="133"/>
      <c r="Z660" s="155"/>
      <c r="AA660" s="138">
        <f>IF(AA655&lt;AA659,AA657,AA658)</f>
        <v>16.158168676120273</v>
      </c>
      <c r="AB660" s="133"/>
      <c r="AC660" s="155"/>
      <c r="AD660" s="138">
        <f>IF(AD655&lt;AD659,AD657,AD658)</f>
        <v>30.221321837917287</v>
      </c>
      <c r="AE660" s="133"/>
      <c r="AF660" s="155"/>
      <c r="AG660" s="138">
        <f>IF(AG655&lt;AG659,AG657,AG658)</f>
        <v>54.326790022653888</v>
      </c>
      <c r="AH660" s="133"/>
      <c r="AI660" s="155"/>
      <c r="AJ660" s="138">
        <f>IF(AJ655&lt;AJ659,AJ657,AJ658)</f>
        <v>116.9140495870612</v>
      </c>
      <c r="AK660" s="133"/>
      <c r="AL660" s="155"/>
      <c r="AM660" s="138" t="e">
        <f>IF(AM655&lt;AM659,AM657,AM658)</f>
        <v>#NUM!</v>
      </c>
      <c r="AN660" s="133"/>
      <c r="AO660" s="155"/>
      <c r="AP660" s="138" t="e">
        <f>IF(AP655&lt;AP659,AP657,AP658)</f>
        <v>#NUM!</v>
      </c>
      <c r="AQ660" s="133"/>
      <c r="AR660" s="155"/>
      <c r="AS660" s="138" t="e">
        <f>IF(AS655&lt;AS659,AS657,AS658)</f>
        <v>#NUM!</v>
      </c>
      <c r="AT660" s="133"/>
      <c r="AU660" s="155"/>
    </row>
    <row r="661" spans="13:47" ht="13" x14ac:dyDescent="0.3">
      <c r="M661" s="28"/>
      <c r="N661" s="28"/>
      <c r="O661" s="9" t="s">
        <v>194</v>
      </c>
      <c r="P661" s="1"/>
      <c r="Q661" s="1"/>
      <c r="R661" s="135"/>
      <c r="S661" s="132">
        <f>IF(R654&lt;=0,W_max,ABS(R$23-R660))</f>
        <v>1.8816704637079609</v>
      </c>
      <c r="T661" s="151">
        <f>R649</f>
        <v>27.366108481078829</v>
      </c>
      <c r="U661" s="135"/>
      <c r="V661" s="132">
        <f>IF(U654&lt;=0,W_max,ABS(U$23-U660))</f>
        <v>1.8788438083811951</v>
      </c>
      <c r="W661" s="151">
        <f>U649</f>
        <v>719.74399906114672</v>
      </c>
      <c r="X661" s="135"/>
      <c r="Y661" s="132">
        <f>IF(X654&lt;=0,W_max,ABS(X$23-X660))</f>
        <v>2.1279768238988428</v>
      </c>
      <c r="Z661" s="151">
        <f>X649</f>
        <v>1780.0125602181238</v>
      </c>
      <c r="AA661" s="135"/>
      <c r="AB661" s="132">
        <f>IF(AA654&lt;=0,W_max,ABS(AA$23-AA660))</f>
        <v>1.0418313238797268</v>
      </c>
      <c r="AC661" s="151">
        <f>AA649</f>
        <v>3467.0101272632123</v>
      </c>
      <c r="AD661" s="135"/>
      <c r="AE661" s="132">
        <f>IF(AD654&lt;=0,W_max,ABS(AD$23-AD660))</f>
        <v>3.6213218379172858</v>
      </c>
      <c r="AF661" s="151">
        <f>AD649</f>
        <v>5701.9551819520893</v>
      </c>
      <c r="AG661" s="135"/>
      <c r="AH661" s="132">
        <f>IF(AG654&lt;=0,W_max,ABS(AG$23-AG660))</f>
        <v>15.92679002265389</v>
      </c>
      <c r="AI661" s="151">
        <f>AG649</f>
        <v>7997.4311143763362</v>
      </c>
      <c r="AJ661" s="135"/>
      <c r="AK661" s="132">
        <f>IF(AJ654&lt;=0,W_max,ABS(AJ$23-AJ660))</f>
        <v>64.4140495870612</v>
      </c>
      <c r="AL661" s="151">
        <f>AJ649</f>
        <v>10154.615385170837</v>
      </c>
      <c r="AM661" s="135"/>
      <c r="AN661" s="132">
        <f>IF(AM654&lt;=0,W_max,ABS(AM$23-AM660))</f>
        <v>7174</v>
      </c>
      <c r="AO661" s="151">
        <f>AM649</f>
        <v>11907.08514806496</v>
      </c>
      <c r="AP661" s="135"/>
      <c r="AQ661" s="132">
        <f>IF(AP654&lt;=0,W_max,ABS(AP$23-AP660))</f>
        <v>7174</v>
      </c>
      <c r="AR661" s="151">
        <f>AP649</f>
        <v>13284.358000744782</v>
      </c>
      <c r="AS661" s="135"/>
      <c r="AT661" s="132">
        <f>IF(AS654&lt;=0,W_max,ABS(AS$23-AS660))</f>
        <v>7174</v>
      </c>
      <c r="AU661" s="151">
        <f>AS649</f>
        <v>14820.937727201101</v>
      </c>
    </row>
    <row r="662" spans="13:47" ht="13" x14ac:dyDescent="0.25">
      <c r="M662" s="12"/>
      <c r="N662" s="12"/>
      <c r="O662" s="2"/>
      <c r="P662" s="85"/>
      <c r="Q662" s="2"/>
      <c r="R662" s="18"/>
      <c r="S662" s="150"/>
      <c r="T662" s="148"/>
      <c r="U662" s="157"/>
      <c r="V662" s="1"/>
      <c r="W662" s="147"/>
      <c r="X662" s="157"/>
      <c r="Y662" s="1"/>
      <c r="Z662" s="147"/>
      <c r="AA662" s="157"/>
      <c r="AB662" s="1"/>
      <c r="AC662" s="147"/>
      <c r="AD662" s="157"/>
      <c r="AE662" s="1"/>
      <c r="AF662" s="147"/>
      <c r="AG662" s="157"/>
      <c r="AH662" s="1"/>
      <c r="AI662" s="147"/>
      <c r="AJ662" s="157"/>
      <c r="AK662" s="1"/>
      <c r="AL662" s="147"/>
      <c r="AM662" s="157"/>
      <c r="AN662" s="1"/>
      <c r="AO662" s="147"/>
      <c r="AP662" s="157"/>
      <c r="AQ662" s="1"/>
      <c r="AR662" s="147"/>
      <c r="AS662" s="157"/>
      <c r="AT662" s="1"/>
      <c r="AU662" s="147"/>
    </row>
    <row r="663" spans="13:47" ht="14" x14ac:dyDescent="0.3">
      <c r="M663" s="23"/>
      <c r="N663" s="23"/>
      <c r="O663" s="23" t="s">
        <v>238</v>
      </c>
      <c r="P663" s="20"/>
      <c r="Q663" s="20"/>
      <c r="R663" s="181">
        <f>R649*1.02</f>
        <v>27.913430650700406</v>
      </c>
      <c r="S663" s="128" t="s">
        <v>185</v>
      </c>
      <c r="T663" s="149" t="s">
        <v>186</v>
      </c>
      <c r="U663" s="143">
        <f>U649*1.01</f>
        <v>726.94143905175815</v>
      </c>
      <c r="V663" s="128" t="s">
        <v>185</v>
      </c>
      <c r="W663" s="153" t="s">
        <v>186</v>
      </c>
      <c r="X663" s="143">
        <f>X649*1.01</f>
        <v>1797.812685820305</v>
      </c>
      <c r="Y663" s="128" t="s">
        <v>185</v>
      </c>
      <c r="Z663" s="153" t="s">
        <v>186</v>
      </c>
      <c r="AA663" s="143">
        <f>AA649*1.01</f>
        <v>3501.6802285358444</v>
      </c>
      <c r="AB663" s="128" t="s">
        <v>185</v>
      </c>
      <c r="AC663" s="153" t="s">
        <v>186</v>
      </c>
      <c r="AD663" s="143">
        <f>AD649*1.01</f>
        <v>5758.9747337716099</v>
      </c>
      <c r="AE663" s="128" t="s">
        <v>185</v>
      </c>
      <c r="AF663" s="153" t="s">
        <v>186</v>
      </c>
      <c r="AG663" s="143">
        <f>AG649*1.01</f>
        <v>8077.4054255200999</v>
      </c>
      <c r="AH663" s="128" t="s">
        <v>185</v>
      </c>
      <c r="AI663" s="153" t="s">
        <v>186</v>
      </c>
      <c r="AJ663" s="143">
        <f>AJ649*1.01</f>
        <v>10256.161539022545</v>
      </c>
      <c r="AK663" s="128" t="s">
        <v>185</v>
      </c>
      <c r="AL663" s="153" t="s">
        <v>186</v>
      </c>
      <c r="AM663" s="143">
        <f>AM649*1.01</f>
        <v>12026.15599954561</v>
      </c>
      <c r="AN663" s="128" t="s">
        <v>185</v>
      </c>
      <c r="AO663" s="153" t="s">
        <v>186</v>
      </c>
      <c r="AP663" s="143">
        <f>AP649*1.01</f>
        <v>13417.201580752229</v>
      </c>
      <c r="AQ663" s="128" t="s">
        <v>185</v>
      </c>
      <c r="AR663" s="153" t="s">
        <v>186</v>
      </c>
      <c r="AS663" s="143">
        <f>AS649*1.01</f>
        <v>14969.147104473112</v>
      </c>
      <c r="AT663" s="128" t="s">
        <v>185</v>
      </c>
      <c r="AU663" s="153" t="s">
        <v>186</v>
      </c>
    </row>
    <row r="664" spans="13:47" ht="14" x14ac:dyDescent="0.3">
      <c r="M664" s="12"/>
      <c r="N664" s="12"/>
      <c r="O664" s="20"/>
      <c r="P664" s="20"/>
      <c r="Q664" s="23"/>
      <c r="R664" s="139"/>
      <c r="S664" s="130" t="s">
        <v>228</v>
      </c>
      <c r="T664" s="131" t="s">
        <v>187</v>
      </c>
      <c r="U664" s="144"/>
      <c r="V664" s="130" t="s">
        <v>228</v>
      </c>
      <c r="W664" s="154" t="s">
        <v>187</v>
      </c>
      <c r="X664" s="144"/>
      <c r="Y664" s="130" t="s">
        <v>228</v>
      </c>
      <c r="Z664" s="154" t="s">
        <v>187</v>
      </c>
      <c r="AA664" s="144"/>
      <c r="AB664" s="130" t="s">
        <v>228</v>
      </c>
      <c r="AC664" s="154" t="s">
        <v>187</v>
      </c>
      <c r="AD664" s="144"/>
      <c r="AE664" s="130" t="s">
        <v>228</v>
      </c>
      <c r="AF664" s="154" t="s">
        <v>187</v>
      </c>
      <c r="AG664" s="144"/>
      <c r="AH664" s="130" t="s">
        <v>228</v>
      </c>
      <c r="AI664" s="154" t="s">
        <v>187</v>
      </c>
      <c r="AJ664" s="144"/>
      <c r="AK664" s="130" t="s">
        <v>228</v>
      </c>
      <c r="AL664" s="154" t="s">
        <v>187</v>
      </c>
      <c r="AM664" s="144"/>
      <c r="AN664" s="130" t="s">
        <v>228</v>
      </c>
      <c r="AO664" s="154" t="s">
        <v>187</v>
      </c>
      <c r="AP664" s="144"/>
      <c r="AQ664" s="130" t="s">
        <v>228</v>
      </c>
      <c r="AR664" s="154" t="s">
        <v>187</v>
      </c>
      <c r="AS664" s="144"/>
      <c r="AT664" s="130" t="s">
        <v>228</v>
      </c>
      <c r="AU664" s="154" t="s">
        <v>187</v>
      </c>
    </row>
    <row r="665" spans="13:47" x14ac:dyDescent="0.25">
      <c r="M665" s="20"/>
      <c r="N665" s="20"/>
      <c r="O665" s="7" t="s">
        <v>188</v>
      </c>
      <c r="P665" s="7"/>
      <c r="Q665" s="7"/>
      <c r="R665" s="181">
        <f>P_1_minW-(R663^2*R_up)+dpup_minQ</f>
        <v>100.52247603760942</v>
      </c>
      <c r="S665" s="132"/>
      <c r="T665" s="145"/>
      <c r="U665" s="138">
        <f>P_1_minW-(U663^2*R_up)+dpup_minQ</f>
        <v>100.31206349428471</v>
      </c>
      <c r="V665" s="132"/>
      <c r="W665" s="145"/>
      <c r="X665" s="138">
        <f>P_1_minW-(X663^2*R_up)+dpup_minQ</f>
        <v>99.233936461290398</v>
      </c>
      <c r="Y665" s="132"/>
      <c r="Z665" s="145"/>
      <c r="AA665" s="138">
        <f>P_1_minW-(AA663^2*R_up)+dpup_minQ</f>
        <v>95.633263036439061</v>
      </c>
      <c r="AB665" s="132"/>
      <c r="AC665" s="145"/>
      <c r="AD665" s="138">
        <f>P_1_minW-(AD663^2*R_up)+dpup_minQ</f>
        <v>87.29753541290431</v>
      </c>
      <c r="AE665" s="132"/>
      <c r="AF665" s="145"/>
      <c r="AG665" s="138">
        <f>P_1_minW-(AG663^2*R_up)+dpup_minQ</f>
        <v>74.50577870372075</v>
      </c>
      <c r="AH665" s="132"/>
      <c r="AI665" s="145"/>
      <c r="AJ665" s="138">
        <f>P_1_minW-(AJ663^2*R_up)+dpup_minQ</f>
        <v>58.577487922640316</v>
      </c>
      <c r="AK665" s="132"/>
      <c r="AL665" s="145"/>
      <c r="AM665" s="138">
        <f>P_1_minW-(AM663^2*R_up)+dpup_minQ</f>
        <v>42.850489124097152</v>
      </c>
      <c r="AN665" s="132"/>
      <c r="AO665" s="145"/>
      <c r="AP665" s="138">
        <f>P_1_minW-(AP663^2*R_up)+dpup_minQ</f>
        <v>28.737163230011504</v>
      </c>
      <c r="AQ665" s="132"/>
      <c r="AR665" s="145"/>
      <c r="AS665" s="138">
        <f>P_1_minW-(AS663^2*R_up)+dpup_minQ</f>
        <v>11.17008265580975</v>
      </c>
      <c r="AT665" s="132"/>
      <c r="AU665" s="145"/>
    </row>
    <row r="666" spans="13:47" x14ac:dyDescent="0.25">
      <c r="M666" s="20"/>
      <c r="N666" s="20"/>
      <c r="O666" s="7" t="s">
        <v>189</v>
      </c>
      <c r="P666" s="1"/>
      <c r="Q666" s="7"/>
      <c r="R666" s="181">
        <f>P_2_minW+(R663^2*R_dn)-dpdn_minQ</f>
        <v>50</v>
      </c>
      <c r="S666" s="132"/>
      <c r="T666" s="146"/>
      <c r="U666" s="138">
        <f>P_2_minW+(U663^2*R_dn)-dpdn_minQ</f>
        <v>50</v>
      </c>
      <c r="V666" s="132"/>
      <c r="W666" s="146"/>
      <c r="X666" s="138">
        <f>P_2_minW+(X663^2*R_dn)-dpdn_minQ</f>
        <v>50</v>
      </c>
      <c r="Y666" s="132"/>
      <c r="Z666" s="146"/>
      <c r="AA666" s="138">
        <f>P_2_minW+(AA663^2*R_dn)-dpdn_minQ</f>
        <v>50</v>
      </c>
      <c r="AB666" s="132"/>
      <c r="AC666" s="146"/>
      <c r="AD666" s="138">
        <f>P_2_minW+(AD663^2*R_dn)-dpdn_minQ</f>
        <v>50</v>
      </c>
      <c r="AE666" s="132"/>
      <c r="AF666" s="146"/>
      <c r="AG666" s="138">
        <f>P_2_minW+(AG663^2*R_dn)-dpdn_minQ</f>
        <v>50</v>
      </c>
      <c r="AH666" s="132"/>
      <c r="AI666" s="146"/>
      <c r="AJ666" s="138">
        <f>P_2_minW+(AJ663^2*R_dn)-dpdn_minQ</f>
        <v>50</v>
      </c>
      <c r="AK666" s="132"/>
      <c r="AL666" s="146"/>
      <c r="AM666" s="138">
        <f>P_2_minW+(AM663^2*R_dn)-dpdn_minQ</f>
        <v>50</v>
      </c>
      <c r="AN666" s="132"/>
      <c r="AO666" s="146"/>
      <c r="AP666" s="138">
        <f>P_2_minW+(AP663^2*R_dn)-dpdn_minQ</f>
        <v>50</v>
      </c>
      <c r="AQ666" s="132"/>
      <c r="AR666" s="146"/>
      <c r="AS666" s="138">
        <f>P_2_minW+(AS663^2*R_dn)-dpdn_minQ</f>
        <v>50</v>
      </c>
      <c r="AT666" s="132"/>
      <c r="AU666" s="146"/>
    </row>
    <row r="667" spans="13:47" x14ac:dyDescent="0.25">
      <c r="M667" s="20"/>
      <c r="N667" s="20"/>
      <c r="O667" s="7" t="s">
        <v>234</v>
      </c>
      <c r="P667" s="1"/>
      <c r="Q667" s="7"/>
      <c r="R667" s="179">
        <f>'Valve Sizing'!G$8*R665/P_1_maxW</f>
        <v>0.48490252748166568</v>
      </c>
      <c r="S667" s="132"/>
      <c r="T667" s="146"/>
      <c r="U667" s="143">
        <f>'Valve Sizing'!$G$8*U665/P_1_maxW</f>
        <v>0.48388753483431168</v>
      </c>
      <c r="V667" s="132"/>
      <c r="W667" s="146"/>
      <c r="X667" s="143">
        <f>'Valve Sizing'!$G$8*X665/P_1_maxW</f>
        <v>0.47868684197583428</v>
      </c>
      <c r="Y667" s="132"/>
      <c r="Z667" s="146"/>
      <c r="AA667" s="143">
        <f>'Valve Sizing'!$G$8*AA665/P_1_maxW</f>
        <v>0.46131783443474228</v>
      </c>
      <c r="AB667" s="132"/>
      <c r="AC667" s="146"/>
      <c r="AD667" s="143">
        <f>'Valve Sizing'!$G$8*AD665/P_1_maxW</f>
        <v>0.42110776846364084</v>
      </c>
      <c r="AE667" s="132"/>
      <c r="AF667" s="146"/>
      <c r="AG667" s="143">
        <f>'Valve Sizing'!$G$8*AG665/P_1_maxW</f>
        <v>0.3594026115304495</v>
      </c>
      <c r="AH667" s="132"/>
      <c r="AI667" s="146"/>
      <c r="AJ667" s="143">
        <f>'Valve Sizing'!$G$8*AJ665/P_1_maxW</f>
        <v>0.2825673726598999</v>
      </c>
      <c r="AK667" s="132"/>
      <c r="AL667" s="146"/>
      <c r="AM667" s="143">
        <f>'Valve Sizing'!$G$8*AM665/P_1_maxW</f>
        <v>0.20670313047528147</v>
      </c>
      <c r="AN667" s="132"/>
      <c r="AO667" s="146"/>
      <c r="AP667" s="143">
        <f>'Valve Sizing'!$G$8*AP665/P_1_maxW</f>
        <v>0.13862295908501338</v>
      </c>
      <c r="AQ667" s="132"/>
      <c r="AR667" s="146"/>
      <c r="AS667" s="143">
        <f>'Valve Sizing'!$G$8*AS665/P_1_maxW</f>
        <v>5.3882490020985704E-2</v>
      </c>
      <c r="AT667" s="132"/>
      <c r="AU667" s="146"/>
    </row>
    <row r="668" spans="13:47" x14ac:dyDescent="0.25">
      <c r="M668" s="20"/>
      <c r="N668" s="20"/>
      <c r="O668" s="7" t="s">
        <v>190</v>
      </c>
      <c r="P668" s="1"/>
      <c r="Q668" s="7"/>
      <c r="R668" s="181">
        <f>R665-R666</f>
        <v>50.522476037609422</v>
      </c>
      <c r="S668" s="132"/>
      <c r="T668" s="146"/>
      <c r="U668" s="138">
        <f>U665-U666</f>
        <v>50.312063494284715</v>
      </c>
      <c r="V668" s="132"/>
      <c r="W668" s="146"/>
      <c r="X668" s="138">
        <f>X665-X666</f>
        <v>49.233936461290398</v>
      </c>
      <c r="Y668" s="132"/>
      <c r="Z668" s="146"/>
      <c r="AA668" s="138">
        <f>AA665-AA666</f>
        <v>45.633263036439061</v>
      </c>
      <c r="AB668" s="132"/>
      <c r="AC668" s="146"/>
      <c r="AD668" s="138">
        <f>AD665-AD666</f>
        <v>37.29753541290431</v>
      </c>
      <c r="AE668" s="132"/>
      <c r="AF668" s="146"/>
      <c r="AG668" s="138">
        <f>AG665-AG666</f>
        <v>24.50577870372075</v>
      </c>
      <c r="AH668" s="132"/>
      <c r="AI668" s="146"/>
      <c r="AJ668" s="138">
        <f>AJ665-AJ666</f>
        <v>8.5774879226403158</v>
      </c>
      <c r="AK668" s="132"/>
      <c r="AL668" s="146"/>
      <c r="AM668" s="138">
        <f>AM665-AM666</f>
        <v>-7.1495108759028483</v>
      </c>
      <c r="AN668" s="132"/>
      <c r="AO668" s="146"/>
      <c r="AP668" s="138">
        <f>AP665-AP666</f>
        <v>-21.262836769988496</v>
      </c>
      <c r="AQ668" s="132"/>
      <c r="AR668" s="146"/>
      <c r="AS668" s="138">
        <f>AS665-AS666</f>
        <v>-38.82991734419025</v>
      </c>
      <c r="AT668" s="132"/>
      <c r="AU668" s="146"/>
    </row>
    <row r="669" spans="13:47" ht="14.5" x14ac:dyDescent="0.35">
      <c r="M669" s="27"/>
      <c r="N669" s="27"/>
      <c r="O669" s="2" t="s">
        <v>191</v>
      </c>
      <c r="P669" s="10"/>
      <c r="Q669" s="2"/>
      <c r="R669" s="181">
        <f>R668/R665</f>
        <v>0.50259880206996665</v>
      </c>
      <c r="S669" s="132"/>
      <c r="T669" s="146"/>
      <c r="U669" s="138">
        <f>U668/U665</f>
        <v>0.50155546343786706</v>
      </c>
      <c r="V669" s="132"/>
      <c r="W669" s="146"/>
      <c r="X669" s="138">
        <f>X668/X665</f>
        <v>0.49614011312043216</v>
      </c>
      <c r="Y669" s="132"/>
      <c r="Z669" s="146"/>
      <c r="AA669" s="138">
        <f>AA668/AA665</f>
        <v>0.47716936124046566</v>
      </c>
      <c r="AB669" s="132"/>
      <c r="AC669" s="146"/>
      <c r="AD669" s="138">
        <f>AD668/AD665</f>
        <v>0.42724614430971658</v>
      </c>
      <c r="AE669" s="132"/>
      <c r="AF669" s="146"/>
      <c r="AG669" s="138">
        <f>AG668/AG665</f>
        <v>0.32891111441396093</v>
      </c>
      <c r="AH669" s="132"/>
      <c r="AI669" s="146"/>
      <c r="AJ669" s="138">
        <f>AJ668/AJ665</f>
        <v>0.14642976725065568</v>
      </c>
      <c r="AK669" s="132"/>
      <c r="AL669" s="146"/>
      <c r="AM669" s="138">
        <f>AM668/AM665</f>
        <v>-0.1668478241916331</v>
      </c>
      <c r="AN669" s="132"/>
      <c r="AO669" s="146"/>
      <c r="AP669" s="138">
        <f>AP668/AP665</f>
        <v>-0.73990729703559488</v>
      </c>
      <c r="AQ669" s="132"/>
      <c r="AR669" s="146"/>
      <c r="AS669" s="138">
        <f>AS668/AS665</f>
        <v>-3.4762426152678598</v>
      </c>
      <c r="AT669" s="132"/>
      <c r="AU669" s="146"/>
    </row>
    <row r="670" spans="13:47" x14ac:dyDescent="0.25">
      <c r="M670" s="27"/>
      <c r="N670" s="27"/>
      <c r="O670" s="2" t="s">
        <v>26</v>
      </c>
      <c r="P670" s="7">
        <v>12</v>
      </c>
      <c r="Q670" s="2"/>
      <c r="R670" s="181">
        <f>1-R669/(3*F_GAMMA*R$29)</f>
        <v>0.73824078453762454</v>
      </c>
      <c r="S670" s="133"/>
      <c r="T670" s="146"/>
      <c r="U670" s="138">
        <f>1-U669/(3*F_GAMMA*U$29)</f>
        <v>0.73884168047451404</v>
      </c>
      <c r="V670" s="133"/>
      <c r="W670" s="146"/>
      <c r="X670" s="138">
        <f>1-X669/(3*F_GAMMA*X$29)</f>
        <v>0.73778594639335726</v>
      </c>
      <c r="Y670" s="133"/>
      <c r="Z670" s="146"/>
      <c r="AA670" s="138">
        <f>1-AA669/(3*F_GAMMA*AA$29)</f>
        <v>0.74435429536629916</v>
      </c>
      <c r="AB670" s="133"/>
      <c r="AC670" s="146"/>
      <c r="AD670" s="138">
        <f>1-AD669/(3*F_GAMMA*AD$29)</f>
        <v>0.76482496419023949</v>
      </c>
      <c r="AE670" s="133"/>
      <c r="AF670" s="146"/>
      <c r="AG670" s="138">
        <f>1-AG669/(3*F_GAMMA*AG$29)</f>
        <v>0.80862566849285256</v>
      </c>
      <c r="AH670" s="133"/>
      <c r="AI670" s="146"/>
      <c r="AJ670" s="138">
        <f>1-AJ669/(3*F_GAMMA*AJ$29)</f>
        <v>0.90892111144786158</v>
      </c>
      <c r="AK670" s="133"/>
      <c r="AL670" s="146"/>
      <c r="AM670" s="138">
        <f>1-AM669/(3*F_GAMMA*AM$29)</f>
        <v>1.1133889582169623</v>
      </c>
      <c r="AN670" s="133"/>
      <c r="AO670" s="146"/>
      <c r="AP670" s="138">
        <f>1-AP669/(3*F_GAMMA*AP$29)</f>
        <v>1.4155406683308704</v>
      </c>
      <c r="AQ670" s="133"/>
      <c r="AR670" s="146"/>
      <c r="AS670" s="138">
        <f>1-AS669/(3*F_GAMMA*AS$29)</f>
        <v>3.9637593261396851</v>
      </c>
      <c r="AT670" s="133"/>
      <c r="AU670" s="146"/>
    </row>
    <row r="671" spans="13:47" x14ac:dyDescent="0.25">
      <c r="M671" s="27"/>
      <c r="N671" s="27"/>
      <c r="O671" s="2" t="s">
        <v>71</v>
      </c>
      <c r="P671" s="85">
        <v>5</v>
      </c>
      <c r="Q671" s="2"/>
      <c r="R671" s="179">
        <f>R663/((N_6*R$27*R670)*SQRT(R669*R665*R667))</f>
        <v>0.12069614358887287</v>
      </c>
      <c r="S671" s="133"/>
      <c r="T671" s="146"/>
      <c r="U671" s="143">
        <f>U663/((N_6*U$27*U670)*SQRT(U669*U665*U667))</f>
        <v>3.1525172344784314</v>
      </c>
      <c r="V671" s="133"/>
      <c r="W671" s="146"/>
      <c r="X671" s="143">
        <f>X663/((N_6*X$27*X670)*SQRT(X669*X665*X667))</f>
        <v>7.9530767427434554</v>
      </c>
      <c r="Y671" s="133"/>
      <c r="Z671" s="146"/>
      <c r="AA671" s="143">
        <f>AA663/((N_6*AA$27*AA670)*SQRT(AA669*AA665*AA667))</f>
        <v>16.339005502713054</v>
      </c>
      <c r="AB671" s="133"/>
      <c r="AC671" s="146"/>
      <c r="AD671" s="143">
        <f>AD663/((N_6*AD$27*AD670)*SQRT(AD669*AD665*AD667))</f>
        <v>30.638028976957312</v>
      </c>
      <c r="AE671" s="133"/>
      <c r="AF671" s="146"/>
      <c r="AG671" s="143">
        <f>AG663/((N_6*AG$27*AG670)*SQRT(AG669*AG665*AG667))</f>
        <v>55.447837255222588</v>
      </c>
      <c r="AH671" s="133"/>
      <c r="AI671" s="146"/>
      <c r="AJ671" s="143">
        <f>AJ663/((N_6*AJ$27*AJ670)*SQRT(AJ669*AJ665*AJ667))</f>
        <v>123.49867369722507</v>
      </c>
      <c r="AK671" s="133"/>
      <c r="AL671" s="146"/>
      <c r="AM671" s="143" t="e">
        <f>AM663/((N_6*AM$27*AM670)*SQRT(AM669*AM665*AM667))</f>
        <v>#NUM!</v>
      </c>
      <c r="AN671" s="133"/>
      <c r="AO671" s="146"/>
      <c r="AP671" s="143" t="e">
        <f>AP663/((N_6*AP$27*AP670)*SQRT(AP669*AP665*AP667))</f>
        <v>#NUM!</v>
      </c>
      <c r="AQ671" s="133"/>
      <c r="AR671" s="146"/>
      <c r="AS671" s="143" t="e">
        <f>AS663/((N_6*AS$27*AS670)*SQRT(AS669*AS665*AS667))</f>
        <v>#NUM!</v>
      </c>
      <c r="AT671" s="133"/>
      <c r="AU671" s="146"/>
    </row>
    <row r="672" spans="13:47" x14ac:dyDescent="0.25">
      <c r="M672" s="27"/>
      <c r="N672" s="27"/>
      <c r="O672" s="2" t="s">
        <v>73</v>
      </c>
      <c r="P672" s="85">
        <v>5</v>
      </c>
      <c r="Q672" s="2"/>
      <c r="R672" s="179">
        <f>R663/((N_6*R$27*0.667)*SQRT(R673*R665*R667))</f>
        <v>0.1183796937154684</v>
      </c>
      <c r="S672" s="133"/>
      <c r="T672" s="147"/>
      <c r="U672" s="143">
        <f>U663/((N_6*U$27*0.667)*SQRT(U673*U665*U667))</f>
        <v>3.0909756447169761</v>
      </c>
      <c r="V672" s="133"/>
      <c r="W672" s="155"/>
      <c r="X672" s="143">
        <f>X663/((N_6*X$27*0.667)*SQRT(X673*X665*X667))</f>
        <v>7.8024020836687846</v>
      </c>
      <c r="Y672" s="133"/>
      <c r="Z672" s="155"/>
      <c r="AA672" s="143">
        <f>AA663/((N_6*AA$27*0.667)*SQRT(AA673*AA665*AA667))</f>
        <v>15.968324935242814</v>
      </c>
      <c r="AB672" s="133"/>
      <c r="AC672" s="155"/>
      <c r="AD672" s="143">
        <f>AD663/((N_6*AD$27*0.667)*SQRT(AD673*AD665*AD667))</f>
        <v>29.508917654351713</v>
      </c>
      <c r="AE672" s="133"/>
      <c r="AF672" s="155"/>
      <c r="AG672" s="143">
        <f>AG663/((N_6*AG$27*0.667)*SQRT(AG673*AG665*AG667))</f>
        <v>50.934115771442279</v>
      </c>
      <c r="AH672" s="133"/>
      <c r="AI672" s="155"/>
      <c r="AJ672" s="143">
        <f>AJ663/((N_6*AJ$27*0.667)*SQRT(AJ673*AJ665*AJ667))</f>
        <v>87.96950312686667</v>
      </c>
      <c r="AK672" s="133"/>
      <c r="AL672" s="155"/>
      <c r="AM672" s="143">
        <f>AM663/((N_6*AM$27*0.667)*SQRT(AM673*AM665*AM667))</f>
        <v>156.44592541081474</v>
      </c>
      <c r="AN672" s="133"/>
      <c r="AO672" s="155"/>
      <c r="AP672" s="143">
        <f>AP663/((N_6*AP$27*0.667)*SQRT(AP673*AP665*AP667))</f>
        <v>268.75613244560896</v>
      </c>
      <c r="AQ672" s="133"/>
      <c r="AR672" s="155"/>
      <c r="AS672" s="143">
        <f>AS663/((N_6*AS$27*0.667)*SQRT(AS673*AS665*AS667))</f>
        <v>1248.8685711900546</v>
      </c>
      <c r="AT672" s="133"/>
      <c r="AU672" s="155"/>
    </row>
    <row r="673" spans="13:47" ht="15.5" x14ac:dyDescent="0.4">
      <c r="M673" s="27"/>
      <c r="N673" s="27"/>
      <c r="O673" s="2" t="s">
        <v>192</v>
      </c>
      <c r="P673" s="85">
        <v>10</v>
      </c>
      <c r="Q673" s="2"/>
      <c r="R673" s="181">
        <f>F_GAMMA*R$29</f>
        <v>0.64002688015162901</v>
      </c>
      <c r="S673" s="133"/>
      <c r="T673" s="147"/>
      <c r="U673" s="138">
        <f>F_GAMMA*U$29</f>
        <v>0.64016782916606918</v>
      </c>
      <c r="V673" s="133"/>
      <c r="W673" s="155"/>
      <c r="X673" s="138">
        <f>F_GAMMA*X$29</f>
        <v>0.6307062319203669</v>
      </c>
      <c r="Y673" s="133"/>
      <c r="Z673" s="155"/>
      <c r="AA673" s="138">
        <f>F_GAMMA*AA$29</f>
        <v>0.62217534213893466</v>
      </c>
      <c r="AB673" s="133"/>
      <c r="AC673" s="155"/>
      <c r="AD673" s="138">
        <f>F_GAMMA*AD$29</f>
        <v>0.60557184969146072</v>
      </c>
      <c r="AE673" s="133"/>
      <c r="AF673" s="155"/>
      <c r="AG673" s="138">
        <f>F_GAMMA*AG$29</f>
        <v>0.57289312142622573</v>
      </c>
      <c r="AH673" s="133"/>
      <c r="AI673" s="155"/>
      <c r="AJ673" s="138">
        <f>F_GAMMA*AJ$29</f>
        <v>0.53590819116049981</v>
      </c>
      <c r="AK673" s="133"/>
      <c r="AL673" s="155"/>
      <c r="AM673" s="138">
        <f>F_GAMMA*AM$29</f>
        <v>0.49048815926850342</v>
      </c>
      <c r="AN673" s="133"/>
      <c r="AO673" s="155"/>
      <c r="AP673" s="138">
        <f>F_GAMMA*AP$29</f>
        <v>0.59352979016280105</v>
      </c>
      <c r="AQ673" s="133"/>
      <c r="AR673" s="155"/>
      <c r="AS673" s="138">
        <f>F_GAMMA*AS$29</f>
        <v>0.39097221161068291</v>
      </c>
      <c r="AT673" s="133"/>
      <c r="AU673" s="155"/>
    </row>
    <row r="674" spans="13:47" x14ac:dyDescent="0.25">
      <c r="M674" s="27"/>
      <c r="N674" s="27"/>
      <c r="O674" s="2" t="s">
        <v>193</v>
      </c>
      <c r="P674" s="134"/>
      <c r="Q674" s="2"/>
      <c r="R674" s="181">
        <f>IF(R669&lt;R673,R671,R672)</f>
        <v>0.12069614358887287</v>
      </c>
      <c r="S674" s="133"/>
      <c r="T674" s="147"/>
      <c r="U674" s="138">
        <f>IF(U669&lt;U673,U671,U672)</f>
        <v>3.1525172344784314</v>
      </c>
      <c r="V674" s="133"/>
      <c r="W674" s="155"/>
      <c r="X674" s="138">
        <f>IF(X669&lt;X673,X671,X672)</f>
        <v>7.9530767427434554</v>
      </c>
      <c r="Y674" s="133"/>
      <c r="Z674" s="155"/>
      <c r="AA674" s="138">
        <f>IF(AA669&lt;AA673,AA671,AA672)</f>
        <v>16.339005502713054</v>
      </c>
      <c r="AB674" s="133"/>
      <c r="AC674" s="155"/>
      <c r="AD674" s="138">
        <f>IF(AD669&lt;AD673,AD671,AD672)</f>
        <v>30.638028976957312</v>
      </c>
      <c r="AE674" s="133"/>
      <c r="AF674" s="155"/>
      <c r="AG674" s="138">
        <f>IF(AG669&lt;AG673,AG671,AG672)</f>
        <v>55.447837255222588</v>
      </c>
      <c r="AH674" s="133"/>
      <c r="AI674" s="155"/>
      <c r="AJ674" s="138">
        <f>IF(AJ669&lt;AJ673,AJ671,AJ672)</f>
        <v>123.49867369722507</v>
      </c>
      <c r="AK674" s="133"/>
      <c r="AL674" s="155"/>
      <c r="AM674" s="138" t="e">
        <f>IF(AM669&lt;AM673,AM671,AM672)</f>
        <v>#NUM!</v>
      </c>
      <c r="AN674" s="133"/>
      <c r="AO674" s="155"/>
      <c r="AP674" s="138" t="e">
        <f>IF(AP669&lt;AP673,AP671,AP672)</f>
        <v>#NUM!</v>
      </c>
      <c r="AQ674" s="133"/>
      <c r="AR674" s="155"/>
      <c r="AS674" s="138" t="e">
        <f>IF(AS669&lt;AS673,AS671,AS672)</f>
        <v>#NUM!</v>
      </c>
      <c r="AT674" s="133"/>
      <c r="AU674" s="155"/>
    </row>
    <row r="675" spans="13:47" ht="13" x14ac:dyDescent="0.3">
      <c r="M675" s="28"/>
      <c r="N675" s="28"/>
      <c r="O675" s="9" t="s">
        <v>194</v>
      </c>
      <c r="P675" s="1"/>
      <c r="Q675" s="1"/>
      <c r="R675" s="135"/>
      <c r="S675" s="132">
        <f>IF(R668&lt;=0,W_max,ABS(R$23-R674))</f>
        <v>1.8793038564111271</v>
      </c>
      <c r="T675" s="151">
        <f>R663</f>
        <v>27.913430650700406</v>
      </c>
      <c r="U675" s="135"/>
      <c r="V675" s="132">
        <f>IF(U668&lt;=0,W_max,ABS(U$23-U674))</f>
        <v>1.8474827655215686</v>
      </c>
      <c r="W675" s="151">
        <f>U663</f>
        <v>726.94143905175815</v>
      </c>
      <c r="X675" s="135"/>
      <c r="Y675" s="132">
        <f>IF(X668&lt;=0,W_max,ABS(X$23-X674))</f>
        <v>2.0469232572565446</v>
      </c>
      <c r="Z675" s="151">
        <f>X663</f>
        <v>1797.812685820305</v>
      </c>
      <c r="AA675" s="135"/>
      <c r="AB675" s="132">
        <f>IF(AA668&lt;=0,W_max,ABS(AA$23-AA674))</f>
        <v>0.86099449728694566</v>
      </c>
      <c r="AC675" s="151">
        <f>AA663</f>
        <v>3501.6802285358444</v>
      </c>
      <c r="AD675" s="135"/>
      <c r="AE675" s="132">
        <f>IF(AD668&lt;=0,W_max,ABS(AD$23-AD674))</f>
        <v>4.0380289769573103</v>
      </c>
      <c r="AF675" s="151">
        <f>AD663</f>
        <v>5758.9747337716099</v>
      </c>
      <c r="AG675" s="135"/>
      <c r="AH675" s="132">
        <f>IF(AG668&lt;=0,W_max,ABS(AG$23-AG674))</f>
        <v>17.047837255222589</v>
      </c>
      <c r="AI675" s="151">
        <f>AG663</f>
        <v>8077.4054255200999</v>
      </c>
      <c r="AJ675" s="135"/>
      <c r="AK675" s="132">
        <f>IF(AJ668&lt;=0,W_max,ABS(AJ$23-AJ674))</f>
        <v>70.998673697225072</v>
      </c>
      <c r="AL675" s="151">
        <f>AJ663</f>
        <v>10256.161539022545</v>
      </c>
      <c r="AM675" s="135"/>
      <c r="AN675" s="132">
        <f>IF(AM668&lt;=0,W_max,ABS(AM$23-AM674))</f>
        <v>7174</v>
      </c>
      <c r="AO675" s="151">
        <f>AM663</f>
        <v>12026.15599954561</v>
      </c>
      <c r="AP675" s="135"/>
      <c r="AQ675" s="132">
        <f>IF(AP668&lt;=0,W_max,ABS(AP$23-AP674))</f>
        <v>7174</v>
      </c>
      <c r="AR675" s="151">
        <f>AP663</f>
        <v>13417.201580752229</v>
      </c>
      <c r="AS675" s="135"/>
      <c r="AT675" s="132">
        <f>IF(AS668&lt;=0,W_max,ABS(AS$23-AS674))</f>
        <v>7174</v>
      </c>
      <c r="AU675" s="151">
        <f>AS663</f>
        <v>14969.147104473112</v>
      </c>
    </row>
    <row r="676" spans="13:47" ht="13" x14ac:dyDescent="0.25">
      <c r="M676" s="12"/>
      <c r="N676" s="12"/>
      <c r="O676" s="12"/>
      <c r="P676" s="12"/>
      <c r="Q676" s="12"/>
      <c r="R676" s="182"/>
      <c r="S676" s="22"/>
      <c r="T676" s="152"/>
      <c r="U676" s="157"/>
      <c r="V676" s="1"/>
      <c r="W676" s="147"/>
      <c r="X676" s="157"/>
      <c r="Y676" s="1"/>
      <c r="Z676" s="147"/>
      <c r="AA676" s="157"/>
      <c r="AB676" s="1"/>
      <c r="AC676" s="147"/>
      <c r="AD676" s="157"/>
      <c r="AE676" s="1"/>
      <c r="AF676" s="147"/>
      <c r="AG676" s="157"/>
      <c r="AH676" s="1"/>
      <c r="AI676" s="147"/>
      <c r="AJ676" s="157"/>
      <c r="AK676" s="1"/>
      <c r="AL676" s="147"/>
      <c r="AM676" s="157"/>
      <c r="AN676" s="1"/>
      <c r="AO676" s="147"/>
      <c r="AP676" s="157"/>
      <c r="AQ676" s="1"/>
      <c r="AR676" s="147"/>
      <c r="AS676" s="157"/>
      <c r="AT676" s="1"/>
      <c r="AU676" s="147"/>
    </row>
    <row r="677" spans="13:47" ht="14" x14ac:dyDescent="0.3">
      <c r="M677" s="23"/>
      <c r="N677" s="23"/>
      <c r="O677" s="23" t="s">
        <v>238</v>
      </c>
      <c r="P677" s="20"/>
      <c r="Q677" s="20"/>
      <c r="R677" s="18">
        <f>R663*1.02</f>
        <v>28.471699263714413</v>
      </c>
      <c r="S677" s="128" t="s">
        <v>185</v>
      </c>
      <c r="T677" s="153" t="s">
        <v>186</v>
      </c>
      <c r="U677" s="143">
        <f>U663*1.01</f>
        <v>734.21085344227572</v>
      </c>
      <c r="V677" s="128" t="s">
        <v>185</v>
      </c>
      <c r="W677" s="153" t="s">
        <v>186</v>
      </c>
      <c r="X677" s="143">
        <f>X663*1.01</f>
        <v>1815.790812678508</v>
      </c>
      <c r="Y677" s="128" t="s">
        <v>185</v>
      </c>
      <c r="Z677" s="153" t="s">
        <v>186</v>
      </c>
      <c r="AA677" s="143">
        <f>AA663*1.01</f>
        <v>3536.697030821203</v>
      </c>
      <c r="AB677" s="128" t="s">
        <v>185</v>
      </c>
      <c r="AC677" s="153" t="s">
        <v>186</v>
      </c>
      <c r="AD677" s="143">
        <f>AD663*1.01</f>
        <v>5816.5644811093262</v>
      </c>
      <c r="AE677" s="128" t="s">
        <v>185</v>
      </c>
      <c r="AF677" s="153" t="s">
        <v>186</v>
      </c>
      <c r="AG677" s="143">
        <f>AG663*1.01</f>
        <v>8158.1794797753009</v>
      </c>
      <c r="AH677" s="128" t="s">
        <v>185</v>
      </c>
      <c r="AI677" s="153" t="s">
        <v>186</v>
      </c>
      <c r="AJ677" s="143">
        <f>AJ663*1.01</f>
        <v>10358.72315441277</v>
      </c>
      <c r="AK677" s="128" t="s">
        <v>185</v>
      </c>
      <c r="AL677" s="153" t="s">
        <v>186</v>
      </c>
      <c r="AM677" s="143">
        <f>AM663*1.01</f>
        <v>12146.417559541067</v>
      </c>
      <c r="AN677" s="128" t="s">
        <v>185</v>
      </c>
      <c r="AO677" s="153" t="s">
        <v>186</v>
      </c>
      <c r="AP677" s="143">
        <f>AP663*1.01</f>
        <v>13551.373596559752</v>
      </c>
      <c r="AQ677" s="128" t="s">
        <v>185</v>
      </c>
      <c r="AR677" s="153" t="s">
        <v>186</v>
      </c>
      <c r="AS677" s="143">
        <f>AS663*1.01</f>
        <v>15118.838575517842</v>
      </c>
      <c r="AT677" s="128" t="s">
        <v>185</v>
      </c>
      <c r="AU677" s="153" t="s">
        <v>186</v>
      </c>
    </row>
    <row r="678" spans="13:47" ht="14" x14ac:dyDescent="0.3">
      <c r="M678" s="12"/>
      <c r="N678" s="12"/>
      <c r="O678" s="20"/>
      <c r="P678" s="20"/>
      <c r="Q678" s="23"/>
      <c r="R678" s="139"/>
      <c r="S678" s="130" t="s">
        <v>228</v>
      </c>
      <c r="T678" s="154" t="s">
        <v>187</v>
      </c>
      <c r="U678" s="144"/>
      <c r="V678" s="130" t="s">
        <v>228</v>
      </c>
      <c r="W678" s="154" t="s">
        <v>187</v>
      </c>
      <c r="X678" s="144"/>
      <c r="Y678" s="130" t="s">
        <v>228</v>
      </c>
      <c r="Z678" s="154" t="s">
        <v>187</v>
      </c>
      <c r="AA678" s="144"/>
      <c r="AB678" s="130" t="s">
        <v>228</v>
      </c>
      <c r="AC678" s="154" t="s">
        <v>187</v>
      </c>
      <c r="AD678" s="144"/>
      <c r="AE678" s="130" t="s">
        <v>228</v>
      </c>
      <c r="AF678" s="154" t="s">
        <v>187</v>
      </c>
      <c r="AG678" s="144"/>
      <c r="AH678" s="130" t="s">
        <v>228</v>
      </c>
      <c r="AI678" s="154" t="s">
        <v>187</v>
      </c>
      <c r="AJ678" s="144"/>
      <c r="AK678" s="130" t="s">
        <v>228</v>
      </c>
      <c r="AL678" s="154" t="s">
        <v>187</v>
      </c>
      <c r="AM678" s="144"/>
      <c r="AN678" s="130" t="s">
        <v>228</v>
      </c>
      <c r="AO678" s="154" t="s">
        <v>187</v>
      </c>
      <c r="AP678" s="144"/>
      <c r="AQ678" s="130" t="s">
        <v>228</v>
      </c>
      <c r="AR678" s="154" t="s">
        <v>187</v>
      </c>
      <c r="AS678" s="144"/>
      <c r="AT678" s="130" t="s">
        <v>228</v>
      </c>
      <c r="AU678" s="154" t="s">
        <v>187</v>
      </c>
    </row>
    <row r="679" spans="13:47" x14ac:dyDescent="0.25">
      <c r="M679" s="20"/>
      <c r="N679" s="20"/>
      <c r="O679" s="7" t="s">
        <v>188</v>
      </c>
      <c r="P679" s="7"/>
      <c r="Q679" s="7"/>
      <c r="R679" s="181">
        <f>P_1_minW-(R677^2*R_up)+dpup_minQ</f>
        <v>100.52246348536509</v>
      </c>
      <c r="S679" s="132"/>
      <c r="T679" s="145"/>
      <c r="U679" s="138">
        <f>P_1_minW-(U677^2*R_up)+dpup_minQ</f>
        <v>100.30782795711164</v>
      </c>
      <c r="V679" s="132"/>
      <c r="W679" s="145"/>
      <c r="X679" s="138">
        <f>P_1_minW-(X677^2*R_up)+dpup_minQ</f>
        <v>99.208030570754133</v>
      </c>
      <c r="Y679" s="132"/>
      <c r="Z679" s="145"/>
      <c r="AA679" s="138">
        <f>P_1_minW-(AA677^2*R_up)+dpup_minQ</f>
        <v>95.534983610063279</v>
      </c>
      <c r="AB679" s="132"/>
      <c r="AC679" s="145"/>
      <c r="AD679" s="138">
        <f>P_1_minW-(AD677^2*R_up)+dpup_minQ</f>
        <v>87.031707861295473</v>
      </c>
      <c r="AE679" s="132"/>
      <c r="AF679" s="145"/>
      <c r="AG679" s="138">
        <f>P_1_minW-(AG677^2*R_up)+dpup_minQ</f>
        <v>73.982836842257328</v>
      </c>
      <c r="AH679" s="132"/>
      <c r="AI679" s="145"/>
      <c r="AJ679" s="138">
        <f>P_1_minW-(AJ677^2*R_up)+dpup_minQ</f>
        <v>57.73438741647719</v>
      </c>
      <c r="AK679" s="132"/>
      <c r="AL679" s="145"/>
      <c r="AM679" s="138">
        <f>P_1_minW-(AM677^2*R_up)+dpup_minQ</f>
        <v>41.691275942083287</v>
      </c>
      <c r="AN679" s="132"/>
      <c r="AO679" s="145"/>
      <c r="AP679" s="138">
        <f>P_1_minW-(AP677^2*R_up)+dpup_minQ</f>
        <v>27.294272197526524</v>
      </c>
      <c r="AQ679" s="132"/>
      <c r="AR679" s="145"/>
      <c r="AS679" s="138">
        <f>P_1_minW-(AS677^2*R_up)+dpup_minQ</f>
        <v>9.37409330378334</v>
      </c>
      <c r="AT679" s="132"/>
      <c r="AU679" s="145"/>
    </row>
    <row r="680" spans="13:47" x14ac:dyDescent="0.25">
      <c r="M680" s="20"/>
      <c r="N680" s="20"/>
      <c r="O680" s="7" t="s">
        <v>189</v>
      </c>
      <c r="P680" s="1"/>
      <c r="Q680" s="7"/>
      <c r="R680" s="181">
        <f>P_2_minW+(R677^2*R_dn)-dpdn_minQ</f>
        <v>50</v>
      </c>
      <c r="S680" s="132"/>
      <c r="T680" s="146"/>
      <c r="U680" s="138">
        <f>P_2_minW+(U677^2*R_dn)-dpdn_minQ</f>
        <v>50</v>
      </c>
      <c r="V680" s="132"/>
      <c r="W680" s="146"/>
      <c r="X680" s="138">
        <f>P_2_minW+(X677^2*R_dn)-dpdn_minQ</f>
        <v>50</v>
      </c>
      <c r="Y680" s="132"/>
      <c r="Z680" s="146"/>
      <c r="AA680" s="138">
        <f>P_2_minW+(AA677^2*R_dn)-dpdn_minQ</f>
        <v>50</v>
      </c>
      <c r="AB680" s="132"/>
      <c r="AC680" s="146"/>
      <c r="AD680" s="138">
        <f>P_2_minW+(AD677^2*R_dn)-dpdn_minQ</f>
        <v>50</v>
      </c>
      <c r="AE680" s="132"/>
      <c r="AF680" s="146"/>
      <c r="AG680" s="138">
        <f>P_2_minW+(AG677^2*R_dn)-dpdn_minQ</f>
        <v>50</v>
      </c>
      <c r="AH680" s="132"/>
      <c r="AI680" s="146"/>
      <c r="AJ680" s="138">
        <f>P_2_minW+(AJ677^2*R_dn)-dpdn_minQ</f>
        <v>50</v>
      </c>
      <c r="AK680" s="132"/>
      <c r="AL680" s="146"/>
      <c r="AM680" s="138">
        <f>P_2_minW+(AM677^2*R_dn)-dpdn_minQ</f>
        <v>50</v>
      </c>
      <c r="AN680" s="132"/>
      <c r="AO680" s="146"/>
      <c r="AP680" s="138">
        <f>P_2_minW+(AP677^2*R_dn)-dpdn_minQ</f>
        <v>50</v>
      </c>
      <c r="AQ680" s="132"/>
      <c r="AR680" s="146"/>
      <c r="AS680" s="138">
        <f>P_2_minW+(AS677^2*R_dn)-dpdn_minQ</f>
        <v>50</v>
      </c>
      <c r="AT680" s="132"/>
      <c r="AU680" s="146"/>
    </row>
    <row r="681" spans="13:47" x14ac:dyDescent="0.25">
      <c r="M681" s="20"/>
      <c r="N681" s="20"/>
      <c r="O681" s="7" t="s">
        <v>234</v>
      </c>
      <c r="P681" s="1"/>
      <c r="Q681" s="7"/>
      <c r="R681" s="179">
        <f>'Valve Sizing'!G$8*R679/P_1_maxW</f>
        <v>0.48490246693187383</v>
      </c>
      <c r="S681" s="132"/>
      <c r="T681" s="146"/>
      <c r="U681" s="143">
        <f>'Valve Sizing'!$G$8*U679/P_1_maxW</f>
        <v>0.48386710335707966</v>
      </c>
      <c r="V681" s="132"/>
      <c r="W681" s="146"/>
      <c r="X681" s="143">
        <f>'Valve Sizing'!$G$8*X679/P_1_maxW</f>
        <v>0.47856187657214688</v>
      </c>
      <c r="Y681" s="132"/>
      <c r="Z681" s="146"/>
      <c r="AA681" s="143">
        <f>'Valve Sizing'!$G$8*AA679/P_1_maxW</f>
        <v>0.46084375197947891</v>
      </c>
      <c r="AB681" s="132"/>
      <c r="AC681" s="146"/>
      <c r="AD681" s="143">
        <f>'Valve Sizing'!$G$8*AD679/P_1_maxW</f>
        <v>0.41982546368235835</v>
      </c>
      <c r="AE681" s="132"/>
      <c r="AF681" s="146"/>
      <c r="AG681" s="143">
        <f>'Valve Sizing'!$G$8*AG679/P_1_maxW</f>
        <v>0.35688003309480976</v>
      </c>
      <c r="AH681" s="132"/>
      <c r="AI681" s="146"/>
      <c r="AJ681" s="143">
        <f>'Valve Sizing'!$G$8*AJ679/P_1_maxW</f>
        <v>0.27850040592296221</v>
      </c>
      <c r="AK681" s="132"/>
      <c r="AL681" s="146"/>
      <c r="AM681" s="143">
        <f>'Valve Sizing'!$G$8*AM679/P_1_maxW</f>
        <v>0.20111129247043288</v>
      </c>
      <c r="AN681" s="132"/>
      <c r="AO681" s="146"/>
      <c r="AP681" s="143">
        <f>'Valve Sizing'!$G$8*AP679/P_1_maxW</f>
        <v>0.13166270963522039</v>
      </c>
      <c r="AQ681" s="132"/>
      <c r="AR681" s="146"/>
      <c r="AS681" s="143">
        <f>'Valve Sizing'!$G$8*AS679/P_1_maxW</f>
        <v>4.5218957143005917E-2</v>
      </c>
      <c r="AT681" s="132"/>
      <c r="AU681" s="146"/>
    </row>
    <row r="682" spans="13:47" x14ac:dyDescent="0.25">
      <c r="M682" s="20"/>
      <c r="N682" s="20"/>
      <c r="O682" s="7" t="s">
        <v>190</v>
      </c>
      <c r="P682" s="1"/>
      <c r="Q682" s="7"/>
      <c r="R682" s="181">
        <f>R679-R680</f>
        <v>50.522463485365094</v>
      </c>
      <c r="S682" s="132"/>
      <c r="T682" s="146"/>
      <c r="U682" s="138">
        <f>U679-U680</f>
        <v>50.307827957111641</v>
      </c>
      <c r="V682" s="132"/>
      <c r="W682" s="146"/>
      <c r="X682" s="138">
        <f>X679-X680</f>
        <v>49.208030570754133</v>
      </c>
      <c r="Y682" s="132"/>
      <c r="Z682" s="146"/>
      <c r="AA682" s="138">
        <f>AA679-AA680</f>
        <v>45.534983610063279</v>
      </c>
      <c r="AB682" s="132"/>
      <c r="AC682" s="146"/>
      <c r="AD682" s="138">
        <f>AD679-AD680</f>
        <v>37.031707861295473</v>
      </c>
      <c r="AE682" s="132"/>
      <c r="AF682" s="146"/>
      <c r="AG682" s="138">
        <f>AG679-AG680</f>
        <v>23.982836842257328</v>
      </c>
      <c r="AH682" s="132"/>
      <c r="AI682" s="146"/>
      <c r="AJ682" s="138">
        <f>AJ679-AJ680</f>
        <v>7.7343874164771904</v>
      </c>
      <c r="AK682" s="132"/>
      <c r="AL682" s="146"/>
      <c r="AM682" s="138">
        <f>AM679-AM680</f>
        <v>-8.308724057916713</v>
      </c>
      <c r="AN682" s="132"/>
      <c r="AO682" s="146"/>
      <c r="AP682" s="138">
        <f>AP679-AP680</f>
        <v>-22.705727802473476</v>
      </c>
      <c r="AQ682" s="132"/>
      <c r="AR682" s="146"/>
      <c r="AS682" s="138">
        <f>AS679-AS680</f>
        <v>-40.62590669621666</v>
      </c>
      <c r="AT682" s="132"/>
      <c r="AU682" s="146"/>
    </row>
    <row r="683" spans="13:47" ht="14.5" x14ac:dyDescent="0.35">
      <c r="M683" s="27"/>
      <c r="N683" s="27"/>
      <c r="O683" s="2" t="s">
        <v>191</v>
      </c>
      <c r="P683" s="10"/>
      <c r="Q683" s="2"/>
      <c r="R683" s="181">
        <f>R682/R679</f>
        <v>0.5025987399594577</v>
      </c>
      <c r="S683" s="132"/>
      <c r="T683" s="146"/>
      <c r="U683" s="138">
        <f>U682/U679</f>
        <v>0.50153441642283025</v>
      </c>
      <c r="V683" s="132"/>
      <c r="W683" s="146"/>
      <c r="X683" s="138">
        <f>X682/X679</f>
        <v>0.49600854172444719</v>
      </c>
      <c r="Y683" s="132"/>
      <c r="Z683" s="146"/>
      <c r="AA683" s="138">
        <f>AA682/AA679</f>
        <v>0.47663151119509695</v>
      </c>
      <c r="AB683" s="132"/>
      <c r="AC683" s="146"/>
      <c r="AD683" s="138">
        <f>AD682/AD679</f>
        <v>0.4254967387324376</v>
      </c>
      <c r="AE683" s="132"/>
      <c r="AF683" s="146"/>
      <c r="AG683" s="138">
        <f>AG682/AG679</f>
        <v>0.32416757542553265</v>
      </c>
      <c r="AH683" s="132"/>
      <c r="AI683" s="146"/>
      <c r="AJ683" s="138">
        <f>AJ682/AJ679</f>
        <v>0.13396500357202756</v>
      </c>
      <c r="AK683" s="132"/>
      <c r="AL683" s="146"/>
      <c r="AM683" s="138">
        <f>AM682/AM679</f>
        <v>-0.19929167122299235</v>
      </c>
      <c r="AN683" s="132"/>
      <c r="AO683" s="146"/>
      <c r="AP683" s="138">
        <f>AP682/AP679</f>
        <v>-0.83188617883466132</v>
      </c>
      <c r="AQ683" s="132"/>
      <c r="AR683" s="146"/>
      <c r="AS683" s="138">
        <f>AS682/AS679</f>
        <v>-4.3338491926275404</v>
      </c>
      <c r="AT683" s="132"/>
      <c r="AU683" s="146"/>
    </row>
    <row r="684" spans="13:47" x14ac:dyDescent="0.25">
      <c r="M684" s="27"/>
      <c r="N684" s="27"/>
      <c r="O684" s="2" t="s">
        <v>26</v>
      </c>
      <c r="P684" s="7">
        <v>12</v>
      </c>
      <c r="Q684" s="2"/>
      <c r="R684" s="181">
        <f>1-R683/(3*F_GAMMA*R$29)</f>
        <v>0.73824081688548926</v>
      </c>
      <c r="S684" s="133"/>
      <c r="T684" s="146"/>
      <c r="U684" s="138">
        <f>1-U683/(3*F_GAMMA*U$29)</f>
        <v>0.73885263958767045</v>
      </c>
      <c r="V684" s="133"/>
      <c r="W684" s="146"/>
      <c r="X684" s="138">
        <f>1-X683/(3*F_GAMMA*X$29)</f>
        <v>0.73785548293790904</v>
      </c>
      <c r="Y684" s="133"/>
      <c r="Z684" s="146"/>
      <c r="AA684" s="138">
        <f>1-AA683/(3*F_GAMMA*AA$29)</f>
        <v>0.74464245102968474</v>
      </c>
      <c r="AB684" s="133"/>
      <c r="AC684" s="146"/>
      <c r="AD684" s="138">
        <f>1-AD683/(3*F_GAMMA*AD$29)</f>
        <v>0.76578791382655997</v>
      </c>
      <c r="AE684" s="133"/>
      <c r="AF684" s="146"/>
      <c r="AG684" s="138">
        <f>1-AG683/(3*F_GAMMA*AG$29)</f>
        <v>0.8113856591502252</v>
      </c>
      <c r="AH684" s="133"/>
      <c r="AI684" s="146"/>
      <c r="AJ684" s="138">
        <f>1-AJ683/(3*F_GAMMA*AJ$29)</f>
        <v>0.9166741581352279</v>
      </c>
      <c r="AK684" s="133"/>
      <c r="AL684" s="146"/>
      <c r="AM684" s="138">
        <f>1-AM683/(3*F_GAMMA*AM$29)</f>
        <v>1.1354376366055461</v>
      </c>
      <c r="AN684" s="133"/>
      <c r="AO684" s="146"/>
      <c r="AP684" s="138">
        <f>1-AP683/(3*F_GAMMA*AP$29)</f>
        <v>1.467197093626635</v>
      </c>
      <c r="AQ684" s="133"/>
      <c r="AR684" s="146"/>
      <c r="AS684" s="138">
        <f>1-AS683/(3*F_GAMMA*AS$29)</f>
        <v>4.6949336925791911</v>
      </c>
      <c r="AT684" s="133"/>
      <c r="AU684" s="146"/>
    </row>
    <row r="685" spans="13:47" x14ac:dyDescent="0.25">
      <c r="M685" s="27"/>
      <c r="N685" s="27"/>
      <c r="O685" s="2" t="s">
        <v>71</v>
      </c>
      <c r="P685" s="85">
        <v>5</v>
      </c>
      <c r="Q685" s="2"/>
      <c r="R685" s="179">
        <f>R677/((N_6*R$27*R684)*SQRT(R683*R679*R681))</f>
        <v>0.12311008404592659</v>
      </c>
      <c r="S685" s="133"/>
      <c r="T685" s="146"/>
      <c r="U685" s="143">
        <f>U677/((N_6*U$27*U684)*SQRT(U683*U679*U681))</f>
        <v>3.1841964352924426</v>
      </c>
      <c r="V685" s="133"/>
      <c r="W685" s="146"/>
      <c r="X685" s="143">
        <f>X677/((N_6*X$27*X684)*SQRT(X683*X679*X681))</f>
        <v>8.0350133117368205</v>
      </c>
      <c r="Y685" s="133"/>
      <c r="Z685" s="146"/>
      <c r="AA685" s="143">
        <f>AA677/((N_6*AA$27*AA684)*SQRT(AA683*AA679*AA681))</f>
        <v>16.522293813412286</v>
      </c>
      <c r="AB685" s="133"/>
      <c r="AC685" s="146"/>
      <c r="AD685" s="143">
        <f>AD677/((N_6*AD$27*AD684)*SQRT(AD683*AD679*AD681))</f>
        <v>31.063556619957531</v>
      </c>
      <c r="AE685" s="133"/>
      <c r="AF685" s="146"/>
      <c r="AG685" s="143">
        <f>AG677/((N_6*AG$27*AG684)*SQRT(AG683*AG679*AG681))</f>
        <v>56.616060519646574</v>
      </c>
      <c r="AH685" s="133"/>
      <c r="AI685" s="146"/>
      <c r="AJ685" s="143">
        <f>AJ677/((N_6*AJ$27*AJ684)*SQRT(AJ683*AJ679*AJ681))</f>
        <v>131.19281683436549</v>
      </c>
      <c r="AK685" s="133"/>
      <c r="AL685" s="146"/>
      <c r="AM685" s="143" t="e">
        <f>AM677/((N_6*AM$27*AM684)*SQRT(AM683*AM679*AM681))</f>
        <v>#NUM!</v>
      </c>
      <c r="AN685" s="133"/>
      <c r="AO685" s="146"/>
      <c r="AP685" s="143" t="e">
        <f>AP677/((N_6*AP$27*AP684)*SQRT(AP683*AP679*AP681))</f>
        <v>#NUM!</v>
      </c>
      <c r="AQ685" s="133"/>
      <c r="AR685" s="146"/>
      <c r="AS685" s="143" t="e">
        <f>AS677/((N_6*AS$27*AS684)*SQRT(AS683*AS679*AS681))</f>
        <v>#NUM!</v>
      </c>
      <c r="AT685" s="133"/>
      <c r="AU685" s="146"/>
    </row>
    <row r="686" spans="13:47" x14ac:dyDescent="0.25">
      <c r="M686" s="27"/>
      <c r="N686" s="27"/>
      <c r="O686" s="2" t="s">
        <v>73</v>
      </c>
      <c r="P686" s="85">
        <v>5</v>
      </c>
      <c r="Q686" s="2"/>
      <c r="R686" s="179">
        <f>R677/((N_6*R$27*0.667)*SQRT(R687*R679*R681))</f>
        <v>0.12074730266749675</v>
      </c>
      <c r="S686" s="133"/>
      <c r="T686" s="155"/>
      <c r="U686" s="143">
        <f>U677/((N_6*U$27*0.667)*SQRT(U687*U679*U681))</f>
        <v>3.1220172239932915</v>
      </c>
      <c r="V686" s="133"/>
      <c r="W686" s="155"/>
      <c r="X686" s="143">
        <f>X677/((N_6*X$27*0.667)*SQRT(X687*X679*X681))</f>
        <v>7.8824838961466126</v>
      </c>
      <c r="Y686" s="133"/>
      <c r="Z686" s="155"/>
      <c r="AA686" s="143">
        <f>AA677/((N_6*AA$27*0.667)*SQRT(AA687*AA679*AA681))</f>
        <v>16.144599503639533</v>
      </c>
      <c r="AB686" s="133"/>
      <c r="AC686" s="155"/>
      <c r="AD686" s="143">
        <f>AD677/((N_6*AD$27*0.667)*SQRT(AD687*AD679*AD681))</f>
        <v>29.895039471282065</v>
      </c>
      <c r="AE686" s="133"/>
      <c r="AF686" s="155"/>
      <c r="AG686" s="143">
        <f>AG677/((N_6*AG$27*0.667)*SQRT(AG687*AG679*AG681))</f>
        <v>51.807080957037741</v>
      </c>
      <c r="AH686" s="133"/>
      <c r="AI686" s="155"/>
      <c r="AJ686" s="143">
        <f>AJ677/((N_6*AJ$27*0.667)*SQRT(AJ687*AJ679*AJ681))</f>
        <v>90.14667107317544</v>
      </c>
      <c r="AK686" s="133"/>
      <c r="AL686" s="155"/>
      <c r="AM686" s="143">
        <f>AM677/((N_6*AM$27*0.667)*SQRT(AM687*AM679*AM681))</f>
        <v>162.4038151047375</v>
      </c>
      <c r="AN686" s="133"/>
      <c r="AO686" s="155"/>
      <c r="AP686" s="143">
        <f>AP677/((N_6*AP$27*0.667)*SQRT(AP687*AP679*AP681))</f>
        <v>285.79335910391188</v>
      </c>
      <c r="AQ686" s="133"/>
      <c r="AR686" s="155"/>
      <c r="AS686" s="143">
        <f>AS677/((N_6*AS$27*0.667)*SQRT(AS687*AS679*AS681))</f>
        <v>1503.0216108915672</v>
      </c>
      <c r="AT686" s="133"/>
      <c r="AU686" s="155"/>
    </row>
    <row r="687" spans="13:47" ht="15.5" x14ac:dyDescent="0.4">
      <c r="M687" s="27"/>
      <c r="N687" s="27"/>
      <c r="O687" s="2" t="s">
        <v>192</v>
      </c>
      <c r="P687" s="85">
        <v>10</v>
      </c>
      <c r="Q687" s="2"/>
      <c r="R687" s="181">
        <f>F_GAMMA*R$29</f>
        <v>0.64002688015162901</v>
      </c>
      <c r="S687" s="133"/>
      <c r="T687" s="155"/>
      <c r="U687" s="138">
        <f>F_GAMMA*U$29</f>
        <v>0.64016782916606918</v>
      </c>
      <c r="V687" s="133"/>
      <c r="W687" s="155"/>
      <c r="X687" s="138">
        <f>F_GAMMA*X$29</f>
        <v>0.6307062319203669</v>
      </c>
      <c r="Y687" s="133"/>
      <c r="Z687" s="155"/>
      <c r="AA687" s="138">
        <f>F_GAMMA*AA$29</f>
        <v>0.62217534213893466</v>
      </c>
      <c r="AB687" s="133"/>
      <c r="AC687" s="155"/>
      <c r="AD687" s="138">
        <f>F_GAMMA*AD$29</f>
        <v>0.60557184969146072</v>
      </c>
      <c r="AE687" s="133"/>
      <c r="AF687" s="155"/>
      <c r="AG687" s="138">
        <f>F_GAMMA*AG$29</f>
        <v>0.57289312142622573</v>
      </c>
      <c r="AH687" s="133"/>
      <c r="AI687" s="155"/>
      <c r="AJ687" s="138">
        <f>F_GAMMA*AJ$29</f>
        <v>0.53590819116049981</v>
      </c>
      <c r="AK687" s="133"/>
      <c r="AL687" s="155"/>
      <c r="AM687" s="138">
        <f>F_GAMMA*AM$29</f>
        <v>0.49048815926850342</v>
      </c>
      <c r="AN687" s="133"/>
      <c r="AO687" s="155"/>
      <c r="AP687" s="138">
        <f>F_GAMMA*AP$29</f>
        <v>0.59352979016280105</v>
      </c>
      <c r="AQ687" s="133"/>
      <c r="AR687" s="155"/>
      <c r="AS687" s="138">
        <f>F_GAMMA*AS$29</f>
        <v>0.39097221161068291</v>
      </c>
      <c r="AT687" s="133"/>
      <c r="AU687" s="155"/>
    </row>
    <row r="688" spans="13:47" x14ac:dyDescent="0.25">
      <c r="M688" s="27"/>
      <c r="N688" s="27"/>
      <c r="O688" s="2" t="s">
        <v>193</v>
      </c>
      <c r="P688" s="134"/>
      <c r="Q688" s="2"/>
      <c r="R688" s="181">
        <f>IF(R683&lt;R687,R685,R686)</f>
        <v>0.12311008404592659</v>
      </c>
      <c r="S688" s="133"/>
      <c r="T688" s="155"/>
      <c r="U688" s="138">
        <f>IF(U683&lt;U687,U685,U686)</f>
        <v>3.1841964352924426</v>
      </c>
      <c r="V688" s="133"/>
      <c r="W688" s="155"/>
      <c r="X688" s="138">
        <f>IF(X683&lt;X687,X685,X686)</f>
        <v>8.0350133117368205</v>
      </c>
      <c r="Y688" s="133"/>
      <c r="Z688" s="155"/>
      <c r="AA688" s="138">
        <f>IF(AA683&lt;AA687,AA685,AA686)</f>
        <v>16.522293813412286</v>
      </c>
      <c r="AB688" s="133"/>
      <c r="AC688" s="155"/>
      <c r="AD688" s="138">
        <f>IF(AD683&lt;AD687,AD685,AD686)</f>
        <v>31.063556619957531</v>
      </c>
      <c r="AE688" s="133"/>
      <c r="AF688" s="155"/>
      <c r="AG688" s="138">
        <f>IF(AG683&lt;AG687,AG685,AG686)</f>
        <v>56.616060519646574</v>
      </c>
      <c r="AH688" s="133"/>
      <c r="AI688" s="155"/>
      <c r="AJ688" s="138">
        <f>IF(AJ683&lt;AJ687,AJ685,AJ686)</f>
        <v>131.19281683436549</v>
      </c>
      <c r="AK688" s="133"/>
      <c r="AL688" s="155"/>
      <c r="AM688" s="138" t="e">
        <f>IF(AM683&lt;AM687,AM685,AM686)</f>
        <v>#NUM!</v>
      </c>
      <c r="AN688" s="133"/>
      <c r="AO688" s="155"/>
      <c r="AP688" s="138" t="e">
        <f>IF(AP683&lt;AP687,AP685,AP686)</f>
        <v>#NUM!</v>
      </c>
      <c r="AQ688" s="133"/>
      <c r="AR688" s="155"/>
      <c r="AS688" s="138" t="e">
        <f>IF(AS683&lt;AS687,AS685,AS686)</f>
        <v>#NUM!</v>
      </c>
      <c r="AT688" s="133"/>
      <c r="AU688" s="155"/>
    </row>
    <row r="689" spans="13:47" ht="13" x14ac:dyDescent="0.3">
      <c r="M689" s="28"/>
      <c r="N689" s="28"/>
      <c r="O689" s="9" t="s">
        <v>194</v>
      </c>
      <c r="P689" s="1"/>
      <c r="Q689" s="1"/>
      <c r="R689" s="135"/>
      <c r="S689" s="132">
        <f>IF(R682&lt;=0,W_max,ABS(R$23-R688))</f>
        <v>1.8768899159540735</v>
      </c>
      <c r="T689" s="151">
        <f>R677</f>
        <v>28.471699263714413</v>
      </c>
      <c r="U689" s="135"/>
      <c r="V689" s="132">
        <f>IF(U682&lt;=0,W_max,ABS(U$23-U688))</f>
        <v>1.8158035647075574</v>
      </c>
      <c r="W689" s="151">
        <f>U677</f>
        <v>734.21085344227572</v>
      </c>
      <c r="X689" s="135"/>
      <c r="Y689" s="132">
        <f>IF(X682&lt;=0,W_max,ABS(X$23-X688))</f>
        <v>1.9649866882631795</v>
      </c>
      <c r="Z689" s="151">
        <f>X677</f>
        <v>1815.790812678508</v>
      </c>
      <c r="AA689" s="135"/>
      <c r="AB689" s="132">
        <f>IF(AA682&lt;=0,W_max,ABS(AA$23-AA688))</f>
        <v>0.67770618658771298</v>
      </c>
      <c r="AC689" s="151">
        <f>AA677</f>
        <v>3536.697030821203</v>
      </c>
      <c r="AD689" s="135"/>
      <c r="AE689" s="132">
        <f>IF(AD682&lt;=0,W_max,ABS(AD$23-AD688))</f>
        <v>4.4635566199575294</v>
      </c>
      <c r="AF689" s="151">
        <f>AD677</f>
        <v>5816.5644811093262</v>
      </c>
      <c r="AG689" s="135"/>
      <c r="AH689" s="132">
        <f>IF(AG682&lt;=0,W_max,ABS(AG$23-AG688))</f>
        <v>18.216060519646575</v>
      </c>
      <c r="AI689" s="151">
        <f>AG677</f>
        <v>8158.1794797753009</v>
      </c>
      <c r="AJ689" s="135"/>
      <c r="AK689" s="132">
        <f>IF(AJ682&lt;=0,W_max,ABS(AJ$23-AJ688))</f>
        <v>78.692816834365487</v>
      </c>
      <c r="AL689" s="151">
        <f>AJ677</f>
        <v>10358.72315441277</v>
      </c>
      <c r="AM689" s="135"/>
      <c r="AN689" s="132">
        <f>IF(AM682&lt;=0,W_max,ABS(AM$23-AM688))</f>
        <v>7174</v>
      </c>
      <c r="AO689" s="151">
        <f>AM677</f>
        <v>12146.417559541067</v>
      </c>
      <c r="AP689" s="135"/>
      <c r="AQ689" s="132">
        <f>IF(AP682&lt;=0,W_max,ABS(AP$23-AP688))</f>
        <v>7174</v>
      </c>
      <c r="AR689" s="151">
        <f>AP677</f>
        <v>13551.373596559752</v>
      </c>
      <c r="AS689" s="135"/>
      <c r="AT689" s="132">
        <f>IF(AS682&lt;=0,W_max,ABS(AS$23-AS688))</f>
        <v>7174</v>
      </c>
      <c r="AU689" s="151">
        <f>AS677</f>
        <v>15118.838575517842</v>
      </c>
    </row>
    <row r="690" spans="13:47" ht="13" x14ac:dyDescent="0.25">
      <c r="M690" s="12"/>
      <c r="N690" s="12"/>
      <c r="O690" s="2"/>
      <c r="P690" s="85"/>
      <c r="Q690" s="2"/>
      <c r="R690" s="18"/>
      <c r="S690" s="150"/>
      <c r="T690" s="152"/>
      <c r="U690" s="157"/>
      <c r="V690" s="1"/>
      <c r="W690" s="147"/>
      <c r="X690" s="157"/>
      <c r="Y690" s="1"/>
      <c r="Z690" s="147"/>
      <c r="AA690" s="157"/>
      <c r="AB690" s="1"/>
      <c r="AC690" s="147"/>
      <c r="AD690" s="157"/>
      <c r="AE690" s="1"/>
      <c r="AF690" s="147"/>
      <c r="AG690" s="157"/>
      <c r="AH690" s="1"/>
      <c r="AI690" s="147"/>
      <c r="AJ690" s="157"/>
      <c r="AK690" s="1"/>
      <c r="AL690" s="147"/>
      <c r="AM690" s="157"/>
      <c r="AN690" s="1"/>
      <c r="AO690" s="147"/>
      <c r="AP690" s="157"/>
      <c r="AQ690" s="1"/>
      <c r="AR690" s="147"/>
      <c r="AS690" s="157"/>
      <c r="AT690" s="1"/>
      <c r="AU690" s="147"/>
    </row>
    <row r="691" spans="13:47" ht="14" x14ac:dyDescent="0.3">
      <c r="M691" s="23"/>
      <c r="N691" s="23"/>
      <c r="O691" s="23" t="s">
        <v>238</v>
      </c>
      <c r="P691" s="20"/>
      <c r="Q691" s="20"/>
      <c r="R691" s="181">
        <f>R677*1.02</f>
        <v>29.0411332489887</v>
      </c>
      <c r="S691" s="128" t="s">
        <v>185</v>
      </c>
      <c r="T691" s="153" t="s">
        <v>186</v>
      </c>
      <c r="U691" s="143">
        <f>U677*1.01</f>
        <v>741.5529619766985</v>
      </c>
      <c r="V691" s="128" t="s">
        <v>185</v>
      </c>
      <c r="W691" s="153" t="s">
        <v>186</v>
      </c>
      <c r="X691" s="143">
        <f>X677*1.01</f>
        <v>1833.9487208052931</v>
      </c>
      <c r="Y691" s="128" t="s">
        <v>185</v>
      </c>
      <c r="Z691" s="153" t="s">
        <v>186</v>
      </c>
      <c r="AA691" s="143">
        <f>AA677*1.01</f>
        <v>3572.0640011294149</v>
      </c>
      <c r="AB691" s="128" t="s">
        <v>185</v>
      </c>
      <c r="AC691" s="153" t="s">
        <v>186</v>
      </c>
      <c r="AD691" s="143">
        <f>AD677*1.01</f>
        <v>5874.7301259204196</v>
      </c>
      <c r="AE691" s="128" t="s">
        <v>185</v>
      </c>
      <c r="AF691" s="153" t="s">
        <v>186</v>
      </c>
      <c r="AG691" s="143">
        <f>AG677*1.01</f>
        <v>8239.7612745730548</v>
      </c>
      <c r="AH691" s="128" t="s">
        <v>185</v>
      </c>
      <c r="AI691" s="153" t="s">
        <v>186</v>
      </c>
      <c r="AJ691" s="143">
        <f>AJ677*1.01</f>
        <v>10462.310385956898</v>
      </c>
      <c r="AK691" s="128" t="s">
        <v>185</v>
      </c>
      <c r="AL691" s="153" t="s">
        <v>186</v>
      </c>
      <c r="AM691" s="143">
        <f>AM677*1.01</f>
        <v>12267.881735136478</v>
      </c>
      <c r="AN691" s="128" t="s">
        <v>185</v>
      </c>
      <c r="AO691" s="153" t="s">
        <v>186</v>
      </c>
      <c r="AP691" s="143">
        <f>AP677*1.01</f>
        <v>13686.88733252535</v>
      </c>
      <c r="AQ691" s="128" t="s">
        <v>185</v>
      </c>
      <c r="AR691" s="153" t="s">
        <v>186</v>
      </c>
      <c r="AS691" s="143">
        <f>AS677*1.01</f>
        <v>15270.026961273021</v>
      </c>
      <c r="AT691" s="128" t="s">
        <v>185</v>
      </c>
      <c r="AU691" s="153" t="s">
        <v>186</v>
      </c>
    </row>
    <row r="692" spans="13:47" ht="14" x14ac:dyDescent="0.3">
      <c r="M692" s="12"/>
      <c r="N692" s="12"/>
      <c r="O692" s="20"/>
      <c r="P692" s="20"/>
      <c r="Q692" s="23"/>
      <c r="R692" s="139"/>
      <c r="S692" s="130" t="s">
        <v>228</v>
      </c>
      <c r="T692" s="154" t="s">
        <v>187</v>
      </c>
      <c r="U692" s="144"/>
      <c r="V692" s="130" t="s">
        <v>228</v>
      </c>
      <c r="W692" s="154" t="s">
        <v>187</v>
      </c>
      <c r="X692" s="144"/>
      <c r="Y692" s="130" t="s">
        <v>228</v>
      </c>
      <c r="Z692" s="154" t="s">
        <v>187</v>
      </c>
      <c r="AA692" s="144"/>
      <c r="AB692" s="130" t="s">
        <v>228</v>
      </c>
      <c r="AC692" s="154" t="s">
        <v>187</v>
      </c>
      <c r="AD692" s="144"/>
      <c r="AE692" s="130" t="s">
        <v>228</v>
      </c>
      <c r="AF692" s="154" t="s">
        <v>187</v>
      </c>
      <c r="AG692" s="144"/>
      <c r="AH692" s="130" t="s">
        <v>228</v>
      </c>
      <c r="AI692" s="154" t="s">
        <v>187</v>
      </c>
      <c r="AJ692" s="144"/>
      <c r="AK692" s="130" t="s">
        <v>228</v>
      </c>
      <c r="AL692" s="154" t="s">
        <v>187</v>
      </c>
      <c r="AM692" s="144"/>
      <c r="AN692" s="130" t="s">
        <v>228</v>
      </c>
      <c r="AO692" s="154" t="s">
        <v>187</v>
      </c>
      <c r="AP692" s="144"/>
      <c r="AQ692" s="130" t="s">
        <v>228</v>
      </c>
      <c r="AR692" s="154" t="s">
        <v>187</v>
      </c>
      <c r="AS692" s="144"/>
      <c r="AT692" s="130" t="s">
        <v>228</v>
      </c>
      <c r="AU692" s="154" t="s">
        <v>187</v>
      </c>
    </row>
    <row r="693" spans="13:47" x14ac:dyDescent="0.25">
      <c r="M693" s="20"/>
      <c r="N693" s="20"/>
      <c r="O693" s="7" t="s">
        <v>188</v>
      </c>
      <c r="P693" s="7"/>
      <c r="Q693" s="7"/>
      <c r="R693" s="181">
        <f>P_1_minW-(R691^2*R_up)+dpup_minQ</f>
        <v>100.52245042601008</v>
      </c>
      <c r="S693" s="132"/>
      <c r="T693" s="145"/>
      <c r="U693" s="138">
        <f>P_1_minW-(U691^2*R_up)+dpup_minQ</f>
        <v>100.30350728564137</v>
      </c>
      <c r="V693" s="132"/>
      <c r="W693" s="145"/>
      <c r="X693" s="138">
        <f>P_1_minW-(X691^2*R_up)+dpup_minQ</f>
        <v>99.181603971818078</v>
      </c>
      <c r="Y693" s="132"/>
      <c r="Z693" s="145"/>
      <c r="AA693" s="138">
        <f>P_1_minW-(AA691^2*R_up)+dpup_minQ</f>
        <v>95.434728767217337</v>
      </c>
      <c r="AB693" s="132"/>
      <c r="AC693" s="145"/>
      <c r="AD693" s="138">
        <f>P_1_minW-(AD691^2*R_up)+dpup_minQ</f>
        <v>86.760537175899316</v>
      </c>
      <c r="AE693" s="132"/>
      <c r="AF693" s="145"/>
      <c r="AG693" s="138">
        <f>P_1_minW-(AG691^2*R_up)+dpup_minQ</f>
        <v>73.449383849378492</v>
      </c>
      <c r="AH693" s="132"/>
      <c r="AI693" s="145"/>
      <c r="AJ693" s="138">
        <f>P_1_minW-(AJ691^2*R_up)+dpup_minQ</f>
        <v>56.874340590140172</v>
      </c>
      <c r="AK693" s="132"/>
      <c r="AL693" s="145"/>
      <c r="AM693" s="138">
        <f>P_1_minW-(AM691^2*R_up)+dpup_minQ</f>
        <v>40.508762575110943</v>
      </c>
      <c r="AN693" s="132"/>
      <c r="AO693" s="145"/>
      <c r="AP693" s="138">
        <f>P_1_minW-(AP691^2*R_up)+dpup_minQ</f>
        <v>25.822379055288593</v>
      </c>
      <c r="AQ693" s="132"/>
      <c r="AR693" s="145"/>
      <c r="AS693" s="138">
        <f>P_1_minW-(AS691^2*R_up)+dpup_minQ</f>
        <v>7.542004565781169</v>
      </c>
      <c r="AT693" s="132"/>
      <c r="AU693" s="145"/>
    </row>
    <row r="694" spans="13:47" x14ac:dyDescent="0.25">
      <c r="M694" s="20"/>
      <c r="N694" s="20"/>
      <c r="O694" s="7" t="s">
        <v>189</v>
      </c>
      <c r="P694" s="1"/>
      <c r="Q694" s="7"/>
      <c r="R694" s="181">
        <f>P_2_minW+(R691^2*R_dn)-dpdn_minQ</f>
        <v>50</v>
      </c>
      <c r="S694" s="132"/>
      <c r="T694" s="146"/>
      <c r="U694" s="138">
        <f>P_2_minW+(U691^2*R_dn)-dpdn_minQ</f>
        <v>50</v>
      </c>
      <c r="V694" s="132"/>
      <c r="W694" s="146"/>
      <c r="X694" s="138">
        <f>P_2_minW+(X691^2*R_dn)-dpdn_minQ</f>
        <v>50</v>
      </c>
      <c r="Y694" s="132"/>
      <c r="Z694" s="146"/>
      <c r="AA694" s="138">
        <f>P_2_minW+(AA691^2*R_dn)-dpdn_minQ</f>
        <v>50</v>
      </c>
      <c r="AB694" s="132"/>
      <c r="AC694" s="146"/>
      <c r="AD694" s="138">
        <f>P_2_minW+(AD691^2*R_dn)-dpdn_minQ</f>
        <v>50</v>
      </c>
      <c r="AE694" s="132"/>
      <c r="AF694" s="146"/>
      <c r="AG694" s="138">
        <f>P_2_minW+(AG691^2*R_dn)-dpdn_minQ</f>
        <v>50</v>
      </c>
      <c r="AH694" s="132"/>
      <c r="AI694" s="146"/>
      <c r="AJ694" s="138">
        <f>P_2_minW+(AJ691^2*R_dn)-dpdn_minQ</f>
        <v>50</v>
      </c>
      <c r="AK694" s="132"/>
      <c r="AL694" s="146"/>
      <c r="AM694" s="138">
        <f>P_2_minW+(AM691^2*R_dn)-dpdn_minQ</f>
        <v>50</v>
      </c>
      <c r="AN694" s="132"/>
      <c r="AO694" s="146"/>
      <c r="AP694" s="138">
        <f>P_2_minW+(AP691^2*R_dn)-dpdn_minQ</f>
        <v>50</v>
      </c>
      <c r="AQ694" s="132"/>
      <c r="AR694" s="146"/>
      <c r="AS694" s="138">
        <f>P_2_minW+(AS691^2*R_dn)-dpdn_minQ</f>
        <v>50</v>
      </c>
      <c r="AT694" s="132"/>
      <c r="AU694" s="146"/>
    </row>
    <row r="695" spans="13:47" x14ac:dyDescent="0.25">
      <c r="M695" s="20"/>
      <c r="N695" s="20"/>
      <c r="O695" s="7" t="s">
        <v>234</v>
      </c>
      <c r="P695" s="1"/>
      <c r="Q695" s="7"/>
      <c r="R695" s="179">
        <f>'Valve Sizing'!G$8*R693/P_1_maxW</f>
        <v>0.48490240393587031</v>
      </c>
      <c r="S695" s="132"/>
      <c r="T695" s="146"/>
      <c r="U695" s="143">
        <f>'Valve Sizing'!$G$8*U693/P_1_maxW</f>
        <v>0.48384626120715524</v>
      </c>
      <c r="V695" s="132"/>
      <c r="W695" s="146"/>
      <c r="X695" s="143">
        <f>'Valve Sizing'!$G$8*X693/P_1_maxW</f>
        <v>0.4784343993638453</v>
      </c>
      <c r="Y695" s="132"/>
      <c r="Z695" s="146"/>
      <c r="AA695" s="143">
        <f>'Valve Sizing'!$G$8*AA693/P_1_maxW</f>
        <v>0.46036014046686474</v>
      </c>
      <c r="AB695" s="132"/>
      <c r="AC695" s="146"/>
      <c r="AD695" s="143">
        <f>'Valve Sizing'!$G$8*AD693/P_1_maxW</f>
        <v>0.41851738457497206</v>
      </c>
      <c r="AE695" s="132"/>
      <c r="AF695" s="146"/>
      <c r="AG695" s="143">
        <f>'Valve Sizing'!$G$8*AG693/P_1_maxW</f>
        <v>0.35430675083261376</v>
      </c>
      <c r="AH695" s="132"/>
      <c r="AI695" s="146"/>
      <c r="AJ695" s="143">
        <f>'Valve Sizing'!$G$8*AJ693/P_1_maxW</f>
        <v>0.27435169315461205</v>
      </c>
      <c r="AK695" s="132"/>
      <c r="AL695" s="146"/>
      <c r="AM695" s="143">
        <f>'Valve Sizing'!$G$8*AM693/P_1_maxW</f>
        <v>0.1954070585216868</v>
      </c>
      <c r="AN695" s="132"/>
      <c r="AO695" s="146"/>
      <c r="AP695" s="143">
        <f>'Valve Sizing'!$G$8*AP693/P_1_maxW</f>
        <v>0.12456255917148658</v>
      </c>
      <c r="AQ695" s="132"/>
      <c r="AR695" s="146"/>
      <c r="AS695" s="143">
        <f>'Valve Sizing'!$G$8*AS693/P_1_maxW</f>
        <v>3.6381287254178579E-2</v>
      </c>
      <c r="AT695" s="132"/>
      <c r="AU695" s="146"/>
    </row>
    <row r="696" spans="13:47" x14ac:dyDescent="0.25">
      <c r="M696" s="20"/>
      <c r="N696" s="20"/>
      <c r="O696" s="7" t="s">
        <v>190</v>
      </c>
      <c r="P696" s="1"/>
      <c r="Q696" s="7"/>
      <c r="R696" s="181">
        <f>R693-R694</f>
        <v>50.522450426010082</v>
      </c>
      <c r="S696" s="132"/>
      <c r="T696" s="146"/>
      <c r="U696" s="138">
        <f>U693-U694</f>
        <v>50.303507285641373</v>
      </c>
      <c r="V696" s="132"/>
      <c r="W696" s="146"/>
      <c r="X696" s="138">
        <f>X693-X694</f>
        <v>49.181603971818078</v>
      </c>
      <c r="Y696" s="132"/>
      <c r="Z696" s="146"/>
      <c r="AA696" s="138">
        <f>AA693-AA694</f>
        <v>45.434728767217337</v>
      </c>
      <c r="AB696" s="132"/>
      <c r="AC696" s="146"/>
      <c r="AD696" s="138">
        <f>AD693-AD694</f>
        <v>36.760537175899316</v>
      </c>
      <c r="AE696" s="132"/>
      <c r="AF696" s="146"/>
      <c r="AG696" s="138">
        <f>AG693-AG694</f>
        <v>23.449383849378492</v>
      </c>
      <c r="AH696" s="132"/>
      <c r="AI696" s="146"/>
      <c r="AJ696" s="138">
        <f>AJ693-AJ694</f>
        <v>6.8743405901401715</v>
      </c>
      <c r="AK696" s="132"/>
      <c r="AL696" s="146"/>
      <c r="AM696" s="138">
        <f>AM693-AM694</f>
        <v>-9.4912374248890572</v>
      </c>
      <c r="AN696" s="132"/>
      <c r="AO696" s="146"/>
      <c r="AP696" s="138">
        <f>AP693-AP694</f>
        <v>-24.177620944711407</v>
      </c>
      <c r="AQ696" s="132"/>
      <c r="AR696" s="146"/>
      <c r="AS696" s="138">
        <f>AS693-AS694</f>
        <v>-42.45799543421883</v>
      </c>
      <c r="AT696" s="132"/>
      <c r="AU696" s="146"/>
    </row>
    <row r="697" spans="13:47" ht="14.5" x14ac:dyDescent="0.35">
      <c r="M697" s="27"/>
      <c r="N697" s="27"/>
      <c r="O697" s="2" t="s">
        <v>191</v>
      </c>
      <c r="P697" s="10"/>
      <c r="Q697" s="2"/>
      <c r="R697" s="181">
        <f>R696/R693</f>
        <v>0.50259867533966773</v>
      </c>
      <c r="S697" s="132"/>
      <c r="T697" s="146"/>
      <c r="U697" s="138">
        <f>U696/U693</f>
        <v>0.50151294453132655</v>
      </c>
      <c r="V697" s="132"/>
      <c r="W697" s="146"/>
      <c r="X697" s="138">
        <f>X696/X693</f>
        <v>0.49587425492526588</v>
      </c>
      <c r="Y697" s="132"/>
      <c r="Z697" s="146"/>
      <c r="AA697" s="138">
        <f>AA696/AA693</f>
        <v>0.47608170897662322</v>
      </c>
      <c r="AB697" s="132"/>
      <c r="AC697" s="146"/>
      <c r="AD697" s="138">
        <f>AD696/AD693</f>
        <v>0.42370112464115545</v>
      </c>
      <c r="AE697" s="132"/>
      <c r="AF697" s="146"/>
      <c r="AG697" s="138">
        <f>AG696/AG693</f>
        <v>0.31925909545362258</v>
      </c>
      <c r="AH697" s="132"/>
      <c r="AI697" s="146"/>
      <c r="AJ697" s="138">
        <f>AJ696/AJ693</f>
        <v>0.12086892821631973</v>
      </c>
      <c r="AK697" s="132"/>
      <c r="AL697" s="146"/>
      <c r="AM697" s="138">
        <f>AM696/AM693</f>
        <v>-0.23430084805208501</v>
      </c>
      <c r="AN697" s="132"/>
      <c r="AO697" s="146"/>
      <c r="AP697" s="138">
        <f>AP696/AP693</f>
        <v>-0.93630493506986423</v>
      </c>
      <c r="AQ697" s="132"/>
      <c r="AR697" s="146"/>
      <c r="AS697" s="138">
        <f>AS696/AS693</f>
        <v>-5.6295372223526634</v>
      </c>
      <c r="AT697" s="132"/>
      <c r="AU697" s="146"/>
    </row>
    <row r="698" spans="13:47" x14ac:dyDescent="0.25">
      <c r="M698" s="27"/>
      <c r="N698" s="27"/>
      <c r="O698" s="2" t="s">
        <v>26</v>
      </c>
      <c r="P698" s="7">
        <v>12</v>
      </c>
      <c r="Q698" s="2"/>
      <c r="R698" s="181">
        <f>1-R697/(3*F_GAMMA*R$29)</f>
        <v>0.73824085054021649</v>
      </c>
      <c r="S698" s="133"/>
      <c r="T698" s="146"/>
      <c r="U698" s="138">
        <f>1-U697/(3*F_GAMMA*U$29)</f>
        <v>0.73886381993263917</v>
      </c>
      <c r="V698" s="133"/>
      <c r="W698" s="146"/>
      <c r="X698" s="138">
        <f>1-X697/(3*F_GAMMA*X$29)</f>
        <v>0.7379264545949632</v>
      </c>
      <c r="Y698" s="133"/>
      <c r="Z698" s="146"/>
      <c r="AA698" s="138">
        <f>1-AA697/(3*F_GAMMA*AA$29)</f>
        <v>0.74493701012540181</v>
      </c>
      <c r="AB698" s="133"/>
      <c r="AC698" s="146"/>
      <c r="AD698" s="138">
        <f>1-AD697/(3*F_GAMMA*AD$29)</f>
        <v>0.76677629865774444</v>
      </c>
      <c r="AE698" s="133"/>
      <c r="AF698" s="146"/>
      <c r="AG698" s="138">
        <f>1-AG697/(3*F_GAMMA*AG$29)</f>
        <v>0.81424161941479156</v>
      </c>
      <c r="AH698" s="133"/>
      <c r="AI698" s="146"/>
      <c r="AJ698" s="138">
        <f>1-AJ697/(3*F_GAMMA*AJ$29)</f>
        <v>0.92481987884617567</v>
      </c>
      <c r="AK698" s="133"/>
      <c r="AL698" s="146"/>
      <c r="AM698" s="138">
        <f>1-AM697/(3*F_GAMMA*AM$29)</f>
        <v>1.1592297004692311</v>
      </c>
      <c r="AN698" s="133"/>
      <c r="AO698" s="146"/>
      <c r="AP698" s="138">
        <f>1-AP697/(3*F_GAMMA*AP$29)</f>
        <v>1.5258398991863253</v>
      </c>
      <c r="AQ698" s="133"/>
      <c r="AR698" s="146"/>
      <c r="AS698" s="138">
        <f>1-AS697/(3*F_GAMMA*AS$29)</f>
        <v>5.7996055773893627</v>
      </c>
      <c r="AT698" s="133"/>
      <c r="AU698" s="146"/>
    </row>
    <row r="699" spans="13:47" x14ac:dyDescent="0.25">
      <c r="M699" s="27"/>
      <c r="N699" s="27"/>
      <c r="O699" s="2" t="s">
        <v>71</v>
      </c>
      <c r="P699" s="85">
        <v>5</v>
      </c>
      <c r="Q699" s="2"/>
      <c r="R699" s="179">
        <f>R691/((N_6*R$27*R698)*SQRT(R697*R693*R695))</f>
        <v>0.1255723043884876</v>
      </c>
      <c r="S699" s="133"/>
      <c r="T699" s="146"/>
      <c r="U699" s="143">
        <f>U691/((N_6*U$27*U698)*SQRT(U697*U693*U695))</f>
        <v>3.2161971143623087</v>
      </c>
      <c r="V699" s="133"/>
      <c r="W699" s="146"/>
      <c r="X699" s="143">
        <f>X691/((N_6*X$27*X698)*SQRT(X697*X693*X695))</f>
        <v>8.1178440012810498</v>
      </c>
      <c r="Y699" s="133"/>
      <c r="Z699" s="146"/>
      <c r="AA699" s="143">
        <f>AA691/((N_6*AA$27*AA698)*SQRT(AA697*AA693*AA695))</f>
        <v>16.708080983482883</v>
      </c>
      <c r="AB699" s="133"/>
      <c r="AC699" s="146"/>
      <c r="AD699" s="143">
        <f>AD691/((N_6*AD$27*AD698)*SQRT(AD697*AD693*AD695))</f>
        <v>31.498216462945173</v>
      </c>
      <c r="AE699" s="133"/>
      <c r="AF699" s="146"/>
      <c r="AG699" s="143">
        <f>AG691/((N_6*AG$27*AG698)*SQRT(AG697*AG693*AG695))</f>
        <v>57.83503743114035</v>
      </c>
      <c r="AH699" s="133"/>
      <c r="AI699" s="146"/>
      <c r="AJ699" s="143">
        <f>AJ691/((N_6*AJ$27*AJ698)*SQRT(AJ697*AJ693*AJ695))</f>
        <v>140.36078710488806</v>
      </c>
      <c r="AK699" s="133"/>
      <c r="AL699" s="146"/>
      <c r="AM699" s="143" t="e">
        <f>AM691/((N_6*AM$27*AM698)*SQRT(AM697*AM693*AM695))</f>
        <v>#NUM!</v>
      </c>
      <c r="AN699" s="133"/>
      <c r="AO699" s="146"/>
      <c r="AP699" s="143" t="e">
        <f>AP691/((N_6*AP$27*AP698)*SQRT(AP697*AP693*AP695))</f>
        <v>#NUM!</v>
      </c>
      <c r="AQ699" s="133"/>
      <c r="AR699" s="146"/>
      <c r="AS699" s="143" t="e">
        <f>AS691/((N_6*AS$27*AS698)*SQRT(AS697*AS693*AS695))</f>
        <v>#NUM!</v>
      </c>
      <c r="AT699" s="133"/>
      <c r="AU699" s="146"/>
    </row>
    <row r="700" spans="13:47" x14ac:dyDescent="0.25">
      <c r="M700" s="27"/>
      <c r="N700" s="27"/>
      <c r="O700" s="2" t="s">
        <v>73</v>
      </c>
      <c r="P700" s="85">
        <v>5</v>
      </c>
      <c r="Q700" s="2"/>
      <c r="R700" s="179">
        <f>R691/((N_6*R$27*0.667)*SQRT(R701*R693*R695))</f>
        <v>0.12316226472144678</v>
      </c>
      <c r="S700" s="133"/>
      <c r="T700" s="155"/>
      <c r="U700" s="143">
        <f>U691/((N_6*U$27*0.667)*SQRT(U701*U693*U695))</f>
        <v>3.1533732250115545</v>
      </c>
      <c r="V700" s="133"/>
      <c r="W700" s="155"/>
      <c r="X700" s="143">
        <f>X691/((N_6*X$27*0.667)*SQRT(X701*X693*X695))</f>
        <v>7.9634299985735142</v>
      </c>
      <c r="Y700" s="133"/>
      <c r="Z700" s="155"/>
      <c r="AA700" s="143">
        <f>AA691/((N_6*AA$27*0.667)*SQRT(AA701*AA693*AA695))</f>
        <v>16.323175112287512</v>
      </c>
      <c r="AB700" s="133"/>
      <c r="AC700" s="155"/>
      <c r="AD700" s="143">
        <f>AD691/((N_6*AD$27*0.667)*SQRT(AD701*AD693*AD695))</f>
        <v>30.28836139933621</v>
      </c>
      <c r="AE700" s="133"/>
      <c r="AF700" s="155"/>
      <c r="AG700" s="143">
        <f>AG691/((N_6*AG$27*0.667)*SQRT(AG701*AG693*AG695))</f>
        <v>52.705182303963973</v>
      </c>
      <c r="AH700" s="133"/>
      <c r="AI700" s="155"/>
      <c r="AJ700" s="143">
        <f>AJ691/((N_6*AJ$27*0.667)*SQRT(AJ701*AJ693*AJ695))</f>
        <v>92.424956594154992</v>
      </c>
      <c r="AK700" s="133"/>
      <c r="AL700" s="155"/>
      <c r="AM700" s="143">
        <f>AM691/((N_6*AM$27*0.667)*SQRT(AM701*AM693*AM695))</f>
        <v>168.8160797208885</v>
      </c>
      <c r="AN700" s="133"/>
      <c r="AO700" s="155"/>
      <c r="AP700" s="143">
        <f>AP691/((N_6*AP$27*0.667)*SQRT(AP701*AP693*AP695))</f>
        <v>305.1046124028731</v>
      </c>
      <c r="AQ700" s="133"/>
      <c r="AR700" s="155"/>
      <c r="AS700" s="143">
        <f>AS691/((N_6*AS$27*0.667)*SQRT(AS701*AS693*AS695))</f>
        <v>1886.8139553834085</v>
      </c>
      <c r="AT700" s="133"/>
      <c r="AU700" s="155"/>
    </row>
    <row r="701" spans="13:47" ht="15.5" x14ac:dyDescent="0.4">
      <c r="M701" s="27"/>
      <c r="N701" s="27"/>
      <c r="O701" s="2" t="s">
        <v>192</v>
      </c>
      <c r="P701" s="85">
        <v>10</v>
      </c>
      <c r="Q701" s="2"/>
      <c r="R701" s="181">
        <f>F_GAMMA*R$29</f>
        <v>0.64002688015162901</v>
      </c>
      <c r="S701" s="133"/>
      <c r="T701" s="155"/>
      <c r="U701" s="138">
        <f>F_GAMMA*U$29</f>
        <v>0.64016782916606918</v>
      </c>
      <c r="V701" s="133"/>
      <c r="W701" s="155"/>
      <c r="X701" s="138">
        <f>F_GAMMA*X$29</f>
        <v>0.6307062319203669</v>
      </c>
      <c r="Y701" s="133"/>
      <c r="Z701" s="155"/>
      <c r="AA701" s="138">
        <f>F_GAMMA*AA$29</f>
        <v>0.62217534213893466</v>
      </c>
      <c r="AB701" s="133"/>
      <c r="AC701" s="155"/>
      <c r="AD701" s="138">
        <f>F_GAMMA*AD$29</f>
        <v>0.60557184969146072</v>
      </c>
      <c r="AE701" s="133"/>
      <c r="AF701" s="155"/>
      <c r="AG701" s="138">
        <f>F_GAMMA*AG$29</f>
        <v>0.57289312142622573</v>
      </c>
      <c r="AH701" s="133"/>
      <c r="AI701" s="155"/>
      <c r="AJ701" s="138">
        <f>F_GAMMA*AJ$29</f>
        <v>0.53590819116049981</v>
      </c>
      <c r="AK701" s="133"/>
      <c r="AL701" s="155"/>
      <c r="AM701" s="138">
        <f>F_GAMMA*AM$29</f>
        <v>0.49048815926850342</v>
      </c>
      <c r="AN701" s="133"/>
      <c r="AO701" s="155"/>
      <c r="AP701" s="138">
        <f>F_GAMMA*AP$29</f>
        <v>0.59352979016280105</v>
      </c>
      <c r="AQ701" s="133"/>
      <c r="AR701" s="155"/>
      <c r="AS701" s="138">
        <f>F_GAMMA*AS$29</f>
        <v>0.39097221161068291</v>
      </c>
      <c r="AT701" s="133"/>
      <c r="AU701" s="155"/>
    </row>
    <row r="702" spans="13:47" x14ac:dyDescent="0.25">
      <c r="M702" s="27"/>
      <c r="N702" s="27"/>
      <c r="O702" s="2" t="s">
        <v>193</v>
      </c>
      <c r="P702" s="134"/>
      <c r="Q702" s="2"/>
      <c r="R702" s="181">
        <f>IF(R697&lt;R701,R699,R700)</f>
        <v>0.1255723043884876</v>
      </c>
      <c r="S702" s="133"/>
      <c r="T702" s="155"/>
      <c r="U702" s="138">
        <f>IF(U697&lt;U701,U699,U700)</f>
        <v>3.2161971143623087</v>
      </c>
      <c r="V702" s="133"/>
      <c r="W702" s="155"/>
      <c r="X702" s="138">
        <f>IF(X697&lt;X701,X699,X700)</f>
        <v>8.1178440012810498</v>
      </c>
      <c r="Y702" s="133"/>
      <c r="Z702" s="155"/>
      <c r="AA702" s="138">
        <f>IF(AA697&lt;AA701,AA699,AA700)</f>
        <v>16.708080983482883</v>
      </c>
      <c r="AB702" s="133"/>
      <c r="AC702" s="155"/>
      <c r="AD702" s="138">
        <f>IF(AD697&lt;AD701,AD699,AD700)</f>
        <v>31.498216462945173</v>
      </c>
      <c r="AE702" s="133"/>
      <c r="AF702" s="155"/>
      <c r="AG702" s="138">
        <f>IF(AG697&lt;AG701,AG699,AG700)</f>
        <v>57.83503743114035</v>
      </c>
      <c r="AH702" s="133"/>
      <c r="AI702" s="155"/>
      <c r="AJ702" s="138">
        <f>IF(AJ697&lt;AJ701,AJ699,AJ700)</f>
        <v>140.36078710488806</v>
      </c>
      <c r="AK702" s="133"/>
      <c r="AL702" s="155"/>
      <c r="AM702" s="138" t="e">
        <f>IF(AM697&lt;AM701,AM699,AM700)</f>
        <v>#NUM!</v>
      </c>
      <c r="AN702" s="133"/>
      <c r="AO702" s="155"/>
      <c r="AP702" s="138" t="e">
        <f>IF(AP697&lt;AP701,AP699,AP700)</f>
        <v>#NUM!</v>
      </c>
      <c r="AQ702" s="133"/>
      <c r="AR702" s="155"/>
      <c r="AS702" s="138" t="e">
        <f>IF(AS697&lt;AS701,AS699,AS700)</f>
        <v>#NUM!</v>
      </c>
      <c r="AT702" s="133"/>
      <c r="AU702" s="155"/>
    </row>
    <row r="703" spans="13:47" ht="13" x14ac:dyDescent="0.3">
      <c r="M703" s="28"/>
      <c r="N703" s="28"/>
      <c r="O703" s="9" t="s">
        <v>194</v>
      </c>
      <c r="P703" s="1"/>
      <c r="Q703" s="1"/>
      <c r="R703" s="135"/>
      <c r="S703" s="132">
        <f>IF(R696&lt;=0,W_max,ABS(R$23-R702))</f>
        <v>1.8744276956115125</v>
      </c>
      <c r="T703" s="151">
        <f>R691</f>
        <v>29.0411332489887</v>
      </c>
      <c r="U703" s="135"/>
      <c r="V703" s="132">
        <f>IF(U696&lt;=0,W_max,ABS(U$23-U702))</f>
        <v>1.7838028856376913</v>
      </c>
      <c r="W703" s="151">
        <f>U691</f>
        <v>741.5529619766985</v>
      </c>
      <c r="X703" s="135"/>
      <c r="Y703" s="132">
        <f>IF(X696&lt;=0,W_max,ABS(X$23-X702))</f>
        <v>1.8821559987189502</v>
      </c>
      <c r="Z703" s="151">
        <f>X691</f>
        <v>1833.9487208052931</v>
      </c>
      <c r="AA703" s="135"/>
      <c r="AB703" s="132">
        <f>IF(AA696&lt;=0,W_max,ABS(AA$23-AA702))</f>
        <v>0.49191901651711589</v>
      </c>
      <c r="AC703" s="151">
        <f>AA691</f>
        <v>3572.0640011294149</v>
      </c>
      <c r="AD703" s="135"/>
      <c r="AE703" s="132">
        <f>IF(AD696&lt;=0,W_max,ABS(AD$23-AD702))</f>
        <v>4.8982164629451717</v>
      </c>
      <c r="AF703" s="151">
        <f>AD691</f>
        <v>5874.7301259204196</v>
      </c>
      <c r="AG703" s="135"/>
      <c r="AH703" s="132">
        <f>IF(AG696&lt;=0,W_max,ABS(AG$23-AG702))</f>
        <v>19.435037431140351</v>
      </c>
      <c r="AI703" s="151">
        <f>AG691</f>
        <v>8239.7612745730548</v>
      </c>
      <c r="AJ703" s="135"/>
      <c r="AK703" s="132">
        <f>IF(AJ696&lt;=0,W_max,ABS(AJ$23-AJ702))</f>
        <v>87.860787104888061</v>
      </c>
      <c r="AL703" s="151">
        <f>AJ691</f>
        <v>10462.310385956898</v>
      </c>
      <c r="AM703" s="135"/>
      <c r="AN703" s="132">
        <f>IF(AM696&lt;=0,W_max,ABS(AM$23-AM702))</f>
        <v>7174</v>
      </c>
      <c r="AO703" s="151">
        <f>AM691</f>
        <v>12267.881735136478</v>
      </c>
      <c r="AP703" s="135"/>
      <c r="AQ703" s="132">
        <f>IF(AP696&lt;=0,W_max,ABS(AP$23-AP702))</f>
        <v>7174</v>
      </c>
      <c r="AR703" s="151">
        <f>AP691</f>
        <v>13686.88733252535</v>
      </c>
      <c r="AS703" s="135"/>
      <c r="AT703" s="132">
        <f>IF(AS696&lt;=0,W_max,ABS(AS$23-AS702))</f>
        <v>7174</v>
      </c>
      <c r="AU703" s="151">
        <f>AS691</f>
        <v>15270.026961273021</v>
      </c>
    </row>
    <row r="704" spans="13:47" ht="13" x14ac:dyDescent="0.25">
      <c r="M704" s="12"/>
      <c r="N704" s="12"/>
      <c r="O704" s="2"/>
      <c r="P704" s="85"/>
      <c r="Q704" s="2"/>
      <c r="R704" s="18"/>
      <c r="S704" s="150"/>
      <c r="T704" s="148"/>
      <c r="U704" s="157"/>
      <c r="V704" s="1"/>
      <c r="W704" s="147"/>
      <c r="X704" s="157"/>
      <c r="Y704" s="1"/>
      <c r="Z704" s="147"/>
      <c r="AA704" s="157"/>
      <c r="AB704" s="1"/>
      <c r="AC704" s="147"/>
      <c r="AD704" s="157"/>
      <c r="AE704" s="1"/>
      <c r="AF704" s="147"/>
      <c r="AG704" s="157"/>
      <c r="AH704" s="1"/>
      <c r="AI704" s="147"/>
      <c r="AJ704" s="157"/>
      <c r="AK704" s="1"/>
      <c r="AL704" s="147"/>
      <c r="AM704" s="157"/>
      <c r="AN704" s="1"/>
      <c r="AO704" s="147"/>
      <c r="AP704" s="157"/>
      <c r="AQ704" s="1"/>
      <c r="AR704" s="147"/>
      <c r="AS704" s="157"/>
      <c r="AT704" s="1"/>
      <c r="AU704" s="147"/>
    </row>
    <row r="705" spans="13:47" ht="14" x14ac:dyDescent="0.3">
      <c r="M705" s="23"/>
      <c r="N705" s="23"/>
      <c r="O705" s="23" t="s">
        <v>238</v>
      </c>
      <c r="P705" s="20"/>
      <c r="Q705" s="20"/>
      <c r="R705" s="181">
        <f>R691*1.02</f>
        <v>29.621955913968474</v>
      </c>
      <c r="S705" s="128" t="s">
        <v>185</v>
      </c>
      <c r="T705" s="149" t="s">
        <v>186</v>
      </c>
      <c r="U705" s="143">
        <f>U691*1.01</f>
        <v>748.96849159646547</v>
      </c>
      <c r="V705" s="128" t="s">
        <v>185</v>
      </c>
      <c r="W705" s="153" t="s">
        <v>186</v>
      </c>
      <c r="X705" s="143">
        <f>X691*1.01</f>
        <v>1852.2882080133461</v>
      </c>
      <c r="Y705" s="128" t="s">
        <v>185</v>
      </c>
      <c r="Z705" s="153" t="s">
        <v>186</v>
      </c>
      <c r="AA705" s="143">
        <f>AA691*1.01</f>
        <v>3607.784641140709</v>
      </c>
      <c r="AB705" s="128" t="s">
        <v>185</v>
      </c>
      <c r="AC705" s="153" t="s">
        <v>186</v>
      </c>
      <c r="AD705" s="143">
        <f>AD691*1.01</f>
        <v>5933.4774271796241</v>
      </c>
      <c r="AE705" s="128" t="s">
        <v>185</v>
      </c>
      <c r="AF705" s="153" t="s">
        <v>186</v>
      </c>
      <c r="AG705" s="143">
        <f>AG691*1.01</f>
        <v>8322.1588873187848</v>
      </c>
      <c r="AH705" s="128" t="s">
        <v>185</v>
      </c>
      <c r="AI705" s="153" t="s">
        <v>186</v>
      </c>
      <c r="AJ705" s="143">
        <f>AJ691*1.01</f>
        <v>10566.933489816467</v>
      </c>
      <c r="AK705" s="128" t="s">
        <v>185</v>
      </c>
      <c r="AL705" s="153" t="s">
        <v>186</v>
      </c>
      <c r="AM705" s="143">
        <f>AM691*1.01</f>
        <v>12390.560552487843</v>
      </c>
      <c r="AN705" s="128" t="s">
        <v>185</v>
      </c>
      <c r="AO705" s="153" t="s">
        <v>186</v>
      </c>
      <c r="AP705" s="143">
        <f>AP691*1.01</f>
        <v>13823.756205850603</v>
      </c>
      <c r="AQ705" s="128" t="s">
        <v>185</v>
      </c>
      <c r="AR705" s="153" t="s">
        <v>186</v>
      </c>
      <c r="AS705" s="143">
        <f>AS691*1.01</f>
        <v>15422.727230885752</v>
      </c>
      <c r="AT705" s="128" t="s">
        <v>185</v>
      </c>
      <c r="AU705" s="153" t="s">
        <v>186</v>
      </c>
    </row>
    <row r="706" spans="13:47" ht="14" x14ac:dyDescent="0.3">
      <c r="M706" s="12"/>
      <c r="N706" s="12"/>
      <c r="O706" s="20"/>
      <c r="P706" s="20"/>
      <c r="Q706" s="23"/>
      <c r="R706" s="139"/>
      <c r="S706" s="130" t="s">
        <v>228</v>
      </c>
      <c r="T706" s="131" t="s">
        <v>187</v>
      </c>
      <c r="U706" s="144"/>
      <c r="V706" s="130" t="s">
        <v>228</v>
      </c>
      <c r="W706" s="154" t="s">
        <v>187</v>
      </c>
      <c r="X706" s="144"/>
      <c r="Y706" s="130" t="s">
        <v>228</v>
      </c>
      <c r="Z706" s="154" t="s">
        <v>187</v>
      </c>
      <c r="AA706" s="144"/>
      <c r="AB706" s="130" t="s">
        <v>228</v>
      </c>
      <c r="AC706" s="154" t="s">
        <v>187</v>
      </c>
      <c r="AD706" s="144"/>
      <c r="AE706" s="130" t="s">
        <v>228</v>
      </c>
      <c r="AF706" s="154" t="s">
        <v>187</v>
      </c>
      <c r="AG706" s="144"/>
      <c r="AH706" s="130" t="s">
        <v>228</v>
      </c>
      <c r="AI706" s="154" t="s">
        <v>187</v>
      </c>
      <c r="AJ706" s="144"/>
      <c r="AK706" s="130" t="s">
        <v>228</v>
      </c>
      <c r="AL706" s="154" t="s">
        <v>187</v>
      </c>
      <c r="AM706" s="144"/>
      <c r="AN706" s="130" t="s">
        <v>228</v>
      </c>
      <c r="AO706" s="154" t="s">
        <v>187</v>
      </c>
      <c r="AP706" s="144"/>
      <c r="AQ706" s="130" t="s">
        <v>228</v>
      </c>
      <c r="AR706" s="154" t="s">
        <v>187</v>
      </c>
      <c r="AS706" s="144"/>
      <c r="AT706" s="130" t="s">
        <v>228</v>
      </c>
      <c r="AU706" s="154" t="s">
        <v>187</v>
      </c>
    </row>
    <row r="707" spans="13:47" x14ac:dyDescent="0.25">
      <c r="M707" s="20"/>
      <c r="N707" s="20"/>
      <c r="O707" s="7" t="s">
        <v>188</v>
      </c>
      <c r="P707" s="7"/>
      <c r="Q707" s="7"/>
      <c r="R707" s="181">
        <f>P_1_minW-(R705^2*R_up)+dpup_minQ</f>
        <v>100.52243683905712</v>
      </c>
      <c r="S707" s="132"/>
      <c r="T707" s="145"/>
      <c r="U707" s="138">
        <f>P_1_minW-(U705^2*R_up)+dpup_minQ</f>
        <v>100.29909976867455</v>
      </c>
      <c r="V707" s="132"/>
      <c r="W707" s="145"/>
      <c r="X707" s="138">
        <f>P_1_minW-(X705^2*R_up)+dpup_minQ</f>
        <v>99.154646198243412</v>
      </c>
      <c r="Y707" s="132"/>
      <c r="Z707" s="145"/>
      <c r="AA707" s="138">
        <f>P_1_minW-(AA705^2*R_up)+dpup_minQ</f>
        <v>95.332458802030203</v>
      </c>
      <c r="AB707" s="132"/>
      <c r="AC707" s="145"/>
      <c r="AD707" s="138">
        <f>P_1_minW-(AD705^2*R_up)+dpup_minQ</f>
        <v>86.483915959726673</v>
      </c>
      <c r="AE707" s="132"/>
      <c r="AF707" s="145"/>
      <c r="AG707" s="138">
        <f>P_1_minW-(AG705^2*R_up)+dpup_minQ</f>
        <v>72.905208451342801</v>
      </c>
      <c r="AH707" s="132"/>
      <c r="AI707" s="145"/>
      <c r="AJ707" s="138">
        <f>P_1_minW-(AJ705^2*R_up)+dpup_minQ</f>
        <v>55.997006822593782</v>
      </c>
      <c r="AK707" s="132"/>
      <c r="AL707" s="145"/>
      <c r="AM707" s="138">
        <f>P_1_minW-(AM705^2*R_up)+dpup_minQ</f>
        <v>39.30248068946247</v>
      </c>
      <c r="AN707" s="132"/>
      <c r="AO707" s="145"/>
      <c r="AP707" s="138">
        <f>P_1_minW-(AP705^2*R_up)+dpup_minQ</f>
        <v>24.320900860891697</v>
      </c>
      <c r="AQ707" s="132"/>
      <c r="AR707" s="145"/>
      <c r="AS707" s="138">
        <f>P_1_minW-(AS705^2*R_up)+dpup_minQ</f>
        <v>5.6730908441451495</v>
      </c>
      <c r="AT707" s="132"/>
      <c r="AU707" s="145"/>
    </row>
    <row r="708" spans="13:47" x14ac:dyDescent="0.25">
      <c r="M708" s="20"/>
      <c r="N708" s="20"/>
      <c r="O708" s="7" t="s">
        <v>189</v>
      </c>
      <c r="P708" s="1"/>
      <c r="Q708" s="7"/>
      <c r="R708" s="181">
        <f>P_2_minW+(R705^2*R_dn)-dpdn_minQ</f>
        <v>50</v>
      </c>
      <c r="S708" s="132"/>
      <c r="T708" s="146"/>
      <c r="U708" s="138">
        <f>P_2_minW+(U705^2*R_dn)-dpdn_minQ</f>
        <v>50</v>
      </c>
      <c r="V708" s="132"/>
      <c r="W708" s="146"/>
      <c r="X708" s="138">
        <f>P_2_minW+(X705^2*R_dn)-dpdn_minQ</f>
        <v>50</v>
      </c>
      <c r="Y708" s="132"/>
      <c r="Z708" s="146"/>
      <c r="AA708" s="138">
        <f>P_2_minW+(AA705^2*R_dn)-dpdn_minQ</f>
        <v>50</v>
      </c>
      <c r="AB708" s="132"/>
      <c r="AC708" s="146"/>
      <c r="AD708" s="138">
        <f>P_2_minW+(AD705^2*R_dn)-dpdn_minQ</f>
        <v>50</v>
      </c>
      <c r="AE708" s="132"/>
      <c r="AF708" s="146"/>
      <c r="AG708" s="138">
        <f>P_2_minW+(AG705^2*R_dn)-dpdn_minQ</f>
        <v>50</v>
      </c>
      <c r="AH708" s="132"/>
      <c r="AI708" s="146"/>
      <c r="AJ708" s="138">
        <f>P_2_minW+(AJ705^2*R_dn)-dpdn_minQ</f>
        <v>50</v>
      </c>
      <c r="AK708" s="132"/>
      <c r="AL708" s="146"/>
      <c r="AM708" s="138">
        <f>P_2_minW+(AM705^2*R_dn)-dpdn_minQ</f>
        <v>50</v>
      </c>
      <c r="AN708" s="132"/>
      <c r="AO708" s="146"/>
      <c r="AP708" s="138">
        <f>P_2_minW+(AP705^2*R_dn)-dpdn_minQ</f>
        <v>50</v>
      </c>
      <c r="AQ708" s="132"/>
      <c r="AR708" s="146"/>
      <c r="AS708" s="138">
        <f>P_2_minW+(AS705^2*R_dn)-dpdn_minQ</f>
        <v>50</v>
      </c>
      <c r="AT708" s="132"/>
      <c r="AU708" s="146"/>
    </row>
    <row r="709" spans="13:47" x14ac:dyDescent="0.25">
      <c r="M709" s="20"/>
      <c r="N709" s="20"/>
      <c r="O709" s="7" t="s">
        <v>234</v>
      </c>
      <c r="P709" s="1"/>
      <c r="Q709" s="7"/>
      <c r="R709" s="179">
        <f>'Valve Sizing'!G$8*R707/P_1_maxW</f>
        <v>0.48490233839482827</v>
      </c>
      <c r="S709" s="132"/>
      <c r="T709" s="146"/>
      <c r="U709" s="143">
        <f>'Valve Sizing'!$G$8*U707/P_1_maxW</f>
        <v>0.48382500013001728</v>
      </c>
      <c r="V709" s="132"/>
      <c r="W709" s="146"/>
      <c r="X709" s="143">
        <f>'Valve Sizing'!$G$8*X707/P_1_maxW</f>
        <v>0.47830435986365688</v>
      </c>
      <c r="Y709" s="132"/>
      <c r="Z709" s="146"/>
      <c r="AA709" s="143">
        <f>'Valve Sizing'!$G$8*AA707/P_1_maxW</f>
        <v>0.45986680836284705</v>
      </c>
      <c r="AB709" s="132"/>
      <c r="AC709" s="146"/>
      <c r="AD709" s="143">
        <f>'Valve Sizing'!$G$8*AD707/P_1_maxW</f>
        <v>0.41718301307752725</v>
      </c>
      <c r="AE709" s="132"/>
      <c r="AF709" s="146"/>
      <c r="AG709" s="143">
        <f>'Valve Sizing'!$G$8*AG707/P_1_maxW</f>
        <v>0.35168174559694759</v>
      </c>
      <c r="AH709" s="132"/>
      <c r="AI709" s="146"/>
      <c r="AJ709" s="143">
        <f>'Valve Sizing'!$G$8*AJ707/P_1_maxW</f>
        <v>0.27011959125961804</v>
      </c>
      <c r="AK709" s="132"/>
      <c r="AL709" s="146"/>
      <c r="AM709" s="143">
        <f>'Valve Sizing'!$G$8*AM707/P_1_maxW</f>
        <v>0.18958816947057103</v>
      </c>
      <c r="AN709" s="132"/>
      <c r="AO709" s="146"/>
      <c r="AP709" s="143">
        <f>'Valve Sizing'!$G$8*AP707/P_1_maxW</f>
        <v>0.11731969568343181</v>
      </c>
      <c r="AQ709" s="132"/>
      <c r="AR709" s="146"/>
      <c r="AS709" s="143">
        <f>'Valve Sizing'!$G$8*AS707/P_1_maxW</f>
        <v>2.7365980200585793E-2</v>
      </c>
      <c r="AT709" s="132"/>
      <c r="AU709" s="146"/>
    </row>
    <row r="710" spans="13:47" x14ac:dyDescent="0.25">
      <c r="M710" s="20"/>
      <c r="N710" s="20"/>
      <c r="O710" s="7" t="s">
        <v>190</v>
      </c>
      <c r="P710" s="1"/>
      <c r="Q710" s="7"/>
      <c r="R710" s="181">
        <f>R707-R708</f>
        <v>50.522436839057121</v>
      </c>
      <c r="S710" s="132"/>
      <c r="T710" s="146"/>
      <c r="U710" s="138">
        <f>U707-U708</f>
        <v>50.299099768674552</v>
      </c>
      <c r="V710" s="132"/>
      <c r="W710" s="146"/>
      <c r="X710" s="138">
        <f>X707-X708</f>
        <v>49.154646198243412</v>
      </c>
      <c r="Y710" s="132"/>
      <c r="Z710" s="146"/>
      <c r="AA710" s="138">
        <f>AA707-AA708</f>
        <v>45.332458802030203</v>
      </c>
      <c r="AB710" s="132"/>
      <c r="AC710" s="146"/>
      <c r="AD710" s="138">
        <f>AD707-AD708</f>
        <v>36.483915959726673</v>
      </c>
      <c r="AE710" s="132"/>
      <c r="AF710" s="146"/>
      <c r="AG710" s="138">
        <f>AG707-AG708</f>
        <v>22.905208451342801</v>
      </c>
      <c r="AH710" s="132"/>
      <c r="AI710" s="146"/>
      <c r="AJ710" s="138">
        <f>AJ707-AJ708</f>
        <v>5.9970068225937823</v>
      </c>
      <c r="AK710" s="132"/>
      <c r="AL710" s="146"/>
      <c r="AM710" s="138">
        <f>AM707-AM708</f>
        <v>-10.69751931053753</v>
      </c>
      <c r="AN710" s="132"/>
      <c r="AO710" s="146"/>
      <c r="AP710" s="138">
        <f>AP707-AP708</f>
        <v>-25.679099139108303</v>
      </c>
      <c r="AQ710" s="132"/>
      <c r="AR710" s="146"/>
      <c r="AS710" s="138">
        <f>AS707-AS708</f>
        <v>-44.32690915585485</v>
      </c>
      <c r="AT710" s="132"/>
      <c r="AU710" s="146"/>
    </row>
    <row r="711" spans="13:47" ht="14.5" x14ac:dyDescent="0.35">
      <c r="M711" s="27"/>
      <c r="N711" s="27"/>
      <c r="O711" s="2" t="s">
        <v>191</v>
      </c>
      <c r="P711" s="10"/>
      <c r="Q711" s="2"/>
      <c r="R711" s="181">
        <f>R710/R707</f>
        <v>0.5025986081092203</v>
      </c>
      <c r="S711" s="132"/>
      <c r="T711" s="146"/>
      <c r="U711" s="138">
        <f>U710/U707</f>
        <v>0.50149103914872806</v>
      </c>
      <c r="V711" s="132"/>
      <c r="W711" s="146"/>
      <c r="X711" s="138">
        <f>X710/X707</f>
        <v>0.49573719520885362</v>
      </c>
      <c r="Y711" s="132"/>
      <c r="Z711" s="146"/>
      <c r="AA711" s="138">
        <f>AA710/AA707</f>
        <v>0.4755196642537956</v>
      </c>
      <c r="AB711" s="132"/>
      <c r="AC711" s="146"/>
      <c r="AD711" s="138">
        <f>AD710/AD707</f>
        <v>0.42185781662241439</v>
      </c>
      <c r="AE711" s="132"/>
      <c r="AF711" s="146"/>
      <c r="AG711" s="138">
        <f>AG710/AG707</f>
        <v>0.31417794335818711</v>
      </c>
      <c r="AH711" s="132"/>
      <c r="AI711" s="146"/>
      <c r="AJ711" s="138">
        <f>AJ710/AJ707</f>
        <v>0.10709513173790029</v>
      </c>
      <c r="AK711" s="132"/>
      <c r="AL711" s="146"/>
      <c r="AM711" s="138">
        <f>AM710/AM707</f>
        <v>-0.27218432839038786</v>
      </c>
      <c r="AN711" s="132"/>
      <c r="AO711" s="146"/>
      <c r="AP711" s="138">
        <f>AP710/AP707</f>
        <v>-1.0558449000711403</v>
      </c>
      <c r="AQ711" s="132"/>
      <c r="AR711" s="146"/>
      <c r="AS711" s="138">
        <f>AS710/AS707</f>
        <v>-7.8135376946417043</v>
      </c>
      <c r="AT711" s="132"/>
      <c r="AU711" s="146"/>
    </row>
    <row r="712" spans="13:47" x14ac:dyDescent="0.25">
      <c r="M712" s="27"/>
      <c r="N712" s="27"/>
      <c r="O712" s="2" t="s">
        <v>26</v>
      </c>
      <c r="P712" s="7">
        <v>12</v>
      </c>
      <c r="Q712" s="2"/>
      <c r="R712" s="181">
        <f>1-R711/(3*F_GAMMA*R$29)</f>
        <v>0.73824088555460388</v>
      </c>
      <c r="S712" s="133"/>
      <c r="T712" s="146"/>
      <c r="U712" s="138">
        <f>1-U711/(3*F_GAMMA*U$29)</f>
        <v>0.73887522599502908</v>
      </c>
      <c r="V712" s="133"/>
      <c r="W712" s="146"/>
      <c r="X712" s="138">
        <f>1-X711/(3*F_GAMMA*X$29)</f>
        <v>0.73799889176115119</v>
      </c>
      <c r="Y712" s="133"/>
      <c r="Z712" s="146"/>
      <c r="AA712" s="138">
        <f>1-AA711/(3*F_GAMMA*AA$29)</f>
        <v>0.74523812819976731</v>
      </c>
      <c r="AB712" s="133"/>
      <c r="AC712" s="146"/>
      <c r="AD712" s="138">
        <f>1-AD711/(3*F_GAMMA*AD$29)</f>
        <v>0.76779093632057527</v>
      </c>
      <c r="AE712" s="133"/>
      <c r="AF712" s="146"/>
      <c r="AG712" s="138">
        <f>1-AG711/(3*F_GAMMA*AG$29)</f>
        <v>0.81719804758926262</v>
      </c>
      <c r="AH712" s="133"/>
      <c r="AI712" s="146"/>
      <c r="AJ712" s="138">
        <f>1-AJ711/(3*F_GAMMA*AJ$29)</f>
        <v>0.9333871401206566</v>
      </c>
      <c r="AK712" s="133"/>
      <c r="AL712" s="146"/>
      <c r="AM712" s="138">
        <f>1-AM711/(3*F_GAMMA*AM$29)</f>
        <v>1.1849751268180893</v>
      </c>
      <c r="AN712" s="133"/>
      <c r="AO712" s="146"/>
      <c r="AP712" s="138">
        <f>1-AP711/(3*F_GAMMA*AP$29)</f>
        <v>1.5929749540072393</v>
      </c>
      <c r="AQ712" s="133"/>
      <c r="AR712" s="146"/>
      <c r="AS712" s="138">
        <f>1-AS711/(3*F_GAMMA*AS$29)</f>
        <v>7.6616308973745042</v>
      </c>
      <c r="AT712" s="133"/>
      <c r="AU712" s="146"/>
    </row>
    <row r="713" spans="13:47" x14ac:dyDescent="0.25">
      <c r="M713" s="27"/>
      <c r="N713" s="27"/>
      <c r="O713" s="2" t="s">
        <v>71</v>
      </c>
      <c r="P713" s="85">
        <v>5</v>
      </c>
      <c r="Q713" s="2"/>
      <c r="R713" s="179">
        <f>R705/((N_6*R$27*R712)*SQRT(R711*R707*R709))</f>
        <v>0.12808377028014906</v>
      </c>
      <c r="S713" s="133"/>
      <c r="T713" s="146"/>
      <c r="U713" s="143">
        <f>U705/((N_6*U$27*U712)*SQRT(U711*U707*U709))</f>
        <v>3.2485226294435137</v>
      </c>
      <c r="V713" s="133"/>
      <c r="W713" s="146"/>
      <c r="X713" s="143">
        <f>X705/((N_6*X$27*X712)*SQRT(X711*X707*X709))</f>
        <v>8.2015801149787855</v>
      </c>
      <c r="Y713" s="133"/>
      <c r="Z713" s="146"/>
      <c r="AA713" s="143">
        <f>AA705/((N_6*AA$27*AA712)*SQRT(AA711*AA707*AA709))</f>
        <v>16.896415753197861</v>
      </c>
      <c r="AB713" s="133"/>
      <c r="AC713" s="146"/>
      <c r="AD713" s="143">
        <f>AD705/((N_6*AD$27*AD712)*SQRT(AD711*AD707*AD709))</f>
        <v>31.942336500456644</v>
      </c>
      <c r="AE713" s="133"/>
      <c r="AF713" s="146"/>
      <c r="AG713" s="143">
        <f>AG705/((N_6*AG$27*AG712)*SQRT(AG711*AG707*AG709))</f>
        <v>59.108748717615079</v>
      </c>
      <c r="AH713" s="133"/>
      <c r="AI713" s="146"/>
      <c r="AJ713" s="143">
        <f>AJ705/((N_6*AJ$27*AJ712)*SQRT(AJ711*AJ707*AJ709))</f>
        <v>151.56067950294565</v>
      </c>
      <c r="AK713" s="133"/>
      <c r="AL713" s="146"/>
      <c r="AM713" s="143" t="e">
        <f>AM705/((N_6*AM$27*AM712)*SQRT(AM711*AM707*AM709))</f>
        <v>#NUM!</v>
      </c>
      <c r="AN713" s="133"/>
      <c r="AO713" s="146"/>
      <c r="AP713" s="143" t="e">
        <f>AP705/((N_6*AP$27*AP712)*SQRT(AP711*AP707*AP709))</f>
        <v>#NUM!</v>
      </c>
      <c r="AQ713" s="133"/>
      <c r="AR713" s="146"/>
      <c r="AS713" s="143" t="e">
        <f>AS705/((N_6*AS$27*AS712)*SQRT(AS711*AS707*AS709))</f>
        <v>#NUM!</v>
      </c>
      <c r="AT713" s="133"/>
      <c r="AU713" s="146"/>
    </row>
    <row r="714" spans="13:47" x14ac:dyDescent="0.25">
      <c r="M714" s="27"/>
      <c r="N714" s="27"/>
      <c r="O714" s="2" t="s">
        <v>73</v>
      </c>
      <c r="P714" s="85">
        <v>5</v>
      </c>
      <c r="Q714" s="2"/>
      <c r="R714" s="179">
        <f>R705/((N_6*R$27*0.667)*SQRT(R715*R707*R709))</f>
        <v>0.12562552699584506</v>
      </c>
      <c r="S714" s="133"/>
      <c r="T714" s="147"/>
      <c r="U714" s="143">
        <f>U705/((N_6*U$27*0.667)*SQRT(U715*U707*U709))</f>
        <v>3.1850469139660103</v>
      </c>
      <c r="V714" s="133"/>
      <c r="W714" s="155"/>
      <c r="X714" s="143">
        <f>X705/((N_6*X$27*0.667)*SQRT(X715*X707*X709))</f>
        <v>8.0452510151128394</v>
      </c>
      <c r="Y714" s="133"/>
      <c r="Z714" s="155"/>
      <c r="AA714" s="143">
        <f>AA705/((N_6*AA$27*0.667)*SQRT(AA715*AA707*AA709))</f>
        <v>16.504093014351724</v>
      </c>
      <c r="AB714" s="133"/>
      <c r="AC714" s="155"/>
      <c r="AD714" s="143">
        <f>AD705/((N_6*AD$27*0.667)*SQRT(AD715*AD707*AD709))</f>
        <v>30.68909196331925</v>
      </c>
      <c r="AE714" s="133"/>
      <c r="AF714" s="155"/>
      <c r="AG714" s="143">
        <f>AG705/((N_6*AG$27*0.667)*SQRT(AG715*AG707*AG709))</f>
        <v>53.629567497413284</v>
      </c>
      <c r="AH714" s="133"/>
      <c r="AI714" s="155"/>
      <c r="AJ714" s="143">
        <f>AJ705/((N_6*AJ$27*0.667)*SQRT(AJ715*AJ707*AJ709))</f>
        <v>94.811755953112581</v>
      </c>
      <c r="AK714" s="133"/>
      <c r="AL714" s="155"/>
      <c r="AM714" s="143">
        <f>AM705/((N_6*AM$27*0.667)*SQRT(AM715*AM707*AM709))</f>
        <v>175.73740069412605</v>
      </c>
      <c r="AN714" s="133"/>
      <c r="AO714" s="155"/>
      <c r="AP714" s="143">
        <f>AP705/((N_6*AP$27*0.667)*SQRT(AP715*AP707*AP709))</f>
        <v>327.17999501857207</v>
      </c>
      <c r="AQ714" s="133"/>
      <c r="AR714" s="155"/>
      <c r="AS714" s="143">
        <f>AS705/((N_6*AS$27*0.667)*SQRT(AS715*AS707*AS709))</f>
        <v>2533.4801532003057</v>
      </c>
      <c r="AT714" s="133"/>
      <c r="AU714" s="155"/>
    </row>
    <row r="715" spans="13:47" ht="15.5" x14ac:dyDescent="0.4">
      <c r="M715" s="27"/>
      <c r="N715" s="27"/>
      <c r="O715" s="2" t="s">
        <v>192</v>
      </c>
      <c r="P715" s="85">
        <v>10</v>
      </c>
      <c r="Q715" s="2"/>
      <c r="R715" s="181">
        <f>F_GAMMA*R$29</f>
        <v>0.64002688015162901</v>
      </c>
      <c r="S715" s="133"/>
      <c r="T715" s="147"/>
      <c r="U715" s="138">
        <f>F_GAMMA*U$29</f>
        <v>0.64016782916606918</v>
      </c>
      <c r="V715" s="133"/>
      <c r="W715" s="155"/>
      <c r="X715" s="138">
        <f>F_GAMMA*X$29</f>
        <v>0.6307062319203669</v>
      </c>
      <c r="Y715" s="133"/>
      <c r="Z715" s="155"/>
      <c r="AA715" s="138">
        <f>F_GAMMA*AA$29</f>
        <v>0.62217534213893466</v>
      </c>
      <c r="AB715" s="133"/>
      <c r="AC715" s="155"/>
      <c r="AD715" s="138">
        <f>F_GAMMA*AD$29</f>
        <v>0.60557184969146072</v>
      </c>
      <c r="AE715" s="133"/>
      <c r="AF715" s="155"/>
      <c r="AG715" s="138">
        <f>F_GAMMA*AG$29</f>
        <v>0.57289312142622573</v>
      </c>
      <c r="AH715" s="133"/>
      <c r="AI715" s="155"/>
      <c r="AJ715" s="138">
        <f>F_GAMMA*AJ$29</f>
        <v>0.53590819116049981</v>
      </c>
      <c r="AK715" s="133"/>
      <c r="AL715" s="155"/>
      <c r="AM715" s="138">
        <f>F_GAMMA*AM$29</f>
        <v>0.49048815926850342</v>
      </c>
      <c r="AN715" s="133"/>
      <c r="AO715" s="155"/>
      <c r="AP715" s="138">
        <f>F_GAMMA*AP$29</f>
        <v>0.59352979016280105</v>
      </c>
      <c r="AQ715" s="133"/>
      <c r="AR715" s="155"/>
      <c r="AS715" s="138">
        <f>F_GAMMA*AS$29</f>
        <v>0.39097221161068291</v>
      </c>
      <c r="AT715" s="133"/>
      <c r="AU715" s="155"/>
    </row>
    <row r="716" spans="13:47" x14ac:dyDescent="0.25">
      <c r="M716" s="27"/>
      <c r="N716" s="27"/>
      <c r="O716" s="2" t="s">
        <v>193</v>
      </c>
      <c r="P716" s="134"/>
      <c r="Q716" s="2"/>
      <c r="R716" s="181">
        <f>IF(R711&lt;R715,R713,R714)</f>
        <v>0.12808377028014906</v>
      </c>
      <c r="S716" s="133"/>
      <c r="T716" s="147"/>
      <c r="U716" s="138">
        <f>IF(U711&lt;U715,U713,U714)</f>
        <v>3.2485226294435137</v>
      </c>
      <c r="V716" s="133"/>
      <c r="W716" s="155"/>
      <c r="X716" s="138">
        <f>IF(X711&lt;X715,X713,X714)</f>
        <v>8.2015801149787855</v>
      </c>
      <c r="Y716" s="133"/>
      <c r="Z716" s="155"/>
      <c r="AA716" s="138">
        <f>IF(AA711&lt;AA715,AA713,AA714)</f>
        <v>16.896415753197861</v>
      </c>
      <c r="AB716" s="133"/>
      <c r="AC716" s="155"/>
      <c r="AD716" s="138">
        <f>IF(AD711&lt;AD715,AD713,AD714)</f>
        <v>31.942336500456644</v>
      </c>
      <c r="AE716" s="133"/>
      <c r="AF716" s="155"/>
      <c r="AG716" s="138">
        <f>IF(AG711&lt;AG715,AG713,AG714)</f>
        <v>59.108748717615079</v>
      </c>
      <c r="AH716" s="133"/>
      <c r="AI716" s="155"/>
      <c r="AJ716" s="138">
        <f>IF(AJ711&lt;AJ715,AJ713,AJ714)</f>
        <v>151.56067950294565</v>
      </c>
      <c r="AK716" s="133"/>
      <c r="AL716" s="155"/>
      <c r="AM716" s="138" t="e">
        <f>IF(AM711&lt;AM715,AM713,AM714)</f>
        <v>#NUM!</v>
      </c>
      <c r="AN716" s="133"/>
      <c r="AO716" s="155"/>
      <c r="AP716" s="138" t="e">
        <f>IF(AP711&lt;AP715,AP713,AP714)</f>
        <v>#NUM!</v>
      </c>
      <c r="AQ716" s="133"/>
      <c r="AR716" s="155"/>
      <c r="AS716" s="138" t="e">
        <f>IF(AS711&lt;AS715,AS713,AS714)</f>
        <v>#NUM!</v>
      </c>
      <c r="AT716" s="133"/>
      <c r="AU716" s="155"/>
    </row>
    <row r="717" spans="13:47" ht="13" x14ac:dyDescent="0.3">
      <c r="M717" s="28"/>
      <c r="N717" s="28"/>
      <c r="O717" s="9" t="s">
        <v>194</v>
      </c>
      <c r="P717" s="1"/>
      <c r="Q717" s="1"/>
      <c r="R717" s="135"/>
      <c r="S717" s="132">
        <f>IF(R710&lt;=0,W_max,ABS(R$23-R716))</f>
        <v>1.8719162297198508</v>
      </c>
      <c r="T717" s="151">
        <f>R705</f>
        <v>29.621955913968474</v>
      </c>
      <c r="U717" s="135"/>
      <c r="V717" s="132">
        <f>IF(U710&lt;=0,W_max,ABS(U$23-U716))</f>
        <v>1.7514773705564863</v>
      </c>
      <c r="W717" s="151">
        <f>U705</f>
        <v>748.96849159646547</v>
      </c>
      <c r="X717" s="135"/>
      <c r="Y717" s="132">
        <f>IF(X710&lt;=0,W_max,ABS(X$23-X716))</f>
        <v>1.7984198850212145</v>
      </c>
      <c r="Z717" s="151">
        <f>X705</f>
        <v>1852.2882080133461</v>
      </c>
      <c r="AA717" s="135"/>
      <c r="AB717" s="132">
        <f>IF(AA710&lt;=0,W_max,ABS(AA$23-AA716))</f>
        <v>0.30358424680213858</v>
      </c>
      <c r="AC717" s="151">
        <f>AA705</f>
        <v>3607.784641140709</v>
      </c>
      <c r="AD717" s="135"/>
      <c r="AE717" s="132">
        <f>IF(AD710&lt;=0,W_max,ABS(AD$23-AD716))</f>
        <v>5.3423365004566428</v>
      </c>
      <c r="AF717" s="151">
        <f>AD705</f>
        <v>5933.4774271796241</v>
      </c>
      <c r="AG717" s="135"/>
      <c r="AH717" s="132">
        <f>IF(AG710&lt;=0,W_max,ABS(AG$23-AG716))</f>
        <v>20.70874871761508</v>
      </c>
      <c r="AI717" s="151">
        <f>AG705</f>
        <v>8322.1588873187848</v>
      </c>
      <c r="AJ717" s="135"/>
      <c r="AK717" s="132">
        <f>IF(AJ710&lt;=0,W_max,ABS(AJ$23-AJ716))</f>
        <v>99.060679502945646</v>
      </c>
      <c r="AL717" s="151">
        <f>AJ705</f>
        <v>10566.933489816467</v>
      </c>
      <c r="AM717" s="135"/>
      <c r="AN717" s="132">
        <f>IF(AM710&lt;=0,W_max,ABS(AM$23-AM716))</f>
        <v>7174</v>
      </c>
      <c r="AO717" s="151">
        <f>AM705</f>
        <v>12390.560552487843</v>
      </c>
      <c r="AP717" s="135"/>
      <c r="AQ717" s="132">
        <f>IF(AP710&lt;=0,W_max,ABS(AP$23-AP716))</f>
        <v>7174</v>
      </c>
      <c r="AR717" s="151">
        <f>AP705</f>
        <v>13823.756205850603</v>
      </c>
      <c r="AS717" s="135"/>
      <c r="AT717" s="132">
        <f>IF(AS710&lt;=0,W_max,ABS(AS$23-AS716))</f>
        <v>7174</v>
      </c>
      <c r="AU717" s="151">
        <f>AS705</f>
        <v>15422.727230885752</v>
      </c>
    </row>
    <row r="718" spans="13:47" ht="13" x14ac:dyDescent="0.25">
      <c r="M718" s="12"/>
      <c r="N718" s="12"/>
      <c r="O718" s="12"/>
      <c r="P718" s="12"/>
      <c r="Q718" s="12"/>
      <c r="R718" s="182"/>
      <c r="S718" s="22"/>
      <c r="T718" s="152"/>
      <c r="U718" s="157"/>
      <c r="V718" s="1"/>
      <c r="W718" s="147"/>
      <c r="X718" s="157"/>
      <c r="Y718" s="1"/>
      <c r="Z718" s="147"/>
      <c r="AA718" s="157"/>
      <c r="AB718" s="1"/>
      <c r="AC718" s="147"/>
      <c r="AD718" s="157"/>
      <c r="AE718" s="1"/>
      <c r="AF718" s="147"/>
      <c r="AG718" s="157"/>
      <c r="AH718" s="1"/>
      <c r="AI718" s="147"/>
      <c r="AJ718" s="157"/>
      <c r="AK718" s="1"/>
      <c r="AL718" s="147"/>
      <c r="AM718" s="157"/>
      <c r="AN718" s="1"/>
      <c r="AO718" s="147"/>
      <c r="AP718" s="157"/>
      <c r="AQ718" s="1"/>
      <c r="AR718" s="147"/>
      <c r="AS718" s="157"/>
      <c r="AT718" s="1"/>
      <c r="AU718" s="147"/>
    </row>
    <row r="719" spans="13:47" ht="14" x14ac:dyDescent="0.3">
      <c r="M719" s="23"/>
      <c r="N719" s="23"/>
      <c r="O719" s="23" t="s">
        <v>238</v>
      </c>
      <c r="P719" s="20"/>
      <c r="Q719" s="20"/>
      <c r="R719" s="18">
        <f>R705*1.02</f>
        <v>30.214395032247843</v>
      </c>
      <c r="S719" s="128" t="s">
        <v>185</v>
      </c>
      <c r="T719" s="153" t="s">
        <v>186</v>
      </c>
      <c r="U719" s="143">
        <f>U705*1.01</f>
        <v>756.4581765124301</v>
      </c>
      <c r="V719" s="128" t="s">
        <v>185</v>
      </c>
      <c r="W719" s="153" t="s">
        <v>186</v>
      </c>
      <c r="X719" s="143">
        <f>X705*1.01</f>
        <v>1870.8110900934796</v>
      </c>
      <c r="Y719" s="128" t="s">
        <v>185</v>
      </c>
      <c r="Z719" s="153" t="s">
        <v>186</v>
      </c>
      <c r="AA719" s="143">
        <f>AA705*1.01</f>
        <v>3643.8624875521164</v>
      </c>
      <c r="AB719" s="128" t="s">
        <v>185</v>
      </c>
      <c r="AC719" s="153" t="s">
        <v>186</v>
      </c>
      <c r="AD719" s="143">
        <f>AD705*1.01</f>
        <v>5992.8122014514202</v>
      </c>
      <c r="AE719" s="128" t="s">
        <v>185</v>
      </c>
      <c r="AF719" s="153" t="s">
        <v>186</v>
      </c>
      <c r="AG719" s="143">
        <f>AG705*1.01</f>
        <v>8405.3804761919728</v>
      </c>
      <c r="AH719" s="128" t="s">
        <v>185</v>
      </c>
      <c r="AI719" s="153" t="s">
        <v>186</v>
      </c>
      <c r="AJ719" s="143">
        <f>AJ705*1.01</f>
        <v>10672.602824714631</v>
      </c>
      <c r="AK719" s="128" t="s">
        <v>185</v>
      </c>
      <c r="AL719" s="153" t="s">
        <v>186</v>
      </c>
      <c r="AM719" s="143">
        <f>AM705*1.01</f>
        <v>12514.466158012721</v>
      </c>
      <c r="AN719" s="128" t="s">
        <v>185</v>
      </c>
      <c r="AO719" s="153" t="s">
        <v>186</v>
      </c>
      <c r="AP719" s="143">
        <f>AP705*1.01</f>
        <v>13961.993767909109</v>
      </c>
      <c r="AQ719" s="128" t="s">
        <v>185</v>
      </c>
      <c r="AR719" s="153" t="s">
        <v>186</v>
      </c>
      <c r="AS719" s="143">
        <f>AS705*1.01</f>
        <v>15576.954503194609</v>
      </c>
      <c r="AT719" s="128" t="s">
        <v>185</v>
      </c>
      <c r="AU719" s="153" t="s">
        <v>186</v>
      </c>
    </row>
    <row r="720" spans="13:47" ht="14" x14ac:dyDescent="0.3">
      <c r="M720" s="12"/>
      <c r="N720" s="12"/>
      <c r="O720" s="20"/>
      <c r="P720" s="20"/>
      <c r="Q720" s="23"/>
      <c r="R720" s="139"/>
      <c r="S720" s="130" t="s">
        <v>228</v>
      </c>
      <c r="T720" s="154" t="s">
        <v>187</v>
      </c>
      <c r="U720" s="144"/>
      <c r="V720" s="130" t="s">
        <v>228</v>
      </c>
      <c r="W720" s="154" t="s">
        <v>187</v>
      </c>
      <c r="X720" s="144"/>
      <c r="Y720" s="130" t="s">
        <v>228</v>
      </c>
      <c r="Z720" s="154" t="s">
        <v>187</v>
      </c>
      <c r="AA720" s="144"/>
      <c r="AB720" s="130" t="s">
        <v>228</v>
      </c>
      <c r="AC720" s="154" t="s">
        <v>187</v>
      </c>
      <c r="AD720" s="144"/>
      <c r="AE720" s="130" t="s">
        <v>228</v>
      </c>
      <c r="AF720" s="154" t="s">
        <v>187</v>
      </c>
      <c r="AG720" s="144"/>
      <c r="AH720" s="130" t="s">
        <v>228</v>
      </c>
      <c r="AI720" s="154" t="s">
        <v>187</v>
      </c>
      <c r="AJ720" s="144"/>
      <c r="AK720" s="130" t="s">
        <v>228</v>
      </c>
      <c r="AL720" s="154" t="s">
        <v>187</v>
      </c>
      <c r="AM720" s="144"/>
      <c r="AN720" s="130" t="s">
        <v>228</v>
      </c>
      <c r="AO720" s="154" t="s">
        <v>187</v>
      </c>
      <c r="AP720" s="144"/>
      <c r="AQ720" s="130" t="s">
        <v>228</v>
      </c>
      <c r="AR720" s="154" t="s">
        <v>187</v>
      </c>
      <c r="AS720" s="144"/>
      <c r="AT720" s="130" t="s">
        <v>228</v>
      </c>
      <c r="AU720" s="154" t="s">
        <v>187</v>
      </c>
    </row>
    <row r="721" spans="13:47" x14ac:dyDescent="0.25">
      <c r="M721" s="20"/>
      <c r="N721" s="20"/>
      <c r="O721" s="7" t="s">
        <v>188</v>
      </c>
      <c r="P721" s="7"/>
      <c r="Q721" s="7"/>
      <c r="R721" s="181">
        <f>P_1_minW-(R719^2*R_up)+dpup_minQ</f>
        <v>100.52242270319127</v>
      </c>
      <c r="S721" s="132"/>
      <c r="T721" s="145"/>
      <c r="U721" s="138">
        <f>P_1_minW-(U719^2*R_up)+dpup_minQ</f>
        <v>100.2946036606167</v>
      </c>
      <c r="V721" s="132"/>
      <c r="W721" s="145"/>
      <c r="X721" s="138">
        <f>P_1_minW-(X719^2*R_up)+dpup_minQ</f>
        <v>99.127146573419893</v>
      </c>
      <c r="Y721" s="132"/>
      <c r="Z721" s="145"/>
      <c r="AA721" s="138">
        <f>P_1_minW-(AA719^2*R_up)+dpup_minQ</f>
        <v>95.228133210542808</v>
      </c>
      <c r="AB721" s="132"/>
      <c r="AC721" s="145"/>
      <c r="AD721" s="138">
        <f>P_1_minW-(AD719^2*R_up)+dpup_minQ</f>
        <v>86.201734657108972</v>
      </c>
      <c r="AE721" s="132"/>
      <c r="AF721" s="145"/>
      <c r="AG721" s="138">
        <f>P_1_minW-(AG719^2*R_up)+dpup_minQ</f>
        <v>72.350095127806583</v>
      </c>
      <c r="AH721" s="132"/>
      <c r="AI721" s="145"/>
      <c r="AJ721" s="138">
        <f>P_1_minW-(AJ719^2*R_up)+dpup_minQ</f>
        <v>55.102038646319713</v>
      </c>
      <c r="AK721" s="132"/>
      <c r="AL721" s="145"/>
      <c r="AM721" s="138">
        <f>P_1_minW-(AM719^2*R_up)+dpup_minQ</f>
        <v>38.071952537912459</v>
      </c>
      <c r="AN721" s="132"/>
      <c r="AO721" s="145"/>
      <c r="AP721" s="138">
        <f>P_1_minW-(AP719^2*R_up)+dpup_minQ</f>
        <v>22.789242954787412</v>
      </c>
      <c r="AQ721" s="132"/>
      <c r="AR721" s="145"/>
      <c r="AS721" s="138">
        <f>P_1_minW-(AS719^2*R_up)+dpup_minQ</f>
        <v>3.7666119567042666</v>
      </c>
      <c r="AT721" s="132"/>
      <c r="AU721" s="145"/>
    </row>
    <row r="722" spans="13:47" x14ac:dyDescent="0.25">
      <c r="M722" s="20"/>
      <c r="N722" s="20"/>
      <c r="O722" s="7" t="s">
        <v>189</v>
      </c>
      <c r="P722" s="1"/>
      <c r="Q722" s="7"/>
      <c r="R722" s="181">
        <f>P_2_minW+(R719^2*R_dn)-dpdn_minQ</f>
        <v>50</v>
      </c>
      <c r="S722" s="132"/>
      <c r="T722" s="146"/>
      <c r="U722" s="138">
        <f>P_2_minW+(U719^2*R_dn)-dpdn_minQ</f>
        <v>50</v>
      </c>
      <c r="V722" s="132"/>
      <c r="W722" s="146"/>
      <c r="X722" s="138">
        <f>P_2_minW+(X719^2*R_dn)-dpdn_minQ</f>
        <v>50</v>
      </c>
      <c r="Y722" s="132"/>
      <c r="Z722" s="146"/>
      <c r="AA722" s="138">
        <f>P_2_minW+(AA719^2*R_dn)-dpdn_minQ</f>
        <v>50</v>
      </c>
      <c r="AB722" s="132"/>
      <c r="AC722" s="146"/>
      <c r="AD722" s="138">
        <f>P_2_minW+(AD719^2*R_dn)-dpdn_minQ</f>
        <v>50</v>
      </c>
      <c r="AE722" s="132"/>
      <c r="AF722" s="146"/>
      <c r="AG722" s="138">
        <f>P_2_minW+(AG719^2*R_dn)-dpdn_minQ</f>
        <v>50</v>
      </c>
      <c r="AH722" s="132"/>
      <c r="AI722" s="146"/>
      <c r="AJ722" s="138">
        <f>P_2_minW+(AJ719^2*R_dn)-dpdn_minQ</f>
        <v>50</v>
      </c>
      <c r="AK722" s="132"/>
      <c r="AL722" s="146"/>
      <c r="AM722" s="138">
        <f>P_2_minW+(AM719^2*R_dn)-dpdn_minQ</f>
        <v>50</v>
      </c>
      <c r="AN722" s="132"/>
      <c r="AO722" s="146"/>
      <c r="AP722" s="138">
        <f>P_2_minW+(AP719^2*R_dn)-dpdn_minQ</f>
        <v>50</v>
      </c>
      <c r="AQ722" s="132"/>
      <c r="AR722" s="146"/>
      <c r="AS722" s="138">
        <f>P_2_minW+(AS719^2*R_dn)-dpdn_minQ</f>
        <v>50</v>
      </c>
      <c r="AT722" s="132"/>
      <c r="AU722" s="146"/>
    </row>
    <row r="723" spans="13:47" x14ac:dyDescent="0.25">
      <c r="M723" s="20"/>
      <c r="N723" s="20"/>
      <c r="O723" s="7" t="s">
        <v>234</v>
      </c>
      <c r="P723" s="1"/>
      <c r="Q723" s="7"/>
      <c r="R723" s="179">
        <f>'Valve Sizing'!G$8*R721/P_1_maxW</f>
        <v>0.48490227020592813</v>
      </c>
      <c r="S723" s="132"/>
      <c r="T723" s="146"/>
      <c r="U723" s="143">
        <f>'Valve Sizing'!$G$8*U721/P_1_maxW</f>
        <v>0.483803311705229</v>
      </c>
      <c r="V723" s="132"/>
      <c r="W723" s="146"/>
      <c r="X723" s="143">
        <f>'Valve Sizing'!$G$8*X721/P_1_maxW</f>
        <v>0.47817170656951469</v>
      </c>
      <c r="Y723" s="132"/>
      <c r="Z723" s="146"/>
      <c r="AA723" s="143">
        <f>'Valve Sizing'!$G$8*AA721/P_1_maxW</f>
        <v>0.45936356028353859</v>
      </c>
      <c r="AB723" s="132"/>
      <c r="AC723" s="146"/>
      <c r="AD723" s="143">
        <f>'Valve Sizing'!$G$8*AD721/P_1_maxW</f>
        <v>0.41582182071298385</v>
      </c>
      <c r="AE723" s="132"/>
      <c r="AF723" s="146"/>
      <c r="AG723" s="143">
        <f>'Valve Sizing'!$G$8*AG721/P_1_maxW</f>
        <v>0.34900397775604453</v>
      </c>
      <c r="AH723" s="132"/>
      <c r="AI723" s="146"/>
      <c r="AJ723" s="143">
        <f>'Valve Sizing'!$G$8*AJ721/P_1_maxW</f>
        <v>0.26580242411653465</v>
      </c>
      <c r="AK723" s="132"/>
      <c r="AL723" s="146"/>
      <c r="AM723" s="143">
        <f>'Valve Sizing'!$G$8*AM721/P_1_maxW</f>
        <v>0.18365232074952781</v>
      </c>
      <c r="AN723" s="132"/>
      <c r="AO723" s="146"/>
      <c r="AP723" s="143">
        <f>'Valve Sizing'!$G$8*AP721/P_1_maxW</f>
        <v>0.10993125063926708</v>
      </c>
      <c r="AQ723" s="132"/>
      <c r="AR723" s="146"/>
      <c r="AS723" s="143">
        <f>'Valve Sizing'!$G$8*AS721/P_1_maxW</f>
        <v>1.8169465475215894E-2</v>
      </c>
      <c r="AT723" s="132"/>
      <c r="AU723" s="146"/>
    </row>
    <row r="724" spans="13:47" x14ac:dyDescent="0.25">
      <c r="M724" s="20"/>
      <c r="N724" s="20"/>
      <c r="O724" s="7" t="s">
        <v>190</v>
      </c>
      <c r="P724" s="1"/>
      <c r="Q724" s="7"/>
      <c r="R724" s="181">
        <f>R721-R722</f>
        <v>50.522422703191268</v>
      </c>
      <c r="S724" s="132"/>
      <c r="T724" s="146"/>
      <c r="U724" s="138">
        <f>U721-U722</f>
        <v>50.294603660616701</v>
      </c>
      <c r="V724" s="132"/>
      <c r="W724" s="146"/>
      <c r="X724" s="138">
        <f>X721-X722</f>
        <v>49.127146573419893</v>
      </c>
      <c r="Y724" s="132"/>
      <c r="Z724" s="146"/>
      <c r="AA724" s="138">
        <f>AA721-AA722</f>
        <v>45.228133210542808</v>
      </c>
      <c r="AB724" s="132"/>
      <c r="AC724" s="146"/>
      <c r="AD724" s="138">
        <f>AD721-AD722</f>
        <v>36.201734657108972</v>
      </c>
      <c r="AE724" s="132"/>
      <c r="AF724" s="146"/>
      <c r="AG724" s="138">
        <f>AG721-AG722</f>
        <v>22.350095127806583</v>
      </c>
      <c r="AH724" s="132"/>
      <c r="AI724" s="146"/>
      <c r="AJ724" s="138">
        <f>AJ721-AJ722</f>
        <v>5.1020386463197127</v>
      </c>
      <c r="AK724" s="132"/>
      <c r="AL724" s="146"/>
      <c r="AM724" s="138">
        <f>AM721-AM722</f>
        <v>-11.928047462087541</v>
      </c>
      <c r="AN724" s="132"/>
      <c r="AO724" s="146"/>
      <c r="AP724" s="138">
        <f>AP721-AP722</f>
        <v>-27.210757045212588</v>
      </c>
      <c r="AQ724" s="132"/>
      <c r="AR724" s="146"/>
      <c r="AS724" s="138">
        <f>AS721-AS722</f>
        <v>-46.233388043295733</v>
      </c>
      <c r="AT724" s="132"/>
      <c r="AU724" s="146"/>
    </row>
    <row r="725" spans="13:47" ht="14.5" x14ac:dyDescent="0.35">
      <c r="M725" s="27"/>
      <c r="N725" s="27"/>
      <c r="O725" s="2" t="s">
        <v>191</v>
      </c>
      <c r="P725" s="10"/>
      <c r="Q725" s="2"/>
      <c r="R725" s="181">
        <f>R724/R721</f>
        <v>0.50259853816264355</v>
      </c>
      <c r="S725" s="132"/>
      <c r="T725" s="146"/>
      <c r="U725" s="138">
        <f>U724/U721</f>
        <v>0.50146869148420792</v>
      </c>
      <c r="V725" s="132"/>
      <c r="W725" s="146"/>
      <c r="X725" s="138">
        <f>X724/X721</f>
        <v>0.49559730378230138</v>
      </c>
      <c r="Y725" s="132"/>
      <c r="Z725" s="146"/>
      <c r="AA725" s="138">
        <f>AA724/AA721</f>
        <v>0.47494507857826568</v>
      </c>
      <c r="AB725" s="132"/>
      <c r="AC725" s="146"/>
      <c r="AD725" s="138">
        <f>AD724/AD721</f>
        <v>0.41996526869338874</v>
      </c>
      <c r="AE725" s="132"/>
      <c r="AF725" s="146"/>
      <c r="AG725" s="138">
        <f>AG724/AG721</f>
        <v>0.30891590520130063</v>
      </c>
      <c r="AH725" s="132"/>
      <c r="AI725" s="146"/>
      <c r="AJ725" s="138">
        <f>AJ724/AJ721</f>
        <v>9.2592556857430897E-2</v>
      </c>
      <c r="AK725" s="132"/>
      <c r="AL725" s="146"/>
      <c r="AM725" s="138">
        <f>AM724/AM721</f>
        <v>-0.31330275089541215</v>
      </c>
      <c r="AN725" s="132"/>
      <c r="AO725" s="146"/>
      <c r="AP725" s="138">
        <f>AP724/AP721</f>
        <v>-1.1940175941428688</v>
      </c>
      <c r="AQ725" s="132"/>
      <c r="AR725" s="146"/>
      <c r="AS725" s="138">
        <f>AS724/AS721</f>
        <v>-12.274529092651559</v>
      </c>
      <c r="AT725" s="132"/>
      <c r="AU725" s="146"/>
    </row>
    <row r="726" spans="13:47" x14ac:dyDescent="0.25">
      <c r="M726" s="27"/>
      <c r="N726" s="27"/>
      <c r="O726" s="2" t="s">
        <v>26</v>
      </c>
      <c r="P726" s="7">
        <v>12</v>
      </c>
      <c r="Q726" s="2"/>
      <c r="R726" s="181">
        <f>1-R725/(3*F_GAMMA*R$29)</f>
        <v>0.7382409219835826</v>
      </c>
      <c r="S726" s="133"/>
      <c r="T726" s="146"/>
      <c r="U726" s="138">
        <f>1-U725/(3*F_GAMMA*U$29)</f>
        <v>0.73888686235219558</v>
      </c>
      <c r="V726" s="133"/>
      <c r="W726" s="146"/>
      <c r="X726" s="138">
        <f>1-X725/(3*F_GAMMA*X$29)</f>
        <v>0.73807282550899989</v>
      </c>
      <c r="Y726" s="133"/>
      <c r="Z726" s="146"/>
      <c r="AA726" s="138">
        <f>1-AA725/(3*F_GAMMA*AA$29)</f>
        <v>0.74554596514787186</v>
      </c>
      <c r="AB726" s="133"/>
      <c r="AC726" s="146"/>
      <c r="AD726" s="138">
        <f>1-AD725/(3*F_GAMMA*AD$29)</f>
        <v>0.76883267779187481</v>
      </c>
      <c r="AE726" s="133"/>
      <c r="AF726" s="146"/>
      <c r="AG726" s="138">
        <f>1-AG725/(3*F_GAMMA*AG$29)</f>
        <v>0.82025972288847993</v>
      </c>
      <c r="AH726" s="133"/>
      <c r="AI726" s="146"/>
      <c r="AJ726" s="138">
        <f>1-AJ725/(3*F_GAMMA*AJ$29)</f>
        <v>0.9424076994376448</v>
      </c>
      <c r="AK726" s="133"/>
      <c r="AL726" s="146"/>
      <c r="AM726" s="138">
        <f>1-AM725/(3*F_GAMMA*AM$29)</f>
        <v>1.2129190039046411</v>
      </c>
      <c r="AN726" s="133"/>
      <c r="AO726" s="146"/>
      <c r="AP726" s="138">
        <f>1-AP725/(3*F_GAMMA*AP$29)</f>
        <v>1.6705743693254544</v>
      </c>
      <c r="AQ726" s="133"/>
      <c r="AR726" s="146"/>
      <c r="AS726" s="138">
        <f>1-AS725/(3*F_GAMMA*AS$29)</f>
        <v>11.464962920752814</v>
      </c>
      <c r="AT726" s="133"/>
      <c r="AU726" s="146"/>
    </row>
    <row r="727" spans="13:47" x14ac:dyDescent="0.25">
      <c r="M727" s="27"/>
      <c r="N727" s="27"/>
      <c r="O727" s="2" t="s">
        <v>71</v>
      </c>
      <c r="P727" s="85">
        <v>5</v>
      </c>
      <c r="Q727" s="2"/>
      <c r="R727" s="179">
        <f>R719/((N_6*R$27*R726)*SQRT(R725*R721*R723))</f>
        <v>0.13064546670180846</v>
      </c>
      <c r="S727" s="133"/>
      <c r="T727" s="146"/>
      <c r="U727" s="143">
        <f>U719/((N_6*U$27*U726)*SQRT(U725*U721*U723))</f>
        <v>3.2811763762513486</v>
      </c>
      <c r="V727" s="133"/>
      <c r="W727" s="146"/>
      <c r="X727" s="143">
        <f>X719/((N_6*X$27*X726)*SQRT(X725*X721*X723))</f>
        <v>8.2862331462008747</v>
      </c>
      <c r="Y727" s="133"/>
      <c r="Z727" s="146"/>
      <c r="AA727" s="143">
        <f>AA719/((N_6*AA$27*AA726)*SQRT(AA725*AA721*AA723))</f>
        <v>17.087348280815462</v>
      </c>
      <c r="AB727" s="133"/>
      <c r="AC727" s="146"/>
      <c r="AD727" s="143">
        <f>AD719/((N_6*AD$27*AD726)*SQRT(AD725*AD721*AD723))</f>
        <v>32.396262153245182</v>
      </c>
      <c r="AE727" s="133"/>
      <c r="AF727" s="146"/>
      <c r="AG727" s="143">
        <f>AG719/((N_6*AG$27*AG726)*SQRT(AG725*AG721*AG723))</f>
        <v>60.441639195953897</v>
      </c>
      <c r="AH727" s="133"/>
      <c r="AI727" s="146"/>
      <c r="AJ727" s="143">
        <f>AJ719/((N_6*AJ$27*AJ726)*SQRT(AJ725*AJ721*AJ723))</f>
        <v>165.70090395186367</v>
      </c>
      <c r="AK727" s="133"/>
      <c r="AL727" s="146"/>
      <c r="AM727" s="143" t="e">
        <f>AM719/((N_6*AM$27*AM726)*SQRT(AM725*AM721*AM723))</f>
        <v>#NUM!</v>
      </c>
      <c r="AN727" s="133"/>
      <c r="AO727" s="146"/>
      <c r="AP727" s="143" t="e">
        <f>AP719/((N_6*AP$27*AP726)*SQRT(AP725*AP721*AP723))</f>
        <v>#NUM!</v>
      </c>
      <c r="AQ727" s="133"/>
      <c r="AR727" s="146"/>
      <c r="AS727" s="143" t="e">
        <f>AS719/((N_6*AS$27*AS726)*SQRT(AS725*AS721*AS723))</f>
        <v>#NUM!</v>
      </c>
      <c r="AT727" s="133"/>
      <c r="AU727" s="146"/>
    </row>
    <row r="728" spans="13:47" x14ac:dyDescent="0.25">
      <c r="M728" s="27"/>
      <c r="N728" s="27"/>
      <c r="O728" s="2" t="s">
        <v>73</v>
      </c>
      <c r="P728" s="85">
        <v>5</v>
      </c>
      <c r="Q728" s="2"/>
      <c r="R728" s="179">
        <f>R719/((N_6*R$27*0.667)*SQRT(R729*R721*R723))</f>
        <v>0.12813805555504623</v>
      </c>
      <c r="S728" s="133"/>
      <c r="T728" s="155"/>
      <c r="U728" s="143">
        <f>U719/((N_6*U$27*0.667)*SQRT(U729*U721*U723))</f>
        <v>3.2170415934392032</v>
      </c>
      <c r="V728" s="133"/>
      <c r="W728" s="155"/>
      <c r="X728" s="143">
        <f>X719/((N_6*X$27*0.667)*SQRT(X729*X721*X723))</f>
        <v>8.1279577392315456</v>
      </c>
      <c r="Y728" s="133"/>
      <c r="Z728" s="155"/>
      <c r="AA728" s="143">
        <f>AA719/((N_6*AA$27*0.667)*SQRT(AA729*AA721*AA723))</f>
        <v>16.687395535893842</v>
      </c>
      <c r="AB728" s="133"/>
      <c r="AC728" s="155"/>
      <c r="AD728" s="143">
        <f>AD719/((N_6*AD$27*0.667)*SQRT(AD729*AD721*AD723))</f>
        <v>31.097448205670357</v>
      </c>
      <c r="AE728" s="133"/>
      <c r="AF728" s="155"/>
      <c r="AG728" s="143">
        <f>AG719/((N_6*AG$27*0.667)*SQRT(AG729*AG721*AG723))</f>
        <v>54.58145616192968</v>
      </c>
      <c r="AH728" s="133"/>
      <c r="AI728" s="155"/>
      <c r="AJ728" s="143">
        <f>AJ719/((N_6*AJ$27*0.667)*SQRT(AJ729*AJ721*AJ723))</f>
        <v>97.31520688075986</v>
      </c>
      <c r="AK728" s="133"/>
      <c r="AL728" s="155"/>
      <c r="AM728" s="143">
        <f>AM719/((N_6*AM$27*0.667)*SQRT(AM729*AM721*AM723))</f>
        <v>183.23160463657408</v>
      </c>
      <c r="AN728" s="133"/>
      <c r="AO728" s="155"/>
      <c r="AP728" s="143">
        <f>AP719/((N_6*AP$27*0.667)*SQRT(AP729*AP721*AP723))</f>
        <v>352.6613569693211</v>
      </c>
      <c r="AQ728" s="133"/>
      <c r="AR728" s="155"/>
      <c r="AS728" s="143">
        <f>AS719/((N_6*AS$27*0.667)*SQRT(AS729*AS721*AS723))</f>
        <v>3853.9647456158946</v>
      </c>
      <c r="AT728" s="133"/>
      <c r="AU728" s="155"/>
    </row>
    <row r="729" spans="13:47" ht="15.5" x14ac:dyDescent="0.4">
      <c r="M729" s="27"/>
      <c r="N729" s="27"/>
      <c r="O729" s="2" t="s">
        <v>192</v>
      </c>
      <c r="P729" s="85">
        <v>10</v>
      </c>
      <c r="Q729" s="2"/>
      <c r="R729" s="181">
        <f>F_GAMMA*R$29</f>
        <v>0.64002688015162901</v>
      </c>
      <c r="S729" s="133"/>
      <c r="T729" s="155"/>
      <c r="U729" s="138">
        <f>F_GAMMA*U$29</f>
        <v>0.64016782916606918</v>
      </c>
      <c r="V729" s="133"/>
      <c r="W729" s="155"/>
      <c r="X729" s="138">
        <f>F_GAMMA*X$29</f>
        <v>0.6307062319203669</v>
      </c>
      <c r="Y729" s="133"/>
      <c r="Z729" s="155"/>
      <c r="AA729" s="138">
        <f>F_GAMMA*AA$29</f>
        <v>0.62217534213893466</v>
      </c>
      <c r="AB729" s="133"/>
      <c r="AC729" s="155"/>
      <c r="AD729" s="138">
        <f>F_GAMMA*AD$29</f>
        <v>0.60557184969146072</v>
      </c>
      <c r="AE729" s="133"/>
      <c r="AF729" s="155"/>
      <c r="AG729" s="138">
        <f>F_GAMMA*AG$29</f>
        <v>0.57289312142622573</v>
      </c>
      <c r="AH729" s="133"/>
      <c r="AI729" s="155"/>
      <c r="AJ729" s="138">
        <f>F_GAMMA*AJ$29</f>
        <v>0.53590819116049981</v>
      </c>
      <c r="AK729" s="133"/>
      <c r="AL729" s="155"/>
      <c r="AM729" s="138">
        <f>F_GAMMA*AM$29</f>
        <v>0.49048815926850342</v>
      </c>
      <c r="AN729" s="133"/>
      <c r="AO729" s="155"/>
      <c r="AP729" s="138">
        <f>F_GAMMA*AP$29</f>
        <v>0.59352979016280105</v>
      </c>
      <c r="AQ729" s="133"/>
      <c r="AR729" s="155"/>
      <c r="AS729" s="138">
        <f>F_GAMMA*AS$29</f>
        <v>0.39097221161068291</v>
      </c>
      <c r="AT729" s="133"/>
      <c r="AU729" s="155"/>
    </row>
    <row r="730" spans="13:47" x14ac:dyDescent="0.25">
      <c r="M730" s="27"/>
      <c r="N730" s="27"/>
      <c r="O730" s="2" t="s">
        <v>193</v>
      </c>
      <c r="P730" s="134"/>
      <c r="Q730" s="2"/>
      <c r="R730" s="181">
        <f>IF(R725&lt;R729,R727,R728)</f>
        <v>0.13064546670180846</v>
      </c>
      <c r="S730" s="133"/>
      <c r="T730" s="155"/>
      <c r="U730" s="138">
        <f>IF(U725&lt;U729,U727,U728)</f>
        <v>3.2811763762513486</v>
      </c>
      <c r="V730" s="133"/>
      <c r="W730" s="155"/>
      <c r="X730" s="138">
        <f>IF(X725&lt;X729,X727,X728)</f>
        <v>8.2862331462008747</v>
      </c>
      <c r="Y730" s="133"/>
      <c r="Z730" s="155"/>
      <c r="AA730" s="138">
        <f>IF(AA725&lt;AA729,AA727,AA728)</f>
        <v>17.087348280815462</v>
      </c>
      <c r="AB730" s="133"/>
      <c r="AC730" s="155"/>
      <c r="AD730" s="138">
        <f>IF(AD725&lt;AD729,AD727,AD728)</f>
        <v>32.396262153245182</v>
      </c>
      <c r="AE730" s="133"/>
      <c r="AF730" s="155"/>
      <c r="AG730" s="138">
        <f>IF(AG725&lt;AG729,AG727,AG728)</f>
        <v>60.441639195953897</v>
      </c>
      <c r="AH730" s="133"/>
      <c r="AI730" s="155"/>
      <c r="AJ730" s="138">
        <f>IF(AJ725&lt;AJ729,AJ727,AJ728)</f>
        <v>165.70090395186367</v>
      </c>
      <c r="AK730" s="133"/>
      <c r="AL730" s="155"/>
      <c r="AM730" s="138" t="e">
        <f>IF(AM725&lt;AM729,AM727,AM728)</f>
        <v>#NUM!</v>
      </c>
      <c r="AN730" s="133"/>
      <c r="AO730" s="155"/>
      <c r="AP730" s="138" t="e">
        <f>IF(AP725&lt;AP729,AP727,AP728)</f>
        <v>#NUM!</v>
      </c>
      <c r="AQ730" s="133"/>
      <c r="AR730" s="155"/>
      <c r="AS730" s="138" t="e">
        <f>IF(AS725&lt;AS729,AS727,AS728)</f>
        <v>#NUM!</v>
      </c>
      <c r="AT730" s="133"/>
      <c r="AU730" s="155"/>
    </row>
    <row r="731" spans="13:47" ht="13" x14ac:dyDescent="0.3">
      <c r="M731" s="28"/>
      <c r="N731" s="28"/>
      <c r="O731" s="9" t="s">
        <v>194</v>
      </c>
      <c r="P731" s="1"/>
      <c r="Q731" s="1"/>
      <c r="R731" s="135"/>
      <c r="S731" s="132">
        <f>IF(R724&lt;=0,W_max,ABS(R$23-R730))</f>
        <v>1.8693545332981916</v>
      </c>
      <c r="T731" s="151">
        <f>R719</f>
        <v>30.214395032247843</v>
      </c>
      <c r="U731" s="135"/>
      <c r="V731" s="132">
        <f>IF(U724&lt;=0,W_max,ABS(U$23-U730))</f>
        <v>1.7188236237486514</v>
      </c>
      <c r="W731" s="151">
        <f>U719</f>
        <v>756.4581765124301</v>
      </c>
      <c r="X731" s="135"/>
      <c r="Y731" s="132">
        <f>IF(X724&lt;=0,W_max,ABS(X$23-X730))</f>
        <v>1.7137668537991253</v>
      </c>
      <c r="Z731" s="151">
        <f>X719</f>
        <v>1870.8110900934796</v>
      </c>
      <c r="AA731" s="135"/>
      <c r="AB731" s="132">
        <f>IF(AA724&lt;=0,W_max,ABS(AA$23-AA730))</f>
        <v>0.11265171918453731</v>
      </c>
      <c r="AC731" s="151">
        <f>AA719</f>
        <v>3643.8624875521164</v>
      </c>
      <c r="AD731" s="135"/>
      <c r="AE731" s="132">
        <f>IF(AD724&lt;=0,W_max,ABS(AD$23-AD730))</f>
        <v>5.7962621532451806</v>
      </c>
      <c r="AF731" s="151">
        <f>AD719</f>
        <v>5992.8122014514202</v>
      </c>
      <c r="AG731" s="135"/>
      <c r="AH731" s="132">
        <f>IF(AG724&lt;=0,W_max,ABS(AG$23-AG730))</f>
        <v>22.041639195953898</v>
      </c>
      <c r="AI731" s="151">
        <f>AG719</f>
        <v>8405.3804761919728</v>
      </c>
      <c r="AJ731" s="135"/>
      <c r="AK731" s="132">
        <f>IF(AJ724&lt;=0,W_max,ABS(AJ$23-AJ730))</f>
        <v>113.20090395186367</v>
      </c>
      <c r="AL731" s="151">
        <f>AJ719</f>
        <v>10672.602824714631</v>
      </c>
      <c r="AM731" s="135"/>
      <c r="AN731" s="132">
        <f>IF(AM724&lt;=0,W_max,ABS(AM$23-AM730))</f>
        <v>7174</v>
      </c>
      <c r="AO731" s="151">
        <f>AM719</f>
        <v>12514.466158012721</v>
      </c>
      <c r="AP731" s="135"/>
      <c r="AQ731" s="132">
        <f>IF(AP724&lt;=0,W_max,ABS(AP$23-AP730))</f>
        <v>7174</v>
      </c>
      <c r="AR731" s="151">
        <f>AP719</f>
        <v>13961.993767909109</v>
      </c>
      <c r="AS731" s="135"/>
      <c r="AT731" s="132">
        <f>IF(AS724&lt;=0,W_max,ABS(AS$23-AS730))</f>
        <v>7174</v>
      </c>
      <c r="AU731" s="151">
        <f>AS719</f>
        <v>15576.954503194609</v>
      </c>
    </row>
    <row r="732" spans="13:47" ht="13" x14ac:dyDescent="0.25">
      <c r="M732" s="12"/>
      <c r="N732" s="12"/>
      <c r="O732" s="2"/>
      <c r="P732" s="85"/>
      <c r="Q732" s="2"/>
      <c r="R732" s="18"/>
      <c r="S732" s="150"/>
      <c r="T732" s="152"/>
      <c r="U732" s="157"/>
      <c r="V732" s="1"/>
      <c r="W732" s="147"/>
      <c r="X732" s="157"/>
      <c r="Y732" s="1"/>
      <c r="Z732" s="147"/>
      <c r="AA732" s="157"/>
      <c r="AB732" s="1"/>
      <c r="AC732" s="147"/>
      <c r="AD732" s="157"/>
      <c r="AE732" s="1"/>
      <c r="AF732" s="147"/>
      <c r="AG732" s="157"/>
      <c r="AH732" s="1"/>
      <c r="AI732" s="147"/>
      <c r="AJ732" s="157"/>
      <c r="AK732" s="1"/>
      <c r="AL732" s="147"/>
      <c r="AM732" s="157"/>
      <c r="AN732" s="1"/>
      <c r="AO732" s="147"/>
      <c r="AP732" s="157"/>
      <c r="AQ732" s="1"/>
      <c r="AR732" s="147"/>
      <c r="AS732" s="157"/>
      <c r="AT732" s="1"/>
      <c r="AU732" s="147"/>
    </row>
    <row r="733" spans="13:47" ht="14" x14ac:dyDescent="0.3">
      <c r="M733" s="23"/>
      <c r="N733" s="23"/>
      <c r="O733" s="23" t="s">
        <v>238</v>
      </c>
      <c r="P733" s="20"/>
      <c r="Q733" s="20"/>
      <c r="R733" s="181">
        <f>R719*1.02</f>
        <v>30.818682932892802</v>
      </c>
      <c r="S733" s="128" t="s">
        <v>185</v>
      </c>
      <c r="T733" s="153" t="s">
        <v>186</v>
      </c>
      <c r="U733" s="143">
        <f>U719*1.01</f>
        <v>764.02275827755443</v>
      </c>
      <c r="V733" s="128" t="s">
        <v>185</v>
      </c>
      <c r="W733" s="153" t="s">
        <v>186</v>
      </c>
      <c r="X733" s="143">
        <f>X719*1.01</f>
        <v>1889.5192009944144</v>
      </c>
      <c r="Y733" s="128" t="s">
        <v>185</v>
      </c>
      <c r="Z733" s="153" t="s">
        <v>186</v>
      </c>
      <c r="AA733" s="143">
        <f>AA719*1.01</f>
        <v>3680.3011124276377</v>
      </c>
      <c r="AB733" s="128" t="s">
        <v>185</v>
      </c>
      <c r="AC733" s="153" t="s">
        <v>186</v>
      </c>
      <c r="AD733" s="143">
        <f>AD719*1.01</f>
        <v>6052.7403234659341</v>
      </c>
      <c r="AE733" s="128" t="s">
        <v>185</v>
      </c>
      <c r="AF733" s="153" t="s">
        <v>186</v>
      </c>
      <c r="AG733" s="143">
        <f>AG719*1.01</f>
        <v>8489.4342809538921</v>
      </c>
      <c r="AH733" s="128" t="s">
        <v>185</v>
      </c>
      <c r="AI733" s="153" t="s">
        <v>186</v>
      </c>
      <c r="AJ733" s="143">
        <f>AJ719*1.01</f>
        <v>10779.328852961778</v>
      </c>
      <c r="AK733" s="128" t="s">
        <v>185</v>
      </c>
      <c r="AL733" s="153" t="s">
        <v>186</v>
      </c>
      <c r="AM733" s="143">
        <f>AM719*1.01</f>
        <v>12639.610819592848</v>
      </c>
      <c r="AN733" s="128" t="s">
        <v>185</v>
      </c>
      <c r="AO733" s="153" t="s">
        <v>186</v>
      </c>
      <c r="AP733" s="143">
        <f>AP719*1.01</f>
        <v>14101.613705588201</v>
      </c>
      <c r="AQ733" s="128" t="s">
        <v>185</v>
      </c>
      <c r="AR733" s="153" t="s">
        <v>186</v>
      </c>
      <c r="AS733" s="143">
        <f>AS719*1.01</f>
        <v>15732.724048226555</v>
      </c>
      <c r="AT733" s="128" t="s">
        <v>185</v>
      </c>
      <c r="AU733" s="153" t="s">
        <v>186</v>
      </c>
    </row>
    <row r="734" spans="13:47" ht="14" x14ac:dyDescent="0.3">
      <c r="M734" s="12"/>
      <c r="N734" s="12"/>
      <c r="O734" s="20"/>
      <c r="P734" s="20"/>
      <c r="Q734" s="23"/>
      <c r="R734" s="139"/>
      <c r="S734" s="130" t="s">
        <v>228</v>
      </c>
      <c r="T734" s="154" t="s">
        <v>187</v>
      </c>
      <c r="U734" s="144"/>
      <c r="V734" s="130" t="s">
        <v>228</v>
      </c>
      <c r="W734" s="154" t="s">
        <v>187</v>
      </c>
      <c r="X734" s="144"/>
      <c r="Y734" s="130" t="s">
        <v>228</v>
      </c>
      <c r="Z734" s="154" t="s">
        <v>187</v>
      </c>
      <c r="AA734" s="144"/>
      <c r="AB734" s="130" t="s">
        <v>228</v>
      </c>
      <c r="AC734" s="154" t="s">
        <v>187</v>
      </c>
      <c r="AD734" s="144"/>
      <c r="AE734" s="130" t="s">
        <v>228</v>
      </c>
      <c r="AF734" s="154" t="s">
        <v>187</v>
      </c>
      <c r="AG734" s="144"/>
      <c r="AH734" s="130" t="s">
        <v>228</v>
      </c>
      <c r="AI734" s="154" t="s">
        <v>187</v>
      </c>
      <c r="AJ734" s="144"/>
      <c r="AK734" s="130" t="s">
        <v>228</v>
      </c>
      <c r="AL734" s="154" t="s">
        <v>187</v>
      </c>
      <c r="AM734" s="144"/>
      <c r="AN734" s="130" t="s">
        <v>228</v>
      </c>
      <c r="AO734" s="154" t="s">
        <v>187</v>
      </c>
      <c r="AP734" s="144"/>
      <c r="AQ734" s="130" t="s">
        <v>228</v>
      </c>
      <c r="AR734" s="154" t="s">
        <v>187</v>
      </c>
      <c r="AS734" s="144"/>
      <c r="AT734" s="130" t="s">
        <v>228</v>
      </c>
      <c r="AU734" s="154" t="s">
        <v>187</v>
      </c>
    </row>
    <row r="735" spans="13:47" x14ac:dyDescent="0.25">
      <c r="M735" s="20"/>
      <c r="N735" s="20"/>
      <c r="O735" s="7" t="s">
        <v>188</v>
      </c>
      <c r="P735" s="7"/>
      <c r="Q735" s="7"/>
      <c r="R735" s="181">
        <f>P_1_minW-(R733^2*R_up)+dpup_minQ</f>
        <v>100.52240799623644</v>
      </c>
      <c r="S735" s="132"/>
      <c r="T735" s="145"/>
      <c r="U735" s="138">
        <f>P_1_minW-(U733^2*R_up)+dpup_minQ</f>
        <v>100.29001718078689</v>
      </c>
      <c r="V735" s="132"/>
      <c r="W735" s="145"/>
      <c r="X735" s="138">
        <f>P_1_minW-(X733^2*R_up)+dpup_minQ</f>
        <v>99.099094206137437</v>
      </c>
      <c r="Y735" s="132"/>
      <c r="Z735" s="145"/>
      <c r="AA735" s="138">
        <f>P_1_minW-(AA733^2*R_up)+dpup_minQ</f>
        <v>95.121710674666502</v>
      </c>
      <c r="AB735" s="132"/>
      <c r="AC735" s="145"/>
      <c r="AD735" s="138">
        <f>P_1_minW-(AD733^2*R_up)+dpup_minQ</f>
        <v>85.913881510308656</v>
      </c>
      <c r="AE735" s="132"/>
      <c r="AF735" s="145"/>
      <c r="AG735" s="138">
        <f>P_1_minW-(AG733^2*R_up)+dpup_minQ</f>
        <v>71.783824026467286</v>
      </c>
      <c r="AH735" s="132"/>
      <c r="AI735" s="145"/>
      <c r="AJ735" s="138">
        <f>P_1_minW-(AJ733^2*R_up)+dpup_minQ</f>
        <v>54.189081609702527</v>
      </c>
      <c r="AK735" s="132"/>
      <c r="AL735" s="145"/>
      <c r="AM735" s="138">
        <f>P_1_minW-(AM733^2*R_up)+dpup_minQ</f>
        <v>36.816690770516296</v>
      </c>
      <c r="AN735" s="132"/>
      <c r="AO735" s="145"/>
      <c r="AP735" s="138">
        <f>P_1_minW-(AP733^2*R_up)+dpup_minQ</f>
        <v>21.226798724770418</v>
      </c>
      <c r="AQ735" s="132"/>
      <c r="AR735" s="145"/>
      <c r="AS735" s="138">
        <f>P_1_minW-(AS733^2*R_up)+dpup_minQ</f>
        <v>1.8218128436258065</v>
      </c>
      <c r="AT735" s="132"/>
      <c r="AU735" s="145"/>
    </row>
    <row r="736" spans="13:47" x14ac:dyDescent="0.25">
      <c r="M736" s="20"/>
      <c r="N736" s="20"/>
      <c r="O736" s="7" t="s">
        <v>189</v>
      </c>
      <c r="P736" s="1"/>
      <c r="Q736" s="7"/>
      <c r="R736" s="181">
        <f>P_2_minW+(R733^2*R_dn)-dpdn_minQ</f>
        <v>50</v>
      </c>
      <c r="S736" s="132"/>
      <c r="T736" s="146"/>
      <c r="U736" s="138">
        <f>P_2_minW+(U733^2*R_dn)-dpdn_minQ</f>
        <v>50</v>
      </c>
      <c r="V736" s="132"/>
      <c r="W736" s="146"/>
      <c r="X736" s="138">
        <f>P_2_minW+(X733^2*R_dn)-dpdn_minQ</f>
        <v>50</v>
      </c>
      <c r="Y736" s="132"/>
      <c r="Z736" s="146"/>
      <c r="AA736" s="138">
        <f>P_2_minW+(AA733^2*R_dn)-dpdn_minQ</f>
        <v>50</v>
      </c>
      <c r="AB736" s="132"/>
      <c r="AC736" s="146"/>
      <c r="AD736" s="138">
        <f>P_2_minW+(AD733^2*R_dn)-dpdn_minQ</f>
        <v>50</v>
      </c>
      <c r="AE736" s="132"/>
      <c r="AF736" s="146"/>
      <c r="AG736" s="138">
        <f>P_2_minW+(AG733^2*R_dn)-dpdn_minQ</f>
        <v>50</v>
      </c>
      <c r="AH736" s="132"/>
      <c r="AI736" s="146"/>
      <c r="AJ736" s="138">
        <f>P_2_minW+(AJ733^2*R_dn)-dpdn_minQ</f>
        <v>50</v>
      </c>
      <c r="AK736" s="132"/>
      <c r="AL736" s="146"/>
      <c r="AM736" s="138">
        <f>P_2_minW+(AM733^2*R_dn)-dpdn_minQ</f>
        <v>50</v>
      </c>
      <c r="AN736" s="132"/>
      <c r="AO736" s="146"/>
      <c r="AP736" s="138">
        <f>P_2_minW+(AP733^2*R_dn)-dpdn_minQ</f>
        <v>50</v>
      </c>
      <c r="AQ736" s="132"/>
      <c r="AR736" s="146"/>
      <c r="AS736" s="138">
        <f>P_2_minW+(AS733^2*R_dn)-dpdn_minQ</f>
        <v>50</v>
      </c>
      <c r="AT736" s="132"/>
      <c r="AU736" s="146"/>
    </row>
    <row r="737" spans="13:47" x14ac:dyDescent="0.25">
      <c r="M737" s="20"/>
      <c r="N737" s="20"/>
      <c r="O737" s="7" t="s">
        <v>234</v>
      </c>
      <c r="P737" s="1"/>
      <c r="Q737" s="7"/>
      <c r="R737" s="179">
        <f>'Valve Sizing'!G$8*R735/P_1_maxW</f>
        <v>0.48490219926219646</v>
      </c>
      <c r="S737" s="132"/>
      <c r="T737" s="146"/>
      <c r="U737" s="143">
        <f>'Valve Sizing'!$G$8*U735/P_1_maxW</f>
        <v>0.48378118734310238</v>
      </c>
      <c r="V737" s="132"/>
      <c r="W737" s="146"/>
      <c r="X737" s="143">
        <f>'Valve Sizing'!$G$8*X735/P_1_maxW</f>
        <v>0.47803638694416029</v>
      </c>
      <c r="Y737" s="132"/>
      <c r="Z737" s="146"/>
      <c r="AA737" s="143">
        <f>'Valve Sizing'!$G$8*AA735/P_1_maxW</f>
        <v>0.45885019691783591</v>
      </c>
      <c r="AB737" s="132"/>
      <c r="AC737" s="146"/>
      <c r="AD737" s="143">
        <f>'Valve Sizing'!$G$8*AD735/P_1_maxW</f>
        <v>0.41443326838191308</v>
      </c>
      <c r="AE737" s="132"/>
      <c r="AF737" s="146"/>
      <c r="AG737" s="143">
        <f>'Valve Sizing'!$G$8*AG735/P_1_maxW</f>
        <v>0.34627238678153932</v>
      </c>
      <c r="AH737" s="132"/>
      <c r="AI737" s="146"/>
      <c r="AJ737" s="143">
        <f>'Valve Sizing'!$G$8*AJ735/P_1_maxW</f>
        <v>0.26139848191387527</v>
      </c>
      <c r="AK737" s="132"/>
      <c r="AL737" s="146"/>
      <c r="AM737" s="143">
        <f>'Valve Sizing'!$G$8*AM735/P_1_maxW</f>
        <v>0.17759716146919163</v>
      </c>
      <c r="AN737" s="132"/>
      <c r="AO737" s="146"/>
      <c r="AP737" s="143">
        <f>'Valve Sizing'!$G$8*AP735/P_1_maxW</f>
        <v>0.10239429784971457</v>
      </c>
      <c r="AQ737" s="132"/>
      <c r="AR737" s="146"/>
      <c r="AS737" s="143">
        <f>'Valve Sizing'!$G$8*AS735/P_1_maxW</f>
        <v>8.7881008038659808E-3</v>
      </c>
      <c r="AT737" s="132"/>
      <c r="AU737" s="146"/>
    </row>
    <row r="738" spans="13:47" x14ac:dyDescent="0.25">
      <c r="M738" s="20"/>
      <c r="N738" s="20"/>
      <c r="O738" s="7" t="s">
        <v>190</v>
      </c>
      <c r="P738" s="1"/>
      <c r="Q738" s="7"/>
      <c r="R738" s="181">
        <f>R735-R736</f>
        <v>50.522407996236439</v>
      </c>
      <c r="S738" s="132"/>
      <c r="T738" s="146"/>
      <c r="U738" s="138">
        <f>U735-U736</f>
        <v>50.29001718078689</v>
      </c>
      <c r="V738" s="132"/>
      <c r="W738" s="146"/>
      <c r="X738" s="138">
        <f>X735-X736</f>
        <v>49.099094206137437</v>
      </c>
      <c r="Y738" s="132"/>
      <c r="Z738" s="146"/>
      <c r="AA738" s="138">
        <f>AA735-AA736</f>
        <v>45.121710674666502</v>
      </c>
      <c r="AB738" s="132"/>
      <c r="AC738" s="146"/>
      <c r="AD738" s="138">
        <f>AD735-AD736</f>
        <v>35.913881510308656</v>
      </c>
      <c r="AE738" s="132"/>
      <c r="AF738" s="146"/>
      <c r="AG738" s="138">
        <f>AG735-AG736</f>
        <v>21.783824026467286</v>
      </c>
      <c r="AH738" s="132"/>
      <c r="AI738" s="146"/>
      <c r="AJ738" s="138">
        <f>AJ735-AJ736</f>
        <v>4.1890816097025265</v>
      </c>
      <c r="AK738" s="132"/>
      <c r="AL738" s="146"/>
      <c r="AM738" s="138">
        <f>AM735-AM736</f>
        <v>-13.183309229483704</v>
      </c>
      <c r="AN738" s="132"/>
      <c r="AO738" s="146"/>
      <c r="AP738" s="138">
        <f>AP735-AP736</f>
        <v>-28.773201275229582</v>
      </c>
      <c r="AQ738" s="132"/>
      <c r="AR738" s="146"/>
      <c r="AS738" s="138">
        <f>AS735-AS736</f>
        <v>-48.178187156374193</v>
      </c>
      <c r="AT738" s="132"/>
      <c r="AU738" s="146"/>
    </row>
    <row r="739" spans="13:47" ht="14.5" x14ac:dyDescent="0.35">
      <c r="M739" s="27"/>
      <c r="N739" s="27"/>
      <c r="O739" s="2" t="s">
        <v>191</v>
      </c>
      <c r="P739" s="10"/>
      <c r="Q739" s="2"/>
      <c r="R739" s="181">
        <f>R738/R735</f>
        <v>0.50259846539020436</v>
      </c>
      <c r="S739" s="132"/>
      <c r="T739" s="146"/>
      <c r="U739" s="138">
        <f>U738/U735</f>
        <v>0.50144589256707417</v>
      </c>
      <c r="V739" s="132"/>
      <c r="W739" s="146"/>
      <c r="X739" s="138">
        <f>X738/X735</f>
        <v>0.49545452054289935</v>
      </c>
      <c r="Y739" s="132"/>
      <c r="Z739" s="146"/>
      <c r="AA739" s="138">
        <f>AA738/AA735</f>
        <v>0.47435764511207051</v>
      </c>
      <c r="AB739" s="132"/>
      <c r="AC739" s="146"/>
      <c r="AD739" s="138">
        <f>AD738/AD735</f>
        <v>0.41802187119201933</v>
      </c>
      <c r="AE739" s="132"/>
      <c r="AF739" s="146"/>
      <c r="AG739" s="138">
        <f>AG738/AG735</f>
        <v>0.30346424590636756</v>
      </c>
      <c r="AH739" s="132"/>
      <c r="AI739" s="146"/>
      <c r="AJ739" s="138">
        <f>AJ738/AJ735</f>
        <v>7.7304901379846858E-2</v>
      </c>
      <c r="AK739" s="132"/>
      <c r="AL739" s="146"/>
      <c r="AM739" s="138">
        <f>AM738/AM735</f>
        <v>-0.35807969031375358</v>
      </c>
      <c r="AN739" s="132"/>
      <c r="AO739" s="146"/>
      <c r="AP739" s="138">
        <f>AP738/AP735</f>
        <v>-1.3555129837667399</v>
      </c>
      <c r="AQ739" s="132"/>
      <c r="AR739" s="146"/>
      <c r="AS739" s="138">
        <f>AS738/AS735</f>
        <v>-26.445190198840102</v>
      </c>
      <c r="AT739" s="132"/>
      <c r="AU739" s="146"/>
    </row>
    <row r="740" spans="13:47" x14ac:dyDescent="0.25">
      <c r="M740" s="27"/>
      <c r="N740" s="27"/>
      <c r="O740" s="2" t="s">
        <v>26</v>
      </c>
      <c r="P740" s="7">
        <v>12</v>
      </c>
      <c r="Q740" s="2"/>
      <c r="R740" s="181">
        <f>1-R739/(3*F_GAMMA*R$29)</f>
        <v>0.73824095988430272</v>
      </c>
      <c r="S740" s="133"/>
      <c r="T740" s="146"/>
      <c r="U740" s="138">
        <f>1-U739/(3*F_GAMMA*U$29)</f>
        <v>0.73889873367514924</v>
      </c>
      <c r="V740" s="133"/>
      <c r="W740" s="146"/>
      <c r="X740" s="138">
        <f>1-X739/(3*F_GAMMA*X$29)</f>
        <v>0.73814828760327655</v>
      </c>
      <c r="Y740" s="133"/>
      <c r="Z740" s="146"/>
      <c r="AA740" s="138">
        <f>1-AA739/(3*F_GAMMA*AA$29)</f>
        <v>0.74586068535958128</v>
      </c>
      <c r="AB740" s="133"/>
      <c r="AC740" s="146"/>
      <c r="AD740" s="138">
        <f>1-AD739/(3*F_GAMMA*AD$29)</f>
        <v>0.76990240910031194</v>
      </c>
      <c r="AE740" s="133"/>
      <c r="AF740" s="146"/>
      <c r="AG740" s="138">
        <f>1-AG739/(3*F_GAMMA*AG$29)</f>
        <v>0.8234317277476999</v>
      </c>
      <c r="AH740" s="133"/>
      <c r="AI740" s="146"/>
      <c r="AJ740" s="138">
        <f>1-AJ739/(3*F_GAMMA*AJ$29)</f>
        <v>0.951916576598413</v>
      </c>
      <c r="AK740" s="133"/>
      <c r="AL740" s="146"/>
      <c r="AM740" s="138">
        <f>1-AM739/(3*F_GAMMA*AM$29)</f>
        <v>1.2433491910370686</v>
      </c>
      <c r="AN740" s="133"/>
      <c r="AO740" s="146"/>
      <c r="AP740" s="138">
        <f>1-AP739/(3*F_GAMMA*AP$29)</f>
        <v>1.7612720856549493</v>
      </c>
      <c r="AQ740" s="133"/>
      <c r="AR740" s="146"/>
      <c r="AS740" s="138">
        <f>1-AS739/(3*F_GAMMA*AS$29)</f>
        <v>23.546521562998226</v>
      </c>
      <c r="AT740" s="133"/>
      <c r="AU740" s="146"/>
    </row>
    <row r="741" spans="13:47" x14ac:dyDescent="0.25">
      <c r="M741" s="27"/>
      <c r="N741" s="27"/>
      <c r="O741" s="2" t="s">
        <v>71</v>
      </c>
      <c r="P741" s="85">
        <v>5</v>
      </c>
      <c r="Q741" s="2"/>
      <c r="R741" s="179">
        <f>R733/((N_6*R$27*R740)*SQRT(R739*R735*R737))</f>
        <v>0.13325839833826081</v>
      </c>
      <c r="S741" s="133"/>
      <c r="T741" s="146"/>
      <c r="U741" s="143">
        <f>U733/((N_6*U$27*U740)*SQRT(U739*U735*U737))</f>
        <v>3.3141617889758774</v>
      </c>
      <c r="V741" s="133"/>
      <c r="W741" s="146"/>
      <c r="X741" s="143">
        <f>X733/((N_6*X$27*X740)*SQRT(X739*X735*X737))</f>
        <v>8.3718147825858882</v>
      </c>
      <c r="Y741" s="133"/>
      <c r="Z741" s="146"/>
      <c r="AA741" s="143">
        <f>AA733/((N_6*AA$27*AA740)*SQRT(AA739*AA735*AA737))</f>
        <v>17.280930198094577</v>
      </c>
      <c r="AB741" s="133"/>
      <c r="AC741" s="146"/>
      <c r="AD741" s="143">
        <f>AD733/((N_6*AD$27*AD740)*SQRT(AD739*AD735*AD737))</f>
        <v>32.86035749363279</v>
      </c>
      <c r="AE741" s="133"/>
      <c r="AF741" s="146"/>
      <c r="AG741" s="143">
        <f>AG733/((N_6*AG$27*AG740)*SQRT(AG739*AG735*AG737))</f>
        <v>61.838690460053023</v>
      </c>
      <c r="AH741" s="133"/>
      <c r="AI741" s="146"/>
      <c r="AJ741" s="143">
        <f>AJ733/((N_6*AJ$27*AJ740)*SQRT(AJ739*AJ735*AJ737))</f>
        <v>184.38542426763061</v>
      </c>
      <c r="AK741" s="133"/>
      <c r="AL741" s="146"/>
      <c r="AM741" s="143" t="e">
        <f>AM733/((N_6*AM$27*AM740)*SQRT(AM739*AM735*AM737))</f>
        <v>#NUM!</v>
      </c>
      <c r="AN741" s="133"/>
      <c r="AO741" s="146"/>
      <c r="AP741" s="143" t="e">
        <f>AP733/((N_6*AP$27*AP740)*SQRT(AP739*AP735*AP737))</f>
        <v>#NUM!</v>
      </c>
      <c r="AQ741" s="133"/>
      <c r="AR741" s="146"/>
      <c r="AS741" s="143" t="e">
        <f>AS733/((N_6*AS$27*AS740)*SQRT(AS739*AS735*AS737))</f>
        <v>#NUM!</v>
      </c>
      <c r="AT741" s="133"/>
      <c r="AU741" s="146"/>
    </row>
    <row r="742" spans="13:47" x14ac:dyDescent="0.25">
      <c r="M742" s="27"/>
      <c r="N742" s="27"/>
      <c r="O742" s="2" t="s">
        <v>73</v>
      </c>
      <c r="P742" s="85">
        <v>5</v>
      </c>
      <c r="Q742" s="2"/>
      <c r="R742" s="179">
        <f>R733/((N_6*R$27*0.667)*SQRT(R743*R735*R737))</f>
        <v>0.13070083578836125</v>
      </c>
      <c r="S742" s="133"/>
      <c r="T742" s="155"/>
      <c r="U742" s="143">
        <f>U733/((N_6*U$27*0.667)*SQRT(U743*U735*U737))</f>
        <v>3.2493606028803339</v>
      </c>
      <c r="V742" s="133"/>
      <c r="W742" s="155"/>
      <c r="X742" s="143">
        <f>X733/((N_6*X$27*0.667)*SQRT(X743*X735*X737))</f>
        <v>8.2115611374635922</v>
      </c>
      <c r="Y742" s="133"/>
      <c r="Z742" s="155"/>
      <c r="AA742" s="143">
        <f>AA733/((N_6*AA$27*0.667)*SQRT(AA743*AA735*AA737))</f>
        <v>16.873126112805107</v>
      </c>
      <c r="AB742" s="133"/>
      <c r="AC742" s="155"/>
      <c r="AD742" s="143">
        <f>AD733/((N_6*AD$27*0.667)*SQRT(AD743*AD735*AD737))</f>
        <v>31.513656127862248</v>
      </c>
      <c r="AE742" s="133"/>
      <c r="AF742" s="155"/>
      <c r="AG742" s="143">
        <f>AG733/((N_6*AG$27*0.667)*SQRT(AG743*AG735*AG737))</f>
        <v>55.562145581914606</v>
      </c>
      <c r="AH742" s="133"/>
      <c r="AI742" s="155"/>
      <c r="AJ742" s="143">
        <f>AJ733/((N_6*AJ$27*0.667)*SQRT(AJ743*AJ735*AJ737))</f>
        <v>99.944283838032391</v>
      </c>
      <c r="AK742" s="133"/>
      <c r="AL742" s="155"/>
      <c r="AM742" s="143">
        <f>AM733/((N_6*AM$27*0.667)*SQRT(AM743*AM735*AM737))</f>
        <v>191.37365844850146</v>
      </c>
      <c r="AN742" s="133"/>
      <c r="AO742" s="155"/>
      <c r="AP742" s="143">
        <f>AP733/((N_6*AP$27*0.667)*SQRT(AP743*AP735*AP737))</f>
        <v>382.40595312725617</v>
      </c>
      <c r="AQ742" s="133"/>
      <c r="AR742" s="155"/>
      <c r="AS742" s="143">
        <f>AS733/((N_6*AS$27*0.667)*SQRT(AS743*AS735*AS737))</f>
        <v>8047.7825369204111</v>
      </c>
      <c r="AT742" s="133"/>
      <c r="AU742" s="155"/>
    </row>
    <row r="743" spans="13:47" ht="15.5" x14ac:dyDescent="0.4">
      <c r="M743" s="27"/>
      <c r="N743" s="27"/>
      <c r="O743" s="2" t="s">
        <v>192</v>
      </c>
      <c r="P743" s="85">
        <v>10</v>
      </c>
      <c r="Q743" s="2"/>
      <c r="R743" s="181">
        <f>F_GAMMA*R$29</f>
        <v>0.64002688015162901</v>
      </c>
      <c r="S743" s="133"/>
      <c r="T743" s="155"/>
      <c r="U743" s="138">
        <f>F_GAMMA*U$29</f>
        <v>0.64016782916606918</v>
      </c>
      <c r="V743" s="133"/>
      <c r="W743" s="155"/>
      <c r="X743" s="138">
        <f>F_GAMMA*X$29</f>
        <v>0.6307062319203669</v>
      </c>
      <c r="Y743" s="133"/>
      <c r="Z743" s="155"/>
      <c r="AA743" s="138">
        <f>F_GAMMA*AA$29</f>
        <v>0.62217534213893466</v>
      </c>
      <c r="AB743" s="133"/>
      <c r="AC743" s="155"/>
      <c r="AD743" s="138">
        <f>F_GAMMA*AD$29</f>
        <v>0.60557184969146072</v>
      </c>
      <c r="AE743" s="133"/>
      <c r="AF743" s="155"/>
      <c r="AG743" s="138">
        <f>F_GAMMA*AG$29</f>
        <v>0.57289312142622573</v>
      </c>
      <c r="AH743" s="133"/>
      <c r="AI743" s="155"/>
      <c r="AJ743" s="138">
        <f>F_GAMMA*AJ$29</f>
        <v>0.53590819116049981</v>
      </c>
      <c r="AK743" s="133"/>
      <c r="AL743" s="155"/>
      <c r="AM743" s="138">
        <f>F_GAMMA*AM$29</f>
        <v>0.49048815926850342</v>
      </c>
      <c r="AN743" s="133"/>
      <c r="AO743" s="155"/>
      <c r="AP743" s="138">
        <f>F_GAMMA*AP$29</f>
        <v>0.59352979016280105</v>
      </c>
      <c r="AQ743" s="133"/>
      <c r="AR743" s="155"/>
      <c r="AS743" s="138">
        <f>F_GAMMA*AS$29</f>
        <v>0.39097221161068291</v>
      </c>
      <c r="AT743" s="133"/>
      <c r="AU743" s="155"/>
    </row>
    <row r="744" spans="13:47" x14ac:dyDescent="0.25">
      <c r="M744" s="27"/>
      <c r="N744" s="27"/>
      <c r="O744" s="2" t="s">
        <v>193</v>
      </c>
      <c r="P744" s="134"/>
      <c r="Q744" s="2"/>
      <c r="R744" s="181">
        <f>IF(R739&lt;R743,R741,R742)</f>
        <v>0.13325839833826081</v>
      </c>
      <c r="S744" s="133"/>
      <c r="T744" s="155"/>
      <c r="U744" s="138">
        <f>IF(U739&lt;U743,U741,U742)</f>
        <v>3.3141617889758774</v>
      </c>
      <c r="V744" s="133"/>
      <c r="W744" s="155"/>
      <c r="X744" s="138">
        <f>IF(X739&lt;X743,X741,X742)</f>
        <v>8.3718147825858882</v>
      </c>
      <c r="Y744" s="133"/>
      <c r="Z744" s="155"/>
      <c r="AA744" s="138">
        <f>IF(AA739&lt;AA743,AA741,AA742)</f>
        <v>17.280930198094577</v>
      </c>
      <c r="AB744" s="133"/>
      <c r="AC744" s="155"/>
      <c r="AD744" s="138">
        <f>IF(AD739&lt;AD743,AD741,AD742)</f>
        <v>32.86035749363279</v>
      </c>
      <c r="AE744" s="133"/>
      <c r="AF744" s="155"/>
      <c r="AG744" s="138">
        <f>IF(AG739&lt;AG743,AG741,AG742)</f>
        <v>61.838690460053023</v>
      </c>
      <c r="AH744" s="133"/>
      <c r="AI744" s="155"/>
      <c r="AJ744" s="138">
        <f>IF(AJ739&lt;AJ743,AJ741,AJ742)</f>
        <v>184.38542426763061</v>
      </c>
      <c r="AK744" s="133"/>
      <c r="AL744" s="155"/>
      <c r="AM744" s="138" t="e">
        <f>IF(AM739&lt;AM743,AM741,AM742)</f>
        <v>#NUM!</v>
      </c>
      <c r="AN744" s="133"/>
      <c r="AO744" s="155"/>
      <c r="AP744" s="138" t="e">
        <f>IF(AP739&lt;AP743,AP741,AP742)</f>
        <v>#NUM!</v>
      </c>
      <c r="AQ744" s="133"/>
      <c r="AR744" s="155"/>
      <c r="AS744" s="138" t="e">
        <f>IF(AS739&lt;AS743,AS741,AS742)</f>
        <v>#NUM!</v>
      </c>
      <c r="AT744" s="133"/>
      <c r="AU744" s="155"/>
    </row>
    <row r="745" spans="13:47" ht="13" x14ac:dyDescent="0.3">
      <c r="M745" s="28"/>
      <c r="N745" s="28"/>
      <c r="O745" s="9" t="s">
        <v>194</v>
      </c>
      <c r="P745" s="1"/>
      <c r="Q745" s="1"/>
      <c r="R745" s="135"/>
      <c r="S745" s="132">
        <f>IF(R738&lt;=0,W_max,ABS(R$23-R744))</f>
        <v>1.8667416016617393</v>
      </c>
      <c r="T745" s="151">
        <f>R733</f>
        <v>30.818682932892802</v>
      </c>
      <c r="U745" s="135"/>
      <c r="V745" s="132">
        <f>IF(U738&lt;=0,W_max,ABS(U$23-U744))</f>
        <v>1.6858382110241226</v>
      </c>
      <c r="W745" s="151">
        <f>U733</f>
        <v>764.02275827755443</v>
      </c>
      <c r="X745" s="135"/>
      <c r="Y745" s="132">
        <f>IF(X738&lt;=0,W_max,ABS(X$23-X744))</f>
        <v>1.6281852174141118</v>
      </c>
      <c r="Z745" s="151">
        <f>X733</f>
        <v>1889.5192009944144</v>
      </c>
      <c r="AA745" s="135"/>
      <c r="AB745" s="132">
        <f>IF(AA738&lt;=0,W_max,ABS(AA$23-AA744))</f>
        <v>8.0930198094577577E-2</v>
      </c>
      <c r="AC745" s="151">
        <f>AA733</f>
        <v>3680.3011124276377</v>
      </c>
      <c r="AD745" s="135"/>
      <c r="AE745" s="132">
        <f>IF(AD738&lt;=0,W_max,ABS(AD$23-AD744))</f>
        <v>6.2603574936327888</v>
      </c>
      <c r="AF745" s="151">
        <f>AD733</f>
        <v>6052.7403234659341</v>
      </c>
      <c r="AG745" s="135"/>
      <c r="AH745" s="132">
        <f>IF(AG738&lt;=0,W_max,ABS(AG$23-AG744))</f>
        <v>23.438690460053024</v>
      </c>
      <c r="AI745" s="151">
        <f>AG733</f>
        <v>8489.4342809538921</v>
      </c>
      <c r="AJ745" s="135"/>
      <c r="AK745" s="132">
        <f>IF(AJ738&lt;=0,W_max,ABS(AJ$23-AJ744))</f>
        <v>131.88542426763061</v>
      </c>
      <c r="AL745" s="151">
        <f>AJ733</f>
        <v>10779.328852961778</v>
      </c>
      <c r="AM745" s="135"/>
      <c r="AN745" s="132">
        <f>IF(AM738&lt;=0,W_max,ABS(AM$23-AM744))</f>
        <v>7174</v>
      </c>
      <c r="AO745" s="151">
        <f>AM733</f>
        <v>12639.610819592848</v>
      </c>
      <c r="AP745" s="135"/>
      <c r="AQ745" s="132">
        <f>IF(AP738&lt;=0,W_max,ABS(AP$23-AP744))</f>
        <v>7174</v>
      </c>
      <c r="AR745" s="151">
        <f>AP733</f>
        <v>14101.613705588201</v>
      </c>
      <c r="AS745" s="135"/>
      <c r="AT745" s="132">
        <f>IF(AS738&lt;=0,W_max,ABS(AS$23-AS744))</f>
        <v>7174</v>
      </c>
      <c r="AU745" s="151">
        <f>AS733</f>
        <v>15732.724048226555</v>
      </c>
    </row>
    <row r="746" spans="13:47" ht="13" x14ac:dyDescent="0.25">
      <c r="M746" s="12"/>
      <c r="N746" s="12"/>
      <c r="O746" s="2"/>
      <c r="P746" s="85"/>
      <c r="Q746" s="2"/>
      <c r="R746" s="18"/>
      <c r="S746" s="150"/>
      <c r="T746" s="148"/>
      <c r="U746" s="157"/>
      <c r="V746" s="1"/>
      <c r="W746" s="147"/>
      <c r="X746" s="157"/>
      <c r="Y746" s="1"/>
      <c r="Z746" s="147"/>
      <c r="AA746" s="157"/>
      <c r="AB746" s="1"/>
      <c r="AC746" s="147"/>
      <c r="AD746" s="157"/>
      <c r="AE746" s="1"/>
      <c r="AF746" s="147"/>
      <c r="AG746" s="157"/>
      <c r="AH746" s="1"/>
      <c r="AI746" s="147"/>
      <c r="AJ746" s="157"/>
      <c r="AK746" s="1"/>
      <c r="AL746" s="147"/>
      <c r="AM746" s="157"/>
      <c r="AN746" s="1"/>
      <c r="AO746" s="147"/>
      <c r="AP746" s="157"/>
      <c r="AQ746" s="1"/>
      <c r="AR746" s="147"/>
      <c r="AS746" s="157"/>
      <c r="AT746" s="1"/>
      <c r="AU746" s="147"/>
    </row>
    <row r="747" spans="13:47" ht="14" x14ac:dyDescent="0.3">
      <c r="M747" s="23"/>
      <c r="N747" s="23"/>
      <c r="O747" s="23" t="s">
        <v>238</v>
      </c>
      <c r="P747" s="20"/>
      <c r="Q747" s="20"/>
      <c r="R747" s="181">
        <f>R733*1.02</f>
        <v>31.435056591550659</v>
      </c>
      <c r="S747" s="128" t="s">
        <v>185</v>
      </c>
      <c r="T747" s="149" t="s">
        <v>186</v>
      </c>
      <c r="U747" s="143">
        <f>U733*1.01</f>
        <v>771.66298586032997</v>
      </c>
      <c r="V747" s="128" t="s">
        <v>185</v>
      </c>
      <c r="W747" s="153" t="s">
        <v>186</v>
      </c>
      <c r="X747" s="143">
        <f>X733*1.01</f>
        <v>1908.4143930043585</v>
      </c>
      <c r="Y747" s="128" t="s">
        <v>185</v>
      </c>
      <c r="Z747" s="153" t="s">
        <v>186</v>
      </c>
      <c r="AA747" s="143">
        <f>AA733*1.01</f>
        <v>3717.1041235519142</v>
      </c>
      <c r="AB747" s="128" t="s">
        <v>185</v>
      </c>
      <c r="AC747" s="153" t="s">
        <v>186</v>
      </c>
      <c r="AD747" s="143">
        <f>AD733*1.01</f>
        <v>6113.2677267005938</v>
      </c>
      <c r="AE747" s="128" t="s">
        <v>185</v>
      </c>
      <c r="AF747" s="153" t="s">
        <v>186</v>
      </c>
      <c r="AG747" s="143">
        <f>AG733*1.01</f>
        <v>8574.3286237634311</v>
      </c>
      <c r="AH747" s="128" t="s">
        <v>185</v>
      </c>
      <c r="AI747" s="153" t="s">
        <v>186</v>
      </c>
      <c r="AJ747" s="143">
        <f>AJ733*1.01</f>
        <v>10887.122141491396</v>
      </c>
      <c r="AK747" s="128" t="s">
        <v>185</v>
      </c>
      <c r="AL747" s="153" t="s">
        <v>186</v>
      </c>
      <c r="AM747" s="143">
        <f>AM733*1.01</f>
        <v>12766.006927788776</v>
      </c>
      <c r="AN747" s="128" t="s">
        <v>185</v>
      </c>
      <c r="AO747" s="153" t="s">
        <v>186</v>
      </c>
      <c r="AP747" s="143">
        <f>AP733*1.01</f>
        <v>14242.629842644083</v>
      </c>
      <c r="AQ747" s="128" t="s">
        <v>185</v>
      </c>
      <c r="AR747" s="153" t="s">
        <v>186</v>
      </c>
      <c r="AS747" s="143">
        <f>AS733*1.01</f>
        <v>15890.051288708821</v>
      </c>
      <c r="AT747" s="128" t="s">
        <v>185</v>
      </c>
      <c r="AU747" s="153" t="s">
        <v>186</v>
      </c>
    </row>
    <row r="748" spans="13:47" ht="14" x14ac:dyDescent="0.3">
      <c r="M748" s="12"/>
      <c r="N748" s="12"/>
      <c r="O748" s="20"/>
      <c r="P748" s="20"/>
      <c r="Q748" s="23"/>
      <c r="R748" s="139"/>
      <c r="S748" s="130" t="s">
        <v>228</v>
      </c>
      <c r="T748" s="131" t="s">
        <v>187</v>
      </c>
      <c r="U748" s="144"/>
      <c r="V748" s="130" t="s">
        <v>228</v>
      </c>
      <c r="W748" s="154" t="s">
        <v>187</v>
      </c>
      <c r="X748" s="144"/>
      <c r="Y748" s="130" t="s">
        <v>228</v>
      </c>
      <c r="Z748" s="154" t="s">
        <v>187</v>
      </c>
      <c r="AA748" s="144"/>
      <c r="AB748" s="130" t="s">
        <v>228</v>
      </c>
      <c r="AC748" s="154" t="s">
        <v>187</v>
      </c>
      <c r="AD748" s="144"/>
      <c r="AE748" s="130" t="s">
        <v>228</v>
      </c>
      <c r="AF748" s="154" t="s">
        <v>187</v>
      </c>
      <c r="AG748" s="144"/>
      <c r="AH748" s="130" t="s">
        <v>228</v>
      </c>
      <c r="AI748" s="154" t="s">
        <v>187</v>
      </c>
      <c r="AJ748" s="144"/>
      <c r="AK748" s="130" t="s">
        <v>228</v>
      </c>
      <c r="AL748" s="154" t="s">
        <v>187</v>
      </c>
      <c r="AM748" s="144"/>
      <c r="AN748" s="130" t="s">
        <v>228</v>
      </c>
      <c r="AO748" s="154" t="s">
        <v>187</v>
      </c>
      <c r="AP748" s="144"/>
      <c r="AQ748" s="130" t="s">
        <v>228</v>
      </c>
      <c r="AR748" s="154" t="s">
        <v>187</v>
      </c>
      <c r="AS748" s="144"/>
      <c r="AT748" s="130" t="s">
        <v>228</v>
      </c>
      <c r="AU748" s="154" t="s">
        <v>187</v>
      </c>
    </row>
    <row r="749" spans="13:47" x14ac:dyDescent="0.25">
      <c r="M749" s="20"/>
      <c r="N749" s="20"/>
      <c r="O749" s="7" t="s">
        <v>188</v>
      </c>
      <c r="P749" s="7"/>
      <c r="Q749" s="7"/>
      <c r="R749" s="181">
        <f>P_1_minW-(R747^2*R_up)+dpup_minQ</f>
        <v>100.52239269512063</v>
      </c>
      <c r="S749" s="132"/>
      <c r="T749" s="145"/>
      <c r="U749" s="138">
        <f>P_1_minW-(U747^2*R_up)+dpup_minQ</f>
        <v>100.2853385127125</v>
      </c>
      <c r="V749" s="132"/>
      <c r="W749" s="145"/>
      <c r="X749" s="138">
        <f>P_1_minW-(X747^2*R_up)+dpup_minQ</f>
        <v>99.070477986272593</v>
      </c>
      <c r="Y749" s="132"/>
      <c r="Z749" s="145"/>
      <c r="AA749" s="138">
        <f>P_1_minW-(AA747^2*R_up)+dpup_minQ</f>
        <v>95.013149045819091</v>
      </c>
      <c r="AB749" s="132"/>
      <c r="AC749" s="145"/>
      <c r="AD749" s="138">
        <f>P_1_minW-(AD747^2*R_up)+dpup_minQ</f>
        <v>85.620242515257658</v>
      </c>
      <c r="AE749" s="132"/>
      <c r="AF749" s="145"/>
      <c r="AG749" s="138">
        <f>P_1_minW-(AG747^2*R_up)+dpup_minQ</f>
        <v>71.206170875991077</v>
      </c>
      <c r="AH749" s="132"/>
      <c r="AI749" s="145"/>
      <c r="AJ749" s="138">
        <f>P_1_minW-(AJ747^2*R_up)+dpup_minQ</f>
        <v>53.257774136649338</v>
      </c>
      <c r="AK749" s="132"/>
      <c r="AL749" s="145"/>
      <c r="AM749" s="138">
        <f>P_1_minW-(AM747^2*R_up)+dpup_minQ</f>
        <v>35.536198241595471</v>
      </c>
      <c r="AN749" s="132"/>
      <c r="AO749" s="145"/>
      <c r="AP749" s="138">
        <f>P_1_minW-(AP747^2*R_up)+dpup_minQ</f>
        <v>19.632949365730099</v>
      </c>
      <c r="AQ749" s="132"/>
      <c r="AR749" s="145"/>
      <c r="AS749" s="138">
        <f>P_1_minW-(AS747^2*R_up)+dpup_minQ</f>
        <v>-0.16207673162550462</v>
      </c>
      <c r="AT749" s="132"/>
      <c r="AU749" s="145"/>
    </row>
    <row r="750" spans="13:47" x14ac:dyDescent="0.25">
      <c r="M750" s="20"/>
      <c r="N750" s="20"/>
      <c r="O750" s="7" t="s">
        <v>189</v>
      </c>
      <c r="P750" s="1"/>
      <c r="Q750" s="7"/>
      <c r="R750" s="181">
        <f>P_2_minW+(R747^2*R_dn)-dpdn_minQ</f>
        <v>50</v>
      </c>
      <c r="S750" s="132"/>
      <c r="T750" s="146"/>
      <c r="U750" s="138">
        <f>P_2_minW+(U747^2*R_dn)-dpdn_minQ</f>
        <v>50</v>
      </c>
      <c r="V750" s="132"/>
      <c r="W750" s="146"/>
      <c r="X750" s="138">
        <f>P_2_minW+(X747^2*R_dn)-dpdn_minQ</f>
        <v>50</v>
      </c>
      <c r="Y750" s="132"/>
      <c r="Z750" s="146"/>
      <c r="AA750" s="138">
        <f>P_2_minW+(AA747^2*R_dn)-dpdn_minQ</f>
        <v>50</v>
      </c>
      <c r="AB750" s="132"/>
      <c r="AC750" s="146"/>
      <c r="AD750" s="138">
        <f>P_2_minW+(AD747^2*R_dn)-dpdn_minQ</f>
        <v>50</v>
      </c>
      <c r="AE750" s="132"/>
      <c r="AF750" s="146"/>
      <c r="AG750" s="138">
        <f>P_2_minW+(AG747^2*R_dn)-dpdn_minQ</f>
        <v>50</v>
      </c>
      <c r="AH750" s="132"/>
      <c r="AI750" s="146"/>
      <c r="AJ750" s="138">
        <f>P_2_minW+(AJ747^2*R_dn)-dpdn_minQ</f>
        <v>50</v>
      </c>
      <c r="AK750" s="132"/>
      <c r="AL750" s="146"/>
      <c r="AM750" s="138">
        <f>P_2_minW+(AM747^2*R_dn)-dpdn_minQ</f>
        <v>50</v>
      </c>
      <c r="AN750" s="132"/>
      <c r="AO750" s="146"/>
      <c r="AP750" s="138">
        <f>P_2_minW+(AP747^2*R_dn)-dpdn_minQ</f>
        <v>50</v>
      </c>
      <c r="AQ750" s="132"/>
      <c r="AR750" s="146"/>
      <c r="AS750" s="138">
        <f>P_2_minW+(AS747^2*R_dn)-dpdn_minQ</f>
        <v>50</v>
      </c>
      <c r="AT750" s="132"/>
      <c r="AU750" s="146"/>
    </row>
    <row r="751" spans="13:47" x14ac:dyDescent="0.25">
      <c r="M751" s="20"/>
      <c r="N751" s="20"/>
      <c r="O751" s="7" t="s">
        <v>234</v>
      </c>
      <c r="P751" s="1"/>
      <c r="Q751" s="7"/>
      <c r="R751" s="179">
        <f>'Valve Sizing'!G$8*R749/P_1_maxW</f>
        <v>0.48490212545233796</v>
      </c>
      <c r="S751" s="132"/>
      <c r="T751" s="146"/>
      <c r="U751" s="143">
        <f>'Valve Sizing'!$G$8*U749/P_1_maxW</f>
        <v>0.48375861828129701</v>
      </c>
      <c r="V751" s="132"/>
      <c r="W751" s="146"/>
      <c r="X751" s="143">
        <f>'Valve Sizing'!$G$8*X749/P_1_maxW</f>
        <v>0.47789834739433623</v>
      </c>
      <c r="Y751" s="132"/>
      <c r="Z751" s="146"/>
      <c r="AA751" s="143">
        <f>'Valve Sizing'!$G$8*AA749/P_1_maxW</f>
        <v>0.4583265149484827</v>
      </c>
      <c r="AB751" s="132"/>
      <c r="AC751" s="146"/>
      <c r="AD751" s="143">
        <f>'Valve Sizing'!$G$8*AD749/P_1_maxW</f>
        <v>0.41301680614898784</v>
      </c>
      <c r="AE751" s="132"/>
      <c r="AF751" s="146"/>
      <c r="AG751" s="143">
        <f>'Valve Sizing'!$G$8*AG749/P_1_maxW</f>
        <v>0.34348589082844655</v>
      </c>
      <c r="AH751" s="132"/>
      <c r="AI751" s="146"/>
      <c r="AJ751" s="143">
        <f>'Valve Sizing'!$G$8*AJ749/P_1_maxW</f>
        <v>0.25690602047294242</v>
      </c>
      <c r="AK751" s="132"/>
      <c r="AL751" s="146"/>
      <c r="AM751" s="143">
        <f>'Valve Sizing'!$G$8*AM749/P_1_maxW</f>
        <v>0.17142029348732069</v>
      </c>
      <c r="AN751" s="132"/>
      <c r="AO751" s="146"/>
      <c r="AP751" s="143">
        <f>'Valve Sizing'!$G$8*AP749/P_1_maxW</f>
        <v>9.4705852309092134E-2</v>
      </c>
      <c r="AQ751" s="132"/>
      <c r="AR751" s="146"/>
      <c r="AS751" s="143">
        <f>'Valve Sizing'!$G$8*AS749/P_1_maxW</f>
        <v>-7.818292973779383E-4</v>
      </c>
      <c r="AT751" s="132"/>
      <c r="AU751" s="146"/>
    </row>
    <row r="752" spans="13:47" x14ac:dyDescent="0.25">
      <c r="M752" s="20"/>
      <c r="N752" s="20"/>
      <c r="O752" s="7" t="s">
        <v>190</v>
      </c>
      <c r="P752" s="1"/>
      <c r="Q752" s="7"/>
      <c r="R752" s="181">
        <f>R749-R750</f>
        <v>50.522392695120629</v>
      </c>
      <c r="S752" s="132"/>
      <c r="T752" s="146"/>
      <c r="U752" s="138">
        <f>U749-U750</f>
        <v>50.285338512712499</v>
      </c>
      <c r="V752" s="132"/>
      <c r="W752" s="146"/>
      <c r="X752" s="138">
        <f>X749-X750</f>
        <v>49.070477986272593</v>
      </c>
      <c r="Y752" s="132"/>
      <c r="Z752" s="146"/>
      <c r="AA752" s="138">
        <f>AA749-AA750</f>
        <v>45.013149045819091</v>
      </c>
      <c r="AB752" s="132"/>
      <c r="AC752" s="146"/>
      <c r="AD752" s="138">
        <f>AD749-AD750</f>
        <v>35.620242515257658</v>
      </c>
      <c r="AE752" s="132"/>
      <c r="AF752" s="146"/>
      <c r="AG752" s="138">
        <f>AG749-AG750</f>
        <v>21.206170875991077</v>
      </c>
      <c r="AH752" s="132"/>
      <c r="AI752" s="146"/>
      <c r="AJ752" s="138">
        <f>AJ749-AJ750</f>
        <v>3.2577741366493385</v>
      </c>
      <c r="AK752" s="132"/>
      <c r="AL752" s="146"/>
      <c r="AM752" s="138">
        <f>AM749-AM750</f>
        <v>-14.463801758404529</v>
      </c>
      <c r="AN752" s="132"/>
      <c r="AO752" s="146"/>
      <c r="AP752" s="138">
        <f>AP749-AP750</f>
        <v>-30.367050634269901</v>
      </c>
      <c r="AQ752" s="132"/>
      <c r="AR752" s="146"/>
      <c r="AS752" s="138">
        <f>AS749-AS750</f>
        <v>-50.162076731625504</v>
      </c>
      <c r="AT752" s="132"/>
      <c r="AU752" s="146"/>
    </row>
    <row r="753" spans="13:47" ht="14.5" x14ac:dyDescent="0.35">
      <c r="M753" s="27"/>
      <c r="N753" s="27"/>
      <c r="O753" s="2" t="s">
        <v>191</v>
      </c>
      <c r="P753" s="10"/>
      <c r="Q753" s="2"/>
      <c r="R753" s="181">
        <f>R752/R749</f>
        <v>0.50259838967773585</v>
      </c>
      <c r="S753" s="132"/>
      <c r="T753" s="146"/>
      <c r="U753" s="138">
        <f>U752/U749</f>
        <v>0.5014226332430255</v>
      </c>
      <c r="V753" s="132"/>
      <c r="W753" s="146"/>
      <c r="X753" s="138">
        <f>X752/X749</f>
        <v>0.49530878404636242</v>
      </c>
      <c r="Y753" s="132"/>
      <c r="Z753" s="146"/>
      <c r="AA753" s="138">
        <f>AA752/AA749</f>
        <v>0.4737570483440347</v>
      </c>
      <c r="AB753" s="132"/>
      <c r="AC753" s="146"/>
      <c r="AD753" s="138">
        <f>AD752/AD749</f>
        <v>0.41602594747276123</v>
      </c>
      <c r="AE753" s="132"/>
      <c r="AF753" s="146"/>
      <c r="AG753" s="138">
        <f>AG752/AG749</f>
        <v>0.29781366720199898</v>
      </c>
      <c r="AH753" s="132"/>
      <c r="AI753" s="146"/>
      <c r="AJ753" s="138">
        <f>AJ752/AJ749</f>
        <v>6.1169926634382213E-2</v>
      </c>
      <c r="AK753" s="132"/>
      <c r="AL753" s="146"/>
      <c r="AM753" s="138">
        <f>AM752/AM749</f>
        <v>-0.40701601392673753</v>
      </c>
      <c r="AN753" s="132"/>
      <c r="AO753" s="146"/>
      <c r="AP753" s="138">
        <f>AP752/AP749</f>
        <v>-1.5467391102875505</v>
      </c>
      <c r="AQ753" s="132"/>
      <c r="AR753" s="146"/>
      <c r="AS753" s="138">
        <f>AS752/AS749</f>
        <v>309.49585562676742</v>
      </c>
      <c r="AT753" s="132"/>
      <c r="AU753" s="146"/>
    </row>
    <row r="754" spans="13:47" x14ac:dyDescent="0.25">
      <c r="M754" s="27"/>
      <c r="N754" s="27"/>
      <c r="O754" s="2" t="s">
        <v>26</v>
      </c>
      <c r="P754" s="7">
        <v>12</v>
      </c>
      <c r="Q754" s="2"/>
      <c r="R754" s="181">
        <f>1-R753/(3*F_GAMMA*R$29)</f>
        <v>0.738240999316224</v>
      </c>
      <c r="S754" s="133"/>
      <c r="T754" s="146"/>
      <c r="U754" s="138">
        <f>1-U753/(3*F_GAMMA*U$29)</f>
        <v>0.73891084473050528</v>
      </c>
      <c r="V754" s="133"/>
      <c r="W754" s="146"/>
      <c r="X754" s="138">
        <f>1-X753/(3*F_GAMMA*X$29)</f>
        <v>0.73822531051778151</v>
      </c>
      <c r="Y754" s="133"/>
      <c r="Z754" s="146"/>
      <c r="AA754" s="138">
        <f>1-AA753/(3*F_GAMMA*AA$29)</f>
        <v>0.74618245787147541</v>
      </c>
      <c r="AB754" s="133"/>
      <c r="AC754" s="146"/>
      <c r="AD754" s="138">
        <f>1-AD753/(3*F_GAMMA*AD$29)</f>
        <v>0.77100105314520662</v>
      </c>
      <c r="AE754" s="133"/>
      <c r="AF754" s="146"/>
      <c r="AG754" s="138">
        <f>1-AG753/(3*F_GAMMA*AG$29)</f>
        <v>0.82671947229261689</v>
      </c>
      <c r="AH754" s="133"/>
      <c r="AI754" s="146"/>
      <c r="AJ754" s="138">
        <f>1-AJ753/(3*F_GAMMA*AJ$29)</f>
        <v>0.96195248387482202</v>
      </c>
      <c r="AK754" s="133"/>
      <c r="AL754" s="146"/>
      <c r="AM754" s="138">
        <f>1-AM753/(3*F_GAMMA*AM$29)</f>
        <v>1.2766060751488522</v>
      </c>
      <c r="AN754" s="133"/>
      <c r="AO754" s="146"/>
      <c r="AP754" s="138">
        <f>1-AP753/(3*F_GAMMA*AP$29)</f>
        <v>1.8686669346247367</v>
      </c>
      <c r="AQ754" s="133"/>
      <c r="AR754" s="146"/>
      <c r="AS754" s="138">
        <f>1-AS753/(3*F_GAMMA*AS$29)</f>
        <v>-262.86858744746553</v>
      </c>
      <c r="AT754" s="133"/>
      <c r="AU754" s="146"/>
    </row>
    <row r="755" spans="13:47" x14ac:dyDescent="0.25">
      <c r="M755" s="27"/>
      <c r="N755" s="27"/>
      <c r="O755" s="2" t="s">
        <v>71</v>
      </c>
      <c r="P755" s="85">
        <v>5</v>
      </c>
      <c r="Q755" s="2"/>
      <c r="R755" s="179">
        <f>R747/((N_6*R$27*R754)*SQRT(R753*R749*R751))</f>
        <v>0.13592358997253839</v>
      </c>
      <c r="S755" s="133"/>
      <c r="T755" s="146"/>
      <c r="U755" s="143">
        <f>U747/((N_6*U$27*U754)*SQRT(U753*U749*U751))</f>
        <v>3.3474823408062728</v>
      </c>
      <c r="V755" s="133"/>
      <c r="W755" s="146"/>
      <c r="X755" s="143">
        <f>X747/((N_6*X$27*X754)*SQRT(X753*X749*X751))</f>
        <v>8.4583369106786197</v>
      </c>
      <c r="Y755" s="133"/>
      <c r="Z755" s="146"/>
      <c r="AA755" s="143">
        <f>AA747/((N_6*AA$27*AA754)*SQRT(AA753*AA749*AA751))</f>
        <v>17.477214668493286</v>
      </c>
      <c r="AB755" s="133"/>
      <c r="AC755" s="146"/>
      <c r="AD755" s="143">
        <f>AD747/((N_6*AD$27*AD754)*SQRT(AD753*AD749*AD751))</f>
        <v>33.335006578724602</v>
      </c>
      <c r="AE755" s="133"/>
      <c r="AF755" s="146"/>
      <c r="AG755" s="143">
        <f>AG747/((N_6*AG$27*AG754)*SQRT(AG753*AG749*AG751))</f>
        <v>63.305508038736654</v>
      </c>
      <c r="AH755" s="133"/>
      <c r="AI755" s="146"/>
      <c r="AJ755" s="143">
        <f>AJ747/((N_6*AJ$27*AJ754)*SQRT(AJ753*AJ749*AJ751))</f>
        <v>210.79317466486526</v>
      </c>
      <c r="AK755" s="133"/>
      <c r="AL755" s="146"/>
      <c r="AM755" s="143" t="e">
        <f>AM747/((N_6*AM$27*AM754)*SQRT(AM753*AM749*AM751))</f>
        <v>#NUM!</v>
      </c>
      <c r="AN755" s="133"/>
      <c r="AO755" s="146"/>
      <c r="AP755" s="143" t="e">
        <f>AP747/((N_6*AP$27*AP754)*SQRT(AP753*AP749*AP751))</f>
        <v>#NUM!</v>
      </c>
      <c r="AQ755" s="133"/>
      <c r="AR755" s="146"/>
      <c r="AS755" s="143">
        <f>AS747/((N_6*AS$27*AS754)*SQRT(AS753*AS749*AS751))</f>
        <v>-8.2397372791397707</v>
      </c>
      <c r="AT755" s="133"/>
      <c r="AU755" s="146"/>
    </row>
    <row r="756" spans="13:47" x14ac:dyDescent="0.25">
      <c r="M756" s="27"/>
      <c r="N756" s="27"/>
      <c r="O756" s="2" t="s">
        <v>73</v>
      </c>
      <c r="P756" s="85">
        <v>5</v>
      </c>
      <c r="Q756" s="2"/>
      <c r="R756" s="179">
        <f>R747/((N_6*R$27*0.667)*SQRT(R757*R749*R751))</f>
        <v>0.13331487279678111</v>
      </c>
      <c r="S756" s="133"/>
      <c r="T756" s="147"/>
      <c r="U756" s="143">
        <f>U747/((N_6*U$27*0.667)*SQRT(U757*U749*U751))</f>
        <v>3.2820073190919388</v>
      </c>
      <c r="V756" s="133"/>
      <c r="W756" s="155"/>
      <c r="X756" s="143">
        <f>X747/((N_6*X$27*0.667)*SQRT(X757*X749*X751))</f>
        <v>8.2960723532822236</v>
      </c>
      <c r="Y756" s="133"/>
      <c r="Z756" s="155"/>
      <c r="AA756" s="143">
        <f>AA747/((N_6*AA$27*0.667)*SQRT(AA757*AA749*AA751))</f>
        <v>17.061329329274908</v>
      </c>
      <c r="AB756" s="133"/>
      <c r="AC756" s="155"/>
      <c r="AD756" s="143">
        <f>AD747/((N_6*AD$27*0.667)*SQRT(AD757*AD749*AD751))</f>
        <v>31.937951159432064</v>
      </c>
      <c r="AE756" s="133"/>
      <c r="AF756" s="155"/>
      <c r="AG756" s="143">
        <f>AG747/((N_6*AG$27*0.667)*SQRT(AG757*AG749*AG751))</f>
        <v>56.573016976443306</v>
      </c>
      <c r="AH756" s="133"/>
      <c r="AI756" s="155"/>
      <c r="AJ756" s="143">
        <f>AJ747/((N_6*AJ$27*0.667)*SQRT(AJ757*AJ749*AJ751))</f>
        <v>102.70890835243189</v>
      </c>
      <c r="AK756" s="133"/>
      <c r="AL756" s="155"/>
      <c r="AM756" s="143">
        <f>AM747/((N_6*AM$27*0.667)*SQRT(AM757*AM749*AM751))</f>
        <v>200.25221055972457</v>
      </c>
      <c r="AN756" s="133"/>
      <c r="AO756" s="155"/>
      <c r="AP756" s="143">
        <f>AP747/((N_6*AP$27*0.667)*SQRT(AP757*AP749*AP751))</f>
        <v>417.58508044026848</v>
      </c>
      <c r="AQ756" s="133"/>
      <c r="AR756" s="155"/>
      <c r="AS756" s="143">
        <f>AS747/((N_6*AS$27*0.667)*SQRT(AS757*AS749*AS751))</f>
        <v>91365.176085667947</v>
      </c>
      <c r="AT756" s="133"/>
      <c r="AU756" s="155"/>
    </row>
    <row r="757" spans="13:47" ht="15.5" x14ac:dyDescent="0.4">
      <c r="M757" s="27"/>
      <c r="N757" s="27"/>
      <c r="O757" s="2" t="s">
        <v>192</v>
      </c>
      <c r="P757" s="85">
        <v>10</v>
      </c>
      <c r="Q757" s="2"/>
      <c r="R757" s="181">
        <f>F_GAMMA*R$29</f>
        <v>0.64002688015162901</v>
      </c>
      <c r="S757" s="133"/>
      <c r="T757" s="147"/>
      <c r="U757" s="138">
        <f>F_GAMMA*U$29</f>
        <v>0.64016782916606918</v>
      </c>
      <c r="V757" s="133"/>
      <c r="W757" s="155"/>
      <c r="X757" s="138">
        <f>F_GAMMA*X$29</f>
        <v>0.6307062319203669</v>
      </c>
      <c r="Y757" s="133"/>
      <c r="Z757" s="155"/>
      <c r="AA757" s="138">
        <f>F_GAMMA*AA$29</f>
        <v>0.62217534213893466</v>
      </c>
      <c r="AB757" s="133"/>
      <c r="AC757" s="155"/>
      <c r="AD757" s="138">
        <f>F_GAMMA*AD$29</f>
        <v>0.60557184969146072</v>
      </c>
      <c r="AE757" s="133"/>
      <c r="AF757" s="155"/>
      <c r="AG757" s="138">
        <f>F_GAMMA*AG$29</f>
        <v>0.57289312142622573</v>
      </c>
      <c r="AH757" s="133"/>
      <c r="AI757" s="155"/>
      <c r="AJ757" s="138">
        <f>F_GAMMA*AJ$29</f>
        <v>0.53590819116049981</v>
      </c>
      <c r="AK757" s="133"/>
      <c r="AL757" s="155"/>
      <c r="AM757" s="138">
        <f>F_GAMMA*AM$29</f>
        <v>0.49048815926850342</v>
      </c>
      <c r="AN757" s="133"/>
      <c r="AO757" s="155"/>
      <c r="AP757" s="138">
        <f>F_GAMMA*AP$29</f>
        <v>0.59352979016280105</v>
      </c>
      <c r="AQ757" s="133"/>
      <c r="AR757" s="155"/>
      <c r="AS757" s="138">
        <f>F_GAMMA*AS$29</f>
        <v>0.39097221161068291</v>
      </c>
      <c r="AT757" s="133"/>
      <c r="AU757" s="155"/>
    </row>
    <row r="758" spans="13:47" x14ac:dyDescent="0.25">
      <c r="M758" s="27"/>
      <c r="N758" s="27"/>
      <c r="O758" s="2" t="s">
        <v>193</v>
      </c>
      <c r="P758" s="134"/>
      <c r="Q758" s="2"/>
      <c r="R758" s="181">
        <f>IF(R753&lt;R757,R755,R756)</f>
        <v>0.13592358997253839</v>
      </c>
      <c r="S758" s="133"/>
      <c r="T758" s="147"/>
      <c r="U758" s="138">
        <f>IF(U753&lt;U757,U755,U756)</f>
        <v>3.3474823408062728</v>
      </c>
      <c r="V758" s="133"/>
      <c r="W758" s="155"/>
      <c r="X758" s="138">
        <f>IF(X753&lt;X757,X755,X756)</f>
        <v>8.4583369106786197</v>
      </c>
      <c r="Y758" s="133"/>
      <c r="Z758" s="155"/>
      <c r="AA758" s="138">
        <f>IF(AA753&lt;AA757,AA755,AA756)</f>
        <v>17.477214668493286</v>
      </c>
      <c r="AB758" s="133"/>
      <c r="AC758" s="155"/>
      <c r="AD758" s="138">
        <f>IF(AD753&lt;AD757,AD755,AD756)</f>
        <v>33.335006578724602</v>
      </c>
      <c r="AE758" s="133"/>
      <c r="AF758" s="155"/>
      <c r="AG758" s="138">
        <f>IF(AG753&lt;AG757,AG755,AG756)</f>
        <v>63.305508038736654</v>
      </c>
      <c r="AH758" s="133"/>
      <c r="AI758" s="155"/>
      <c r="AJ758" s="138">
        <f>IF(AJ753&lt;AJ757,AJ755,AJ756)</f>
        <v>210.79317466486526</v>
      </c>
      <c r="AK758" s="133"/>
      <c r="AL758" s="155"/>
      <c r="AM758" s="138" t="e">
        <f>IF(AM753&lt;AM757,AM755,AM756)</f>
        <v>#NUM!</v>
      </c>
      <c r="AN758" s="133"/>
      <c r="AO758" s="155"/>
      <c r="AP758" s="138" t="e">
        <f>IF(AP753&lt;AP757,AP755,AP756)</f>
        <v>#NUM!</v>
      </c>
      <c r="AQ758" s="133"/>
      <c r="AR758" s="155"/>
      <c r="AS758" s="138">
        <f>IF(AS753&lt;AS757,AS755,AS756)</f>
        <v>91365.176085667947</v>
      </c>
      <c r="AT758" s="133"/>
      <c r="AU758" s="155"/>
    </row>
    <row r="759" spans="13:47" ht="13" x14ac:dyDescent="0.3">
      <c r="M759" s="28"/>
      <c r="N759" s="28"/>
      <c r="O759" s="9" t="s">
        <v>194</v>
      </c>
      <c r="P759" s="1"/>
      <c r="Q759" s="1"/>
      <c r="R759" s="135"/>
      <c r="S759" s="132">
        <f>IF(R752&lt;=0,W_max,ABS(R$23-R758))</f>
        <v>1.8640764100274616</v>
      </c>
      <c r="T759" s="151">
        <f>R747</f>
        <v>31.435056591550659</v>
      </c>
      <c r="U759" s="135"/>
      <c r="V759" s="132">
        <f>IF(U752&lt;=0,W_max,ABS(U$23-U758))</f>
        <v>1.6525176591937272</v>
      </c>
      <c r="W759" s="151">
        <f>U747</f>
        <v>771.66298586032997</v>
      </c>
      <c r="X759" s="135"/>
      <c r="Y759" s="132">
        <f>IF(X752&lt;=0,W_max,ABS(X$23-X758))</f>
        <v>1.5416630893213803</v>
      </c>
      <c r="Z759" s="151">
        <f>X747</f>
        <v>1908.4143930043585</v>
      </c>
      <c r="AA759" s="135"/>
      <c r="AB759" s="132">
        <f>IF(AA752&lt;=0,W_max,ABS(AA$23-AA758))</f>
        <v>0.27721466849328635</v>
      </c>
      <c r="AC759" s="151">
        <f>AA747</f>
        <v>3717.1041235519142</v>
      </c>
      <c r="AD759" s="135"/>
      <c r="AE759" s="132">
        <f>IF(AD752&lt;=0,W_max,ABS(AD$23-AD758))</f>
        <v>6.735006578724601</v>
      </c>
      <c r="AF759" s="151">
        <f>AD747</f>
        <v>6113.2677267005938</v>
      </c>
      <c r="AG759" s="135"/>
      <c r="AH759" s="132">
        <f>IF(AG752&lt;=0,W_max,ABS(AG$23-AG758))</f>
        <v>24.905508038736656</v>
      </c>
      <c r="AI759" s="151">
        <f>AG747</f>
        <v>8574.3286237634311</v>
      </c>
      <c r="AJ759" s="135"/>
      <c r="AK759" s="132">
        <f>IF(AJ752&lt;=0,W_max,ABS(AJ$23-AJ758))</f>
        <v>158.29317466486526</v>
      </c>
      <c r="AL759" s="151">
        <f>AJ747</f>
        <v>10887.122141491396</v>
      </c>
      <c r="AM759" s="135"/>
      <c r="AN759" s="132">
        <f>IF(AM752&lt;=0,W_max,ABS(AM$23-AM758))</f>
        <v>7174</v>
      </c>
      <c r="AO759" s="151">
        <f>AM747</f>
        <v>12766.006927788776</v>
      </c>
      <c r="AP759" s="135"/>
      <c r="AQ759" s="132">
        <f>IF(AP752&lt;=0,W_max,ABS(AP$23-AP758))</f>
        <v>7174</v>
      </c>
      <c r="AR759" s="151">
        <f>AP747</f>
        <v>14242.629842644083</v>
      </c>
      <c r="AS759" s="135"/>
      <c r="AT759" s="132">
        <f>IF(AS752&lt;=0,W_max,ABS(AS$23-AS758))</f>
        <v>7174</v>
      </c>
      <c r="AU759" s="151">
        <f>AS747</f>
        <v>15890.051288708821</v>
      </c>
    </row>
    <row r="760" spans="13:47" ht="13" x14ac:dyDescent="0.25">
      <c r="M760" s="12"/>
      <c r="N760" s="12"/>
      <c r="O760" s="12"/>
      <c r="P760" s="12"/>
      <c r="Q760" s="12"/>
      <c r="R760" s="182"/>
      <c r="S760" s="22"/>
      <c r="T760" s="152"/>
      <c r="U760" s="157"/>
      <c r="V760" s="1"/>
      <c r="W760" s="147"/>
      <c r="X760" s="157"/>
      <c r="Y760" s="1"/>
      <c r="Z760" s="147"/>
      <c r="AA760" s="157"/>
      <c r="AB760" s="1"/>
      <c r="AC760" s="147"/>
      <c r="AD760" s="157"/>
      <c r="AE760" s="1"/>
      <c r="AF760" s="147"/>
      <c r="AG760" s="157"/>
      <c r="AH760" s="1"/>
      <c r="AI760" s="147"/>
      <c r="AJ760" s="157"/>
      <c r="AK760" s="1"/>
      <c r="AL760" s="147"/>
      <c r="AM760" s="157"/>
      <c r="AN760" s="1"/>
      <c r="AO760" s="147"/>
      <c r="AP760" s="157"/>
      <c r="AQ760" s="1"/>
      <c r="AR760" s="147"/>
      <c r="AS760" s="157"/>
      <c r="AT760" s="1"/>
      <c r="AU760" s="147"/>
    </row>
    <row r="761" spans="13:47" ht="14" x14ac:dyDescent="0.3">
      <c r="M761" s="23"/>
      <c r="N761" s="23"/>
      <c r="O761" s="23" t="s">
        <v>238</v>
      </c>
      <c r="P761" s="20"/>
      <c r="Q761" s="20"/>
      <c r="R761" s="18">
        <f>R747*1.02</f>
        <v>32.06375772338167</v>
      </c>
      <c r="S761" s="128" t="s">
        <v>185</v>
      </c>
      <c r="T761" s="153" t="s">
        <v>186</v>
      </c>
      <c r="U761" s="143">
        <f>U747*1.01</f>
        <v>779.37961571893322</v>
      </c>
      <c r="V761" s="128" t="s">
        <v>185</v>
      </c>
      <c r="W761" s="153" t="s">
        <v>186</v>
      </c>
      <c r="X761" s="143">
        <f>X747*1.01</f>
        <v>1927.4985369344022</v>
      </c>
      <c r="Y761" s="128" t="s">
        <v>185</v>
      </c>
      <c r="Z761" s="153" t="s">
        <v>186</v>
      </c>
      <c r="AA761" s="143">
        <f>AA747*1.01</f>
        <v>3754.2751647874334</v>
      </c>
      <c r="AB761" s="128" t="s">
        <v>185</v>
      </c>
      <c r="AC761" s="153" t="s">
        <v>186</v>
      </c>
      <c r="AD761" s="143">
        <f>AD747*1.01</f>
        <v>6174.4004039676001</v>
      </c>
      <c r="AE761" s="128" t="s">
        <v>185</v>
      </c>
      <c r="AF761" s="153" t="s">
        <v>186</v>
      </c>
      <c r="AG761" s="143">
        <f>AG747*1.01</f>
        <v>8660.0719100010647</v>
      </c>
      <c r="AH761" s="128" t="s">
        <v>185</v>
      </c>
      <c r="AI761" s="153" t="s">
        <v>186</v>
      </c>
      <c r="AJ761" s="143">
        <f>AJ747*1.01</f>
        <v>10995.993362906311</v>
      </c>
      <c r="AK761" s="128" t="s">
        <v>185</v>
      </c>
      <c r="AL761" s="153" t="s">
        <v>186</v>
      </c>
      <c r="AM761" s="143">
        <f>AM747*1.01</f>
        <v>12893.666997066664</v>
      </c>
      <c r="AN761" s="128" t="s">
        <v>185</v>
      </c>
      <c r="AO761" s="153" t="s">
        <v>186</v>
      </c>
      <c r="AP761" s="143">
        <f>AP747*1.01</f>
        <v>14385.056141070523</v>
      </c>
      <c r="AQ761" s="128" t="s">
        <v>185</v>
      </c>
      <c r="AR761" s="153" t="s">
        <v>186</v>
      </c>
      <c r="AS761" s="143">
        <f>AS747*1.01</f>
        <v>16048.951801595909</v>
      </c>
      <c r="AT761" s="128" t="s">
        <v>185</v>
      </c>
      <c r="AU761" s="153" t="s">
        <v>186</v>
      </c>
    </row>
    <row r="762" spans="13:47" ht="14" x14ac:dyDescent="0.3">
      <c r="M762" s="12"/>
      <c r="N762" s="12"/>
      <c r="O762" s="20"/>
      <c r="P762" s="20"/>
      <c r="Q762" s="23"/>
      <c r="R762" s="139"/>
      <c r="S762" s="130" t="s">
        <v>228</v>
      </c>
      <c r="T762" s="154" t="s">
        <v>187</v>
      </c>
      <c r="U762" s="144"/>
      <c r="V762" s="130" t="s">
        <v>228</v>
      </c>
      <c r="W762" s="154" t="s">
        <v>187</v>
      </c>
      <c r="X762" s="144"/>
      <c r="Y762" s="130" t="s">
        <v>228</v>
      </c>
      <c r="Z762" s="154" t="s">
        <v>187</v>
      </c>
      <c r="AA762" s="144"/>
      <c r="AB762" s="130" t="s">
        <v>228</v>
      </c>
      <c r="AC762" s="154" t="s">
        <v>187</v>
      </c>
      <c r="AD762" s="144"/>
      <c r="AE762" s="130" t="s">
        <v>228</v>
      </c>
      <c r="AF762" s="154" t="s">
        <v>187</v>
      </c>
      <c r="AG762" s="144"/>
      <c r="AH762" s="130" t="s">
        <v>228</v>
      </c>
      <c r="AI762" s="154" t="s">
        <v>187</v>
      </c>
      <c r="AJ762" s="144"/>
      <c r="AK762" s="130" t="s">
        <v>228</v>
      </c>
      <c r="AL762" s="154" t="s">
        <v>187</v>
      </c>
      <c r="AM762" s="144"/>
      <c r="AN762" s="130" t="s">
        <v>228</v>
      </c>
      <c r="AO762" s="154" t="s">
        <v>187</v>
      </c>
      <c r="AP762" s="144"/>
      <c r="AQ762" s="130" t="s">
        <v>228</v>
      </c>
      <c r="AR762" s="154" t="s">
        <v>187</v>
      </c>
      <c r="AS762" s="144"/>
      <c r="AT762" s="130" t="s">
        <v>228</v>
      </c>
      <c r="AU762" s="154" t="s">
        <v>187</v>
      </c>
    </row>
    <row r="763" spans="13:47" x14ac:dyDescent="0.25">
      <c r="M763" s="20"/>
      <c r="N763" s="20"/>
      <c r="O763" s="7" t="s">
        <v>188</v>
      </c>
      <c r="P763" s="7"/>
      <c r="Q763" s="7"/>
      <c r="R763" s="181">
        <f>P_1_minW-(R761^2*R_up)+dpup_minQ</f>
        <v>100.52237677583975</v>
      </c>
      <c r="S763" s="132"/>
      <c r="T763" s="145"/>
      <c r="U763" s="138">
        <f>P_1_minW-(U761^2*R_up)+dpup_minQ</f>
        <v>100.28056580340981</v>
      </c>
      <c r="V763" s="132"/>
      <c r="W763" s="145"/>
      <c r="X763" s="138">
        <f>P_1_minW-(X761^2*R_up)+dpup_minQ</f>
        <v>99.041286580388459</v>
      </c>
      <c r="Y763" s="132"/>
      <c r="Z763" s="145"/>
      <c r="AA763" s="138">
        <f>P_1_minW-(AA761^2*R_up)+dpup_minQ</f>
        <v>94.90240532823185</v>
      </c>
      <c r="AB763" s="132"/>
      <c r="AC763" s="145"/>
      <c r="AD763" s="138">
        <f>P_1_minW-(AD761^2*R_up)+dpup_minQ</f>
        <v>85.32070137640612</v>
      </c>
      <c r="AE763" s="132"/>
      <c r="AF763" s="145"/>
      <c r="AG763" s="138">
        <f>P_1_minW-(AG761^2*R_up)+dpup_minQ</f>
        <v>70.61690689719029</v>
      </c>
      <c r="AH763" s="132"/>
      <c r="AI763" s="145"/>
      <c r="AJ763" s="138">
        <f>P_1_minW-(AJ761^2*R_up)+dpup_minQ</f>
        <v>52.307747383387778</v>
      </c>
      <c r="AK763" s="132"/>
      <c r="AL763" s="145"/>
      <c r="AM763" s="138">
        <f>P_1_minW-(AM761^2*R_up)+dpup_minQ</f>
        <v>34.229967812843327</v>
      </c>
      <c r="AN763" s="132"/>
      <c r="AO763" s="145"/>
      <c r="AP763" s="138">
        <f>P_1_minW-(AP761^2*R_up)+dpup_minQ</f>
        <v>18.007063634573072</v>
      </c>
      <c r="AQ763" s="132"/>
      <c r="AR763" s="145"/>
      <c r="AS763" s="138">
        <f>P_1_minW-(AS761^2*R_up)+dpup_minQ</f>
        <v>-2.1858424873393862</v>
      </c>
      <c r="AT763" s="132"/>
      <c r="AU763" s="145"/>
    </row>
    <row r="764" spans="13:47" x14ac:dyDescent="0.25">
      <c r="M764" s="20"/>
      <c r="N764" s="20"/>
      <c r="O764" s="7" t="s">
        <v>189</v>
      </c>
      <c r="P764" s="1"/>
      <c r="Q764" s="7"/>
      <c r="R764" s="181">
        <f>P_2_minW+(R761^2*R_dn)-dpdn_minQ</f>
        <v>50</v>
      </c>
      <c r="S764" s="132"/>
      <c r="T764" s="146"/>
      <c r="U764" s="138">
        <f>P_2_minW+(U761^2*R_dn)-dpdn_minQ</f>
        <v>50</v>
      </c>
      <c r="V764" s="132"/>
      <c r="W764" s="146"/>
      <c r="X764" s="138">
        <f>P_2_minW+(X761^2*R_dn)-dpdn_minQ</f>
        <v>50</v>
      </c>
      <c r="Y764" s="132"/>
      <c r="Z764" s="146"/>
      <c r="AA764" s="138">
        <f>P_2_minW+(AA761^2*R_dn)-dpdn_minQ</f>
        <v>50</v>
      </c>
      <c r="AB764" s="132"/>
      <c r="AC764" s="146"/>
      <c r="AD764" s="138">
        <f>P_2_minW+(AD761^2*R_dn)-dpdn_minQ</f>
        <v>50</v>
      </c>
      <c r="AE764" s="132"/>
      <c r="AF764" s="146"/>
      <c r="AG764" s="138">
        <f>P_2_minW+(AG761^2*R_dn)-dpdn_minQ</f>
        <v>50</v>
      </c>
      <c r="AH764" s="132"/>
      <c r="AI764" s="146"/>
      <c r="AJ764" s="138">
        <f>P_2_minW+(AJ761^2*R_dn)-dpdn_minQ</f>
        <v>50</v>
      </c>
      <c r="AK764" s="132"/>
      <c r="AL764" s="146"/>
      <c r="AM764" s="138">
        <f>P_2_minW+(AM761^2*R_dn)-dpdn_minQ</f>
        <v>50</v>
      </c>
      <c r="AN764" s="132"/>
      <c r="AO764" s="146"/>
      <c r="AP764" s="138">
        <f>P_2_minW+(AP761^2*R_dn)-dpdn_minQ</f>
        <v>50</v>
      </c>
      <c r="AQ764" s="132"/>
      <c r="AR764" s="146"/>
      <c r="AS764" s="138">
        <f>P_2_minW+(AS761^2*R_dn)-dpdn_minQ</f>
        <v>50</v>
      </c>
      <c r="AT764" s="132"/>
      <c r="AU764" s="146"/>
    </row>
    <row r="765" spans="13:47" x14ac:dyDescent="0.25">
      <c r="M765" s="20"/>
      <c r="N765" s="20"/>
      <c r="O765" s="7" t="s">
        <v>234</v>
      </c>
      <c r="P765" s="1"/>
      <c r="Q765" s="7"/>
      <c r="R765" s="179">
        <f>'Valve Sizing'!G$8*R763/P_1_maxW</f>
        <v>0.48490204866056119</v>
      </c>
      <c r="S765" s="132"/>
      <c r="T765" s="146"/>
      <c r="U765" s="143">
        <f>'Valve Sizing'!$G$8*U763/P_1_maxW</f>
        <v>0.48373559558134938</v>
      </c>
      <c r="V765" s="132"/>
      <c r="W765" s="146"/>
      <c r="X765" s="143">
        <f>'Valve Sizing'!$G$8*X763/P_1_maxW</f>
        <v>0.47775753324956061</v>
      </c>
      <c r="Y765" s="132"/>
      <c r="Z765" s="146"/>
      <c r="AA765" s="143">
        <f>'Valve Sizing'!$G$8*AA763/P_1_maxW</f>
        <v>0.45779230697154549</v>
      </c>
      <c r="AB765" s="132"/>
      <c r="AC765" s="146"/>
      <c r="AD765" s="143">
        <f>'Valve Sizing'!$G$8*AD763/P_1_maxW</f>
        <v>0.41157187302518078</v>
      </c>
      <c r="AE765" s="132"/>
      <c r="AF765" s="146"/>
      <c r="AG765" s="143">
        <f>'Valve Sizing'!$G$8*AG763/P_1_maxW</f>
        <v>0.34064338630669666</v>
      </c>
      <c r="AH765" s="132"/>
      <c r="AI765" s="146"/>
      <c r="AJ765" s="143">
        <f>'Valve Sizing'!$G$8*AJ763/P_1_maxW</f>
        <v>0.25232326055704679</v>
      </c>
      <c r="AK765" s="132"/>
      <c r="AL765" s="146"/>
      <c r="AM765" s="143">
        <f>'Valve Sizing'!$G$8*AM763/P_1_maxW</f>
        <v>0.16511927045901409</v>
      </c>
      <c r="AN765" s="132"/>
      <c r="AO765" s="146"/>
      <c r="AP765" s="143">
        <f>'Valve Sizing'!$G$8*AP763/P_1_maxW</f>
        <v>8.6862869013103194E-2</v>
      </c>
      <c r="AQ765" s="132"/>
      <c r="AR765" s="146"/>
      <c r="AS765" s="143">
        <f>'Valve Sizing'!$G$8*AS763/P_1_maxW</f>
        <v>-1.0544114993656952E-2</v>
      </c>
      <c r="AT765" s="132"/>
      <c r="AU765" s="146"/>
    </row>
    <row r="766" spans="13:47" x14ac:dyDescent="0.25">
      <c r="M766" s="20"/>
      <c r="N766" s="20"/>
      <c r="O766" s="7" t="s">
        <v>190</v>
      </c>
      <c r="P766" s="1"/>
      <c r="Q766" s="7"/>
      <c r="R766" s="181">
        <f>R763-R764</f>
        <v>50.522376775839746</v>
      </c>
      <c r="S766" s="132"/>
      <c r="T766" s="146"/>
      <c r="U766" s="138">
        <f>U763-U764</f>
        <v>50.280565803409814</v>
      </c>
      <c r="V766" s="132"/>
      <c r="W766" s="146"/>
      <c r="X766" s="138">
        <f>X763-X764</f>
        <v>49.041286580388459</v>
      </c>
      <c r="Y766" s="132"/>
      <c r="Z766" s="146"/>
      <c r="AA766" s="138">
        <f>AA763-AA764</f>
        <v>44.90240532823185</v>
      </c>
      <c r="AB766" s="132"/>
      <c r="AC766" s="146"/>
      <c r="AD766" s="138">
        <f>AD763-AD764</f>
        <v>35.32070137640612</v>
      </c>
      <c r="AE766" s="132"/>
      <c r="AF766" s="146"/>
      <c r="AG766" s="138">
        <f>AG763-AG764</f>
        <v>20.61690689719029</v>
      </c>
      <c r="AH766" s="132"/>
      <c r="AI766" s="146"/>
      <c r="AJ766" s="138">
        <f>AJ763-AJ764</f>
        <v>2.3077473833877775</v>
      </c>
      <c r="AK766" s="132"/>
      <c r="AL766" s="146"/>
      <c r="AM766" s="138">
        <f>AM763-AM764</f>
        <v>-15.770032187156673</v>
      </c>
      <c r="AN766" s="132"/>
      <c r="AO766" s="146"/>
      <c r="AP766" s="138">
        <f>AP763-AP764</f>
        <v>-31.992936365426928</v>
      </c>
      <c r="AQ766" s="132"/>
      <c r="AR766" s="146"/>
      <c r="AS766" s="138">
        <f>AS763-AS764</f>
        <v>-52.185842487339386</v>
      </c>
      <c r="AT766" s="132"/>
      <c r="AU766" s="146"/>
    </row>
    <row r="767" spans="13:47" ht="14.5" x14ac:dyDescent="0.35">
      <c r="M767" s="27"/>
      <c r="N767" s="27"/>
      <c r="O767" s="2" t="s">
        <v>191</v>
      </c>
      <c r="P767" s="10"/>
      <c r="Q767" s="2"/>
      <c r="R767" s="181">
        <f>R766/R763</f>
        <v>0.50259831090645923</v>
      </c>
      <c r="S767" s="132"/>
      <c r="T767" s="146"/>
      <c r="U767" s="138">
        <f>U766/U763</f>
        <v>0.50139890417032462</v>
      </c>
      <c r="V767" s="132"/>
      <c r="W767" s="146"/>
      <c r="X767" s="138">
        <f>X766/X763</f>
        <v>0.49516003147418031</v>
      </c>
      <c r="Y767" s="132"/>
      <c r="Z767" s="146"/>
      <c r="AA767" s="138">
        <f>AA766/AA763</f>
        <v>0.47314296379455567</v>
      </c>
      <c r="AB767" s="132"/>
      <c r="AC767" s="146"/>
      <c r="AD767" s="138">
        <f>AD766/AD763</f>
        <v>0.41397575039360157</v>
      </c>
      <c r="AE767" s="132"/>
      <c r="AF767" s="146"/>
      <c r="AG767" s="138">
        <f>AG766/AG763</f>
        <v>0.29195426142362796</v>
      </c>
      <c r="AH767" s="132"/>
      <c r="AI767" s="146"/>
      <c r="AJ767" s="138">
        <f>AJ766/AJ763</f>
        <v>4.4118653523219517E-2</v>
      </c>
      <c r="AK767" s="132"/>
      <c r="AL767" s="146"/>
      <c r="AM767" s="138">
        <f>AM766/AM763</f>
        <v>-0.46070835571278701</v>
      </c>
      <c r="AN767" s="132"/>
      <c r="AO767" s="146"/>
      <c r="AP767" s="138">
        <f>AP766/AP763</f>
        <v>-1.7766881383148645</v>
      </c>
      <c r="AQ767" s="132"/>
      <c r="AR767" s="146"/>
      <c r="AS767" s="138">
        <f>AS766/AS763</f>
        <v>23.874475306251433</v>
      </c>
      <c r="AT767" s="132"/>
      <c r="AU767" s="146"/>
    </row>
    <row r="768" spans="13:47" x14ac:dyDescent="0.25">
      <c r="M768" s="27"/>
      <c r="N768" s="27"/>
      <c r="O768" s="2" t="s">
        <v>26</v>
      </c>
      <c r="P768" s="7">
        <v>12</v>
      </c>
      <c r="Q768" s="2"/>
      <c r="R768" s="181">
        <f>1-R767/(3*F_GAMMA*R$29)</f>
        <v>0.73824104034120741</v>
      </c>
      <c r="S768" s="133"/>
      <c r="T768" s="146"/>
      <c r="U768" s="138">
        <f>1-U767/(3*F_GAMMA*U$29)</f>
        <v>0.7389232003824765</v>
      </c>
      <c r="V768" s="133"/>
      <c r="W768" s="146"/>
      <c r="X768" s="138">
        <f>1-X767/(3*F_GAMMA*X$29)</f>
        <v>0.73830392745260454</v>
      </c>
      <c r="Y768" s="133"/>
      <c r="Z768" s="146"/>
      <c r="AA768" s="138">
        <f>1-AA767/(3*F_GAMMA*AA$29)</f>
        <v>0.74651145652501039</v>
      </c>
      <c r="AB768" s="133"/>
      <c r="AC768" s="146"/>
      <c r="AD768" s="138">
        <f>1-AD767/(3*F_GAMMA*AD$29)</f>
        <v>0.77212957163022988</v>
      </c>
      <c r="AE768" s="133"/>
      <c r="AF768" s="146"/>
      <c r="AG768" s="138">
        <f>1-AG767/(3*F_GAMMA*AG$29)</f>
        <v>0.83012872121952774</v>
      </c>
      <c r="AH768" s="133"/>
      <c r="AI768" s="146"/>
      <c r="AJ768" s="138">
        <f>1-AJ767/(3*F_GAMMA*AJ$29)</f>
        <v>0.97255832606471804</v>
      </c>
      <c r="AK768" s="133"/>
      <c r="AL768" s="146"/>
      <c r="AM768" s="138">
        <f>1-AM767/(3*F_GAMMA*AM$29)</f>
        <v>1.3130951257483776</v>
      </c>
      <c r="AN768" s="133"/>
      <c r="AO768" s="146"/>
      <c r="AP768" s="138">
        <f>1-AP767/(3*F_GAMMA*AP$29)</f>
        <v>1.9978090219799141</v>
      </c>
      <c r="AQ768" s="133"/>
      <c r="AR768" s="146"/>
      <c r="AS768" s="138">
        <f>1-AS767/(3*F_GAMMA*AS$29)</f>
        <v>-19.354792998285035</v>
      </c>
      <c r="AT768" s="133"/>
      <c r="AU768" s="146"/>
    </row>
    <row r="769" spans="13:47" x14ac:dyDescent="0.25">
      <c r="M769" s="27"/>
      <c r="N769" s="27"/>
      <c r="O769" s="2" t="s">
        <v>71</v>
      </c>
      <c r="P769" s="85">
        <v>5</v>
      </c>
      <c r="Q769" s="2"/>
      <c r="R769" s="179">
        <f>R761/((N_6*R$27*R768)*SQRT(R767*R763*R765))</f>
        <v>0.13864208688815358</v>
      </c>
      <c r="S769" s="133"/>
      <c r="T769" s="146"/>
      <c r="U769" s="143">
        <f>U761/((N_6*U$27*U768)*SQRT(U767*U763*U765))</f>
        <v>3.3811415444647746</v>
      </c>
      <c r="V769" s="133"/>
      <c r="W769" s="146"/>
      <c r="X769" s="143">
        <f>X761/((N_6*X$27*X768)*SQRT(X767*X763*X765))</f>
        <v>8.5458116207126977</v>
      </c>
      <c r="Y769" s="133"/>
      <c r="Z769" s="146"/>
      <c r="AA769" s="143">
        <f>AA761/((N_6*AA$27*AA768)*SQRT(AA767*AA763*AA765))</f>
        <v>17.676256448205102</v>
      </c>
      <c r="AB769" s="133"/>
      <c r="AC769" s="146"/>
      <c r="AD769" s="143">
        <f>AD761/((N_6*AD$27*AD768)*SQRT(AD767*AD763*AD765))</f>
        <v>33.820614902963484</v>
      </c>
      <c r="AE769" s="133"/>
      <c r="AF769" s="146"/>
      <c r="AG769" s="143">
        <f>AG761/((N_6*AG$27*AG768)*SQRT(AG767*AG763*AG765))</f>
        <v>64.848426559513157</v>
      </c>
      <c r="AH769" s="133"/>
      <c r="AI769" s="146"/>
      <c r="AJ769" s="143">
        <f>AJ761/((N_6*AJ$27*AJ768)*SQRT(AJ767*AJ763*AJ765))</f>
        <v>252.45892665472189</v>
      </c>
      <c r="AK769" s="133"/>
      <c r="AL769" s="146"/>
      <c r="AM769" s="143" t="e">
        <f>AM761/((N_6*AM$27*AM768)*SQRT(AM767*AM763*AM765))</f>
        <v>#NUM!</v>
      </c>
      <c r="AN769" s="133"/>
      <c r="AO769" s="146"/>
      <c r="AP769" s="143" t="e">
        <f>AP761/((N_6*AP$27*AP768)*SQRT(AP767*AP763*AP765))</f>
        <v>#NUM!</v>
      </c>
      <c r="AQ769" s="133"/>
      <c r="AR769" s="146"/>
      <c r="AS769" s="143">
        <f>AS761/((N_6*AS$27*AS768)*SQRT(AS767*AS763*AS765))</f>
        <v>-30.174995012278131</v>
      </c>
      <c r="AT769" s="133"/>
      <c r="AU769" s="146"/>
    </row>
    <row r="770" spans="13:47" x14ac:dyDescent="0.25">
      <c r="M770" s="27"/>
      <c r="N770" s="27"/>
      <c r="O770" s="2" t="s">
        <v>73</v>
      </c>
      <c r="P770" s="85">
        <v>5</v>
      </c>
      <c r="Q770" s="2"/>
      <c r="R770" s="179">
        <f>R761/((N_6*R$27*0.667)*SQRT(R771*R763*R765))</f>
        <v>0.13598119178744875</v>
      </c>
      <c r="S770" s="133"/>
      <c r="T770" s="155"/>
      <c r="U770" s="143">
        <f>U761/((N_6*U$27*0.667)*SQRT(U771*U763*U765))</f>
        <v>3.3149851567251027</v>
      </c>
      <c r="V770" s="133"/>
      <c r="W770" s="155"/>
      <c r="X770" s="143">
        <f>X761/((N_6*X$27*0.667)*SQRT(X771*X763*X765))</f>
        <v>8.3815027110848259</v>
      </c>
      <c r="Y770" s="133"/>
      <c r="Z770" s="155"/>
      <c r="AA770" s="143">
        <f>AA761/((N_6*AA$27*0.667)*SQRT(AA771*AA763*AA765))</f>
        <v>17.252050957869308</v>
      </c>
      <c r="AB770" s="133"/>
      <c r="AC770" s="155"/>
      <c r="AD770" s="143">
        <f>AD761/((N_6*AD$27*0.667)*SQRT(AD771*AD763*AD765))</f>
        <v>32.370578656680912</v>
      </c>
      <c r="AE770" s="133"/>
      <c r="AF770" s="155"/>
      <c r="AG770" s="143">
        <f>AG761/((N_6*AG$27*0.667)*SQRT(AG771*AG763*AG765))</f>
        <v>57.615542392083981</v>
      </c>
      <c r="AH770" s="133"/>
      <c r="AI770" s="155"/>
      <c r="AJ770" s="143">
        <f>AJ761/((N_6*AJ$27*0.667)*SQRT(AJ771*AJ763*AJ765))</f>
        <v>105.62007728588932</v>
      </c>
      <c r="AK770" s="133"/>
      <c r="AL770" s="155"/>
      <c r="AM770" s="143">
        <f>AM761/((N_6*AM$27*0.667)*SQRT(AM771*AM763*AM765))</f>
        <v>209.97286104952229</v>
      </c>
      <c r="AN770" s="133"/>
      <c r="AO770" s="155"/>
      <c r="AP770" s="143">
        <f>AP761/((N_6*AP$27*0.667)*SQRT(AP771*AP763*AP765))</f>
        <v>459.84238050181807</v>
      </c>
      <c r="AQ770" s="133"/>
      <c r="AR770" s="155"/>
      <c r="AS770" s="143">
        <f>AS761/((N_6*AS$27*0.667)*SQRT(AS771*AS763*AS765))</f>
        <v>6842.3277991096711</v>
      </c>
      <c r="AT770" s="133"/>
      <c r="AU770" s="155"/>
    </row>
    <row r="771" spans="13:47" ht="15.5" x14ac:dyDescent="0.4">
      <c r="M771" s="27"/>
      <c r="N771" s="27"/>
      <c r="O771" s="2" t="s">
        <v>192</v>
      </c>
      <c r="P771" s="85">
        <v>10</v>
      </c>
      <c r="Q771" s="2"/>
      <c r="R771" s="181">
        <f>F_GAMMA*R$29</f>
        <v>0.64002688015162901</v>
      </c>
      <c r="S771" s="133"/>
      <c r="T771" s="155"/>
      <c r="U771" s="138">
        <f>F_GAMMA*U$29</f>
        <v>0.64016782916606918</v>
      </c>
      <c r="V771" s="133"/>
      <c r="W771" s="155"/>
      <c r="X771" s="138">
        <f>F_GAMMA*X$29</f>
        <v>0.6307062319203669</v>
      </c>
      <c r="Y771" s="133"/>
      <c r="Z771" s="155"/>
      <c r="AA771" s="138">
        <f>F_GAMMA*AA$29</f>
        <v>0.62217534213893466</v>
      </c>
      <c r="AB771" s="133"/>
      <c r="AC771" s="155"/>
      <c r="AD771" s="138">
        <f>F_GAMMA*AD$29</f>
        <v>0.60557184969146072</v>
      </c>
      <c r="AE771" s="133"/>
      <c r="AF771" s="155"/>
      <c r="AG771" s="138">
        <f>F_GAMMA*AG$29</f>
        <v>0.57289312142622573</v>
      </c>
      <c r="AH771" s="133"/>
      <c r="AI771" s="155"/>
      <c r="AJ771" s="138">
        <f>F_GAMMA*AJ$29</f>
        <v>0.53590819116049981</v>
      </c>
      <c r="AK771" s="133"/>
      <c r="AL771" s="155"/>
      <c r="AM771" s="138">
        <f>F_GAMMA*AM$29</f>
        <v>0.49048815926850342</v>
      </c>
      <c r="AN771" s="133"/>
      <c r="AO771" s="155"/>
      <c r="AP771" s="138">
        <f>F_GAMMA*AP$29</f>
        <v>0.59352979016280105</v>
      </c>
      <c r="AQ771" s="133"/>
      <c r="AR771" s="155"/>
      <c r="AS771" s="138">
        <f>F_GAMMA*AS$29</f>
        <v>0.39097221161068291</v>
      </c>
      <c r="AT771" s="133"/>
      <c r="AU771" s="155"/>
    </row>
    <row r="772" spans="13:47" x14ac:dyDescent="0.25">
      <c r="M772" s="27"/>
      <c r="N772" s="27"/>
      <c r="O772" s="2" t="s">
        <v>193</v>
      </c>
      <c r="P772" s="134"/>
      <c r="Q772" s="2"/>
      <c r="R772" s="181">
        <f>IF(R767&lt;R771,R769,R770)</f>
        <v>0.13864208688815358</v>
      </c>
      <c r="S772" s="133"/>
      <c r="T772" s="155"/>
      <c r="U772" s="138">
        <f>IF(U767&lt;U771,U769,U770)</f>
        <v>3.3811415444647746</v>
      </c>
      <c r="V772" s="133"/>
      <c r="W772" s="155"/>
      <c r="X772" s="138">
        <f>IF(X767&lt;X771,X769,X770)</f>
        <v>8.5458116207126977</v>
      </c>
      <c r="Y772" s="133"/>
      <c r="Z772" s="155"/>
      <c r="AA772" s="138">
        <f>IF(AA767&lt;AA771,AA769,AA770)</f>
        <v>17.676256448205102</v>
      </c>
      <c r="AB772" s="133"/>
      <c r="AC772" s="155"/>
      <c r="AD772" s="138">
        <f>IF(AD767&lt;AD771,AD769,AD770)</f>
        <v>33.820614902963484</v>
      </c>
      <c r="AE772" s="133"/>
      <c r="AF772" s="155"/>
      <c r="AG772" s="138">
        <f>IF(AG767&lt;AG771,AG769,AG770)</f>
        <v>64.848426559513157</v>
      </c>
      <c r="AH772" s="133"/>
      <c r="AI772" s="155"/>
      <c r="AJ772" s="138">
        <f>IF(AJ767&lt;AJ771,AJ769,AJ770)</f>
        <v>252.45892665472189</v>
      </c>
      <c r="AK772" s="133"/>
      <c r="AL772" s="155"/>
      <c r="AM772" s="138" t="e">
        <f>IF(AM767&lt;AM771,AM769,AM770)</f>
        <v>#NUM!</v>
      </c>
      <c r="AN772" s="133"/>
      <c r="AO772" s="155"/>
      <c r="AP772" s="138" t="e">
        <f>IF(AP767&lt;AP771,AP769,AP770)</f>
        <v>#NUM!</v>
      </c>
      <c r="AQ772" s="133"/>
      <c r="AR772" s="155"/>
      <c r="AS772" s="138">
        <f>IF(AS767&lt;AS771,AS769,AS770)</f>
        <v>6842.3277991096711</v>
      </c>
      <c r="AT772" s="133"/>
      <c r="AU772" s="155"/>
    </row>
    <row r="773" spans="13:47" ht="13" x14ac:dyDescent="0.3">
      <c r="M773" s="28"/>
      <c r="N773" s="28"/>
      <c r="O773" s="9" t="s">
        <v>194</v>
      </c>
      <c r="P773" s="1"/>
      <c r="Q773" s="1"/>
      <c r="R773" s="135"/>
      <c r="S773" s="132">
        <f>IF(R766&lt;=0,W_max,ABS(R$23-R772))</f>
        <v>1.8613579131118465</v>
      </c>
      <c r="T773" s="151">
        <f>R761</f>
        <v>32.06375772338167</v>
      </c>
      <c r="U773" s="135"/>
      <c r="V773" s="132">
        <f>IF(U766&lt;=0,W_max,ABS(U$23-U772))</f>
        <v>1.6188584555352254</v>
      </c>
      <c r="W773" s="151">
        <f>U761</f>
        <v>779.37961571893322</v>
      </c>
      <c r="X773" s="135"/>
      <c r="Y773" s="132">
        <f>IF(X766&lt;=0,W_max,ABS(X$23-X772))</f>
        <v>1.4541883792873023</v>
      </c>
      <c r="Z773" s="151">
        <f>X761</f>
        <v>1927.4985369344022</v>
      </c>
      <c r="AA773" s="135"/>
      <c r="AB773" s="132">
        <f>IF(AA766&lt;=0,W_max,ABS(AA$23-AA772))</f>
        <v>0.4762564482051026</v>
      </c>
      <c r="AC773" s="151">
        <f>AA761</f>
        <v>3754.2751647874334</v>
      </c>
      <c r="AD773" s="135"/>
      <c r="AE773" s="132">
        <f>IF(AD766&lt;=0,W_max,ABS(AD$23-AD772))</f>
        <v>7.220614902963483</v>
      </c>
      <c r="AF773" s="151">
        <f>AD761</f>
        <v>6174.4004039676001</v>
      </c>
      <c r="AG773" s="135"/>
      <c r="AH773" s="132">
        <f>IF(AG766&lt;=0,W_max,ABS(AG$23-AG772))</f>
        <v>26.448426559513159</v>
      </c>
      <c r="AI773" s="151">
        <f>AG761</f>
        <v>8660.0719100010647</v>
      </c>
      <c r="AJ773" s="135"/>
      <c r="AK773" s="132">
        <f>IF(AJ766&lt;=0,W_max,ABS(AJ$23-AJ772))</f>
        <v>199.95892665472189</v>
      </c>
      <c r="AL773" s="151">
        <f>AJ761</f>
        <v>10995.993362906311</v>
      </c>
      <c r="AM773" s="135"/>
      <c r="AN773" s="132">
        <f>IF(AM766&lt;=0,W_max,ABS(AM$23-AM772))</f>
        <v>7174</v>
      </c>
      <c r="AO773" s="151">
        <f>AM761</f>
        <v>12893.666997066664</v>
      </c>
      <c r="AP773" s="135"/>
      <c r="AQ773" s="132">
        <f>IF(AP766&lt;=0,W_max,ABS(AP$23-AP772))</f>
        <v>7174</v>
      </c>
      <c r="AR773" s="151">
        <f>AP761</f>
        <v>14385.056141070523</v>
      </c>
      <c r="AS773" s="135"/>
      <c r="AT773" s="132">
        <f>IF(AS766&lt;=0,W_max,ABS(AS$23-AS772))</f>
        <v>7174</v>
      </c>
      <c r="AU773" s="151">
        <f>AS761</f>
        <v>16048.951801595909</v>
      </c>
    </row>
    <row r="774" spans="13:47" ht="13" x14ac:dyDescent="0.25">
      <c r="M774" s="12"/>
      <c r="N774" s="12"/>
      <c r="O774" s="2"/>
      <c r="P774" s="85"/>
      <c r="Q774" s="2"/>
      <c r="R774" s="18"/>
      <c r="S774" s="150"/>
      <c r="T774" s="152"/>
      <c r="U774" s="157"/>
      <c r="V774" s="1"/>
      <c r="W774" s="147"/>
      <c r="X774" s="157"/>
      <c r="Y774" s="1"/>
      <c r="Z774" s="147"/>
      <c r="AA774" s="157"/>
      <c r="AB774" s="1"/>
      <c r="AC774" s="147"/>
      <c r="AD774" s="157"/>
      <c r="AE774" s="1"/>
      <c r="AF774" s="147"/>
      <c r="AG774" s="157"/>
      <c r="AH774" s="1"/>
      <c r="AI774" s="147"/>
      <c r="AJ774" s="157"/>
      <c r="AK774" s="1"/>
      <c r="AL774" s="147"/>
      <c r="AM774" s="157"/>
      <c r="AN774" s="1"/>
      <c r="AO774" s="147"/>
      <c r="AP774" s="157"/>
      <c r="AQ774" s="1"/>
      <c r="AR774" s="147"/>
      <c r="AS774" s="157"/>
      <c r="AT774" s="1"/>
      <c r="AU774" s="147"/>
    </row>
    <row r="775" spans="13:47" ht="14" x14ac:dyDescent="0.3">
      <c r="M775" s="23"/>
      <c r="N775" s="23"/>
      <c r="O775" s="23" t="s">
        <v>238</v>
      </c>
      <c r="P775" s="20"/>
      <c r="Q775" s="20"/>
      <c r="R775" s="181">
        <f>R761*1.02</f>
        <v>32.705032877849305</v>
      </c>
      <c r="S775" s="128" t="s">
        <v>185</v>
      </c>
      <c r="T775" s="153" t="s">
        <v>186</v>
      </c>
      <c r="U775" s="143">
        <f>U761*1.01</f>
        <v>787.1734118761226</v>
      </c>
      <c r="V775" s="128" t="s">
        <v>185</v>
      </c>
      <c r="W775" s="153" t="s">
        <v>186</v>
      </c>
      <c r="X775" s="143">
        <f>X761*1.01</f>
        <v>1946.7735223037462</v>
      </c>
      <c r="Y775" s="128" t="s">
        <v>185</v>
      </c>
      <c r="Z775" s="153" t="s">
        <v>186</v>
      </c>
      <c r="AA775" s="143">
        <f>AA761*1.01</f>
        <v>3791.8179164353078</v>
      </c>
      <c r="AB775" s="128" t="s">
        <v>185</v>
      </c>
      <c r="AC775" s="153" t="s">
        <v>186</v>
      </c>
      <c r="AD775" s="143">
        <f>AD761*1.01</f>
        <v>6236.1444080072761</v>
      </c>
      <c r="AE775" s="128" t="s">
        <v>185</v>
      </c>
      <c r="AF775" s="153" t="s">
        <v>186</v>
      </c>
      <c r="AG775" s="143">
        <f>AG761*1.01</f>
        <v>8746.6726291010746</v>
      </c>
      <c r="AH775" s="128" t="s">
        <v>185</v>
      </c>
      <c r="AI775" s="153" t="s">
        <v>186</v>
      </c>
      <c r="AJ775" s="143">
        <f>AJ761*1.01</f>
        <v>11105.953296535374</v>
      </c>
      <c r="AK775" s="128" t="s">
        <v>185</v>
      </c>
      <c r="AL775" s="153" t="s">
        <v>186</v>
      </c>
      <c r="AM775" s="143">
        <f>AM761*1.01</f>
        <v>13022.603667037331</v>
      </c>
      <c r="AN775" s="128" t="s">
        <v>185</v>
      </c>
      <c r="AO775" s="153" t="s">
        <v>186</v>
      </c>
      <c r="AP775" s="143">
        <f>AP761*1.01</f>
        <v>14528.906702481228</v>
      </c>
      <c r="AQ775" s="128" t="s">
        <v>185</v>
      </c>
      <c r="AR775" s="153" t="s">
        <v>186</v>
      </c>
      <c r="AS775" s="143">
        <f>AS761*1.01</f>
        <v>16209.441319611869</v>
      </c>
      <c r="AT775" s="128" t="s">
        <v>185</v>
      </c>
      <c r="AU775" s="153" t="s">
        <v>186</v>
      </c>
    </row>
    <row r="776" spans="13:47" ht="14" x14ac:dyDescent="0.3">
      <c r="M776" s="12"/>
      <c r="N776" s="12"/>
      <c r="O776" s="20"/>
      <c r="P776" s="20"/>
      <c r="Q776" s="23"/>
      <c r="R776" s="139"/>
      <c r="S776" s="130" t="s">
        <v>228</v>
      </c>
      <c r="T776" s="154" t="s">
        <v>187</v>
      </c>
      <c r="U776" s="144"/>
      <c r="V776" s="130" t="s">
        <v>228</v>
      </c>
      <c r="W776" s="154" t="s">
        <v>187</v>
      </c>
      <c r="X776" s="144"/>
      <c r="Y776" s="130" t="s">
        <v>228</v>
      </c>
      <c r="Z776" s="154" t="s">
        <v>187</v>
      </c>
      <c r="AA776" s="144"/>
      <c r="AB776" s="130" t="s">
        <v>228</v>
      </c>
      <c r="AC776" s="154" t="s">
        <v>187</v>
      </c>
      <c r="AD776" s="144"/>
      <c r="AE776" s="130" t="s">
        <v>228</v>
      </c>
      <c r="AF776" s="154" t="s">
        <v>187</v>
      </c>
      <c r="AG776" s="144"/>
      <c r="AH776" s="130" t="s">
        <v>228</v>
      </c>
      <c r="AI776" s="154" t="s">
        <v>187</v>
      </c>
      <c r="AJ776" s="144"/>
      <c r="AK776" s="130" t="s">
        <v>228</v>
      </c>
      <c r="AL776" s="154" t="s">
        <v>187</v>
      </c>
      <c r="AM776" s="144"/>
      <c r="AN776" s="130" t="s">
        <v>228</v>
      </c>
      <c r="AO776" s="154" t="s">
        <v>187</v>
      </c>
      <c r="AP776" s="144"/>
      <c r="AQ776" s="130" t="s">
        <v>228</v>
      </c>
      <c r="AR776" s="154" t="s">
        <v>187</v>
      </c>
      <c r="AS776" s="144"/>
      <c r="AT776" s="130" t="s">
        <v>228</v>
      </c>
      <c r="AU776" s="154" t="s">
        <v>187</v>
      </c>
    </row>
    <row r="777" spans="13:47" x14ac:dyDescent="0.25">
      <c r="M777" s="20"/>
      <c r="N777" s="20"/>
      <c r="O777" s="7" t="s">
        <v>188</v>
      </c>
      <c r="P777" s="7"/>
      <c r="Q777" s="7"/>
      <c r="R777" s="181">
        <f>P_1_minW-(R775^2*R_up)+dpup_minQ</f>
        <v>100.52236021341992</v>
      </c>
      <c r="S777" s="132"/>
      <c r="T777" s="145"/>
      <c r="U777" s="138">
        <f>P_1_minW-(U775^2*R_up)+dpup_minQ</f>
        <v>100.27569716265015</v>
      </c>
      <c r="V777" s="132"/>
      <c r="W777" s="145"/>
      <c r="X777" s="138">
        <f>P_1_minW-(X775^2*R_up)+dpup_minQ</f>
        <v>99.011508427246056</v>
      </c>
      <c r="Y777" s="132"/>
      <c r="Z777" s="145"/>
      <c r="AA777" s="138">
        <f>P_1_minW-(AA775^2*R_up)+dpup_minQ</f>
        <v>94.789435661921104</v>
      </c>
      <c r="AB777" s="132"/>
      <c r="AC777" s="145"/>
      <c r="AD777" s="138">
        <f>P_1_minW-(AD775^2*R_up)+dpup_minQ</f>
        <v>85.015139460663676</v>
      </c>
      <c r="AE777" s="132"/>
      <c r="AF777" s="145"/>
      <c r="AG777" s="138">
        <f>P_1_minW-(AG775^2*R_up)+dpup_minQ</f>
        <v>70.015798712415616</v>
      </c>
      <c r="AH777" s="132"/>
      <c r="AI777" s="145"/>
      <c r="AJ777" s="138">
        <f>P_1_minW-(AJ775^2*R_up)+dpup_minQ</f>
        <v>51.338625092385662</v>
      </c>
      <c r="AK777" s="132"/>
      <c r="AL777" s="145"/>
      <c r="AM777" s="138">
        <f>P_1_minW-(AM775^2*R_up)+dpup_minQ</f>
        <v>32.897482152473273</v>
      </c>
      <c r="AN777" s="132"/>
      <c r="AO777" s="145"/>
      <c r="AP777" s="138">
        <f>P_1_minW-(AP775^2*R_up)+dpup_minQ</f>
        <v>16.348497600219787</v>
      </c>
      <c r="AQ777" s="132"/>
      <c r="AR777" s="145"/>
      <c r="AS777" s="138">
        <f>P_1_minW-(AS775^2*R_up)+dpup_minQ</f>
        <v>-4.2502859347431334</v>
      </c>
      <c r="AT777" s="132"/>
      <c r="AU777" s="145"/>
    </row>
    <row r="778" spans="13:47" x14ac:dyDescent="0.25">
      <c r="M778" s="20"/>
      <c r="N778" s="20"/>
      <c r="O778" s="7" t="s">
        <v>189</v>
      </c>
      <c r="P778" s="1"/>
      <c r="Q778" s="7"/>
      <c r="R778" s="181">
        <f>P_2_minW+(R775^2*R_dn)-dpdn_minQ</f>
        <v>50</v>
      </c>
      <c r="S778" s="132"/>
      <c r="T778" s="146"/>
      <c r="U778" s="138">
        <f>P_2_minW+(U775^2*R_dn)-dpdn_minQ</f>
        <v>50</v>
      </c>
      <c r="V778" s="132"/>
      <c r="W778" s="146"/>
      <c r="X778" s="138">
        <f>P_2_minW+(X775^2*R_dn)-dpdn_minQ</f>
        <v>50</v>
      </c>
      <c r="Y778" s="132"/>
      <c r="Z778" s="146"/>
      <c r="AA778" s="138">
        <f>P_2_minW+(AA775^2*R_dn)-dpdn_minQ</f>
        <v>50</v>
      </c>
      <c r="AB778" s="132"/>
      <c r="AC778" s="146"/>
      <c r="AD778" s="138">
        <f>P_2_minW+(AD775^2*R_dn)-dpdn_minQ</f>
        <v>50</v>
      </c>
      <c r="AE778" s="132"/>
      <c r="AF778" s="146"/>
      <c r="AG778" s="138">
        <f>P_2_minW+(AG775^2*R_dn)-dpdn_minQ</f>
        <v>50</v>
      </c>
      <c r="AH778" s="132"/>
      <c r="AI778" s="146"/>
      <c r="AJ778" s="138">
        <f>P_2_minW+(AJ775^2*R_dn)-dpdn_minQ</f>
        <v>50</v>
      </c>
      <c r="AK778" s="132"/>
      <c r="AL778" s="146"/>
      <c r="AM778" s="138">
        <f>P_2_minW+(AM775^2*R_dn)-dpdn_minQ</f>
        <v>50</v>
      </c>
      <c r="AN778" s="132"/>
      <c r="AO778" s="146"/>
      <c r="AP778" s="138">
        <f>P_2_minW+(AP775^2*R_dn)-dpdn_minQ</f>
        <v>50</v>
      </c>
      <c r="AQ778" s="132"/>
      <c r="AR778" s="146"/>
      <c r="AS778" s="138">
        <f>P_2_minW+(AS775^2*R_dn)-dpdn_minQ</f>
        <v>50</v>
      </c>
      <c r="AT778" s="132"/>
      <c r="AU778" s="146"/>
    </row>
    <row r="779" spans="13:47" x14ac:dyDescent="0.25">
      <c r="M779" s="20"/>
      <c r="N779" s="20"/>
      <c r="O779" s="7" t="s">
        <v>234</v>
      </c>
      <c r="P779" s="1"/>
      <c r="Q779" s="7"/>
      <c r="R779" s="179">
        <f>'Valve Sizing'!G$8*R777/P_1_maxW</f>
        <v>0.4849019687663968</v>
      </c>
      <c r="S779" s="132"/>
      <c r="T779" s="146"/>
      <c r="U779" s="143">
        <f>'Valve Sizing'!$G$8*U777/P_1_maxW</f>
        <v>0.48371211012513282</v>
      </c>
      <c r="V779" s="132"/>
      <c r="W779" s="146"/>
      <c r="X779" s="143">
        <f>'Valve Sizing'!$G$8*X777/P_1_maxW</f>
        <v>0.477613888740475</v>
      </c>
      <c r="Y779" s="132"/>
      <c r="Z779" s="146"/>
      <c r="AA779" s="143">
        <f>'Valve Sizing'!$G$8*AA777/P_1_maxW</f>
        <v>0.45724736141427186</v>
      </c>
      <c r="AB779" s="132"/>
      <c r="AC779" s="146"/>
      <c r="AD779" s="143">
        <f>'Valve Sizing'!$G$8*AD777/P_1_maxW</f>
        <v>0.41009789674558517</v>
      </c>
      <c r="AE779" s="132"/>
      <c r="AF779" s="146"/>
      <c r="AG779" s="143">
        <f>'Valve Sizing'!$G$8*AG777/P_1_maxW</f>
        <v>0.33774374744405955</v>
      </c>
      <c r="AH779" s="132"/>
      <c r="AI779" s="146"/>
      <c r="AJ779" s="143">
        <f>'Valve Sizing'!$G$8*AJ777/P_1_maxW</f>
        <v>0.24764838716684173</v>
      </c>
      <c r="AK779" s="132"/>
      <c r="AL779" s="146"/>
      <c r="AM779" s="143">
        <f>'Valve Sizing'!$G$8*AM777/P_1_maxW</f>
        <v>0.15869159686783857</v>
      </c>
      <c r="AN779" s="132"/>
      <c r="AO779" s="146"/>
      <c r="AP779" s="143">
        <f>'Valve Sizing'!$G$8*AP777/P_1_maxW</f>
        <v>7.8862241752864881E-2</v>
      </c>
      <c r="AQ779" s="132"/>
      <c r="AR779" s="146"/>
      <c r="AS779" s="143">
        <f>'Valve Sizing'!$G$8*AS777/P_1_maxW</f>
        <v>-2.0502622632431255E-2</v>
      </c>
      <c r="AT779" s="132"/>
      <c r="AU779" s="146"/>
    </row>
    <row r="780" spans="13:47" x14ac:dyDescent="0.25">
      <c r="M780" s="20"/>
      <c r="N780" s="20"/>
      <c r="O780" s="7" t="s">
        <v>190</v>
      </c>
      <c r="P780" s="1"/>
      <c r="Q780" s="7"/>
      <c r="R780" s="181">
        <f>R777-R778</f>
        <v>50.522360213419915</v>
      </c>
      <c r="S780" s="132"/>
      <c r="T780" s="146"/>
      <c r="U780" s="138">
        <f>U777-U778</f>
        <v>50.275697162650147</v>
      </c>
      <c r="V780" s="132"/>
      <c r="W780" s="146"/>
      <c r="X780" s="138">
        <f>X777-X778</f>
        <v>49.011508427246056</v>
      </c>
      <c r="Y780" s="132"/>
      <c r="Z780" s="146"/>
      <c r="AA780" s="138">
        <f>AA777-AA778</f>
        <v>44.789435661921104</v>
      </c>
      <c r="AB780" s="132"/>
      <c r="AC780" s="146"/>
      <c r="AD780" s="138">
        <f>AD777-AD778</f>
        <v>35.015139460663676</v>
      </c>
      <c r="AE780" s="132"/>
      <c r="AF780" s="146"/>
      <c r="AG780" s="138">
        <f>AG777-AG778</f>
        <v>20.015798712415616</v>
      </c>
      <c r="AH780" s="132"/>
      <c r="AI780" s="146"/>
      <c r="AJ780" s="138">
        <f>AJ777-AJ778</f>
        <v>1.3386250923856622</v>
      </c>
      <c r="AK780" s="132"/>
      <c r="AL780" s="146"/>
      <c r="AM780" s="138">
        <f>AM777-AM778</f>
        <v>-17.102517847526727</v>
      </c>
      <c r="AN780" s="132"/>
      <c r="AO780" s="146"/>
      <c r="AP780" s="138">
        <f>AP777-AP778</f>
        <v>-33.651502399780213</v>
      </c>
      <c r="AQ780" s="132"/>
      <c r="AR780" s="146"/>
      <c r="AS780" s="138">
        <f>AS777-AS778</f>
        <v>-54.250285934743133</v>
      </c>
      <c r="AT780" s="132"/>
      <c r="AU780" s="146"/>
    </row>
    <row r="781" spans="13:47" ht="14.5" x14ac:dyDescent="0.35">
      <c r="M781" s="27"/>
      <c r="N781" s="27"/>
      <c r="O781" s="2" t="s">
        <v>191</v>
      </c>
      <c r="P781" s="10"/>
      <c r="Q781" s="2"/>
      <c r="R781" s="181">
        <f>R780/R777</f>
        <v>0.5025982289527966</v>
      </c>
      <c r="S781" s="132"/>
      <c r="T781" s="146"/>
      <c r="U781" s="138">
        <f>U780/U777</f>
        <v>0.50137469581589122</v>
      </c>
      <c r="V781" s="132"/>
      <c r="W781" s="146"/>
      <c r="X781" s="138">
        <f>X780/X777</f>
        <v>0.49500819860006329</v>
      </c>
      <c r="Y781" s="132"/>
      <c r="Z781" s="146"/>
      <c r="AA781" s="138">
        <f>AA780/AA777</f>
        <v>0.47251505770820784</v>
      </c>
      <c r="AB781" s="132"/>
      <c r="AC781" s="146"/>
      <c r="AD781" s="138">
        <f>AD780/AD777</f>
        <v>0.41186945857878771</v>
      </c>
      <c r="AE781" s="132"/>
      <c r="AF781" s="146"/>
      <c r="AG781" s="138">
        <f>AG780/AG777</f>
        <v>0.28587546068893588</v>
      </c>
      <c r="AH781" s="132"/>
      <c r="AI781" s="146"/>
      <c r="AJ781" s="138">
        <f>AJ780/AJ777</f>
        <v>2.6074424275616247E-2</v>
      </c>
      <c r="AK781" s="132"/>
      <c r="AL781" s="146"/>
      <c r="AM781" s="138">
        <f>AM780/AM777</f>
        <v>-0.51987315528464961</v>
      </c>
      <c r="AN781" s="132"/>
      <c r="AO781" s="146"/>
      <c r="AP781" s="138">
        <f>AP780/AP777</f>
        <v>-2.0583850102120582</v>
      </c>
      <c r="AQ781" s="132"/>
      <c r="AR781" s="146"/>
      <c r="AS781" s="138">
        <f>AS780/AS777</f>
        <v>12.763914420741614</v>
      </c>
      <c r="AT781" s="132"/>
      <c r="AU781" s="146"/>
    </row>
    <row r="782" spans="13:47" x14ac:dyDescent="0.25">
      <c r="M782" s="27"/>
      <c r="N782" s="27"/>
      <c r="O782" s="2" t="s">
        <v>26</v>
      </c>
      <c r="P782" s="7">
        <v>12</v>
      </c>
      <c r="Q782" s="2"/>
      <c r="R782" s="181">
        <f>1-R781/(3*F_GAMMA*R$29)</f>
        <v>0.73824108302361413</v>
      </c>
      <c r="S782" s="133"/>
      <c r="T782" s="146"/>
      <c r="U782" s="138">
        <f>1-U781/(3*F_GAMMA*U$29)</f>
        <v>0.7389358055949069</v>
      </c>
      <c r="V782" s="133"/>
      <c r="W782" s="146"/>
      <c r="X782" s="138">
        <f>1-X781/(3*F_GAMMA*X$29)</f>
        <v>0.73838417235185805</v>
      </c>
      <c r="Y782" s="133"/>
      <c r="Z782" s="146"/>
      <c r="AA782" s="138">
        <f>1-AA781/(3*F_GAMMA*AA$29)</f>
        <v>0.74684786013120774</v>
      </c>
      <c r="AB782" s="133"/>
      <c r="AC782" s="146"/>
      <c r="AD782" s="138">
        <f>1-AD781/(3*F_GAMMA*AD$29)</f>
        <v>0.7732889671205625</v>
      </c>
      <c r="AE782" s="133"/>
      <c r="AF782" s="146"/>
      <c r="AG782" s="138">
        <f>1-AG781/(3*F_GAMMA*AG$29)</f>
        <v>0.83366562336720862</v>
      </c>
      <c r="AH782" s="133"/>
      <c r="AI782" s="146"/>
      <c r="AJ782" s="138">
        <f>1-AJ781/(3*F_GAMMA*AJ$29)</f>
        <v>0.98378178407813188</v>
      </c>
      <c r="AK782" s="133"/>
      <c r="AL782" s="146"/>
      <c r="AM782" s="138">
        <f>1-AM781/(3*F_GAMMA*AM$29)</f>
        <v>1.3533032316620854</v>
      </c>
      <c r="AN782" s="133"/>
      <c r="AO782" s="146"/>
      <c r="AP782" s="138">
        <f>1-AP781/(3*F_GAMMA*AP$29)</f>
        <v>2.1560133090356803</v>
      </c>
      <c r="AQ782" s="133"/>
      <c r="AR782" s="146"/>
      <c r="AS782" s="138">
        <f>1-AS781/(3*F_GAMMA*AS$29)</f>
        <v>-9.8822008672161878</v>
      </c>
      <c r="AT782" s="133"/>
      <c r="AU782" s="146"/>
    </row>
    <row r="783" spans="13:47" x14ac:dyDescent="0.25">
      <c r="M783" s="27"/>
      <c r="N783" s="27"/>
      <c r="O783" s="2" t="s">
        <v>71</v>
      </c>
      <c r="P783" s="85">
        <v>5</v>
      </c>
      <c r="Q783" s="2"/>
      <c r="R783" s="179">
        <f>R775/((N_6*R$27*R782)*SQRT(R781*R777*R779))</f>
        <v>0.14141495527940334</v>
      </c>
      <c r="S783" s="133"/>
      <c r="T783" s="146"/>
      <c r="U783" s="143">
        <f>U775/((N_6*U$27*U782)*SQRT(U781*U777*U779))</f>
        <v>3.4151429527504975</v>
      </c>
      <c r="V783" s="133"/>
      <c r="W783" s="146"/>
      <c r="X783" s="143">
        <f>X775/((N_6*X$27*X782)*SQRT(X781*X777*X779))</f>
        <v>8.6342512115426224</v>
      </c>
      <c r="Y783" s="133"/>
      <c r="Z783" s="146"/>
      <c r="AA783" s="143">
        <f>AA775/((N_6*AA$27*AA782)*SQRT(AA781*AA777*AA779))</f>
        <v>17.878111950197646</v>
      </c>
      <c r="AB783" s="133"/>
      <c r="AC783" s="146"/>
      <c r="AD783" s="143">
        <f>AD775/((N_6*AD$27*AD782)*SQRT(AD781*AD777*AD779))</f>
        <v>34.317610982940948</v>
      </c>
      <c r="AE783" s="133"/>
      <c r="AF783" s="146"/>
      <c r="AG783" s="143">
        <f>AG775/((N_6*AG$27*AG782)*SQRT(AG781*AG777*AG779))</f>
        <v>66.474637490357367</v>
      </c>
      <c r="AH783" s="133"/>
      <c r="AI783" s="146"/>
      <c r="AJ783" s="143">
        <f>AJ775/((N_6*AJ$27*AJ782)*SQRT(AJ781*AJ777*AJ779))</f>
        <v>334.08311740762412</v>
      </c>
      <c r="AK783" s="133"/>
      <c r="AL783" s="146"/>
      <c r="AM783" s="143" t="e">
        <f>AM775/((N_6*AM$27*AM782)*SQRT(AM781*AM777*AM779))</f>
        <v>#NUM!</v>
      </c>
      <c r="AN783" s="133"/>
      <c r="AO783" s="146"/>
      <c r="AP783" s="143" t="e">
        <f>AP775/((N_6*AP$27*AP782)*SQRT(AP781*AP777*AP779))</f>
        <v>#NUM!</v>
      </c>
      <c r="AQ783" s="133"/>
      <c r="AR783" s="146"/>
      <c r="AS783" s="143">
        <f>AS775/((N_6*AS$27*AS782)*SQRT(AS781*AS777*AS779))</f>
        <v>-41.983546861202903</v>
      </c>
      <c r="AT783" s="133"/>
      <c r="AU783" s="146"/>
    </row>
    <row r="784" spans="13:47" x14ac:dyDescent="0.25">
      <c r="M784" s="27"/>
      <c r="N784" s="27"/>
      <c r="O784" s="2" t="s">
        <v>73</v>
      </c>
      <c r="P784" s="85">
        <v>5</v>
      </c>
      <c r="Q784" s="2"/>
      <c r="R784" s="179">
        <f>R775/((N_6*R$27*0.667)*SQRT(R785*R777*R779))</f>
        <v>0.13870083847603495</v>
      </c>
      <c r="S784" s="133"/>
      <c r="T784" s="155"/>
      <c r="U784" s="143">
        <f>U775/((N_6*U$27*0.667)*SQRT(U785*U777*U779))</f>
        <v>3.3482975687833947</v>
      </c>
      <c r="V784" s="133"/>
      <c r="W784" s="155"/>
      <c r="X784" s="143">
        <f>X775/((N_6*X$27*0.667)*SQRT(X785*X777*X779))</f>
        <v>8.4678637202942326</v>
      </c>
      <c r="Y784" s="133"/>
      <c r="Z784" s="155"/>
      <c r="AA784" s="143">
        <f>AA775/((N_6*AA$27*0.667)*SQRT(AA785*AA777*AA779))</f>
        <v>17.445338001297895</v>
      </c>
      <c r="AB784" s="133"/>
      <c r="AC784" s="155"/>
      <c r="AD784" s="143">
        <f>AD775/((N_6*AD$27*0.667)*SQRT(AD785*AD777*AD779))</f>
        <v>32.81179443325285</v>
      </c>
      <c r="AE784" s="133"/>
      <c r="AF784" s="155"/>
      <c r="AG784" s="143">
        <f>AG775/((N_6*AG$27*0.667)*SQRT(AG785*AG777*AG779))</f>
        <v>58.691292285915971</v>
      </c>
      <c r="AH784" s="133"/>
      <c r="AI784" s="155"/>
      <c r="AJ784" s="143">
        <f>AJ775/((N_6*AJ$27*0.667)*SQRT(AJ785*AJ777*AJ779))</f>
        <v>108.69001252868838</v>
      </c>
      <c r="AK784" s="133"/>
      <c r="AL784" s="155"/>
      <c r="AM784" s="143">
        <f>AM775/((N_6*AM$27*0.667)*SQRT(AM785*AM777*AM779))</f>
        <v>220.66241678933386</v>
      </c>
      <c r="AN784" s="133"/>
      <c r="AO784" s="155"/>
      <c r="AP784" s="143">
        <f>AP775/((N_6*AP$27*0.667)*SQRT(AP785*AP777*AP779))</f>
        <v>511.5586350597174</v>
      </c>
      <c r="AQ784" s="133"/>
      <c r="AR784" s="155"/>
      <c r="AS784" s="143">
        <f>AS775/((N_6*AS$27*0.667)*SQRT(AS785*AS777*AS779))</f>
        <v>3554.0699039266424</v>
      </c>
      <c r="AT784" s="133"/>
      <c r="AU784" s="155"/>
    </row>
    <row r="785" spans="13:47" ht="15.5" x14ac:dyDescent="0.4">
      <c r="M785" s="27"/>
      <c r="N785" s="27"/>
      <c r="O785" s="2" t="s">
        <v>192</v>
      </c>
      <c r="P785" s="85">
        <v>10</v>
      </c>
      <c r="Q785" s="2"/>
      <c r="R785" s="181">
        <f>F_GAMMA*R$29</f>
        <v>0.64002688015162901</v>
      </c>
      <c r="S785" s="133"/>
      <c r="T785" s="155"/>
      <c r="U785" s="138">
        <f>F_GAMMA*U$29</f>
        <v>0.64016782916606918</v>
      </c>
      <c r="V785" s="133"/>
      <c r="W785" s="155"/>
      <c r="X785" s="138">
        <f>F_GAMMA*X$29</f>
        <v>0.6307062319203669</v>
      </c>
      <c r="Y785" s="133"/>
      <c r="Z785" s="155"/>
      <c r="AA785" s="138">
        <f>F_GAMMA*AA$29</f>
        <v>0.62217534213893466</v>
      </c>
      <c r="AB785" s="133"/>
      <c r="AC785" s="155"/>
      <c r="AD785" s="138">
        <f>F_GAMMA*AD$29</f>
        <v>0.60557184969146072</v>
      </c>
      <c r="AE785" s="133"/>
      <c r="AF785" s="155"/>
      <c r="AG785" s="138">
        <f>F_GAMMA*AG$29</f>
        <v>0.57289312142622573</v>
      </c>
      <c r="AH785" s="133"/>
      <c r="AI785" s="155"/>
      <c r="AJ785" s="138">
        <f>F_GAMMA*AJ$29</f>
        <v>0.53590819116049981</v>
      </c>
      <c r="AK785" s="133"/>
      <c r="AL785" s="155"/>
      <c r="AM785" s="138">
        <f>F_GAMMA*AM$29</f>
        <v>0.49048815926850342</v>
      </c>
      <c r="AN785" s="133"/>
      <c r="AO785" s="155"/>
      <c r="AP785" s="138">
        <f>F_GAMMA*AP$29</f>
        <v>0.59352979016280105</v>
      </c>
      <c r="AQ785" s="133"/>
      <c r="AR785" s="155"/>
      <c r="AS785" s="138">
        <f>F_GAMMA*AS$29</f>
        <v>0.39097221161068291</v>
      </c>
      <c r="AT785" s="133"/>
      <c r="AU785" s="155"/>
    </row>
    <row r="786" spans="13:47" x14ac:dyDescent="0.25">
      <c r="M786" s="27"/>
      <c r="N786" s="27"/>
      <c r="O786" s="2" t="s">
        <v>193</v>
      </c>
      <c r="P786" s="134"/>
      <c r="Q786" s="2"/>
      <c r="R786" s="181">
        <f>IF(R781&lt;R785,R783,R784)</f>
        <v>0.14141495527940334</v>
      </c>
      <c r="S786" s="133"/>
      <c r="T786" s="155"/>
      <c r="U786" s="138">
        <f>IF(U781&lt;U785,U783,U784)</f>
        <v>3.4151429527504975</v>
      </c>
      <c r="V786" s="133"/>
      <c r="W786" s="155"/>
      <c r="X786" s="138">
        <f>IF(X781&lt;X785,X783,X784)</f>
        <v>8.6342512115426224</v>
      </c>
      <c r="Y786" s="133"/>
      <c r="Z786" s="155"/>
      <c r="AA786" s="138">
        <f>IF(AA781&lt;AA785,AA783,AA784)</f>
        <v>17.878111950197646</v>
      </c>
      <c r="AB786" s="133"/>
      <c r="AC786" s="155"/>
      <c r="AD786" s="138">
        <f>IF(AD781&lt;AD785,AD783,AD784)</f>
        <v>34.317610982940948</v>
      </c>
      <c r="AE786" s="133"/>
      <c r="AF786" s="155"/>
      <c r="AG786" s="138">
        <f>IF(AG781&lt;AG785,AG783,AG784)</f>
        <v>66.474637490357367</v>
      </c>
      <c r="AH786" s="133"/>
      <c r="AI786" s="155"/>
      <c r="AJ786" s="138">
        <f>IF(AJ781&lt;AJ785,AJ783,AJ784)</f>
        <v>334.08311740762412</v>
      </c>
      <c r="AK786" s="133"/>
      <c r="AL786" s="155"/>
      <c r="AM786" s="138" t="e">
        <f>IF(AM781&lt;AM785,AM783,AM784)</f>
        <v>#NUM!</v>
      </c>
      <c r="AN786" s="133"/>
      <c r="AO786" s="155"/>
      <c r="AP786" s="138" t="e">
        <f>IF(AP781&lt;AP785,AP783,AP784)</f>
        <v>#NUM!</v>
      </c>
      <c r="AQ786" s="133"/>
      <c r="AR786" s="155"/>
      <c r="AS786" s="138">
        <f>IF(AS781&lt;AS785,AS783,AS784)</f>
        <v>3554.0699039266424</v>
      </c>
      <c r="AT786" s="133"/>
      <c r="AU786" s="155"/>
    </row>
    <row r="787" spans="13:47" ht="13" x14ac:dyDescent="0.3">
      <c r="M787" s="28"/>
      <c r="N787" s="28"/>
      <c r="O787" s="9" t="s">
        <v>194</v>
      </c>
      <c r="P787" s="1"/>
      <c r="Q787" s="1"/>
      <c r="R787" s="135"/>
      <c r="S787" s="132">
        <f>IF(R780&lt;=0,W_max,ABS(R$23-R786))</f>
        <v>1.8585850447205967</v>
      </c>
      <c r="T787" s="151">
        <f>R775</f>
        <v>32.705032877849305</v>
      </c>
      <c r="U787" s="135"/>
      <c r="V787" s="132">
        <f>IF(U780&lt;=0,W_max,ABS(U$23-U786))</f>
        <v>1.5848570472495025</v>
      </c>
      <c r="W787" s="151">
        <f>U775</f>
        <v>787.1734118761226</v>
      </c>
      <c r="X787" s="135"/>
      <c r="Y787" s="132">
        <f>IF(X780&lt;=0,W_max,ABS(X$23-X786))</f>
        <v>1.3657487884573776</v>
      </c>
      <c r="Z787" s="151">
        <f>X775</f>
        <v>1946.7735223037462</v>
      </c>
      <c r="AA787" s="135"/>
      <c r="AB787" s="132">
        <f>IF(AA780&lt;=0,W_max,ABS(AA$23-AA786))</f>
        <v>0.67811195019764625</v>
      </c>
      <c r="AC787" s="151">
        <f>AA775</f>
        <v>3791.8179164353078</v>
      </c>
      <c r="AD787" s="135"/>
      <c r="AE787" s="132">
        <f>IF(AD780&lt;=0,W_max,ABS(AD$23-AD786))</f>
        <v>7.7176109829409469</v>
      </c>
      <c r="AF787" s="151">
        <f>AD775</f>
        <v>6236.1444080072761</v>
      </c>
      <c r="AG787" s="135"/>
      <c r="AH787" s="132">
        <f>IF(AG780&lt;=0,W_max,ABS(AG$23-AG786))</f>
        <v>28.074637490357368</v>
      </c>
      <c r="AI787" s="151">
        <f>AG775</f>
        <v>8746.6726291010746</v>
      </c>
      <c r="AJ787" s="135"/>
      <c r="AK787" s="132">
        <f>IF(AJ780&lt;=0,W_max,ABS(AJ$23-AJ786))</f>
        <v>281.58311740762412</v>
      </c>
      <c r="AL787" s="151">
        <f>AJ775</f>
        <v>11105.953296535374</v>
      </c>
      <c r="AM787" s="135"/>
      <c r="AN787" s="132">
        <f>IF(AM780&lt;=0,W_max,ABS(AM$23-AM786))</f>
        <v>7174</v>
      </c>
      <c r="AO787" s="151">
        <f>AM775</f>
        <v>13022.603667037331</v>
      </c>
      <c r="AP787" s="135"/>
      <c r="AQ787" s="132">
        <f>IF(AP780&lt;=0,W_max,ABS(AP$23-AP786))</f>
        <v>7174</v>
      </c>
      <c r="AR787" s="151">
        <f>AP775</f>
        <v>14528.906702481228</v>
      </c>
      <c r="AS787" s="135"/>
      <c r="AT787" s="132">
        <f>IF(AS780&lt;=0,W_max,ABS(AS$23-AS786))</f>
        <v>7174</v>
      </c>
      <c r="AU787" s="151">
        <f>AS775</f>
        <v>16209.441319611869</v>
      </c>
    </row>
    <row r="788" spans="13:47" ht="13" x14ac:dyDescent="0.25">
      <c r="M788" s="12"/>
      <c r="N788" s="12"/>
      <c r="O788" s="2"/>
      <c r="P788" s="85"/>
      <c r="Q788" s="2"/>
      <c r="R788" s="18"/>
      <c r="S788" s="150"/>
      <c r="T788" s="148"/>
      <c r="U788" s="157"/>
      <c r="V788" s="1"/>
      <c r="W788" s="147"/>
      <c r="X788" s="157"/>
      <c r="Y788" s="1"/>
      <c r="Z788" s="147"/>
      <c r="AA788" s="157"/>
      <c r="AB788" s="1"/>
      <c r="AC788" s="147"/>
      <c r="AD788" s="157"/>
      <c r="AE788" s="1"/>
      <c r="AF788" s="147"/>
      <c r="AG788" s="157"/>
      <c r="AH788" s="1"/>
      <c r="AI788" s="147"/>
      <c r="AJ788" s="157"/>
      <c r="AK788" s="1"/>
      <c r="AL788" s="147"/>
      <c r="AM788" s="157"/>
      <c r="AN788" s="1"/>
      <c r="AO788" s="147"/>
      <c r="AP788" s="157"/>
      <c r="AQ788" s="1"/>
      <c r="AR788" s="147"/>
      <c r="AS788" s="157"/>
      <c r="AT788" s="1"/>
      <c r="AU788" s="147"/>
    </row>
    <row r="789" spans="13:47" ht="14" x14ac:dyDescent="0.3">
      <c r="M789" s="23"/>
      <c r="N789" s="23"/>
      <c r="O789" s="23" t="s">
        <v>238</v>
      </c>
      <c r="P789" s="20"/>
      <c r="Q789" s="20"/>
      <c r="R789" s="181">
        <f>R775*1.02</f>
        <v>33.359133535406293</v>
      </c>
      <c r="S789" s="128" t="s">
        <v>185</v>
      </c>
      <c r="T789" s="149" t="s">
        <v>186</v>
      </c>
      <c r="U789" s="143">
        <f>U775*1.01</f>
        <v>795.0451459948838</v>
      </c>
      <c r="V789" s="128" t="s">
        <v>185</v>
      </c>
      <c r="W789" s="153" t="s">
        <v>186</v>
      </c>
      <c r="X789" s="143">
        <f>X775*1.01</f>
        <v>1966.2412575267836</v>
      </c>
      <c r="Y789" s="128" t="s">
        <v>185</v>
      </c>
      <c r="Z789" s="153" t="s">
        <v>186</v>
      </c>
      <c r="AA789" s="143">
        <f>AA775*1.01</f>
        <v>3829.736095599661</v>
      </c>
      <c r="AB789" s="128" t="s">
        <v>185</v>
      </c>
      <c r="AC789" s="153" t="s">
        <v>186</v>
      </c>
      <c r="AD789" s="143">
        <f>AD775*1.01</f>
        <v>6298.505852087349</v>
      </c>
      <c r="AE789" s="128" t="s">
        <v>185</v>
      </c>
      <c r="AF789" s="153" t="s">
        <v>186</v>
      </c>
      <c r="AG789" s="143">
        <f>AG775*1.01</f>
        <v>8834.1393553920861</v>
      </c>
      <c r="AH789" s="128" t="s">
        <v>185</v>
      </c>
      <c r="AI789" s="153" t="s">
        <v>186</v>
      </c>
      <c r="AJ789" s="143">
        <f>AJ775*1.01</f>
        <v>11217.012829500727</v>
      </c>
      <c r="AK789" s="128" t="s">
        <v>185</v>
      </c>
      <c r="AL789" s="153" t="s">
        <v>186</v>
      </c>
      <c r="AM789" s="143">
        <f>AM775*1.01</f>
        <v>13152.829703707705</v>
      </c>
      <c r="AN789" s="128" t="s">
        <v>185</v>
      </c>
      <c r="AO789" s="153" t="s">
        <v>186</v>
      </c>
      <c r="AP789" s="143">
        <f>AP775*1.01</f>
        <v>14674.195769506041</v>
      </c>
      <c r="AQ789" s="128" t="s">
        <v>185</v>
      </c>
      <c r="AR789" s="153" t="s">
        <v>186</v>
      </c>
      <c r="AS789" s="143">
        <f>AS775*1.01</f>
        <v>16371.535732807988</v>
      </c>
      <c r="AT789" s="128" t="s">
        <v>185</v>
      </c>
      <c r="AU789" s="153" t="s">
        <v>186</v>
      </c>
    </row>
    <row r="790" spans="13:47" ht="14" x14ac:dyDescent="0.3">
      <c r="M790" s="12"/>
      <c r="N790" s="12"/>
      <c r="O790" s="20"/>
      <c r="P790" s="20"/>
      <c r="Q790" s="23"/>
      <c r="R790" s="139"/>
      <c r="S790" s="130" t="s">
        <v>228</v>
      </c>
      <c r="T790" s="131" t="s">
        <v>187</v>
      </c>
      <c r="U790" s="144"/>
      <c r="V790" s="130" t="s">
        <v>228</v>
      </c>
      <c r="W790" s="154" t="s">
        <v>187</v>
      </c>
      <c r="X790" s="144"/>
      <c r="Y790" s="130" t="s">
        <v>228</v>
      </c>
      <c r="Z790" s="154" t="s">
        <v>187</v>
      </c>
      <c r="AA790" s="144"/>
      <c r="AB790" s="130" t="s">
        <v>228</v>
      </c>
      <c r="AC790" s="154" t="s">
        <v>187</v>
      </c>
      <c r="AD790" s="144"/>
      <c r="AE790" s="130" t="s">
        <v>228</v>
      </c>
      <c r="AF790" s="154" t="s">
        <v>187</v>
      </c>
      <c r="AG790" s="144"/>
      <c r="AH790" s="130" t="s">
        <v>228</v>
      </c>
      <c r="AI790" s="154" t="s">
        <v>187</v>
      </c>
      <c r="AJ790" s="144"/>
      <c r="AK790" s="130" t="s">
        <v>228</v>
      </c>
      <c r="AL790" s="154" t="s">
        <v>187</v>
      </c>
      <c r="AM790" s="144"/>
      <c r="AN790" s="130" t="s">
        <v>228</v>
      </c>
      <c r="AO790" s="154" t="s">
        <v>187</v>
      </c>
      <c r="AP790" s="144"/>
      <c r="AQ790" s="130" t="s">
        <v>228</v>
      </c>
      <c r="AR790" s="154" t="s">
        <v>187</v>
      </c>
      <c r="AS790" s="144"/>
      <c r="AT790" s="130" t="s">
        <v>228</v>
      </c>
      <c r="AU790" s="154" t="s">
        <v>187</v>
      </c>
    </row>
    <row r="791" spans="13:47" x14ac:dyDescent="0.25">
      <c r="M791" s="20"/>
      <c r="N791" s="20"/>
      <c r="O791" s="7" t="s">
        <v>188</v>
      </c>
      <c r="P791" s="7"/>
      <c r="Q791" s="7"/>
      <c r="R791" s="181">
        <f>P_1_minW-(R789^2*R_up)+dpup_minQ</f>
        <v>100.52234298187831</v>
      </c>
      <c r="S791" s="132"/>
      <c r="T791" s="145"/>
      <c r="U791" s="138">
        <f>P_1_minW-(U789^2*R_up)+dpup_minQ</f>
        <v>100.27073066221121</v>
      </c>
      <c r="V791" s="132"/>
      <c r="W791" s="145"/>
      <c r="X791" s="138">
        <f>P_1_minW-(X789^2*R_up)+dpup_minQ</f>
        <v>98.981131733225496</v>
      </c>
      <c r="Y791" s="132"/>
      <c r="Z791" s="145"/>
      <c r="AA791" s="138">
        <f>P_1_minW-(AA789^2*R_up)+dpup_minQ</f>
        <v>94.674195305317511</v>
      </c>
      <c r="AB791" s="132"/>
      <c r="AC791" s="145"/>
      <c r="AD791" s="138">
        <f>P_1_minW-(AD789^2*R_up)+dpup_minQ</f>
        <v>84.703435750414812</v>
      </c>
      <c r="AE791" s="132"/>
      <c r="AF791" s="145"/>
      <c r="AG791" s="138">
        <f>P_1_minW-(AG789^2*R_up)+dpup_minQ</f>
        <v>69.402608253126957</v>
      </c>
      <c r="AH791" s="132"/>
      <c r="AI791" s="145"/>
      <c r="AJ791" s="138">
        <f>P_1_minW-(AJ789^2*R_up)+dpup_minQ</f>
        <v>50.350023443334415</v>
      </c>
      <c r="AK791" s="132"/>
      <c r="AL791" s="145"/>
      <c r="AM791" s="138">
        <f>P_1_minW-(AM789^2*R_up)+dpup_minQ</f>
        <v>31.53821353032977</v>
      </c>
      <c r="AN791" s="132"/>
      <c r="AO791" s="145"/>
      <c r="AP791" s="138">
        <f>P_1_minW-(AP789^2*R_up)+dpup_minQ</f>
        <v>14.656594388575982</v>
      </c>
      <c r="AQ791" s="132"/>
      <c r="AR791" s="145"/>
      <c r="AS791" s="138">
        <f>P_1_minW-(AS789^2*R_up)+dpup_minQ</f>
        <v>-6.3562246954396935</v>
      </c>
      <c r="AT791" s="132"/>
      <c r="AU791" s="145"/>
    </row>
    <row r="792" spans="13:47" x14ac:dyDescent="0.25">
      <c r="M792" s="20"/>
      <c r="N792" s="20"/>
      <c r="O792" s="7" t="s">
        <v>189</v>
      </c>
      <c r="P792" s="1"/>
      <c r="Q792" s="7"/>
      <c r="R792" s="181">
        <f>P_2_minW+(R789^2*R_dn)-dpdn_minQ</f>
        <v>50</v>
      </c>
      <c r="S792" s="132"/>
      <c r="T792" s="146"/>
      <c r="U792" s="138">
        <f>P_2_minW+(U789^2*R_dn)-dpdn_minQ</f>
        <v>50</v>
      </c>
      <c r="V792" s="132"/>
      <c r="W792" s="146"/>
      <c r="X792" s="138">
        <f>P_2_minW+(X789^2*R_dn)-dpdn_minQ</f>
        <v>50</v>
      </c>
      <c r="Y792" s="132"/>
      <c r="Z792" s="146"/>
      <c r="AA792" s="138">
        <f>P_2_minW+(AA789^2*R_dn)-dpdn_minQ</f>
        <v>50</v>
      </c>
      <c r="AB792" s="132"/>
      <c r="AC792" s="146"/>
      <c r="AD792" s="138">
        <f>P_2_minW+(AD789^2*R_dn)-dpdn_minQ</f>
        <v>50</v>
      </c>
      <c r="AE792" s="132"/>
      <c r="AF792" s="146"/>
      <c r="AG792" s="138">
        <f>P_2_minW+(AG789^2*R_dn)-dpdn_minQ</f>
        <v>50</v>
      </c>
      <c r="AH792" s="132"/>
      <c r="AI792" s="146"/>
      <c r="AJ792" s="138">
        <f>P_2_minW+(AJ789^2*R_dn)-dpdn_minQ</f>
        <v>50</v>
      </c>
      <c r="AK792" s="132"/>
      <c r="AL792" s="146"/>
      <c r="AM792" s="138">
        <f>P_2_minW+(AM789^2*R_dn)-dpdn_minQ</f>
        <v>50</v>
      </c>
      <c r="AN792" s="132"/>
      <c r="AO792" s="146"/>
      <c r="AP792" s="138">
        <f>P_2_minW+(AP789^2*R_dn)-dpdn_minQ</f>
        <v>50</v>
      </c>
      <c r="AQ792" s="132"/>
      <c r="AR792" s="146"/>
      <c r="AS792" s="138">
        <f>P_2_minW+(AS789^2*R_dn)-dpdn_minQ</f>
        <v>50</v>
      </c>
      <c r="AT792" s="132"/>
      <c r="AU792" s="146"/>
    </row>
    <row r="793" spans="13:47" x14ac:dyDescent="0.25">
      <c r="M793" s="20"/>
      <c r="N793" s="20"/>
      <c r="O793" s="7" t="s">
        <v>234</v>
      </c>
      <c r="P793" s="1"/>
      <c r="Q793" s="7"/>
      <c r="R793" s="179">
        <f>'Valve Sizing'!G$8*R791/P_1_maxW</f>
        <v>0.48490188564450792</v>
      </c>
      <c r="S793" s="132"/>
      <c r="T793" s="146"/>
      <c r="U793" s="143">
        <f>'Valve Sizing'!$G$8*U791/P_1_maxW</f>
        <v>0.4836881526112462</v>
      </c>
      <c r="V793" s="132"/>
      <c r="W793" s="146"/>
      <c r="X793" s="143">
        <f>'Valve Sizing'!$G$8*X791/P_1_maxW</f>
        <v>0.47746735697675691</v>
      </c>
      <c r="Y793" s="132"/>
      <c r="Z793" s="146"/>
      <c r="AA793" s="143">
        <f>'Valve Sizing'!$G$8*AA791/P_1_maxW</f>
        <v>0.4566914624512971</v>
      </c>
      <c r="AB793" s="132"/>
      <c r="AC793" s="146"/>
      <c r="AD793" s="143">
        <f>'Valve Sizing'!$G$8*AD791/P_1_maxW</f>
        <v>0.40859429354276972</v>
      </c>
      <c r="AE793" s="132"/>
      <c r="AF793" s="146"/>
      <c r="AG793" s="143">
        <f>'Valve Sizing'!$G$8*AG791/P_1_maxW</f>
        <v>0.33478582584028344</v>
      </c>
      <c r="AH793" s="132"/>
      <c r="AI793" s="146"/>
      <c r="AJ793" s="143">
        <f>'Valve Sizing'!$G$8*AJ791/P_1_maxW</f>
        <v>0.2428795488214936</v>
      </c>
      <c r="AK793" s="132"/>
      <c r="AL793" s="146"/>
      <c r="AM793" s="143">
        <f>'Valve Sizing'!$G$8*AM791/P_1_maxW</f>
        <v>0.15213472703748038</v>
      </c>
      <c r="AN793" s="132"/>
      <c r="AO793" s="146"/>
      <c r="AP793" s="143">
        <f>'Valve Sizing'!$G$8*AP791/P_1_maxW</f>
        <v>7.0700801884695672E-2</v>
      </c>
      <c r="AQ793" s="132"/>
      <c r="AR793" s="146"/>
      <c r="AS793" s="143">
        <f>'Valve Sizing'!$G$8*AS791/P_1_maxW</f>
        <v>-3.0661296274744908E-2</v>
      </c>
      <c r="AT793" s="132"/>
      <c r="AU793" s="146"/>
    </row>
    <row r="794" spans="13:47" x14ac:dyDescent="0.25">
      <c r="M794" s="20"/>
      <c r="N794" s="20"/>
      <c r="O794" s="7" t="s">
        <v>190</v>
      </c>
      <c r="P794" s="1"/>
      <c r="Q794" s="7"/>
      <c r="R794" s="181">
        <f>R791-R792</f>
        <v>50.52234298187831</v>
      </c>
      <c r="S794" s="132"/>
      <c r="T794" s="146"/>
      <c r="U794" s="138">
        <f>U791-U792</f>
        <v>50.270730662211207</v>
      </c>
      <c r="V794" s="132"/>
      <c r="W794" s="146"/>
      <c r="X794" s="138">
        <f>X791-X792</f>
        <v>48.981131733225496</v>
      </c>
      <c r="Y794" s="132"/>
      <c r="Z794" s="146"/>
      <c r="AA794" s="138">
        <f>AA791-AA792</f>
        <v>44.674195305317511</v>
      </c>
      <c r="AB794" s="132"/>
      <c r="AC794" s="146"/>
      <c r="AD794" s="138">
        <f>AD791-AD792</f>
        <v>34.703435750414812</v>
      </c>
      <c r="AE794" s="132"/>
      <c r="AF794" s="146"/>
      <c r="AG794" s="138">
        <f>AG791-AG792</f>
        <v>19.402608253126957</v>
      </c>
      <c r="AH794" s="132"/>
      <c r="AI794" s="146"/>
      <c r="AJ794" s="138">
        <f>AJ791-AJ792</f>
        <v>0.35002344333441471</v>
      </c>
      <c r="AK794" s="132"/>
      <c r="AL794" s="146"/>
      <c r="AM794" s="138">
        <f>AM791-AM792</f>
        <v>-18.46178646967023</v>
      </c>
      <c r="AN794" s="132"/>
      <c r="AO794" s="146"/>
      <c r="AP794" s="138">
        <f>AP791-AP792</f>
        <v>-35.343405611424018</v>
      </c>
      <c r="AQ794" s="132"/>
      <c r="AR794" s="146"/>
      <c r="AS794" s="138">
        <f>AS791-AS792</f>
        <v>-56.356224695439693</v>
      </c>
      <c r="AT794" s="132"/>
      <c r="AU794" s="146"/>
    </row>
    <row r="795" spans="13:47" ht="14.5" x14ac:dyDescent="0.35">
      <c r="M795" s="27"/>
      <c r="N795" s="27"/>
      <c r="O795" s="2" t="s">
        <v>191</v>
      </c>
      <c r="P795" s="10"/>
      <c r="Q795" s="2"/>
      <c r="R795" s="181">
        <f>R794/R791</f>
        <v>0.50259814368817723</v>
      </c>
      <c r="S795" s="132"/>
      <c r="T795" s="146"/>
      <c r="U795" s="138">
        <f>U794/U791</f>
        <v>0.50134999845130901</v>
      </c>
      <c r="V795" s="132"/>
      <c r="W795" s="146"/>
      <c r="X795" s="138">
        <f>X794/X791</f>
        <v>0.49485321975545521</v>
      </c>
      <c r="Y795" s="132"/>
      <c r="Z795" s="146"/>
      <c r="AA795" s="138">
        <f>AA794/AA791</f>
        <v>0.47187298673357009</v>
      </c>
      <c r="AB795" s="132"/>
      <c r="AC795" s="146"/>
      <c r="AD795" s="138">
        <f>AD794/AD791</f>
        <v>0.40970517244036186</v>
      </c>
      <c r="AE795" s="132"/>
      <c r="AF795" s="146"/>
      <c r="AG795" s="138">
        <f>AG794/AG791</f>
        <v>0.27956598089745088</v>
      </c>
      <c r="AH795" s="132"/>
      <c r="AI795" s="146"/>
      <c r="AJ795" s="138">
        <f>AJ794/AJ791</f>
        <v>6.9518029863152439E-3</v>
      </c>
      <c r="AK795" s="132"/>
      <c r="AL795" s="146"/>
      <c r="AM795" s="138">
        <f>AM794/AM791</f>
        <v>-0.58537832055439154</v>
      </c>
      <c r="AN795" s="132"/>
      <c r="AO795" s="146"/>
      <c r="AP795" s="138">
        <f>AP794/AP791</f>
        <v>-2.4114336983339242</v>
      </c>
      <c r="AQ795" s="132"/>
      <c r="AR795" s="146"/>
      <c r="AS795" s="138">
        <f>AS794/AS791</f>
        <v>8.8663046691651353</v>
      </c>
      <c r="AT795" s="132"/>
      <c r="AU795" s="146"/>
    </row>
    <row r="796" spans="13:47" x14ac:dyDescent="0.25">
      <c r="M796" s="27"/>
      <c r="N796" s="27"/>
      <c r="O796" s="2" t="s">
        <v>26</v>
      </c>
      <c r="P796" s="7">
        <v>12</v>
      </c>
      <c r="Q796" s="2"/>
      <c r="R796" s="181">
        <f>1-R795/(3*F_GAMMA*R$29)</f>
        <v>0.73824112743040493</v>
      </c>
      <c r="S796" s="133"/>
      <c r="T796" s="146"/>
      <c r="U796" s="138">
        <f>1-U795/(3*F_GAMMA*U$29)</f>
        <v>0.73894866543335191</v>
      </c>
      <c r="V796" s="133"/>
      <c r="W796" s="146"/>
      <c r="X796" s="138">
        <f>1-X795/(3*F_GAMMA*X$29)</f>
        <v>0.73846607992190383</v>
      </c>
      <c r="Y796" s="133"/>
      <c r="Z796" s="146"/>
      <c r="AA796" s="138">
        <f>1-AA795/(3*F_GAMMA*AA$29)</f>
        <v>0.74719185264218835</v>
      </c>
      <c r="AB796" s="133"/>
      <c r="AC796" s="146"/>
      <c r="AD796" s="138">
        <f>1-AD795/(3*F_GAMMA*AD$29)</f>
        <v>0.77448028523281653</v>
      </c>
      <c r="AE796" s="133"/>
      <c r="AF796" s="146"/>
      <c r="AG796" s="138">
        <f>1-AG795/(3*F_GAMMA*AG$29)</f>
        <v>0.83733674430030547</v>
      </c>
      <c r="AH796" s="133"/>
      <c r="AI796" s="146"/>
      <c r="AJ796" s="138">
        <f>1-AJ795/(3*F_GAMMA*AJ$29)</f>
        <v>0.99567599879918411</v>
      </c>
      <c r="AK796" s="133"/>
      <c r="AL796" s="146"/>
      <c r="AM796" s="138">
        <f>1-AM795/(3*F_GAMMA*AM$29)</f>
        <v>1.3978202188254003</v>
      </c>
      <c r="AN796" s="133"/>
      <c r="AO796" s="146"/>
      <c r="AP796" s="138">
        <f>1-AP795/(3*F_GAMMA*AP$29)</f>
        <v>2.3542896179777175</v>
      </c>
      <c r="AQ796" s="133"/>
      <c r="AR796" s="146"/>
      <c r="AS796" s="138">
        <f>1-AS795/(3*F_GAMMA*AS$29)</f>
        <v>-6.5591942392689413</v>
      </c>
      <c r="AT796" s="133"/>
      <c r="AU796" s="146"/>
    </row>
    <row r="797" spans="13:47" x14ac:dyDescent="0.25">
      <c r="M797" s="27"/>
      <c r="N797" s="27"/>
      <c r="O797" s="2" t="s">
        <v>71</v>
      </c>
      <c r="P797" s="85">
        <v>5</v>
      </c>
      <c r="Q797" s="2"/>
      <c r="R797" s="179">
        <f>R789/((N_6*R$27*R796)*SQRT(R795*R791*R793))</f>
        <v>0.14424328266989808</v>
      </c>
      <c r="S797" s="133"/>
      <c r="T797" s="146"/>
      <c r="U797" s="143">
        <f>U789/((N_6*U$27*U796)*SQRT(U795*U791*U793))</f>
        <v>3.4494901590933229</v>
      </c>
      <c r="V797" s="133"/>
      <c r="W797" s="146"/>
      <c r="X797" s="143">
        <f>X789/((N_6*X$27*X796)*SQRT(X795*X791*X793))</f>
        <v>8.7236681957307596</v>
      </c>
      <c r="Y797" s="133"/>
      <c r="Z797" s="146"/>
      <c r="AA797" s="143">
        <f>AA789/((N_6*AA$27*AA796)*SQRT(AA795*AA791*AA793))</f>
        <v>18.082839311429947</v>
      </c>
      <c r="AB797" s="133"/>
      <c r="AC797" s="146"/>
      <c r="AD797" s="143">
        <f>AD789/((N_6*AD$27*AD796)*SQRT(AD795*AD791*AD793))</f>
        <v>34.826448089027423</v>
      </c>
      <c r="AE797" s="133"/>
      <c r="AF797" s="146"/>
      <c r="AG797" s="143">
        <f>AG789/((N_6*AG$27*AG796)*SQRT(AG795*AG791*AG793))</f>
        <v>68.192345426085637</v>
      </c>
      <c r="AH797" s="133"/>
      <c r="AI797" s="146"/>
      <c r="AJ797" s="143">
        <f>AJ789/((N_6*AJ$27*AJ796)*SQRT(AJ795*AJ791*AJ793))</f>
        <v>658.35453923970272</v>
      </c>
      <c r="AK797" s="133"/>
      <c r="AL797" s="146"/>
      <c r="AM797" s="143" t="e">
        <f>AM789/((N_6*AM$27*AM796)*SQRT(AM795*AM791*AM793))</f>
        <v>#NUM!</v>
      </c>
      <c r="AN797" s="133"/>
      <c r="AO797" s="146"/>
      <c r="AP797" s="143" t="e">
        <f>AP789/((N_6*AP$27*AP796)*SQRT(AP795*AP791*AP793))</f>
        <v>#NUM!</v>
      </c>
      <c r="AQ797" s="133"/>
      <c r="AR797" s="146"/>
      <c r="AS797" s="143">
        <f>AS789/((N_6*AS$27*AS796)*SQRT(AS795*AS791*AS793))</f>
        <v>-51.255822611944922</v>
      </c>
      <c r="AT797" s="133"/>
      <c r="AU797" s="146"/>
    </row>
    <row r="798" spans="13:47" x14ac:dyDescent="0.25">
      <c r="M798" s="27"/>
      <c r="N798" s="27"/>
      <c r="O798" s="2" t="s">
        <v>73</v>
      </c>
      <c r="P798" s="85">
        <v>5</v>
      </c>
      <c r="Q798" s="2"/>
      <c r="R798" s="179">
        <f>R789/((N_6*R$27*0.667)*SQRT(R799*R791*R793))</f>
        <v>0.14147487949717757</v>
      </c>
      <c r="S798" s="133"/>
      <c r="T798" s="147"/>
      <c r="U798" s="143">
        <f>U789/((N_6*U$27*0.667)*SQRT(U799*U791*U793))</f>
        <v>3.381948047135741</v>
      </c>
      <c r="V798" s="133"/>
      <c r="W798" s="155"/>
      <c r="X798" s="143">
        <f>X789/((N_6*X$27*0.667)*SQRT(X799*X791*X793))</f>
        <v>8.5551670795804906</v>
      </c>
      <c r="Y798" s="133"/>
      <c r="Z798" s="155"/>
      <c r="AA798" s="143">
        <f>AA789/((N_6*AA$27*0.667)*SQRT(AA799*AA791*AA793))</f>
        <v>17.641238735951859</v>
      </c>
      <c r="AB798" s="133"/>
      <c r="AC798" s="155"/>
      <c r="AD798" s="143">
        <f>AD789/((N_6*AD$27*0.667)*SQRT(AD799*AD791*AD793))</f>
        <v>33.261865324994183</v>
      </c>
      <c r="AE798" s="133"/>
      <c r="AF798" s="155"/>
      <c r="AG798" s="143">
        <f>AG789/((N_6*AG$27*0.667)*SQRT(AG799*AG791*AG793))</f>
        <v>59.801943880745561</v>
      </c>
      <c r="AH798" s="133"/>
      <c r="AI798" s="155"/>
      <c r="AJ798" s="143">
        <f>AJ789/((N_6*AJ$27*0.667)*SQRT(AJ799*AJ791*AJ793))</f>
        <v>111.93233641459402</v>
      </c>
      <c r="AK798" s="133"/>
      <c r="AL798" s="155"/>
      <c r="AM798" s="143">
        <f>AM789/((N_6*AM$27*0.667)*SQRT(AM799*AM791*AM793))</f>
        <v>232.47449606422123</v>
      </c>
      <c r="AN798" s="133"/>
      <c r="AO798" s="155"/>
      <c r="AP798" s="143">
        <f>AP789/((N_6*AP$27*0.667)*SQRT(AP799*AP791*AP793))</f>
        <v>576.31718835078175</v>
      </c>
      <c r="AQ798" s="133"/>
      <c r="AR798" s="155"/>
      <c r="AS798" s="143">
        <f>AS789/((N_6*AS$27*0.667)*SQRT(AS799*AS791*AS793))</f>
        <v>2400.303983579583</v>
      </c>
      <c r="AT798" s="133"/>
      <c r="AU798" s="155"/>
    </row>
    <row r="799" spans="13:47" ht="15.5" x14ac:dyDescent="0.4">
      <c r="M799" s="27"/>
      <c r="N799" s="27"/>
      <c r="O799" s="2" t="s">
        <v>192</v>
      </c>
      <c r="P799" s="85">
        <v>10</v>
      </c>
      <c r="Q799" s="2"/>
      <c r="R799" s="181">
        <f>F_GAMMA*R$29</f>
        <v>0.64002688015162901</v>
      </c>
      <c r="S799" s="133"/>
      <c r="T799" s="147"/>
      <c r="U799" s="138">
        <f>F_GAMMA*U$29</f>
        <v>0.64016782916606918</v>
      </c>
      <c r="V799" s="133"/>
      <c r="W799" s="155"/>
      <c r="X799" s="138">
        <f>F_GAMMA*X$29</f>
        <v>0.6307062319203669</v>
      </c>
      <c r="Y799" s="133"/>
      <c r="Z799" s="155"/>
      <c r="AA799" s="138">
        <f>F_GAMMA*AA$29</f>
        <v>0.62217534213893466</v>
      </c>
      <c r="AB799" s="133"/>
      <c r="AC799" s="155"/>
      <c r="AD799" s="138">
        <f>F_GAMMA*AD$29</f>
        <v>0.60557184969146072</v>
      </c>
      <c r="AE799" s="133"/>
      <c r="AF799" s="155"/>
      <c r="AG799" s="138">
        <f>F_GAMMA*AG$29</f>
        <v>0.57289312142622573</v>
      </c>
      <c r="AH799" s="133"/>
      <c r="AI799" s="155"/>
      <c r="AJ799" s="138">
        <f>F_GAMMA*AJ$29</f>
        <v>0.53590819116049981</v>
      </c>
      <c r="AK799" s="133"/>
      <c r="AL799" s="155"/>
      <c r="AM799" s="138">
        <f>F_GAMMA*AM$29</f>
        <v>0.49048815926850342</v>
      </c>
      <c r="AN799" s="133"/>
      <c r="AO799" s="155"/>
      <c r="AP799" s="138">
        <f>F_GAMMA*AP$29</f>
        <v>0.59352979016280105</v>
      </c>
      <c r="AQ799" s="133"/>
      <c r="AR799" s="155"/>
      <c r="AS799" s="138">
        <f>F_GAMMA*AS$29</f>
        <v>0.39097221161068291</v>
      </c>
      <c r="AT799" s="133"/>
      <c r="AU799" s="155"/>
    </row>
    <row r="800" spans="13:47" x14ac:dyDescent="0.25">
      <c r="M800" s="27"/>
      <c r="N800" s="27"/>
      <c r="O800" s="2" t="s">
        <v>193</v>
      </c>
      <c r="P800" s="134"/>
      <c r="Q800" s="2"/>
      <c r="R800" s="181">
        <f>IF(R795&lt;R799,R797,R798)</f>
        <v>0.14424328266989808</v>
      </c>
      <c r="S800" s="133"/>
      <c r="T800" s="147"/>
      <c r="U800" s="138">
        <f>IF(U795&lt;U799,U797,U798)</f>
        <v>3.4494901590933229</v>
      </c>
      <c r="V800" s="133"/>
      <c r="W800" s="155"/>
      <c r="X800" s="138">
        <f>IF(X795&lt;X799,X797,X798)</f>
        <v>8.7236681957307596</v>
      </c>
      <c r="Y800" s="133"/>
      <c r="Z800" s="155"/>
      <c r="AA800" s="138">
        <f>IF(AA795&lt;AA799,AA797,AA798)</f>
        <v>18.082839311429947</v>
      </c>
      <c r="AB800" s="133"/>
      <c r="AC800" s="155"/>
      <c r="AD800" s="138">
        <f>IF(AD795&lt;AD799,AD797,AD798)</f>
        <v>34.826448089027423</v>
      </c>
      <c r="AE800" s="133"/>
      <c r="AF800" s="155"/>
      <c r="AG800" s="138">
        <f>IF(AG795&lt;AG799,AG797,AG798)</f>
        <v>68.192345426085637</v>
      </c>
      <c r="AH800" s="133"/>
      <c r="AI800" s="155"/>
      <c r="AJ800" s="138">
        <f>IF(AJ795&lt;AJ799,AJ797,AJ798)</f>
        <v>658.35453923970272</v>
      </c>
      <c r="AK800" s="133"/>
      <c r="AL800" s="155"/>
      <c r="AM800" s="138" t="e">
        <f>IF(AM795&lt;AM799,AM797,AM798)</f>
        <v>#NUM!</v>
      </c>
      <c r="AN800" s="133"/>
      <c r="AO800" s="155"/>
      <c r="AP800" s="138" t="e">
        <f>IF(AP795&lt;AP799,AP797,AP798)</f>
        <v>#NUM!</v>
      </c>
      <c r="AQ800" s="133"/>
      <c r="AR800" s="155"/>
      <c r="AS800" s="138">
        <f>IF(AS795&lt;AS799,AS797,AS798)</f>
        <v>2400.303983579583</v>
      </c>
      <c r="AT800" s="133"/>
      <c r="AU800" s="155"/>
    </row>
    <row r="801" spans="13:47" ht="13" x14ac:dyDescent="0.3">
      <c r="M801" s="28"/>
      <c r="N801" s="28"/>
      <c r="O801" s="9" t="s">
        <v>194</v>
      </c>
      <c r="P801" s="1"/>
      <c r="Q801" s="1"/>
      <c r="R801" s="135"/>
      <c r="S801" s="132">
        <f>IF(R794&lt;=0,W_max,ABS(R$23-R800))</f>
        <v>1.8557567173301019</v>
      </c>
      <c r="T801" s="151">
        <f>R789</f>
        <v>33.359133535406293</v>
      </c>
      <c r="U801" s="135"/>
      <c r="V801" s="132">
        <f>IF(U794&lt;=0,W_max,ABS(U$23-U800))</f>
        <v>1.5505098409066771</v>
      </c>
      <c r="W801" s="151">
        <f>U789</f>
        <v>795.0451459948838</v>
      </c>
      <c r="X801" s="135"/>
      <c r="Y801" s="132">
        <f>IF(X794&lt;=0,W_max,ABS(X$23-X800))</f>
        <v>1.2763318042692404</v>
      </c>
      <c r="Z801" s="151">
        <f>X789</f>
        <v>1966.2412575267836</v>
      </c>
      <c r="AA801" s="135"/>
      <c r="AB801" s="132">
        <f>IF(AA794&lt;=0,W_max,ABS(AA$23-AA800))</f>
        <v>0.88283931142994732</v>
      </c>
      <c r="AC801" s="151">
        <f>AA789</f>
        <v>3829.736095599661</v>
      </c>
      <c r="AD801" s="135"/>
      <c r="AE801" s="132">
        <f>IF(AD794&lt;=0,W_max,ABS(AD$23-AD800))</f>
        <v>8.2264480890274214</v>
      </c>
      <c r="AF801" s="151">
        <f>AD789</f>
        <v>6298.505852087349</v>
      </c>
      <c r="AG801" s="135"/>
      <c r="AH801" s="132">
        <f>IF(AG794&lt;=0,W_max,ABS(AG$23-AG800))</f>
        <v>29.792345426085639</v>
      </c>
      <c r="AI801" s="151">
        <f>AG789</f>
        <v>8834.1393553920861</v>
      </c>
      <c r="AJ801" s="135"/>
      <c r="AK801" s="132">
        <f>IF(AJ794&lt;=0,W_max,ABS(AJ$23-AJ800))</f>
        <v>605.85453923970272</v>
      </c>
      <c r="AL801" s="151">
        <f>AJ789</f>
        <v>11217.012829500727</v>
      </c>
      <c r="AM801" s="135"/>
      <c r="AN801" s="132">
        <f>IF(AM794&lt;=0,W_max,ABS(AM$23-AM800))</f>
        <v>7174</v>
      </c>
      <c r="AO801" s="151">
        <f>AM789</f>
        <v>13152.829703707705</v>
      </c>
      <c r="AP801" s="135"/>
      <c r="AQ801" s="132">
        <f>IF(AP794&lt;=0,W_max,ABS(AP$23-AP800))</f>
        <v>7174</v>
      </c>
      <c r="AR801" s="151">
        <f>AP789</f>
        <v>14674.195769506041</v>
      </c>
      <c r="AS801" s="135"/>
      <c r="AT801" s="132">
        <f>IF(AS794&lt;=0,W_max,ABS(AS$23-AS800))</f>
        <v>7174</v>
      </c>
      <c r="AU801" s="151">
        <f>AS789</f>
        <v>16371.535732807988</v>
      </c>
    </row>
    <row r="802" spans="13:47" ht="13" x14ac:dyDescent="0.25">
      <c r="M802" s="12"/>
      <c r="N802" s="12"/>
      <c r="O802" s="12"/>
      <c r="P802" s="12"/>
      <c r="Q802" s="12"/>
      <c r="R802" s="182"/>
      <c r="S802" s="22"/>
      <c r="T802" s="152"/>
      <c r="U802" s="157"/>
      <c r="V802" s="1"/>
      <c r="W802" s="147"/>
      <c r="X802" s="157"/>
      <c r="Y802" s="1"/>
      <c r="Z802" s="147"/>
      <c r="AA802" s="157"/>
      <c r="AB802" s="1"/>
      <c r="AC802" s="147"/>
      <c r="AD802" s="157"/>
      <c r="AE802" s="1"/>
      <c r="AF802" s="147"/>
      <c r="AG802" s="157"/>
      <c r="AH802" s="1"/>
      <c r="AI802" s="147"/>
      <c r="AJ802" s="157"/>
      <c r="AK802" s="1"/>
      <c r="AL802" s="147"/>
      <c r="AM802" s="157"/>
      <c r="AN802" s="1"/>
      <c r="AO802" s="147"/>
      <c r="AP802" s="157"/>
      <c r="AQ802" s="1"/>
      <c r="AR802" s="147"/>
      <c r="AS802" s="157"/>
      <c r="AT802" s="1"/>
      <c r="AU802" s="147"/>
    </row>
    <row r="803" spans="13:47" ht="14" x14ac:dyDescent="0.3">
      <c r="M803" s="23"/>
      <c r="N803" s="23"/>
      <c r="O803" s="23" t="s">
        <v>238</v>
      </c>
      <c r="P803" s="20"/>
      <c r="Q803" s="20"/>
      <c r="R803" s="18">
        <f>R789*1.02</f>
        <v>34.026316206114423</v>
      </c>
      <c r="S803" s="128" t="s">
        <v>185</v>
      </c>
      <c r="T803" s="153" t="s">
        <v>186</v>
      </c>
      <c r="U803" s="143">
        <f>U789*1.01</f>
        <v>802.99559745483259</v>
      </c>
      <c r="V803" s="128" t="s">
        <v>185</v>
      </c>
      <c r="W803" s="153" t="s">
        <v>186</v>
      </c>
      <c r="X803" s="143">
        <f>X789*1.01</f>
        <v>1985.9036701020514</v>
      </c>
      <c r="Y803" s="128" t="s">
        <v>185</v>
      </c>
      <c r="Z803" s="153" t="s">
        <v>186</v>
      </c>
      <c r="AA803" s="143">
        <f>AA789*1.01</f>
        <v>3868.0334565556577</v>
      </c>
      <c r="AB803" s="128" t="s">
        <v>185</v>
      </c>
      <c r="AC803" s="153" t="s">
        <v>186</v>
      </c>
      <c r="AD803" s="143">
        <f>AD789*1.01</f>
        <v>6361.4909106082223</v>
      </c>
      <c r="AE803" s="128" t="s">
        <v>185</v>
      </c>
      <c r="AF803" s="153" t="s">
        <v>186</v>
      </c>
      <c r="AG803" s="143">
        <f>AG789*1.01</f>
        <v>8922.4807489460072</v>
      </c>
      <c r="AH803" s="128" t="s">
        <v>185</v>
      </c>
      <c r="AI803" s="153" t="s">
        <v>186</v>
      </c>
      <c r="AJ803" s="143">
        <f>AJ789*1.01</f>
        <v>11329.182957795734</v>
      </c>
      <c r="AK803" s="128" t="s">
        <v>185</v>
      </c>
      <c r="AL803" s="153" t="s">
        <v>186</v>
      </c>
      <c r="AM803" s="143">
        <f>AM789*1.01</f>
        <v>13284.358000744782</v>
      </c>
      <c r="AN803" s="128" t="s">
        <v>185</v>
      </c>
      <c r="AO803" s="153" t="s">
        <v>186</v>
      </c>
      <c r="AP803" s="143">
        <f>AP789*1.01</f>
        <v>14820.937727201101</v>
      </c>
      <c r="AQ803" s="128" t="s">
        <v>185</v>
      </c>
      <c r="AR803" s="153" t="s">
        <v>186</v>
      </c>
      <c r="AS803" s="143">
        <f>AS789*1.01</f>
        <v>16535.251090136069</v>
      </c>
      <c r="AT803" s="128" t="s">
        <v>185</v>
      </c>
      <c r="AU803" s="153" t="s">
        <v>186</v>
      </c>
    </row>
    <row r="804" spans="13:47" ht="14" x14ac:dyDescent="0.3">
      <c r="M804" s="12"/>
      <c r="N804" s="12"/>
      <c r="O804" s="20"/>
      <c r="P804" s="20"/>
      <c r="Q804" s="23"/>
      <c r="R804" s="139"/>
      <c r="S804" s="130" t="s">
        <v>228</v>
      </c>
      <c r="T804" s="154" t="s">
        <v>187</v>
      </c>
      <c r="U804" s="144"/>
      <c r="V804" s="130" t="s">
        <v>228</v>
      </c>
      <c r="W804" s="154" t="s">
        <v>187</v>
      </c>
      <c r="X804" s="144"/>
      <c r="Y804" s="130" t="s">
        <v>228</v>
      </c>
      <c r="Z804" s="154" t="s">
        <v>187</v>
      </c>
      <c r="AA804" s="144"/>
      <c r="AB804" s="130" t="s">
        <v>228</v>
      </c>
      <c r="AC804" s="154" t="s">
        <v>187</v>
      </c>
      <c r="AD804" s="144"/>
      <c r="AE804" s="130" t="s">
        <v>228</v>
      </c>
      <c r="AF804" s="154" t="s">
        <v>187</v>
      </c>
      <c r="AG804" s="144"/>
      <c r="AH804" s="130" t="s">
        <v>228</v>
      </c>
      <c r="AI804" s="154" t="s">
        <v>187</v>
      </c>
      <c r="AJ804" s="144"/>
      <c r="AK804" s="130" t="s">
        <v>228</v>
      </c>
      <c r="AL804" s="154" t="s">
        <v>187</v>
      </c>
      <c r="AM804" s="144"/>
      <c r="AN804" s="130" t="s">
        <v>228</v>
      </c>
      <c r="AO804" s="154" t="s">
        <v>187</v>
      </c>
      <c r="AP804" s="144"/>
      <c r="AQ804" s="130" t="s">
        <v>228</v>
      </c>
      <c r="AR804" s="154" t="s">
        <v>187</v>
      </c>
      <c r="AS804" s="144"/>
      <c r="AT804" s="130" t="s">
        <v>228</v>
      </c>
      <c r="AU804" s="154" t="s">
        <v>187</v>
      </c>
    </row>
    <row r="805" spans="13:47" x14ac:dyDescent="0.25">
      <c r="M805" s="20"/>
      <c r="N805" s="20"/>
      <c r="O805" s="7" t="s">
        <v>188</v>
      </c>
      <c r="P805" s="7"/>
      <c r="Q805" s="7"/>
      <c r="R805" s="181">
        <f>P_1_minW-(R803^2*R_up)+dpup_minQ</f>
        <v>100.52232505418245</v>
      </c>
      <c r="S805" s="132"/>
      <c r="T805" s="145"/>
      <c r="U805" s="138">
        <f>P_1_minW-(U803^2*R_up)+dpup_minQ</f>
        <v>100.26566433511346</v>
      </c>
      <c r="V805" s="132"/>
      <c r="W805" s="145"/>
      <c r="X805" s="138">
        <f>P_1_minW-(X803^2*R_up)+dpup_minQ</f>
        <v>98.950144467655122</v>
      </c>
      <c r="Y805" s="132"/>
      <c r="Z805" s="145"/>
      <c r="AA805" s="138">
        <f>P_1_minW-(AA803^2*R_up)+dpup_minQ</f>
        <v>94.556638617546184</v>
      </c>
      <c r="AB805" s="132"/>
      <c r="AC805" s="145"/>
      <c r="AD805" s="138">
        <f>P_1_minW-(AD803^2*R_up)+dpup_minQ</f>
        <v>84.385466795589949</v>
      </c>
      <c r="AE805" s="132"/>
      <c r="AF805" s="145"/>
      <c r="AG805" s="138">
        <f>P_1_minW-(AG803^2*R_up)+dpup_minQ</f>
        <v>68.777092665606588</v>
      </c>
      <c r="AH805" s="132"/>
      <c r="AI805" s="145"/>
      <c r="AJ805" s="138">
        <f>P_1_minW-(AJ803^2*R_up)+dpup_minQ</f>
        <v>49.341550901137232</v>
      </c>
      <c r="AK805" s="132"/>
      <c r="AL805" s="145"/>
      <c r="AM805" s="138">
        <f>P_1_minW-(AM803^2*R_up)+dpup_minQ</f>
        <v>30.151623608881195</v>
      </c>
      <c r="AN805" s="132"/>
      <c r="AO805" s="145"/>
      <c r="AP805" s="138">
        <f>P_1_minW-(AP803^2*R_up)+dpup_minQ</f>
        <v>12.930683922378165</v>
      </c>
      <c r="AQ805" s="132"/>
      <c r="AR805" s="145"/>
      <c r="AS805" s="138">
        <f>P_1_minW-(AS803^2*R_up)+dpup_minQ</f>
        <v>-8.5044928252262508</v>
      </c>
      <c r="AT805" s="132"/>
      <c r="AU805" s="145"/>
    </row>
    <row r="806" spans="13:47" x14ac:dyDescent="0.25">
      <c r="M806" s="20"/>
      <c r="N806" s="20"/>
      <c r="O806" s="7" t="s">
        <v>189</v>
      </c>
      <c r="P806" s="1"/>
      <c r="Q806" s="7"/>
      <c r="R806" s="181">
        <f>P_2_minW+(R803^2*R_dn)-dpdn_minQ</f>
        <v>50</v>
      </c>
      <c r="S806" s="132"/>
      <c r="T806" s="146"/>
      <c r="U806" s="138">
        <f>P_2_minW+(U803^2*R_dn)-dpdn_minQ</f>
        <v>50</v>
      </c>
      <c r="V806" s="132"/>
      <c r="W806" s="146"/>
      <c r="X806" s="138">
        <f>P_2_minW+(X803^2*R_dn)-dpdn_minQ</f>
        <v>50</v>
      </c>
      <c r="Y806" s="132"/>
      <c r="Z806" s="146"/>
      <c r="AA806" s="138">
        <f>P_2_minW+(AA803^2*R_dn)-dpdn_minQ</f>
        <v>50</v>
      </c>
      <c r="AB806" s="132"/>
      <c r="AC806" s="146"/>
      <c r="AD806" s="138">
        <f>P_2_minW+(AD803^2*R_dn)-dpdn_minQ</f>
        <v>50</v>
      </c>
      <c r="AE806" s="132"/>
      <c r="AF806" s="146"/>
      <c r="AG806" s="138">
        <f>P_2_minW+(AG803^2*R_dn)-dpdn_minQ</f>
        <v>50</v>
      </c>
      <c r="AH806" s="132"/>
      <c r="AI806" s="146"/>
      <c r="AJ806" s="138">
        <f>P_2_minW+(AJ803^2*R_dn)-dpdn_minQ</f>
        <v>50</v>
      </c>
      <c r="AK806" s="132"/>
      <c r="AL806" s="146"/>
      <c r="AM806" s="138">
        <f>P_2_minW+(AM803^2*R_dn)-dpdn_minQ</f>
        <v>50</v>
      </c>
      <c r="AN806" s="132"/>
      <c r="AO806" s="146"/>
      <c r="AP806" s="138">
        <f>P_2_minW+(AP803^2*R_dn)-dpdn_minQ</f>
        <v>50</v>
      </c>
      <c r="AQ806" s="132"/>
      <c r="AR806" s="146"/>
      <c r="AS806" s="138">
        <f>P_2_minW+(AS803^2*R_dn)-dpdn_minQ</f>
        <v>50</v>
      </c>
      <c r="AT806" s="132"/>
      <c r="AU806" s="146"/>
    </row>
    <row r="807" spans="13:47" x14ac:dyDescent="0.25">
      <c r="M807" s="20"/>
      <c r="N807" s="20"/>
      <c r="O807" s="7" t="s">
        <v>234</v>
      </c>
      <c r="P807" s="1"/>
      <c r="Q807" s="7"/>
      <c r="R807" s="179">
        <f>'Valve Sizing'!G$8*R805/P_1_maxW</f>
        <v>0.48490179916449494</v>
      </c>
      <c r="S807" s="132"/>
      <c r="T807" s="146"/>
      <c r="U807" s="143">
        <f>'Valve Sizing'!$G$8*U805/P_1_maxW</f>
        <v>0.48366371355133059</v>
      </c>
      <c r="V807" s="132"/>
      <c r="W807" s="146"/>
      <c r="X807" s="143">
        <f>'Valve Sizing'!$G$8*X805/P_1_maxW</f>
        <v>0.47731787992458796</v>
      </c>
      <c r="Y807" s="132"/>
      <c r="Z807" s="146"/>
      <c r="AA807" s="143">
        <f>'Valve Sizing'!$G$8*AA805/P_1_maxW</f>
        <v>0.45612438991916637</v>
      </c>
      <c r="AB807" s="132"/>
      <c r="AC807" s="146"/>
      <c r="AD807" s="143">
        <f>'Valve Sizing'!$G$8*AD805/P_1_maxW</f>
        <v>0.40706046791557771</v>
      </c>
      <c r="AE807" s="132"/>
      <c r="AF807" s="146"/>
      <c r="AG807" s="143">
        <f>'Valve Sizing'!$G$8*AG805/P_1_maxW</f>
        <v>0.3317684500122714</v>
      </c>
      <c r="AH807" s="132"/>
      <c r="AI807" s="146"/>
      <c r="AJ807" s="143">
        <f>'Valve Sizing'!$G$8*AJ805/P_1_maxW</f>
        <v>0.23801485682540391</v>
      </c>
      <c r="AK807" s="132"/>
      <c r="AL807" s="146"/>
      <c r="AM807" s="143">
        <f>'Valve Sizing'!$G$8*AM805/P_1_maxW</f>
        <v>0.14544606412353206</v>
      </c>
      <c r="AN807" s="132"/>
      <c r="AO807" s="146"/>
      <c r="AP807" s="143">
        <f>'Valve Sizing'!$G$8*AP805/P_1_maxW</f>
        <v>6.237531707517642E-2</v>
      </c>
      <c r="AQ807" s="132"/>
      <c r="AR807" s="146"/>
      <c r="AS807" s="143">
        <f>'Valve Sizing'!$G$8*AS805/P_1_maxW</f>
        <v>-4.1024159257269051E-2</v>
      </c>
      <c r="AT807" s="132"/>
      <c r="AU807" s="146"/>
    </row>
    <row r="808" spans="13:47" x14ac:dyDescent="0.25">
      <c r="M808" s="20"/>
      <c r="N808" s="20"/>
      <c r="O808" s="7" t="s">
        <v>190</v>
      </c>
      <c r="P808" s="1"/>
      <c r="Q808" s="7"/>
      <c r="R808" s="181">
        <f>R805-R806</f>
        <v>50.522325054182446</v>
      </c>
      <c r="S808" s="132"/>
      <c r="T808" s="146"/>
      <c r="U808" s="138">
        <f>U805-U806</f>
        <v>50.265664335113456</v>
      </c>
      <c r="V808" s="132"/>
      <c r="W808" s="146"/>
      <c r="X808" s="138">
        <f>X805-X806</f>
        <v>48.950144467655122</v>
      </c>
      <c r="Y808" s="132"/>
      <c r="Z808" s="146"/>
      <c r="AA808" s="138">
        <f>AA805-AA806</f>
        <v>44.556638617546184</v>
      </c>
      <c r="AB808" s="132"/>
      <c r="AC808" s="146"/>
      <c r="AD808" s="138">
        <f>AD805-AD806</f>
        <v>34.385466795589949</v>
      </c>
      <c r="AE808" s="132"/>
      <c r="AF808" s="146"/>
      <c r="AG808" s="138">
        <f>AG805-AG806</f>
        <v>18.777092665606588</v>
      </c>
      <c r="AH808" s="132"/>
      <c r="AI808" s="146"/>
      <c r="AJ808" s="138">
        <f>AJ805-AJ806</f>
        <v>-0.65844909886276781</v>
      </c>
      <c r="AK808" s="132"/>
      <c r="AL808" s="146"/>
      <c r="AM808" s="138">
        <f>AM805-AM806</f>
        <v>-19.848376391118805</v>
      </c>
      <c r="AN808" s="132"/>
      <c r="AO808" s="146"/>
      <c r="AP808" s="138">
        <f>AP805-AP806</f>
        <v>-37.069316077621835</v>
      </c>
      <c r="AQ808" s="132"/>
      <c r="AR808" s="146"/>
      <c r="AS808" s="138">
        <f>AS805-AS806</f>
        <v>-58.504492825226251</v>
      </c>
      <c r="AT808" s="132"/>
      <c r="AU808" s="146"/>
    </row>
    <row r="809" spans="13:47" ht="14.5" x14ac:dyDescent="0.35">
      <c r="M809" s="27"/>
      <c r="N809" s="27"/>
      <c r="O809" s="2" t="s">
        <v>191</v>
      </c>
      <c r="P809" s="10"/>
      <c r="Q809" s="2"/>
      <c r="R809" s="181">
        <f>R808/R805</f>
        <v>0.50259805497883636</v>
      </c>
      <c r="S809" s="132"/>
      <c r="T809" s="146"/>
      <c r="U809" s="138">
        <f>U808/U805</f>
        <v>0.5013248021487472</v>
      </c>
      <c r="V809" s="132"/>
      <c r="W809" s="146"/>
      <c r="X809" s="138">
        <f>X808/X805</f>
        <v>0.49469502779408242</v>
      </c>
      <c r="Y809" s="132"/>
      <c r="Z809" s="146"/>
      <c r="AA809" s="138">
        <f>AA808/AA805</f>
        <v>0.47121639758964673</v>
      </c>
      <c r="AB809" s="132"/>
      <c r="AC809" s="146"/>
      <c r="AD809" s="138">
        <f>AD808/AD805</f>
        <v>0.40748090994013392</v>
      </c>
      <c r="AE809" s="132"/>
      <c r="AF809" s="146"/>
      <c r="AG809" s="138">
        <f>AG808/AG805</f>
        <v>0.27301375992876858</v>
      </c>
      <c r="AH809" s="132"/>
      <c r="AI809" s="146"/>
      <c r="AJ809" s="138">
        <f>AJ808/AJ805</f>
        <v>-1.3344718332467165E-2</v>
      </c>
      <c r="AK809" s="132"/>
      <c r="AL809" s="146"/>
      <c r="AM809" s="138">
        <f>AM808/AM805</f>
        <v>-0.65828549230338773</v>
      </c>
      <c r="AN809" s="132"/>
      <c r="AO809" s="146"/>
      <c r="AP809" s="138">
        <f>AP808/AP805</f>
        <v>-2.866771494852546</v>
      </c>
      <c r="AQ809" s="132"/>
      <c r="AR809" s="146"/>
      <c r="AS809" s="138">
        <f>AS808/AS805</f>
        <v>6.8792453621324343</v>
      </c>
      <c r="AT809" s="132"/>
      <c r="AU809" s="146"/>
    </row>
    <row r="810" spans="13:47" x14ac:dyDescent="0.25">
      <c r="M810" s="27"/>
      <c r="N810" s="27"/>
      <c r="O810" s="2" t="s">
        <v>26</v>
      </c>
      <c r="P810" s="7">
        <v>12</v>
      </c>
      <c r="Q810" s="2"/>
      <c r="R810" s="181">
        <f>1-R809/(3*F_GAMMA*R$29)</f>
        <v>0.73824117363124619</v>
      </c>
      <c r="S810" s="133"/>
      <c r="T810" s="146"/>
      <c r="U810" s="138">
        <f>1-U809/(3*F_GAMMA*U$29)</f>
        <v>0.738961785067201</v>
      </c>
      <c r="V810" s="133"/>
      <c r="W810" s="146"/>
      <c r="X810" s="138">
        <f>1-X809/(3*F_GAMMA*X$29)</f>
        <v>0.73854968565008949</v>
      </c>
      <c r="Y810" s="133"/>
      <c r="Z810" s="146"/>
      <c r="AA810" s="138">
        <f>1-AA809/(3*F_GAMMA*AA$29)</f>
        <v>0.74754362332988866</v>
      </c>
      <c r="AB810" s="133"/>
      <c r="AC810" s="146"/>
      <c r="AD810" s="138">
        <f>1-AD809/(3*F_GAMMA*AD$29)</f>
        <v>0.77570461696783199</v>
      </c>
      <c r="AE810" s="133"/>
      <c r="AF810" s="146"/>
      <c r="AG810" s="138">
        <f>1-AG809/(3*F_GAMMA*AG$29)</f>
        <v>0.84114910226821082</v>
      </c>
      <c r="AH810" s="133"/>
      <c r="AI810" s="146"/>
      <c r="AJ810" s="138">
        <f>1-AJ809/(3*F_GAMMA*AJ$29)</f>
        <v>1.0083003759179778</v>
      </c>
      <c r="AK810" s="133"/>
      <c r="AL810" s="146"/>
      <c r="AM810" s="138">
        <f>1-AM809/(3*F_GAMMA*AM$29)</f>
        <v>1.4473675730759952</v>
      </c>
      <c r="AN810" s="133"/>
      <c r="AO810" s="146"/>
      <c r="AP810" s="138">
        <f>1-AP809/(3*F_GAMMA*AP$29)</f>
        <v>2.610012697125228</v>
      </c>
      <c r="AQ810" s="133"/>
      <c r="AR810" s="146"/>
      <c r="AS810" s="138">
        <f>1-AS809/(3*F_GAMMA*AS$29)</f>
        <v>-4.8650761340063022</v>
      </c>
      <c r="AT810" s="133"/>
      <c r="AU810" s="146"/>
    </row>
    <row r="811" spans="13:47" x14ac:dyDescent="0.25">
      <c r="M811" s="27"/>
      <c r="N811" s="27"/>
      <c r="O811" s="2" t="s">
        <v>71</v>
      </c>
      <c r="P811" s="85">
        <v>5</v>
      </c>
      <c r="Q811" s="2"/>
      <c r="R811" s="179">
        <f>R803/((N_6*R$27*R810)*SQRT(R809*R805*R807))</f>
        <v>0.14712817833947994</v>
      </c>
      <c r="S811" s="133"/>
      <c r="T811" s="146"/>
      <c r="U811" s="143">
        <f>U803/((N_6*U$27*U810)*SQRT(U809*U805*U807))</f>
        <v>3.4841867981181407</v>
      </c>
      <c r="V811" s="133"/>
      <c r="W811" s="146"/>
      <c r="X811" s="143">
        <f>X803/((N_6*X$27*X810)*SQRT(X809*X805*X807))</f>
        <v>8.8140753047950327</v>
      </c>
      <c r="Y811" s="133"/>
      <c r="Z811" s="146"/>
      <c r="AA811" s="143">
        <f>AA803/((N_6*AA$27*AA810)*SQRT(AA809*AA805*AA807))</f>
        <v>18.290498463436638</v>
      </c>
      <c r="AB811" s="133"/>
      <c r="AC811" s="146"/>
      <c r="AD811" s="143">
        <f>AD803/((N_6*AD$27*AD810)*SQRT(AD809*AD805*AD807))</f>
        <v>35.347606140274145</v>
      </c>
      <c r="AE811" s="133"/>
      <c r="AF811" s="146"/>
      <c r="AG811" s="143">
        <f>AG803/((N_6*AG$27*AG810)*SQRT(AG809*AG805*AG807))</f>
        <v>70.010960782673266</v>
      </c>
      <c r="AH811" s="133"/>
      <c r="AI811" s="146"/>
      <c r="AJ811" s="143" t="e">
        <f>AJ803/((N_6*AJ$27*AJ810)*SQRT(AJ809*AJ805*AJ807))</f>
        <v>#NUM!</v>
      </c>
      <c r="AK811" s="133"/>
      <c r="AL811" s="146"/>
      <c r="AM811" s="143" t="e">
        <f>AM803/((N_6*AM$27*AM810)*SQRT(AM809*AM805*AM807))</f>
        <v>#NUM!</v>
      </c>
      <c r="AN811" s="133"/>
      <c r="AO811" s="146"/>
      <c r="AP811" s="143" t="e">
        <f>AP803/((N_6*AP$27*AP810)*SQRT(AP809*AP805*AP807))</f>
        <v>#NUM!</v>
      </c>
      <c r="AQ811" s="133"/>
      <c r="AR811" s="146"/>
      <c r="AS811" s="143">
        <f>AS803/((N_6*AS$27*AS810)*SQRT(AS809*AS805*AS807))</f>
        <v>-59.221196892717607</v>
      </c>
      <c r="AT811" s="133"/>
      <c r="AU811" s="146"/>
    </row>
    <row r="812" spans="13:47" x14ac:dyDescent="0.25">
      <c r="M812" s="27"/>
      <c r="N812" s="27"/>
      <c r="O812" s="2" t="s">
        <v>73</v>
      </c>
      <c r="P812" s="85">
        <v>5</v>
      </c>
      <c r="Q812" s="2"/>
      <c r="R812" s="179">
        <f>R803/((N_6*R$27*0.667)*SQRT(R813*R805*R807))</f>
        <v>0.14430440282314527</v>
      </c>
      <c r="S812" s="133"/>
      <c r="T812" s="155"/>
      <c r="U812" s="143">
        <f>U803/((N_6*U$27*0.667)*SQRT(U813*U805*U807))</f>
        <v>3.4159401230384407</v>
      </c>
      <c r="V812" s="133"/>
      <c r="W812" s="155"/>
      <c r="X812" s="143">
        <f>X803/((N_6*X$27*0.667)*SQRT(X813*X805*X807))</f>
        <v>8.6434246812071915</v>
      </c>
      <c r="Y812" s="133"/>
      <c r="Z812" s="155"/>
      <c r="AA812" s="143">
        <f>AA803/((N_6*AA$27*0.667)*SQRT(AA813*AA805*AA807))</f>
        <v>17.839802757300752</v>
      </c>
      <c r="AB812" s="133"/>
      <c r="AC812" s="155"/>
      <c r="AD812" s="143">
        <f>AD803/((N_6*AD$27*0.667)*SQRT(AD813*AD805*AD807))</f>
        <v>33.721069791703194</v>
      </c>
      <c r="AE812" s="133"/>
      <c r="AF812" s="155"/>
      <c r="AG812" s="143">
        <f>AG803/((N_6*AG$27*0.667)*SQRT(AG813*AG805*AG807))</f>
        <v>60.949290385844257</v>
      </c>
      <c r="AH812" s="133"/>
      <c r="AI812" s="155"/>
      <c r="AJ812" s="143">
        <f>AJ803/((N_6*AJ$27*0.667)*SQRT(AJ813*AJ805*AJ807))</f>
        <v>115.36227816536324</v>
      </c>
      <c r="AK812" s="133"/>
      <c r="AL812" s="155"/>
      <c r="AM812" s="143">
        <f>AM803/((N_6*AM$27*0.667)*SQRT(AM813*AM805*AM807))</f>
        <v>245.59700984129805</v>
      </c>
      <c r="AN812" s="133"/>
      <c r="AO812" s="155"/>
      <c r="AP812" s="143">
        <f>AP803/((N_6*AP$27*0.667)*SQRT(AP813*AP805*AP807))</f>
        <v>659.77297045716693</v>
      </c>
      <c r="AQ812" s="133"/>
      <c r="AR812" s="155"/>
      <c r="AS812" s="143">
        <f>AS803/((N_6*AS$27*0.667)*SQRT(AS813*AS805*AS807))</f>
        <v>1811.9175932341129</v>
      </c>
      <c r="AT812" s="133"/>
      <c r="AU812" s="155"/>
    </row>
    <row r="813" spans="13:47" ht="15.5" x14ac:dyDescent="0.4">
      <c r="M813" s="27"/>
      <c r="N813" s="27"/>
      <c r="O813" s="2" t="s">
        <v>192</v>
      </c>
      <c r="P813" s="85">
        <v>10</v>
      </c>
      <c r="Q813" s="2"/>
      <c r="R813" s="181">
        <f>F_GAMMA*R$29</f>
        <v>0.64002688015162901</v>
      </c>
      <c r="S813" s="133"/>
      <c r="T813" s="155"/>
      <c r="U813" s="138">
        <f>F_GAMMA*U$29</f>
        <v>0.64016782916606918</v>
      </c>
      <c r="V813" s="133"/>
      <c r="W813" s="155"/>
      <c r="X813" s="138">
        <f>F_GAMMA*X$29</f>
        <v>0.6307062319203669</v>
      </c>
      <c r="Y813" s="133"/>
      <c r="Z813" s="155"/>
      <c r="AA813" s="138">
        <f>F_GAMMA*AA$29</f>
        <v>0.62217534213893466</v>
      </c>
      <c r="AB813" s="133"/>
      <c r="AC813" s="155"/>
      <c r="AD813" s="138">
        <f>F_GAMMA*AD$29</f>
        <v>0.60557184969146072</v>
      </c>
      <c r="AE813" s="133"/>
      <c r="AF813" s="155"/>
      <c r="AG813" s="138">
        <f>F_GAMMA*AG$29</f>
        <v>0.57289312142622573</v>
      </c>
      <c r="AH813" s="133"/>
      <c r="AI813" s="155"/>
      <c r="AJ813" s="138">
        <f>F_GAMMA*AJ$29</f>
        <v>0.53590819116049981</v>
      </c>
      <c r="AK813" s="133"/>
      <c r="AL813" s="155"/>
      <c r="AM813" s="138">
        <f>F_GAMMA*AM$29</f>
        <v>0.49048815926850342</v>
      </c>
      <c r="AN813" s="133"/>
      <c r="AO813" s="155"/>
      <c r="AP813" s="138">
        <f>F_GAMMA*AP$29</f>
        <v>0.59352979016280105</v>
      </c>
      <c r="AQ813" s="133"/>
      <c r="AR813" s="155"/>
      <c r="AS813" s="138">
        <f>F_GAMMA*AS$29</f>
        <v>0.39097221161068291</v>
      </c>
      <c r="AT813" s="133"/>
      <c r="AU813" s="155"/>
    </row>
    <row r="814" spans="13:47" x14ac:dyDescent="0.25">
      <c r="M814" s="27"/>
      <c r="N814" s="27"/>
      <c r="O814" s="2" t="s">
        <v>193</v>
      </c>
      <c r="P814" s="134"/>
      <c r="Q814" s="2"/>
      <c r="R814" s="181">
        <f>IF(R809&lt;R813,R811,R812)</f>
        <v>0.14712817833947994</v>
      </c>
      <c r="S814" s="133"/>
      <c r="T814" s="155"/>
      <c r="U814" s="138">
        <f>IF(U809&lt;U813,U811,U812)</f>
        <v>3.4841867981181407</v>
      </c>
      <c r="V814" s="133"/>
      <c r="W814" s="155"/>
      <c r="X814" s="138">
        <f>IF(X809&lt;X813,X811,X812)</f>
        <v>8.8140753047950327</v>
      </c>
      <c r="Y814" s="133"/>
      <c r="Z814" s="155"/>
      <c r="AA814" s="138">
        <f>IF(AA809&lt;AA813,AA811,AA812)</f>
        <v>18.290498463436638</v>
      </c>
      <c r="AB814" s="133"/>
      <c r="AC814" s="155"/>
      <c r="AD814" s="138">
        <f>IF(AD809&lt;AD813,AD811,AD812)</f>
        <v>35.347606140274145</v>
      </c>
      <c r="AE814" s="133"/>
      <c r="AF814" s="155"/>
      <c r="AG814" s="138">
        <f>IF(AG809&lt;AG813,AG811,AG812)</f>
        <v>70.010960782673266</v>
      </c>
      <c r="AH814" s="133"/>
      <c r="AI814" s="155"/>
      <c r="AJ814" s="138" t="e">
        <f>IF(AJ809&lt;AJ813,AJ811,AJ812)</f>
        <v>#NUM!</v>
      </c>
      <c r="AK814" s="133"/>
      <c r="AL814" s="155"/>
      <c r="AM814" s="138" t="e">
        <f>IF(AM809&lt;AM813,AM811,AM812)</f>
        <v>#NUM!</v>
      </c>
      <c r="AN814" s="133"/>
      <c r="AO814" s="155"/>
      <c r="AP814" s="138" t="e">
        <f>IF(AP809&lt;AP813,AP811,AP812)</f>
        <v>#NUM!</v>
      </c>
      <c r="AQ814" s="133"/>
      <c r="AR814" s="155"/>
      <c r="AS814" s="138">
        <f>IF(AS809&lt;AS813,AS811,AS812)</f>
        <v>1811.9175932341129</v>
      </c>
      <c r="AT814" s="133"/>
      <c r="AU814" s="155"/>
    </row>
    <row r="815" spans="13:47" ht="13" x14ac:dyDescent="0.3">
      <c r="M815" s="28"/>
      <c r="N815" s="28"/>
      <c r="O815" s="9" t="s">
        <v>194</v>
      </c>
      <c r="P815" s="1"/>
      <c r="Q815" s="1"/>
      <c r="R815" s="135"/>
      <c r="S815" s="132">
        <f>IF(R808&lt;=0,W_max,ABS(R$23-R814))</f>
        <v>1.85287182166052</v>
      </c>
      <c r="T815" s="151">
        <f>R803</f>
        <v>34.026316206114423</v>
      </c>
      <c r="U815" s="135"/>
      <c r="V815" s="132">
        <f>IF(U808&lt;=0,W_max,ABS(U$23-U814))</f>
        <v>1.5158132018818593</v>
      </c>
      <c r="W815" s="151">
        <f>U803</f>
        <v>802.99559745483259</v>
      </c>
      <c r="X815" s="135"/>
      <c r="Y815" s="132">
        <f>IF(X808&lt;=0,W_max,ABS(X$23-X814))</f>
        <v>1.1859246952049673</v>
      </c>
      <c r="Z815" s="151">
        <f>X803</f>
        <v>1985.9036701020514</v>
      </c>
      <c r="AA815" s="135"/>
      <c r="AB815" s="132">
        <f>IF(AA808&lt;=0,W_max,ABS(AA$23-AA814))</f>
        <v>1.0904984634366386</v>
      </c>
      <c r="AC815" s="151">
        <f>AA803</f>
        <v>3868.0334565556577</v>
      </c>
      <c r="AD815" s="135"/>
      <c r="AE815" s="132">
        <f>IF(AD808&lt;=0,W_max,ABS(AD$23-AD814))</f>
        <v>8.7476061402741436</v>
      </c>
      <c r="AF815" s="151">
        <f>AD803</f>
        <v>6361.4909106082223</v>
      </c>
      <c r="AG815" s="135"/>
      <c r="AH815" s="132">
        <f>IF(AG808&lt;=0,W_max,ABS(AG$23-AG814))</f>
        <v>31.610960782673267</v>
      </c>
      <c r="AI815" s="151">
        <f>AG803</f>
        <v>8922.4807489460072</v>
      </c>
      <c r="AJ815" s="135"/>
      <c r="AK815" s="132">
        <f>IF(AJ808&lt;=0,W_max,ABS(AJ$23-AJ814))</f>
        <v>7174</v>
      </c>
      <c r="AL815" s="151">
        <f>AJ803</f>
        <v>11329.182957795734</v>
      </c>
      <c r="AM815" s="135"/>
      <c r="AN815" s="132">
        <f>IF(AM808&lt;=0,W_max,ABS(AM$23-AM814))</f>
        <v>7174</v>
      </c>
      <c r="AO815" s="151">
        <f>AM803</f>
        <v>13284.358000744782</v>
      </c>
      <c r="AP815" s="135"/>
      <c r="AQ815" s="132">
        <f>IF(AP808&lt;=0,W_max,ABS(AP$23-AP814))</f>
        <v>7174</v>
      </c>
      <c r="AR815" s="151">
        <f>AP803</f>
        <v>14820.937727201101</v>
      </c>
      <c r="AS815" s="135"/>
      <c r="AT815" s="132">
        <f>IF(AS808&lt;=0,W_max,ABS(AS$23-AS814))</f>
        <v>7174</v>
      </c>
      <c r="AU815" s="151">
        <f>AS803</f>
        <v>16535.251090136069</v>
      </c>
    </row>
    <row r="816" spans="13:47" ht="13" x14ac:dyDescent="0.25">
      <c r="M816" s="12"/>
      <c r="N816" s="12"/>
      <c r="O816" s="2"/>
      <c r="P816" s="85"/>
      <c r="Q816" s="2"/>
      <c r="R816" s="18"/>
      <c r="S816" s="150"/>
      <c r="T816" s="152"/>
      <c r="U816" s="157"/>
      <c r="V816" s="1"/>
      <c r="W816" s="147"/>
      <c r="X816" s="157"/>
      <c r="Y816" s="1"/>
      <c r="Z816" s="147"/>
      <c r="AA816" s="157"/>
      <c r="AB816" s="1"/>
      <c r="AC816" s="147"/>
      <c r="AD816" s="157"/>
      <c r="AE816" s="1"/>
      <c r="AF816" s="147"/>
      <c r="AG816" s="157"/>
      <c r="AH816" s="1"/>
      <c r="AI816" s="147"/>
      <c r="AJ816" s="157"/>
      <c r="AK816" s="1"/>
      <c r="AL816" s="147"/>
      <c r="AM816" s="157"/>
      <c r="AN816" s="1"/>
      <c r="AO816" s="147"/>
      <c r="AP816" s="157"/>
      <c r="AQ816" s="1"/>
      <c r="AR816" s="147"/>
      <c r="AS816" s="157"/>
      <c r="AT816" s="1"/>
      <c r="AU816" s="147"/>
    </row>
    <row r="817" spans="13:47" ht="14" x14ac:dyDescent="0.3">
      <c r="M817" s="23"/>
      <c r="N817" s="23"/>
      <c r="O817" s="23" t="s">
        <v>238</v>
      </c>
      <c r="P817" s="20"/>
      <c r="Q817" s="20"/>
      <c r="R817" s="181">
        <f>R803*1.02</f>
        <v>34.706842530236713</v>
      </c>
      <c r="S817" s="128" t="s">
        <v>185</v>
      </c>
      <c r="T817" s="153" t="s">
        <v>186</v>
      </c>
      <c r="U817" s="143">
        <f>U803*1.01</f>
        <v>811.02555342938092</v>
      </c>
      <c r="V817" s="128" t="s">
        <v>185</v>
      </c>
      <c r="W817" s="153" t="s">
        <v>186</v>
      </c>
      <c r="X817" s="143">
        <f>X803*1.01</f>
        <v>2005.762706803072</v>
      </c>
      <c r="Y817" s="128" t="s">
        <v>185</v>
      </c>
      <c r="Z817" s="153" t="s">
        <v>186</v>
      </c>
      <c r="AA817" s="143">
        <f>AA803*1.01</f>
        <v>3906.7137911212144</v>
      </c>
      <c r="AB817" s="128" t="s">
        <v>185</v>
      </c>
      <c r="AC817" s="153" t="s">
        <v>186</v>
      </c>
      <c r="AD817" s="143">
        <f>AD803*1.01</f>
        <v>6425.1058197143047</v>
      </c>
      <c r="AE817" s="128" t="s">
        <v>185</v>
      </c>
      <c r="AF817" s="153" t="s">
        <v>186</v>
      </c>
      <c r="AG817" s="143">
        <f>AG803*1.01</f>
        <v>9011.7055564354669</v>
      </c>
      <c r="AH817" s="128" t="s">
        <v>185</v>
      </c>
      <c r="AI817" s="153" t="s">
        <v>186</v>
      </c>
      <c r="AJ817" s="143">
        <f>AJ803*1.01</f>
        <v>11442.474787373692</v>
      </c>
      <c r="AK817" s="128" t="s">
        <v>185</v>
      </c>
      <c r="AL817" s="153" t="s">
        <v>186</v>
      </c>
      <c r="AM817" s="143">
        <f>AM803*1.01</f>
        <v>13417.201580752229</v>
      </c>
      <c r="AN817" s="128" t="s">
        <v>185</v>
      </c>
      <c r="AO817" s="153" t="s">
        <v>186</v>
      </c>
      <c r="AP817" s="143">
        <f>AP803*1.01</f>
        <v>14969.147104473112</v>
      </c>
      <c r="AQ817" s="128" t="s">
        <v>185</v>
      </c>
      <c r="AR817" s="153" t="s">
        <v>186</v>
      </c>
      <c r="AS817" s="143">
        <f>AS803*1.01</f>
        <v>16700.60360103743</v>
      </c>
      <c r="AT817" s="128" t="s">
        <v>185</v>
      </c>
      <c r="AU817" s="153" t="s">
        <v>186</v>
      </c>
    </row>
    <row r="818" spans="13:47" ht="14" x14ac:dyDescent="0.3">
      <c r="M818" s="12"/>
      <c r="N818" s="12"/>
      <c r="O818" s="20"/>
      <c r="P818" s="20"/>
      <c r="Q818" s="23"/>
      <c r="R818" s="139"/>
      <c r="S818" s="130" t="s">
        <v>228</v>
      </c>
      <c r="T818" s="154" t="s">
        <v>187</v>
      </c>
      <c r="U818" s="144"/>
      <c r="V818" s="130" t="s">
        <v>228</v>
      </c>
      <c r="W818" s="154" t="s">
        <v>187</v>
      </c>
      <c r="X818" s="144"/>
      <c r="Y818" s="130" t="s">
        <v>228</v>
      </c>
      <c r="Z818" s="154" t="s">
        <v>187</v>
      </c>
      <c r="AA818" s="144"/>
      <c r="AB818" s="130" t="s">
        <v>228</v>
      </c>
      <c r="AC818" s="154" t="s">
        <v>187</v>
      </c>
      <c r="AD818" s="144"/>
      <c r="AE818" s="130" t="s">
        <v>228</v>
      </c>
      <c r="AF818" s="154" t="s">
        <v>187</v>
      </c>
      <c r="AG818" s="144"/>
      <c r="AH818" s="130" t="s">
        <v>228</v>
      </c>
      <c r="AI818" s="154" t="s">
        <v>187</v>
      </c>
      <c r="AJ818" s="144"/>
      <c r="AK818" s="130" t="s">
        <v>228</v>
      </c>
      <c r="AL818" s="154" t="s">
        <v>187</v>
      </c>
      <c r="AM818" s="144"/>
      <c r="AN818" s="130" t="s">
        <v>228</v>
      </c>
      <c r="AO818" s="154" t="s">
        <v>187</v>
      </c>
      <c r="AP818" s="144"/>
      <c r="AQ818" s="130" t="s">
        <v>228</v>
      </c>
      <c r="AR818" s="154" t="s">
        <v>187</v>
      </c>
      <c r="AS818" s="144"/>
      <c r="AT818" s="130" t="s">
        <v>228</v>
      </c>
      <c r="AU818" s="154" t="s">
        <v>187</v>
      </c>
    </row>
    <row r="819" spans="13:47" x14ac:dyDescent="0.25">
      <c r="M819" s="20"/>
      <c r="N819" s="20"/>
      <c r="O819" s="7" t="s">
        <v>188</v>
      </c>
      <c r="P819" s="7"/>
      <c r="Q819" s="7"/>
      <c r="R819" s="181">
        <f>P_1_minW-(R817^2*R_up)+dpup_minQ</f>
        <v>100.52230640220765</v>
      </c>
      <c r="S819" s="132"/>
      <c r="T819" s="145"/>
      <c r="U819" s="138">
        <f>P_1_minW-(U817^2*R_up)+dpup_minQ</f>
        <v>100.26049617484102</v>
      </c>
      <c r="V819" s="132"/>
      <c r="W819" s="145"/>
      <c r="X819" s="138">
        <f>P_1_minW-(X817^2*R_up)+dpup_minQ</f>
        <v>98.918534358046784</v>
      </c>
      <c r="Y819" s="132"/>
      <c r="Z819" s="145"/>
      <c r="AA819" s="138">
        <f>P_1_minW-(AA817^2*R_up)+dpup_minQ</f>
        <v>94.436719040350653</v>
      </c>
      <c r="AB819" s="132"/>
      <c r="AC819" s="145"/>
      <c r="AD819" s="138">
        <f>P_1_minW-(AD817^2*R_up)+dpup_minQ</f>
        <v>84.061106664773092</v>
      </c>
      <c r="AE819" s="132"/>
      <c r="AF819" s="145"/>
      <c r="AG819" s="138">
        <f>P_1_minW-(AG817^2*R_up)+dpup_minQ</f>
        <v>68.139004214777088</v>
      </c>
      <c r="AH819" s="132"/>
      <c r="AI819" s="145"/>
      <c r="AJ819" s="138">
        <f>P_1_minW-(AJ817^2*R_up)+dpup_minQ</f>
        <v>48.312808060841874</v>
      </c>
      <c r="AK819" s="132"/>
      <c r="AL819" s="145"/>
      <c r="AM819" s="138">
        <f>P_1_minW-(AM817^2*R_up)+dpup_minQ</f>
        <v>28.737163230011504</v>
      </c>
      <c r="AN819" s="132"/>
      <c r="AO819" s="145"/>
      <c r="AP819" s="138">
        <f>P_1_minW-(AP817^2*R_up)+dpup_minQ</f>
        <v>11.17008265580975</v>
      </c>
      <c r="AQ819" s="132"/>
      <c r="AR819" s="145"/>
      <c r="AS819" s="138">
        <f>P_1_minW-(AS817^2*R_up)+dpup_minQ</f>
        <v>-10.695941144421511</v>
      </c>
      <c r="AT819" s="132"/>
      <c r="AU819" s="145"/>
    </row>
    <row r="820" spans="13:47" x14ac:dyDescent="0.25">
      <c r="M820" s="20"/>
      <c r="N820" s="20"/>
      <c r="O820" s="7" t="s">
        <v>189</v>
      </c>
      <c r="P820" s="1"/>
      <c r="Q820" s="7"/>
      <c r="R820" s="181">
        <f>P_2_minW+(R817^2*R_dn)-dpdn_minQ</f>
        <v>50</v>
      </c>
      <c r="S820" s="132"/>
      <c r="T820" s="146"/>
      <c r="U820" s="138">
        <f>P_2_minW+(U817^2*R_dn)-dpdn_minQ</f>
        <v>50</v>
      </c>
      <c r="V820" s="132"/>
      <c r="W820" s="146"/>
      <c r="X820" s="138">
        <f>P_2_minW+(X817^2*R_dn)-dpdn_minQ</f>
        <v>50</v>
      </c>
      <c r="Y820" s="132"/>
      <c r="Z820" s="146"/>
      <c r="AA820" s="138">
        <f>P_2_minW+(AA817^2*R_dn)-dpdn_minQ</f>
        <v>50</v>
      </c>
      <c r="AB820" s="132"/>
      <c r="AC820" s="146"/>
      <c r="AD820" s="138">
        <f>P_2_minW+(AD817^2*R_dn)-dpdn_minQ</f>
        <v>50</v>
      </c>
      <c r="AE820" s="132"/>
      <c r="AF820" s="146"/>
      <c r="AG820" s="138">
        <f>P_2_minW+(AG817^2*R_dn)-dpdn_minQ</f>
        <v>50</v>
      </c>
      <c r="AH820" s="132"/>
      <c r="AI820" s="146"/>
      <c r="AJ820" s="138">
        <f>P_2_minW+(AJ817^2*R_dn)-dpdn_minQ</f>
        <v>50</v>
      </c>
      <c r="AK820" s="132"/>
      <c r="AL820" s="146"/>
      <c r="AM820" s="138">
        <f>P_2_minW+(AM817^2*R_dn)-dpdn_minQ</f>
        <v>50</v>
      </c>
      <c r="AN820" s="132"/>
      <c r="AO820" s="146"/>
      <c r="AP820" s="138">
        <f>P_2_minW+(AP817^2*R_dn)-dpdn_minQ</f>
        <v>50</v>
      </c>
      <c r="AQ820" s="132"/>
      <c r="AR820" s="146"/>
      <c r="AS820" s="138">
        <f>P_2_minW+(AS817^2*R_dn)-dpdn_minQ</f>
        <v>50</v>
      </c>
      <c r="AT820" s="132"/>
      <c r="AU820" s="146"/>
    </row>
    <row r="821" spans="13:47" x14ac:dyDescent="0.25">
      <c r="M821" s="20"/>
      <c r="N821" s="20"/>
      <c r="O821" s="7" t="s">
        <v>234</v>
      </c>
      <c r="P821" s="1"/>
      <c r="Q821" s="7"/>
      <c r="R821" s="179">
        <f>'Valve Sizing'!G$8*R819/P_1_maxW</f>
        <v>0.48490170919068926</v>
      </c>
      <c r="S821" s="132"/>
      <c r="T821" s="146"/>
      <c r="U821" s="143">
        <f>'Valve Sizing'!$G$8*U819/P_1_maxW</f>
        <v>0.48363878326631066</v>
      </c>
      <c r="V821" s="132"/>
      <c r="W821" s="146"/>
      <c r="X821" s="143">
        <f>'Valve Sizing'!$G$8*X819/P_1_maxW</f>
        <v>0.4771653983836705</v>
      </c>
      <c r="Y821" s="132"/>
      <c r="Z821" s="146"/>
      <c r="AA821" s="143">
        <f>'Valve Sizing'!$G$8*AA819/P_1_maxW</f>
        <v>0.4555459192291399</v>
      </c>
      <c r="AB821" s="132"/>
      <c r="AC821" s="146"/>
      <c r="AD821" s="143">
        <f>'Valve Sizing'!$G$8*AD819/P_1_maxW</f>
        <v>0.40549581239327914</v>
      </c>
      <c r="AE821" s="132"/>
      <c r="AF821" s="146"/>
      <c r="AG821" s="143">
        <f>'Valve Sizing'!$G$8*AG819/P_1_maxW</f>
        <v>0.32869042493011635</v>
      </c>
      <c r="AH821" s="132"/>
      <c r="AI821" s="146"/>
      <c r="AJ821" s="143">
        <f>'Valve Sizing'!$G$8*AJ819/P_1_maxW</f>
        <v>0.23305238452019278</v>
      </c>
      <c r="AK821" s="132"/>
      <c r="AL821" s="146"/>
      <c r="AM821" s="143">
        <f>'Valve Sizing'!$G$8*AM819/P_1_maxW</f>
        <v>0.13862295908501338</v>
      </c>
      <c r="AN821" s="132"/>
      <c r="AO821" s="146"/>
      <c r="AP821" s="143">
        <f>'Valve Sizing'!$G$8*AP819/P_1_maxW</f>
        <v>5.3882490020985704E-2</v>
      </c>
      <c r="AQ821" s="132"/>
      <c r="AR821" s="146"/>
      <c r="AS821" s="143">
        <f>'Valve Sizing'!$G$8*AS819/P_1_maxW</f>
        <v>-5.1595315785741891E-2</v>
      </c>
      <c r="AT821" s="132"/>
      <c r="AU821" s="146"/>
    </row>
    <row r="822" spans="13:47" x14ac:dyDescent="0.25">
      <c r="M822" s="20"/>
      <c r="N822" s="20"/>
      <c r="O822" s="7" t="s">
        <v>190</v>
      </c>
      <c r="P822" s="1"/>
      <c r="Q822" s="7"/>
      <c r="R822" s="181">
        <f>R819-R820</f>
        <v>50.522306402207647</v>
      </c>
      <c r="S822" s="132"/>
      <c r="T822" s="146"/>
      <c r="U822" s="138">
        <f>U819-U820</f>
        <v>50.260496174841023</v>
      </c>
      <c r="V822" s="132"/>
      <c r="W822" s="146"/>
      <c r="X822" s="138">
        <f>X819-X820</f>
        <v>48.918534358046784</v>
      </c>
      <c r="Y822" s="132"/>
      <c r="Z822" s="146"/>
      <c r="AA822" s="138">
        <f>AA819-AA820</f>
        <v>44.436719040350653</v>
      </c>
      <c r="AB822" s="132"/>
      <c r="AC822" s="146"/>
      <c r="AD822" s="138">
        <f>AD819-AD820</f>
        <v>34.061106664773092</v>
      </c>
      <c r="AE822" s="132"/>
      <c r="AF822" s="146"/>
      <c r="AG822" s="138">
        <f>AG819-AG820</f>
        <v>18.139004214777088</v>
      </c>
      <c r="AH822" s="132"/>
      <c r="AI822" s="146"/>
      <c r="AJ822" s="138">
        <f>AJ819-AJ820</f>
        <v>-1.6871919391581258</v>
      </c>
      <c r="AK822" s="132"/>
      <c r="AL822" s="146"/>
      <c r="AM822" s="138">
        <f>AM819-AM820</f>
        <v>-21.262836769988496</v>
      </c>
      <c r="AN822" s="132"/>
      <c r="AO822" s="146"/>
      <c r="AP822" s="138">
        <f>AP819-AP820</f>
        <v>-38.82991734419025</v>
      </c>
      <c r="AQ822" s="132"/>
      <c r="AR822" s="146"/>
      <c r="AS822" s="138">
        <f>AS819-AS820</f>
        <v>-60.695941144421511</v>
      </c>
      <c r="AT822" s="132"/>
      <c r="AU822" s="146"/>
    </row>
    <row r="823" spans="13:47" ht="14.5" x14ac:dyDescent="0.35">
      <c r="M823" s="27"/>
      <c r="N823" s="27"/>
      <c r="O823" s="2" t="s">
        <v>191</v>
      </c>
      <c r="P823" s="10"/>
      <c r="Q823" s="2"/>
      <c r="R823" s="181">
        <f>R822/R819</f>
        <v>0.5025979626856043</v>
      </c>
      <c r="S823" s="132"/>
      <c r="T823" s="146"/>
      <c r="U823" s="138">
        <f>U822/U819</f>
        <v>0.50129909677679407</v>
      </c>
      <c r="V823" s="132"/>
      <c r="W823" s="146"/>
      <c r="X823" s="138">
        <f>X822/X819</f>
        <v>0.49453355405550831</v>
      </c>
      <c r="Y823" s="132"/>
      <c r="Z823" s="146"/>
      <c r="AA823" s="138">
        <f>AA822/AA819</f>
        <v>0.47054492671821707</v>
      </c>
      <c r="AB823" s="132"/>
      <c r="AC823" s="146"/>
      <c r="AD823" s="138">
        <f>AD822/AD819</f>
        <v>0.40519460207210006</v>
      </c>
      <c r="AE823" s="132"/>
      <c r="AF823" s="146"/>
      <c r="AG823" s="138">
        <f>AG822/AG819</f>
        <v>0.26620588932591621</v>
      </c>
      <c r="AH823" s="132"/>
      <c r="AI823" s="146"/>
      <c r="AJ823" s="138">
        <f>AJ822/AJ819</f>
        <v>-3.4922249541641019E-2</v>
      </c>
      <c r="AK823" s="132"/>
      <c r="AL823" s="146"/>
      <c r="AM823" s="138">
        <f>AM822/AM819</f>
        <v>-0.73990729703559488</v>
      </c>
      <c r="AN823" s="132"/>
      <c r="AO823" s="146"/>
      <c r="AP823" s="138">
        <f>AP822/AP819</f>
        <v>-3.4762426152678598</v>
      </c>
      <c r="AQ823" s="132"/>
      <c r="AR823" s="146"/>
      <c r="AS823" s="138">
        <f>AS822/AS819</f>
        <v>5.6746704497413578</v>
      </c>
      <c r="AT823" s="132"/>
      <c r="AU823" s="146"/>
    </row>
    <row r="824" spans="13:47" x14ac:dyDescent="0.25">
      <c r="M824" s="27"/>
      <c r="N824" s="27"/>
      <c r="O824" s="2" t="s">
        <v>26</v>
      </c>
      <c r="P824" s="7">
        <v>12</v>
      </c>
      <c r="Q824" s="2"/>
      <c r="R824" s="181">
        <f>1-R823/(3*F_GAMMA*R$29)</f>
        <v>0.73824122169861905</v>
      </c>
      <c r="S824" s="133"/>
      <c r="T824" s="146"/>
      <c r="U824" s="138">
        <f>1-U823/(3*F_GAMMA*U$29)</f>
        <v>0.73897516977184763</v>
      </c>
      <c r="V824" s="133"/>
      <c r="W824" s="146"/>
      <c r="X824" s="138">
        <f>1-X823/(3*F_GAMMA*X$29)</f>
        <v>0.73863502582400975</v>
      </c>
      <c r="Y824" s="133"/>
      <c r="Z824" s="146"/>
      <c r="AA824" s="138">
        <f>1-AA823/(3*F_GAMMA*AA$29)</f>
        <v>0.74790336697231663</v>
      </c>
      <c r="AB824" s="133"/>
      <c r="AC824" s="146"/>
      <c r="AD824" s="138">
        <f>1-AD823/(3*F_GAMMA*AD$29)</f>
        <v>0.77696310119735201</v>
      </c>
      <c r="AE824" s="133"/>
      <c r="AF824" s="146"/>
      <c r="AG824" s="138">
        <f>1-AG823/(3*F_GAMMA*AG$29)</f>
        <v>0.84511020795455827</v>
      </c>
      <c r="AH824" s="133"/>
      <c r="AI824" s="146"/>
      <c r="AJ824" s="138">
        <f>1-AJ823/(3*F_GAMMA*AJ$29)</f>
        <v>1.0217215374558948</v>
      </c>
      <c r="AK824" s="133"/>
      <c r="AL824" s="146"/>
      <c r="AM824" s="138">
        <f>1-AM823/(3*F_GAMMA*AM$29)</f>
        <v>1.5028373489104312</v>
      </c>
      <c r="AN824" s="133"/>
      <c r="AO824" s="146"/>
      <c r="AP824" s="138">
        <f>1-AP823/(3*F_GAMMA*AP$29)</f>
        <v>2.9522988696233492</v>
      </c>
      <c r="AQ824" s="133"/>
      <c r="AR824" s="146"/>
      <c r="AS824" s="138">
        <f>1-AS823/(3*F_GAMMA*AS$29)</f>
        <v>-3.8380850618202036</v>
      </c>
      <c r="AT824" s="133"/>
      <c r="AU824" s="146"/>
    </row>
    <row r="825" spans="13:47" x14ac:dyDescent="0.25">
      <c r="M825" s="27"/>
      <c r="N825" s="27"/>
      <c r="O825" s="2" t="s">
        <v>71</v>
      </c>
      <c r="P825" s="85">
        <v>5</v>
      </c>
      <c r="Q825" s="2"/>
      <c r="R825" s="179">
        <f>R817/((N_6*R$27*R824)*SQRT(R823*R819*R821))</f>
        <v>0.15007077375970038</v>
      </c>
      <c r="S825" s="133"/>
      <c r="T825" s="146"/>
      <c r="U825" s="143">
        <f>U817/((N_6*U$27*U824)*SQRT(U823*U819*U821))</f>
        <v>3.5192365462196853</v>
      </c>
      <c r="V825" s="133"/>
      <c r="W825" s="146"/>
      <c r="X825" s="143">
        <f>X817/((N_6*X$27*X824)*SQRT(X823*X819*X821))</f>
        <v>8.9054854946233384</v>
      </c>
      <c r="Y825" s="133"/>
      <c r="Z825" s="146"/>
      <c r="AA825" s="143">
        <f>AA817/((N_6*AA$27*AA824)*SQRT(AA823*AA819*AA821))</f>
        <v>18.501151206479989</v>
      </c>
      <c r="AB825" s="133"/>
      <c r="AC825" s="146"/>
      <c r="AD825" s="143">
        <f>AD817/((N_6*AD$27*AD824)*SQRT(AD823*AD819*AD821))</f>
        <v>35.881593781211798</v>
      </c>
      <c r="AE825" s="133"/>
      <c r="AF825" s="146"/>
      <c r="AG825" s="143">
        <f>AG817/((N_6*AG$27*AG824)*SQRT(AG823*AG819*AG821))</f>
        <v>71.941339373328589</v>
      </c>
      <c r="AH825" s="133"/>
      <c r="AI825" s="146"/>
      <c r="AJ825" s="143" t="e">
        <f>AJ817/((N_6*AJ$27*AJ824)*SQRT(AJ823*AJ819*AJ821))</f>
        <v>#NUM!</v>
      </c>
      <c r="AK825" s="133"/>
      <c r="AL825" s="146"/>
      <c r="AM825" s="143" t="e">
        <f>AM817/((N_6*AM$27*AM824)*SQRT(AM823*AM819*AM821))</f>
        <v>#NUM!</v>
      </c>
      <c r="AN825" s="133"/>
      <c r="AO825" s="146"/>
      <c r="AP825" s="143" t="e">
        <f>AP817/((N_6*AP$27*AP824)*SQRT(AP823*AP819*AP821))</f>
        <v>#NUM!</v>
      </c>
      <c r="AQ825" s="133"/>
      <c r="AR825" s="146"/>
      <c r="AS825" s="143">
        <f>AS817/((N_6*AS$27*AS824)*SQRT(AS823*AS819*AS821))</f>
        <v>-66.374779503049325</v>
      </c>
      <c r="AT825" s="133"/>
      <c r="AU825" s="146"/>
    </row>
    <row r="826" spans="13:47" x14ac:dyDescent="0.25">
      <c r="M826" s="27"/>
      <c r="N826" s="27"/>
      <c r="O826" s="2" t="s">
        <v>73</v>
      </c>
      <c r="P826" s="85">
        <v>5</v>
      </c>
      <c r="Q826" s="2"/>
      <c r="R826" s="179">
        <f>R817/((N_6*R$27*0.667)*SQRT(R827*R819*R821))</f>
        <v>0.14719051819089288</v>
      </c>
      <c r="S826" s="133"/>
      <c r="T826" s="155"/>
      <c r="U826" s="143">
        <f>U817/((N_6*U$27*0.667)*SQRT(U827*U819*U821))</f>
        <v>3.4502773676665486</v>
      </c>
      <c r="V826" s="133"/>
      <c r="W826" s="155"/>
      <c r="X826" s="143">
        <f>X817/((N_6*X$27*0.667)*SQRT(X827*X819*X821))</f>
        <v>8.7326486155067577</v>
      </c>
      <c r="Y826" s="133"/>
      <c r="Z826" s="155"/>
      <c r="AA826" s="143">
        <f>AA817/((N_6*AA$27*0.667)*SQRT(AA827*AA819*AA821))</f>
        <v>18.041081027240327</v>
      </c>
      <c r="AB826" s="133"/>
      <c r="AC826" s="155"/>
      <c r="AD826" s="143">
        <f>AD817/((N_6*AD$27*0.667)*SQRT(AD827*AD819*AD821))</f>
        <v>34.189698558609791</v>
      </c>
      <c r="AE826" s="133"/>
      <c r="AF826" s="155"/>
      <c r="AG826" s="143">
        <f>AG817/((N_6*AG$27*0.667)*SQRT(AG827*AG819*AG821))</f>
        <v>62.135251189651228</v>
      </c>
      <c r="AH826" s="133"/>
      <c r="AI826" s="155"/>
      <c r="AJ826" s="143">
        <f>AJ817/((N_6*AJ$27*0.667)*SQRT(AJ827*AJ819*AJ821))</f>
        <v>118.9969179628123</v>
      </c>
      <c r="AK826" s="133"/>
      <c r="AL826" s="155"/>
      <c r="AM826" s="143">
        <f>AM817/((N_6*AM$27*0.667)*SQRT(AM827*AM819*AM821))</f>
        <v>260.2622961194952</v>
      </c>
      <c r="AN826" s="133"/>
      <c r="AO826" s="155"/>
      <c r="AP826" s="143">
        <f>AP817/((N_6*AP$27*0.667)*SQRT(AP827*AP819*AP821))</f>
        <v>771.40242954635789</v>
      </c>
      <c r="AQ826" s="133"/>
      <c r="AR826" s="155"/>
      <c r="AS826" s="143">
        <f>AS817/((N_6*AS$27*0.667)*SQRT(AS827*AS819*AS821))</f>
        <v>1455.0879032644573</v>
      </c>
      <c r="AT826" s="133"/>
      <c r="AU826" s="155"/>
    </row>
    <row r="827" spans="13:47" ht="15.5" x14ac:dyDescent="0.4">
      <c r="M827" s="27"/>
      <c r="N827" s="27"/>
      <c r="O827" s="2" t="s">
        <v>192</v>
      </c>
      <c r="P827" s="85">
        <v>10</v>
      </c>
      <c r="Q827" s="2"/>
      <c r="R827" s="181">
        <f>F_GAMMA*R$29</f>
        <v>0.64002688015162901</v>
      </c>
      <c r="S827" s="133"/>
      <c r="T827" s="155"/>
      <c r="U827" s="138">
        <f>F_GAMMA*U$29</f>
        <v>0.64016782916606918</v>
      </c>
      <c r="V827" s="133"/>
      <c r="W827" s="155"/>
      <c r="X827" s="138">
        <f>F_GAMMA*X$29</f>
        <v>0.6307062319203669</v>
      </c>
      <c r="Y827" s="133"/>
      <c r="Z827" s="155"/>
      <c r="AA827" s="138">
        <f>F_GAMMA*AA$29</f>
        <v>0.62217534213893466</v>
      </c>
      <c r="AB827" s="133"/>
      <c r="AC827" s="155"/>
      <c r="AD827" s="138">
        <f>F_GAMMA*AD$29</f>
        <v>0.60557184969146072</v>
      </c>
      <c r="AE827" s="133"/>
      <c r="AF827" s="155"/>
      <c r="AG827" s="138">
        <f>F_GAMMA*AG$29</f>
        <v>0.57289312142622573</v>
      </c>
      <c r="AH827" s="133"/>
      <c r="AI827" s="155"/>
      <c r="AJ827" s="138">
        <f>F_GAMMA*AJ$29</f>
        <v>0.53590819116049981</v>
      </c>
      <c r="AK827" s="133"/>
      <c r="AL827" s="155"/>
      <c r="AM827" s="138">
        <f>F_GAMMA*AM$29</f>
        <v>0.49048815926850342</v>
      </c>
      <c r="AN827" s="133"/>
      <c r="AO827" s="155"/>
      <c r="AP827" s="138">
        <f>F_GAMMA*AP$29</f>
        <v>0.59352979016280105</v>
      </c>
      <c r="AQ827" s="133"/>
      <c r="AR827" s="155"/>
      <c r="AS827" s="138">
        <f>F_GAMMA*AS$29</f>
        <v>0.39097221161068291</v>
      </c>
      <c r="AT827" s="133"/>
      <c r="AU827" s="155"/>
    </row>
    <row r="828" spans="13:47" x14ac:dyDescent="0.25">
      <c r="M828" s="27"/>
      <c r="N828" s="27"/>
      <c r="O828" s="2" t="s">
        <v>193</v>
      </c>
      <c r="P828" s="134"/>
      <c r="Q828" s="2"/>
      <c r="R828" s="181">
        <f>IF(R823&lt;R827,R825,R826)</f>
        <v>0.15007077375970038</v>
      </c>
      <c r="S828" s="133"/>
      <c r="T828" s="155"/>
      <c r="U828" s="138">
        <f>IF(U823&lt;U827,U825,U826)</f>
        <v>3.5192365462196853</v>
      </c>
      <c r="V828" s="133"/>
      <c r="W828" s="155"/>
      <c r="X828" s="138">
        <f>IF(X823&lt;X827,X825,X826)</f>
        <v>8.9054854946233384</v>
      </c>
      <c r="Y828" s="133"/>
      <c r="Z828" s="155"/>
      <c r="AA828" s="138">
        <f>IF(AA823&lt;AA827,AA825,AA826)</f>
        <v>18.501151206479989</v>
      </c>
      <c r="AB828" s="133"/>
      <c r="AC828" s="155"/>
      <c r="AD828" s="138">
        <f>IF(AD823&lt;AD827,AD825,AD826)</f>
        <v>35.881593781211798</v>
      </c>
      <c r="AE828" s="133"/>
      <c r="AF828" s="155"/>
      <c r="AG828" s="138">
        <f>IF(AG823&lt;AG827,AG825,AG826)</f>
        <v>71.941339373328589</v>
      </c>
      <c r="AH828" s="133"/>
      <c r="AI828" s="155"/>
      <c r="AJ828" s="138" t="e">
        <f>IF(AJ823&lt;AJ827,AJ825,AJ826)</f>
        <v>#NUM!</v>
      </c>
      <c r="AK828" s="133"/>
      <c r="AL828" s="155"/>
      <c r="AM828" s="138" t="e">
        <f>IF(AM823&lt;AM827,AM825,AM826)</f>
        <v>#NUM!</v>
      </c>
      <c r="AN828" s="133"/>
      <c r="AO828" s="155"/>
      <c r="AP828" s="138" t="e">
        <f>IF(AP823&lt;AP827,AP825,AP826)</f>
        <v>#NUM!</v>
      </c>
      <c r="AQ828" s="133"/>
      <c r="AR828" s="155"/>
      <c r="AS828" s="138">
        <f>IF(AS823&lt;AS827,AS825,AS826)</f>
        <v>1455.0879032644573</v>
      </c>
      <c r="AT828" s="133"/>
      <c r="AU828" s="155"/>
    </row>
    <row r="829" spans="13:47" ht="13" x14ac:dyDescent="0.3">
      <c r="M829" s="28"/>
      <c r="N829" s="28"/>
      <c r="O829" s="9" t="s">
        <v>194</v>
      </c>
      <c r="P829" s="1"/>
      <c r="Q829" s="1"/>
      <c r="R829" s="135"/>
      <c r="S829" s="132">
        <f>IF(R822&lt;=0,W_max,ABS(R$23-R828))</f>
        <v>1.8499292262402995</v>
      </c>
      <c r="T829" s="151">
        <f>R817</f>
        <v>34.706842530236713</v>
      </c>
      <c r="U829" s="135"/>
      <c r="V829" s="132">
        <f>IF(U822&lt;=0,W_max,ABS(U$23-U828))</f>
        <v>1.4807634537803147</v>
      </c>
      <c r="W829" s="151">
        <f>U817</f>
        <v>811.02555342938092</v>
      </c>
      <c r="X829" s="135"/>
      <c r="Y829" s="132">
        <f>IF(X822&lt;=0,W_max,ABS(X$23-X828))</f>
        <v>1.0945145053766616</v>
      </c>
      <c r="Z829" s="151">
        <f>X817</f>
        <v>2005.762706803072</v>
      </c>
      <c r="AA829" s="135"/>
      <c r="AB829" s="132">
        <f>IF(AA822&lt;=0,W_max,ABS(AA$23-AA828))</f>
        <v>1.3011512064799895</v>
      </c>
      <c r="AC829" s="151">
        <f>AA817</f>
        <v>3906.7137911212144</v>
      </c>
      <c r="AD829" s="135"/>
      <c r="AE829" s="132">
        <f>IF(AD822&lt;=0,W_max,ABS(AD$23-AD828))</f>
        <v>9.2815937812117966</v>
      </c>
      <c r="AF829" s="151">
        <f>AD817</f>
        <v>6425.1058197143047</v>
      </c>
      <c r="AG829" s="135"/>
      <c r="AH829" s="132">
        <f>IF(AG822&lt;=0,W_max,ABS(AG$23-AG828))</f>
        <v>33.54133937332859</v>
      </c>
      <c r="AI829" s="151">
        <f>AG817</f>
        <v>9011.7055564354669</v>
      </c>
      <c r="AJ829" s="135"/>
      <c r="AK829" s="132">
        <f>IF(AJ822&lt;=0,W_max,ABS(AJ$23-AJ828))</f>
        <v>7174</v>
      </c>
      <c r="AL829" s="151">
        <f>AJ817</f>
        <v>11442.474787373692</v>
      </c>
      <c r="AM829" s="135"/>
      <c r="AN829" s="132">
        <f>IF(AM822&lt;=0,W_max,ABS(AM$23-AM828))</f>
        <v>7174</v>
      </c>
      <c r="AO829" s="151">
        <f>AM817</f>
        <v>13417.201580752229</v>
      </c>
      <c r="AP829" s="135"/>
      <c r="AQ829" s="132">
        <f>IF(AP822&lt;=0,W_max,ABS(AP$23-AP828))</f>
        <v>7174</v>
      </c>
      <c r="AR829" s="151">
        <f>AP817</f>
        <v>14969.147104473112</v>
      </c>
      <c r="AS829" s="135"/>
      <c r="AT829" s="132">
        <f>IF(AS822&lt;=0,W_max,ABS(AS$23-AS828))</f>
        <v>7174</v>
      </c>
      <c r="AU829" s="151">
        <f>AS817</f>
        <v>16700.60360103743</v>
      </c>
    </row>
    <row r="830" spans="13:47" ht="13" x14ac:dyDescent="0.25">
      <c r="M830" s="12"/>
      <c r="N830" s="12"/>
      <c r="O830" s="2"/>
      <c r="P830" s="85"/>
      <c r="Q830" s="2"/>
      <c r="R830" s="18"/>
      <c r="S830" s="150"/>
      <c r="T830" s="148"/>
      <c r="U830" s="157"/>
      <c r="V830" s="1"/>
      <c r="W830" s="147"/>
      <c r="X830" s="157"/>
      <c r="Y830" s="1"/>
      <c r="Z830" s="147"/>
      <c r="AA830" s="157"/>
      <c r="AB830" s="1"/>
      <c r="AC830" s="147"/>
      <c r="AD830" s="157"/>
      <c r="AE830" s="1"/>
      <c r="AF830" s="147"/>
      <c r="AG830" s="157"/>
      <c r="AH830" s="1"/>
      <c r="AI830" s="147"/>
      <c r="AJ830" s="157"/>
      <c r="AK830" s="1"/>
      <c r="AL830" s="147"/>
      <c r="AM830" s="157"/>
      <c r="AN830" s="1"/>
      <c r="AO830" s="147"/>
      <c r="AP830" s="157"/>
      <c r="AQ830" s="1"/>
      <c r="AR830" s="147"/>
      <c r="AS830" s="157"/>
      <c r="AT830" s="1"/>
      <c r="AU830" s="147"/>
    </row>
    <row r="831" spans="13:47" ht="14" x14ac:dyDescent="0.3">
      <c r="M831" s="23"/>
      <c r="N831" s="23"/>
      <c r="O831" s="23" t="s">
        <v>238</v>
      </c>
      <c r="P831" s="20"/>
      <c r="Q831" s="20"/>
      <c r="R831" s="181">
        <f>R817*1.02</f>
        <v>35.400979380841449</v>
      </c>
      <c r="S831" s="128" t="s">
        <v>185</v>
      </c>
      <c r="T831" s="149" t="s">
        <v>186</v>
      </c>
      <c r="U831" s="143">
        <f>U817*1.01</f>
        <v>819.13580896367478</v>
      </c>
      <c r="V831" s="128" t="s">
        <v>185</v>
      </c>
      <c r="W831" s="153" t="s">
        <v>186</v>
      </c>
      <c r="X831" s="143">
        <f>X817*1.01</f>
        <v>2025.8203338711028</v>
      </c>
      <c r="Y831" s="128" t="s">
        <v>185</v>
      </c>
      <c r="Z831" s="153" t="s">
        <v>186</v>
      </c>
      <c r="AA831" s="143">
        <f>AA817*1.01</f>
        <v>3945.7809290324267</v>
      </c>
      <c r="AB831" s="128" t="s">
        <v>185</v>
      </c>
      <c r="AC831" s="153" t="s">
        <v>186</v>
      </c>
      <c r="AD831" s="143">
        <f>AD817*1.01</f>
        <v>6489.3568779114476</v>
      </c>
      <c r="AE831" s="128" t="s">
        <v>185</v>
      </c>
      <c r="AF831" s="153" t="s">
        <v>186</v>
      </c>
      <c r="AG831" s="143">
        <f>AG817*1.01</f>
        <v>9101.8226119998217</v>
      </c>
      <c r="AH831" s="128" t="s">
        <v>185</v>
      </c>
      <c r="AI831" s="153" t="s">
        <v>186</v>
      </c>
      <c r="AJ831" s="143">
        <f>AJ817*1.01</f>
        <v>11556.899535247429</v>
      </c>
      <c r="AK831" s="128" t="s">
        <v>185</v>
      </c>
      <c r="AL831" s="153" t="s">
        <v>186</v>
      </c>
      <c r="AM831" s="143">
        <f>AM817*1.01</f>
        <v>13551.373596559752</v>
      </c>
      <c r="AN831" s="128" t="s">
        <v>185</v>
      </c>
      <c r="AO831" s="153" t="s">
        <v>186</v>
      </c>
      <c r="AP831" s="143">
        <f>AP817*1.01</f>
        <v>15118.838575517842</v>
      </c>
      <c r="AQ831" s="128" t="s">
        <v>185</v>
      </c>
      <c r="AR831" s="153" t="s">
        <v>186</v>
      </c>
      <c r="AS831" s="143">
        <f>AS817*1.01</f>
        <v>16867.609637047804</v>
      </c>
      <c r="AT831" s="128" t="s">
        <v>185</v>
      </c>
      <c r="AU831" s="153" t="s">
        <v>186</v>
      </c>
    </row>
    <row r="832" spans="13:47" ht="14" x14ac:dyDescent="0.3">
      <c r="M832" s="12"/>
      <c r="N832" s="12"/>
      <c r="O832" s="20"/>
      <c r="P832" s="20"/>
      <c r="Q832" s="23"/>
      <c r="R832" s="139"/>
      <c r="S832" s="130" t="s">
        <v>228</v>
      </c>
      <c r="T832" s="131" t="s">
        <v>187</v>
      </c>
      <c r="U832" s="144"/>
      <c r="V832" s="130" t="s">
        <v>228</v>
      </c>
      <c r="W832" s="154" t="s">
        <v>187</v>
      </c>
      <c r="X832" s="144"/>
      <c r="Y832" s="130" t="s">
        <v>228</v>
      </c>
      <c r="Z832" s="154" t="s">
        <v>187</v>
      </c>
      <c r="AA832" s="144"/>
      <c r="AB832" s="130" t="s">
        <v>228</v>
      </c>
      <c r="AC832" s="154" t="s">
        <v>187</v>
      </c>
      <c r="AD832" s="144"/>
      <c r="AE832" s="130" t="s">
        <v>228</v>
      </c>
      <c r="AF832" s="154" t="s">
        <v>187</v>
      </c>
      <c r="AG832" s="144"/>
      <c r="AH832" s="130" t="s">
        <v>228</v>
      </c>
      <c r="AI832" s="154" t="s">
        <v>187</v>
      </c>
      <c r="AJ832" s="144"/>
      <c r="AK832" s="130" t="s">
        <v>228</v>
      </c>
      <c r="AL832" s="154" t="s">
        <v>187</v>
      </c>
      <c r="AM832" s="144"/>
      <c r="AN832" s="130" t="s">
        <v>228</v>
      </c>
      <c r="AO832" s="154" t="s">
        <v>187</v>
      </c>
      <c r="AP832" s="144"/>
      <c r="AQ832" s="130" t="s">
        <v>228</v>
      </c>
      <c r="AR832" s="154" t="s">
        <v>187</v>
      </c>
      <c r="AS832" s="144"/>
      <c r="AT832" s="130" t="s">
        <v>228</v>
      </c>
      <c r="AU832" s="154" t="s">
        <v>187</v>
      </c>
    </row>
    <row r="833" spans="13:47" x14ac:dyDescent="0.25">
      <c r="M833" s="20"/>
      <c r="N833" s="20"/>
      <c r="O833" s="7" t="s">
        <v>188</v>
      </c>
      <c r="P833" s="7"/>
      <c r="Q833" s="7"/>
      <c r="R833" s="181">
        <f>P_1_minW-(R831^2*R_up)+dpup_minQ</f>
        <v>100.52228699669308</v>
      </c>
      <c r="S833" s="132"/>
      <c r="T833" s="145"/>
      <c r="U833" s="138">
        <f>P_1_minW-(U831^2*R_up)+dpup_minQ</f>
        <v>100.25522413454712</v>
      </c>
      <c r="V833" s="132"/>
      <c r="W833" s="145"/>
      <c r="X833" s="138">
        <f>P_1_minW-(X831^2*R_up)+dpup_minQ</f>
        <v>98.886288885235317</v>
      </c>
      <c r="Y833" s="132"/>
      <c r="Z833" s="145"/>
      <c r="AA833" s="138">
        <f>P_1_minW-(AA831^2*R_up)+dpup_minQ</f>
        <v>94.314389079653495</v>
      </c>
      <c r="AB833" s="132"/>
      <c r="AC833" s="145"/>
      <c r="AD833" s="138">
        <f>P_1_minW-(AD831^2*R_up)+dpup_minQ</f>
        <v>83.730226895326823</v>
      </c>
      <c r="AE833" s="132"/>
      <c r="AF833" s="145"/>
      <c r="AG833" s="138">
        <f>P_1_minW-(AG831^2*R_up)+dpup_minQ</f>
        <v>67.488090186085898</v>
      </c>
      <c r="AH833" s="132"/>
      <c r="AI833" s="145"/>
      <c r="AJ833" s="138">
        <f>P_1_minW-(AJ831^2*R_up)+dpup_minQ</f>
        <v>47.263387489456591</v>
      </c>
      <c r="AK833" s="132"/>
      <c r="AL833" s="145"/>
      <c r="AM833" s="138">
        <f>P_1_minW-(AM831^2*R_up)+dpup_minQ</f>
        <v>27.294272197526524</v>
      </c>
      <c r="AN833" s="132"/>
      <c r="AO833" s="145"/>
      <c r="AP833" s="138">
        <f>P_1_minW-(AP831^2*R_up)+dpup_minQ</f>
        <v>9.37409330378334</v>
      </c>
      <c r="AQ833" s="132"/>
      <c r="AR833" s="145"/>
      <c r="AS833" s="138">
        <f>P_1_minW-(AS831^2*R_up)+dpup_minQ</f>
        <v>-12.931437574832572</v>
      </c>
      <c r="AT833" s="132"/>
      <c r="AU833" s="145"/>
    </row>
    <row r="834" spans="13:47" x14ac:dyDescent="0.25">
      <c r="M834" s="20"/>
      <c r="N834" s="20"/>
      <c r="O834" s="7" t="s">
        <v>189</v>
      </c>
      <c r="P834" s="1"/>
      <c r="Q834" s="7"/>
      <c r="R834" s="181">
        <f>P_2_minW+(R831^2*R_dn)-dpdn_minQ</f>
        <v>50</v>
      </c>
      <c r="S834" s="132"/>
      <c r="T834" s="146"/>
      <c r="U834" s="138">
        <f>P_2_minW+(U831^2*R_dn)-dpdn_minQ</f>
        <v>50</v>
      </c>
      <c r="V834" s="132"/>
      <c r="W834" s="146"/>
      <c r="X834" s="138">
        <f>P_2_minW+(X831^2*R_dn)-dpdn_minQ</f>
        <v>50</v>
      </c>
      <c r="Y834" s="132"/>
      <c r="Z834" s="146"/>
      <c r="AA834" s="138">
        <f>P_2_minW+(AA831^2*R_dn)-dpdn_minQ</f>
        <v>50</v>
      </c>
      <c r="AB834" s="132"/>
      <c r="AC834" s="146"/>
      <c r="AD834" s="138">
        <f>P_2_minW+(AD831^2*R_dn)-dpdn_minQ</f>
        <v>50</v>
      </c>
      <c r="AE834" s="132"/>
      <c r="AF834" s="146"/>
      <c r="AG834" s="138">
        <f>P_2_minW+(AG831^2*R_dn)-dpdn_minQ</f>
        <v>50</v>
      </c>
      <c r="AH834" s="132"/>
      <c r="AI834" s="146"/>
      <c r="AJ834" s="138">
        <f>P_2_minW+(AJ831^2*R_dn)-dpdn_minQ</f>
        <v>50</v>
      </c>
      <c r="AK834" s="132"/>
      <c r="AL834" s="146"/>
      <c r="AM834" s="138">
        <f>P_2_minW+(AM831^2*R_dn)-dpdn_minQ</f>
        <v>50</v>
      </c>
      <c r="AN834" s="132"/>
      <c r="AO834" s="146"/>
      <c r="AP834" s="138">
        <f>P_2_minW+(AP831^2*R_dn)-dpdn_minQ</f>
        <v>50</v>
      </c>
      <c r="AQ834" s="132"/>
      <c r="AR834" s="146"/>
      <c r="AS834" s="138">
        <f>P_2_minW+(AS831^2*R_dn)-dpdn_minQ</f>
        <v>50</v>
      </c>
      <c r="AT834" s="132"/>
      <c r="AU834" s="146"/>
    </row>
    <row r="835" spans="13:47" x14ac:dyDescent="0.25">
      <c r="M835" s="20"/>
      <c r="N835" s="20"/>
      <c r="O835" s="7" t="s">
        <v>234</v>
      </c>
      <c r="P835" s="1"/>
      <c r="Q835" s="7"/>
      <c r="R835" s="179">
        <f>'Valve Sizing'!G$8*R833/P_1_maxW</f>
        <v>0.48490161558194195</v>
      </c>
      <c r="S835" s="132"/>
      <c r="T835" s="146"/>
      <c r="U835" s="143">
        <f>'Valve Sizing'!$G$8*U833/P_1_maxW</f>
        <v>0.48361335188256172</v>
      </c>
      <c r="V835" s="132"/>
      <c r="W835" s="146"/>
      <c r="X835" s="143">
        <f>'Valve Sizing'!$G$8*X833/P_1_maxW</f>
        <v>0.47700985196378054</v>
      </c>
      <c r="Y835" s="132"/>
      <c r="Z835" s="146"/>
      <c r="AA835" s="143">
        <f>'Valve Sizing'!$G$8*AA833/P_1_maxW</f>
        <v>0.45495582127824391</v>
      </c>
      <c r="AB835" s="132"/>
      <c r="AC835" s="146"/>
      <c r="AD835" s="143">
        <f>'Valve Sizing'!$G$8*AD833/P_1_maxW</f>
        <v>0.40389970729498231</v>
      </c>
      <c r="AE835" s="132"/>
      <c r="AF835" s="146"/>
      <c r="AG835" s="143">
        <f>'Valve Sizing'!$G$8*AG833/P_1_maxW</f>
        <v>0.32555053154380997</v>
      </c>
      <c r="AH835" s="132"/>
      <c r="AI835" s="146"/>
      <c r="AJ835" s="143">
        <f>'Valve Sizing'!$G$8*AJ833/P_1_maxW</f>
        <v>0.22799016652164697</v>
      </c>
      <c r="AK835" s="132"/>
      <c r="AL835" s="146"/>
      <c r="AM835" s="143">
        <f>'Valve Sizing'!$G$8*AM833/P_1_maxW</f>
        <v>0.13166270963522039</v>
      </c>
      <c r="AN835" s="132"/>
      <c r="AO835" s="146"/>
      <c r="AP835" s="143">
        <f>'Valve Sizing'!$G$8*AP833/P_1_maxW</f>
        <v>4.5218957143005917E-2</v>
      </c>
      <c r="AQ835" s="132"/>
      <c r="AR835" s="146"/>
      <c r="AS835" s="143">
        <f>'Valve Sizing'!$G$8*AS833/P_1_maxW</f>
        <v>-6.237895256043692E-2</v>
      </c>
      <c r="AT835" s="132"/>
      <c r="AU835" s="146"/>
    </row>
    <row r="836" spans="13:47" x14ac:dyDescent="0.25">
      <c r="M836" s="20"/>
      <c r="N836" s="20"/>
      <c r="O836" s="7" t="s">
        <v>190</v>
      </c>
      <c r="P836" s="1"/>
      <c r="Q836" s="7"/>
      <c r="R836" s="181">
        <f>R833-R834</f>
        <v>50.522286996693083</v>
      </c>
      <c r="S836" s="132"/>
      <c r="T836" s="146"/>
      <c r="U836" s="138">
        <f>U833-U834</f>
        <v>50.25522413454712</v>
      </c>
      <c r="V836" s="132"/>
      <c r="W836" s="146"/>
      <c r="X836" s="138">
        <f>X833-X834</f>
        <v>48.886288885235317</v>
      </c>
      <c r="Y836" s="132"/>
      <c r="Z836" s="146"/>
      <c r="AA836" s="138">
        <f>AA833-AA834</f>
        <v>44.314389079653495</v>
      </c>
      <c r="AB836" s="132"/>
      <c r="AC836" s="146"/>
      <c r="AD836" s="138">
        <f>AD833-AD834</f>
        <v>33.730226895326823</v>
      </c>
      <c r="AE836" s="132"/>
      <c r="AF836" s="146"/>
      <c r="AG836" s="138">
        <f>AG833-AG834</f>
        <v>17.488090186085898</v>
      </c>
      <c r="AH836" s="132"/>
      <c r="AI836" s="146"/>
      <c r="AJ836" s="138">
        <f>AJ833-AJ834</f>
        <v>-2.7366125105434094</v>
      </c>
      <c r="AK836" s="132"/>
      <c r="AL836" s="146"/>
      <c r="AM836" s="138">
        <f>AM833-AM834</f>
        <v>-22.705727802473476</v>
      </c>
      <c r="AN836" s="132"/>
      <c r="AO836" s="146"/>
      <c r="AP836" s="138">
        <f>AP833-AP834</f>
        <v>-40.62590669621666</v>
      </c>
      <c r="AQ836" s="132"/>
      <c r="AR836" s="146"/>
      <c r="AS836" s="138">
        <f>AS833-AS834</f>
        <v>-62.931437574832572</v>
      </c>
      <c r="AT836" s="132"/>
      <c r="AU836" s="146"/>
    </row>
    <row r="837" spans="13:47" ht="14.5" x14ac:dyDescent="0.35">
      <c r="M837" s="27"/>
      <c r="N837" s="27"/>
      <c r="O837" s="2" t="s">
        <v>191</v>
      </c>
      <c r="P837" s="10"/>
      <c r="Q837" s="2"/>
      <c r="R837" s="181">
        <f>R836/R833</f>
        <v>0.50259786666368955</v>
      </c>
      <c r="S837" s="132"/>
      <c r="T837" s="146"/>
      <c r="U837" s="138">
        <f>U836/U833</f>
        <v>0.50127287199619941</v>
      </c>
      <c r="V837" s="132"/>
      <c r="W837" s="146"/>
      <c r="X837" s="138">
        <f>X836/X833</f>
        <v>0.4943687283276591</v>
      </c>
      <c r="Y837" s="132"/>
      <c r="Z837" s="146"/>
      <c r="AA837" s="138">
        <f>AA836/AA833</f>
        <v>0.46985819992141015</v>
      </c>
      <c r="AB837" s="132"/>
      <c r="AC837" s="146"/>
      <c r="AD837" s="138">
        <f>AD836/AD833</f>
        <v>0.40284408804354244</v>
      </c>
      <c r="AE837" s="132"/>
      <c r="AF837" s="146"/>
      <c r="AG837" s="138">
        <f>AG836/AG833</f>
        <v>0.25912853864831159</v>
      </c>
      <c r="AH837" s="132"/>
      <c r="AI837" s="146"/>
      <c r="AJ837" s="138">
        <f>AJ836/AJ833</f>
        <v>-5.7901319729862503E-2</v>
      </c>
      <c r="AK837" s="132"/>
      <c r="AL837" s="146"/>
      <c r="AM837" s="138">
        <f>AM836/AM833</f>
        <v>-0.83188617883466132</v>
      </c>
      <c r="AN837" s="132"/>
      <c r="AO837" s="146"/>
      <c r="AP837" s="138">
        <f>AP836/AP833</f>
        <v>-4.3338491926275404</v>
      </c>
      <c r="AQ837" s="132"/>
      <c r="AR837" s="146"/>
      <c r="AS837" s="138">
        <f>AS836/AS833</f>
        <v>4.8665461369361616</v>
      </c>
      <c r="AT837" s="132"/>
      <c r="AU837" s="146"/>
    </row>
    <row r="838" spans="13:47" x14ac:dyDescent="0.25">
      <c r="M838" s="27"/>
      <c r="N838" s="27"/>
      <c r="O838" s="2" t="s">
        <v>26</v>
      </c>
      <c r="P838" s="7">
        <v>12</v>
      </c>
      <c r="Q838" s="2"/>
      <c r="R838" s="181">
        <f>1-R837/(3*F_GAMMA*R$29)</f>
        <v>0.73824127170793252</v>
      </c>
      <c r="S838" s="133"/>
      <c r="T838" s="146"/>
      <c r="U838" s="138">
        <f>1-U837/(3*F_GAMMA*U$29)</f>
        <v>0.73898882493090645</v>
      </c>
      <c r="V838" s="133"/>
      <c r="W838" s="146"/>
      <c r="X838" s="138">
        <f>1-X837/(3*F_GAMMA*X$29)</f>
        <v>0.73872213755131244</v>
      </c>
      <c r="Y838" s="133"/>
      <c r="Z838" s="146"/>
      <c r="AA838" s="138">
        <f>1-AA837/(3*F_GAMMA*AA$29)</f>
        <v>0.74827128404772181</v>
      </c>
      <c r="AB838" s="133"/>
      <c r="AC838" s="146"/>
      <c r="AD838" s="138">
        <f>1-AD837/(3*F_GAMMA*AD$29)</f>
        <v>0.77825692731655671</v>
      </c>
      <c r="AE838" s="133"/>
      <c r="AF838" s="146"/>
      <c r="AG838" s="138">
        <f>1-AG837/(3*F_GAMMA*AG$29)</f>
        <v>0.84922810849185548</v>
      </c>
      <c r="AH838" s="133"/>
      <c r="AI838" s="146"/>
      <c r="AJ838" s="138">
        <f>1-AJ837/(3*F_GAMMA*AJ$29)</f>
        <v>1.0360144521548726</v>
      </c>
      <c r="AK838" s="133"/>
      <c r="AL838" s="146"/>
      <c r="AM838" s="138">
        <f>1-AM837/(3*F_GAMMA*AM$29)</f>
        <v>1.5653457432253524</v>
      </c>
      <c r="AN838" s="133"/>
      <c r="AO838" s="146"/>
      <c r="AP838" s="138">
        <f>1-AP837/(3*F_GAMMA*AP$29)</f>
        <v>3.433940842541813</v>
      </c>
      <c r="AQ838" s="133"/>
      <c r="AR838" s="146"/>
      <c r="AS838" s="138">
        <f>1-AS837/(3*F_GAMMA*AS$29)</f>
        <v>-3.1490980623981066</v>
      </c>
      <c r="AT838" s="133"/>
      <c r="AU838" s="146"/>
    </row>
    <row r="839" spans="13:47" x14ac:dyDescent="0.25">
      <c r="M839" s="27"/>
      <c r="N839" s="27"/>
      <c r="O839" s="2" t="s">
        <v>71</v>
      </c>
      <c r="P839" s="85">
        <v>5</v>
      </c>
      <c r="Q839" s="2"/>
      <c r="R839" s="179">
        <f>R831/((N_6*R$27*R838)*SQRT(R837*R833*R835))</f>
        <v>0.15307222303802789</v>
      </c>
      <c r="S839" s="133"/>
      <c r="T839" s="146"/>
      <c r="U839" s="143">
        <f>U831/((N_6*U$27*U838)*SQRT(U837*U833*U835))</f>
        <v>3.5546431221482342</v>
      </c>
      <c r="V839" s="133"/>
      <c r="W839" s="146"/>
      <c r="X839" s="143">
        <f>X831/((N_6*X$27*X838)*SQRT(X837*X833*X835))</f>
        <v>8.9979119510609742</v>
      </c>
      <c r="Y839" s="133"/>
      <c r="Z839" s="146"/>
      <c r="AA839" s="143">
        <f>AA831/((N_6*AA$27*AA838)*SQRT(AA837*AA833*AA835))</f>
        <v>18.714861287485327</v>
      </c>
      <c r="AB839" s="133"/>
      <c r="AC839" s="146"/>
      <c r="AD839" s="143">
        <f>AD831/((N_6*AD$27*AD838)*SQRT(AD837*AD833*AD835))</f>
        <v>36.428950661675003</v>
      </c>
      <c r="AE839" s="133"/>
      <c r="AF839" s="146"/>
      <c r="AG839" s="143">
        <f>AG831/((N_6*AG$27*AG838)*SQRT(AG837*AG833*AG835))</f>
        <v>73.996082978331927</v>
      </c>
      <c r="AH839" s="133"/>
      <c r="AI839" s="146"/>
      <c r="AJ839" s="143" t="e">
        <f>AJ831/((N_6*AJ$27*AJ838)*SQRT(AJ837*AJ833*AJ835))</f>
        <v>#NUM!</v>
      </c>
      <c r="AK839" s="133"/>
      <c r="AL839" s="146"/>
      <c r="AM839" s="143" t="e">
        <f>AM831/((N_6*AM$27*AM838)*SQRT(AM837*AM833*AM835))</f>
        <v>#NUM!</v>
      </c>
      <c r="AN839" s="133"/>
      <c r="AO839" s="146"/>
      <c r="AP839" s="143" t="e">
        <f>AP831/((N_6*AP$27*AP838)*SQRT(AP837*AP833*AP835))</f>
        <v>#NUM!</v>
      </c>
      <c r="AQ839" s="133"/>
      <c r="AR839" s="146"/>
      <c r="AS839" s="143">
        <f>AS831/((N_6*AS$27*AS838)*SQRT(AS837*AS833*AS835))</f>
        <v>-72.976826425981599</v>
      </c>
      <c r="AT839" s="133"/>
      <c r="AU839" s="146"/>
    </row>
    <row r="840" spans="13:47" x14ac:dyDescent="0.25">
      <c r="M840" s="27"/>
      <c r="N840" s="27"/>
      <c r="O840" s="2" t="s">
        <v>73</v>
      </c>
      <c r="P840" s="85">
        <v>5</v>
      </c>
      <c r="Q840" s="2"/>
      <c r="R840" s="179">
        <f>R831/((N_6*R$27*0.667)*SQRT(R841*R833*R835))</f>
        <v>0.15013435753767546</v>
      </c>
      <c r="S840" s="133"/>
      <c r="T840" s="147"/>
      <c r="U840" s="143">
        <f>U831/((N_6*U$27*0.667)*SQRT(U841*U833*U835))</f>
        <v>3.4849633926548464</v>
      </c>
      <c r="V840" s="133"/>
      <c r="W840" s="155"/>
      <c r="X840" s="143">
        <f>X831/((N_6*X$27*0.667)*SQRT(X841*X833*X835))</f>
        <v>8.8228511754890953</v>
      </c>
      <c r="Y840" s="133"/>
      <c r="Z840" s="155"/>
      <c r="AA840" s="143">
        <f>AA831/((N_6*AA$27*0.667)*SQRT(AA841*AA833*AA835))</f>
        <v>18.245125923489198</v>
      </c>
      <c r="AB840" s="133"/>
      <c r="AC840" s="155"/>
      <c r="AD840" s="143">
        <f>AD831/((N_6*AD$27*0.667)*SQRT(AD841*AD833*AD835))</f>
        <v>34.668055300677374</v>
      </c>
      <c r="AE840" s="133"/>
      <c r="AF840" s="155"/>
      <c r="AG840" s="143">
        <f>AG831/((N_6*AG$27*0.667)*SQRT(AG841*AG833*AG835))</f>
        <v>63.361883146109243</v>
      </c>
      <c r="AH840" s="133"/>
      <c r="AI840" s="155"/>
      <c r="AJ840" s="143">
        <f>AJ831/((N_6*AJ$27*0.667)*SQRT(AJ841*AJ833*AJ835))</f>
        <v>122.85547690034075</v>
      </c>
      <c r="AK840" s="133"/>
      <c r="AL840" s="155"/>
      <c r="AM840" s="143">
        <f>AM831/((N_6*AM$27*0.667)*SQRT(AM841*AM833*AM835))</f>
        <v>276.76107398643592</v>
      </c>
      <c r="AN840" s="133"/>
      <c r="AO840" s="155"/>
      <c r="AP840" s="143">
        <f>AP831/((N_6*AP$27*0.667)*SQRT(AP841*AP833*AP835))</f>
        <v>928.38794173321503</v>
      </c>
      <c r="AQ840" s="133"/>
      <c r="AR840" s="155"/>
      <c r="AS840" s="143">
        <f>AS831/((N_6*AS$27*0.667)*SQRT(AS841*AS833*AS835))</f>
        <v>1215.5779145237548</v>
      </c>
      <c r="AT840" s="133"/>
      <c r="AU840" s="155"/>
    </row>
    <row r="841" spans="13:47" ht="15.5" x14ac:dyDescent="0.4">
      <c r="M841" s="27"/>
      <c r="N841" s="27"/>
      <c r="O841" s="2" t="s">
        <v>192</v>
      </c>
      <c r="P841" s="85">
        <v>10</v>
      </c>
      <c r="Q841" s="2"/>
      <c r="R841" s="181">
        <f>F_GAMMA*R$29</f>
        <v>0.64002688015162901</v>
      </c>
      <c r="S841" s="133"/>
      <c r="T841" s="147"/>
      <c r="U841" s="138">
        <f>F_GAMMA*U$29</f>
        <v>0.64016782916606918</v>
      </c>
      <c r="V841" s="133"/>
      <c r="W841" s="155"/>
      <c r="X841" s="138">
        <f>F_GAMMA*X$29</f>
        <v>0.6307062319203669</v>
      </c>
      <c r="Y841" s="133"/>
      <c r="Z841" s="155"/>
      <c r="AA841" s="138">
        <f>F_GAMMA*AA$29</f>
        <v>0.62217534213893466</v>
      </c>
      <c r="AB841" s="133"/>
      <c r="AC841" s="155"/>
      <c r="AD841" s="138">
        <f>F_GAMMA*AD$29</f>
        <v>0.60557184969146072</v>
      </c>
      <c r="AE841" s="133"/>
      <c r="AF841" s="155"/>
      <c r="AG841" s="138">
        <f>F_GAMMA*AG$29</f>
        <v>0.57289312142622573</v>
      </c>
      <c r="AH841" s="133"/>
      <c r="AI841" s="155"/>
      <c r="AJ841" s="138">
        <f>F_GAMMA*AJ$29</f>
        <v>0.53590819116049981</v>
      </c>
      <c r="AK841" s="133"/>
      <c r="AL841" s="155"/>
      <c r="AM841" s="138">
        <f>F_GAMMA*AM$29</f>
        <v>0.49048815926850342</v>
      </c>
      <c r="AN841" s="133"/>
      <c r="AO841" s="155"/>
      <c r="AP841" s="138">
        <f>F_GAMMA*AP$29</f>
        <v>0.59352979016280105</v>
      </c>
      <c r="AQ841" s="133"/>
      <c r="AR841" s="155"/>
      <c r="AS841" s="138">
        <f>F_GAMMA*AS$29</f>
        <v>0.39097221161068291</v>
      </c>
      <c r="AT841" s="133"/>
      <c r="AU841" s="155"/>
    </row>
    <row r="842" spans="13:47" x14ac:dyDescent="0.25">
      <c r="M842" s="27"/>
      <c r="N842" s="27"/>
      <c r="O842" s="2" t="s">
        <v>193</v>
      </c>
      <c r="P842" s="134"/>
      <c r="Q842" s="2"/>
      <c r="R842" s="181">
        <f>IF(R837&lt;R841,R839,R840)</f>
        <v>0.15307222303802789</v>
      </c>
      <c r="S842" s="133"/>
      <c r="T842" s="147"/>
      <c r="U842" s="138">
        <f>IF(U837&lt;U841,U839,U840)</f>
        <v>3.5546431221482342</v>
      </c>
      <c r="V842" s="133"/>
      <c r="W842" s="155"/>
      <c r="X842" s="138">
        <f>IF(X837&lt;X841,X839,X840)</f>
        <v>8.9979119510609742</v>
      </c>
      <c r="Y842" s="133"/>
      <c r="Z842" s="155"/>
      <c r="AA842" s="138">
        <f>IF(AA837&lt;AA841,AA839,AA840)</f>
        <v>18.714861287485327</v>
      </c>
      <c r="AB842" s="133"/>
      <c r="AC842" s="155"/>
      <c r="AD842" s="138">
        <f>IF(AD837&lt;AD841,AD839,AD840)</f>
        <v>36.428950661675003</v>
      </c>
      <c r="AE842" s="133"/>
      <c r="AF842" s="155"/>
      <c r="AG842" s="138">
        <f>IF(AG837&lt;AG841,AG839,AG840)</f>
        <v>73.996082978331927</v>
      </c>
      <c r="AH842" s="133"/>
      <c r="AI842" s="155"/>
      <c r="AJ842" s="138" t="e">
        <f>IF(AJ837&lt;AJ841,AJ839,AJ840)</f>
        <v>#NUM!</v>
      </c>
      <c r="AK842" s="133"/>
      <c r="AL842" s="155"/>
      <c r="AM842" s="138" t="e">
        <f>IF(AM837&lt;AM841,AM839,AM840)</f>
        <v>#NUM!</v>
      </c>
      <c r="AN842" s="133"/>
      <c r="AO842" s="155"/>
      <c r="AP842" s="138" t="e">
        <f>IF(AP837&lt;AP841,AP839,AP840)</f>
        <v>#NUM!</v>
      </c>
      <c r="AQ842" s="133"/>
      <c r="AR842" s="155"/>
      <c r="AS842" s="138">
        <f>IF(AS837&lt;AS841,AS839,AS840)</f>
        <v>1215.5779145237548</v>
      </c>
      <c r="AT842" s="133"/>
      <c r="AU842" s="155"/>
    </row>
    <row r="843" spans="13:47" ht="13" x14ac:dyDescent="0.3">
      <c r="M843" s="28"/>
      <c r="N843" s="28"/>
      <c r="O843" s="9" t="s">
        <v>194</v>
      </c>
      <c r="P843" s="1"/>
      <c r="Q843" s="1"/>
      <c r="R843" s="135"/>
      <c r="S843" s="132">
        <f>IF(R836&lt;=0,W_max,ABS(R$23-R842))</f>
        <v>1.8469277769619721</v>
      </c>
      <c r="T843" s="151">
        <f>R831</f>
        <v>35.400979380841449</v>
      </c>
      <c r="U843" s="135"/>
      <c r="V843" s="132">
        <f>IF(U836&lt;=0,W_max,ABS(U$23-U842))</f>
        <v>1.4453568778517658</v>
      </c>
      <c r="W843" s="151">
        <f>U831</f>
        <v>819.13580896367478</v>
      </c>
      <c r="X843" s="135"/>
      <c r="Y843" s="132">
        <f>IF(X836&lt;=0,W_max,ABS(X$23-X842))</f>
        <v>1.0020880489390258</v>
      </c>
      <c r="Z843" s="151">
        <f>X831</f>
        <v>2025.8203338711028</v>
      </c>
      <c r="AA843" s="135"/>
      <c r="AB843" s="132">
        <f>IF(AA836&lt;=0,W_max,ABS(AA$23-AA842))</f>
        <v>1.5148612874853278</v>
      </c>
      <c r="AC843" s="151">
        <f>AA831</f>
        <v>3945.7809290324267</v>
      </c>
      <c r="AD843" s="135"/>
      <c r="AE843" s="132">
        <f>IF(AD836&lt;=0,W_max,ABS(AD$23-AD842))</f>
        <v>9.8289506616750018</v>
      </c>
      <c r="AF843" s="151">
        <f>AD831</f>
        <v>6489.3568779114476</v>
      </c>
      <c r="AG843" s="135"/>
      <c r="AH843" s="132">
        <f>IF(AG836&lt;=0,W_max,ABS(AG$23-AG842))</f>
        <v>35.596082978331928</v>
      </c>
      <c r="AI843" s="151">
        <f>AG831</f>
        <v>9101.8226119998217</v>
      </c>
      <c r="AJ843" s="135"/>
      <c r="AK843" s="132">
        <f>IF(AJ836&lt;=0,W_max,ABS(AJ$23-AJ842))</f>
        <v>7174</v>
      </c>
      <c r="AL843" s="151">
        <f>AJ831</f>
        <v>11556.899535247429</v>
      </c>
      <c r="AM843" s="135"/>
      <c r="AN843" s="132">
        <f>IF(AM836&lt;=0,W_max,ABS(AM$23-AM842))</f>
        <v>7174</v>
      </c>
      <c r="AO843" s="151">
        <f>AM831</f>
        <v>13551.373596559752</v>
      </c>
      <c r="AP843" s="135"/>
      <c r="AQ843" s="132">
        <f>IF(AP836&lt;=0,W_max,ABS(AP$23-AP842))</f>
        <v>7174</v>
      </c>
      <c r="AR843" s="151">
        <f>AP831</f>
        <v>15118.838575517842</v>
      </c>
      <c r="AS843" s="135"/>
      <c r="AT843" s="132">
        <f>IF(AS836&lt;=0,W_max,ABS(AS$23-AS842))</f>
        <v>7174</v>
      </c>
      <c r="AU843" s="151">
        <f>AS831</f>
        <v>16867.609637047804</v>
      </c>
    </row>
    <row r="844" spans="13:47" ht="13" x14ac:dyDescent="0.25">
      <c r="M844" s="12"/>
      <c r="N844" s="12"/>
      <c r="O844" s="12"/>
      <c r="P844" s="12"/>
      <c r="Q844" s="12"/>
      <c r="R844" s="182"/>
      <c r="S844" s="22"/>
      <c r="T844" s="152"/>
      <c r="U844" s="157"/>
      <c r="V844" s="1"/>
      <c r="W844" s="147"/>
      <c r="X844" s="157"/>
      <c r="Y844" s="1"/>
      <c r="Z844" s="147"/>
      <c r="AA844" s="157"/>
      <c r="AB844" s="1"/>
      <c r="AC844" s="147"/>
      <c r="AD844" s="157"/>
      <c r="AE844" s="1"/>
      <c r="AF844" s="147"/>
      <c r="AG844" s="157"/>
      <c r="AH844" s="1"/>
      <c r="AI844" s="147"/>
      <c r="AJ844" s="157"/>
      <c r="AK844" s="1"/>
      <c r="AL844" s="147"/>
      <c r="AM844" s="157"/>
      <c r="AN844" s="1"/>
      <c r="AO844" s="147"/>
      <c r="AP844" s="157"/>
      <c r="AQ844" s="1"/>
      <c r="AR844" s="147"/>
      <c r="AS844" s="157"/>
      <c r="AT844" s="1"/>
      <c r="AU844" s="147"/>
    </row>
    <row r="845" spans="13:47" ht="14" x14ac:dyDescent="0.3">
      <c r="M845" s="23"/>
      <c r="N845" s="23"/>
      <c r="O845" s="23" t="s">
        <v>238</v>
      </c>
      <c r="P845" s="20"/>
      <c r="Q845" s="20"/>
      <c r="R845" s="18">
        <f>R831*1.02</f>
        <v>36.10899896845828</v>
      </c>
      <c r="S845" s="128" t="s">
        <v>185</v>
      </c>
      <c r="T845" s="153" t="s">
        <v>186</v>
      </c>
      <c r="U845" s="143">
        <f>U831*1.01</f>
        <v>827.32716705331154</v>
      </c>
      <c r="V845" s="128" t="s">
        <v>185</v>
      </c>
      <c r="W845" s="153" t="s">
        <v>186</v>
      </c>
      <c r="X845" s="143">
        <f>X831*1.01</f>
        <v>2046.0785372098139</v>
      </c>
      <c r="Y845" s="128" t="s">
        <v>185</v>
      </c>
      <c r="Z845" s="153" t="s">
        <v>186</v>
      </c>
      <c r="AA845" s="143">
        <f>AA831*1.01</f>
        <v>3985.238738322751</v>
      </c>
      <c r="AB845" s="128" t="s">
        <v>185</v>
      </c>
      <c r="AC845" s="153" t="s">
        <v>186</v>
      </c>
      <c r="AD845" s="143">
        <f>AD831*1.01</f>
        <v>6554.2504466905621</v>
      </c>
      <c r="AE845" s="128" t="s">
        <v>185</v>
      </c>
      <c r="AF845" s="153" t="s">
        <v>186</v>
      </c>
      <c r="AG845" s="143">
        <f>AG831*1.01</f>
        <v>9192.8408381198205</v>
      </c>
      <c r="AH845" s="128" t="s">
        <v>185</v>
      </c>
      <c r="AI845" s="153" t="s">
        <v>186</v>
      </c>
      <c r="AJ845" s="143">
        <f>AJ831*1.01</f>
        <v>11672.468530599903</v>
      </c>
      <c r="AK845" s="128" t="s">
        <v>185</v>
      </c>
      <c r="AL845" s="153" t="s">
        <v>186</v>
      </c>
      <c r="AM845" s="143">
        <f>AM831*1.01</f>
        <v>13686.88733252535</v>
      </c>
      <c r="AN845" s="128" t="s">
        <v>185</v>
      </c>
      <c r="AO845" s="153" t="s">
        <v>186</v>
      </c>
      <c r="AP845" s="143">
        <f>AP831*1.01</f>
        <v>15270.026961273021</v>
      </c>
      <c r="AQ845" s="128" t="s">
        <v>185</v>
      </c>
      <c r="AR845" s="153" t="s">
        <v>186</v>
      </c>
      <c r="AS845" s="143">
        <f>AS831*1.01</f>
        <v>17036.285733418281</v>
      </c>
      <c r="AT845" s="128" t="s">
        <v>185</v>
      </c>
      <c r="AU845" s="153" t="s">
        <v>186</v>
      </c>
    </row>
    <row r="846" spans="13:47" ht="14" x14ac:dyDescent="0.3">
      <c r="M846" s="12"/>
      <c r="N846" s="12"/>
      <c r="O846" s="20"/>
      <c r="P846" s="20"/>
      <c r="Q846" s="23"/>
      <c r="R846" s="139"/>
      <c r="S846" s="130" t="s">
        <v>228</v>
      </c>
      <c r="T846" s="154" t="s">
        <v>187</v>
      </c>
      <c r="U846" s="144"/>
      <c r="V846" s="130" t="s">
        <v>228</v>
      </c>
      <c r="W846" s="154" t="s">
        <v>187</v>
      </c>
      <c r="X846" s="144"/>
      <c r="Y846" s="130" t="s">
        <v>228</v>
      </c>
      <c r="Z846" s="154" t="s">
        <v>187</v>
      </c>
      <c r="AA846" s="144"/>
      <c r="AB846" s="130" t="s">
        <v>228</v>
      </c>
      <c r="AC846" s="154" t="s">
        <v>187</v>
      </c>
      <c r="AD846" s="144"/>
      <c r="AE846" s="130" t="s">
        <v>228</v>
      </c>
      <c r="AF846" s="154" t="s">
        <v>187</v>
      </c>
      <c r="AG846" s="144"/>
      <c r="AH846" s="130" t="s">
        <v>228</v>
      </c>
      <c r="AI846" s="154" t="s">
        <v>187</v>
      </c>
      <c r="AJ846" s="144"/>
      <c r="AK846" s="130" t="s">
        <v>228</v>
      </c>
      <c r="AL846" s="154" t="s">
        <v>187</v>
      </c>
      <c r="AM846" s="144"/>
      <c r="AN846" s="130" t="s">
        <v>228</v>
      </c>
      <c r="AO846" s="154" t="s">
        <v>187</v>
      </c>
      <c r="AP846" s="144"/>
      <c r="AQ846" s="130" t="s">
        <v>228</v>
      </c>
      <c r="AR846" s="154" t="s">
        <v>187</v>
      </c>
      <c r="AS846" s="144"/>
      <c r="AT846" s="130" t="s">
        <v>228</v>
      </c>
      <c r="AU846" s="154" t="s">
        <v>187</v>
      </c>
    </row>
    <row r="847" spans="13:47" x14ac:dyDescent="0.25">
      <c r="M847" s="20"/>
      <c r="N847" s="20"/>
      <c r="O847" s="7" t="s">
        <v>188</v>
      </c>
      <c r="P847" s="7"/>
      <c r="Q847" s="7"/>
      <c r="R847" s="181">
        <f>P_1_minW-(R845^2*R_up)+dpup_minQ</f>
        <v>100.52226680719572</v>
      </c>
      <c r="S847" s="132"/>
      <c r="T847" s="145"/>
      <c r="U847" s="138">
        <f>P_1_minW-(U845^2*R_up)+dpup_minQ</f>
        <v>100.24984612624331</v>
      </c>
      <c r="V847" s="132"/>
      <c r="W847" s="145"/>
      <c r="X847" s="138">
        <f>P_1_minW-(X845^2*R_up)+dpup_minQ</f>
        <v>98.853395278420336</v>
      </c>
      <c r="Y847" s="132"/>
      <c r="Z847" s="145"/>
      <c r="AA847" s="138">
        <f>P_1_minW-(AA845^2*R_up)+dpup_minQ</f>
        <v>94.189600286746327</v>
      </c>
      <c r="AB847" s="132"/>
      <c r="AC847" s="145"/>
      <c r="AD847" s="138">
        <f>P_1_minW-(AD845^2*R_up)+dpup_minQ</f>
        <v>83.392696442514691</v>
      </c>
      <c r="AE847" s="132"/>
      <c r="AF847" s="145"/>
      <c r="AG847" s="138">
        <f>P_1_minW-(AG845^2*R_up)+dpup_minQ</f>
        <v>66.824092785418017</v>
      </c>
      <c r="AH847" s="132"/>
      <c r="AI847" s="145"/>
      <c r="AJ847" s="138">
        <f>P_1_minW-(AJ845^2*R_up)+dpup_minQ</f>
        <v>46.192873564586471</v>
      </c>
      <c r="AK847" s="132"/>
      <c r="AL847" s="145"/>
      <c r="AM847" s="138">
        <f>P_1_minW-(AM845^2*R_up)+dpup_minQ</f>
        <v>25.822379055288593</v>
      </c>
      <c r="AN847" s="132"/>
      <c r="AO847" s="145"/>
      <c r="AP847" s="138">
        <f>P_1_minW-(AP845^2*R_up)+dpup_minQ</f>
        <v>7.542004565781169</v>
      </c>
      <c r="AQ847" s="132"/>
      <c r="AR847" s="145"/>
      <c r="AS847" s="138">
        <f>P_1_minW-(AS845^2*R_up)+dpup_minQ</f>
        <v>-15.211867483494899</v>
      </c>
      <c r="AT847" s="132"/>
      <c r="AU847" s="145"/>
    </row>
    <row r="848" spans="13:47" x14ac:dyDescent="0.25">
      <c r="M848" s="20"/>
      <c r="N848" s="20"/>
      <c r="O848" s="7" t="s">
        <v>189</v>
      </c>
      <c r="P848" s="1"/>
      <c r="Q848" s="7"/>
      <c r="R848" s="181">
        <f>P_2_minW+(R845^2*R_dn)-dpdn_minQ</f>
        <v>50</v>
      </c>
      <c r="S848" s="132"/>
      <c r="T848" s="146"/>
      <c r="U848" s="138">
        <f>P_2_minW+(U845^2*R_dn)-dpdn_minQ</f>
        <v>50</v>
      </c>
      <c r="V848" s="132"/>
      <c r="W848" s="146"/>
      <c r="X848" s="138">
        <f>P_2_minW+(X845^2*R_dn)-dpdn_minQ</f>
        <v>50</v>
      </c>
      <c r="Y848" s="132"/>
      <c r="Z848" s="146"/>
      <c r="AA848" s="138">
        <f>P_2_minW+(AA845^2*R_dn)-dpdn_minQ</f>
        <v>50</v>
      </c>
      <c r="AB848" s="132"/>
      <c r="AC848" s="146"/>
      <c r="AD848" s="138">
        <f>P_2_minW+(AD845^2*R_dn)-dpdn_minQ</f>
        <v>50</v>
      </c>
      <c r="AE848" s="132"/>
      <c r="AF848" s="146"/>
      <c r="AG848" s="138">
        <f>P_2_minW+(AG845^2*R_dn)-dpdn_minQ</f>
        <v>50</v>
      </c>
      <c r="AH848" s="132"/>
      <c r="AI848" s="146"/>
      <c r="AJ848" s="138">
        <f>P_2_minW+(AJ845^2*R_dn)-dpdn_minQ</f>
        <v>50</v>
      </c>
      <c r="AK848" s="132"/>
      <c r="AL848" s="146"/>
      <c r="AM848" s="138">
        <f>P_2_minW+(AM845^2*R_dn)-dpdn_minQ</f>
        <v>50</v>
      </c>
      <c r="AN848" s="132"/>
      <c r="AO848" s="146"/>
      <c r="AP848" s="138">
        <f>P_2_minW+(AP845^2*R_dn)-dpdn_minQ</f>
        <v>50</v>
      </c>
      <c r="AQ848" s="132"/>
      <c r="AR848" s="146"/>
      <c r="AS848" s="138">
        <f>P_2_minW+(AS845^2*R_dn)-dpdn_minQ</f>
        <v>50</v>
      </c>
      <c r="AT848" s="132"/>
      <c r="AU848" s="146"/>
    </row>
    <row r="849" spans="13:47" x14ac:dyDescent="0.25">
      <c r="M849" s="20"/>
      <c r="N849" s="20"/>
      <c r="O849" s="7" t="s">
        <v>234</v>
      </c>
      <c r="P849" s="1"/>
      <c r="Q849" s="7"/>
      <c r="R849" s="179">
        <f>'Valve Sizing'!G$8*R847/P_1_maxW</f>
        <v>0.48490151819140115</v>
      </c>
      <c r="S849" s="132"/>
      <c r="T849" s="146"/>
      <c r="U849" s="143">
        <f>'Valve Sizing'!$G$8*U847/P_1_maxW</f>
        <v>0.4835874093279996</v>
      </c>
      <c r="V849" s="132"/>
      <c r="W849" s="146"/>
      <c r="X849" s="143">
        <f>'Valve Sizing'!$G$8*X847/P_1_maxW</f>
        <v>0.47685117906085084</v>
      </c>
      <c r="Y849" s="132"/>
      <c r="Z849" s="146"/>
      <c r="AA849" s="143">
        <f>'Valve Sizing'!$G$8*AA847/P_1_maxW</f>
        <v>0.45435386235853492</v>
      </c>
      <c r="AB849" s="132"/>
      <c r="AC849" s="146"/>
      <c r="AD849" s="143">
        <f>'Valve Sizing'!$G$8*AD847/P_1_maxW</f>
        <v>0.40227152048420978</v>
      </c>
      <c r="AE849" s="132"/>
      <c r="AF849" s="146"/>
      <c r="AG849" s="143">
        <f>'Valve Sizing'!$G$8*AG847/P_1_maxW</f>
        <v>0.32234752630043884</v>
      </c>
      <c r="AH849" s="132"/>
      <c r="AI849" s="146"/>
      <c r="AJ849" s="143">
        <f>'Valve Sizing'!$G$8*AJ847/P_1_maxW</f>
        <v>0.22282619794133041</v>
      </c>
      <c r="AK849" s="132"/>
      <c r="AL849" s="146"/>
      <c r="AM849" s="143">
        <f>'Valve Sizing'!$G$8*AM847/P_1_maxW</f>
        <v>0.12456255917148658</v>
      </c>
      <c r="AN849" s="132"/>
      <c r="AO849" s="146"/>
      <c r="AP849" s="143">
        <f>'Valve Sizing'!$G$8*AP847/P_1_maxW</f>
        <v>3.6381287254178579E-2</v>
      </c>
      <c r="AQ849" s="132"/>
      <c r="AR849" s="146"/>
      <c r="AS849" s="143">
        <f>'Valve Sizing'!$G$8*AS847/P_1_maxW</f>
        <v>-7.3379340434303345E-2</v>
      </c>
      <c r="AT849" s="132"/>
      <c r="AU849" s="146"/>
    </row>
    <row r="850" spans="13:47" x14ac:dyDescent="0.25">
      <c r="M850" s="20"/>
      <c r="N850" s="20"/>
      <c r="O850" s="7" t="s">
        <v>190</v>
      </c>
      <c r="P850" s="1"/>
      <c r="Q850" s="7"/>
      <c r="R850" s="181">
        <f>R847-R848</f>
        <v>50.52226680719572</v>
      </c>
      <c r="S850" s="132"/>
      <c r="T850" s="146"/>
      <c r="U850" s="138">
        <f>U847-U848</f>
        <v>50.249846126243312</v>
      </c>
      <c r="V850" s="132"/>
      <c r="W850" s="146"/>
      <c r="X850" s="138">
        <f>X847-X848</f>
        <v>48.853395278420336</v>
      </c>
      <c r="Y850" s="132"/>
      <c r="Z850" s="146"/>
      <c r="AA850" s="138">
        <f>AA847-AA848</f>
        <v>44.189600286746327</v>
      </c>
      <c r="AB850" s="132"/>
      <c r="AC850" s="146"/>
      <c r="AD850" s="138">
        <f>AD847-AD848</f>
        <v>33.392696442514691</v>
      </c>
      <c r="AE850" s="132"/>
      <c r="AF850" s="146"/>
      <c r="AG850" s="138">
        <f>AG847-AG848</f>
        <v>16.824092785418017</v>
      </c>
      <c r="AH850" s="132"/>
      <c r="AI850" s="146"/>
      <c r="AJ850" s="138">
        <f>AJ847-AJ848</f>
        <v>-3.8071264354135295</v>
      </c>
      <c r="AK850" s="132"/>
      <c r="AL850" s="146"/>
      <c r="AM850" s="138">
        <f>AM847-AM848</f>
        <v>-24.177620944711407</v>
      </c>
      <c r="AN850" s="132"/>
      <c r="AO850" s="146"/>
      <c r="AP850" s="138">
        <f>AP847-AP848</f>
        <v>-42.45799543421883</v>
      </c>
      <c r="AQ850" s="132"/>
      <c r="AR850" s="146"/>
      <c r="AS850" s="138">
        <f>AS847-AS848</f>
        <v>-65.211867483494899</v>
      </c>
      <c r="AT850" s="132"/>
      <c r="AU850" s="146"/>
    </row>
    <row r="851" spans="13:47" ht="14.5" x14ac:dyDescent="0.35">
      <c r="M851" s="27"/>
      <c r="N851" s="27"/>
      <c r="O851" s="2" t="s">
        <v>191</v>
      </c>
      <c r="P851" s="10"/>
      <c r="Q851" s="2"/>
      <c r="R851" s="181">
        <f>R850/R847</f>
        <v>0.50259776676244994</v>
      </c>
      <c r="S851" s="132"/>
      <c r="T851" s="146"/>
      <c r="U851" s="138">
        <f>U850/U847</f>
        <v>0.50124611725552515</v>
      </c>
      <c r="V851" s="132"/>
      <c r="W851" s="146"/>
      <c r="X851" s="138">
        <f>X850/X847</f>
        <v>0.49420047880828849</v>
      </c>
      <c r="Y851" s="132"/>
      <c r="Z851" s="146"/>
      <c r="AA851" s="138">
        <f>AA850/AA847</f>
        <v>0.4691558319837606</v>
      </c>
      <c r="AB851" s="132"/>
      <c r="AC851" s="146"/>
      <c r="AD851" s="138">
        <f>AD850/AD847</f>
        <v>0.40042711013108162</v>
      </c>
      <c r="AE851" s="132"/>
      <c r="AF851" s="146"/>
      <c r="AG851" s="138">
        <f>AG850/AG847</f>
        <v>0.2517668715599724</v>
      </c>
      <c r="AH851" s="132"/>
      <c r="AI851" s="146"/>
      <c r="AJ851" s="138">
        <f>AJ850/AJ847</f>
        <v>-8.2418047236018754E-2</v>
      </c>
      <c r="AK851" s="132"/>
      <c r="AL851" s="146"/>
      <c r="AM851" s="138">
        <f>AM850/AM847</f>
        <v>-0.93630493506986423</v>
      </c>
      <c r="AN851" s="132"/>
      <c r="AO851" s="146"/>
      <c r="AP851" s="138">
        <f>AP850/AP847</f>
        <v>-5.6295372223526634</v>
      </c>
      <c r="AQ851" s="132"/>
      <c r="AR851" s="146"/>
      <c r="AS851" s="138">
        <f>AS850/AS847</f>
        <v>4.286907413192413</v>
      </c>
      <c r="AT851" s="132"/>
      <c r="AU851" s="146"/>
    </row>
    <row r="852" spans="13:47" x14ac:dyDescent="0.25">
      <c r="M852" s="27"/>
      <c r="N852" s="27"/>
      <c r="O852" s="2" t="s">
        <v>26</v>
      </c>
      <c r="P852" s="7">
        <v>12</v>
      </c>
      <c r="Q852" s="2"/>
      <c r="R852" s="181">
        <f>1-R851/(3*F_GAMMA*R$29)</f>
        <v>0.73824132373764295</v>
      </c>
      <c r="S852" s="133"/>
      <c r="T852" s="146"/>
      <c r="U852" s="138">
        <f>1-U851/(3*F_GAMMA*U$29)</f>
        <v>0.73900275603847709</v>
      </c>
      <c r="V852" s="133"/>
      <c r="W852" s="146"/>
      <c r="X852" s="138">
        <f>1-X851/(3*F_GAMMA*X$29)</f>
        <v>0.73881105878006381</v>
      </c>
      <c r="Y852" s="133"/>
      <c r="Z852" s="146"/>
      <c r="AA852" s="138">
        <f>1-AA851/(3*F_GAMMA*AA$29)</f>
        <v>0.7486475809370815</v>
      </c>
      <c r="AB852" s="133"/>
      <c r="AC852" s="146"/>
      <c r="AD852" s="138">
        <f>1-AD851/(3*F_GAMMA*AD$29)</f>
        <v>0.77958733807551794</v>
      </c>
      <c r="AE852" s="133"/>
      <c r="AF852" s="146"/>
      <c r="AG852" s="138">
        <f>1-AG851/(3*F_GAMMA*AG$29)</f>
        <v>0.85351143628489545</v>
      </c>
      <c r="AH852" s="133"/>
      <c r="AI852" s="146"/>
      <c r="AJ852" s="138">
        <f>1-AJ851/(3*F_GAMMA*AJ$29)</f>
        <v>1.0512637852250675</v>
      </c>
      <c r="AK852" s="133"/>
      <c r="AL852" s="146"/>
      <c r="AM852" s="138">
        <f>1-AM851/(3*F_GAMMA*AM$29)</f>
        <v>1.6363082148379389</v>
      </c>
      <c r="AN852" s="133"/>
      <c r="AO852" s="146"/>
      <c r="AP852" s="138">
        <f>1-AP851/(3*F_GAMMA*AP$29)</f>
        <v>4.1616145281202712</v>
      </c>
      <c r="AQ852" s="133"/>
      <c r="AR852" s="146"/>
      <c r="AS852" s="138">
        <f>1-AS851/(3*F_GAMMA*AS$29)</f>
        <v>-2.6549122809621162</v>
      </c>
      <c r="AT852" s="133"/>
      <c r="AU852" s="146"/>
    </row>
    <row r="853" spans="13:47" x14ac:dyDescent="0.25">
      <c r="M853" s="27"/>
      <c r="N853" s="27"/>
      <c r="O853" s="2" t="s">
        <v>71</v>
      </c>
      <c r="P853" s="85">
        <v>5</v>
      </c>
      <c r="Q853" s="2"/>
      <c r="R853" s="179">
        <f>R845/((N_6*R$27*R852)*SQRT(R851*R847*R849))</f>
        <v>0.15613370337096397</v>
      </c>
      <c r="S853" s="133"/>
      <c r="T853" s="146"/>
      <c r="U853" s="143">
        <f>U845/((N_6*U$27*U852)*SQRT(U851*U847*U849))</f>
        <v>3.5904102876064483</v>
      </c>
      <c r="V853" s="133"/>
      <c r="W853" s="146"/>
      <c r="X853" s="143">
        <f>X845/((N_6*X$27*X852)*SQRT(X851*X847*X849))</f>
        <v>9.0913680956775735</v>
      </c>
      <c r="Y853" s="133"/>
      <c r="Z853" s="146"/>
      <c r="AA853" s="143">
        <f>AA845/((N_6*AA$27*AA852)*SQRT(AA851*AA847*AA849))</f>
        <v>18.931694481990135</v>
      </c>
      <c r="AB853" s="133"/>
      <c r="AC853" s="146"/>
      <c r="AD853" s="143">
        <f>AD845/((N_6*AD$27*AD852)*SQRT(AD851*AD847*AD849))</f>
        <v>36.990249943675806</v>
      </c>
      <c r="AE853" s="133"/>
      <c r="AF853" s="146"/>
      <c r="AG853" s="143">
        <f>AG845/((N_6*AG$27*AG852)*SQRT(AG851*AG847*AG849))</f>
        <v>76.189920160787239</v>
      </c>
      <c r="AH853" s="133"/>
      <c r="AI853" s="146"/>
      <c r="AJ853" s="143" t="e">
        <f>AJ845/((N_6*AJ$27*AJ852)*SQRT(AJ851*AJ847*AJ849))</f>
        <v>#NUM!</v>
      </c>
      <c r="AK853" s="133"/>
      <c r="AL853" s="146"/>
      <c r="AM853" s="143" t="e">
        <f>AM845/((N_6*AM$27*AM852)*SQRT(AM851*AM847*AM849))</f>
        <v>#NUM!</v>
      </c>
      <c r="AN853" s="133"/>
      <c r="AO853" s="146"/>
      <c r="AP853" s="143" t="e">
        <f>AP845/((N_6*AP$27*AP852)*SQRT(AP851*AP847*AP849))</f>
        <v>#NUM!</v>
      </c>
      <c r="AQ853" s="133"/>
      <c r="AR853" s="146"/>
      <c r="AS853" s="143">
        <f>AS845/((N_6*AS$27*AS852)*SQRT(AS851*AS847*AS849))</f>
        <v>-79.185379035620073</v>
      </c>
      <c r="AT853" s="133"/>
      <c r="AU853" s="146"/>
    </row>
    <row r="854" spans="13:47" x14ac:dyDescent="0.25">
      <c r="M854" s="27"/>
      <c r="N854" s="27"/>
      <c r="O854" s="2" t="s">
        <v>73</v>
      </c>
      <c r="P854" s="85">
        <v>5</v>
      </c>
      <c r="Q854" s="2"/>
      <c r="R854" s="179">
        <f>R845/((N_6*R$27*0.667)*SQRT(R855*R847*R849))</f>
        <v>0.15313707544539518</v>
      </c>
      <c r="S854" s="133"/>
      <c r="T854" s="155"/>
      <c r="U854" s="143">
        <f>U845/((N_6*U$27*0.667)*SQRT(U855*U847*U849))</f>
        <v>3.5200018506486255</v>
      </c>
      <c r="V854" s="133"/>
      <c r="W854" s="155"/>
      <c r="X854" s="143">
        <f>X845/((N_6*X$27*0.667)*SQRT(X855*X847*X849))</f>
        <v>8.9140448615883123</v>
      </c>
      <c r="Y854" s="133"/>
      <c r="Z854" s="155"/>
      <c r="AA854" s="143">
        <f>AA845/((N_6*AA$27*0.667)*SQRT(AA855*AA847*AA849))</f>
        <v>18.451991291137706</v>
      </c>
      <c r="AB854" s="133"/>
      <c r="AC854" s="155"/>
      <c r="AD854" s="143">
        <f>AD845/((N_6*AD$27*0.667)*SQRT(AD855*AD847*AD849))</f>
        <v>35.156457373097275</v>
      </c>
      <c r="AE854" s="133"/>
      <c r="AF854" s="155"/>
      <c r="AG854" s="143">
        <f>AG845/((N_6*AG$27*0.667)*SQRT(AG855*AG847*AG849))</f>
        <v>64.631393094027288</v>
      </c>
      <c r="AH854" s="133"/>
      <c r="AI854" s="155"/>
      <c r="AJ854" s="143">
        <f>AJ845/((N_6*AJ$27*0.667)*SQRT(AJ855*AJ847*AJ849))</f>
        <v>126.95966320091213</v>
      </c>
      <c r="AK854" s="133"/>
      <c r="AL854" s="155"/>
      <c r="AM854" s="143">
        <f>AM845/((N_6*AM$27*0.667)*SQRT(AM855*AM847*AM849))</f>
        <v>295.46200958480762</v>
      </c>
      <c r="AN854" s="133"/>
      <c r="AO854" s="155"/>
      <c r="AP854" s="143">
        <f>AP845/((N_6*AP$27*0.667)*SQRT(AP855*AP847*AP849))</f>
        <v>1165.4491936631784</v>
      </c>
      <c r="AQ854" s="133"/>
      <c r="AR854" s="155"/>
      <c r="AS854" s="143">
        <f>AS845/((N_6*AS$27*0.667)*SQRT(AS855*AS847*AS849))</f>
        <v>1043.6826139476482</v>
      </c>
      <c r="AT854" s="133"/>
      <c r="AU854" s="155"/>
    </row>
    <row r="855" spans="13:47" ht="15.5" x14ac:dyDescent="0.4">
      <c r="M855" s="27"/>
      <c r="N855" s="27"/>
      <c r="O855" s="2" t="s">
        <v>192</v>
      </c>
      <c r="P855" s="85">
        <v>10</v>
      </c>
      <c r="Q855" s="2"/>
      <c r="R855" s="181">
        <f>F_GAMMA*R$29</f>
        <v>0.64002688015162901</v>
      </c>
      <c r="S855" s="133"/>
      <c r="T855" s="155"/>
      <c r="U855" s="138">
        <f>F_GAMMA*U$29</f>
        <v>0.64016782916606918</v>
      </c>
      <c r="V855" s="133"/>
      <c r="W855" s="155"/>
      <c r="X855" s="138">
        <f>F_GAMMA*X$29</f>
        <v>0.6307062319203669</v>
      </c>
      <c r="Y855" s="133"/>
      <c r="Z855" s="155"/>
      <c r="AA855" s="138">
        <f>F_GAMMA*AA$29</f>
        <v>0.62217534213893466</v>
      </c>
      <c r="AB855" s="133"/>
      <c r="AC855" s="155"/>
      <c r="AD855" s="138">
        <f>F_GAMMA*AD$29</f>
        <v>0.60557184969146072</v>
      </c>
      <c r="AE855" s="133"/>
      <c r="AF855" s="155"/>
      <c r="AG855" s="138">
        <f>F_GAMMA*AG$29</f>
        <v>0.57289312142622573</v>
      </c>
      <c r="AH855" s="133"/>
      <c r="AI855" s="155"/>
      <c r="AJ855" s="138">
        <f>F_GAMMA*AJ$29</f>
        <v>0.53590819116049981</v>
      </c>
      <c r="AK855" s="133"/>
      <c r="AL855" s="155"/>
      <c r="AM855" s="138">
        <f>F_GAMMA*AM$29</f>
        <v>0.49048815926850342</v>
      </c>
      <c r="AN855" s="133"/>
      <c r="AO855" s="155"/>
      <c r="AP855" s="138">
        <f>F_GAMMA*AP$29</f>
        <v>0.59352979016280105</v>
      </c>
      <c r="AQ855" s="133"/>
      <c r="AR855" s="155"/>
      <c r="AS855" s="138">
        <f>F_GAMMA*AS$29</f>
        <v>0.39097221161068291</v>
      </c>
      <c r="AT855" s="133"/>
      <c r="AU855" s="155"/>
    </row>
    <row r="856" spans="13:47" x14ac:dyDescent="0.25">
      <c r="M856" s="27"/>
      <c r="N856" s="27"/>
      <c r="O856" s="2" t="s">
        <v>193</v>
      </c>
      <c r="P856" s="134"/>
      <c r="Q856" s="2"/>
      <c r="R856" s="181">
        <f>IF(R851&lt;R855,R853,R854)</f>
        <v>0.15613370337096397</v>
      </c>
      <c r="S856" s="133"/>
      <c r="T856" s="155"/>
      <c r="U856" s="138">
        <f>IF(U851&lt;U855,U853,U854)</f>
        <v>3.5904102876064483</v>
      </c>
      <c r="V856" s="133"/>
      <c r="W856" s="155"/>
      <c r="X856" s="138">
        <f>IF(X851&lt;X855,X853,X854)</f>
        <v>9.0913680956775735</v>
      </c>
      <c r="Y856" s="133"/>
      <c r="Z856" s="155"/>
      <c r="AA856" s="138">
        <f>IF(AA851&lt;AA855,AA853,AA854)</f>
        <v>18.931694481990135</v>
      </c>
      <c r="AB856" s="133"/>
      <c r="AC856" s="155"/>
      <c r="AD856" s="138">
        <f>IF(AD851&lt;AD855,AD853,AD854)</f>
        <v>36.990249943675806</v>
      </c>
      <c r="AE856" s="133"/>
      <c r="AF856" s="155"/>
      <c r="AG856" s="138">
        <f>IF(AG851&lt;AG855,AG853,AG854)</f>
        <v>76.189920160787239</v>
      </c>
      <c r="AH856" s="133"/>
      <c r="AI856" s="155"/>
      <c r="AJ856" s="138" t="e">
        <f>IF(AJ851&lt;AJ855,AJ853,AJ854)</f>
        <v>#NUM!</v>
      </c>
      <c r="AK856" s="133"/>
      <c r="AL856" s="155"/>
      <c r="AM856" s="138" t="e">
        <f>IF(AM851&lt;AM855,AM853,AM854)</f>
        <v>#NUM!</v>
      </c>
      <c r="AN856" s="133"/>
      <c r="AO856" s="155"/>
      <c r="AP856" s="138" t="e">
        <f>IF(AP851&lt;AP855,AP853,AP854)</f>
        <v>#NUM!</v>
      </c>
      <c r="AQ856" s="133"/>
      <c r="AR856" s="155"/>
      <c r="AS856" s="138">
        <f>IF(AS851&lt;AS855,AS853,AS854)</f>
        <v>1043.6826139476482</v>
      </c>
      <c r="AT856" s="133"/>
      <c r="AU856" s="155"/>
    </row>
    <row r="857" spans="13:47" ht="13" x14ac:dyDescent="0.3">
      <c r="M857" s="28"/>
      <c r="N857" s="28"/>
      <c r="O857" s="9" t="s">
        <v>194</v>
      </c>
      <c r="P857" s="1"/>
      <c r="Q857" s="1"/>
      <c r="R857" s="135"/>
      <c r="S857" s="132">
        <f>IF(R850&lt;=0,W_max,ABS(R$23-R856))</f>
        <v>1.843866296629036</v>
      </c>
      <c r="T857" s="151">
        <f>R845</f>
        <v>36.10899896845828</v>
      </c>
      <c r="U857" s="135"/>
      <c r="V857" s="132">
        <f>IF(U850&lt;=0,W_max,ABS(U$23-U856))</f>
        <v>1.4095897123935517</v>
      </c>
      <c r="W857" s="151">
        <f>U845</f>
        <v>827.32716705331154</v>
      </c>
      <c r="X857" s="135"/>
      <c r="Y857" s="132">
        <f>IF(X850&lt;=0,W_max,ABS(X$23-X856))</f>
        <v>0.90863190432242646</v>
      </c>
      <c r="Z857" s="151">
        <f>X845</f>
        <v>2046.0785372098139</v>
      </c>
      <c r="AA857" s="135"/>
      <c r="AB857" s="132">
        <f>IF(AA850&lt;=0,W_max,ABS(AA$23-AA856))</f>
        <v>1.7316944819901359</v>
      </c>
      <c r="AC857" s="151">
        <f>AA845</f>
        <v>3985.238738322751</v>
      </c>
      <c r="AD857" s="135"/>
      <c r="AE857" s="132">
        <f>IF(AD850&lt;=0,W_max,ABS(AD$23-AD856))</f>
        <v>10.390249943675805</v>
      </c>
      <c r="AF857" s="151">
        <f>AD845</f>
        <v>6554.2504466905621</v>
      </c>
      <c r="AG857" s="135"/>
      <c r="AH857" s="132">
        <f>IF(AG850&lt;=0,W_max,ABS(AG$23-AG856))</f>
        <v>37.78992016078724</v>
      </c>
      <c r="AI857" s="151">
        <f>AG845</f>
        <v>9192.8408381198205</v>
      </c>
      <c r="AJ857" s="135"/>
      <c r="AK857" s="132">
        <f>IF(AJ850&lt;=0,W_max,ABS(AJ$23-AJ856))</f>
        <v>7174</v>
      </c>
      <c r="AL857" s="151">
        <f>AJ845</f>
        <v>11672.468530599903</v>
      </c>
      <c r="AM857" s="135"/>
      <c r="AN857" s="132">
        <f>IF(AM850&lt;=0,W_max,ABS(AM$23-AM856))</f>
        <v>7174</v>
      </c>
      <c r="AO857" s="151">
        <f>AM845</f>
        <v>13686.88733252535</v>
      </c>
      <c r="AP857" s="135"/>
      <c r="AQ857" s="132">
        <f>IF(AP850&lt;=0,W_max,ABS(AP$23-AP856))</f>
        <v>7174</v>
      </c>
      <c r="AR857" s="151">
        <f>AP845</f>
        <v>15270.026961273021</v>
      </c>
      <c r="AS857" s="135"/>
      <c r="AT857" s="132">
        <f>IF(AS850&lt;=0,W_max,ABS(AS$23-AS856))</f>
        <v>7174</v>
      </c>
      <c r="AU857" s="151">
        <f>AS845</f>
        <v>17036.285733418281</v>
      </c>
    </row>
    <row r="858" spans="13:47" ht="13" x14ac:dyDescent="0.25">
      <c r="M858" s="12"/>
      <c r="N858" s="12"/>
      <c r="O858" s="2"/>
      <c r="P858" s="85"/>
      <c r="Q858" s="2"/>
      <c r="R858" s="18"/>
      <c r="S858" s="150"/>
      <c r="T858" s="152"/>
      <c r="U858" s="157"/>
      <c r="V858" s="1"/>
      <c r="W858" s="147"/>
      <c r="X858" s="157"/>
      <c r="Y858" s="1"/>
      <c r="Z858" s="147"/>
      <c r="AA858" s="157"/>
      <c r="AB858" s="1"/>
      <c r="AC858" s="147"/>
      <c r="AD858" s="157"/>
      <c r="AE858" s="1"/>
      <c r="AF858" s="147"/>
      <c r="AG858" s="157"/>
      <c r="AH858" s="1"/>
      <c r="AI858" s="147"/>
      <c r="AJ858" s="157"/>
      <c r="AK858" s="1"/>
      <c r="AL858" s="147"/>
      <c r="AM858" s="157"/>
      <c r="AN858" s="1"/>
      <c r="AO858" s="147"/>
      <c r="AP858" s="157"/>
      <c r="AQ858" s="1"/>
      <c r="AR858" s="147"/>
      <c r="AS858" s="157"/>
      <c r="AT858" s="1"/>
      <c r="AU858" s="147"/>
    </row>
    <row r="859" spans="13:47" ht="14" x14ac:dyDescent="0.3">
      <c r="M859" s="23"/>
      <c r="N859" s="23"/>
      <c r="O859" s="23" t="s">
        <v>238</v>
      </c>
      <c r="P859" s="20"/>
      <c r="Q859" s="20"/>
      <c r="R859" s="181">
        <f>R845*1.02</f>
        <v>36.831178947827446</v>
      </c>
      <c r="S859" s="128" t="s">
        <v>185</v>
      </c>
      <c r="T859" s="153" t="s">
        <v>186</v>
      </c>
      <c r="U859" s="143">
        <f>U845*1.01</f>
        <v>835.60043872384472</v>
      </c>
      <c r="V859" s="128" t="s">
        <v>185</v>
      </c>
      <c r="W859" s="153" t="s">
        <v>186</v>
      </c>
      <c r="X859" s="143">
        <f>X845*1.01</f>
        <v>2066.5393225819121</v>
      </c>
      <c r="Y859" s="128" t="s">
        <v>185</v>
      </c>
      <c r="Z859" s="153" t="s">
        <v>186</v>
      </c>
      <c r="AA859" s="143">
        <f>AA845*1.01</f>
        <v>4025.0911257059784</v>
      </c>
      <c r="AB859" s="128" t="s">
        <v>185</v>
      </c>
      <c r="AC859" s="153" t="s">
        <v>186</v>
      </c>
      <c r="AD859" s="143">
        <f>AD845*1.01</f>
        <v>6619.7929511574675</v>
      </c>
      <c r="AE859" s="128" t="s">
        <v>185</v>
      </c>
      <c r="AF859" s="153" t="s">
        <v>186</v>
      </c>
      <c r="AG859" s="143">
        <f>AG845*1.01</f>
        <v>9284.7692465010186</v>
      </c>
      <c r="AH859" s="128" t="s">
        <v>185</v>
      </c>
      <c r="AI859" s="153" t="s">
        <v>186</v>
      </c>
      <c r="AJ859" s="143">
        <f>AJ845*1.01</f>
        <v>11789.193215905902</v>
      </c>
      <c r="AK859" s="128" t="s">
        <v>185</v>
      </c>
      <c r="AL859" s="153" t="s">
        <v>186</v>
      </c>
      <c r="AM859" s="143">
        <f>AM845*1.01</f>
        <v>13823.756205850603</v>
      </c>
      <c r="AN859" s="128" t="s">
        <v>185</v>
      </c>
      <c r="AO859" s="153" t="s">
        <v>186</v>
      </c>
      <c r="AP859" s="143">
        <f>AP845*1.01</f>
        <v>15422.727230885752</v>
      </c>
      <c r="AQ859" s="128" t="s">
        <v>185</v>
      </c>
      <c r="AR859" s="153" t="s">
        <v>186</v>
      </c>
      <c r="AS859" s="143">
        <f>AS845*1.01</f>
        <v>17206.648590752462</v>
      </c>
      <c r="AT859" s="128" t="s">
        <v>185</v>
      </c>
      <c r="AU859" s="153" t="s">
        <v>186</v>
      </c>
    </row>
    <row r="860" spans="13:47" ht="14" x14ac:dyDescent="0.3">
      <c r="M860" s="12"/>
      <c r="N860" s="12"/>
      <c r="O860" s="20"/>
      <c r="P860" s="20"/>
      <c r="Q860" s="23"/>
      <c r="R860" s="139"/>
      <c r="S860" s="130" t="s">
        <v>228</v>
      </c>
      <c r="T860" s="154" t="s">
        <v>187</v>
      </c>
      <c r="U860" s="144"/>
      <c r="V860" s="130" t="s">
        <v>228</v>
      </c>
      <c r="W860" s="154" t="s">
        <v>187</v>
      </c>
      <c r="X860" s="144"/>
      <c r="Y860" s="130" t="s">
        <v>228</v>
      </c>
      <c r="Z860" s="154" t="s">
        <v>187</v>
      </c>
      <c r="AA860" s="144"/>
      <c r="AB860" s="130" t="s">
        <v>228</v>
      </c>
      <c r="AC860" s="154" t="s">
        <v>187</v>
      </c>
      <c r="AD860" s="144"/>
      <c r="AE860" s="130" t="s">
        <v>228</v>
      </c>
      <c r="AF860" s="154" t="s">
        <v>187</v>
      </c>
      <c r="AG860" s="144"/>
      <c r="AH860" s="130" t="s">
        <v>228</v>
      </c>
      <c r="AI860" s="154" t="s">
        <v>187</v>
      </c>
      <c r="AJ860" s="144"/>
      <c r="AK860" s="130" t="s">
        <v>228</v>
      </c>
      <c r="AL860" s="154" t="s">
        <v>187</v>
      </c>
      <c r="AM860" s="144"/>
      <c r="AN860" s="130" t="s">
        <v>228</v>
      </c>
      <c r="AO860" s="154" t="s">
        <v>187</v>
      </c>
      <c r="AP860" s="144"/>
      <c r="AQ860" s="130" t="s">
        <v>228</v>
      </c>
      <c r="AR860" s="154" t="s">
        <v>187</v>
      </c>
      <c r="AS860" s="144"/>
      <c r="AT860" s="130" t="s">
        <v>228</v>
      </c>
      <c r="AU860" s="154" t="s">
        <v>187</v>
      </c>
    </row>
    <row r="861" spans="13:47" x14ac:dyDescent="0.25">
      <c r="M861" s="20"/>
      <c r="N861" s="20"/>
      <c r="O861" s="7" t="s">
        <v>188</v>
      </c>
      <c r="P861" s="7"/>
      <c r="Q861" s="7"/>
      <c r="R861" s="181">
        <f>P_1_minW-(R859^2*R_up)+dpup_minQ</f>
        <v>100.52224580204266</v>
      </c>
      <c r="S861" s="132"/>
      <c r="T861" s="145"/>
      <c r="U861" s="138">
        <f>P_1_minW-(U859^2*R_up)+dpup_minQ</f>
        <v>100.24436001997259</v>
      </c>
      <c r="V861" s="132"/>
      <c r="W861" s="145"/>
      <c r="X861" s="138">
        <f>P_1_minW-(X859^2*R_up)+dpup_minQ</f>
        <v>98.819840510108378</v>
      </c>
      <c r="Y861" s="132"/>
      <c r="Z861" s="145"/>
      <c r="AA861" s="138">
        <f>P_1_minW-(AA859^2*R_up)+dpup_minQ</f>
        <v>94.062303239101723</v>
      </c>
      <c r="AB861" s="132"/>
      <c r="AC861" s="145"/>
      <c r="AD861" s="138">
        <f>P_1_minW-(AD859^2*R_up)+dpup_minQ</f>
        <v>83.048381627601032</v>
      </c>
      <c r="AE861" s="132"/>
      <c r="AF861" s="145"/>
      <c r="AG861" s="138">
        <f>P_1_minW-(AG859^2*R_up)+dpup_minQ</f>
        <v>66.146749036996695</v>
      </c>
      <c r="AH861" s="132"/>
      <c r="AI861" s="145"/>
      <c r="AJ861" s="138">
        <f>P_1_minW-(AJ859^2*R_up)+dpup_minQ</f>
        <v>45.100842309826447</v>
      </c>
      <c r="AK861" s="132"/>
      <c r="AL861" s="145"/>
      <c r="AM861" s="138">
        <f>P_1_minW-(AM859^2*R_up)+dpup_minQ</f>
        <v>24.320900860891697</v>
      </c>
      <c r="AN861" s="132"/>
      <c r="AO861" s="145"/>
      <c r="AP861" s="138">
        <f>P_1_minW-(AP859^2*R_up)+dpup_minQ</f>
        <v>5.6730908441451495</v>
      </c>
      <c r="AQ861" s="132"/>
      <c r="AR861" s="145"/>
      <c r="AS861" s="138">
        <f>P_1_minW-(AS859^2*R_up)+dpup_minQ</f>
        <v>-17.538134033321342</v>
      </c>
      <c r="AT861" s="132"/>
      <c r="AU861" s="145"/>
    </row>
    <row r="862" spans="13:47" x14ac:dyDescent="0.25">
      <c r="M862" s="20"/>
      <c r="N862" s="20"/>
      <c r="O862" s="7" t="s">
        <v>189</v>
      </c>
      <c r="P862" s="1"/>
      <c r="Q862" s="7"/>
      <c r="R862" s="181">
        <f>P_2_minW+(R859^2*R_dn)-dpdn_minQ</f>
        <v>50</v>
      </c>
      <c r="S862" s="132"/>
      <c r="T862" s="146"/>
      <c r="U862" s="138">
        <f>P_2_minW+(U859^2*R_dn)-dpdn_minQ</f>
        <v>50</v>
      </c>
      <c r="V862" s="132"/>
      <c r="W862" s="146"/>
      <c r="X862" s="138">
        <f>P_2_minW+(X859^2*R_dn)-dpdn_minQ</f>
        <v>50</v>
      </c>
      <c r="Y862" s="132"/>
      <c r="Z862" s="146"/>
      <c r="AA862" s="138">
        <f>P_2_minW+(AA859^2*R_dn)-dpdn_minQ</f>
        <v>50</v>
      </c>
      <c r="AB862" s="132"/>
      <c r="AC862" s="146"/>
      <c r="AD862" s="138">
        <f>P_2_minW+(AD859^2*R_dn)-dpdn_minQ</f>
        <v>50</v>
      </c>
      <c r="AE862" s="132"/>
      <c r="AF862" s="146"/>
      <c r="AG862" s="138">
        <f>P_2_minW+(AG859^2*R_dn)-dpdn_minQ</f>
        <v>50</v>
      </c>
      <c r="AH862" s="132"/>
      <c r="AI862" s="146"/>
      <c r="AJ862" s="138">
        <f>P_2_minW+(AJ859^2*R_dn)-dpdn_minQ</f>
        <v>50</v>
      </c>
      <c r="AK862" s="132"/>
      <c r="AL862" s="146"/>
      <c r="AM862" s="138">
        <f>P_2_minW+(AM859^2*R_dn)-dpdn_minQ</f>
        <v>50</v>
      </c>
      <c r="AN862" s="132"/>
      <c r="AO862" s="146"/>
      <c r="AP862" s="138">
        <f>P_2_minW+(AP859^2*R_dn)-dpdn_minQ</f>
        <v>50</v>
      </c>
      <c r="AQ862" s="132"/>
      <c r="AR862" s="146"/>
      <c r="AS862" s="138">
        <f>P_2_minW+(AS859^2*R_dn)-dpdn_minQ</f>
        <v>50</v>
      </c>
      <c r="AT862" s="132"/>
      <c r="AU862" s="146"/>
    </row>
    <row r="863" spans="13:47" x14ac:dyDescent="0.25">
      <c r="M863" s="20"/>
      <c r="N863" s="20"/>
      <c r="O863" s="7" t="s">
        <v>234</v>
      </c>
      <c r="P863" s="1"/>
      <c r="Q863" s="7"/>
      <c r="R863" s="179">
        <f>'Valve Sizing'!G$8*R861/P_1_maxW</f>
        <v>0.48490141686628252</v>
      </c>
      <c r="S863" s="132"/>
      <c r="T863" s="146"/>
      <c r="U863" s="143">
        <f>'Valve Sizing'!$G$8*U861/P_1_maxW</f>
        <v>0.48356094532809057</v>
      </c>
      <c r="V863" s="132"/>
      <c r="W863" s="146"/>
      <c r="X863" s="143">
        <f>'Valve Sizing'!$G$8*X861/P_1_maxW</f>
        <v>0.47668931683257226</v>
      </c>
      <c r="Y863" s="132"/>
      <c r="Z863" s="146"/>
      <c r="AA863" s="143">
        <f>'Valve Sizing'!$G$8*AA861/P_1_maxW</f>
        <v>0.45373980406453979</v>
      </c>
      <c r="AB863" s="132"/>
      <c r="AC863" s="146"/>
      <c r="AD863" s="143">
        <f>'Valve Sizing'!$G$8*AD861/P_1_maxW</f>
        <v>0.40061060711854068</v>
      </c>
      <c r="AE863" s="132"/>
      <c r="AF863" s="146"/>
      <c r="AG863" s="143">
        <f>'Valve Sizing'!$G$8*AG861/P_1_maxW</f>
        <v>0.31908014065167589</v>
      </c>
      <c r="AH863" s="132"/>
      <c r="AI863" s="146"/>
      <c r="AJ863" s="143">
        <f>'Valve Sizing'!$G$8*AJ861/P_1_maxW</f>
        <v>0.21755843359254942</v>
      </c>
      <c r="AK863" s="132"/>
      <c r="AL863" s="146"/>
      <c r="AM863" s="143">
        <f>'Valve Sizing'!$G$8*AM861/P_1_maxW</f>
        <v>0.11731969568343181</v>
      </c>
      <c r="AN863" s="132"/>
      <c r="AO863" s="146"/>
      <c r="AP863" s="143">
        <f>'Valve Sizing'!$G$8*AP861/P_1_maxW</f>
        <v>2.7365980200585793E-2</v>
      </c>
      <c r="AQ863" s="132"/>
      <c r="AR863" s="146"/>
      <c r="AS863" s="143">
        <f>'Valve Sizing'!$G$8*AS861/P_1_maxW</f>
        <v>-8.4600836104434501E-2</v>
      </c>
      <c r="AT863" s="132"/>
      <c r="AU863" s="146"/>
    </row>
    <row r="864" spans="13:47" x14ac:dyDescent="0.25">
      <c r="M864" s="20"/>
      <c r="N864" s="20"/>
      <c r="O864" s="7" t="s">
        <v>190</v>
      </c>
      <c r="P864" s="1"/>
      <c r="Q864" s="7"/>
      <c r="R864" s="181">
        <f>R861-R862</f>
        <v>50.522245802042661</v>
      </c>
      <c r="S864" s="132"/>
      <c r="T864" s="146"/>
      <c r="U864" s="138">
        <f>U861-U862</f>
        <v>50.244360019972589</v>
      </c>
      <c r="V864" s="132"/>
      <c r="W864" s="146"/>
      <c r="X864" s="138">
        <f>X861-X862</f>
        <v>48.819840510108378</v>
      </c>
      <c r="Y864" s="132"/>
      <c r="Z864" s="146"/>
      <c r="AA864" s="138">
        <f>AA861-AA862</f>
        <v>44.062303239101723</v>
      </c>
      <c r="AB864" s="132"/>
      <c r="AC864" s="146"/>
      <c r="AD864" s="138">
        <f>AD861-AD862</f>
        <v>33.048381627601032</v>
      </c>
      <c r="AE864" s="132"/>
      <c r="AF864" s="146"/>
      <c r="AG864" s="138">
        <f>AG861-AG862</f>
        <v>16.146749036996695</v>
      </c>
      <c r="AH864" s="132"/>
      <c r="AI864" s="146"/>
      <c r="AJ864" s="138">
        <f>AJ861-AJ862</f>
        <v>-4.8991576901735527</v>
      </c>
      <c r="AK864" s="132"/>
      <c r="AL864" s="146"/>
      <c r="AM864" s="138">
        <f>AM861-AM862</f>
        <v>-25.679099139108303</v>
      </c>
      <c r="AN864" s="132"/>
      <c r="AO864" s="146"/>
      <c r="AP864" s="138">
        <f>AP861-AP862</f>
        <v>-44.32690915585485</v>
      </c>
      <c r="AQ864" s="132"/>
      <c r="AR864" s="146"/>
      <c r="AS864" s="138">
        <f>AS861-AS862</f>
        <v>-67.538134033321342</v>
      </c>
      <c r="AT864" s="132"/>
      <c r="AU864" s="146"/>
    </row>
    <row r="865" spans="13:47" ht="14.5" x14ac:dyDescent="0.35">
      <c r="M865" s="27"/>
      <c r="N865" s="27"/>
      <c r="O865" s="2" t="s">
        <v>191</v>
      </c>
      <c r="P865" s="10"/>
      <c r="Q865" s="2"/>
      <c r="R865" s="181">
        <f>R864/R861</f>
        <v>0.50259766282515772</v>
      </c>
      <c r="S865" s="132"/>
      <c r="T865" s="146"/>
      <c r="U865" s="138">
        <f>U864/U861</f>
        <v>0.50121882178670152</v>
      </c>
      <c r="V865" s="132"/>
      <c r="W865" s="146"/>
      <c r="X865" s="138">
        <f>X864/X861</f>
        <v>0.4940287320653442</v>
      </c>
      <c r="Y865" s="132"/>
      <c r="Z865" s="146"/>
      <c r="AA865" s="138">
        <f>AA864/AA861</f>
        <v>0.46843742627795887</v>
      </c>
      <c r="AB865" s="132"/>
      <c r="AC865" s="146"/>
      <c r="AD865" s="138">
        <f>AD864/AD861</f>
        <v>0.39794130818579904</v>
      </c>
      <c r="AE865" s="132"/>
      <c r="AF865" s="146"/>
      <c r="AG865" s="138">
        <f>AG864/AG861</f>
        <v>0.24410495257999179</v>
      </c>
      <c r="AH865" s="132"/>
      <c r="AI865" s="146"/>
      <c r="AJ865" s="138">
        <f>AJ864/AJ861</f>
        <v>-0.10862674485141795</v>
      </c>
      <c r="AK865" s="132"/>
      <c r="AL865" s="146"/>
      <c r="AM865" s="138">
        <f>AM864/AM861</f>
        <v>-1.0558449000711403</v>
      </c>
      <c r="AN865" s="132"/>
      <c r="AO865" s="146"/>
      <c r="AP865" s="138">
        <f>AP864/AP861</f>
        <v>-7.8135376946417043</v>
      </c>
      <c r="AQ865" s="132"/>
      <c r="AR865" s="146"/>
      <c r="AS865" s="138">
        <f>AS864/AS861</f>
        <v>3.8509304299421578</v>
      </c>
      <c r="AT865" s="132"/>
      <c r="AU865" s="146"/>
    </row>
    <row r="866" spans="13:47" x14ac:dyDescent="0.25">
      <c r="M866" s="27"/>
      <c r="N866" s="27"/>
      <c r="O866" s="2" t="s">
        <v>26</v>
      </c>
      <c r="P866" s="7">
        <v>12</v>
      </c>
      <c r="Q866" s="2"/>
      <c r="R866" s="181">
        <f>1-R865/(3*F_GAMMA*R$29)</f>
        <v>0.73824137786937571</v>
      </c>
      <c r="S866" s="133"/>
      <c r="T866" s="146"/>
      <c r="U866" s="138">
        <f>1-U865/(3*F_GAMMA*U$29)</f>
        <v>0.73901696870145916</v>
      </c>
      <c r="V866" s="133"/>
      <c r="W866" s="146"/>
      <c r="X866" s="138">
        <f>1-X865/(3*F_GAMMA*X$29)</f>
        <v>0.73890182831969631</v>
      </c>
      <c r="Y866" s="133"/>
      <c r="Z866" s="146"/>
      <c r="AA866" s="138">
        <f>1-AA865/(3*F_GAMMA*AA$29)</f>
        <v>0.74903247013532148</v>
      </c>
      <c r="AB866" s="133"/>
      <c r="AC866" s="146"/>
      <c r="AD866" s="138">
        <f>1-AD865/(3*F_GAMMA*AD$29)</f>
        <v>0.78095563260382161</v>
      </c>
      <c r="AE866" s="133"/>
      <c r="AF866" s="146"/>
      <c r="AG866" s="138">
        <f>1-AG865/(3*F_GAMMA*AG$29)</f>
        <v>0.85796946326725598</v>
      </c>
      <c r="AH866" s="133"/>
      <c r="AI866" s="146"/>
      <c r="AJ866" s="138">
        <f>1-AJ865/(3*F_GAMMA*AJ$29)</f>
        <v>1.0675655187730251</v>
      </c>
      <c r="AK866" s="133"/>
      <c r="AL866" s="146"/>
      <c r="AM866" s="138">
        <f>1-AM865/(3*F_GAMMA*AM$29)</f>
        <v>1.7175469853310967</v>
      </c>
      <c r="AN866" s="133"/>
      <c r="AO866" s="146"/>
      <c r="AP866" s="138">
        <f>1-AP865/(3*F_GAMMA*AP$29)</f>
        <v>5.3881749628206004</v>
      </c>
      <c r="AQ866" s="133"/>
      <c r="AR866" s="146"/>
      <c r="AS866" s="138">
        <f>1-AS865/(3*F_GAMMA*AS$29)</f>
        <v>-2.2832089814239671</v>
      </c>
      <c r="AT866" s="133"/>
      <c r="AU866" s="146"/>
    </row>
    <row r="867" spans="13:47" x14ac:dyDescent="0.25">
      <c r="M867" s="27"/>
      <c r="N867" s="27"/>
      <c r="O867" s="2" t="s">
        <v>71</v>
      </c>
      <c r="P867" s="85">
        <v>5</v>
      </c>
      <c r="Q867" s="2"/>
      <c r="R867" s="179">
        <f>R859/((N_6*R$27*R866)*SQRT(R865*R861*R863))</f>
        <v>0.15925641550624484</v>
      </c>
      <c r="S867" s="133"/>
      <c r="T867" s="146"/>
      <c r="U867" s="143">
        <f>U859/((N_6*U$27*U866)*SQRT(U865*U861*U863))</f>
        <v>3.6265418478576308</v>
      </c>
      <c r="V867" s="133"/>
      <c r="W867" s="146"/>
      <c r="X867" s="143">
        <f>X859/((N_6*X$27*X866)*SQRT(X865*X861*X863))</f>
        <v>9.1858675917203954</v>
      </c>
      <c r="Y867" s="133"/>
      <c r="Z867" s="146"/>
      <c r="AA867" s="143">
        <f>AA859/((N_6*AA$27*AA866)*SQRT(AA865*AA861*AA863))</f>
        <v>19.151718680353785</v>
      </c>
      <c r="AB867" s="133"/>
      <c r="AC867" s="146"/>
      <c r="AD867" s="143">
        <f>AD859/((N_6*AD$27*AD866)*SQRT(AD865*AD861*AD863))</f>
        <v>37.566101062700646</v>
      </c>
      <c r="AE867" s="133"/>
      <c r="AF867" s="146"/>
      <c r="AG867" s="143">
        <f>AG859/((N_6*AG$27*AG866)*SQRT(AG865*AG861*AG863))</f>
        <v>78.540193950975791</v>
      </c>
      <c r="AH867" s="133"/>
      <c r="AI867" s="146"/>
      <c r="AJ867" s="143" t="e">
        <f>AJ859/((N_6*AJ$27*AJ866)*SQRT(AJ865*AJ861*AJ863))</f>
        <v>#NUM!</v>
      </c>
      <c r="AK867" s="133"/>
      <c r="AL867" s="146"/>
      <c r="AM867" s="143" t="e">
        <f>AM859/((N_6*AM$27*AM866)*SQRT(AM865*AM861*AM863))</f>
        <v>#NUM!</v>
      </c>
      <c r="AN867" s="133"/>
      <c r="AO867" s="146"/>
      <c r="AP867" s="143" t="e">
        <f>AP859/((N_6*AP$27*AP866)*SQRT(AP865*AP861*AP863))</f>
        <v>#NUM!</v>
      </c>
      <c r="AQ867" s="133"/>
      <c r="AR867" s="146"/>
      <c r="AS867" s="143">
        <f>AS859/((N_6*AS$27*AS866)*SQRT(AS865*AS861*AS863))</f>
        <v>-85.105817967456545</v>
      </c>
      <c r="AT867" s="133"/>
      <c r="AU867" s="146"/>
    </row>
    <row r="868" spans="13:47" x14ac:dyDescent="0.25">
      <c r="M868" s="27"/>
      <c r="N868" s="27"/>
      <c r="O868" s="2" t="s">
        <v>73</v>
      </c>
      <c r="P868" s="85">
        <v>5</v>
      </c>
      <c r="Q868" s="2"/>
      <c r="R868" s="179">
        <f>R859/((N_6*R$27*0.667)*SQRT(R869*R861*R863))</f>
        <v>0.15619984959385505</v>
      </c>
      <c r="S868" s="133"/>
      <c r="T868" s="155"/>
      <c r="U868" s="143">
        <f>U859/((N_6*U$27*0.667)*SQRT(U869*U861*U863))</f>
        <v>3.5553964358645427</v>
      </c>
      <c r="V868" s="133"/>
      <c r="W868" s="155"/>
      <c r="X868" s="143">
        <f>X859/((N_6*X$27*0.667)*SQRT(X869*X861*X863))</f>
        <v>9.0062423865523673</v>
      </c>
      <c r="Y868" s="133"/>
      <c r="Z868" s="155"/>
      <c r="AA868" s="143">
        <f>AA859/((N_6*AA$27*0.667)*SQRT(AA869*AA861*AA863))</f>
        <v>18.661732496458225</v>
      </c>
      <c r="AB868" s="133"/>
      <c r="AC868" s="155"/>
      <c r="AD868" s="143">
        <f>AD859/((N_6*AD$27*0.667)*SQRT(AD869*AD861*AD863))</f>
        <v>35.655236591652937</v>
      </c>
      <c r="AE868" s="133"/>
      <c r="AF868" s="155"/>
      <c r="AG868" s="143">
        <f>AG859/((N_6*AG$27*0.667)*SQRT(AG869*AG861*AG863))</f>
        <v>65.946151769544656</v>
      </c>
      <c r="AH868" s="133"/>
      <c r="AI868" s="155"/>
      <c r="AJ868" s="143">
        <f>AJ859/((N_6*AJ$27*0.667)*SQRT(AJ869*AJ861*AJ863))</f>
        <v>131.33408786585102</v>
      </c>
      <c r="AK868" s="133"/>
      <c r="AL868" s="155"/>
      <c r="AM868" s="143">
        <f>AM859/((N_6*AM$27*0.667)*SQRT(AM869*AM861*AM863))</f>
        <v>316.8397162625929</v>
      </c>
      <c r="AN868" s="133"/>
      <c r="AO868" s="155"/>
      <c r="AP868" s="143">
        <f>AP859/((N_6*AP$27*0.667)*SQRT(AP869*AP861*AP863))</f>
        <v>1564.88263895047</v>
      </c>
      <c r="AQ868" s="133"/>
      <c r="AR868" s="155"/>
      <c r="AS868" s="143">
        <f>AS859/((N_6*AS$27*0.667)*SQRT(AS869*AS861*AS863))</f>
        <v>914.30052957261341</v>
      </c>
      <c r="AT868" s="133"/>
      <c r="AU868" s="155"/>
    </row>
    <row r="869" spans="13:47" ht="15.5" x14ac:dyDescent="0.4">
      <c r="M869" s="27"/>
      <c r="N869" s="27"/>
      <c r="O869" s="2" t="s">
        <v>192</v>
      </c>
      <c r="P869" s="85">
        <v>10</v>
      </c>
      <c r="Q869" s="2"/>
      <c r="R869" s="181">
        <f>F_GAMMA*R$29</f>
        <v>0.64002688015162901</v>
      </c>
      <c r="S869" s="133"/>
      <c r="T869" s="155"/>
      <c r="U869" s="138">
        <f>F_GAMMA*U$29</f>
        <v>0.64016782916606918</v>
      </c>
      <c r="V869" s="133"/>
      <c r="W869" s="155"/>
      <c r="X869" s="138">
        <f>F_GAMMA*X$29</f>
        <v>0.6307062319203669</v>
      </c>
      <c r="Y869" s="133"/>
      <c r="Z869" s="155"/>
      <c r="AA869" s="138">
        <f>F_GAMMA*AA$29</f>
        <v>0.62217534213893466</v>
      </c>
      <c r="AB869" s="133"/>
      <c r="AC869" s="155"/>
      <c r="AD869" s="138">
        <f>F_GAMMA*AD$29</f>
        <v>0.60557184969146072</v>
      </c>
      <c r="AE869" s="133"/>
      <c r="AF869" s="155"/>
      <c r="AG869" s="138">
        <f>F_GAMMA*AG$29</f>
        <v>0.57289312142622573</v>
      </c>
      <c r="AH869" s="133"/>
      <c r="AI869" s="155"/>
      <c r="AJ869" s="138">
        <f>F_GAMMA*AJ$29</f>
        <v>0.53590819116049981</v>
      </c>
      <c r="AK869" s="133"/>
      <c r="AL869" s="155"/>
      <c r="AM869" s="138">
        <f>F_GAMMA*AM$29</f>
        <v>0.49048815926850342</v>
      </c>
      <c r="AN869" s="133"/>
      <c r="AO869" s="155"/>
      <c r="AP869" s="138">
        <f>F_GAMMA*AP$29</f>
        <v>0.59352979016280105</v>
      </c>
      <c r="AQ869" s="133"/>
      <c r="AR869" s="155"/>
      <c r="AS869" s="138">
        <f>F_GAMMA*AS$29</f>
        <v>0.39097221161068291</v>
      </c>
      <c r="AT869" s="133"/>
      <c r="AU869" s="155"/>
    </row>
    <row r="870" spans="13:47" x14ac:dyDescent="0.25">
      <c r="M870" s="27"/>
      <c r="N870" s="27"/>
      <c r="O870" s="2" t="s">
        <v>193</v>
      </c>
      <c r="P870" s="134"/>
      <c r="Q870" s="2"/>
      <c r="R870" s="181">
        <f>IF(R865&lt;R869,R867,R868)</f>
        <v>0.15925641550624484</v>
      </c>
      <c r="S870" s="133"/>
      <c r="T870" s="155"/>
      <c r="U870" s="138">
        <f>IF(U865&lt;U869,U867,U868)</f>
        <v>3.6265418478576308</v>
      </c>
      <c r="V870" s="133"/>
      <c r="W870" s="155"/>
      <c r="X870" s="138">
        <f>IF(X865&lt;X869,X867,X868)</f>
        <v>9.1858675917203954</v>
      </c>
      <c r="Y870" s="133"/>
      <c r="Z870" s="155"/>
      <c r="AA870" s="138">
        <f>IF(AA865&lt;AA869,AA867,AA868)</f>
        <v>19.151718680353785</v>
      </c>
      <c r="AB870" s="133"/>
      <c r="AC870" s="155"/>
      <c r="AD870" s="138">
        <f>IF(AD865&lt;AD869,AD867,AD868)</f>
        <v>37.566101062700646</v>
      </c>
      <c r="AE870" s="133"/>
      <c r="AF870" s="155"/>
      <c r="AG870" s="138">
        <f>IF(AG865&lt;AG869,AG867,AG868)</f>
        <v>78.540193950975791</v>
      </c>
      <c r="AH870" s="133"/>
      <c r="AI870" s="155"/>
      <c r="AJ870" s="138" t="e">
        <f>IF(AJ865&lt;AJ869,AJ867,AJ868)</f>
        <v>#NUM!</v>
      </c>
      <c r="AK870" s="133"/>
      <c r="AL870" s="155"/>
      <c r="AM870" s="138" t="e">
        <f>IF(AM865&lt;AM869,AM867,AM868)</f>
        <v>#NUM!</v>
      </c>
      <c r="AN870" s="133"/>
      <c r="AO870" s="155"/>
      <c r="AP870" s="138" t="e">
        <f>IF(AP865&lt;AP869,AP867,AP868)</f>
        <v>#NUM!</v>
      </c>
      <c r="AQ870" s="133"/>
      <c r="AR870" s="155"/>
      <c r="AS870" s="138">
        <f>IF(AS865&lt;AS869,AS867,AS868)</f>
        <v>914.30052957261341</v>
      </c>
      <c r="AT870" s="133"/>
      <c r="AU870" s="155"/>
    </row>
    <row r="871" spans="13:47" ht="13" x14ac:dyDescent="0.3">
      <c r="M871" s="28"/>
      <c r="N871" s="28"/>
      <c r="O871" s="9" t="s">
        <v>194</v>
      </c>
      <c r="P871" s="1"/>
      <c r="Q871" s="1"/>
      <c r="R871" s="135"/>
      <c r="S871" s="132">
        <f>IF(R864&lt;=0,W_max,ABS(R$23-R870))</f>
        <v>1.8407435844937552</v>
      </c>
      <c r="T871" s="151">
        <f>R859</f>
        <v>36.831178947827446</v>
      </c>
      <c r="U871" s="135"/>
      <c r="V871" s="132">
        <f>IF(U864&lt;=0,W_max,ABS(U$23-U870))</f>
        <v>1.3734581521423692</v>
      </c>
      <c r="W871" s="151">
        <f>U859</f>
        <v>835.60043872384472</v>
      </c>
      <c r="X871" s="135"/>
      <c r="Y871" s="132">
        <f>IF(X864&lt;=0,W_max,ABS(X$23-X870))</f>
        <v>0.81413240827960465</v>
      </c>
      <c r="Z871" s="151">
        <f>X859</f>
        <v>2066.5393225819121</v>
      </c>
      <c r="AA871" s="135"/>
      <c r="AB871" s="132">
        <f>IF(AA864&lt;=0,W_max,ABS(AA$23-AA870))</f>
        <v>1.9517186803537854</v>
      </c>
      <c r="AC871" s="151">
        <f>AA859</f>
        <v>4025.0911257059784</v>
      </c>
      <c r="AD871" s="135"/>
      <c r="AE871" s="132">
        <f>IF(AD864&lt;=0,W_max,ABS(AD$23-AD870))</f>
        <v>10.966101062700645</v>
      </c>
      <c r="AF871" s="151">
        <f>AD859</f>
        <v>6619.7929511574675</v>
      </c>
      <c r="AG871" s="135"/>
      <c r="AH871" s="132">
        <f>IF(AG864&lt;=0,W_max,ABS(AG$23-AG870))</f>
        <v>40.140193950975792</v>
      </c>
      <c r="AI871" s="151">
        <f>AG859</f>
        <v>9284.7692465010186</v>
      </c>
      <c r="AJ871" s="135"/>
      <c r="AK871" s="132">
        <f>IF(AJ864&lt;=0,W_max,ABS(AJ$23-AJ870))</f>
        <v>7174</v>
      </c>
      <c r="AL871" s="151">
        <f>AJ859</f>
        <v>11789.193215905902</v>
      </c>
      <c r="AM871" s="135"/>
      <c r="AN871" s="132">
        <f>IF(AM864&lt;=0,W_max,ABS(AM$23-AM870))</f>
        <v>7174</v>
      </c>
      <c r="AO871" s="151">
        <f>AM859</f>
        <v>13823.756205850603</v>
      </c>
      <c r="AP871" s="135"/>
      <c r="AQ871" s="132">
        <f>IF(AP864&lt;=0,W_max,ABS(AP$23-AP870))</f>
        <v>7174</v>
      </c>
      <c r="AR871" s="151">
        <f>AP859</f>
        <v>15422.727230885752</v>
      </c>
      <c r="AS871" s="135"/>
      <c r="AT871" s="132">
        <f>IF(AS864&lt;=0,W_max,ABS(AS$23-AS870))</f>
        <v>7174</v>
      </c>
      <c r="AU871" s="151">
        <f>AS859</f>
        <v>17206.648590752462</v>
      </c>
    </row>
    <row r="872" spans="13:47" ht="13" x14ac:dyDescent="0.25">
      <c r="M872" s="12"/>
      <c r="N872" s="12"/>
      <c r="O872" s="2"/>
      <c r="P872" s="85"/>
      <c r="Q872" s="2"/>
      <c r="R872" s="18"/>
      <c r="S872" s="150"/>
      <c r="T872" s="148"/>
      <c r="U872" s="157"/>
      <c r="V872" s="1"/>
      <c r="W872" s="147"/>
      <c r="X872" s="157"/>
      <c r="Y872" s="1"/>
      <c r="Z872" s="147"/>
      <c r="AA872" s="157"/>
      <c r="AB872" s="1"/>
      <c r="AC872" s="147"/>
      <c r="AD872" s="157"/>
      <c r="AE872" s="1"/>
      <c r="AF872" s="147"/>
      <c r="AG872" s="157"/>
      <c r="AH872" s="1"/>
      <c r="AI872" s="147"/>
      <c r="AJ872" s="157"/>
      <c r="AK872" s="1"/>
      <c r="AL872" s="147"/>
      <c r="AM872" s="157"/>
      <c r="AN872" s="1"/>
      <c r="AO872" s="147"/>
      <c r="AP872" s="157"/>
      <c r="AQ872" s="1"/>
      <c r="AR872" s="147"/>
      <c r="AS872" s="157"/>
      <c r="AT872" s="1"/>
      <c r="AU872" s="147"/>
    </row>
    <row r="873" spans="13:47" ht="14" x14ac:dyDescent="0.3">
      <c r="M873" s="23"/>
      <c r="N873" s="23"/>
      <c r="O873" s="23" t="s">
        <v>238</v>
      </c>
      <c r="P873" s="20"/>
      <c r="Q873" s="20"/>
      <c r="R873" s="181">
        <f>R859*1.02</f>
        <v>37.567802526783993</v>
      </c>
      <c r="S873" s="128" t="s">
        <v>185</v>
      </c>
      <c r="T873" s="149" t="s">
        <v>186</v>
      </c>
      <c r="U873" s="143">
        <f>U859*1.01</f>
        <v>843.95644311108322</v>
      </c>
      <c r="V873" s="128" t="s">
        <v>185</v>
      </c>
      <c r="W873" s="153" t="s">
        <v>186</v>
      </c>
      <c r="X873" s="143">
        <f>X859*1.01</f>
        <v>2087.2047158077312</v>
      </c>
      <c r="Y873" s="128" t="s">
        <v>185</v>
      </c>
      <c r="Z873" s="153" t="s">
        <v>186</v>
      </c>
      <c r="AA873" s="143">
        <f>AA859*1.01</f>
        <v>4065.342036963038</v>
      </c>
      <c r="AB873" s="128" t="s">
        <v>185</v>
      </c>
      <c r="AC873" s="153" t="s">
        <v>186</v>
      </c>
      <c r="AD873" s="143">
        <f>AD859*1.01</f>
        <v>6685.9908806690419</v>
      </c>
      <c r="AE873" s="128" t="s">
        <v>185</v>
      </c>
      <c r="AF873" s="153" t="s">
        <v>186</v>
      </c>
      <c r="AG873" s="143">
        <f>AG859*1.01</f>
        <v>9377.6169389660281</v>
      </c>
      <c r="AH873" s="128" t="s">
        <v>185</v>
      </c>
      <c r="AI873" s="153" t="s">
        <v>186</v>
      </c>
      <c r="AJ873" s="143">
        <f>AJ859*1.01</f>
        <v>11907.08514806496</v>
      </c>
      <c r="AK873" s="128" t="s">
        <v>185</v>
      </c>
      <c r="AL873" s="153" t="s">
        <v>186</v>
      </c>
      <c r="AM873" s="143">
        <f>AM859*1.01</f>
        <v>13961.993767909109</v>
      </c>
      <c r="AN873" s="128" t="s">
        <v>185</v>
      </c>
      <c r="AO873" s="153" t="s">
        <v>186</v>
      </c>
      <c r="AP873" s="143">
        <f>AP859*1.01</f>
        <v>15576.954503194609</v>
      </c>
      <c r="AQ873" s="128" t="s">
        <v>185</v>
      </c>
      <c r="AR873" s="153" t="s">
        <v>186</v>
      </c>
      <c r="AS873" s="143">
        <f>AS859*1.01</f>
        <v>17378.715076659988</v>
      </c>
      <c r="AT873" s="128" t="s">
        <v>185</v>
      </c>
      <c r="AU873" s="153" t="s">
        <v>186</v>
      </c>
    </row>
    <row r="874" spans="13:47" ht="14" x14ac:dyDescent="0.3">
      <c r="M874" s="12"/>
      <c r="N874" s="12"/>
      <c r="O874" s="20"/>
      <c r="P874" s="20"/>
      <c r="Q874" s="23"/>
      <c r="R874" s="139"/>
      <c r="S874" s="130" t="s">
        <v>228</v>
      </c>
      <c r="T874" s="131" t="s">
        <v>187</v>
      </c>
      <c r="U874" s="144"/>
      <c r="V874" s="130" t="s">
        <v>228</v>
      </c>
      <c r="W874" s="154" t="s">
        <v>187</v>
      </c>
      <c r="X874" s="144"/>
      <c r="Y874" s="130" t="s">
        <v>228</v>
      </c>
      <c r="Z874" s="154" t="s">
        <v>187</v>
      </c>
      <c r="AA874" s="144"/>
      <c r="AB874" s="130" t="s">
        <v>228</v>
      </c>
      <c r="AC874" s="154" t="s">
        <v>187</v>
      </c>
      <c r="AD874" s="144"/>
      <c r="AE874" s="130" t="s">
        <v>228</v>
      </c>
      <c r="AF874" s="154" t="s">
        <v>187</v>
      </c>
      <c r="AG874" s="144"/>
      <c r="AH874" s="130" t="s">
        <v>228</v>
      </c>
      <c r="AI874" s="154" t="s">
        <v>187</v>
      </c>
      <c r="AJ874" s="144"/>
      <c r="AK874" s="130" t="s">
        <v>228</v>
      </c>
      <c r="AL874" s="154" t="s">
        <v>187</v>
      </c>
      <c r="AM874" s="144"/>
      <c r="AN874" s="130" t="s">
        <v>228</v>
      </c>
      <c r="AO874" s="154" t="s">
        <v>187</v>
      </c>
      <c r="AP874" s="144"/>
      <c r="AQ874" s="130" t="s">
        <v>228</v>
      </c>
      <c r="AR874" s="154" t="s">
        <v>187</v>
      </c>
      <c r="AS874" s="144"/>
      <c r="AT874" s="130" t="s">
        <v>228</v>
      </c>
      <c r="AU874" s="154" t="s">
        <v>187</v>
      </c>
    </row>
    <row r="875" spans="13:47" x14ac:dyDescent="0.25">
      <c r="M875" s="20"/>
      <c r="N875" s="20"/>
      <c r="O875" s="7" t="s">
        <v>188</v>
      </c>
      <c r="P875" s="7"/>
      <c r="Q875" s="7"/>
      <c r="R875" s="181">
        <f>P_1_minW-(R873^2*R_up)+dpup_minQ</f>
        <v>100.52222394828144</v>
      </c>
      <c r="S875" s="132"/>
      <c r="T875" s="145"/>
      <c r="U875" s="138">
        <f>P_1_minW-(U873^2*R_up)+dpup_minQ</f>
        <v>100.23876364296584</v>
      </c>
      <c r="V875" s="132"/>
      <c r="W875" s="145"/>
      <c r="X875" s="138">
        <f>P_1_minW-(X873^2*R_up)+dpup_minQ</f>
        <v>98.785611290953355</v>
      </c>
      <c r="Y875" s="132"/>
      <c r="Z875" s="145"/>
      <c r="AA875" s="138">
        <f>P_1_minW-(AA873^2*R_up)+dpup_minQ</f>
        <v>93.932447520799457</v>
      </c>
      <c r="AB875" s="132"/>
      <c r="AC875" s="145"/>
      <c r="AD875" s="138">
        <f>P_1_minW-(AD873^2*R_up)+dpup_minQ</f>
        <v>82.697146084907601</v>
      </c>
      <c r="AE875" s="132"/>
      <c r="AF875" s="145"/>
      <c r="AG875" s="138">
        <f>P_1_minW-(AG873^2*R_up)+dpup_minQ</f>
        <v>65.455790679232138</v>
      </c>
      <c r="AH875" s="132"/>
      <c r="AI875" s="145"/>
      <c r="AJ875" s="138">
        <f>P_1_minW-(AJ873^2*R_up)+dpup_minQ</f>
        <v>43.986861226845761</v>
      </c>
      <c r="AK875" s="132"/>
      <c r="AL875" s="145"/>
      <c r="AM875" s="138">
        <f>P_1_minW-(AM873^2*R_up)+dpup_minQ</f>
        <v>22.789242954787412</v>
      </c>
      <c r="AN875" s="132"/>
      <c r="AO875" s="145"/>
      <c r="AP875" s="138">
        <f>P_1_minW-(AP873^2*R_up)+dpup_minQ</f>
        <v>3.7666119567042666</v>
      </c>
      <c r="AQ875" s="132"/>
      <c r="AR875" s="145"/>
      <c r="AS875" s="138">
        <f>P_1_minW-(AS873^2*R_up)+dpup_minQ</f>
        <v>-19.91115854079932</v>
      </c>
      <c r="AT875" s="132"/>
      <c r="AU875" s="145"/>
    </row>
    <row r="876" spans="13:47" x14ac:dyDescent="0.25">
      <c r="M876" s="20"/>
      <c r="N876" s="20"/>
      <c r="O876" s="7" t="s">
        <v>189</v>
      </c>
      <c r="P876" s="1"/>
      <c r="Q876" s="7"/>
      <c r="R876" s="181">
        <f>P_2_minW+(R873^2*R_dn)-dpdn_minQ</f>
        <v>50</v>
      </c>
      <c r="S876" s="132"/>
      <c r="T876" s="146"/>
      <c r="U876" s="138">
        <f>P_2_minW+(U873^2*R_dn)-dpdn_minQ</f>
        <v>50</v>
      </c>
      <c r="V876" s="132"/>
      <c r="W876" s="146"/>
      <c r="X876" s="138">
        <f>P_2_minW+(X873^2*R_dn)-dpdn_minQ</f>
        <v>50</v>
      </c>
      <c r="Y876" s="132"/>
      <c r="Z876" s="146"/>
      <c r="AA876" s="138">
        <f>P_2_minW+(AA873^2*R_dn)-dpdn_minQ</f>
        <v>50</v>
      </c>
      <c r="AB876" s="132"/>
      <c r="AC876" s="146"/>
      <c r="AD876" s="138">
        <f>P_2_minW+(AD873^2*R_dn)-dpdn_minQ</f>
        <v>50</v>
      </c>
      <c r="AE876" s="132"/>
      <c r="AF876" s="146"/>
      <c r="AG876" s="138">
        <f>P_2_minW+(AG873^2*R_dn)-dpdn_minQ</f>
        <v>50</v>
      </c>
      <c r="AH876" s="132"/>
      <c r="AI876" s="146"/>
      <c r="AJ876" s="138">
        <f>P_2_minW+(AJ873^2*R_dn)-dpdn_minQ</f>
        <v>50</v>
      </c>
      <c r="AK876" s="132"/>
      <c r="AL876" s="146"/>
      <c r="AM876" s="138">
        <f>P_2_minW+(AM873^2*R_dn)-dpdn_minQ</f>
        <v>50</v>
      </c>
      <c r="AN876" s="132"/>
      <c r="AO876" s="146"/>
      <c r="AP876" s="138">
        <f>P_2_minW+(AP873^2*R_dn)-dpdn_minQ</f>
        <v>50</v>
      </c>
      <c r="AQ876" s="132"/>
      <c r="AR876" s="146"/>
      <c r="AS876" s="138">
        <f>P_2_minW+(AS873^2*R_dn)-dpdn_minQ</f>
        <v>50</v>
      </c>
      <c r="AT876" s="132"/>
      <c r="AU876" s="146"/>
    </row>
    <row r="877" spans="13:47" x14ac:dyDescent="0.25">
      <c r="M877" s="20"/>
      <c r="N877" s="20"/>
      <c r="O877" s="7" t="s">
        <v>234</v>
      </c>
      <c r="P877" s="1"/>
      <c r="Q877" s="7"/>
      <c r="R877" s="179">
        <f>'Valve Sizing'!G$8*R875/P_1_maxW</f>
        <v>0.48490131144762927</v>
      </c>
      <c r="S877" s="132"/>
      <c r="T877" s="146"/>
      <c r="U877" s="143">
        <f>'Valve Sizing'!$G$8*U875/P_1_maxW</f>
        <v>0.48353394940178357</v>
      </c>
      <c r="V877" s="132"/>
      <c r="W877" s="146"/>
      <c r="X877" s="143">
        <f>'Valve Sizing'!$G$8*X875/P_1_maxW</f>
        <v>0.47652420117350525</v>
      </c>
      <c r="Y877" s="132"/>
      <c r="Z877" s="146"/>
      <c r="AA877" s="143">
        <f>'Valve Sizing'!$G$8*AA875/P_1_maxW</f>
        <v>0.45311340319883531</v>
      </c>
      <c r="AB877" s="132"/>
      <c r="AC877" s="146"/>
      <c r="AD877" s="143">
        <f>'Valve Sizing'!$G$8*AD875/P_1_maxW</f>
        <v>0.39891630939422162</v>
      </c>
      <c r="AE877" s="132"/>
      <c r="AF877" s="146"/>
      <c r="AG877" s="143">
        <f>'Valve Sizing'!$G$8*AG875/P_1_maxW</f>
        <v>0.31574708055137296</v>
      </c>
      <c r="AH877" s="132"/>
      <c r="AI877" s="146"/>
      <c r="AJ877" s="143">
        <f>'Valve Sizing'!$G$8*AJ875/P_1_maxW</f>
        <v>0.21218478718035799</v>
      </c>
      <c r="AK877" s="132"/>
      <c r="AL877" s="146"/>
      <c r="AM877" s="143">
        <f>'Valve Sizing'!$G$8*AM875/P_1_maxW</f>
        <v>0.10993125063926708</v>
      </c>
      <c r="AN877" s="132"/>
      <c r="AO877" s="146"/>
      <c r="AP877" s="143">
        <f>'Valve Sizing'!$G$8*AP875/P_1_maxW</f>
        <v>1.8169465475215894E-2</v>
      </c>
      <c r="AQ877" s="132"/>
      <c r="AR877" s="146"/>
      <c r="AS877" s="143">
        <f>'Valve Sizing'!$G$8*AS875/P_1_maxW</f>
        <v>-9.6047883837535403E-2</v>
      </c>
      <c r="AT877" s="132"/>
      <c r="AU877" s="146"/>
    </row>
    <row r="878" spans="13:47" x14ac:dyDescent="0.25">
      <c r="M878" s="20"/>
      <c r="N878" s="20"/>
      <c r="O878" s="7" t="s">
        <v>190</v>
      </c>
      <c r="P878" s="1"/>
      <c r="Q878" s="7"/>
      <c r="R878" s="181">
        <f>R875-R876</f>
        <v>50.522223948281436</v>
      </c>
      <c r="S878" s="132"/>
      <c r="T878" s="146"/>
      <c r="U878" s="138">
        <f>U875-U876</f>
        <v>50.238763642965836</v>
      </c>
      <c r="V878" s="132"/>
      <c r="W878" s="146"/>
      <c r="X878" s="138">
        <f>X875-X876</f>
        <v>48.785611290953355</v>
      </c>
      <c r="Y878" s="132"/>
      <c r="Z878" s="146"/>
      <c r="AA878" s="138">
        <f>AA875-AA876</f>
        <v>43.932447520799457</v>
      </c>
      <c r="AB878" s="132"/>
      <c r="AC878" s="146"/>
      <c r="AD878" s="138">
        <f>AD875-AD876</f>
        <v>32.697146084907601</v>
      </c>
      <c r="AE878" s="132"/>
      <c r="AF878" s="146"/>
      <c r="AG878" s="138">
        <f>AG875-AG876</f>
        <v>15.455790679232138</v>
      </c>
      <c r="AH878" s="132"/>
      <c r="AI878" s="146"/>
      <c r="AJ878" s="138">
        <f>AJ875-AJ876</f>
        <v>-6.0131387731542389</v>
      </c>
      <c r="AK878" s="132"/>
      <c r="AL878" s="146"/>
      <c r="AM878" s="138">
        <f>AM875-AM876</f>
        <v>-27.210757045212588</v>
      </c>
      <c r="AN878" s="132"/>
      <c r="AO878" s="146"/>
      <c r="AP878" s="138">
        <f>AP875-AP876</f>
        <v>-46.233388043295733</v>
      </c>
      <c r="AQ878" s="132"/>
      <c r="AR878" s="146"/>
      <c r="AS878" s="138">
        <f>AS875-AS876</f>
        <v>-69.91115854079932</v>
      </c>
      <c r="AT878" s="132"/>
      <c r="AU878" s="146"/>
    </row>
    <row r="879" spans="13:47" ht="14.5" x14ac:dyDescent="0.35">
      <c r="M879" s="27"/>
      <c r="N879" s="27"/>
      <c r="O879" s="2" t="s">
        <v>191</v>
      </c>
      <c r="P879" s="10"/>
      <c r="Q879" s="2"/>
      <c r="R879" s="181">
        <f>R878/R875</f>
        <v>0.50259755468875278</v>
      </c>
      <c r="S879" s="132"/>
      <c r="T879" s="146"/>
      <c r="U879" s="138">
        <f>U878/U875</f>
        <v>0.50119097460048623</v>
      </c>
      <c r="V879" s="132"/>
      <c r="W879" s="146"/>
      <c r="X879" s="138">
        <f>X878/X875</f>
        <v>0.49385341299620089</v>
      </c>
      <c r="Y879" s="132"/>
      <c r="Z879" s="146"/>
      <c r="AA879" s="138">
        <f>AA878/AA875</f>
        <v>0.46770257435346285</v>
      </c>
      <c r="AB879" s="132"/>
      <c r="AC879" s="146"/>
      <c r="AD879" s="138">
        <f>AD878/AD875</f>
        <v>0.39538421375916016</v>
      </c>
      <c r="AE879" s="132"/>
      <c r="AF879" s="146"/>
      <c r="AG879" s="138">
        <f>AG878/AG875</f>
        <v>0.23612564326009985</v>
      </c>
      <c r="AH879" s="132"/>
      <c r="AI879" s="146"/>
      <c r="AJ879" s="138">
        <f>AJ878/AJ875</f>
        <v>-0.13670306553913289</v>
      </c>
      <c r="AK879" s="132"/>
      <c r="AL879" s="146"/>
      <c r="AM879" s="138">
        <f>AM878/AM875</f>
        <v>-1.1940175941428688</v>
      </c>
      <c r="AN879" s="132"/>
      <c r="AO879" s="146"/>
      <c r="AP879" s="138">
        <f>AP878/AP875</f>
        <v>-12.274529092651559</v>
      </c>
      <c r="AQ879" s="132"/>
      <c r="AR879" s="146"/>
      <c r="AS879" s="138">
        <f>AS878/AS875</f>
        <v>3.511154732535859</v>
      </c>
      <c r="AT879" s="132"/>
      <c r="AU879" s="146"/>
    </row>
    <row r="880" spans="13:47" x14ac:dyDescent="0.25">
      <c r="M880" s="27"/>
      <c r="N880" s="27"/>
      <c r="O880" s="2" t="s">
        <v>26</v>
      </c>
      <c r="P880" s="7">
        <v>12</v>
      </c>
      <c r="Q880" s="2"/>
      <c r="R880" s="181">
        <f>1-R879/(3*F_GAMMA*R$29)</f>
        <v>0.73824143418805455</v>
      </c>
      <c r="S880" s="133"/>
      <c r="T880" s="146"/>
      <c r="U880" s="138">
        <f>1-U879/(3*F_GAMMA*U$29)</f>
        <v>0.73903146864191571</v>
      </c>
      <c r="V880" s="133"/>
      <c r="W880" s="146"/>
      <c r="X880" s="138">
        <f>1-X879/(3*F_GAMMA*X$29)</f>
        <v>0.73899448586255345</v>
      </c>
      <c r="Y880" s="133"/>
      <c r="Z880" s="146"/>
      <c r="AA880" s="138">
        <f>1-AA879/(3*F_GAMMA*AA$29)</f>
        <v>0.74942617047171955</v>
      </c>
      <c r="AB880" s="133"/>
      <c r="AC880" s="146"/>
      <c r="AD880" s="138">
        <f>1-AD879/(3*F_GAMMA*AD$29)</f>
        <v>0.78236316964391661</v>
      </c>
      <c r="AE880" s="133"/>
      <c r="AF880" s="146"/>
      <c r="AG880" s="138">
        <f>1-AG879/(3*F_GAMMA*AG$29)</f>
        <v>0.86261216130956408</v>
      </c>
      <c r="AH880" s="133"/>
      <c r="AI880" s="146"/>
      <c r="AJ880" s="138">
        <f>1-AJ879/(3*F_GAMMA*AJ$29)</f>
        <v>1.0850289084299463</v>
      </c>
      <c r="AK880" s="133"/>
      <c r="AL880" s="146"/>
      <c r="AM880" s="138">
        <f>1-AM879/(3*F_GAMMA*AM$29)</f>
        <v>1.8114484665804396</v>
      </c>
      <c r="AN880" s="133"/>
      <c r="AO880" s="146"/>
      <c r="AP880" s="138">
        <f>1-AP879/(3*F_GAMMA*AP$29)</f>
        <v>7.8935203680816892</v>
      </c>
      <c r="AQ880" s="133"/>
      <c r="AR880" s="146"/>
      <c r="AS880" s="138">
        <f>1-AS879/(3*F_GAMMA*AS$29)</f>
        <v>-1.9935245423803076</v>
      </c>
      <c r="AT880" s="133"/>
      <c r="AU880" s="146"/>
    </row>
    <row r="881" spans="13:47" x14ac:dyDescent="0.25">
      <c r="M881" s="27"/>
      <c r="N881" s="27"/>
      <c r="O881" s="2" t="s">
        <v>71</v>
      </c>
      <c r="P881" s="85">
        <v>5</v>
      </c>
      <c r="Q881" s="2"/>
      <c r="R881" s="179">
        <f>R873/((N_6*R$27*R880)*SQRT(R879*R875*R877))</f>
        <v>0.16244158421431304</v>
      </c>
      <c r="S881" s="133"/>
      <c r="T881" s="146"/>
      <c r="U881" s="143">
        <f>U873/((N_6*U$27*U880)*SQRT(U879*U875*U877))</f>
        <v>3.6630416523456852</v>
      </c>
      <c r="V881" s="133"/>
      <c r="W881" s="146"/>
      <c r="X881" s="143">
        <f>X873/((N_6*X$27*X880)*SQRT(X879*X875*X877))</f>
        <v>9.2814243502610871</v>
      </c>
      <c r="Y881" s="133"/>
      <c r="Z881" s="146"/>
      <c r="AA881" s="143">
        <f>AA873/((N_6*AA$27*AA880)*SQRT(AA879*AA875*AA877))</f>
        <v>19.375003978492597</v>
      </c>
      <c r="AB881" s="133"/>
      <c r="AC881" s="146"/>
      <c r="AD881" s="143">
        <f>AD873/((N_6*AD$27*AD880)*SQRT(AD879*AD875*AD877))</f>
        <v>38.157152774698595</v>
      </c>
      <c r="AE881" s="133"/>
      <c r="AF881" s="146"/>
      <c r="AG881" s="143">
        <f>AG873/((N_6*AG$27*AG880)*SQRT(AG879*AG875*AG877))</f>
        <v>81.067493762948416</v>
      </c>
      <c r="AH881" s="133"/>
      <c r="AI881" s="146"/>
      <c r="AJ881" s="143" t="e">
        <f>AJ873/((N_6*AJ$27*AJ880)*SQRT(AJ879*AJ875*AJ877))</f>
        <v>#NUM!</v>
      </c>
      <c r="AK881" s="133"/>
      <c r="AL881" s="146"/>
      <c r="AM881" s="143" t="e">
        <f>AM873/((N_6*AM$27*AM880)*SQRT(AM879*AM875*AM877))</f>
        <v>#NUM!</v>
      </c>
      <c r="AN881" s="133"/>
      <c r="AO881" s="146"/>
      <c r="AP881" s="143" t="e">
        <f>AP873/((N_6*AP$27*AP880)*SQRT(AP879*AP875*AP877))</f>
        <v>#NUM!</v>
      </c>
      <c r="AQ881" s="133"/>
      <c r="AR881" s="146"/>
      <c r="AS881" s="143">
        <f>AS873/((N_6*AS$27*AS880)*SQRT(AS879*AS875*AS877))</f>
        <v>-90.813289626441303</v>
      </c>
      <c r="AT881" s="133"/>
      <c r="AU881" s="146"/>
    </row>
    <row r="882" spans="13:47" x14ac:dyDescent="0.25">
      <c r="M882" s="27"/>
      <c r="N882" s="27"/>
      <c r="O882" s="2" t="s">
        <v>73</v>
      </c>
      <c r="P882" s="85">
        <v>5</v>
      </c>
      <c r="Q882" s="2"/>
      <c r="R882" s="179">
        <f>R873/((N_6*R$27*0.667)*SQRT(R883*R875*R877))</f>
        <v>0.15932388122310046</v>
      </c>
      <c r="S882" s="133"/>
      <c r="T882" s="147"/>
      <c r="U882" s="143">
        <f>U873/((N_6*U$27*0.667)*SQRT(U883*U875*U877))</f>
        <v>3.591150884661761</v>
      </c>
      <c r="V882" s="133"/>
      <c r="W882" s="155"/>
      <c r="X882" s="143">
        <f>X873/((N_6*X$27*0.667)*SQRT(X883*X875*X877))</f>
        <v>9.0994566804806247</v>
      </c>
      <c r="Y882" s="133"/>
      <c r="Z882" s="155"/>
      <c r="AA882" s="143">
        <f>AA873/((N_6*AA$27*0.667)*SQRT(AA883*AA875*AA877))</f>
        <v>18.874406483092688</v>
      </c>
      <c r="AB882" s="133"/>
      <c r="AC882" s="155"/>
      <c r="AD882" s="143">
        <f>AD873/((N_6*AD$27*0.667)*SQRT(AD883*AD875*AD877))</f>
        <v>36.164740066969138</v>
      </c>
      <c r="AE882" s="133"/>
      <c r="AF882" s="155"/>
      <c r="AG882" s="143">
        <f>AG873/((N_6*AG$27*0.667)*SQRT(AG883*AG875*AG877))</f>
        <v>67.308709295970374</v>
      </c>
      <c r="AH882" s="133"/>
      <c r="AI882" s="155"/>
      <c r="AJ882" s="143">
        <f>AJ873/((N_6*AJ$27*0.667)*SQRT(AJ883*AJ875*AJ877))</f>
        <v>136.00676656053056</v>
      </c>
      <c r="AK882" s="133"/>
      <c r="AL882" s="155"/>
      <c r="AM882" s="143">
        <f>AM873/((N_6*AM$27*0.667)*SQRT(AM883*AM875*AM877))</f>
        <v>341.51575884888075</v>
      </c>
      <c r="AN882" s="133"/>
      <c r="AO882" s="155"/>
      <c r="AP882" s="143">
        <f>AP873/((N_6*AP$27*0.667)*SQRT(AP883*AP875*AP877))</f>
        <v>2380.5209264904179</v>
      </c>
      <c r="AQ882" s="133"/>
      <c r="AR882" s="155"/>
      <c r="AS882" s="143">
        <f>AS873/((N_6*AS$27*0.667)*SQRT(AS883*AS875*AS877))</f>
        <v>813.3869485062537</v>
      </c>
      <c r="AT882" s="133"/>
      <c r="AU882" s="155"/>
    </row>
    <row r="883" spans="13:47" ht="15.5" x14ac:dyDescent="0.4">
      <c r="M883" s="27"/>
      <c r="N883" s="27"/>
      <c r="O883" s="2" t="s">
        <v>192</v>
      </c>
      <c r="P883" s="85">
        <v>10</v>
      </c>
      <c r="Q883" s="2"/>
      <c r="R883" s="181">
        <f>F_GAMMA*R$29</f>
        <v>0.64002688015162901</v>
      </c>
      <c r="S883" s="133"/>
      <c r="T883" s="147"/>
      <c r="U883" s="138">
        <f>F_GAMMA*U$29</f>
        <v>0.64016782916606918</v>
      </c>
      <c r="V883" s="133"/>
      <c r="W883" s="155"/>
      <c r="X883" s="138">
        <f>F_GAMMA*X$29</f>
        <v>0.6307062319203669</v>
      </c>
      <c r="Y883" s="133"/>
      <c r="Z883" s="155"/>
      <c r="AA883" s="138">
        <f>F_GAMMA*AA$29</f>
        <v>0.62217534213893466</v>
      </c>
      <c r="AB883" s="133"/>
      <c r="AC883" s="155"/>
      <c r="AD883" s="138">
        <f>F_GAMMA*AD$29</f>
        <v>0.60557184969146072</v>
      </c>
      <c r="AE883" s="133"/>
      <c r="AF883" s="155"/>
      <c r="AG883" s="138">
        <f>F_GAMMA*AG$29</f>
        <v>0.57289312142622573</v>
      </c>
      <c r="AH883" s="133"/>
      <c r="AI883" s="155"/>
      <c r="AJ883" s="138">
        <f>F_GAMMA*AJ$29</f>
        <v>0.53590819116049981</v>
      </c>
      <c r="AK883" s="133"/>
      <c r="AL883" s="155"/>
      <c r="AM883" s="138">
        <f>F_GAMMA*AM$29</f>
        <v>0.49048815926850342</v>
      </c>
      <c r="AN883" s="133"/>
      <c r="AO883" s="155"/>
      <c r="AP883" s="138">
        <f>F_GAMMA*AP$29</f>
        <v>0.59352979016280105</v>
      </c>
      <c r="AQ883" s="133"/>
      <c r="AR883" s="155"/>
      <c r="AS883" s="138">
        <f>F_GAMMA*AS$29</f>
        <v>0.39097221161068291</v>
      </c>
      <c r="AT883" s="133"/>
      <c r="AU883" s="155"/>
    </row>
    <row r="884" spans="13:47" x14ac:dyDescent="0.25">
      <c r="M884" s="27"/>
      <c r="N884" s="27"/>
      <c r="O884" s="2" t="s">
        <v>193</v>
      </c>
      <c r="P884" s="134"/>
      <c r="Q884" s="2"/>
      <c r="R884" s="181">
        <f>IF(R879&lt;R883,R881,R882)</f>
        <v>0.16244158421431304</v>
      </c>
      <c r="S884" s="133"/>
      <c r="T884" s="147"/>
      <c r="U884" s="138">
        <f>IF(U879&lt;U883,U881,U882)</f>
        <v>3.6630416523456852</v>
      </c>
      <c r="V884" s="133"/>
      <c r="W884" s="155"/>
      <c r="X884" s="138">
        <f>IF(X879&lt;X883,X881,X882)</f>
        <v>9.2814243502610871</v>
      </c>
      <c r="Y884" s="133"/>
      <c r="Z884" s="155"/>
      <c r="AA884" s="138">
        <f>IF(AA879&lt;AA883,AA881,AA882)</f>
        <v>19.375003978492597</v>
      </c>
      <c r="AB884" s="133"/>
      <c r="AC884" s="155"/>
      <c r="AD884" s="138">
        <f>IF(AD879&lt;AD883,AD881,AD882)</f>
        <v>38.157152774698595</v>
      </c>
      <c r="AE884" s="133"/>
      <c r="AF884" s="155"/>
      <c r="AG884" s="138">
        <f>IF(AG879&lt;AG883,AG881,AG882)</f>
        <v>81.067493762948416</v>
      </c>
      <c r="AH884" s="133"/>
      <c r="AI884" s="155"/>
      <c r="AJ884" s="138" t="e">
        <f>IF(AJ879&lt;AJ883,AJ881,AJ882)</f>
        <v>#NUM!</v>
      </c>
      <c r="AK884" s="133"/>
      <c r="AL884" s="155"/>
      <c r="AM884" s="138" t="e">
        <f>IF(AM879&lt;AM883,AM881,AM882)</f>
        <v>#NUM!</v>
      </c>
      <c r="AN884" s="133"/>
      <c r="AO884" s="155"/>
      <c r="AP884" s="138" t="e">
        <f>IF(AP879&lt;AP883,AP881,AP882)</f>
        <v>#NUM!</v>
      </c>
      <c r="AQ884" s="133"/>
      <c r="AR884" s="155"/>
      <c r="AS884" s="138">
        <f>IF(AS879&lt;AS883,AS881,AS882)</f>
        <v>813.3869485062537</v>
      </c>
      <c r="AT884" s="133"/>
      <c r="AU884" s="155"/>
    </row>
    <row r="885" spans="13:47" ht="13" x14ac:dyDescent="0.3">
      <c r="M885" s="28"/>
      <c r="N885" s="28"/>
      <c r="O885" s="9" t="s">
        <v>194</v>
      </c>
      <c r="P885" s="1"/>
      <c r="Q885" s="1"/>
      <c r="R885" s="135"/>
      <c r="S885" s="132">
        <f>IF(R878&lt;=0,W_max,ABS(R$23-R884))</f>
        <v>1.837558415785687</v>
      </c>
      <c r="T885" s="151">
        <f>R873</f>
        <v>37.567802526783993</v>
      </c>
      <c r="U885" s="135"/>
      <c r="V885" s="132">
        <f>IF(U878&lt;=0,W_max,ABS(U$23-U884))</f>
        <v>1.3369583476543148</v>
      </c>
      <c r="W885" s="151">
        <f>U873</f>
        <v>843.95644311108322</v>
      </c>
      <c r="X885" s="135"/>
      <c r="Y885" s="132">
        <f>IF(X878&lt;=0,W_max,ABS(X$23-X884))</f>
        <v>0.71857564973891286</v>
      </c>
      <c r="Z885" s="151">
        <f>X873</f>
        <v>2087.2047158077312</v>
      </c>
      <c r="AA885" s="135"/>
      <c r="AB885" s="132">
        <f>IF(AA878&lt;=0,W_max,ABS(AA$23-AA884))</f>
        <v>2.1750039784925974</v>
      </c>
      <c r="AC885" s="151">
        <f>AA873</f>
        <v>4065.342036963038</v>
      </c>
      <c r="AD885" s="135"/>
      <c r="AE885" s="132">
        <f>IF(AD878&lt;=0,W_max,ABS(AD$23-AD884))</f>
        <v>11.557152774698594</v>
      </c>
      <c r="AF885" s="151">
        <f>AD873</f>
        <v>6685.9908806690419</v>
      </c>
      <c r="AG885" s="135"/>
      <c r="AH885" s="132">
        <f>IF(AG878&lt;=0,W_max,ABS(AG$23-AG884))</f>
        <v>42.667493762948418</v>
      </c>
      <c r="AI885" s="151">
        <f>AG873</f>
        <v>9377.6169389660281</v>
      </c>
      <c r="AJ885" s="135"/>
      <c r="AK885" s="132">
        <f>IF(AJ878&lt;=0,W_max,ABS(AJ$23-AJ884))</f>
        <v>7174</v>
      </c>
      <c r="AL885" s="151">
        <f>AJ873</f>
        <v>11907.08514806496</v>
      </c>
      <c r="AM885" s="135"/>
      <c r="AN885" s="132">
        <f>IF(AM878&lt;=0,W_max,ABS(AM$23-AM884))</f>
        <v>7174</v>
      </c>
      <c r="AO885" s="151">
        <f>AM873</f>
        <v>13961.993767909109</v>
      </c>
      <c r="AP885" s="135"/>
      <c r="AQ885" s="132">
        <f>IF(AP878&lt;=0,W_max,ABS(AP$23-AP884))</f>
        <v>7174</v>
      </c>
      <c r="AR885" s="151">
        <f>AP873</f>
        <v>15576.954503194609</v>
      </c>
      <c r="AS885" s="135"/>
      <c r="AT885" s="132">
        <f>IF(AS878&lt;=0,W_max,ABS(AS$23-AS884))</f>
        <v>7174</v>
      </c>
      <c r="AU885" s="151">
        <f>AS873</f>
        <v>17378.715076659988</v>
      </c>
    </row>
    <row r="886" spans="13:47" ht="13" x14ac:dyDescent="0.25">
      <c r="M886" s="12"/>
      <c r="N886" s="12"/>
      <c r="O886" s="12"/>
      <c r="P886" s="12"/>
      <c r="Q886" s="12"/>
      <c r="R886" s="182"/>
      <c r="S886" s="22"/>
      <c r="T886" s="152"/>
      <c r="U886" s="157"/>
      <c r="V886" s="1"/>
      <c r="W886" s="147"/>
      <c r="X886" s="157"/>
      <c r="Y886" s="1"/>
      <c r="Z886" s="147"/>
      <c r="AA886" s="157"/>
      <c r="AB886" s="1"/>
      <c r="AC886" s="147"/>
      <c r="AD886" s="157"/>
      <c r="AE886" s="1"/>
      <c r="AF886" s="147"/>
      <c r="AG886" s="157"/>
      <c r="AH886" s="1"/>
      <c r="AI886" s="147"/>
      <c r="AJ886" s="157"/>
      <c r="AK886" s="1"/>
      <c r="AL886" s="147"/>
      <c r="AM886" s="157"/>
      <c r="AN886" s="1"/>
      <c r="AO886" s="147"/>
      <c r="AP886" s="157"/>
      <c r="AQ886" s="1"/>
      <c r="AR886" s="147"/>
      <c r="AS886" s="157"/>
      <c r="AT886" s="1"/>
      <c r="AU886" s="147"/>
    </row>
    <row r="887" spans="13:47" ht="14" x14ac:dyDescent="0.3">
      <c r="M887" s="23"/>
      <c r="N887" s="23"/>
      <c r="O887" s="23" t="s">
        <v>238</v>
      </c>
      <c r="P887" s="20"/>
      <c r="Q887" s="20"/>
      <c r="R887" s="18">
        <f>R873*1.02</f>
        <v>38.319158577319676</v>
      </c>
      <c r="S887" s="128" t="s">
        <v>185</v>
      </c>
      <c r="T887" s="153" t="s">
        <v>186</v>
      </c>
      <c r="U887" s="143">
        <f>U873*1.01</f>
        <v>852.39600754219407</v>
      </c>
      <c r="V887" s="128" t="s">
        <v>185</v>
      </c>
      <c r="W887" s="153" t="s">
        <v>186</v>
      </c>
      <c r="X887" s="143">
        <f>X873*1.01</f>
        <v>2108.0767629658085</v>
      </c>
      <c r="Y887" s="128" t="s">
        <v>185</v>
      </c>
      <c r="Z887" s="153" t="s">
        <v>186</v>
      </c>
      <c r="AA887" s="143">
        <f>AA873*1.01</f>
        <v>4105.9954573326686</v>
      </c>
      <c r="AB887" s="128" t="s">
        <v>185</v>
      </c>
      <c r="AC887" s="153" t="s">
        <v>186</v>
      </c>
      <c r="AD887" s="143">
        <f>AD873*1.01</f>
        <v>6752.8507894757322</v>
      </c>
      <c r="AE887" s="128" t="s">
        <v>185</v>
      </c>
      <c r="AF887" s="153" t="s">
        <v>186</v>
      </c>
      <c r="AG887" s="143">
        <f>AG873*1.01</f>
        <v>9471.393108355689</v>
      </c>
      <c r="AH887" s="128" t="s">
        <v>185</v>
      </c>
      <c r="AI887" s="153" t="s">
        <v>186</v>
      </c>
      <c r="AJ887" s="143">
        <f>AJ873*1.01</f>
        <v>12026.15599954561</v>
      </c>
      <c r="AK887" s="128" t="s">
        <v>185</v>
      </c>
      <c r="AL887" s="153" t="s">
        <v>186</v>
      </c>
      <c r="AM887" s="143">
        <f>AM873*1.01</f>
        <v>14101.613705588201</v>
      </c>
      <c r="AN887" s="128" t="s">
        <v>185</v>
      </c>
      <c r="AO887" s="153" t="s">
        <v>186</v>
      </c>
      <c r="AP887" s="143">
        <f>AP873*1.01</f>
        <v>15732.724048226555</v>
      </c>
      <c r="AQ887" s="128" t="s">
        <v>185</v>
      </c>
      <c r="AR887" s="153" t="s">
        <v>186</v>
      </c>
      <c r="AS887" s="143">
        <f>AS873*1.01</f>
        <v>17552.502227426587</v>
      </c>
      <c r="AT887" s="128" t="s">
        <v>185</v>
      </c>
      <c r="AU887" s="153" t="s">
        <v>186</v>
      </c>
    </row>
    <row r="888" spans="13:47" ht="14" x14ac:dyDescent="0.3">
      <c r="M888" s="12"/>
      <c r="N888" s="12"/>
      <c r="O888" s="20"/>
      <c r="P888" s="20"/>
      <c r="Q888" s="23"/>
      <c r="R888" s="139"/>
      <c r="S888" s="130" t="s">
        <v>228</v>
      </c>
      <c r="T888" s="154" t="s">
        <v>187</v>
      </c>
      <c r="U888" s="144"/>
      <c r="V888" s="130" t="s">
        <v>228</v>
      </c>
      <c r="W888" s="154" t="s">
        <v>187</v>
      </c>
      <c r="X888" s="144"/>
      <c r="Y888" s="130" t="s">
        <v>228</v>
      </c>
      <c r="Z888" s="154" t="s">
        <v>187</v>
      </c>
      <c r="AA888" s="144"/>
      <c r="AB888" s="130" t="s">
        <v>228</v>
      </c>
      <c r="AC888" s="154" t="s">
        <v>187</v>
      </c>
      <c r="AD888" s="144"/>
      <c r="AE888" s="130" t="s">
        <v>228</v>
      </c>
      <c r="AF888" s="154" t="s">
        <v>187</v>
      </c>
      <c r="AG888" s="144"/>
      <c r="AH888" s="130" t="s">
        <v>228</v>
      </c>
      <c r="AI888" s="154" t="s">
        <v>187</v>
      </c>
      <c r="AJ888" s="144"/>
      <c r="AK888" s="130" t="s">
        <v>228</v>
      </c>
      <c r="AL888" s="154" t="s">
        <v>187</v>
      </c>
      <c r="AM888" s="144"/>
      <c r="AN888" s="130" t="s">
        <v>228</v>
      </c>
      <c r="AO888" s="154" t="s">
        <v>187</v>
      </c>
      <c r="AP888" s="144"/>
      <c r="AQ888" s="130" t="s">
        <v>228</v>
      </c>
      <c r="AR888" s="154" t="s">
        <v>187</v>
      </c>
      <c r="AS888" s="144"/>
      <c r="AT888" s="130" t="s">
        <v>228</v>
      </c>
      <c r="AU888" s="154" t="s">
        <v>187</v>
      </c>
    </row>
    <row r="889" spans="13:47" x14ac:dyDescent="0.25">
      <c r="M889" s="20"/>
      <c r="N889" s="20"/>
      <c r="O889" s="7" t="s">
        <v>188</v>
      </c>
      <c r="P889" s="7"/>
      <c r="Q889" s="7"/>
      <c r="R889" s="181">
        <f>P_1_minW-(R887^2*R_up)+dpup_minQ</f>
        <v>100.52220121162824</v>
      </c>
      <c r="S889" s="132"/>
      <c r="T889" s="145"/>
      <c r="U889" s="138">
        <f>P_1_minW-(U887^2*R_up)+dpup_minQ</f>
        <v>100.23305477878124</v>
      </c>
      <c r="V889" s="132"/>
      <c r="W889" s="145"/>
      <c r="X889" s="138">
        <f>P_1_minW-(X887^2*R_up)+dpup_minQ</f>
        <v>98.750694064493302</v>
      </c>
      <c r="Y889" s="132"/>
      <c r="Z889" s="145"/>
      <c r="AA889" s="138">
        <f>P_1_minW-(AA887^2*R_up)+dpup_minQ</f>
        <v>93.799981702559322</v>
      </c>
      <c r="AB889" s="132"/>
      <c r="AC889" s="145"/>
      <c r="AD889" s="138">
        <f>P_1_minW-(AD887^2*R_up)+dpup_minQ</f>
        <v>82.338850707806046</v>
      </c>
      <c r="AE889" s="132"/>
      <c r="AF889" s="145"/>
      <c r="AG889" s="138">
        <f>P_1_minW-(AG887^2*R_up)+dpup_minQ</f>
        <v>64.750944058476492</v>
      </c>
      <c r="AH889" s="132"/>
      <c r="AI889" s="145"/>
      <c r="AJ889" s="138">
        <f>P_1_minW-(AJ887^2*R_up)+dpup_minQ</f>
        <v>42.850489124097152</v>
      </c>
      <c r="AK889" s="132"/>
      <c r="AL889" s="145"/>
      <c r="AM889" s="138">
        <f>P_1_minW-(AM887^2*R_up)+dpup_minQ</f>
        <v>21.226798724770418</v>
      </c>
      <c r="AN889" s="132"/>
      <c r="AO889" s="145"/>
      <c r="AP889" s="138">
        <f>P_1_minW-(AP887^2*R_up)+dpup_minQ</f>
        <v>1.8218128436258065</v>
      </c>
      <c r="AQ889" s="132"/>
      <c r="AR889" s="145"/>
      <c r="AS889" s="138">
        <f>P_1_minW-(AS887^2*R_up)+dpup_minQ</f>
        <v>-22.331880840877574</v>
      </c>
      <c r="AT889" s="132"/>
      <c r="AU889" s="145"/>
    </row>
    <row r="890" spans="13:47" x14ac:dyDescent="0.25">
      <c r="M890" s="20"/>
      <c r="N890" s="20"/>
      <c r="O890" s="7" t="s">
        <v>189</v>
      </c>
      <c r="P890" s="1"/>
      <c r="Q890" s="7"/>
      <c r="R890" s="181">
        <f>P_2_minW+(R887^2*R_dn)-dpdn_minQ</f>
        <v>50</v>
      </c>
      <c r="S890" s="132"/>
      <c r="T890" s="146"/>
      <c r="U890" s="138">
        <f>P_2_minW+(U887^2*R_dn)-dpdn_minQ</f>
        <v>50</v>
      </c>
      <c r="V890" s="132"/>
      <c r="W890" s="146"/>
      <c r="X890" s="138">
        <f>P_2_minW+(X887^2*R_dn)-dpdn_minQ</f>
        <v>50</v>
      </c>
      <c r="Y890" s="132"/>
      <c r="Z890" s="146"/>
      <c r="AA890" s="138">
        <f>P_2_minW+(AA887^2*R_dn)-dpdn_minQ</f>
        <v>50</v>
      </c>
      <c r="AB890" s="132"/>
      <c r="AC890" s="146"/>
      <c r="AD890" s="138">
        <f>P_2_minW+(AD887^2*R_dn)-dpdn_minQ</f>
        <v>50</v>
      </c>
      <c r="AE890" s="132"/>
      <c r="AF890" s="146"/>
      <c r="AG890" s="138">
        <f>P_2_minW+(AG887^2*R_dn)-dpdn_minQ</f>
        <v>50</v>
      </c>
      <c r="AH890" s="132"/>
      <c r="AI890" s="146"/>
      <c r="AJ890" s="138">
        <f>P_2_minW+(AJ887^2*R_dn)-dpdn_minQ</f>
        <v>50</v>
      </c>
      <c r="AK890" s="132"/>
      <c r="AL890" s="146"/>
      <c r="AM890" s="138">
        <f>P_2_minW+(AM887^2*R_dn)-dpdn_minQ</f>
        <v>50</v>
      </c>
      <c r="AN890" s="132"/>
      <c r="AO890" s="146"/>
      <c r="AP890" s="138">
        <f>P_2_minW+(AP887^2*R_dn)-dpdn_minQ</f>
        <v>50</v>
      </c>
      <c r="AQ890" s="132"/>
      <c r="AR890" s="146"/>
      <c r="AS890" s="138">
        <f>P_2_minW+(AS887^2*R_dn)-dpdn_minQ</f>
        <v>50</v>
      </c>
      <c r="AT890" s="132"/>
      <c r="AU890" s="146"/>
    </row>
    <row r="891" spans="13:47" x14ac:dyDescent="0.25">
      <c r="M891" s="20"/>
      <c r="N891" s="20"/>
      <c r="O891" s="7" t="s">
        <v>234</v>
      </c>
      <c r="P891" s="1"/>
      <c r="Q891" s="7"/>
      <c r="R891" s="179">
        <f>'Valve Sizing'!G$8*R889/P_1_maxW</f>
        <v>0.48490120177006224</v>
      </c>
      <c r="S891" s="132"/>
      <c r="T891" s="146"/>
      <c r="U891" s="143">
        <f>'Valve Sizing'!$G$8*U889/P_1_maxW</f>
        <v>0.48350641085735768</v>
      </c>
      <c r="V891" s="132"/>
      <c r="W891" s="146"/>
      <c r="X891" s="143">
        <f>'Valve Sizing'!$G$8*X889/P_1_maxW</f>
        <v>0.47635576668969098</v>
      </c>
      <c r="Y891" s="132"/>
      <c r="Z891" s="146"/>
      <c r="AA891" s="143">
        <f>'Valve Sizing'!$G$8*AA889/P_1_maxW</f>
        <v>0.45247441167573016</v>
      </c>
      <c r="AB891" s="132"/>
      <c r="AC891" s="146"/>
      <c r="AD891" s="143">
        <f>'Valve Sizing'!$G$8*AD889/P_1_maxW</f>
        <v>0.39718795628564385</v>
      </c>
      <c r="AE891" s="132"/>
      <c r="AF891" s="146"/>
      <c r="AG891" s="143">
        <f>'Valve Sizing'!$G$8*AG889/P_1_maxW</f>
        <v>0.3123470259430538</v>
      </c>
      <c r="AH891" s="132"/>
      <c r="AI891" s="146"/>
      <c r="AJ891" s="143">
        <f>'Valve Sizing'!$G$8*AJ889/P_1_maxW</f>
        <v>0.20670313047528147</v>
      </c>
      <c r="AK891" s="132"/>
      <c r="AL891" s="146"/>
      <c r="AM891" s="143">
        <f>'Valve Sizing'!$G$8*AM889/P_1_maxW</f>
        <v>0.10239429784971457</v>
      </c>
      <c r="AN891" s="132"/>
      <c r="AO891" s="146"/>
      <c r="AP891" s="143">
        <f>'Valve Sizing'!$G$8*AP889/P_1_maxW</f>
        <v>8.7881008038659808E-3</v>
      </c>
      <c r="AQ891" s="132"/>
      <c r="AR891" s="146"/>
      <c r="AS891" s="143">
        <f>'Valve Sizing'!$G$8*AS889/P_1_maxW</f>
        <v>-0.10772501723007147</v>
      </c>
      <c r="AT891" s="132"/>
      <c r="AU891" s="146"/>
    </row>
    <row r="892" spans="13:47" x14ac:dyDescent="0.25">
      <c r="M892" s="20"/>
      <c r="N892" s="20"/>
      <c r="O892" s="7" t="s">
        <v>190</v>
      </c>
      <c r="P892" s="1"/>
      <c r="Q892" s="7"/>
      <c r="R892" s="181">
        <f>R889-R890</f>
        <v>50.522201211628243</v>
      </c>
      <c r="S892" s="132"/>
      <c r="T892" s="146"/>
      <c r="U892" s="138">
        <f>U889-U890</f>
        <v>50.233054778781238</v>
      </c>
      <c r="V892" s="132"/>
      <c r="W892" s="146"/>
      <c r="X892" s="138">
        <f>X889-X890</f>
        <v>48.750694064493302</v>
      </c>
      <c r="Y892" s="132"/>
      <c r="Z892" s="146"/>
      <c r="AA892" s="138">
        <f>AA889-AA890</f>
        <v>43.799981702559322</v>
      </c>
      <c r="AB892" s="132"/>
      <c r="AC892" s="146"/>
      <c r="AD892" s="138">
        <f>AD889-AD890</f>
        <v>32.338850707806046</v>
      </c>
      <c r="AE892" s="132"/>
      <c r="AF892" s="146"/>
      <c r="AG892" s="138">
        <f>AG889-AG890</f>
        <v>14.750944058476492</v>
      </c>
      <c r="AH892" s="132"/>
      <c r="AI892" s="146"/>
      <c r="AJ892" s="138">
        <f>AJ889-AJ890</f>
        <v>-7.1495108759028483</v>
      </c>
      <c r="AK892" s="132"/>
      <c r="AL892" s="146"/>
      <c r="AM892" s="138">
        <f>AM889-AM890</f>
        <v>-28.773201275229582</v>
      </c>
      <c r="AN892" s="132"/>
      <c r="AO892" s="146"/>
      <c r="AP892" s="138">
        <f>AP889-AP890</f>
        <v>-48.178187156374193</v>
      </c>
      <c r="AQ892" s="132"/>
      <c r="AR892" s="146"/>
      <c r="AS892" s="138">
        <f>AS889-AS890</f>
        <v>-72.331880840877574</v>
      </c>
      <c r="AT892" s="132"/>
      <c r="AU892" s="146"/>
    </row>
    <row r="893" spans="13:47" ht="14.5" x14ac:dyDescent="0.35">
      <c r="M893" s="27"/>
      <c r="N893" s="27"/>
      <c r="O893" s="2" t="s">
        <v>191</v>
      </c>
      <c r="P893" s="10"/>
      <c r="Q893" s="2"/>
      <c r="R893" s="181">
        <f>R892/R889</f>
        <v>0.50259744218358715</v>
      </c>
      <c r="S893" s="132"/>
      <c r="T893" s="146"/>
      <c r="U893" s="138">
        <f>U892/U889</f>
        <v>0.50116256448182483</v>
      </c>
      <c r="V893" s="132"/>
      <c r="W893" s="146"/>
      <c r="X893" s="138">
        <f>X892/X889</f>
        <v>0.49367444478572076</v>
      </c>
      <c r="Y893" s="132"/>
      <c r="Z893" s="146"/>
      <c r="AA893" s="138">
        <f>AA892/AA889</f>
        <v>0.46695085550708848</v>
      </c>
      <c r="AB893" s="132"/>
      <c r="AC893" s="146"/>
      <c r="AD893" s="138">
        <f>AD892/AD889</f>
        <v>0.39275324381884036</v>
      </c>
      <c r="AE893" s="132"/>
      <c r="AF893" s="146"/>
      <c r="AG893" s="138">
        <f>AG892/AG889</f>
        <v>0.22781048636379625</v>
      </c>
      <c r="AH893" s="132"/>
      <c r="AI893" s="146"/>
      <c r="AJ893" s="138">
        <f>AJ892/AJ889</f>
        <v>-0.1668478241916331</v>
      </c>
      <c r="AK893" s="132"/>
      <c r="AL893" s="146"/>
      <c r="AM893" s="138">
        <f>AM892/AM889</f>
        <v>-1.3555129837667399</v>
      </c>
      <c r="AN893" s="132"/>
      <c r="AO893" s="146"/>
      <c r="AP893" s="138">
        <f>AP892/AP889</f>
        <v>-26.445190198840102</v>
      </c>
      <c r="AQ893" s="132"/>
      <c r="AR893" s="146"/>
      <c r="AS893" s="138">
        <f>AS892/AS889</f>
        <v>3.2389515847889125</v>
      </c>
      <c r="AT893" s="132"/>
      <c r="AU893" s="146"/>
    </row>
    <row r="894" spans="13:47" x14ac:dyDescent="0.25">
      <c r="M894" s="27"/>
      <c r="N894" s="27"/>
      <c r="O894" s="2" t="s">
        <v>26</v>
      </c>
      <c r="P894" s="7">
        <v>12</v>
      </c>
      <c r="Q894" s="2"/>
      <c r="R894" s="181">
        <f>1-R893/(3*F_GAMMA*R$29)</f>
        <v>0.73824149278203399</v>
      </c>
      <c r="S894" s="133"/>
      <c r="T894" s="146"/>
      <c r="U894" s="138">
        <f>1-U893/(3*F_GAMMA*U$29)</f>
        <v>0.73904626169948962</v>
      </c>
      <c r="V894" s="133"/>
      <c r="W894" s="146"/>
      <c r="X894" s="138">
        <f>1-X893/(3*F_GAMMA*X$29)</f>
        <v>0.73908907200605545</v>
      </c>
      <c r="Y894" s="133"/>
      <c r="Z894" s="146"/>
      <c r="AA894" s="138">
        <f>1-AA893/(3*F_GAMMA*AA$29)</f>
        <v>0.74982890733996332</v>
      </c>
      <c r="AB894" s="133"/>
      <c r="AC894" s="146"/>
      <c r="AD894" s="138">
        <f>1-AD893/(3*F_GAMMA*AD$29)</f>
        <v>0.78381137101020115</v>
      </c>
      <c r="AE894" s="133"/>
      <c r="AF894" s="146"/>
      <c r="AG894" s="138">
        <f>1-AG893/(3*F_GAMMA*AG$29)</f>
        <v>0.86745026960895211</v>
      </c>
      <c r="AH894" s="133"/>
      <c r="AI894" s="146"/>
      <c r="AJ894" s="138">
        <f>1-AJ893/(3*F_GAMMA*AJ$29)</f>
        <v>1.1037788604737981</v>
      </c>
      <c r="AK894" s="133"/>
      <c r="AL894" s="146"/>
      <c r="AM894" s="138">
        <f>1-AM893/(3*F_GAMMA*AM$29)</f>
        <v>1.9211999366701014</v>
      </c>
      <c r="AN894" s="133"/>
      <c r="AO894" s="146"/>
      <c r="AP894" s="138">
        <f>1-AP893/(3*F_GAMMA*AP$29)</f>
        <v>15.851930847810449</v>
      </c>
      <c r="AQ894" s="133"/>
      <c r="AR894" s="146"/>
      <c r="AS894" s="138">
        <f>1-AS893/(3*F_GAMMA*AS$29)</f>
        <v>-1.7614508044322363</v>
      </c>
      <c r="AT894" s="133"/>
      <c r="AU894" s="146"/>
    </row>
    <row r="895" spans="13:47" x14ac:dyDescent="0.25">
      <c r="M895" s="27"/>
      <c r="N895" s="27"/>
      <c r="O895" s="2" t="s">
        <v>71</v>
      </c>
      <c r="P895" s="85">
        <v>5</v>
      </c>
      <c r="Q895" s="2"/>
      <c r="R895" s="179">
        <f>R887/((N_6*R$27*R894)*SQRT(R893*R889*R891))</f>
        <v>0.16569045876924668</v>
      </c>
      <c r="S895" s="133"/>
      <c r="T895" s="146"/>
      <c r="U895" s="143">
        <f>U887/((N_6*U$27*U894)*SQRT(U893*U889*U891))</f>
        <v>3.6999135953270947</v>
      </c>
      <c r="V895" s="133"/>
      <c r="W895" s="146"/>
      <c r="X895" s="143">
        <f>X887/((N_6*X$27*X894)*SQRT(X893*X889*X891))</f>
        <v>9.3780525365433292</v>
      </c>
      <c r="Y895" s="133"/>
      <c r="Z895" s="146"/>
      <c r="AA895" s="143">
        <f>AA887/((N_6*AA$27*AA894)*SQRT(AA893*AA889*AA891))</f>
        <v>19.601622773424161</v>
      </c>
      <c r="AB895" s="133"/>
      <c r="AC895" s="146"/>
      <c r="AD895" s="143">
        <f>AD887/((N_6*AD$27*AD894)*SQRT(AD893*AD889*AD891))</f>
        <v>38.764096524561701</v>
      </c>
      <c r="AE895" s="133"/>
      <c r="AF895" s="146"/>
      <c r="AG895" s="143">
        <f>AG887/((N_6*AG$27*AG894)*SQRT(AG893*AG889*AG891))</f>
        <v>83.796484839119842</v>
      </c>
      <c r="AH895" s="133"/>
      <c r="AI895" s="146"/>
      <c r="AJ895" s="143" t="e">
        <f>AJ887/((N_6*AJ$27*AJ894)*SQRT(AJ893*AJ889*AJ891))</f>
        <v>#NUM!</v>
      </c>
      <c r="AK895" s="133"/>
      <c r="AL895" s="146"/>
      <c r="AM895" s="143" t="e">
        <f>AM887/((N_6*AM$27*AM894)*SQRT(AM893*AM889*AM891))</f>
        <v>#NUM!</v>
      </c>
      <c r="AN895" s="133"/>
      <c r="AO895" s="146"/>
      <c r="AP895" s="143" t="e">
        <f>AP887/((N_6*AP$27*AP894)*SQRT(AP893*AP889*AP891))</f>
        <v>#NUM!</v>
      </c>
      <c r="AQ895" s="133"/>
      <c r="AR895" s="146"/>
      <c r="AS895" s="143">
        <f>AS887/((N_6*AS$27*AS894)*SQRT(AS893*AS889*AS891))</f>
        <v>-96.364225401821471</v>
      </c>
      <c r="AT895" s="133"/>
      <c r="AU895" s="146"/>
    </row>
    <row r="896" spans="13:47" x14ac:dyDescent="0.25">
      <c r="M896" s="27"/>
      <c r="N896" s="27"/>
      <c r="O896" s="2" t="s">
        <v>73</v>
      </c>
      <c r="P896" s="85">
        <v>5</v>
      </c>
      <c r="Q896" s="2"/>
      <c r="R896" s="179">
        <f>R887/((N_6*R$27*0.667)*SQRT(R897*R889*R891))</f>
        <v>0.16251039560503125</v>
      </c>
      <c r="S896" s="133"/>
      <c r="T896" s="155"/>
      <c r="U896" s="143">
        <f>U887/((N_6*U$27*0.667)*SQRT(U897*U889*U891))</f>
        <v>3.6272689761236578</v>
      </c>
      <c r="V896" s="133"/>
      <c r="W896" s="155"/>
      <c r="X896" s="143">
        <f>X887/((N_6*X$27*0.667)*SQRT(X897*X889*X891))</f>
        <v>9.1937008960146009</v>
      </c>
      <c r="Y896" s="133"/>
      <c r="Z896" s="155"/>
      <c r="AA896" s="143">
        <f>AA887/((N_6*AA$27*0.667)*SQRT(AA897*AA889*AA891))</f>
        <v>19.090071830739777</v>
      </c>
      <c r="AB896" s="133"/>
      <c r="AC896" s="155"/>
      <c r="AD896" s="143">
        <f>AD887/((N_6*AD$27*0.667)*SQRT(AD897*AD889*AD891))</f>
        <v>36.685331097035807</v>
      </c>
      <c r="AE896" s="133"/>
      <c r="AF896" s="155"/>
      <c r="AG896" s="143">
        <f>AG887/((N_6*AG$27*0.667)*SQRT(AG897*AG889*AG891))</f>
        <v>68.721812463666566</v>
      </c>
      <c r="AH896" s="133"/>
      <c r="AI896" s="155"/>
      <c r="AJ896" s="143">
        <f>AJ887/((N_6*AJ$27*0.667)*SQRT(AJ897*AJ889*AJ891))</f>
        <v>141.00972935868384</v>
      </c>
      <c r="AK896" s="133"/>
      <c r="AL896" s="155"/>
      <c r="AM896" s="143">
        <f>AM887/((N_6*AM$27*0.667)*SQRT(AM897*AM889*AM891))</f>
        <v>370.32029931747087</v>
      </c>
      <c r="AN896" s="133"/>
      <c r="AO896" s="155"/>
      <c r="AP896" s="143">
        <f>AP887/((N_6*AP$27*0.667)*SQRT(AP897*AP889*AP891))</f>
        <v>4970.9626334222194</v>
      </c>
      <c r="AQ896" s="133"/>
      <c r="AR896" s="155"/>
      <c r="AS896" s="143">
        <f>AS887/((N_6*AS$27*0.667)*SQRT(AS897*AS889*AS891))</f>
        <v>732.46993247656269</v>
      </c>
      <c r="AT896" s="133"/>
      <c r="AU896" s="155"/>
    </row>
    <row r="897" spans="13:47" ht="15.5" x14ac:dyDescent="0.4">
      <c r="M897" s="27"/>
      <c r="N897" s="27"/>
      <c r="O897" s="2" t="s">
        <v>192</v>
      </c>
      <c r="P897" s="85">
        <v>10</v>
      </c>
      <c r="Q897" s="2"/>
      <c r="R897" s="181">
        <f>F_GAMMA*R$29</f>
        <v>0.64002688015162901</v>
      </c>
      <c r="S897" s="133"/>
      <c r="T897" s="155"/>
      <c r="U897" s="138">
        <f>F_GAMMA*U$29</f>
        <v>0.64016782916606918</v>
      </c>
      <c r="V897" s="133"/>
      <c r="W897" s="155"/>
      <c r="X897" s="138">
        <f>F_GAMMA*X$29</f>
        <v>0.6307062319203669</v>
      </c>
      <c r="Y897" s="133"/>
      <c r="Z897" s="155"/>
      <c r="AA897" s="138">
        <f>F_GAMMA*AA$29</f>
        <v>0.62217534213893466</v>
      </c>
      <c r="AB897" s="133"/>
      <c r="AC897" s="155"/>
      <c r="AD897" s="138">
        <f>F_GAMMA*AD$29</f>
        <v>0.60557184969146072</v>
      </c>
      <c r="AE897" s="133"/>
      <c r="AF897" s="155"/>
      <c r="AG897" s="138">
        <f>F_GAMMA*AG$29</f>
        <v>0.57289312142622573</v>
      </c>
      <c r="AH897" s="133"/>
      <c r="AI897" s="155"/>
      <c r="AJ897" s="138">
        <f>F_GAMMA*AJ$29</f>
        <v>0.53590819116049981</v>
      </c>
      <c r="AK897" s="133"/>
      <c r="AL897" s="155"/>
      <c r="AM897" s="138">
        <f>F_GAMMA*AM$29</f>
        <v>0.49048815926850342</v>
      </c>
      <c r="AN897" s="133"/>
      <c r="AO897" s="155"/>
      <c r="AP897" s="138">
        <f>F_GAMMA*AP$29</f>
        <v>0.59352979016280105</v>
      </c>
      <c r="AQ897" s="133"/>
      <c r="AR897" s="155"/>
      <c r="AS897" s="138">
        <f>F_GAMMA*AS$29</f>
        <v>0.39097221161068291</v>
      </c>
      <c r="AT897" s="133"/>
      <c r="AU897" s="155"/>
    </row>
    <row r="898" spans="13:47" x14ac:dyDescent="0.25">
      <c r="M898" s="27"/>
      <c r="N898" s="27"/>
      <c r="O898" s="2" t="s">
        <v>193</v>
      </c>
      <c r="P898" s="134"/>
      <c r="Q898" s="2"/>
      <c r="R898" s="181">
        <f>IF(R893&lt;R897,R895,R896)</f>
        <v>0.16569045876924668</v>
      </c>
      <c r="S898" s="133"/>
      <c r="T898" s="155"/>
      <c r="U898" s="138">
        <f>IF(U893&lt;U897,U895,U896)</f>
        <v>3.6999135953270947</v>
      </c>
      <c r="V898" s="133"/>
      <c r="W898" s="155"/>
      <c r="X898" s="138">
        <f>IF(X893&lt;X897,X895,X896)</f>
        <v>9.3780525365433292</v>
      </c>
      <c r="Y898" s="133"/>
      <c r="Z898" s="155"/>
      <c r="AA898" s="138">
        <f>IF(AA893&lt;AA897,AA895,AA896)</f>
        <v>19.601622773424161</v>
      </c>
      <c r="AB898" s="133"/>
      <c r="AC898" s="155"/>
      <c r="AD898" s="138">
        <f>IF(AD893&lt;AD897,AD895,AD896)</f>
        <v>38.764096524561701</v>
      </c>
      <c r="AE898" s="133"/>
      <c r="AF898" s="155"/>
      <c r="AG898" s="138">
        <f>IF(AG893&lt;AG897,AG895,AG896)</f>
        <v>83.796484839119842</v>
      </c>
      <c r="AH898" s="133"/>
      <c r="AI898" s="155"/>
      <c r="AJ898" s="138" t="e">
        <f>IF(AJ893&lt;AJ897,AJ895,AJ896)</f>
        <v>#NUM!</v>
      </c>
      <c r="AK898" s="133"/>
      <c r="AL898" s="155"/>
      <c r="AM898" s="138" t="e">
        <f>IF(AM893&lt;AM897,AM895,AM896)</f>
        <v>#NUM!</v>
      </c>
      <c r="AN898" s="133"/>
      <c r="AO898" s="155"/>
      <c r="AP898" s="138" t="e">
        <f>IF(AP893&lt;AP897,AP895,AP896)</f>
        <v>#NUM!</v>
      </c>
      <c r="AQ898" s="133"/>
      <c r="AR898" s="155"/>
      <c r="AS898" s="138">
        <f>IF(AS893&lt;AS897,AS895,AS896)</f>
        <v>732.46993247656269</v>
      </c>
      <c r="AT898" s="133"/>
      <c r="AU898" s="155"/>
    </row>
    <row r="899" spans="13:47" ht="13" x14ac:dyDescent="0.3">
      <c r="M899" s="28"/>
      <c r="N899" s="28"/>
      <c r="O899" s="9" t="s">
        <v>194</v>
      </c>
      <c r="P899" s="1"/>
      <c r="Q899" s="1"/>
      <c r="R899" s="135"/>
      <c r="S899" s="132">
        <f>IF(R892&lt;=0,W_max,ABS(R$23-R898))</f>
        <v>1.8343095412307533</v>
      </c>
      <c r="T899" s="151">
        <f>R887</f>
        <v>38.319158577319676</v>
      </c>
      <c r="U899" s="135"/>
      <c r="V899" s="132">
        <f>IF(U892&lt;=0,W_max,ABS(U$23-U898))</f>
        <v>1.3000864046729053</v>
      </c>
      <c r="W899" s="151">
        <f>U887</f>
        <v>852.39600754219407</v>
      </c>
      <c r="X899" s="135"/>
      <c r="Y899" s="132">
        <f>IF(X892&lt;=0,W_max,ABS(X$23-X898))</f>
        <v>0.62194746345667085</v>
      </c>
      <c r="Z899" s="151">
        <f>X887</f>
        <v>2108.0767629658085</v>
      </c>
      <c r="AA899" s="135"/>
      <c r="AB899" s="132">
        <f>IF(AA892&lt;=0,W_max,ABS(AA$23-AA898))</f>
        <v>2.4016227734241617</v>
      </c>
      <c r="AC899" s="151">
        <f>AA887</f>
        <v>4105.9954573326686</v>
      </c>
      <c r="AD899" s="135"/>
      <c r="AE899" s="132">
        <f>IF(AD892&lt;=0,W_max,ABS(AD$23-AD898))</f>
        <v>12.1640965245617</v>
      </c>
      <c r="AF899" s="151">
        <f>AD887</f>
        <v>6752.8507894757322</v>
      </c>
      <c r="AG899" s="135"/>
      <c r="AH899" s="132">
        <f>IF(AG892&lt;=0,W_max,ABS(AG$23-AG898))</f>
        <v>45.396484839119843</v>
      </c>
      <c r="AI899" s="151">
        <f>AG887</f>
        <v>9471.393108355689</v>
      </c>
      <c r="AJ899" s="135"/>
      <c r="AK899" s="132">
        <f>IF(AJ892&lt;=0,W_max,ABS(AJ$23-AJ898))</f>
        <v>7174</v>
      </c>
      <c r="AL899" s="151">
        <f>AJ887</f>
        <v>12026.15599954561</v>
      </c>
      <c r="AM899" s="135"/>
      <c r="AN899" s="132">
        <f>IF(AM892&lt;=0,W_max,ABS(AM$23-AM898))</f>
        <v>7174</v>
      </c>
      <c r="AO899" s="151">
        <f>AM887</f>
        <v>14101.613705588201</v>
      </c>
      <c r="AP899" s="135"/>
      <c r="AQ899" s="132">
        <f>IF(AP892&lt;=0,W_max,ABS(AP$23-AP898))</f>
        <v>7174</v>
      </c>
      <c r="AR899" s="151">
        <f>AP887</f>
        <v>15732.724048226555</v>
      </c>
      <c r="AS899" s="135"/>
      <c r="AT899" s="132">
        <f>IF(AS892&lt;=0,W_max,ABS(AS$23-AS898))</f>
        <v>7174</v>
      </c>
      <c r="AU899" s="151">
        <f>AS887</f>
        <v>17552.502227426587</v>
      </c>
    </row>
    <row r="900" spans="13:47" ht="13" x14ac:dyDescent="0.25">
      <c r="M900" s="12"/>
      <c r="N900" s="12"/>
      <c r="O900" s="2"/>
      <c r="P900" s="85"/>
      <c r="Q900" s="2"/>
      <c r="R900" s="18"/>
      <c r="S900" s="150"/>
      <c r="T900" s="152"/>
      <c r="U900" s="157"/>
      <c r="V900" s="1"/>
      <c r="W900" s="147"/>
      <c r="X900" s="157"/>
      <c r="Y900" s="1"/>
      <c r="Z900" s="147"/>
      <c r="AA900" s="157"/>
      <c r="AB900" s="1"/>
      <c r="AC900" s="147"/>
      <c r="AD900" s="157"/>
      <c r="AE900" s="1"/>
      <c r="AF900" s="147"/>
      <c r="AG900" s="157"/>
      <c r="AH900" s="1"/>
      <c r="AI900" s="147"/>
      <c r="AJ900" s="157"/>
      <c r="AK900" s="1"/>
      <c r="AL900" s="147"/>
      <c r="AM900" s="157"/>
      <c r="AN900" s="1"/>
      <c r="AO900" s="147"/>
      <c r="AP900" s="157"/>
      <c r="AQ900" s="1"/>
      <c r="AR900" s="147"/>
      <c r="AS900" s="157"/>
      <c r="AT900" s="1"/>
      <c r="AU900" s="147"/>
    </row>
    <row r="901" spans="13:47" ht="14" x14ac:dyDescent="0.3">
      <c r="M901" s="23"/>
      <c r="N901" s="23"/>
      <c r="O901" s="23" t="s">
        <v>238</v>
      </c>
      <c r="P901" s="20"/>
      <c r="Q901" s="20"/>
      <c r="R901" s="181">
        <f>R887*1.02</f>
        <v>39.085541748866071</v>
      </c>
      <c r="S901" s="128" t="s">
        <v>185</v>
      </c>
      <c r="T901" s="153" t="s">
        <v>186</v>
      </c>
      <c r="U901" s="143">
        <f>U887*1.01</f>
        <v>860.91996761761607</v>
      </c>
      <c r="V901" s="128" t="s">
        <v>185</v>
      </c>
      <c r="W901" s="153" t="s">
        <v>186</v>
      </c>
      <c r="X901" s="143">
        <f>X887*1.01</f>
        <v>2129.1575305954666</v>
      </c>
      <c r="Y901" s="128" t="s">
        <v>185</v>
      </c>
      <c r="Z901" s="153" t="s">
        <v>186</v>
      </c>
      <c r="AA901" s="143">
        <f>AA887*1.01</f>
        <v>4147.0554119059952</v>
      </c>
      <c r="AB901" s="128" t="s">
        <v>185</v>
      </c>
      <c r="AC901" s="153" t="s">
        <v>186</v>
      </c>
      <c r="AD901" s="143">
        <f>AD887*1.01</f>
        <v>6820.3792973704894</v>
      </c>
      <c r="AE901" s="128" t="s">
        <v>185</v>
      </c>
      <c r="AF901" s="153" t="s">
        <v>186</v>
      </c>
      <c r="AG901" s="143">
        <f>AG887*1.01</f>
        <v>9566.1070394392464</v>
      </c>
      <c r="AH901" s="128" t="s">
        <v>185</v>
      </c>
      <c r="AI901" s="153" t="s">
        <v>186</v>
      </c>
      <c r="AJ901" s="143">
        <f>AJ887*1.01</f>
        <v>12146.417559541067</v>
      </c>
      <c r="AK901" s="128" t="s">
        <v>185</v>
      </c>
      <c r="AL901" s="153" t="s">
        <v>186</v>
      </c>
      <c r="AM901" s="143">
        <f>AM887*1.01</f>
        <v>14242.629842644083</v>
      </c>
      <c r="AN901" s="128" t="s">
        <v>185</v>
      </c>
      <c r="AO901" s="153" t="s">
        <v>186</v>
      </c>
      <c r="AP901" s="143">
        <f>AP887*1.01</f>
        <v>15890.051288708821</v>
      </c>
      <c r="AQ901" s="128" t="s">
        <v>185</v>
      </c>
      <c r="AR901" s="153" t="s">
        <v>186</v>
      </c>
      <c r="AS901" s="143">
        <f>AS887*1.01</f>
        <v>17728.027249700852</v>
      </c>
      <c r="AT901" s="128" t="s">
        <v>185</v>
      </c>
      <c r="AU901" s="153" t="s">
        <v>186</v>
      </c>
    </row>
    <row r="902" spans="13:47" ht="14" x14ac:dyDescent="0.3">
      <c r="M902" s="12"/>
      <c r="N902" s="12"/>
      <c r="O902" s="20"/>
      <c r="P902" s="20"/>
      <c r="Q902" s="23"/>
      <c r="R902" s="139"/>
      <c r="S902" s="130" t="s">
        <v>228</v>
      </c>
      <c r="T902" s="154" t="s">
        <v>187</v>
      </c>
      <c r="U902" s="144"/>
      <c r="V902" s="130" t="s">
        <v>228</v>
      </c>
      <c r="W902" s="154" t="s">
        <v>187</v>
      </c>
      <c r="X902" s="144"/>
      <c r="Y902" s="130" t="s">
        <v>228</v>
      </c>
      <c r="Z902" s="154" t="s">
        <v>187</v>
      </c>
      <c r="AA902" s="144"/>
      <c r="AB902" s="130" t="s">
        <v>228</v>
      </c>
      <c r="AC902" s="154" t="s">
        <v>187</v>
      </c>
      <c r="AD902" s="144"/>
      <c r="AE902" s="130" t="s">
        <v>228</v>
      </c>
      <c r="AF902" s="154" t="s">
        <v>187</v>
      </c>
      <c r="AG902" s="144"/>
      <c r="AH902" s="130" t="s">
        <v>228</v>
      </c>
      <c r="AI902" s="154" t="s">
        <v>187</v>
      </c>
      <c r="AJ902" s="144"/>
      <c r="AK902" s="130" t="s">
        <v>228</v>
      </c>
      <c r="AL902" s="154" t="s">
        <v>187</v>
      </c>
      <c r="AM902" s="144"/>
      <c r="AN902" s="130" t="s">
        <v>228</v>
      </c>
      <c r="AO902" s="154" t="s">
        <v>187</v>
      </c>
      <c r="AP902" s="144"/>
      <c r="AQ902" s="130" t="s">
        <v>228</v>
      </c>
      <c r="AR902" s="154" t="s">
        <v>187</v>
      </c>
      <c r="AS902" s="144"/>
      <c r="AT902" s="130" t="s">
        <v>228</v>
      </c>
      <c r="AU902" s="154" t="s">
        <v>187</v>
      </c>
    </row>
    <row r="903" spans="13:47" x14ac:dyDescent="0.25">
      <c r="M903" s="20"/>
      <c r="N903" s="20"/>
      <c r="O903" s="7" t="s">
        <v>188</v>
      </c>
      <c r="P903" s="7"/>
      <c r="Q903" s="7"/>
      <c r="R903" s="181">
        <f>P_1_minW-(R901^2*R_up)+dpup_minQ</f>
        <v>100.52217755641426</v>
      </c>
      <c r="S903" s="132"/>
      <c r="T903" s="145"/>
      <c r="U903" s="138">
        <f>P_1_minW-(U901^2*R_up)+dpup_minQ</f>
        <v>100.22723116642653</v>
      </c>
      <c r="V903" s="132"/>
      <c r="W903" s="145"/>
      <c r="X903" s="138">
        <f>P_1_minW-(X901^2*R_up)+dpup_minQ</f>
        <v>98.715075001781415</v>
      </c>
      <c r="Y903" s="132"/>
      <c r="Z903" s="145"/>
      <c r="AA903" s="138">
        <f>P_1_minW-(AA901^2*R_up)+dpup_minQ</f>
        <v>93.664853321372547</v>
      </c>
      <c r="AB903" s="132"/>
      <c r="AC903" s="145"/>
      <c r="AD903" s="138">
        <f>P_1_minW-(AD901^2*R_up)+dpup_minQ</f>
        <v>81.973353593624736</v>
      </c>
      <c r="AE903" s="132"/>
      <c r="AF903" s="145"/>
      <c r="AG903" s="138">
        <f>P_1_minW-(AG901^2*R_up)+dpup_minQ</f>
        <v>64.031930020643657</v>
      </c>
      <c r="AH903" s="132"/>
      <c r="AI903" s="145"/>
      <c r="AJ903" s="138">
        <f>P_1_minW-(AJ901^2*R_up)+dpup_minQ</f>
        <v>41.691275942083287</v>
      </c>
      <c r="AK903" s="132"/>
      <c r="AL903" s="145"/>
      <c r="AM903" s="138">
        <f>P_1_minW-(AM901^2*R_up)+dpup_minQ</f>
        <v>19.632949365730099</v>
      </c>
      <c r="AN903" s="132"/>
      <c r="AO903" s="145"/>
      <c r="AP903" s="138">
        <f>P_1_minW-(AP901^2*R_up)+dpup_minQ</f>
        <v>-0.16207673162550462</v>
      </c>
      <c r="AQ903" s="132"/>
      <c r="AR903" s="145"/>
      <c r="AS903" s="138">
        <f>P_1_minW-(AS901^2*R_up)+dpup_minQ</f>
        <v>-24.801259659187423</v>
      </c>
      <c r="AT903" s="132"/>
      <c r="AU903" s="145"/>
    </row>
    <row r="904" spans="13:47" x14ac:dyDescent="0.25">
      <c r="M904" s="20"/>
      <c r="N904" s="20"/>
      <c r="O904" s="7" t="s">
        <v>189</v>
      </c>
      <c r="P904" s="1"/>
      <c r="Q904" s="7"/>
      <c r="R904" s="181">
        <f>P_2_minW+(R901^2*R_dn)-dpdn_minQ</f>
        <v>50</v>
      </c>
      <c r="S904" s="132"/>
      <c r="T904" s="146"/>
      <c r="U904" s="138">
        <f>P_2_minW+(U901^2*R_dn)-dpdn_minQ</f>
        <v>50</v>
      </c>
      <c r="V904" s="132"/>
      <c r="W904" s="146"/>
      <c r="X904" s="138">
        <f>P_2_minW+(X901^2*R_dn)-dpdn_minQ</f>
        <v>50</v>
      </c>
      <c r="Y904" s="132"/>
      <c r="Z904" s="146"/>
      <c r="AA904" s="138">
        <f>P_2_minW+(AA901^2*R_dn)-dpdn_minQ</f>
        <v>50</v>
      </c>
      <c r="AB904" s="132"/>
      <c r="AC904" s="146"/>
      <c r="AD904" s="138">
        <f>P_2_minW+(AD901^2*R_dn)-dpdn_minQ</f>
        <v>50</v>
      </c>
      <c r="AE904" s="132"/>
      <c r="AF904" s="146"/>
      <c r="AG904" s="138">
        <f>P_2_minW+(AG901^2*R_dn)-dpdn_minQ</f>
        <v>50</v>
      </c>
      <c r="AH904" s="132"/>
      <c r="AI904" s="146"/>
      <c r="AJ904" s="138">
        <f>P_2_minW+(AJ901^2*R_dn)-dpdn_minQ</f>
        <v>50</v>
      </c>
      <c r="AK904" s="132"/>
      <c r="AL904" s="146"/>
      <c r="AM904" s="138">
        <f>P_2_minW+(AM901^2*R_dn)-dpdn_minQ</f>
        <v>50</v>
      </c>
      <c r="AN904" s="132"/>
      <c r="AO904" s="146"/>
      <c r="AP904" s="138">
        <f>P_2_minW+(AP901^2*R_dn)-dpdn_minQ</f>
        <v>50</v>
      </c>
      <c r="AQ904" s="132"/>
      <c r="AR904" s="146"/>
      <c r="AS904" s="138">
        <f>P_2_minW+(AS901^2*R_dn)-dpdn_minQ</f>
        <v>50</v>
      </c>
      <c r="AT904" s="132"/>
      <c r="AU904" s="146"/>
    </row>
    <row r="905" spans="13:47" x14ac:dyDescent="0.25">
      <c r="M905" s="20"/>
      <c r="N905" s="20"/>
      <c r="O905" s="7" t="s">
        <v>234</v>
      </c>
      <c r="P905" s="1"/>
      <c r="Q905" s="7"/>
      <c r="R905" s="179">
        <f>'Valve Sizing'!G$8*R903/P_1_maxW</f>
        <v>0.48490108766152157</v>
      </c>
      <c r="S905" s="132"/>
      <c r="T905" s="146"/>
      <c r="U905" s="143">
        <f>'Valve Sizing'!$G$8*U903/P_1_maxW</f>
        <v>0.48347831878818887</v>
      </c>
      <c r="V905" s="132"/>
      <c r="W905" s="146"/>
      <c r="X905" s="143">
        <f>'Valve Sizing'!$G$8*X903/P_1_maxW</f>
        <v>0.4761839466727521</v>
      </c>
      <c r="Y905" s="132"/>
      <c r="Z905" s="146"/>
      <c r="AA905" s="143">
        <f>'Valve Sizing'!$G$8*AA903/P_1_maxW</f>
        <v>0.4518225764230106</v>
      </c>
      <c r="AB905" s="132"/>
      <c r="AC905" s="146"/>
      <c r="AD905" s="143">
        <f>'Valve Sizing'!$G$8*AD903/P_1_maxW</f>
        <v>0.39542486327958354</v>
      </c>
      <c r="AE905" s="132"/>
      <c r="AF905" s="146"/>
      <c r="AG905" s="143">
        <f>'Valve Sizing'!$G$8*AG903/P_1_maxW</f>
        <v>0.30887863023710749</v>
      </c>
      <c r="AH905" s="132"/>
      <c r="AI905" s="146"/>
      <c r="AJ905" s="143">
        <f>'Valve Sizing'!$G$8*AJ903/P_1_maxW</f>
        <v>0.20111129247043288</v>
      </c>
      <c r="AK905" s="132"/>
      <c r="AL905" s="146"/>
      <c r="AM905" s="143">
        <f>'Valve Sizing'!$G$8*AM903/P_1_maxW</f>
        <v>9.4705852309092134E-2</v>
      </c>
      <c r="AN905" s="132"/>
      <c r="AO905" s="146"/>
      <c r="AP905" s="143">
        <f>'Valve Sizing'!$G$8*AP903/P_1_maxW</f>
        <v>-7.818292973779383E-4</v>
      </c>
      <c r="AQ905" s="132"/>
      <c r="AR905" s="146"/>
      <c r="AS905" s="143">
        <f>'Valve Sizing'!$G$8*AS903/P_1_maxW</f>
        <v>-0.11963686100379763</v>
      </c>
      <c r="AT905" s="132"/>
      <c r="AU905" s="146"/>
    </row>
    <row r="906" spans="13:47" x14ac:dyDescent="0.25">
      <c r="M906" s="20"/>
      <c r="N906" s="20"/>
      <c r="O906" s="7" t="s">
        <v>190</v>
      </c>
      <c r="P906" s="1"/>
      <c r="Q906" s="7"/>
      <c r="R906" s="181">
        <f>R903-R904</f>
        <v>50.522177556414263</v>
      </c>
      <c r="S906" s="132"/>
      <c r="T906" s="146"/>
      <c r="U906" s="138">
        <f>U903-U904</f>
        <v>50.227231166426535</v>
      </c>
      <c r="V906" s="132"/>
      <c r="W906" s="146"/>
      <c r="X906" s="138">
        <f>X903-X904</f>
        <v>48.715075001781415</v>
      </c>
      <c r="Y906" s="132"/>
      <c r="Z906" s="146"/>
      <c r="AA906" s="138">
        <f>AA903-AA904</f>
        <v>43.664853321372547</v>
      </c>
      <c r="AB906" s="132"/>
      <c r="AC906" s="146"/>
      <c r="AD906" s="138">
        <f>AD903-AD904</f>
        <v>31.973353593624736</v>
      </c>
      <c r="AE906" s="132"/>
      <c r="AF906" s="146"/>
      <c r="AG906" s="138">
        <f>AG903-AG904</f>
        <v>14.031930020643657</v>
      </c>
      <c r="AH906" s="132"/>
      <c r="AI906" s="146"/>
      <c r="AJ906" s="138">
        <f>AJ903-AJ904</f>
        <v>-8.308724057916713</v>
      </c>
      <c r="AK906" s="132"/>
      <c r="AL906" s="146"/>
      <c r="AM906" s="138">
        <f>AM903-AM904</f>
        <v>-30.367050634269901</v>
      </c>
      <c r="AN906" s="132"/>
      <c r="AO906" s="146"/>
      <c r="AP906" s="138">
        <f>AP903-AP904</f>
        <v>-50.162076731625504</v>
      </c>
      <c r="AQ906" s="132"/>
      <c r="AR906" s="146"/>
      <c r="AS906" s="138">
        <f>AS903-AS904</f>
        <v>-74.801259659187423</v>
      </c>
      <c r="AT906" s="132"/>
      <c r="AU906" s="146"/>
    </row>
    <row r="907" spans="13:47" ht="14.5" x14ac:dyDescent="0.35">
      <c r="M907" s="27"/>
      <c r="N907" s="27"/>
      <c r="O907" s="2" t="s">
        <v>191</v>
      </c>
      <c r="P907" s="10"/>
      <c r="Q907" s="2"/>
      <c r="R907" s="181">
        <f>R906/R903</f>
        <v>0.5025973251331588</v>
      </c>
      <c r="S907" s="132"/>
      <c r="T907" s="146"/>
      <c r="U907" s="138">
        <f>U906/U903</f>
        <v>0.5011335799851101</v>
      </c>
      <c r="V907" s="132"/>
      <c r="W907" s="146"/>
      <c r="X907" s="138">
        <f>X906/X903</f>
        <v>0.49349174886310221</v>
      </c>
      <c r="Y907" s="132"/>
      <c r="Z907" s="146"/>
      <c r="AA907" s="138">
        <f>AA906/AA903</f>
        <v>0.46618183633464416</v>
      </c>
      <c r="AB907" s="132"/>
      <c r="AC907" s="146"/>
      <c r="AD907" s="138">
        <f>AD906/AD903</f>
        <v>0.39004569402064065</v>
      </c>
      <c r="AE907" s="132"/>
      <c r="AF907" s="146"/>
      <c r="AG907" s="138">
        <f>AG906/AG903</f>
        <v>0.219139576397585</v>
      </c>
      <c r="AH907" s="132"/>
      <c r="AI907" s="146"/>
      <c r="AJ907" s="138">
        <f>AJ906/AJ903</f>
        <v>-0.19929167122299235</v>
      </c>
      <c r="AK907" s="132"/>
      <c r="AL907" s="146"/>
      <c r="AM907" s="138">
        <f>AM906/AM903</f>
        <v>-1.5467391102875505</v>
      </c>
      <c r="AN907" s="132"/>
      <c r="AO907" s="146"/>
      <c r="AP907" s="138">
        <f>AP906/AP903</f>
        <v>309.49585562676742</v>
      </c>
      <c r="AQ907" s="132"/>
      <c r="AR907" s="146"/>
      <c r="AS907" s="138">
        <f>AS906/AS903</f>
        <v>3.0160266328036252</v>
      </c>
      <c r="AT907" s="132"/>
      <c r="AU907" s="146"/>
    </row>
    <row r="908" spans="13:47" x14ac:dyDescent="0.25">
      <c r="M908" s="27"/>
      <c r="N908" s="27"/>
      <c r="O908" s="2" t="s">
        <v>26</v>
      </c>
      <c r="P908" s="7">
        <v>12</v>
      </c>
      <c r="Q908" s="2"/>
      <c r="R908" s="181">
        <f>1-R907/(3*F_GAMMA*R$29)</f>
        <v>0.73824155374323852</v>
      </c>
      <c r="S908" s="133"/>
      <c r="T908" s="146"/>
      <c r="U908" s="138">
        <f>1-U907/(3*F_GAMMA*U$29)</f>
        <v>0.73906135383387173</v>
      </c>
      <c r="V908" s="133"/>
      <c r="W908" s="146"/>
      <c r="X908" s="138">
        <f>1-X907/(3*F_GAMMA*X$29)</f>
        <v>0.73918562827550516</v>
      </c>
      <c r="Y908" s="133"/>
      <c r="Z908" s="146"/>
      <c r="AA908" s="138">
        <f>1-AA907/(3*F_GAMMA*AA$29)</f>
        <v>0.75024091293836392</v>
      </c>
      <c r="AB908" s="133"/>
      <c r="AC908" s="146"/>
      <c r="AD908" s="138">
        <f>1-AD907/(3*F_GAMMA*AD$29)</f>
        <v>0.78530172529245479</v>
      </c>
      <c r="AE908" s="133"/>
      <c r="AF908" s="146"/>
      <c r="AG908" s="138">
        <f>1-AG907/(3*F_GAMMA*AG$29)</f>
        <v>0.87249537001943522</v>
      </c>
      <c r="AH908" s="133"/>
      <c r="AI908" s="146"/>
      <c r="AJ908" s="138">
        <f>1-AJ907/(3*F_GAMMA*AJ$29)</f>
        <v>1.1239588387900483</v>
      </c>
      <c r="AK908" s="133"/>
      <c r="AL908" s="146"/>
      <c r="AM908" s="138">
        <f>1-AM907/(3*F_GAMMA*AM$29)</f>
        <v>2.0511562688854728</v>
      </c>
      <c r="AN908" s="133"/>
      <c r="AO908" s="146"/>
      <c r="AP908" s="138">
        <f>1-AP907/(3*F_GAMMA*AP$29)</f>
        <v>-172.81652432412022</v>
      </c>
      <c r="AQ908" s="133"/>
      <c r="AR908" s="146"/>
      <c r="AS908" s="138">
        <f>1-AS907/(3*F_GAMMA*AS$29)</f>
        <v>-1.5713904494461306</v>
      </c>
      <c r="AT908" s="133"/>
      <c r="AU908" s="146"/>
    </row>
    <row r="909" spans="13:47" x14ac:dyDescent="0.25">
      <c r="M909" s="27"/>
      <c r="N909" s="27"/>
      <c r="O909" s="2" t="s">
        <v>71</v>
      </c>
      <c r="P909" s="85">
        <v>5</v>
      </c>
      <c r="Q909" s="2"/>
      <c r="R909" s="179">
        <f>R901/((N_6*R$27*R908)*SQRT(R907*R903*R905))</f>
        <v>0.16900431343933503</v>
      </c>
      <c r="S909" s="133"/>
      <c r="T909" s="146"/>
      <c r="U909" s="143">
        <f>U901/((N_6*U$27*U908)*SQRT(U907*U903*U905))</f>
        <v>3.7371616165151988</v>
      </c>
      <c r="V909" s="133"/>
      <c r="W909" s="146"/>
      <c r="X909" s="143">
        <f>X901/((N_6*X$27*X908)*SQRT(X907*X903*X905))</f>
        <v>9.4757665765391348</v>
      </c>
      <c r="Y909" s="133"/>
      <c r="Z909" s="146"/>
      <c r="AA909" s="143">
        <f>AA901/((N_6*AA$27*AA908)*SQRT(AA907*AA903*AA905))</f>
        <v>19.831649863925605</v>
      </c>
      <c r="AB909" s="133"/>
      <c r="AC909" s="146"/>
      <c r="AD909" s="143">
        <f>AD901/((N_6*AD$27*AD908)*SQRT(AD907*AD903*AD905))</f>
        <v>39.387670177192852</v>
      </c>
      <c r="AE909" s="133"/>
      <c r="AF909" s="146"/>
      <c r="AG909" s="143">
        <f>AG901/((N_6*AG$27*AG908)*SQRT(AG907*AG903*AG905))</f>
        <v>86.757012615620624</v>
      </c>
      <c r="AH909" s="133"/>
      <c r="AI909" s="146"/>
      <c r="AJ909" s="143" t="e">
        <f>AJ901/((N_6*AJ$27*AJ908)*SQRT(AJ907*AJ903*AJ905))</f>
        <v>#NUM!</v>
      </c>
      <c r="AK909" s="133"/>
      <c r="AL909" s="146"/>
      <c r="AM909" s="143" t="e">
        <f>AM901/((N_6*AM$27*AM908)*SQRT(AM907*AM903*AM905))</f>
        <v>#NUM!</v>
      </c>
      <c r="AN909" s="133"/>
      <c r="AO909" s="146"/>
      <c r="AP909" s="143">
        <f>AP901/((N_6*AP$27*AP908)*SQRT(AP907*AP903*AP905))</f>
        <v>-9.5384843396771828</v>
      </c>
      <c r="AQ909" s="133"/>
      <c r="AR909" s="146"/>
      <c r="AS909" s="143">
        <f>AS901/((N_6*AS$27*AS908)*SQRT(AS907*AS903*AS905))</f>
        <v>-101.80282324329598</v>
      </c>
      <c r="AT909" s="133"/>
      <c r="AU909" s="146"/>
    </row>
    <row r="910" spans="13:47" x14ac:dyDescent="0.25">
      <c r="M910" s="27"/>
      <c r="N910" s="27"/>
      <c r="O910" s="2" t="s">
        <v>73</v>
      </c>
      <c r="P910" s="85">
        <v>5</v>
      </c>
      <c r="Q910" s="2"/>
      <c r="R910" s="179">
        <f>R901/((N_6*R$27*0.667)*SQRT(R911*R903*R905))</f>
        <v>0.16576064252446976</v>
      </c>
      <c r="S910" s="133"/>
      <c r="T910" s="155"/>
      <c r="U910" s="143">
        <f>U901/((N_6*U$27*0.667)*SQRT(U911*U903*U905))</f>
        <v>3.6637545326503349</v>
      </c>
      <c r="V910" s="133"/>
      <c r="W910" s="155"/>
      <c r="X910" s="143">
        <f>X901/((N_6*X$27*0.667)*SQRT(X911*X903*X905))</f>
        <v>9.2889884136873331</v>
      </c>
      <c r="Y910" s="133"/>
      <c r="Z910" s="155"/>
      <c r="AA910" s="143">
        <f>AA901/((N_6*AA$27*0.667)*SQRT(AA911*AA903*AA905))</f>
        <v>19.308788816471626</v>
      </c>
      <c r="AB910" s="133"/>
      <c r="AC910" s="155"/>
      <c r="AD910" s="143">
        <f>AD901/((N_6*AD$27*0.667)*SQRT(AD911*AD903*AD905))</f>
        <v>37.217390122809242</v>
      </c>
      <c r="AE910" s="133"/>
      <c r="AF910" s="155"/>
      <c r="AG910" s="143">
        <f>AG901/((N_6*AG$27*0.667)*SQRT(AG911*AG903*AG905))</f>
        <v>70.1884240460558</v>
      </c>
      <c r="AH910" s="133"/>
      <c r="AI910" s="155"/>
      <c r="AJ910" s="143">
        <f>AJ901/((N_6*AJ$27*0.667)*SQRT(AJ911*AJ903*AJ905))</f>
        <v>146.3797663927763</v>
      </c>
      <c r="AK910" s="133"/>
      <c r="AL910" s="155"/>
      <c r="AM910" s="143">
        <f>AM901/((N_6*AM$27*0.667)*SQRT(AM911*AM903*AM905))</f>
        <v>404.38761665326251</v>
      </c>
      <c r="AN910" s="133"/>
      <c r="AO910" s="155"/>
      <c r="AP910" s="143">
        <f>AP901/((N_6*AP$27*0.667)*SQRT(AP911*AP903*AP905))</f>
        <v>56434.536374996511</v>
      </c>
      <c r="AQ910" s="133"/>
      <c r="AR910" s="155"/>
      <c r="AS910" s="143">
        <f>AS901/((N_6*AS$27*0.667)*SQRT(AS911*AS903*AS905))</f>
        <v>666.13574435877854</v>
      </c>
      <c r="AT910" s="133"/>
      <c r="AU910" s="155"/>
    </row>
    <row r="911" spans="13:47" ht="15.5" x14ac:dyDescent="0.4">
      <c r="M911" s="27"/>
      <c r="N911" s="27"/>
      <c r="O911" s="2" t="s">
        <v>192</v>
      </c>
      <c r="P911" s="85">
        <v>10</v>
      </c>
      <c r="Q911" s="2"/>
      <c r="R911" s="181">
        <f>F_GAMMA*R$29</f>
        <v>0.64002688015162901</v>
      </c>
      <c r="S911" s="133"/>
      <c r="T911" s="155"/>
      <c r="U911" s="138">
        <f>F_GAMMA*U$29</f>
        <v>0.64016782916606918</v>
      </c>
      <c r="V911" s="133"/>
      <c r="W911" s="155"/>
      <c r="X911" s="138">
        <f>F_GAMMA*X$29</f>
        <v>0.6307062319203669</v>
      </c>
      <c r="Y911" s="133"/>
      <c r="Z911" s="155"/>
      <c r="AA911" s="138">
        <f>F_GAMMA*AA$29</f>
        <v>0.62217534213893466</v>
      </c>
      <c r="AB911" s="133"/>
      <c r="AC911" s="155"/>
      <c r="AD911" s="138">
        <f>F_GAMMA*AD$29</f>
        <v>0.60557184969146072</v>
      </c>
      <c r="AE911" s="133"/>
      <c r="AF911" s="155"/>
      <c r="AG911" s="138">
        <f>F_GAMMA*AG$29</f>
        <v>0.57289312142622573</v>
      </c>
      <c r="AH911" s="133"/>
      <c r="AI911" s="155"/>
      <c r="AJ911" s="138">
        <f>F_GAMMA*AJ$29</f>
        <v>0.53590819116049981</v>
      </c>
      <c r="AK911" s="133"/>
      <c r="AL911" s="155"/>
      <c r="AM911" s="138">
        <f>F_GAMMA*AM$29</f>
        <v>0.49048815926850342</v>
      </c>
      <c r="AN911" s="133"/>
      <c r="AO911" s="155"/>
      <c r="AP911" s="138">
        <f>F_GAMMA*AP$29</f>
        <v>0.59352979016280105</v>
      </c>
      <c r="AQ911" s="133"/>
      <c r="AR911" s="155"/>
      <c r="AS911" s="138">
        <f>F_GAMMA*AS$29</f>
        <v>0.39097221161068291</v>
      </c>
      <c r="AT911" s="133"/>
      <c r="AU911" s="155"/>
    </row>
    <row r="912" spans="13:47" x14ac:dyDescent="0.25">
      <c r="M912" s="27"/>
      <c r="N912" s="27"/>
      <c r="O912" s="2" t="s">
        <v>193</v>
      </c>
      <c r="P912" s="134"/>
      <c r="Q912" s="2"/>
      <c r="R912" s="181">
        <f>IF(R907&lt;R911,R909,R910)</f>
        <v>0.16900431343933503</v>
      </c>
      <c r="S912" s="133"/>
      <c r="T912" s="155"/>
      <c r="U912" s="138">
        <f>IF(U907&lt;U911,U909,U910)</f>
        <v>3.7371616165151988</v>
      </c>
      <c r="V912" s="133"/>
      <c r="W912" s="155"/>
      <c r="X912" s="138">
        <f>IF(X907&lt;X911,X909,X910)</f>
        <v>9.4757665765391348</v>
      </c>
      <c r="Y912" s="133"/>
      <c r="Z912" s="155"/>
      <c r="AA912" s="138">
        <f>IF(AA907&lt;AA911,AA909,AA910)</f>
        <v>19.831649863925605</v>
      </c>
      <c r="AB912" s="133"/>
      <c r="AC912" s="155"/>
      <c r="AD912" s="138">
        <f>IF(AD907&lt;AD911,AD909,AD910)</f>
        <v>39.387670177192852</v>
      </c>
      <c r="AE912" s="133"/>
      <c r="AF912" s="155"/>
      <c r="AG912" s="138">
        <f>IF(AG907&lt;AG911,AG909,AG910)</f>
        <v>86.757012615620624</v>
      </c>
      <c r="AH912" s="133"/>
      <c r="AI912" s="155"/>
      <c r="AJ912" s="138" t="e">
        <f>IF(AJ907&lt;AJ911,AJ909,AJ910)</f>
        <v>#NUM!</v>
      </c>
      <c r="AK912" s="133"/>
      <c r="AL912" s="155"/>
      <c r="AM912" s="138" t="e">
        <f>IF(AM907&lt;AM911,AM909,AM910)</f>
        <v>#NUM!</v>
      </c>
      <c r="AN912" s="133"/>
      <c r="AO912" s="155"/>
      <c r="AP912" s="138">
        <f>IF(AP907&lt;AP911,AP909,AP910)</f>
        <v>56434.536374996511</v>
      </c>
      <c r="AQ912" s="133"/>
      <c r="AR912" s="155"/>
      <c r="AS912" s="138">
        <f>IF(AS907&lt;AS911,AS909,AS910)</f>
        <v>666.13574435877854</v>
      </c>
      <c r="AT912" s="133"/>
      <c r="AU912" s="155"/>
    </row>
    <row r="913" spans="13:47" ht="13" x14ac:dyDescent="0.3">
      <c r="M913" s="28"/>
      <c r="N913" s="28"/>
      <c r="O913" s="9" t="s">
        <v>194</v>
      </c>
      <c r="P913" s="1"/>
      <c r="Q913" s="1"/>
      <c r="R913" s="135"/>
      <c r="S913" s="132">
        <f>IF(R906&lt;=0,W_max,ABS(R$23-R912))</f>
        <v>1.8309956865606649</v>
      </c>
      <c r="T913" s="151">
        <f>R901</f>
        <v>39.085541748866071</v>
      </c>
      <c r="U913" s="135"/>
      <c r="V913" s="132">
        <f>IF(U906&lt;=0,W_max,ABS(U$23-U912))</f>
        <v>1.2628383834848012</v>
      </c>
      <c r="W913" s="151">
        <f>U901</f>
        <v>860.91996761761607</v>
      </c>
      <c r="X913" s="135"/>
      <c r="Y913" s="132">
        <f>IF(X906&lt;=0,W_max,ABS(X$23-X912))</f>
        <v>0.52423342346086521</v>
      </c>
      <c r="Z913" s="151">
        <f>X901</f>
        <v>2129.1575305954666</v>
      </c>
      <c r="AA913" s="135"/>
      <c r="AB913" s="132">
        <f>IF(AA906&lt;=0,W_max,ABS(AA$23-AA912))</f>
        <v>2.6316498639256061</v>
      </c>
      <c r="AC913" s="151">
        <f>AA901</f>
        <v>4147.0554119059952</v>
      </c>
      <c r="AD913" s="135"/>
      <c r="AE913" s="132">
        <f>IF(AD906&lt;=0,W_max,ABS(AD$23-AD912))</f>
        <v>12.787670177192851</v>
      </c>
      <c r="AF913" s="151">
        <f>AD901</f>
        <v>6820.3792973704894</v>
      </c>
      <c r="AG913" s="135"/>
      <c r="AH913" s="132">
        <f>IF(AG906&lt;=0,W_max,ABS(AG$23-AG912))</f>
        <v>48.357012615620626</v>
      </c>
      <c r="AI913" s="151">
        <f>AG901</f>
        <v>9566.1070394392464</v>
      </c>
      <c r="AJ913" s="135"/>
      <c r="AK913" s="132">
        <f>IF(AJ906&lt;=0,W_max,ABS(AJ$23-AJ912))</f>
        <v>7174</v>
      </c>
      <c r="AL913" s="151">
        <f>AJ901</f>
        <v>12146.417559541067</v>
      </c>
      <c r="AM913" s="135"/>
      <c r="AN913" s="132">
        <f>IF(AM906&lt;=0,W_max,ABS(AM$23-AM912))</f>
        <v>7174</v>
      </c>
      <c r="AO913" s="151">
        <f>AM901</f>
        <v>14242.629842644083</v>
      </c>
      <c r="AP913" s="135"/>
      <c r="AQ913" s="132">
        <f>IF(AP906&lt;=0,W_max,ABS(AP$23-AP912))</f>
        <v>7174</v>
      </c>
      <c r="AR913" s="151">
        <f>AP901</f>
        <v>15890.051288708821</v>
      </c>
      <c r="AS913" s="135"/>
      <c r="AT913" s="132">
        <f>IF(AS906&lt;=0,W_max,ABS(AS$23-AS912))</f>
        <v>7174</v>
      </c>
      <c r="AU913" s="151">
        <f>AS901</f>
        <v>17728.027249700852</v>
      </c>
    </row>
    <row r="914" spans="13:47" ht="13" x14ac:dyDescent="0.25">
      <c r="M914" s="12"/>
      <c r="N914" s="12"/>
      <c r="O914" s="2"/>
      <c r="P914" s="85"/>
      <c r="Q914" s="2"/>
      <c r="R914" s="18"/>
      <c r="S914" s="150"/>
      <c r="T914" s="148"/>
      <c r="U914" s="157"/>
      <c r="V914" s="1"/>
      <c r="W914" s="147"/>
      <c r="X914" s="157"/>
      <c r="Y914" s="1"/>
      <c r="Z914" s="147"/>
      <c r="AA914" s="157"/>
      <c r="AB914" s="1"/>
      <c r="AC914" s="147"/>
      <c r="AD914" s="157"/>
      <c r="AE914" s="1"/>
      <c r="AF914" s="147"/>
      <c r="AG914" s="157"/>
      <c r="AH914" s="1"/>
      <c r="AI914" s="147"/>
      <c r="AJ914" s="157"/>
      <c r="AK914" s="1"/>
      <c r="AL914" s="147"/>
      <c r="AM914" s="157"/>
      <c r="AN914" s="1"/>
      <c r="AO914" s="147"/>
      <c r="AP914" s="157"/>
      <c r="AQ914" s="1"/>
      <c r="AR914" s="147"/>
      <c r="AS914" s="157"/>
      <c r="AT914" s="1"/>
      <c r="AU914" s="147"/>
    </row>
    <row r="915" spans="13:47" ht="14" x14ac:dyDescent="0.3">
      <c r="M915" s="23"/>
      <c r="N915" s="23"/>
      <c r="O915" s="23" t="s">
        <v>238</v>
      </c>
      <c r="P915" s="20"/>
      <c r="Q915" s="20"/>
      <c r="R915" s="181">
        <f>R901*1.02</f>
        <v>39.867252583843396</v>
      </c>
      <c r="S915" s="128" t="s">
        <v>185</v>
      </c>
      <c r="T915" s="149" t="s">
        <v>186</v>
      </c>
      <c r="U915" s="143">
        <f>U901*1.01</f>
        <v>869.52916729379228</v>
      </c>
      <c r="V915" s="128" t="s">
        <v>185</v>
      </c>
      <c r="W915" s="153" t="s">
        <v>186</v>
      </c>
      <c r="X915" s="143">
        <f>X901*1.01</f>
        <v>2150.4491059014213</v>
      </c>
      <c r="Y915" s="128" t="s">
        <v>185</v>
      </c>
      <c r="Z915" s="153" t="s">
        <v>186</v>
      </c>
      <c r="AA915" s="143">
        <f>AA901*1.01</f>
        <v>4188.5259660250549</v>
      </c>
      <c r="AB915" s="128" t="s">
        <v>185</v>
      </c>
      <c r="AC915" s="153" t="s">
        <v>186</v>
      </c>
      <c r="AD915" s="143">
        <f>AD901*1.01</f>
        <v>6888.5830903441947</v>
      </c>
      <c r="AE915" s="128" t="s">
        <v>185</v>
      </c>
      <c r="AF915" s="153" t="s">
        <v>186</v>
      </c>
      <c r="AG915" s="143">
        <f>AG901*1.01</f>
        <v>9661.7681098336398</v>
      </c>
      <c r="AH915" s="128" t="s">
        <v>185</v>
      </c>
      <c r="AI915" s="153" t="s">
        <v>186</v>
      </c>
      <c r="AJ915" s="143">
        <f>AJ901*1.01</f>
        <v>12267.881735136478</v>
      </c>
      <c r="AK915" s="128" t="s">
        <v>185</v>
      </c>
      <c r="AL915" s="153" t="s">
        <v>186</v>
      </c>
      <c r="AM915" s="143">
        <f>AM901*1.01</f>
        <v>14385.056141070523</v>
      </c>
      <c r="AN915" s="128" t="s">
        <v>185</v>
      </c>
      <c r="AO915" s="153" t="s">
        <v>186</v>
      </c>
      <c r="AP915" s="143">
        <f>AP901*1.01</f>
        <v>16048.951801595909</v>
      </c>
      <c r="AQ915" s="128" t="s">
        <v>185</v>
      </c>
      <c r="AR915" s="153" t="s">
        <v>186</v>
      </c>
      <c r="AS915" s="143">
        <f>AS901*1.01</f>
        <v>17905.307522197862</v>
      </c>
      <c r="AT915" s="128" t="s">
        <v>185</v>
      </c>
      <c r="AU915" s="153" t="s">
        <v>186</v>
      </c>
    </row>
    <row r="916" spans="13:47" ht="14" x14ac:dyDescent="0.3">
      <c r="M916" s="12"/>
      <c r="N916" s="12"/>
      <c r="O916" s="20"/>
      <c r="P916" s="20"/>
      <c r="Q916" s="23"/>
      <c r="R916" s="139"/>
      <c r="S916" s="130" t="s">
        <v>228</v>
      </c>
      <c r="T916" s="131" t="s">
        <v>187</v>
      </c>
      <c r="U916" s="144"/>
      <c r="V916" s="130" t="s">
        <v>228</v>
      </c>
      <c r="W916" s="154" t="s">
        <v>187</v>
      </c>
      <c r="X916" s="144"/>
      <c r="Y916" s="130" t="s">
        <v>228</v>
      </c>
      <c r="Z916" s="154" t="s">
        <v>187</v>
      </c>
      <c r="AA916" s="144"/>
      <c r="AB916" s="130" t="s">
        <v>228</v>
      </c>
      <c r="AC916" s="154" t="s">
        <v>187</v>
      </c>
      <c r="AD916" s="144"/>
      <c r="AE916" s="130" t="s">
        <v>228</v>
      </c>
      <c r="AF916" s="154" t="s">
        <v>187</v>
      </c>
      <c r="AG916" s="144"/>
      <c r="AH916" s="130" t="s">
        <v>228</v>
      </c>
      <c r="AI916" s="154" t="s">
        <v>187</v>
      </c>
      <c r="AJ916" s="144"/>
      <c r="AK916" s="130" t="s">
        <v>228</v>
      </c>
      <c r="AL916" s="154" t="s">
        <v>187</v>
      </c>
      <c r="AM916" s="144"/>
      <c r="AN916" s="130" t="s">
        <v>228</v>
      </c>
      <c r="AO916" s="154" t="s">
        <v>187</v>
      </c>
      <c r="AP916" s="144"/>
      <c r="AQ916" s="130" t="s">
        <v>228</v>
      </c>
      <c r="AR916" s="154" t="s">
        <v>187</v>
      </c>
      <c r="AS916" s="144"/>
      <c r="AT916" s="130" t="s">
        <v>228</v>
      </c>
      <c r="AU916" s="154" t="s">
        <v>187</v>
      </c>
    </row>
    <row r="917" spans="13:47" x14ac:dyDescent="0.25">
      <c r="M917" s="20"/>
      <c r="N917" s="20"/>
      <c r="O917" s="7" t="s">
        <v>188</v>
      </c>
      <c r="P917" s="7"/>
      <c r="Q917" s="7"/>
      <c r="R917" s="181">
        <f>P_1_minW-(R915^2*R_up)+dpup_minQ</f>
        <v>100.52215294552964</v>
      </c>
      <c r="S917" s="132"/>
      <c r="T917" s="145"/>
      <c r="U917" s="138">
        <f>P_1_minW-(U915^2*R_up)+dpup_minQ</f>
        <v>100.22129049946351</v>
      </c>
      <c r="V917" s="132"/>
      <c r="W917" s="145"/>
      <c r="X917" s="138">
        <f>P_1_minW-(X915^2*R_up)+dpup_minQ</f>
        <v>98.678739995909012</v>
      </c>
      <c r="Y917" s="132"/>
      <c r="Z917" s="145"/>
      <c r="AA917" s="138">
        <f>P_1_minW-(AA915^2*R_up)+dpup_minQ</f>
        <v>93.527008859723935</v>
      </c>
      <c r="AB917" s="132"/>
      <c r="AC917" s="145"/>
      <c r="AD917" s="138">
        <f>P_1_minW-(AD915^2*R_up)+dpup_minQ</f>
        <v>81.600509987448376</v>
      </c>
      <c r="AE917" s="132"/>
      <c r="AF917" s="145"/>
      <c r="AG917" s="138">
        <f>P_1_minW-(AG915^2*R_up)+dpup_minQ</f>
        <v>63.298463800650381</v>
      </c>
      <c r="AH917" s="132"/>
      <c r="AI917" s="145"/>
      <c r="AJ917" s="138">
        <f>P_1_minW-(AJ915^2*R_up)+dpup_minQ</f>
        <v>40.508762575110943</v>
      </c>
      <c r="AK917" s="132"/>
      <c r="AL917" s="145"/>
      <c r="AM917" s="138">
        <f>P_1_minW-(AM915^2*R_up)+dpup_minQ</f>
        <v>18.007063634573072</v>
      </c>
      <c r="AN917" s="132"/>
      <c r="AO917" s="145"/>
      <c r="AP917" s="138">
        <f>P_1_minW-(AP915^2*R_up)+dpup_minQ</f>
        <v>-2.1858424873393862</v>
      </c>
      <c r="AQ917" s="132"/>
      <c r="AR917" s="145"/>
      <c r="AS917" s="138">
        <f>P_1_minW-(AS915^2*R_up)+dpup_minQ</f>
        <v>-27.320272991745313</v>
      </c>
      <c r="AT917" s="132"/>
      <c r="AU917" s="145"/>
    </row>
    <row r="918" spans="13:47" x14ac:dyDescent="0.25">
      <c r="M918" s="20"/>
      <c r="N918" s="20"/>
      <c r="O918" s="7" t="s">
        <v>189</v>
      </c>
      <c r="P918" s="1"/>
      <c r="Q918" s="7"/>
      <c r="R918" s="181">
        <f>P_2_minW+(R915^2*R_dn)-dpdn_minQ</f>
        <v>50</v>
      </c>
      <c r="S918" s="132"/>
      <c r="T918" s="146"/>
      <c r="U918" s="138">
        <f>P_2_minW+(U915^2*R_dn)-dpdn_minQ</f>
        <v>50</v>
      </c>
      <c r="V918" s="132"/>
      <c r="W918" s="146"/>
      <c r="X918" s="138">
        <f>P_2_minW+(X915^2*R_dn)-dpdn_minQ</f>
        <v>50</v>
      </c>
      <c r="Y918" s="132"/>
      <c r="Z918" s="146"/>
      <c r="AA918" s="138">
        <f>P_2_minW+(AA915^2*R_dn)-dpdn_minQ</f>
        <v>50</v>
      </c>
      <c r="AB918" s="132"/>
      <c r="AC918" s="146"/>
      <c r="AD918" s="138">
        <f>P_2_minW+(AD915^2*R_dn)-dpdn_minQ</f>
        <v>50</v>
      </c>
      <c r="AE918" s="132"/>
      <c r="AF918" s="146"/>
      <c r="AG918" s="138">
        <f>P_2_minW+(AG915^2*R_dn)-dpdn_minQ</f>
        <v>50</v>
      </c>
      <c r="AH918" s="132"/>
      <c r="AI918" s="146"/>
      <c r="AJ918" s="138">
        <f>P_2_minW+(AJ915^2*R_dn)-dpdn_minQ</f>
        <v>50</v>
      </c>
      <c r="AK918" s="132"/>
      <c r="AL918" s="146"/>
      <c r="AM918" s="138">
        <f>P_2_minW+(AM915^2*R_dn)-dpdn_minQ</f>
        <v>50</v>
      </c>
      <c r="AN918" s="132"/>
      <c r="AO918" s="146"/>
      <c r="AP918" s="138">
        <f>P_2_minW+(AP915^2*R_dn)-dpdn_minQ</f>
        <v>50</v>
      </c>
      <c r="AQ918" s="132"/>
      <c r="AR918" s="146"/>
      <c r="AS918" s="138">
        <f>P_2_minW+(AS915^2*R_dn)-dpdn_minQ</f>
        <v>50</v>
      </c>
      <c r="AT918" s="132"/>
      <c r="AU918" s="146"/>
    </row>
    <row r="919" spans="13:47" x14ac:dyDescent="0.25">
      <c r="M919" s="20"/>
      <c r="N919" s="20"/>
      <c r="O919" s="7" t="s">
        <v>234</v>
      </c>
      <c r="P919" s="1"/>
      <c r="Q919" s="7"/>
      <c r="R919" s="179">
        <f>'Valve Sizing'!G$8*R917/P_1_maxW</f>
        <v>0.48490096894299584</v>
      </c>
      <c r="S919" s="132"/>
      <c r="T919" s="146"/>
      <c r="U919" s="143">
        <f>'Valve Sizing'!$G$8*U917/P_1_maxW</f>
        <v>0.48344966206842976</v>
      </c>
      <c r="V919" s="132"/>
      <c r="W919" s="146"/>
      <c r="X919" s="143">
        <f>'Valve Sizing'!$G$8*X917/P_1_maxW</f>
        <v>0.47600867307347261</v>
      </c>
      <c r="Y919" s="132"/>
      <c r="Z919" s="146"/>
      <c r="AA919" s="143">
        <f>'Valve Sizing'!$G$8*AA917/P_1_maxW</f>
        <v>0.45115763928171149</v>
      </c>
      <c r="AB919" s="132"/>
      <c r="AC919" s="146"/>
      <c r="AD919" s="143">
        <f>'Valve Sizing'!$G$8*AD917/P_1_maxW</f>
        <v>0.39362633210410142</v>
      </c>
      <c r="AE919" s="132"/>
      <c r="AF919" s="146"/>
      <c r="AG919" s="143">
        <f>'Valve Sizing'!$G$8*AG917/P_1_maxW</f>
        <v>0.30534051977747156</v>
      </c>
      <c r="AH919" s="132"/>
      <c r="AI919" s="146"/>
      <c r="AJ919" s="143">
        <f>'Valve Sizing'!$G$8*AJ917/P_1_maxW</f>
        <v>0.1954070585216868</v>
      </c>
      <c r="AK919" s="132"/>
      <c r="AL919" s="146"/>
      <c r="AM919" s="143">
        <f>'Valve Sizing'!$G$8*AM917/P_1_maxW</f>
        <v>8.6862869013103194E-2</v>
      </c>
      <c r="AN919" s="132"/>
      <c r="AO919" s="146"/>
      <c r="AP919" s="143">
        <f>'Valve Sizing'!$G$8*AP917/P_1_maxW</f>
        <v>-1.0544114993656952E-2</v>
      </c>
      <c r="AQ919" s="132"/>
      <c r="AR919" s="146"/>
      <c r="AS919" s="143">
        <f>'Valve Sizing'!$G$8*AS917/P_1_maxW</f>
        <v>-0.13178813283737573</v>
      </c>
      <c r="AT919" s="132"/>
      <c r="AU919" s="146"/>
    </row>
    <row r="920" spans="13:47" x14ac:dyDescent="0.25">
      <c r="M920" s="20"/>
      <c r="N920" s="20"/>
      <c r="O920" s="7" t="s">
        <v>190</v>
      </c>
      <c r="P920" s="1"/>
      <c r="Q920" s="7"/>
      <c r="R920" s="181">
        <f>R917-R918</f>
        <v>50.522152945529641</v>
      </c>
      <c r="S920" s="132"/>
      <c r="T920" s="146"/>
      <c r="U920" s="138">
        <f>U917-U918</f>
        <v>50.221290499463507</v>
      </c>
      <c r="V920" s="132"/>
      <c r="W920" s="146"/>
      <c r="X920" s="138">
        <f>X917-X918</f>
        <v>48.678739995909012</v>
      </c>
      <c r="Y920" s="132"/>
      <c r="Z920" s="146"/>
      <c r="AA920" s="138">
        <f>AA917-AA918</f>
        <v>43.527008859723935</v>
      </c>
      <c r="AB920" s="132"/>
      <c r="AC920" s="146"/>
      <c r="AD920" s="138">
        <f>AD917-AD918</f>
        <v>31.600509987448376</v>
      </c>
      <c r="AE920" s="132"/>
      <c r="AF920" s="146"/>
      <c r="AG920" s="138">
        <f>AG917-AG918</f>
        <v>13.298463800650381</v>
      </c>
      <c r="AH920" s="132"/>
      <c r="AI920" s="146"/>
      <c r="AJ920" s="138">
        <f>AJ917-AJ918</f>
        <v>-9.4912374248890572</v>
      </c>
      <c r="AK920" s="132"/>
      <c r="AL920" s="146"/>
      <c r="AM920" s="138">
        <f>AM917-AM918</f>
        <v>-31.992936365426928</v>
      </c>
      <c r="AN920" s="132"/>
      <c r="AO920" s="146"/>
      <c r="AP920" s="138">
        <f>AP917-AP918</f>
        <v>-52.185842487339386</v>
      </c>
      <c r="AQ920" s="132"/>
      <c r="AR920" s="146"/>
      <c r="AS920" s="138">
        <f>AS917-AS918</f>
        <v>-77.320272991745313</v>
      </c>
      <c r="AT920" s="132"/>
      <c r="AU920" s="146"/>
    </row>
    <row r="921" spans="13:47" ht="14.5" x14ac:dyDescent="0.35">
      <c r="M921" s="27"/>
      <c r="N921" s="27"/>
      <c r="O921" s="2" t="s">
        <v>191</v>
      </c>
      <c r="P921" s="10"/>
      <c r="Q921" s="2"/>
      <c r="R921" s="181">
        <f>R920/R917</f>
        <v>0.50259720335383473</v>
      </c>
      <c r="S921" s="132"/>
      <c r="T921" s="146"/>
      <c r="U921" s="138">
        <f>U920/U917</f>
        <v>0.50110400942933719</v>
      </c>
      <c r="V921" s="132"/>
      <c r="W921" s="146"/>
      <c r="X921" s="138">
        <f>X920/X917</f>
        <v>0.49330524485747507</v>
      </c>
      <c r="Y921" s="132"/>
      <c r="Z921" s="146"/>
      <c r="AA921" s="138">
        <f>AA920/AA917</f>
        <v>0.46539507026262034</v>
      </c>
      <c r="AB921" s="132"/>
      <c r="AC921" s="146"/>
      <c r="AD921" s="138">
        <f>AD920/AD917</f>
        <v>0.38725873149946122</v>
      </c>
      <c r="AE921" s="132"/>
      <c r="AF921" s="146"/>
      <c r="AG921" s="138">
        <f>AG920/AG917</f>
        <v>0.21009141458048688</v>
      </c>
      <c r="AH921" s="132"/>
      <c r="AI921" s="146"/>
      <c r="AJ921" s="138">
        <f>AJ920/AJ917</f>
        <v>-0.23430084805208501</v>
      </c>
      <c r="AK921" s="132"/>
      <c r="AL921" s="146"/>
      <c r="AM921" s="138">
        <f>AM920/AM917</f>
        <v>-1.7766881383148645</v>
      </c>
      <c r="AN921" s="132"/>
      <c r="AO921" s="146"/>
      <c r="AP921" s="138">
        <f>AP920/AP917</f>
        <v>23.874475306251433</v>
      </c>
      <c r="AQ921" s="132"/>
      <c r="AR921" s="146"/>
      <c r="AS921" s="138">
        <f>AS920/AS917</f>
        <v>2.8301427666958987</v>
      </c>
      <c r="AT921" s="132"/>
      <c r="AU921" s="146"/>
    </row>
    <row r="922" spans="13:47" x14ac:dyDescent="0.25">
      <c r="M922" s="27"/>
      <c r="N922" s="27"/>
      <c r="O922" s="2" t="s">
        <v>26</v>
      </c>
      <c r="P922" s="7">
        <v>12</v>
      </c>
      <c r="Q922" s="2"/>
      <c r="R922" s="181">
        <f>1-R921/(3*F_GAMMA*R$29)</f>
        <v>0.73824161716730585</v>
      </c>
      <c r="S922" s="133"/>
      <c r="T922" s="146"/>
      <c r="U922" s="138">
        <f>1-U921/(3*F_GAMMA*U$29)</f>
        <v>0.73907675112732396</v>
      </c>
      <c r="V922" s="133"/>
      <c r="W922" s="146"/>
      <c r="X922" s="138">
        <f>1-X921/(3*F_GAMMA*X$29)</f>
        <v>0.73928419714755578</v>
      </c>
      <c r="Y922" s="133"/>
      <c r="Z922" s="146"/>
      <c r="AA922" s="138">
        <f>1-AA921/(3*F_GAMMA*AA$29)</f>
        <v>0.75066242652075643</v>
      </c>
      <c r="AB922" s="133"/>
      <c r="AC922" s="146"/>
      <c r="AD922" s="138">
        <f>1-AD921/(3*F_GAMMA*AD$29)</f>
        <v>0.78683579182400365</v>
      </c>
      <c r="AE922" s="133"/>
      <c r="AF922" s="146"/>
      <c r="AG922" s="138">
        <f>1-AG921/(3*F_GAMMA*AG$29)</f>
        <v>0.87775997143675411</v>
      </c>
      <c r="AH922" s="133"/>
      <c r="AI922" s="146"/>
      <c r="AJ922" s="138">
        <f>1-AJ921/(3*F_GAMMA*AJ$29)</f>
        <v>1.1457344447654429</v>
      </c>
      <c r="AK922" s="133"/>
      <c r="AL922" s="146"/>
      <c r="AM922" s="138">
        <f>1-AM921/(3*F_GAMMA*AM$29)</f>
        <v>2.2074284939345281</v>
      </c>
      <c r="AN922" s="133"/>
      <c r="AO922" s="146"/>
      <c r="AP922" s="138">
        <f>1-AP921/(3*F_GAMMA*AP$29)</f>
        <v>-12.408187031748277</v>
      </c>
      <c r="AQ922" s="133"/>
      <c r="AR922" s="146"/>
      <c r="AS922" s="138">
        <f>1-AS921/(3*F_GAMMA*AS$29)</f>
        <v>-1.4129104172021143</v>
      </c>
      <c r="AT922" s="133"/>
      <c r="AU922" s="146"/>
    </row>
    <row r="923" spans="13:47" x14ac:dyDescent="0.25">
      <c r="M923" s="27"/>
      <c r="N923" s="27"/>
      <c r="O923" s="2" t="s">
        <v>71</v>
      </c>
      <c r="P923" s="85">
        <v>5</v>
      </c>
      <c r="Q923" s="2"/>
      <c r="R923" s="179">
        <f>R915/((N_6*R$27*R922)*SQRT(R921*R917*R919))</f>
        <v>0.17238444798749747</v>
      </c>
      <c r="S923" s="133"/>
      <c r="T923" s="146"/>
      <c r="U923" s="143">
        <f>U915/((N_6*U$27*U922)*SQRT(U921*U917*U919))</f>
        <v>3.7747897017371117</v>
      </c>
      <c r="V923" s="133"/>
      <c r="W923" s="146"/>
      <c r="X923" s="143">
        <f>X915/((N_6*X$27*X922)*SQRT(X921*X917*X919))</f>
        <v>9.5745811637218807</v>
      </c>
      <c r="Y923" s="133"/>
      <c r="Z923" s="146"/>
      <c r="AA923" s="143">
        <f>AA915/((N_6*AA$27*AA922)*SQRT(AA921*AA917*AA919))</f>
        <v>20.065162556633421</v>
      </c>
      <c r="AB923" s="133"/>
      <c r="AC923" s="146"/>
      <c r="AD923" s="143">
        <f>AD915/((N_6*AD$27*AD922)*SQRT(AD921*AD917*AD919))</f>
        <v>40.028662158456285</v>
      </c>
      <c r="AE923" s="133"/>
      <c r="AF923" s="146"/>
      <c r="AG923" s="143">
        <f>AG915/((N_6*AG$27*AG922)*SQRT(AG921*AG917*AG919))</f>
        <v>89.985596640719834</v>
      </c>
      <c r="AH923" s="133"/>
      <c r="AI923" s="146"/>
      <c r="AJ923" s="143" t="e">
        <f>AJ915/((N_6*AJ$27*AJ922)*SQRT(AJ921*AJ917*AJ919))</f>
        <v>#NUM!</v>
      </c>
      <c r="AK923" s="133"/>
      <c r="AL923" s="146"/>
      <c r="AM923" s="143" t="e">
        <f>AM915/((N_6*AM$27*AM922)*SQRT(AM921*AM917*AM919))</f>
        <v>#NUM!</v>
      </c>
      <c r="AN923" s="133"/>
      <c r="AO923" s="146"/>
      <c r="AP923" s="143">
        <f>AP915/((N_6*AP$27*AP922)*SQRT(AP921*AP917*AP919))</f>
        <v>-35.821188256439285</v>
      </c>
      <c r="AQ923" s="133"/>
      <c r="AR923" s="146"/>
      <c r="AS923" s="143">
        <f>AS915/((N_6*AS$27*AS922)*SQRT(AS921*AS917*AS919))</f>
        <v>-107.16495769429574</v>
      </c>
      <c r="AT923" s="133"/>
      <c r="AU923" s="146"/>
    </row>
    <row r="924" spans="13:47" x14ac:dyDescent="0.25">
      <c r="M924" s="27"/>
      <c r="N924" s="27"/>
      <c r="O924" s="2" t="s">
        <v>73</v>
      </c>
      <c r="P924" s="85">
        <v>5</v>
      </c>
      <c r="Q924" s="2"/>
      <c r="R924" s="179">
        <f>R915/((N_6*R$27*0.667)*SQRT(R925*R917*R919))</f>
        <v>0.16907589676987808</v>
      </c>
      <c r="S924" s="133"/>
      <c r="T924" s="147"/>
      <c r="U924" s="143">
        <f>U915/((N_6*U$27*0.667)*SQRT(U925*U917*U919))</f>
        <v>3.7006114205622143</v>
      </c>
      <c r="V924" s="133"/>
      <c r="W924" s="155"/>
      <c r="X924" s="143">
        <f>X915/((N_6*X$27*0.667)*SQRT(X925*X917*X919))</f>
        <v>9.3853328474370219</v>
      </c>
      <c r="Y924" s="133"/>
      <c r="Z924" s="155"/>
      <c r="AA924" s="143">
        <f>AA915/((N_6*AA$27*0.667)*SQRT(AA925*AA917*AA919))</f>
        <v>19.530619478817435</v>
      </c>
      <c r="AB924" s="133"/>
      <c r="AC924" s="155"/>
      <c r="AD924" s="143">
        <f>AD915/((N_6*AD$27*0.667)*SQRT(AD925*AD917*AD919))</f>
        <v>37.761315752151226</v>
      </c>
      <c r="AE924" s="133"/>
      <c r="AF924" s="155"/>
      <c r="AG924" s="143">
        <f>AG915/((N_6*AG$27*0.667)*SQRT(AG925*AG917*AG919))</f>
        <v>71.71174443727071</v>
      </c>
      <c r="AH924" s="133"/>
      <c r="AI924" s="155"/>
      <c r="AJ924" s="143">
        <f>AJ915/((N_6*AJ$27*0.667)*SQRT(AJ925*AJ917*AJ919))</f>
        <v>152.15934611481367</v>
      </c>
      <c r="AK924" s="133"/>
      <c r="AL924" s="155"/>
      <c r="AM924" s="143">
        <f>AM915/((N_6*AM$27*0.667)*SQRT(AM925*AM917*AM919))</f>
        <v>445.30940638788439</v>
      </c>
      <c r="AN924" s="133"/>
      <c r="AO924" s="155"/>
      <c r="AP924" s="143">
        <f>AP915/((N_6*AP$27*0.667)*SQRT(AP925*AP917*AP919))</f>
        <v>4226.3761053384242</v>
      </c>
      <c r="AQ924" s="133"/>
      <c r="AR924" s="155"/>
      <c r="AS924" s="143">
        <f>AS915/((N_6*AS$27*0.667)*SQRT(AS925*AS917*AS919))</f>
        <v>610.76313640024398</v>
      </c>
      <c r="AT924" s="133"/>
      <c r="AU924" s="155"/>
    </row>
    <row r="925" spans="13:47" ht="15.5" x14ac:dyDescent="0.4">
      <c r="M925" s="27"/>
      <c r="N925" s="27"/>
      <c r="O925" s="2" t="s">
        <v>192</v>
      </c>
      <c r="P925" s="85">
        <v>10</v>
      </c>
      <c r="Q925" s="2"/>
      <c r="R925" s="181">
        <f>F_GAMMA*R$29</f>
        <v>0.64002688015162901</v>
      </c>
      <c r="S925" s="133"/>
      <c r="T925" s="147"/>
      <c r="U925" s="138">
        <f>F_GAMMA*U$29</f>
        <v>0.64016782916606918</v>
      </c>
      <c r="V925" s="133"/>
      <c r="W925" s="155"/>
      <c r="X925" s="138">
        <f>F_GAMMA*X$29</f>
        <v>0.6307062319203669</v>
      </c>
      <c r="Y925" s="133"/>
      <c r="Z925" s="155"/>
      <c r="AA925" s="138">
        <f>F_GAMMA*AA$29</f>
        <v>0.62217534213893466</v>
      </c>
      <c r="AB925" s="133"/>
      <c r="AC925" s="155"/>
      <c r="AD925" s="138">
        <f>F_GAMMA*AD$29</f>
        <v>0.60557184969146072</v>
      </c>
      <c r="AE925" s="133"/>
      <c r="AF925" s="155"/>
      <c r="AG925" s="138">
        <f>F_GAMMA*AG$29</f>
        <v>0.57289312142622573</v>
      </c>
      <c r="AH925" s="133"/>
      <c r="AI925" s="155"/>
      <c r="AJ925" s="138">
        <f>F_GAMMA*AJ$29</f>
        <v>0.53590819116049981</v>
      </c>
      <c r="AK925" s="133"/>
      <c r="AL925" s="155"/>
      <c r="AM925" s="138">
        <f>F_GAMMA*AM$29</f>
        <v>0.49048815926850342</v>
      </c>
      <c r="AN925" s="133"/>
      <c r="AO925" s="155"/>
      <c r="AP925" s="138">
        <f>F_GAMMA*AP$29</f>
        <v>0.59352979016280105</v>
      </c>
      <c r="AQ925" s="133"/>
      <c r="AR925" s="155"/>
      <c r="AS925" s="138">
        <f>F_GAMMA*AS$29</f>
        <v>0.39097221161068291</v>
      </c>
      <c r="AT925" s="133"/>
      <c r="AU925" s="155"/>
    </row>
    <row r="926" spans="13:47" x14ac:dyDescent="0.25">
      <c r="M926" s="27"/>
      <c r="N926" s="27"/>
      <c r="O926" s="2" t="s">
        <v>193</v>
      </c>
      <c r="P926" s="134"/>
      <c r="Q926" s="2"/>
      <c r="R926" s="181">
        <f>IF(R921&lt;R925,R923,R924)</f>
        <v>0.17238444798749747</v>
      </c>
      <c r="S926" s="133"/>
      <c r="T926" s="147"/>
      <c r="U926" s="138">
        <f>IF(U921&lt;U925,U923,U924)</f>
        <v>3.7747897017371117</v>
      </c>
      <c r="V926" s="133"/>
      <c r="W926" s="155"/>
      <c r="X926" s="138">
        <f>IF(X921&lt;X925,X923,X924)</f>
        <v>9.5745811637218807</v>
      </c>
      <c r="Y926" s="133"/>
      <c r="Z926" s="155"/>
      <c r="AA926" s="138">
        <f>IF(AA921&lt;AA925,AA923,AA924)</f>
        <v>20.065162556633421</v>
      </c>
      <c r="AB926" s="133"/>
      <c r="AC926" s="155"/>
      <c r="AD926" s="138">
        <f>IF(AD921&lt;AD925,AD923,AD924)</f>
        <v>40.028662158456285</v>
      </c>
      <c r="AE926" s="133"/>
      <c r="AF926" s="155"/>
      <c r="AG926" s="138">
        <f>IF(AG921&lt;AG925,AG923,AG924)</f>
        <v>89.985596640719834</v>
      </c>
      <c r="AH926" s="133"/>
      <c r="AI926" s="155"/>
      <c r="AJ926" s="138" t="e">
        <f>IF(AJ921&lt;AJ925,AJ923,AJ924)</f>
        <v>#NUM!</v>
      </c>
      <c r="AK926" s="133"/>
      <c r="AL926" s="155"/>
      <c r="AM926" s="138" t="e">
        <f>IF(AM921&lt;AM925,AM923,AM924)</f>
        <v>#NUM!</v>
      </c>
      <c r="AN926" s="133"/>
      <c r="AO926" s="155"/>
      <c r="AP926" s="138">
        <f>IF(AP921&lt;AP925,AP923,AP924)</f>
        <v>4226.3761053384242</v>
      </c>
      <c r="AQ926" s="133"/>
      <c r="AR926" s="155"/>
      <c r="AS926" s="138">
        <f>IF(AS921&lt;AS925,AS923,AS924)</f>
        <v>610.76313640024398</v>
      </c>
      <c r="AT926" s="133"/>
      <c r="AU926" s="155"/>
    </row>
    <row r="927" spans="13:47" ht="13" x14ac:dyDescent="0.3">
      <c r="M927" s="28"/>
      <c r="N927" s="28"/>
      <c r="O927" s="9" t="s">
        <v>194</v>
      </c>
      <c r="P927" s="1"/>
      <c r="Q927" s="1"/>
      <c r="R927" s="135"/>
      <c r="S927" s="132">
        <f>IF(R920&lt;=0,W_max,ABS(R$23-R926))</f>
        <v>1.8276155520125026</v>
      </c>
      <c r="T927" s="151">
        <f>R915</f>
        <v>39.867252583843396</v>
      </c>
      <c r="U927" s="135"/>
      <c r="V927" s="132">
        <f>IF(U920&lt;=0,W_max,ABS(U$23-U926))</f>
        <v>1.2252102982628883</v>
      </c>
      <c r="W927" s="151">
        <f>U915</f>
        <v>869.52916729379228</v>
      </c>
      <c r="X927" s="135"/>
      <c r="Y927" s="132">
        <f>IF(X920&lt;=0,W_max,ABS(X$23-X926))</f>
        <v>0.42541883627811927</v>
      </c>
      <c r="Z927" s="151">
        <f>X915</f>
        <v>2150.4491059014213</v>
      </c>
      <c r="AA927" s="135"/>
      <c r="AB927" s="132">
        <f>IF(AA920&lt;=0,W_max,ABS(AA$23-AA926))</f>
        <v>2.8651625566334218</v>
      </c>
      <c r="AC927" s="151">
        <f>AA915</f>
        <v>4188.5259660250549</v>
      </c>
      <c r="AD927" s="135"/>
      <c r="AE927" s="132">
        <f>IF(AD920&lt;=0,W_max,ABS(AD$23-AD926))</f>
        <v>13.428662158456284</v>
      </c>
      <c r="AF927" s="151">
        <f>AD915</f>
        <v>6888.5830903441947</v>
      </c>
      <c r="AG927" s="135"/>
      <c r="AH927" s="132">
        <f>IF(AG920&lt;=0,W_max,ABS(AG$23-AG926))</f>
        <v>51.585596640719835</v>
      </c>
      <c r="AI927" s="151">
        <f>AG915</f>
        <v>9661.7681098336398</v>
      </c>
      <c r="AJ927" s="135"/>
      <c r="AK927" s="132">
        <f>IF(AJ920&lt;=0,W_max,ABS(AJ$23-AJ926))</f>
        <v>7174</v>
      </c>
      <c r="AL927" s="151">
        <f>AJ915</f>
        <v>12267.881735136478</v>
      </c>
      <c r="AM927" s="135"/>
      <c r="AN927" s="132">
        <f>IF(AM920&lt;=0,W_max,ABS(AM$23-AM926))</f>
        <v>7174</v>
      </c>
      <c r="AO927" s="151">
        <f>AM915</f>
        <v>14385.056141070523</v>
      </c>
      <c r="AP927" s="135"/>
      <c r="AQ927" s="132">
        <f>IF(AP920&lt;=0,W_max,ABS(AP$23-AP926))</f>
        <v>7174</v>
      </c>
      <c r="AR927" s="151">
        <f>AP915</f>
        <v>16048.951801595909</v>
      </c>
      <c r="AS927" s="135"/>
      <c r="AT927" s="132">
        <f>IF(AS920&lt;=0,W_max,ABS(AS$23-AS926))</f>
        <v>7174</v>
      </c>
      <c r="AU927" s="151">
        <f>AS915</f>
        <v>17905.307522197862</v>
      </c>
    </row>
    <row r="928" spans="13:47" ht="13" x14ac:dyDescent="0.25">
      <c r="M928" s="12"/>
      <c r="N928" s="12"/>
      <c r="O928" s="12"/>
      <c r="P928" s="12"/>
      <c r="Q928" s="12"/>
      <c r="R928" s="182"/>
      <c r="S928" s="22"/>
      <c r="T928" s="152"/>
      <c r="U928" s="157"/>
      <c r="V928" s="1"/>
      <c r="W928" s="147"/>
      <c r="X928" s="157"/>
      <c r="Y928" s="1"/>
      <c r="Z928" s="147"/>
      <c r="AA928" s="157"/>
      <c r="AB928" s="1"/>
      <c r="AC928" s="147"/>
      <c r="AD928" s="157"/>
      <c r="AE928" s="1"/>
      <c r="AF928" s="147"/>
      <c r="AG928" s="157"/>
      <c r="AH928" s="1"/>
      <c r="AI928" s="147"/>
      <c r="AJ928" s="157"/>
      <c r="AK928" s="1"/>
      <c r="AL928" s="147"/>
      <c r="AM928" s="157"/>
      <c r="AN928" s="1"/>
      <c r="AO928" s="147"/>
      <c r="AP928" s="157"/>
      <c r="AQ928" s="1"/>
      <c r="AR928" s="147"/>
      <c r="AS928" s="157"/>
      <c r="AT928" s="1"/>
      <c r="AU928" s="147"/>
    </row>
    <row r="929" spans="13:47" ht="14" x14ac:dyDescent="0.3">
      <c r="M929" s="23"/>
      <c r="N929" s="23"/>
      <c r="O929" s="23" t="s">
        <v>238</v>
      </c>
      <c r="P929" s="20"/>
      <c r="Q929" s="20"/>
      <c r="R929" s="18">
        <f>R915*1.02</f>
        <v>40.664597635520266</v>
      </c>
      <c r="S929" s="128" t="s">
        <v>185</v>
      </c>
      <c r="T929" s="153" t="s">
        <v>186</v>
      </c>
      <c r="U929" s="143">
        <f>U915*1.01</f>
        <v>878.22445896673025</v>
      </c>
      <c r="V929" s="128" t="s">
        <v>185</v>
      </c>
      <c r="W929" s="153" t="s">
        <v>186</v>
      </c>
      <c r="X929" s="143">
        <f>X915*1.01</f>
        <v>2171.9535969604353</v>
      </c>
      <c r="Y929" s="128" t="s">
        <v>185</v>
      </c>
      <c r="Z929" s="153" t="s">
        <v>186</v>
      </c>
      <c r="AA929" s="143">
        <f>AA915*1.01</f>
        <v>4230.4112256853059</v>
      </c>
      <c r="AB929" s="128" t="s">
        <v>185</v>
      </c>
      <c r="AC929" s="153" t="s">
        <v>186</v>
      </c>
      <c r="AD929" s="143">
        <f>AD915*1.01</f>
        <v>6957.4689212476369</v>
      </c>
      <c r="AE929" s="128" t="s">
        <v>185</v>
      </c>
      <c r="AF929" s="153" t="s">
        <v>186</v>
      </c>
      <c r="AG929" s="143">
        <f>AG915*1.01</f>
        <v>9758.3857909319759</v>
      </c>
      <c r="AH929" s="128" t="s">
        <v>185</v>
      </c>
      <c r="AI929" s="153" t="s">
        <v>186</v>
      </c>
      <c r="AJ929" s="143">
        <f>AJ915*1.01</f>
        <v>12390.560552487843</v>
      </c>
      <c r="AK929" s="128" t="s">
        <v>185</v>
      </c>
      <c r="AL929" s="153" t="s">
        <v>186</v>
      </c>
      <c r="AM929" s="143">
        <f>AM915*1.01</f>
        <v>14528.906702481228</v>
      </c>
      <c r="AN929" s="128" t="s">
        <v>185</v>
      </c>
      <c r="AO929" s="153" t="s">
        <v>186</v>
      </c>
      <c r="AP929" s="143">
        <f>AP915*1.01</f>
        <v>16209.441319611869</v>
      </c>
      <c r="AQ929" s="128" t="s">
        <v>185</v>
      </c>
      <c r="AR929" s="153" t="s">
        <v>186</v>
      </c>
      <c r="AS929" s="143">
        <f>AS915*1.01</f>
        <v>18084.36059741984</v>
      </c>
      <c r="AT929" s="128" t="s">
        <v>185</v>
      </c>
      <c r="AU929" s="153" t="s">
        <v>186</v>
      </c>
    </row>
    <row r="930" spans="13:47" ht="14" x14ac:dyDescent="0.3">
      <c r="M930" s="12"/>
      <c r="N930" s="12"/>
      <c r="O930" s="20"/>
      <c r="P930" s="20"/>
      <c r="Q930" s="23"/>
      <c r="R930" s="139"/>
      <c r="S930" s="130" t="s">
        <v>228</v>
      </c>
      <c r="T930" s="154" t="s">
        <v>187</v>
      </c>
      <c r="U930" s="144"/>
      <c r="V930" s="130" t="s">
        <v>228</v>
      </c>
      <c r="W930" s="154" t="s">
        <v>187</v>
      </c>
      <c r="X930" s="144"/>
      <c r="Y930" s="130" t="s">
        <v>228</v>
      </c>
      <c r="Z930" s="154" t="s">
        <v>187</v>
      </c>
      <c r="AA930" s="144"/>
      <c r="AB930" s="130" t="s">
        <v>228</v>
      </c>
      <c r="AC930" s="154" t="s">
        <v>187</v>
      </c>
      <c r="AD930" s="144"/>
      <c r="AE930" s="130" t="s">
        <v>228</v>
      </c>
      <c r="AF930" s="154" t="s">
        <v>187</v>
      </c>
      <c r="AG930" s="144"/>
      <c r="AH930" s="130" t="s">
        <v>228</v>
      </c>
      <c r="AI930" s="154" t="s">
        <v>187</v>
      </c>
      <c r="AJ930" s="144"/>
      <c r="AK930" s="130" t="s">
        <v>228</v>
      </c>
      <c r="AL930" s="154" t="s">
        <v>187</v>
      </c>
      <c r="AM930" s="144"/>
      <c r="AN930" s="130" t="s">
        <v>228</v>
      </c>
      <c r="AO930" s="154" t="s">
        <v>187</v>
      </c>
      <c r="AP930" s="144"/>
      <c r="AQ930" s="130" t="s">
        <v>228</v>
      </c>
      <c r="AR930" s="154" t="s">
        <v>187</v>
      </c>
      <c r="AS930" s="144"/>
      <c r="AT930" s="130" t="s">
        <v>228</v>
      </c>
      <c r="AU930" s="154" t="s">
        <v>187</v>
      </c>
    </row>
    <row r="931" spans="13:47" x14ac:dyDescent="0.25">
      <c r="M931" s="20"/>
      <c r="N931" s="20"/>
      <c r="O931" s="7" t="s">
        <v>188</v>
      </c>
      <c r="P931" s="7"/>
      <c r="Q931" s="7"/>
      <c r="R931" s="181">
        <f>P_1_minW-(R929^2*R_up)+dpup_minQ</f>
        <v>100.52212734036527</v>
      </c>
      <c r="S931" s="132"/>
      <c r="T931" s="145"/>
      <c r="U931" s="138">
        <f>P_1_minW-(U929^2*R_up)+dpup_minQ</f>
        <v>100.21523042509452</v>
      </c>
      <c r="V931" s="132"/>
      <c r="W931" s="145"/>
      <c r="X931" s="138">
        <f>P_1_minW-(X929^2*R_up)+dpup_minQ</f>
        <v>98.641674656418573</v>
      </c>
      <c r="Y931" s="132"/>
      <c r="Z931" s="145"/>
      <c r="AA931" s="138">
        <f>P_1_minW-(AA929^2*R_up)+dpup_minQ</f>
        <v>93.386393724396171</v>
      </c>
      <c r="AB931" s="132"/>
      <c r="AC931" s="145"/>
      <c r="AD931" s="138">
        <f>P_1_minW-(AD929^2*R_up)+dpup_minQ</f>
        <v>81.220172224787888</v>
      </c>
      <c r="AE931" s="132"/>
      <c r="AF931" s="145"/>
      <c r="AG931" s="138">
        <f>P_1_minW-(AG929^2*R_up)+dpup_minQ</f>
        <v>62.55025490963525</v>
      </c>
      <c r="AH931" s="132"/>
      <c r="AI931" s="145"/>
      <c r="AJ931" s="138">
        <f>P_1_minW-(AJ929^2*R_up)+dpup_minQ</f>
        <v>39.30248068946247</v>
      </c>
      <c r="AK931" s="132"/>
      <c r="AL931" s="145"/>
      <c r="AM931" s="138">
        <f>P_1_minW-(AM929^2*R_up)+dpup_minQ</f>
        <v>16.348497600219787</v>
      </c>
      <c r="AN931" s="132"/>
      <c r="AO931" s="145"/>
      <c r="AP931" s="138">
        <f>P_1_minW-(AP929^2*R_up)+dpup_minQ</f>
        <v>-4.2502859347431334</v>
      </c>
      <c r="AQ931" s="132"/>
      <c r="AR931" s="145"/>
      <c r="AS931" s="138">
        <f>P_1_minW-(AS929^2*R_up)+dpup_minQ</f>
        <v>-29.889918492287606</v>
      </c>
      <c r="AT931" s="132"/>
      <c r="AU931" s="145"/>
    </row>
    <row r="932" spans="13:47" x14ac:dyDescent="0.25">
      <c r="M932" s="20"/>
      <c r="N932" s="20"/>
      <c r="O932" s="7" t="s">
        <v>189</v>
      </c>
      <c r="P932" s="1"/>
      <c r="Q932" s="7"/>
      <c r="R932" s="181">
        <f>P_2_minW+(R929^2*R_dn)-dpdn_minQ</f>
        <v>50</v>
      </c>
      <c r="S932" s="132"/>
      <c r="T932" s="146"/>
      <c r="U932" s="138">
        <f>P_2_minW+(U929^2*R_dn)-dpdn_minQ</f>
        <v>50</v>
      </c>
      <c r="V932" s="132"/>
      <c r="W932" s="146"/>
      <c r="X932" s="138">
        <f>P_2_minW+(X929^2*R_dn)-dpdn_minQ</f>
        <v>50</v>
      </c>
      <c r="Y932" s="132"/>
      <c r="Z932" s="146"/>
      <c r="AA932" s="138">
        <f>P_2_minW+(AA929^2*R_dn)-dpdn_minQ</f>
        <v>50</v>
      </c>
      <c r="AB932" s="132"/>
      <c r="AC932" s="146"/>
      <c r="AD932" s="138">
        <f>P_2_minW+(AD929^2*R_dn)-dpdn_minQ</f>
        <v>50</v>
      </c>
      <c r="AE932" s="132"/>
      <c r="AF932" s="146"/>
      <c r="AG932" s="138">
        <f>P_2_minW+(AG929^2*R_dn)-dpdn_minQ</f>
        <v>50</v>
      </c>
      <c r="AH932" s="132"/>
      <c r="AI932" s="146"/>
      <c r="AJ932" s="138">
        <f>P_2_minW+(AJ929^2*R_dn)-dpdn_minQ</f>
        <v>50</v>
      </c>
      <c r="AK932" s="132"/>
      <c r="AL932" s="146"/>
      <c r="AM932" s="138">
        <f>P_2_minW+(AM929^2*R_dn)-dpdn_minQ</f>
        <v>50</v>
      </c>
      <c r="AN932" s="132"/>
      <c r="AO932" s="146"/>
      <c r="AP932" s="138">
        <f>P_2_minW+(AP929^2*R_dn)-dpdn_minQ</f>
        <v>50</v>
      </c>
      <c r="AQ932" s="132"/>
      <c r="AR932" s="146"/>
      <c r="AS932" s="138">
        <f>P_2_minW+(AS929^2*R_dn)-dpdn_minQ</f>
        <v>50</v>
      </c>
      <c r="AT932" s="132"/>
      <c r="AU932" s="146"/>
    </row>
    <row r="933" spans="13:47" x14ac:dyDescent="0.25">
      <c r="M933" s="20"/>
      <c r="N933" s="20"/>
      <c r="O933" s="7" t="s">
        <v>234</v>
      </c>
      <c r="P933" s="1"/>
      <c r="Q933" s="7"/>
      <c r="R933" s="179">
        <f>'Valve Sizing'!G$8*R931/P_1_maxW</f>
        <v>0.48490084542824163</v>
      </c>
      <c r="S933" s="132"/>
      <c r="T933" s="146"/>
      <c r="U933" s="143">
        <f>'Valve Sizing'!$G$8*U931/P_1_maxW</f>
        <v>0.48342042934860352</v>
      </c>
      <c r="V933" s="132"/>
      <c r="W933" s="146"/>
      <c r="X933" s="143">
        <f>'Valve Sizing'!$G$8*X931/P_1_maxW</f>
        <v>0.47582987647484776</v>
      </c>
      <c r="Y933" s="132"/>
      <c r="Z933" s="146"/>
      <c r="AA933" s="143">
        <f>'Valve Sizing'!$G$8*AA931/P_1_maxW</f>
        <v>0.45047933690387215</v>
      </c>
      <c r="AB933" s="132"/>
      <c r="AC933" s="146"/>
      <c r="AD933" s="143">
        <f>'Valve Sizing'!$G$8*AD931/P_1_maxW</f>
        <v>0.39179165045199216</v>
      </c>
      <c r="AE933" s="132"/>
      <c r="AF933" s="146"/>
      <c r="AG933" s="143">
        <f>'Valve Sizing'!$G$8*AG931/P_1_maxW</f>
        <v>0.30173129329759707</v>
      </c>
      <c r="AH933" s="132"/>
      <c r="AI933" s="146"/>
      <c r="AJ933" s="143">
        <f>'Valve Sizing'!$G$8*AJ931/P_1_maxW</f>
        <v>0.18958816947057103</v>
      </c>
      <c r="AK933" s="132"/>
      <c r="AL933" s="146"/>
      <c r="AM933" s="143">
        <f>'Valve Sizing'!$G$8*AM931/P_1_maxW</f>
        <v>7.8862241752864881E-2</v>
      </c>
      <c r="AN933" s="132"/>
      <c r="AO933" s="146"/>
      <c r="AP933" s="143">
        <f>'Valve Sizing'!$G$8*AP931/P_1_maxW</f>
        <v>-2.0502622632431255E-2</v>
      </c>
      <c r="AQ933" s="132"/>
      <c r="AR933" s="146"/>
      <c r="AS933" s="143">
        <f>'Valve Sizing'!$G$8*AS931/P_1_maxW</f>
        <v>-0.14418364523480873</v>
      </c>
      <c r="AT933" s="132"/>
      <c r="AU933" s="146"/>
    </row>
    <row r="934" spans="13:47" x14ac:dyDescent="0.25">
      <c r="M934" s="20"/>
      <c r="N934" s="20"/>
      <c r="O934" s="7" t="s">
        <v>190</v>
      </c>
      <c r="P934" s="1"/>
      <c r="Q934" s="7"/>
      <c r="R934" s="181">
        <f>R931-R932</f>
        <v>50.522127340365273</v>
      </c>
      <c r="S934" s="132"/>
      <c r="T934" s="146"/>
      <c r="U934" s="138">
        <f>U931-U932</f>
        <v>50.215230425094518</v>
      </c>
      <c r="V934" s="132"/>
      <c r="W934" s="146"/>
      <c r="X934" s="138">
        <f>X931-X932</f>
        <v>48.641674656418573</v>
      </c>
      <c r="Y934" s="132"/>
      <c r="Z934" s="146"/>
      <c r="AA934" s="138">
        <f>AA931-AA932</f>
        <v>43.386393724396171</v>
      </c>
      <c r="AB934" s="132"/>
      <c r="AC934" s="146"/>
      <c r="AD934" s="138">
        <f>AD931-AD932</f>
        <v>31.220172224787888</v>
      </c>
      <c r="AE934" s="132"/>
      <c r="AF934" s="146"/>
      <c r="AG934" s="138">
        <f>AG931-AG932</f>
        <v>12.55025490963525</v>
      </c>
      <c r="AH934" s="132"/>
      <c r="AI934" s="146"/>
      <c r="AJ934" s="138">
        <f>AJ931-AJ932</f>
        <v>-10.69751931053753</v>
      </c>
      <c r="AK934" s="132"/>
      <c r="AL934" s="146"/>
      <c r="AM934" s="138">
        <f>AM931-AM932</f>
        <v>-33.651502399780213</v>
      </c>
      <c r="AN934" s="132"/>
      <c r="AO934" s="146"/>
      <c r="AP934" s="138">
        <f>AP931-AP932</f>
        <v>-54.250285934743133</v>
      </c>
      <c r="AQ934" s="132"/>
      <c r="AR934" s="146"/>
      <c r="AS934" s="138">
        <f>AS931-AS932</f>
        <v>-79.889918492287606</v>
      </c>
      <c r="AT934" s="132"/>
      <c r="AU934" s="146"/>
    </row>
    <row r="935" spans="13:47" ht="14.5" x14ac:dyDescent="0.35">
      <c r="M935" s="27"/>
      <c r="N935" s="27"/>
      <c r="O935" s="2" t="s">
        <v>191</v>
      </c>
      <c r="P935" s="10"/>
      <c r="Q935" s="2"/>
      <c r="R935" s="181">
        <f>R934/R931</f>
        <v>0.50259707665456266</v>
      </c>
      <c r="S935" s="132"/>
      <c r="T935" s="146"/>
      <c r="U935" s="138">
        <f>U934/U931</f>
        <v>0.50107384089315343</v>
      </c>
      <c r="V935" s="132"/>
      <c r="W935" s="146"/>
      <c r="X935" s="138">
        <f>X934/X931</f>
        <v>0.49311485055219995</v>
      </c>
      <c r="Y935" s="132"/>
      <c r="Z935" s="146"/>
      <c r="AA935" s="138">
        <f>AA934/AA931</f>
        <v>0.46459009705888182</v>
      </c>
      <c r="AB935" s="132"/>
      <c r="AC935" s="146"/>
      <c r="AD935" s="138">
        <f>AD934/AD931</f>
        <v>0.38438938713872473</v>
      </c>
      <c r="AE935" s="132"/>
      <c r="AF935" s="146"/>
      <c r="AG935" s="138">
        <f>AG934/AG931</f>
        <v>0.20064274602503668</v>
      </c>
      <c r="AH935" s="132"/>
      <c r="AI935" s="146"/>
      <c r="AJ935" s="138">
        <f>AJ934/AJ931</f>
        <v>-0.27218432839038786</v>
      </c>
      <c r="AK935" s="132"/>
      <c r="AL935" s="146"/>
      <c r="AM935" s="138">
        <f>AM934/AM931</f>
        <v>-2.0583850102120582</v>
      </c>
      <c r="AN935" s="132"/>
      <c r="AO935" s="146"/>
      <c r="AP935" s="138">
        <f>AP934/AP931</f>
        <v>12.763914420741614</v>
      </c>
      <c r="AQ935" s="132"/>
      <c r="AR935" s="146"/>
      <c r="AS935" s="138">
        <f>AS934/AS931</f>
        <v>2.6728048292571067</v>
      </c>
      <c r="AT935" s="132"/>
      <c r="AU935" s="146"/>
    </row>
    <row r="936" spans="13:47" x14ac:dyDescent="0.25">
      <c r="M936" s="27"/>
      <c r="N936" s="27"/>
      <c r="O936" s="2" t="s">
        <v>26</v>
      </c>
      <c r="P936" s="7">
        <v>12</v>
      </c>
      <c r="Q936" s="2"/>
      <c r="R936" s="181">
        <f>1-R935/(3*F_GAMMA*R$29)</f>
        <v>0.73824168315373861</v>
      </c>
      <c r="S936" s="133"/>
      <c r="T936" s="146"/>
      <c r="U936" s="138">
        <f>1-U935/(3*F_GAMMA*U$29)</f>
        <v>0.73909245978725613</v>
      </c>
      <c r="V936" s="133"/>
      <c r="W936" s="146"/>
      <c r="X936" s="138">
        <f>1-X935/(3*F_GAMMA*X$29)</f>
        <v>0.73938482207436484</v>
      </c>
      <c r="Y936" s="133"/>
      <c r="Z936" s="146"/>
      <c r="AA936" s="138">
        <f>1-AA935/(3*F_GAMMA*AA$29)</f>
        <v>0.75109369465864784</v>
      </c>
      <c r="AB936" s="133"/>
      <c r="AC936" s="146"/>
      <c r="AD936" s="138">
        <f>1-AD935/(3*F_GAMMA*AD$29)</f>
        <v>0.78841520493696915</v>
      </c>
      <c r="AE936" s="133"/>
      <c r="AF936" s="146"/>
      <c r="AG936" s="138">
        <f>1-AG935/(3*F_GAMMA*AG$29)</f>
        <v>0.88325760453332403</v>
      </c>
      <c r="AH936" s="133"/>
      <c r="AI936" s="146"/>
      <c r="AJ936" s="138">
        <f>1-AJ935/(3*F_GAMMA*AJ$29)</f>
        <v>1.1692978591482106</v>
      </c>
      <c r="AK936" s="133"/>
      <c r="AL936" s="146"/>
      <c r="AM936" s="138">
        <f>1-AM935/(3*F_GAMMA*AM$29)</f>
        <v>2.398868298391994</v>
      </c>
      <c r="AN936" s="133"/>
      <c r="AO936" s="146"/>
      <c r="AP936" s="138">
        <f>1-AP935/(3*F_GAMMA*AP$29)</f>
        <v>-6.1683649426934197</v>
      </c>
      <c r="AQ936" s="133"/>
      <c r="AR936" s="146"/>
      <c r="AS936" s="138">
        <f>1-AS935/(3*F_GAMMA*AS$29)</f>
        <v>-1.2787679446969635</v>
      </c>
      <c r="AT936" s="133"/>
      <c r="AU936" s="146"/>
    </row>
    <row r="937" spans="13:47" x14ac:dyDescent="0.25">
      <c r="M937" s="27"/>
      <c r="N937" s="27"/>
      <c r="O937" s="2" t="s">
        <v>71</v>
      </c>
      <c r="P937" s="85">
        <v>5</v>
      </c>
      <c r="Q937" s="2"/>
      <c r="R937" s="179">
        <f>R929/((N_6*R$27*R936)*SQRT(R935*R931*R933))</f>
        <v>0.17583218818174312</v>
      </c>
      <c r="S937" s="133"/>
      <c r="T937" s="146"/>
      <c r="U937" s="143">
        <f>U929/((N_6*U$27*U936)*SQRT(U935*U931*U933))</f>
        <v>3.8128018836036004</v>
      </c>
      <c r="V937" s="133"/>
      <c r="W937" s="146"/>
      <c r="X937" s="143">
        <f>X929/((N_6*X$27*X936)*SQRT(X935*X931*X933))</f>
        <v>9.6745112660645471</v>
      </c>
      <c r="Y937" s="133"/>
      <c r="Z937" s="146"/>
      <c r="AA937" s="143">
        <f>AA929/((N_6*AA$27*AA936)*SQRT(AA935*AA931*AA933))</f>
        <v>20.302240777936657</v>
      </c>
      <c r="AB937" s="133"/>
      <c r="AC937" s="146"/>
      <c r="AD937" s="143">
        <f>AD929/((N_6*AD$27*AD936)*SQRT(AD935*AD931*AD933))</f>
        <v>40.687916060590879</v>
      </c>
      <c r="AE937" s="133"/>
      <c r="AF937" s="146"/>
      <c r="AG937" s="143">
        <f>AG929/((N_6*AG$27*AG936)*SQRT(AG935*AG931*AG933))</f>
        <v>93.527487623385852</v>
      </c>
      <c r="AH937" s="133"/>
      <c r="AI937" s="146"/>
      <c r="AJ937" s="143" t="e">
        <f>AJ929/((N_6*AJ$27*AJ936)*SQRT(AJ935*AJ931*AJ933))</f>
        <v>#NUM!</v>
      </c>
      <c r="AK937" s="133"/>
      <c r="AL937" s="146"/>
      <c r="AM937" s="143" t="e">
        <f>AM929/((N_6*AM$27*AM936)*SQRT(AM935*AM931*AM933))</f>
        <v>#NUM!</v>
      </c>
      <c r="AN937" s="133"/>
      <c r="AO937" s="146"/>
      <c r="AP937" s="143">
        <f>AP929/((N_6*AP$27*AP936)*SQRT(AP935*AP931*AP933))</f>
        <v>-51.188844270306959</v>
      </c>
      <c r="AQ937" s="133"/>
      <c r="AR937" s="146"/>
      <c r="AS937" s="143">
        <f>AS929/((N_6*AS$27*AS936)*SQRT(AS935*AS931*AS933))</f>
        <v>-112.48067370338318</v>
      </c>
      <c r="AT937" s="133"/>
      <c r="AU937" s="146"/>
    </row>
    <row r="938" spans="13:47" x14ac:dyDescent="0.25">
      <c r="M938" s="27"/>
      <c r="N938" s="27"/>
      <c r="O938" s="2" t="s">
        <v>73</v>
      </c>
      <c r="P938" s="85">
        <v>5</v>
      </c>
      <c r="Q938" s="2"/>
      <c r="R938" s="179">
        <f>R929/((N_6*R$27*0.667)*SQRT(R939*R931*R933))</f>
        <v>0.1724574586339167</v>
      </c>
      <c r="S938" s="133"/>
      <c r="T938" s="155"/>
      <c r="U938" s="143">
        <f>U929/((N_6*U$27*0.667)*SQRT(U939*U931*U933))</f>
        <v>3.7378435507149885</v>
      </c>
      <c r="V938" s="133"/>
      <c r="W938" s="155"/>
      <c r="X938" s="143">
        <f>X929/((N_6*X$27*0.667)*SQRT(X939*X931*X933))</f>
        <v>9.482748050290823</v>
      </c>
      <c r="Y938" s="133"/>
      <c r="Z938" s="155"/>
      <c r="AA938" s="143">
        <f>AA929/((N_6*AA$27*0.667)*SQRT(AA939*AA931*AA933))</f>
        <v>19.755627684759887</v>
      </c>
      <c r="AB938" s="133"/>
      <c r="AC938" s="155"/>
      <c r="AD938" s="143">
        <f>AD929/((N_6*AD$27*0.667)*SQRT(AD939*AD931*AD933))</f>
        <v>38.31752585787455</v>
      </c>
      <c r="AE938" s="133"/>
      <c r="AF938" s="155"/>
      <c r="AG938" s="143">
        <f>AG929/((N_6*AG$27*0.667)*SQRT(AG939*AG931*AG933))</f>
        <v>73.295235943655499</v>
      </c>
      <c r="AH938" s="133"/>
      <c r="AI938" s="155"/>
      <c r="AJ938" s="143">
        <f>AJ929/((N_6*AJ$27*0.667)*SQRT(AJ939*AJ931*AJ933))</f>
        <v>158.39775465551537</v>
      </c>
      <c r="AK938" s="133"/>
      <c r="AL938" s="155"/>
      <c r="AM938" s="143">
        <f>AM929/((N_6*AM$27*0.667)*SQRT(AM939*AM931*AM933))</f>
        <v>495.39120744469631</v>
      </c>
      <c r="AN938" s="133"/>
      <c r="AO938" s="155"/>
      <c r="AP938" s="143">
        <f>AP929/((N_6*AP$27*0.667)*SQRT(AP939*AP931*AP933))</f>
        <v>2195.2815707853856</v>
      </c>
      <c r="AQ938" s="133"/>
      <c r="AR938" s="155"/>
      <c r="AS938" s="143">
        <f>AS929/((N_6*AS$27*0.667)*SQRT(AS939*AS931*AS933))</f>
        <v>563.83819782898638</v>
      </c>
      <c r="AT938" s="133"/>
      <c r="AU938" s="155"/>
    </row>
    <row r="939" spans="13:47" ht="15.5" x14ac:dyDescent="0.4">
      <c r="M939" s="27"/>
      <c r="N939" s="27"/>
      <c r="O939" s="2" t="s">
        <v>192</v>
      </c>
      <c r="P939" s="85">
        <v>10</v>
      </c>
      <c r="Q939" s="2"/>
      <c r="R939" s="181">
        <f>F_GAMMA*R$29</f>
        <v>0.64002688015162901</v>
      </c>
      <c r="S939" s="133"/>
      <c r="T939" s="155"/>
      <c r="U939" s="138">
        <f>F_GAMMA*U$29</f>
        <v>0.64016782916606918</v>
      </c>
      <c r="V939" s="133"/>
      <c r="W939" s="155"/>
      <c r="X939" s="138">
        <f>F_GAMMA*X$29</f>
        <v>0.6307062319203669</v>
      </c>
      <c r="Y939" s="133"/>
      <c r="Z939" s="155"/>
      <c r="AA939" s="138">
        <f>F_GAMMA*AA$29</f>
        <v>0.62217534213893466</v>
      </c>
      <c r="AB939" s="133"/>
      <c r="AC939" s="155"/>
      <c r="AD939" s="138">
        <f>F_GAMMA*AD$29</f>
        <v>0.60557184969146072</v>
      </c>
      <c r="AE939" s="133"/>
      <c r="AF939" s="155"/>
      <c r="AG939" s="138">
        <f>F_GAMMA*AG$29</f>
        <v>0.57289312142622573</v>
      </c>
      <c r="AH939" s="133"/>
      <c r="AI939" s="155"/>
      <c r="AJ939" s="138">
        <f>F_GAMMA*AJ$29</f>
        <v>0.53590819116049981</v>
      </c>
      <c r="AK939" s="133"/>
      <c r="AL939" s="155"/>
      <c r="AM939" s="138">
        <f>F_GAMMA*AM$29</f>
        <v>0.49048815926850342</v>
      </c>
      <c r="AN939" s="133"/>
      <c r="AO939" s="155"/>
      <c r="AP939" s="138">
        <f>F_GAMMA*AP$29</f>
        <v>0.59352979016280105</v>
      </c>
      <c r="AQ939" s="133"/>
      <c r="AR939" s="155"/>
      <c r="AS939" s="138">
        <f>F_GAMMA*AS$29</f>
        <v>0.39097221161068291</v>
      </c>
      <c r="AT939" s="133"/>
      <c r="AU939" s="155"/>
    </row>
    <row r="940" spans="13:47" x14ac:dyDescent="0.25">
      <c r="M940" s="27"/>
      <c r="N940" s="27"/>
      <c r="O940" s="2" t="s">
        <v>193</v>
      </c>
      <c r="P940" s="134"/>
      <c r="Q940" s="2"/>
      <c r="R940" s="181">
        <f>IF(R935&lt;R939,R937,R938)</f>
        <v>0.17583218818174312</v>
      </c>
      <c r="S940" s="133"/>
      <c r="T940" s="155"/>
      <c r="U940" s="138">
        <f>IF(U935&lt;U939,U937,U938)</f>
        <v>3.8128018836036004</v>
      </c>
      <c r="V940" s="133"/>
      <c r="W940" s="155"/>
      <c r="X940" s="138">
        <f>IF(X935&lt;X939,X937,X938)</f>
        <v>9.6745112660645471</v>
      </c>
      <c r="Y940" s="133"/>
      <c r="Z940" s="155"/>
      <c r="AA940" s="138">
        <f>IF(AA935&lt;AA939,AA937,AA938)</f>
        <v>20.302240777936657</v>
      </c>
      <c r="AB940" s="133"/>
      <c r="AC940" s="155"/>
      <c r="AD940" s="138">
        <f>IF(AD935&lt;AD939,AD937,AD938)</f>
        <v>40.687916060590879</v>
      </c>
      <c r="AE940" s="133"/>
      <c r="AF940" s="155"/>
      <c r="AG940" s="138">
        <f>IF(AG935&lt;AG939,AG937,AG938)</f>
        <v>93.527487623385852</v>
      </c>
      <c r="AH940" s="133"/>
      <c r="AI940" s="155"/>
      <c r="AJ940" s="138" t="e">
        <f>IF(AJ935&lt;AJ939,AJ937,AJ938)</f>
        <v>#NUM!</v>
      </c>
      <c r="AK940" s="133"/>
      <c r="AL940" s="155"/>
      <c r="AM940" s="138" t="e">
        <f>IF(AM935&lt;AM939,AM937,AM938)</f>
        <v>#NUM!</v>
      </c>
      <c r="AN940" s="133"/>
      <c r="AO940" s="155"/>
      <c r="AP940" s="138">
        <f>IF(AP935&lt;AP939,AP937,AP938)</f>
        <v>2195.2815707853856</v>
      </c>
      <c r="AQ940" s="133"/>
      <c r="AR940" s="155"/>
      <c r="AS940" s="138">
        <f>IF(AS935&lt;AS939,AS937,AS938)</f>
        <v>563.83819782898638</v>
      </c>
      <c r="AT940" s="133"/>
      <c r="AU940" s="155"/>
    </row>
    <row r="941" spans="13:47" ht="13" x14ac:dyDescent="0.3">
      <c r="M941" s="28"/>
      <c r="N941" s="28"/>
      <c r="O941" s="9" t="s">
        <v>194</v>
      </c>
      <c r="P941" s="1"/>
      <c r="Q941" s="1"/>
      <c r="R941" s="135"/>
      <c r="S941" s="132">
        <f>IF(R934&lt;=0,W_max,ABS(R$23-R940))</f>
        <v>1.8241678118182569</v>
      </c>
      <c r="T941" s="151">
        <f>R929</f>
        <v>40.664597635520266</v>
      </c>
      <c r="U941" s="135"/>
      <c r="V941" s="132">
        <f>IF(U934&lt;=0,W_max,ABS(U$23-U940))</f>
        <v>1.1871981163963996</v>
      </c>
      <c r="W941" s="151">
        <f>U929</f>
        <v>878.22445896673025</v>
      </c>
      <c r="X941" s="135"/>
      <c r="Y941" s="132">
        <f>IF(X934&lt;=0,W_max,ABS(X$23-X940))</f>
        <v>0.32548873393545286</v>
      </c>
      <c r="Z941" s="151">
        <f>X929</f>
        <v>2171.9535969604353</v>
      </c>
      <c r="AA941" s="135"/>
      <c r="AB941" s="132">
        <f>IF(AA934&lt;=0,W_max,ABS(AA$23-AA940))</f>
        <v>3.1022407779366574</v>
      </c>
      <c r="AC941" s="151">
        <f>AA929</f>
        <v>4230.4112256853059</v>
      </c>
      <c r="AD941" s="135"/>
      <c r="AE941" s="132">
        <f>IF(AD934&lt;=0,W_max,ABS(AD$23-AD940))</f>
        <v>14.087916060590878</v>
      </c>
      <c r="AF941" s="151">
        <f>AD929</f>
        <v>6957.4689212476369</v>
      </c>
      <c r="AG941" s="135"/>
      <c r="AH941" s="132">
        <f>IF(AG934&lt;=0,W_max,ABS(AG$23-AG940))</f>
        <v>55.127487623385854</v>
      </c>
      <c r="AI941" s="151">
        <f>AG929</f>
        <v>9758.3857909319759</v>
      </c>
      <c r="AJ941" s="135"/>
      <c r="AK941" s="132">
        <f>IF(AJ934&lt;=0,W_max,ABS(AJ$23-AJ940))</f>
        <v>7174</v>
      </c>
      <c r="AL941" s="151">
        <f>AJ929</f>
        <v>12390.560552487843</v>
      </c>
      <c r="AM941" s="135"/>
      <c r="AN941" s="132">
        <f>IF(AM934&lt;=0,W_max,ABS(AM$23-AM940))</f>
        <v>7174</v>
      </c>
      <c r="AO941" s="151">
        <f>AM929</f>
        <v>14528.906702481228</v>
      </c>
      <c r="AP941" s="135"/>
      <c r="AQ941" s="132">
        <f>IF(AP934&lt;=0,W_max,ABS(AP$23-AP940))</f>
        <v>7174</v>
      </c>
      <c r="AR941" s="151">
        <f>AP929</f>
        <v>16209.441319611869</v>
      </c>
      <c r="AS941" s="135"/>
      <c r="AT941" s="132">
        <f>IF(AS934&lt;=0,W_max,ABS(AS$23-AS940))</f>
        <v>7174</v>
      </c>
      <c r="AU941" s="151">
        <f>AS929</f>
        <v>18084.36059741984</v>
      </c>
    </row>
    <row r="942" spans="13:47" ht="13" x14ac:dyDescent="0.25">
      <c r="M942" s="12"/>
      <c r="N942" s="12"/>
      <c r="O942" s="2"/>
      <c r="P942" s="85"/>
      <c r="Q942" s="2"/>
      <c r="R942" s="18"/>
      <c r="S942" s="150"/>
      <c r="T942" s="152"/>
      <c r="U942" s="157"/>
      <c r="V942" s="1"/>
      <c r="W942" s="147"/>
      <c r="X942" s="157"/>
      <c r="Y942" s="1"/>
      <c r="Z942" s="147"/>
      <c r="AA942" s="157"/>
      <c r="AB942" s="1"/>
      <c r="AC942" s="147"/>
      <c r="AD942" s="157"/>
      <c r="AE942" s="1"/>
      <c r="AF942" s="147"/>
      <c r="AG942" s="157"/>
      <c r="AH942" s="1"/>
      <c r="AI942" s="147"/>
      <c r="AJ942" s="157"/>
      <c r="AK942" s="1"/>
      <c r="AL942" s="147"/>
      <c r="AM942" s="157"/>
      <c r="AN942" s="1"/>
      <c r="AO942" s="147"/>
      <c r="AP942" s="157"/>
      <c r="AQ942" s="1"/>
      <c r="AR942" s="147"/>
      <c r="AS942" s="157"/>
      <c r="AT942" s="1"/>
      <c r="AU942" s="147"/>
    </row>
    <row r="943" spans="13:47" ht="14" x14ac:dyDescent="0.3">
      <c r="M943" s="23"/>
      <c r="N943" s="23"/>
      <c r="O943" s="23" t="s">
        <v>238</v>
      </c>
      <c r="P943" s="20"/>
      <c r="Q943" s="20"/>
      <c r="R943" s="181">
        <f>R929*1.02</f>
        <v>41.477889588230674</v>
      </c>
      <c r="S943" s="128" t="s">
        <v>185</v>
      </c>
      <c r="T943" s="153" t="s">
        <v>186</v>
      </c>
      <c r="U943" s="143">
        <f>U929*1.01</f>
        <v>887.00670355639761</v>
      </c>
      <c r="V943" s="128" t="s">
        <v>185</v>
      </c>
      <c r="W943" s="153" t="s">
        <v>186</v>
      </c>
      <c r="X943" s="143">
        <f>X929*1.01</f>
        <v>2193.6731329300396</v>
      </c>
      <c r="Y943" s="128" t="s">
        <v>185</v>
      </c>
      <c r="Z943" s="153" t="s">
        <v>186</v>
      </c>
      <c r="AA943" s="143">
        <f>AA929*1.01</f>
        <v>4272.7153379421588</v>
      </c>
      <c r="AB943" s="128" t="s">
        <v>185</v>
      </c>
      <c r="AC943" s="153" t="s">
        <v>186</v>
      </c>
      <c r="AD943" s="143">
        <f>AD929*1.01</f>
        <v>7027.0436104601131</v>
      </c>
      <c r="AE943" s="128" t="s">
        <v>185</v>
      </c>
      <c r="AF943" s="153" t="s">
        <v>186</v>
      </c>
      <c r="AG943" s="143">
        <f>AG929*1.01</f>
        <v>9855.9696488412956</v>
      </c>
      <c r="AH943" s="128" t="s">
        <v>185</v>
      </c>
      <c r="AI943" s="153" t="s">
        <v>186</v>
      </c>
      <c r="AJ943" s="143">
        <f>AJ929*1.01</f>
        <v>12514.466158012721</v>
      </c>
      <c r="AK943" s="128" t="s">
        <v>185</v>
      </c>
      <c r="AL943" s="153" t="s">
        <v>186</v>
      </c>
      <c r="AM943" s="143">
        <f>AM929*1.01</f>
        <v>14674.195769506041</v>
      </c>
      <c r="AN943" s="128" t="s">
        <v>185</v>
      </c>
      <c r="AO943" s="153" t="s">
        <v>186</v>
      </c>
      <c r="AP943" s="143">
        <f>AP929*1.01</f>
        <v>16371.535732807988</v>
      </c>
      <c r="AQ943" s="128" t="s">
        <v>185</v>
      </c>
      <c r="AR943" s="153" t="s">
        <v>186</v>
      </c>
      <c r="AS943" s="143">
        <f>AS929*1.01</f>
        <v>18265.204203394038</v>
      </c>
      <c r="AT943" s="128" t="s">
        <v>185</v>
      </c>
      <c r="AU943" s="153" t="s">
        <v>186</v>
      </c>
    </row>
    <row r="944" spans="13:47" ht="14" x14ac:dyDescent="0.3">
      <c r="M944" s="12"/>
      <c r="N944" s="12"/>
      <c r="O944" s="20"/>
      <c r="P944" s="20"/>
      <c r="Q944" s="23"/>
      <c r="R944" s="139"/>
      <c r="S944" s="130" t="s">
        <v>228</v>
      </c>
      <c r="T944" s="154" t="s">
        <v>187</v>
      </c>
      <c r="U944" s="144"/>
      <c r="V944" s="130" t="s">
        <v>228</v>
      </c>
      <c r="W944" s="154" t="s">
        <v>187</v>
      </c>
      <c r="X944" s="144"/>
      <c r="Y944" s="130" t="s">
        <v>228</v>
      </c>
      <c r="Z944" s="154" t="s">
        <v>187</v>
      </c>
      <c r="AA944" s="144"/>
      <c r="AB944" s="130" t="s">
        <v>228</v>
      </c>
      <c r="AC944" s="154" t="s">
        <v>187</v>
      </c>
      <c r="AD944" s="144"/>
      <c r="AE944" s="130" t="s">
        <v>228</v>
      </c>
      <c r="AF944" s="154" t="s">
        <v>187</v>
      </c>
      <c r="AG944" s="144"/>
      <c r="AH944" s="130" t="s">
        <v>228</v>
      </c>
      <c r="AI944" s="154" t="s">
        <v>187</v>
      </c>
      <c r="AJ944" s="144"/>
      <c r="AK944" s="130" t="s">
        <v>228</v>
      </c>
      <c r="AL944" s="154" t="s">
        <v>187</v>
      </c>
      <c r="AM944" s="144"/>
      <c r="AN944" s="130" t="s">
        <v>228</v>
      </c>
      <c r="AO944" s="154" t="s">
        <v>187</v>
      </c>
      <c r="AP944" s="144"/>
      <c r="AQ944" s="130" t="s">
        <v>228</v>
      </c>
      <c r="AR944" s="154" t="s">
        <v>187</v>
      </c>
      <c r="AS944" s="144"/>
      <c r="AT944" s="130" t="s">
        <v>228</v>
      </c>
      <c r="AU944" s="154" t="s">
        <v>187</v>
      </c>
    </row>
    <row r="945" spans="13:47" x14ac:dyDescent="0.25">
      <c r="M945" s="20"/>
      <c r="N945" s="20"/>
      <c r="O945" s="7" t="s">
        <v>188</v>
      </c>
      <c r="P945" s="7"/>
      <c r="Q945" s="7"/>
      <c r="R945" s="181">
        <f>P_1_minW-(R943^2*R_up)+dpup_minQ</f>
        <v>100.52210070075228</v>
      </c>
      <c r="S945" s="132"/>
      <c r="T945" s="145"/>
      <c r="U945" s="138">
        <f>P_1_minW-(U943^2*R_up)+dpup_minQ</f>
        <v>100.20904854323071</v>
      </c>
      <c r="V945" s="132"/>
      <c r="W945" s="145"/>
      <c r="X945" s="138">
        <f>P_1_minW-(X943^2*R_up)+dpup_minQ</f>
        <v>98.603864303604382</v>
      </c>
      <c r="Y945" s="132"/>
      <c r="Z945" s="145"/>
      <c r="AA945" s="138">
        <f>P_1_minW-(AA943^2*R_up)+dpup_minQ</f>
        <v>93.242952224848338</v>
      </c>
      <c r="AB945" s="132"/>
      <c r="AC945" s="145"/>
      <c r="AD945" s="138">
        <f>P_1_minW-(AD943^2*R_up)+dpup_minQ</f>
        <v>80.832189673097915</v>
      </c>
      <c r="AE945" s="132"/>
      <c r="AF945" s="145"/>
      <c r="AG945" s="138">
        <f>P_1_minW-(AG943^2*R_up)+dpup_minQ</f>
        <v>61.78700701991071</v>
      </c>
      <c r="AH945" s="132"/>
      <c r="AI945" s="145"/>
      <c r="AJ945" s="138">
        <f>P_1_minW-(AJ943^2*R_up)+dpup_minQ</f>
        <v>38.071952537912459</v>
      </c>
      <c r="AK945" s="132"/>
      <c r="AL945" s="145"/>
      <c r="AM945" s="138">
        <f>P_1_minW-(AM943^2*R_up)+dpup_minQ</f>
        <v>14.656594388575982</v>
      </c>
      <c r="AN945" s="132"/>
      <c r="AO945" s="145"/>
      <c r="AP945" s="138">
        <f>P_1_minW-(AP943^2*R_up)+dpup_minQ</f>
        <v>-6.3562246954396935</v>
      </c>
      <c r="AQ945" s="132"/>
      <c r="AR945" s="145"/>
      <c r="AS945" s="138">
        <f>P_1_minW-(AS943^2*R_up)+dpup_minQ</f>
        <v>-32.511213867390765</v>
      </c>
      <c r="AT945" s="132"/>
      <c r="AU945" s="145"/>
    </row>
    <row r="946" spans="13:47" x14ac:dyDescent="0.25">
      <c r="M946" s="20"/>
      <c r="N946" s="20"/>
      <c r="O946" s="7" t="s">
        <v>189</v>
      </c>
      <c r="P946" s="1"/>
      <c r="Q946" s="7"/>
      <c r="R946" s="181">
        <f>P_2_minW+(R943^2*R_dn)-dpdn_minQ</f>
        <v>50</v>
      </c>
      <c r="S946" s="132"/>
      <c r="T946" s="146"/>
      <c r="U946" s="138">
        <f>P_2_minW+(U943^2*R_dn)-dpdn_minQ</f>
        <v>50</v>
      </c>
      <c r="V946" s="132"/>
      <c r="W946" s="146"/>
      <c r="X946" s="138">
        <f>P_2_minW+(X943^2*R_dn)-dpdn_minQ</f>
        <v>50</v>
      </c>
      <c r="Y946" s="132"/>
      <c r="Z946" s="146"/>
      <c r="AA946" s="138">
        <f>P_2_minW+(AA943^2*R_dn)-dpdn_minQ</f>
        <v>50</v>
      </c>
      <c r="AB946" s="132"/>
      <c r="AC946" s="146"/>
      <c r="AD946" s="138">
        <f>P_2_minW+(AD943^2*R_dn)-dpdn_minQ</f>
        <v>50</v>
      </c>
      <c r="AE946" s="132"/>
      <c r="AF946" s="146"/>
      <c r="AG946" s="138">
        <f>P_2_minW+(AG943^2*R_dn)-dpdn_minQ</f>
        <v>50</v>
      </c>
      <c r="AH946" s="132"/>
      <c r="AI946" s="146"/>
      <c r="AJ946" s="138">
        <f>P_2_minW+(AJ943^2*R_dn)-dpdn_minQ</f>
        <v>50</v>
      </c>
      <c r="AK946" s="132"/>
      <c r="AL946" s="146"/>
      <c r="AM946" s="138">
        <f>P_2_minW+(AM943^2*R_dn)-dpdn_minQ</f>
        <v>50</v>
      </c>
      <c r="AN946" s="132"/>
      <c r="AO946" s="146"/>
      <c r="AP946" s="138">
        <f>P_2_minW+(AP943^2*R_dn)-dpdn_minQ</f>
        <v>50</v>
      </c>
      <c r="AQ946" s="132"/>
      <c r="AR946" s="146"/>
      <c r="AS946" s="138">
        <f>P_2_minW+(AS943^2*R_dn)-dpdn_minQ</f>
        <v>50</v>
      </c>
      <c r="AT946" s="132"/>
      <c r="AU946" s="146"/>
    </row>
    <row r="947" spans="13:47" x14ac:dyDescent="0.25">
      <c r="M947" s="20"/>
      <c r="N947" s="20"/>
      <c r="O947" s="7" t="s">
        <v>234</v>
      </c>
      <c r="P947" s="1"/>
      <c r="Q947" s="7"/>
      <c r="R947" s="179">
        <f>'Valve Sizing'!G$8*R945/P_1_maxW</f>
        <v>0.48490071692349146</v>
      </c>
      <c r="S947" s="132"/>
      <c r="T947" s="146"/>
      <c r="U947" s="143">
        <f>'Valve Sizing'!$G$8*U945/P_1_maxW</f>
        <v>0.48339060905110875</v>
      </c>
      <c r="V947" s="132"/>
      <c r="W947" s="146"/>
      <c r="X947" s="143">
        <f>'Valve Sizing'!$G$8*X945/P_1_maxW</f>
        <v>0.47564748606459045</v>
      </c>
      <c r="Y947" s="132"/>
      <c r="Z947" s="146"/>
      <c r="AA947" s="143">
        <f>'Valve Sizing'!$G$8*AA945/P_1_maxW</f>
        <v>0.4497874006482383</v>
      </c>
      <c r="AB947" s="132"/>
      <c r="AC947" s="146"/>
      <c r="AD947" s="143">
        <f>'Valve Sizing'!$G$8*AD945/P_1_maxW</f>
        <v>0.38992009169867548</v>
      </c>
      <c r="AE947" s="132"/>
      <c r="AF947" s="146"/>
      <c r="AG947" s="143">
        <f>'Valve Sizing'!$G$8*AG945/P_1_maxW</f>
        <v>0.29804952136547708</v>
      </c>
      <c r="AH947" s="132"/>
      <c r="AI947" s="146"/>
      <c r="AJ947" s="143">
        <f>'Valve Sizing'!$G$8*AJ945/P_1_maxW</f>
        <v>0.18365232074952781</v>
      </c>
      <c r="AK947" s="132"/>
      <c r="AL947" s="146"/>
      <c r="AM947" s="143">
        <f>'Valve Sizing'!$G$8*AM945/P_1_maxW</f>
        <v>7.0700801884695672E-2</v>
      </c>
      <c r="AN947" s="132"/>
      <c r="AO947" s="146"/>
      <c r="AP947" s="143">
        <f>'Valve Sizing'!$G$8*AP945/P_1_maxW</f>
        <v>-3.0661296274744908E-2</v>
      </c>
      <c r="AQ947" s="132"/>
      <c r="AR947" s="146"/>
      <c r="AS947" s="143">
        <f>'Valve Sizing'!$G$8*AS945/P_1_maxW</f>
        <v>-0.15682830743142995</v>
      </c>
      <c r="AT947" s="132"/>
      <c r="AU947" s="146"/>
    </row>
    <row r="948" spans="13:47" x14ac:dyDescent="0.25">
      <c r="M948" s="20"/>
      <c r="N948" s="20"/>
      <c r="O948" s="7" t="s">
        <v>190</v>
      </c>
      <c r="P948" s="1"/>
      <c r="Q948" s="7"/>
      <c r="R948" s="181">
        <f>R945-R946</f>
        <v>50.522100700752276</v>
      </c>
      <c r="S948" s="132"/>
      <c r="T948" s="146"/>
      <c r="U948" s="138">
        <f>U945-U946</f>
        <v>50.209048543230708</v>
      </c>
      <c r="V948" s="132"/>
      <c r="W948" s="146"/>
      <c r="X948" s="138">
        <f>X945-X946</f>
        <v>48.603864303604382</v>
      </c>
      <c r="Y948" s="132"/>
      <c r="Z948" s="146"/>
      <c r="AA948" s="138">
        <f>AA945-AA946</f>
        <v>43.242952224848338</v>
      </c>
      <c r="AB948" s="132"/>
      <c r="AC948" s="146"/>
      <c r="AD948" s="138">
        <f>AD945-AD946</f>
        <v>30.832189673097915</v>
      </c>
      <c r="AE948" s="132"/>
      <c r="AF948" s="146"/>
      <c r="AG948" s="138">
        <f>AG945-AG946</f>
        <v>11.78700701991071</v>
      </c>
      <c r="AH948" s="132"/>
      <c r="AI948" s="146"/>
      <c r="AJ948" s="138">
        <f>AJ945-AJ946</f>
        <v>-11.928047462087541</v>
      </c>
      <c r="AK948" s="132"/>
      <c r="AL948" s="146"/>
      <c r="AM948" s="138">
        <f>AM945-AM946</f>
        <v>-35.343405611424018</v>
      </c>
      <c r="AN948" s="132"/>
      <c r="AO948" s="146"/>
      <c r="AP948" s="138">
        <f>AP945-AP946</f>
        <v>-56.356224695439693</v>
      </c>
      <c r="AQ948" s="132"/>
      <c r="AR948" s="146"/>
      <c r="AS948" s="138">
        <f>AS945-AS946</f>
        <v>-82.511213867390765</v>
      </c>
      <c r="AT948" s="132"/>
      <c r="AU948" s="146"/>
    </row>
    <row r="949" spans="13:47" ht="14.5" x14ac:dyDescent="0.35">
      <c r="M949" s="27"/>
      <c r="N949" s="27"/>
      <c r="O949" s="2" t="s">
        <v>191</v>
      </c>
      <c r="P949" s="10"/>
      <c r="Q949" s="2"/>
      <c r="R949" s="181">
        <f>R948/R945</f>
        <v>0.50259694483657147</v>
      </c>
      <c r="S949" s="132"/>
      <c r="T949" s="146"/>
      <c r="U949" s="138">
        <f>U948/U945</f>
        <v>0.50104306220979899</v>
      </c>
      <c r="V949" s="132"/>
      <c r="W949" s="146"/>
      <c r="X949" s="138">
        <f>X948/X945</f>
        <v>0.492920481837827</v>
      </c>
      <c r="Y949" s="132"/>
      <c r="Z949" s="146"/>
      <c r="AA949" s="138">
        <f>AA948/AA945</f>
        <v>0.46376644232125153</v>
      </c>
      <c r="AB949" s="132"/>
      <c r="AC949" s="146"/>
      <c r="AD949" s="138">
        <f>AD948/AD945</f>
        <v>0.38143454727367482</v>
      </c>
      <c r="AE949" s="132"/>
      <c r="AF949" s="146"/>
      <c r="AG949" s="138">
        <f>AG948/AG945</f>
        <v>0.19076837653120787</v>
      </c>
      <c r="AH949" s="132"/>
      <c r="AI949" s="146"/>
      <c r="AJ949" s="138">
        <f>AJ948/AJ945</f>
        <v>-0.31330275089541215</v>
      </c>
      <c r="AK949" s="132"/>
      <c r="AL949" s="146"/>
      <c r="AM949" s="138">
        <f>AM948/AM945</f>
        <v>-2.4114336983339242</v>
      </c>
      <c r="AN949" s="132"/>
      <c r="AO949" s="146"/>
      <c r="AP949" s="138">
        <f>AP948/AP945</f>
        <v>8.8663046691651353</v>
      </c>
      <c r="AQ949" s="132"/>
      <c r="AR949" s="146"/>
      <c r="AS949" s="138">
        <f>AS948/AS945</f>
        <v>2.537930887599086</v>
      </c>
      <c r="AT949" s="132"/>
      <c r="AU949" s="146"/>
    </row>
    <row r="950" spans="13:47" x14ac:dyDescent="0.25">
      <c r="M950" s="27"/>
      <c r="N950" s="27"/>
      <c r="O950" s="2" t="s">
        <v>26</v>
      </c>
      <c r="P950" s="7">
        <v>12</v>
      </c>
      <c r="Q950" s="2"/>
      <c r="R950" s="181">
        <f>1-R949/(3*F_GAMMA*R$29)</f>
        <v>0.738241751806059</v>
      </c>
      <c r="S950" s="133"/>
      <c r="T950" s="146"/>
      <c r="U950" s="138">
        <f>1-U949/(3*F_GAMMA*U$29)</f>
        <v>0.73910848614886127</v>
      </c>
      <c r="V950" s="133"/>
      <c r="W950" s="146"/>
      <c r="X950" s="138">
        <f>1-X949/(3*F_GAMMA*X$29)</f>
        <v>0.73948754750845547</v>
      </c>
      <c r="Y950" s="133"/>
      <c r="Z950" s="146"/>
      <c r="AA950" s="138">
        <f>1-AA949/(3*F_GAMMA*AA$29)</f>
        <v>0.75153497151521087</v>
      </c>
      <c r="AB950" s="133"/>
      <c r="AC950" s="146"/>
      <c r="AD950" s="138">
        <f>1-AD949/(3*F_GAMMA*AD$29)</f>
        <v>0.79004167852913687</v>
      </c>
      <c r="AE950" s="133"/>
      <c r="AF950" s="146"/>
      <c r="AG950" s="138">
        <f>1-AG949/(3*F_GAMMA*AG$29)</f>
        <v>0.88900292835524175</v>
      </c>
      <c r="AH950" s="133"/>
      <c r="AI950" s="146"/>
      <c r="AJ950" s="138">
        <f>1-AJ949/(3*F_GAMMA*AJ$29)</f>
        <v>1.1948733981324677</v>
      </c>
      <c r="AK950" s="133"/>
      <c r="AL950" s="146"/>
      <c r="AM950" s="138">
        <f>1-AM949/(3*F_GAMMA*AM$29)</f>
        <v>2.638798445158697</v>
      </c>
      <c r="AN950" s="133"/>
      <c r="AO950" s="146"/>
      <c r="AP950" s="138">
        <f>1-AP949/(3*F_GAMMA*AP$29)</f>
        <v>-3.9794213175231805</v>
      </c>
      <c r="AQ950" s="133"/>
      <c r="AR950" s="146"/>
      <c r="AS950" s="138">
        <f>1-AS949/(3*F_GAMMA*AS$29)</f>
        <v>-1.1637777248870678</v>
      </c>
      <c r="AT950" s="133"/>
      <c r="AU950" s="146"/>
    </row>
    <row r="951" spans="13:47" x14ac:dyDescent="0.25">
      <c r="M951" s="27"/>
      <c r="N951" s="27"/>
      <c r="O951" s="2" t="s">
        <v>71</v>
      </c>
      <c r="P951" s="85">
        <v>5</v>
      </c>
      <c r="Q951" s="2"/>
      <c r="R951" s="179">
        <f>R943/((N_6*R$27*R950)*SQRT(R949*R945*R947))</f>
        <v>0.17934888631587428</v>
      </c>
      <c r="S951" s="133"/>
      <c r="T951" s="146"/>
      <c r="U951" s="143">
        <f>U943/((N_6*U$27*U950)*SQRT(U949*U945*U947))</f>
        <v>3.8512022421922425</v>
      </c>
      <c r="V951" s="133"/>
      <c r="W951" s="146"/>
      <c r="X951" s="143">
        <f>X943/((N_6*X$27*X950)*SQRT(X949*X945*X947))</f>
        <v>9.7755721332719752</v>
      </c>
      <c r="Y951" s="133"/>
      <c r="Z951" s="146"/>
      <c r="AA951" s="143">
        <f>AA943/((N_6*AA$27*AA950)*SQRT(AA949*AA945*AA947))</f>
        <v>20.542967192042159</v>
      </c>
      <c r="AB951" s="133"/>
      <c r="AC951" s="146"/>
      <c r="AD951" s="143">
        <f>AD943/((N_6*AD$27*AD950)*SQRT(AD949*AD945*AD947))</f>
        <v>41.366335775249539</v>
      </c>
      <c r="AE951" s="133"/>
      <c r="AF951" s="146"/>
      <c r="AG951" s="143">
        <f>AG943/((N_6*AG$27*AG950)*SQRT(AG949*AG945*AG947))</f>
        <v>97.439557023493677</v>
      </c>
      <c r="AH951" s="133"/>
      <c r="AI951" s="146"/>
      <c r="AJ951" s="143" t="e">
        <f>AJ943/((N_6*AJ$27*AJ950)*SQRT(AJ949*AJ945*AJ947))</f>
        <v>#NUM!</v>
      </c>
      <c r="AK951" s="133"/>
      <c r="AL951" s="146"/>
      <c r="AM951" s="143" t="e">
        <f>AM943/((N_6*AM$27*AM950)*SQRT(AM949*AM945*AM947))</f>
        <v>#NUM!</v>
      </c>
      <c r="AN951" s="133"/>
      <c r="AO951" s="146"/>
      <c r="AP951" s="143">
        <f>AP943/((N_6*AP$27*AP950)*SQRT(AP949*AP945*AP947))</f>
        <v>-64.29635588950363</v>
      </c>
      <c r="AQ951" s="133"/>
      <c r="AR951" s="146"/>
      <c r="AS951" s="143">
        <f>AS943/((N_6*AS$27*AS950)*SQRT(AS949*AS945*AS947))</f>
        <v>-117.7758526864903</v>
      </c>
      <c r="AT951" s="133"/>
      <c r="AU951" s="146"/>
    </row>
    <row r="952" spans="13:47" x14ac:dyDescent="0.25">
      <c r="M952" s="27"/>
      <c r="N952" s="27"/>
      <c r="O952" s="2" t="s">
        <v>73</v>
      </c>
      <c r="P952" s="85">
        <v>5</v>
      </c>
      <c r="Q952" s="2"/>
      <c r="R952" s="179">
        <f>R943/((N_6*R$27*0.667)*SQRT(R953*R945*R947))</f>
        <v>0.17590665442404457</v>
      </c>
      <c r="S952" s="133"/>
      <c r="T952" s="155"/>
      <c r="U952" s="143">
        <f>U943/((N_6*U$27*0.667)*SQRT(U953*U945*U947))</f>
        <v>3.7754548791261997</v>
      </c>
      <c r="V952" s="133"/>
      <c r="W952" s="155"/>
      <c r="X952" s="143">
        <f>X943/((N_6*X$27*0.667)*SQRT(X953*X945*X947))</f>
        <v>9.5812481202250037</v>
      </c>
      <c r="Y952" s="133"/>
      <c r="Z952" s="155"/>
      <c r="AA952" s="143">
        <f>AA943/((N_6*AA$27*0.667)*SQRT(AA953*AA945*AA947))</f>
        <v>19.983879199798842</v>
      </c>
      <c r="AB952" s="133"/>
      <c r="AC952" s="155"/>
      <c r="AD952" s="143">
        <f>AD943/((N_6*AD$27*0.667)*SQRT(AD953*AD945*AD947))</f>
        <v>38.886458756226226</v>
      </c>
      <c r="AE952" s="133"/>
      <c r="AF952" s="155"/>
      <c r="AG952" s="143">
        <f>AG943/((N_6*AG$27*0.667)*SQRT(AG953*AG945*AG947))</f>
        <v>74.942650116791128</v>
      </c>
      <c r="AH952" s="133"/>
      <c r="AI952" s="155"/>
      <c r="AJ952" s="143">
        <f>AJ943/((N_6*AJ$27*0.667)*SQRT(AJ953*AJ945*AJ947))</f>
        <v>165.15252098713077</v>
      </c>
      <c r="AK952" s="133"/>
      <c r="AL952" s="155"/>
      <c r="AM952" s="143">
        <f>AM943/((N_6*AM$27*0.667)*SQRT(AM953*AM945*AM947))</f>
        <v>558.10311514905379</v>
      </c>
      <c r="AN952" s="133"/>
      <c r="AO952" s="155"/>
      <c r="AP952" s="143">
        <f>AP943/((N_6*AP$27*0.667)*SQRT(AP953*AP945*AP947))</f>
        <v>1482.6222448841759</v>
      </c>
      <c r="AQ952" s="133"/>
      <c r="AR952" s="155"/>
      <c r="AS952" s="143">
        <f>AS943/((N_6*AS$27*0.667)*SQRT(AS953*AS945*AS947))</f>
        <v>523.56115102731167</v>
      </c>
      <c r="AT952" s="133"/>
      <c r="AU952" s="155"/>
    </row>
    <row r="953" spans="13:47" ht="15.5" x14ac:dyDescent="0.4">
      <c r="M953" s="27"/>
      <c r="N953" s="27"/>
      <c r="O953" s="2" t="s">
        <v>192</v>
      </c>
      <c r="P953" s="85">
        <v>10</v>
      </c>
      <c r="Q953" s="2"/>
      <c r="R953" s="181">
        <f>F_GAMMA*R$29</f>
        <v>0.64002688015162901</v>
      </c>
      <c r="S953" s="133"/>
      <c r="T953" s="155"/>
      <c r="U953" s="138">
        <f>F_GAMMA*U$29</f>
        <v>0.64016782916606918</v>
      </c>
      <c r="V953" s="133"/>
      <c r="W953" s="155"/>
      <c r="X953" s="138">
        <f>F_GAMMA*X$29</f>
        <v>0.6307062319203669</v>
      </c>
      <c r="Y953" s="133"/>
      <c r="Z953" s="155"/>
      <c r="AA953" s="138">
        <f>F_GAMMA*AA$29</f>
        <v>0.62217534213893466</v>
      </c>
      <c r="AB953" s="133"/>
      <c r="AC953" s="155"/>
      <c r="AD953" s="138">
        <f>F_GAMMA*AD$29</f>
        <v>0.60557184969146072</v>
      </c>
      <c r="AE953" s="133"/>
      <c r="AF953" s="155"/>
      <c r="AG953" s="138">
        <f>F_GAMMA*AG$29</f>
        <v>0.57289312142622573</v>
      </c>
      <c r="AH953" s="133"/>
      <c r="AI953" s="155"/>
      <c r="AJ953" s="138">
        <f>F_GAMMA*AJ$29</f>
        <v>0.53590819116049981</v>
      </c>
      <c r="AK953" s="133"/>
      <c r="AL953" s="155"/>
      <c r="AM953" s="138">
        <f>F_GAMMA*AM$29</f>
        <v>0.49048815926850342</v>
      </c>
      <c r="AN953" s="133"/>
      <c r="AO953" s="155"/>
      <c r="AP953" s="138">
        <f>F_GAMMA*AP$29</f>
        <v>0.59352979016280105</v>
      </c>
      <c r="AQ953" s="133"/>
      <c r="AR953" s="155"/>
      <c r="AS953" s="138">
        <f>F_GAMMA*AS$29</f>
        <v>0.39097221161068291</v>
      </c>
      <c r="AT953" s="133"/>
      <c r="AU953" s="155"/>
    </row>
    <row r="954" spans="13:47" x14ac:dyDescent="0.25">
      <c r="M954" s="27"/>
      <c r="N954" s="27"/>
      <c r="O954" s="2" t="s">
        <v>193</v>
      </c>
      <c r="P954" s="134"/>
      <c r="Q954" s="2"/>
      <c r="R954" s="181">
        <f>IF(R949&lt;R953,R951,R952)</f>
        <v>0.17934888631587428</v>
      </c>
      <c r="S954" s="133"/>
      <c r="T954" s="155"/>
      <c r="U954" s="138">
        <f>IF(U949&lt;U953,U951,U952)</f>
        <v>3.8512022421922425</v>
      </c>
      <c r="V954" s="133"/>
      <c r="W954" s="155"/>
      <c r="X954" s="138">
        <f>IF(X949&lt;X953,X951,X952)</f>
        <v>9.7755721332719752</v>
      </c>
      <c r="Y954" s="133"/>
      <c r="Z954" s="155"/>
      <c r="AA954" s="138">
        <f>IF(AA949&lt;AA953,AA951,AA952)</f>
        <v>20.542967192042159</v>
      </c>
      <c r="AB954" s="133"/>
      <c r="AC954" s="155"/>
      <c r="AD954" s="138">
        <f>IF(AD949&lt;AD953,AD951,AD952)</f>
        <v>41.366335775249539</v>
      </c>
      <c r="AE954" s="133"/>
      <c r="AF954" s="155"/>
      <c r="AG954" s="138">
        <f>IF(AG949&lt;AG953,AG951,AG952)</f>
        <v>97.439557023493677</v>
      </c>
      <c r="AH954" s="133"/>
      <c r="AI954" s="155"/>
      <c r="AJ954" s="138" t="e">
        <f>IF(AJ949&lt;AJ953,AJ951,AJ952)</f>
        <v>#NUM!</v>
      </c>
      <c r="AK954" s="133"/>
      <c r="AL954" s="155"/>
      <c r="AM954" s="138" t="e">
        <f>IF(AM949&lt;AM953,AM951,AM952)</f>
        <v>#NUM!</v>
      </c>
      <c r="AN954" s="133"/>
      <c r="AO954" s="155"/>
      <c r="AP954" s="138">
        <f>IF(AP949&lt;AP953,AP951,AP952)</f>
        <v>1482.6222448841759</v>
      </c>
      <c r="AQ954" s="133"/>
      <c r="AR954" s="155"/>
      <c r="AS954" s="138">
        <f>IF(AS949&lt;AS953,AS951,AS952)</f>
        <v>523.56115102731167</v>
      </c>
      <c r="AT954" s="133"/>
      <c r="AU954" s="155"/>
    </row>
    <row r="955" spans="13:47" ht="13" x14ac:dyDescent="0.3">
      <c r="M955" s="28"/>
      <c r="N955" s="28"/>
      <c r="O955" s="9" t="s">
        <v>194</v>
      </c>
      <c r="P955" s="1"/>
      <c r="Q955" s="1"/>
      <c r="R955" s="135"/>
      <c r="S955" s="132">
        <f>IF(R948&lt;=0,W_max,ABS(R$23-R954))</f>
        <v>1.8206511136841257</v>
      </c>
      <c r="T955" s="151">
        <f>R943</f>
        <v>41.477889588230674</v>
      </c>
      <c r="U955" s="135"/>
      <c r="V955" s="132">
        <f>IF(U948&lt;=0,W_max,ABS(U$23-U954))</f>
        <v>1.1487977578077575</v>
      </c>
      <c r="W955" s="151">
        <f>U943</f>
        <v>887.00670355639761</v>
      </c>
      <c r="X955" s="135"/>
      <c r="Y955" s="132">
        <f>IF(X948&lt;=0,W_max,ABS(X$23-X954))</f>
        <v>0.22442786672802484</v>
      </c>
      <c r="Z955" s="151">
        <f>X943</f>
        <v>2193.6731329300396</v>
      </c>
      <c r="AA955" s="135"/>
      <c r="AB955" s="132">
        <f>IF(AA948&lt;=0,W_max,ABS(AA$23-AA954))</f>
        <v>3.3429671920421598</v>
      </c>
      <c r="AC955" s="151">
        <f>AA943</f>
        <v>4272.7153379421588</v>
      </c>
      <c r="AD955" s="135"/>
      <c r="AE955" s="132">
        <f>IF(AD948&lt;=0,W_max,ABS(AD$23-AD954))</f>
        <v>14.766335775249537</v>
      </c>
      <c r="AF955" s="151">
        <f>AD943</f>
        <v>7027.0436104601131</v>
      </c>
      <c r="AG955" s="135"/>
      <c r="AH955" s="132">
        <f>IF(AG948&lt;=0,W_max,ABS(AG$23-AG954))</f>
        <v>59.039557023493678</v>
      </c>
      <c r="AI955" s="151">
        <f>AG943</f>
        <v>9855.9696488412956</v>
      </c>
      <c r="AJ955" s="135"/>
      <c r="AK955" s="132">
        <f>IF(AJ948&lt;=0,W_max,ABS(AJ$23-AJ954))</f>
        <v>7174</v>
      </c>
      <c r="AL955" s="151">
        <f>AJ943</f>
        <v>12514.466158012721</v>
      </c>
      <c r="AM955" s="135"/>
      <c r="AN955" s="132">
        <f>IF(AM948&lt;=0,W_max,ABS(AM$23-AM954))</f>
        <v>7174</v>
      </c>
      <c r="AO955" s="151">
        <f>AM943</f>
        <v>14674.195769506041</v>
      </c>
      <c r="AP955" s="135"/>
      <c r="AQ955" s="132">
        <f>IF(AP948&lt;=0,W_max,ABS(AP$23-AP954))</f>
        <v>7174</v>
      </c>
      <c r="AR955" s="151">
        <f>AP943</f>
        <v>16371.535732807988</v>
      </c>
      <c r="AS955" s="135"/>
      <c r="AT955" s="132">
        <f>IF(AS948&lt;=0,W_max,ABS(AS$23-AS954))</f>
        <v>7174</v>
      </c>
      <c r="AU955" s="151">
        <f>AS943</f>
        <v>18265.204203394038</v>
      </c>
    </row>
    <row r="956" spans="13:47" ht="13" x14ac:dyDescent="0.25">
      <c r="M956" s="12"/>
      <c r="N956" s="12"/>
      <c r="O956" s="2"/>
      <c r="P956" s="85"/>
      <c r="Q956" s="2"/>
      <c r="R956" s="18"/>
      <c r="S956" s="150"/>
      <c r="T956" s="148"/>
      <c r="U956" s="157"/>
      <c r="V956" s="1"/>
      <c r="W956" s="147"/>
      <c r="X956" s="157"/>
      <c r="Y956" s="1"/>
      <c r="Z956" s="147"/>
      <c r="AA956" s="157"/>
      <c r="AB956" s="1"/>
      <c r="AC956" s="147"/>
      <c r="AD956" s="157"/>
      <c r="AE956" s="1"/>
      <c r="AF956" s="147"/>
      <c r="AG956" s="157"/>
      <c r="AH956" s="1"/>
      <c r="AI956" s="147"/>
      <c r="AJ956" s="157"/>
      <c r="AK956" s="1"/>
      <c r="AL956" s="147"/>
      <c r="AM956" s="157"/>
      <c r="AN956" s="1"/>
      <c r="AO956" s="147"/>
      <c r="AP956" s="157"/>
      <c r="AQ956" s="1"/>
      <c r="AR956" s="147"/>
      <c r="AS956" s="157"/>
      <c r="AT956" s="1"/>
      <c r="AU956" s="147"/>
    </row>
    <row r="957" spans="13:47" ht="14" x14ac:dyDescent="0.3">
      <c r="M957" s="23"/>
      <c r="N957" s="23"/>
      <c r="O957" s="23" t="s">
        <v>238</v>
      </c>
      <c r="P957" s="20"/>
      <c r="Q957" s="20"/>
      <c r="R957" s="181">
        <f>R943*1.02</f>
        <v>42.307447379995288</v>
      </c>
      <c r="S957" s="128" t="s">
        <v>185</v>
      </c>
      <c r="T957" s="149" t="s">
        <v>186</v>
      </c>
      <c r="U957" s="143">
        <f>U943*1.01</f>
        <v>895.87677059196164</v>
      </c>
      <c r="V957" s="128" t="s">
        <v>185</v>
      </c>
      <c r="W957" s="153" t="s">
        <v>186</v>
      </c>
      <c r="X957" s="143">
        <f>X943*1.01</f>
        <v>2215.6098642593402</v>
      </c>
      <c r="Y957" s="128" t="s">
        <v>185</v>
      </c>
      <c r="Z957" s="153" t="s">
        <v>186</v>
      </c>
      <c r="AA957" s="143">
        <f>AA943*1.01</f>
        <v>4315.4424913215807</v>
      </c>
      <c r="AB957" s="128" t="s">
        <v>185</v>
      </c>
      <c r="AC957" s="153" t="s">
        <v>186</v>
      </c>
      <c r="AD957" s="143">
        <f>AD943*1.01</f>
        <v>7097.3140465647139</v>
      </c>
      <c r="AE957" s="128" t="s">
        <v>185</v>
      </c>
      <c r="AF957" s="153" t="s">
        <v>186</v>
      </c>
      <c r="AG957" s="143">
        <f>AG943*1.01</f>
        <v>9954.529345329709</v>
      </c>
      <c r="AH957" s="128" t="s">
        <v>185</v>
      </c>
      <c r="AI957" s="153" t="s">
        <v>186</v>
      </c>
      <c r="AJ957" s="143">
        <f>AJ943*1.01</f>
        <v>12639.610819592848</v>
      </c>
      <c r="AK957" s="128" t="s">
        <v>185</v>
      </c>
      <c r="AL957" s="153" t="s">
        <v>186</v>
      </c>
      <c r="AM957" s="143">
        <f>AM943*1.01</f>
        <v>14820.937727201101</v>
      </c>
      <c r="AN957" s="128" t="s">
        <v>185</v>
      </c>
      <c r="AO957" s="153" t="s">
        <v>186</v>
      </c>
      <c r="AP957" s="143">
        <f>AP943*1.01</f>
        <v>16535.251090136069</v>
      </c>
      <c r="AQ957" s="128" t="s">
        <v>185</v>
      </c>
      <c r="AR957" s="153" t="s">
        <v>186</v>
      </c>
      <c r="AS957" s="143">
        <f>AS943*1.01</f>
        <v>18447.856245427978</v>
      </c>
      <c r="AT957" s="128" t="s">
        <v>185</v>
      </c>
      <c r="AU957" s="153" t="s">
        <v>186</v>
      </c>
    </row>
    <row r="958" spans="13:47" ht="14" x14ac:dyDescent="0.3">
      <c r="M958" s="12"/>
      <c r="N958" s="12"/>
      <c r="O958" s="20"/>
      <c r="P958" s="20"/>
      <c r="Q958" s="23"/>
      <c r="R958" s="139"/>
      <c r="S958" s="130" t="s">
        <v>228</v>
      </c>
      <c r="T958" s="131" t="s">
        <v>187</v>
      </c>
      <c r="U958" s="144"/>
      <c r="V958" s="130" t="s">
        <v>228</v>
      </c>
      <c r="W958" s="154" t="s">
        <v>187</v>
      </c>
      <c r="X958" s="144"/>
      <c r="Y958" s="130" t="s">
        <v>228</v>
      </c>
      <c r="Z958" s="154" t="s">
        <v>187</v>
      </c>
      <c r="AA958" s="144"/>
      <c r="AB958" s="130" t="s">
        <v>228</v>
      </c>
      <c r="AC958" s="154" t="s">
        <v>187</v>
      </c>
      <c r="AD958" s="144"/>
      <c r="AE958" s="130" t="s">
        <v>228</v>
      </c>
      <c r="AF958" s="154" t="s">
        <v>187</v>
      </c>
      <c r="AG958" s="144"/>
      <c r="AH958" s="130" t="s">
        <v>228</v>
      </c>
      <c r="AI958" s="154" t="s">
        <v>187</v>
      </c>
      <c r="AJ958" s="144"/>
      <c r="AK958" s="130" t="s">
        <v>228</v>
      </c>
      <c r="AL958" s="154" t="s">
        <v>187</v>
      </c>
      <c r="AM958" s="144"/>
      <c r="AN958" s="130" t="s">
        <v>228</v>
      </c>
      <c r="AO958" s="154" t="s">
        <v>187</v>
      </c>
      <c r="AP958" s="144"/>
      <c r="AQ958" s="130" t="s">
        <v>228</v>
      </c>
      <c r="AR958" s="154" t="s">
        <v>187</v>
      </c>
      <c r="AS958" s="144"/>
      <c r="AT958" s="130" t="s">
        <v>228</v>
      </c>
      <c r="AU958" s="154" t="s">
        <v>187</v>
      </c>
    </row>
    <row r="959" spans="13:47" x14ac:dyDescent="0.25">
      <c r="M959" s="20"/>
      <c r="N959" s="20"/>
      <c r="O959" s="7" t="s">
        <v>188</v>
      </c>
      <c r="P959" s="7"/>
      <c r="Q959" s="7"/>
      <c r="R959" s="181">
        <f>P_1_minW-(R957^2*R_up)+dpup_minQ</f>
        <v>100.52207298489891</v>
      </c>
      <c r="S959" s="132"/>
      <c r="T959" s="145"/>
      <c r="U959" s="138">
        <f>P_1_minW-(U957^2*R_up)+dpup_minQ</f>
        <v>100.20274240554143</v>
      </c>
      <c r="V959" s="132"/>
      <c r="W959" s="145"/>
      <c r="X959" s="138">
        <f>P_1_minW-(X957^2*R_up)+dpup_minQ</f>
        <v>98.565293962698632</v>
      </c>
      <c r="Y959" s="132"/>
      <c r="Z959" s="145"/>
      <c r="AA959" s="138">
        <f>P_1_minW-(AA957^2*R_up)+dpup_minQ</f>
        <v>93.096627551159571</v>
      </c>
      <c r="AB959" s="132"/>
      <c r="AC959" s="145"/>
      <c r="AD959" s="138">
        <f>P_1_minW-(AD957^2*R_up)+dpup_minQ</f>
        <v>80.436408672118986</v>
      </c>
      <c r="AE959" s="132"/>
      <c r="AF959" s="145"/>
      <c r="AG959" s="138">
        <f>P_1_minW-(AG957^2*R_up)+dpup_minQ</f>
        <v>61.008417847602708</v>
      </c>
      <c r="AH959" s="132"/>
      <c r="AI959" s="145"/>
      <c r="AJ959" s="138">
        <f>P_1_minW-(AJ957^2*R_up)+dpup_minQ</f>
        <v>36.816690770516296</v>
      </c>
      <c r="AK959" s="132"/>
      <c r="AL959" s="145"/>
      <c r="AM959" s="138">
        <f>P_1_minW-(AM957^2*R_up)+dpup_minQ</f>
        <v>12.930683922378165</v>
      </c>
      <c r="AN959" s="132"/>
      <c r="AO959" s="145"/>
      <c r="AP959" s="138">
        <f>P_1_minW-(AP957^2*R_up)+dpup_minQ</f>
        <v>-8.5044928252262508</v>
      </c>
      <c r="AQ959" s="132"/>
      <c r="AR959" s="145"/>
      <c r="AS959" s="138">
        <f>P_1_minW-(AS957^2*R_up)+dpup_minQ</f>
        <v>-35.18519727953354</v>
      </c>
      <c r="AT959" s="132"/>
      <c r="AU959" s="145"/>
    </row>
    <row r="960" spans="13:47" x14ac:dyDescent="0.25">
      <c r="M960" s="20"/>
      <c r="N960" s="20"/>
      <c r="O960" s="7" t="s">
        <v>189</v>
      </c>
      <c r="P960" s="1"/>
      <c r="Q960" s="7"/>
      <c r="R960" s="181">
        <f>P_2_minW+(R957^2*R_dn)-dpdn_minQ</f>
        <v>50</v>
      </c>
      <c r="S960" s="132"/>
      <c r="T960" s="146"/>
      <c r="U960" s="138">
        <f>P_2_minW+(U957^2*R_dn)-dpdn_minQ</f>
        <v>50</v>
      </c>
      <c r="V960" s="132"/>
      <c r="W960" s="146"/>
      <c r="X960" s="138">
        <f>P_2_minW+(X957^2*R_dn)-dpdn_minQ</f>
        <v>50</v>
      </c>
      <c r="Y960" s="132"/>
      <c r="Z960" s="146"/>
      <c r="AA960" s="138">
        <f>P_2_minW+(AA957^2*R_dn)-dpdn_minQ</f>
        <v>50</v>
      </c>
      <c r="AB960" s="132"/>
      <c r="AC960" s="146"/>
      <c r="AD960" s="138">
        <f>P_2_minW+(AD957^2*R_dn)-dpdn_minQ</f>
        <v>50</v>
      </c>
      <c r="AE960" s="132"/>
      <c r="AF960" s="146"/>
      <c r="AG960" s="138">
        <f>P_2_minW+(AG957^2*R_dn)-dpdn_minQ</f>
        <v>50</v>
      </c>
      <c r="AH960" s="132"/>
      <c r="AI960" s="146"/>
      <c r="AJ960" s="138">
        <f>P_2_minW+(AJ957^2*R_dn)-dpdn_minQ</f>
        <v>50</v>
      </c>
      <c r="AK960" s="132"/>
      <c r="AL960" s="146"/>
      <c r="AM960" s="138">
        <f>P_2_minW+(AM957^2*R_dn)-dpdn_minQ</f>
        <v>50</v>
      </c>
      <c r="AN960" s="132"/>
      <c r="AO960" s="146"/>
      <c r="AP960" s="138">
        <f>P_2_minW+(AP957^2*R_dn)-dpdn_minQ</f>
        <v>50</v>
      </c>
      <c r="AQ960" s="132"/>
      <c r="AR960" s="146"/>
      <c r="AS960" s="138">
        <f>P_2_minW+(AS957^2*R_dn)-dpdn_minQ</f>
        <v>50</v>
      </c>
      <c r="AT960" s="132"/>
      <c r="AU960" s="146"/>
    </row>
    <row r="961" spans="13:47" x14ac:dyDescent="0.25">
      <c r="M961" s="20"/>
      <c r="N961" s="20"/>
      <c r="O961" s="7" t="s">
        <v>234</v>
      </c>
      <c r="P961" s="1"/>
      <c r="Q961" s="7"/>
      <c r="R961" s="179">
        <f>'Valve Sizing'!G$8*R959/P_1_maxW</f>
        <v>0.48490058322714935</v>
      </c>
      <c r="S961" s="132"/>
      <c r="T961" s="146"/>
      <c r="U961" s="143">
        <f>'Valve Sizing'!$G$8*U959/P_1_maxW</f>
        <v>0.48336018936563424</v>
      </c>
      <c r="V961" s="132"/>
      <c r="W961" s="146"/>
      <c r="X961" s="143">
        <f>'Valve Sizing'!$G$8*X959/P_1_maxW</f>
        <v>0.47546142960708709</v>
      </c>
      <c r="Y961" s="132"/>
      <c r="Z961" s="146"/>
      <c r="AA961" s="143">
        <f>'Valve Sizing'!$G$8*AA959/P_1_maxW</f>
        <v>0.44908155647386616</v>
      </c>
      <c r="AB961" s="132"/>
      <c r="AC961" s="146"/>
      <c r="AD961" s="143">
        <f>'Valve Sizing'!$G$8*AD959/P_1_maxW</f>
        <v>0.38801091461441717</v>
      </c>
      <c r="AE961" s="132"/>
      <c r="AF961" s="146"/>
      <c r="AG961" s="143">
        <f>'Valve Sizing'!$G$8*AG959/P_1_maxW</f>
        <v>0.29429374581752143</v>
      </c>
      <c r="AH961" s="132"/>
      <c r="AI961" s="146"/>
      <c r="AJ961" s="143">
        <f>'Valve Sizing'!$G$8*AJ959/P_1_maxW</f>
        <v>0.17759716146919163</v>
      </c>
      <c r="AK961" s="132"/>
      <c r="AL961" s="146"/>
      <c r="AM961" s="143">
        <f>'Valve Sizing'!$G$8*AM959/P_1_maxW</f>
        <v>6.237531707517642E-2</v>
      </c>
      <c r="AN961" s="132"/>
      <c r="AO961" s="146"/>
      <c r="AP961" s="143">
        <f>'Valve Sizing'!$G$8*AP959/P_1_maxW</f>
        <v>-4.1024159257269051E-2</v>
      </c>
      <c r="AQ961" s="132"/>
      <c r="AR961" s="146"/>
      <c r="AS961" s="143">
        <f>'Valve Sizing'!$G$8*AS959/P_1_maxW</f>
        <v>-0.16972712733820347</v>
      </c>
      <c r="AT961" s="132"/>
      <c r="AU961" s="146"/>
    </row>
    <row r="962" spans="13:47" x14ac:dyDescent="0.25">
      <c r="M962" s="20"/>
      <c r="N962" s="20"/>
      <c r="O962" s="7" t="s">
        <v>190</v>
      </c>
      <c r="P962" s="1"/>
      <c r="Q962" s="7"/>
      <c r="R962" s="181">
        <f>R959-R960</f>
        <v>50.522072984898912</v>
      </c>
      <c r="S962" s="132"/>
      <c r="T962" s="146"/>
      <c r="U962" s="138">
        <f>U959-U960</f>
        <v>50.202742405541429</v>
      </c>
      <c r="V962" s="132"/>
      <c r="W962" s="146"/>
      <c r="X962" s="138">
        <f>X959-X960</f>
        <v>48.565293962698632</v>
      </c>
      <c r="Y962" s="132"/>
      <c r="Z962" s="146"/>
      <c r="AA962" s="138">
        <f>AA959-AA960</f>
        <v>43.096627551159571</v>
      </c>
      <c r="AB962" s="132"/>
      <c r="AC962" s="146"/>
      <c r="AD962" s="138">
        <f>AD959-AD960</f>
        <v>30.436408672118986</v>
      </c>
      <c r="AE962" s="132"/>
      <c r="AF962" s="146"/>
      <c r="AG962" s="138">
        <f>AG959-AG960</f>
        <v>11.008417847602708</v>
      </c>
      <c r="AH962" s="132"/>
      <c r="AI962" s="146"/>
      <c r="AJ962" s="138">
        <f>AJ959-AJ960</f>
        <v>-13.183309229483704</v>
      </c>
      <c r="AK962" s="132"/>
      <c r="AL962" s="146"/>
      <c r="AM962" s="138">
        <f>AM959-AM960</f>
        <v>-37.069316077621835</v>
      </c>
      <c r="AN962" s="132"/>
      <c r="AO962" s="146"/>
      <c r="AP962" s="138">
        <f>AP959-AP960</f>
        <v>-58.504492825226251</v>
      </c>
      <c r="AQ962" s="132"/>
      <c r="AR962" s="146"/>
      <c r="AS962" s="138">
        <f>AS959-AS960</f>
        <v>-85.18519727953354</v>
      </c>
      <c r="AT962" s="132"/>
      <c r="AU962" s="146"/>
    </row>
    <row r="963" spans="13:47" ht="14.5" x14ac:dyDescent="0.35">
      <c r="M963" s="27"/>
      <c r="N963" s="27"/>
      <c r="O963" s="2" t="s">
        <v>191</v>
      </c>
      <c r="P963" s="10"/>
      <c r="Q963" s="2"/>
      <c r="R963" s="181">
        <f>R962/R959</f>
        <v>0.50259680769305937</v>
      </c>
      <c r="S963" s="132"/>
      <c r="T963" s="146"/>
      <c r="U963" s="138">
        <f>U962/U959</f>
        <v>0.50101166096193694</v>
      </c>
      <c r="V963" s="132"/>
      <c r="W963" s="146"/>
      <c r="X963" s="138">
        <f>X962/X959</f>
        <v>0.4927220526636672</v>
      </c>
      <c r="Y963" s="132"/>
      <c r="Z963" s="146"/>
      <c r="AA963" s="138">
        <f>AA962/AA959</f>
        <v>0.4629236169428006</v>
      </c>
      <c r="AB963" s="132"/>
      <c r="AC963" s="146"/>
      <c r="AD963" s="138">
        <f>AD962/AD959</f>
        <v>0.37839094477957352</v>
      </c>
      <c r="AE963" s="132"/>
      <c r="AF963" s="146"/>
      <c r="AG963" s="138">
        <f>AG962/AG959</f>
        <v>0.18044096595164003</v>
      </c>
      <c r="AH963" s="132"/>
      <c r="AI963" s="146"/>
      <c r="AJ963" s="138">
        <f>AJ962/AJ959</f>
        <v>-0.35807969031375358</v>
      </c>
      <c r="AK963" s="132"/>
      <c r="AL963" s="146"/>
      <c r="AM963" s="138">
        <f>AM962/AM959</f>
        <v>-2.866771494852546</v>
      </c>
      <c r="AN963" s="132"/>
      <c r="AO963" s="146"/>
      <c r="AP963" s="138">
        <f>AP962/AP959</f>
        <v>6.8792453621324343</v>
      </c>
      <c r="AQ963" s="132"/>
      <c r="AR963" s="146"/>
      <c r="AS963" s="138">
        <f>AS962/AS959</f>
        <v>2.421052143114852</v>
      </c>
      <c r="AT963" s="132"/>
      <c r="AU963" s="146"/>
    </row>
    <row r="964" spans="13:47" x14ac:dyDescent="0.25">
      <c r="M964" s="27"/>
      <c r="N964" s="27"/>
      <c r="O964" s="2" t="s">
        <v>26</v>
      </c>
      <c r="P964" s="7">
        <v>12</v>
      </c>
      <c r="Q964" s="2"/>
      <c r="R964" s="181">
        <f>1-R963/(3*F_GAMMA*R$29)</f>
        <v>0.73824182323197163</v>
      </c>
      <c r="S964" s="133"/>
      <c r="T964" s="146"/>
      <c r="U964" s="138">
        <f>1-U963/(3*F_GAMMA*U$29)</f>
        <v>0.7391248366778066</v>
      </c>
      <c r="V964" s="133"/>
      <c r="W964" s="146"/>
      <c r="X964" s="138">
        <f>1-X963/(3*F_GAMMA*X$29)</f>
        <v>0.73959241892831107</v>
      </c>
      <c r="Y964" s="133"/>
      <c r="Z964" s="146"/>
      <c r="AA964" s="138">
        <f>1-AA963/(3*F_GAMMA*AA$29)</f>
        <v>0.75198651913175762</v>
      </c>
      <c r="AB964" s="133"/>
      <c r="AC964" s="146"/>
      <c r="AD964" s="138">
        <f>1-AD963/(3*F_GAMMA*AD$29)</f>
        <v>0.79171701096940361</v>
      </c>
      <c r="AE964" s="133"/>
      <c r="AF964" s="146"/>
      <c r="AG964" s="138">
        <f>1-AG963/(3*F_GAMMA*AG$29)</f>
        <v>0.89501185055109433</v>
      </c>
      <c r="AH964" s="133"/>
      <c r="AI964" s="146"/>
      <c r="AJ964" s="138">
        <f>1-AJ963/(3*F_GAMMA*AJ$29)</f>
        <v>1.222724523976354</v>
      </c>
      <c r="AK964" s="133"/>
      <c r="AL964" s="146"/>
      <c r="AM964" s="138">
        <f>1-AM963/(3*F_GAMMA*AM$29)</f>
        <v>2.9482437653730837</v>
      </c>
      <c r="AN964" s="133"/>
      <c r="AO964" s="146"/>
      <c r="AP964" s="138">
        <f>1-AP963/(3*F_GAMMA*AP$29)</f>
        <v>-2.8634653649794091</v>
      </c>
      <c r="AQ964" s="133"/>
      <c r="AR964" s="146"/>
      <c r="AS964" s="138">
        <f>1-AS963/(3*F_GAMMA*AS$29)</f>
        <v>-1.0641297695138623</v>
      </c>
      <c r="AT964" s="133"/>
      <c r="AU964" s="146"/>
    </row>
    <row r="965" spans="13:47" x14ac:dyDescent="0.25">
      <c r="M965" s="27"/>
      <c r="N965" s="27"/>
      <c r="O965" s="2" t="s">
        <v>71</v>
      </c>
      <c r="P965" s="85">
        <v>5</v>
      </c>
      <c r="Q965" s="2"/>
      <c r="R965" s="179">
        <f>R957/((N_6*R$27*R964)*SQRT(R963*R959*R961))</f>
        <v>0.18293592174064116</v>
      </c>
      <c r="S965" s="133"/>
      <c r="T965" s="146"/>
      <c r="U965" s="143">
        <f>U957/((N_6*U$27*U964)*SQRT(U963*U959*U961))</f>
        <v>3.8899949057442416</v>
      </c>
      <c r="V965" s="133"/>
      <c r="W965" s="146"/>
      <c r="X965" s="143">
        <f>X957/((N_6*X$27*X964)*SQRT(X963*X959*X961))</f>
        <v>9.8777793042564248</v>
      </c>
      <c r="Y965" s="133"/>
      <c r="Z965" s="146"/>
      <c r="AA965" s="143">
        <f>AA957/((N_6*AA$27*AA964)*SQRT(AA963*AA959*AA961))</f>
        <v>20.787427325619554</v>
      </c>
      <c r="AB965" s="133"/>
      <c r="AC965" s="146"/>
      <c r="AD965" s="143">
        <f>AD957/((N_6*AD$27*AD964)*SQRT(AD963*AD959*AD961))</f>
        <v>42.064891227476096</v>
      </c>
      <c r="AE965" s="133"/>
      <c r="AF965" s="146"/>
      <c r="AG965" s="143">
        <f>AG957/((N_6*AG$27*AG964)*SQRT(AG963*AG959*AG961))</f>
        <v>101.79444918211905</v>
      </c>
      <c r="AH965" s="133"/>
      <c r="AI965" s="146"/>
      <c r="AJ965" s="143" t="e">
        <f>AJ957/((N_6*AJ$27*AJ964)*SQRT(AJ963*AJ959*AJ961))</f>
        <v>#NUM!</v>
      </c>
      <c r="AK965" s="133"/>
      <c r="AL965" s="146"/>
      <c r="AM965" s="143" t="e">
        <f>AM957/((N_6*AM$27*AM964)*SQRT(AM963*AM959*AM961))</f>
        <v>#NUM!</v>
      </c>
      <c r="AN965" s="133"/>
      <c r="AO965" s="146"/>
      <c r="AP965" s="143">
        <f>AP957/((N_6*AP$27*AP964)*SQRT(AP963*AP959*AP961))</f>
        <v>-76.575081611269383</v>
      </c>
      <c r="AQ965" s="133"/>
      <c r="AR965" s="146"/>
      <c r="AS965" s="143">
        <f>AS957/((N_6*AS$27*AS964)*SQRT(AS963*AS959*AS961))</f>
        <v>-123.07337126307215</v>
      </c>
      <c r="AT965" s="133"/>
      <c r="AU965" s="146"/>
    </row>
    <row r="966" spans="13:47" x14ac:dyDescent="0.25">
      <c r="M966" s="27"/>
      <c r="N966" s="27"/>
      <c r="O966" s="2" t="s">
        <v>73</v>
      </c>
      <c r="P966" s="85">
        <v>5</v>
      </c>
      <c r="Q966" s="2"/>
      <c r="R966" s="179">
        <f>R957/((N_6*R$27*0.667)*SQRT(R967*R959*R961))</f>
        <v>0.17942483698336259</v>
      </c>
      <c r="S966" s="133"/>
      <c r="T966" s="147"/>
      <c r="U966" s="143">
        <f>U957/((N_6*U$27*0.667)*SQRT(U967*U959*U961))</f>
        <v>3.8134494076137582</v>
      </c>
      <c r="V966" s="133"/>
      <c r="W966" s="155"/>
      <c r="X966" s="143">
        <f>X957/((N_6*X$27*0.667)*SQRT(X967*X959*X961))</f>
        <v>9.6808474062076861</v>
      </c>
      <c r="Y966" s="133"/>
      <c r="Z966" s="155"/>
      <c r="AA966" s="143">
        <f>AA957/((N_6*AA$27*0.667)*SQRT(AA967*AA959*AA961))</f>
        <v>20.21544176124651</v>
      </c>
      <c r="AB966" s="133"/>
      <c r="AC966" s="155"/>
      <c r="AD966" s="143">
        <f>AD957/((N_6*AD$27*0.667)*SQRT(AD967*AD959*AD961))</f>
        <v>39.468574472765894</v>
      </c>
      <c r="AE966" s="133"/>
      <c r="AF966" s="155"/>
      <c r="AG966" s="143">
        <f>AG957/((N_6*AG$27*0.667)*SQRT(AG967*AG959*AG961))</f>
        <v>76.658058581816306</v>
      </c>
      <c r="AH966" s="133"/>
      <c r="AI966" s="155"/>
      <c r="AJ966" s="143">
        <f>AJ957/((N_6*AJ$27*0.667)*SQRT(AJ967*AJ959*AJ961))</f>
        <v>172.49121518085215</v>
      </c>
      <c r="AK966" s="133"/>
      <c r="AL966" s="155"/>
      <c r="AM966" s="143">
        <f>AM957/((N_6*AM$27*0.667)*SQRT(AM967*AM959*AM961))</f>
        <v>638.92133975217757</v>
      </c>
      <c r="AN966" s="133"/>
      <c r="AO966" s="155"/>
      <c r="AP966" s="143">
        <f>AP957/((N_6*AP$27*0.667)*SQRT(AP967*AP959*AP961))</f>
        <v>1119.1871312981241</v>
      </c>
      <c r="AQ966" s="133"/>
      <c r="AR966" s="155"/>
      <c r="AS966" s="143">
        <f>AS957/((N_6*AS$27*0.667)*SQRT(AS967*AS959*AS961))</f>
        <v>488.60958495302719</v>
      </c>
      <c r="AT966" s="133"/>
      <c r="AU966" s="155"/>
    </row>
    <row r="967" spans="13:47" ht="15.5" x14ac:dyDescent="0.4">
      <c r="M967" s="27"/>
      <c r="N967" s="27"/>
      <c r="O967" s="2" t="s">
        <v>192</v>
      </c>
      <c r="P967" s="85">
        <v>10</v>
      </c>
      <c r="Q967" s="2"/>
      <c r="R967" s="181">
        <f>F_GAMMA*R$29</f>
        <v>0.64002688015162901</v>
      </c>
      <c r="S967" s="133"/>
      <c r="T967" s="147"/>
      <c r="U967" s="138">
        <f>F_GAMMA*U$29</f>
        <v>0.64016782916606918</v>
      </c>
      <c r="V967" s="133"/>
      <c r="W967" s="155"/>
      <c r="X967" s="138">
        <f>F_GAMMA*X$29</f>
        <v>0.6307062319203669</v>
      </c>
      <c r="Y967" s="133"/>
      <c r="Z967" s="155"/>
      <c r="AA967" s="138">
        <f>F_GAMMA*AA$29</f>
        <v>0.62217534213893466</v>
      </c>
      <c r="AB967" s="133"/>
      <c r="AC967" s="155"/>
      <c r="AD967" s="138">
        <f>F_GAMMA*AD$29</f>
        <v>0.60557184969146072</v>
      </c>
      <c r="AE967" s="133"/>
      <c r="AF967" s="155"/>
      <c r="AG967" s="138">
        <f>F_GAMMA*AG$29</f>
        <v>0.57289312142622573</v>
      </c>
      <c r="AH967" s="133"/>
      <c r="AI967" s="155"/>
      <c r="AJ967" s="138">
        <f>F_GAMMA*AJ$29</f>
        <v>0.53590819116049981</v>
      </c>
      <c r="AK967" s="133"/>
      <c r="AL967" s="155"/>
      <c r="AM967" s="138">
        <f>F_GAMMA*AM$29</f>
        <v>0.49048815926850342</v>
      </c>
      <c r="AN967" s="133"/>
      <c r="AO967" s="155"/>
      <c r="AP967" s="138">
        <f>F_GAMMA*AP$29</f>
        <v>0.59352979016280105</v>
      </c>
      <c r="AQ967" s="133"/>
      <c r="AR967" s="155"/>
      <c r="AS967" s="138">
        <f>F_GAMMA*AS$29</f>
        <v>0.39097221161068291</v>
      </c>
      <c r="AT967" s="133"/>
      <c r="AU967" s="155"/>
    </row>
    <row r="968" spans="13:47" x14ac:dyDescent="0.25">
      <c r="M968" s="27"/>
      <c r="N968" s="27"/>
      <c r="O968" s="2" t="s">
        <v>193</v>
      </c>
      <c r="P968" s="134"/>
      <c r="Q968" s="2"/>
      <c r="R968" s="181">
        <f>IF(R963&lt;R967,R965,R966)</f>
        <v>0.18293592174064116</v>
      </c>
      <c r="S968" s="133"/>
      <c r="T968" s="147"/>
      <c r="U968" s="138">
        <f>IF(U963&lt;U967,U965,U966)</f>
        <v>3.8899949057442416</v>
      </c>
      <c r="V968" s="133"/>
      <c r="W968" s="155"/>
      <c r="X968" s="138">
        <f>IF(X963&lt;X967,X965,X966)</f>
        <v>9.8777793042564248</v>
      </c>
      <c r="Y968" s="133"/>
      <c r="Z968" s="155"/>
      <c r="AA968" s="138">
        <f>IF(AA963&lt;AA967,AA965,AA966)</f>
        <v>20.787427325619554</v>
      </c>
      <c r="AB968" s="133"/>
      <c r="AC968" s="155"/>
      <c r="AD968" s="138">
        <f>IF(AD963&lt;AD967,AD965,AD966)</f>
        <v>42.064891227476096</v>
      </c>
      <c r="AE968" s="133"/>
      <c r="AF968" s="155"/>
      <c r="AG968" s="138">
        <f>IF(AG963&lt;AG967,AG965,AG966)</f>
        <v>101.79444918211905</v>
      </c>
      <c r="AH968" s="133"/>
      <c r="AI968" s="155"/>
      <c r="AJ968" s="138" t="e">
        <f>IF(AJ963&lt;AJ967,AJ965,AJ966)</f>
        <v>#NUM!</v>
      </c>
      <c r="AK968" s="133"/>
      <c r="AL968" s="155"/>
      <c r="AM968" s="138" t="e">
        <f>IF(AM963&lt;AM967,AM965,AM966)</f>
        <v>#NUM!</v>
      </c>
      <c r="AN968" s="133"/>
      <c r="AO968" s="155"/>
      <c r="AP968" s="138">
        <f>IF(AP963&lt;AP967,AP965,AP966)</f>
        <v>1119.1871312981241</v>
      </c>
      <c r="AQ968" s="133"/>
      <c r="AR968" s="155"/>
      <c r="AS968" s="138">
        <f>IF(AS963&lt;AS967,AS965,AS966)</f>
        <v>488.60958495302719</v>
      </c>
      <c r="AT968" s="133"/>
      <c r="AU968" s="155"/>
    </row>
    <row r="969" spans="13:47" ht="13" x14ac:dyDescent="0.3">
      <c r="M969" s="28"/>
      <c r="N969" s="28"/>
      <c r="O969" s="9" t="s">
        <v>194</v>
      </c>
      <c r="P969" s="1"/>
      <c r="Q969" s="1"/>
      <c r="R969" s="135"/>
      <c r="S969" s="132">
        <f>IF(R962&lt;=0,W_max,ABS(R$23-R968))</f>
        <v>1.8170640782593588</v>
      </c>
      <c r="T969" s="151">
        <f>R957</f>
        <v>42.307447379995288</v>
      </c>
      <c r="U969" s="135"/>
      <c r="V969" s="132">
        <f>IF(U962&lt;=0,W_max,ABS(U$23-U968))</f>
        <v>1.1100050942557584</v>
      </c>
      <c r="W969" s="151">
        <f>U957</f>
        <v>895.87677059196164</v>
      </c>
      <c r="X969" s="135"/>
      <c r="Y969" s="132">
        <f>IF(X962&lt;=0,W_max,ABS(X$23-X968))</f>
        <v>0.12222069574357519</v>
      </c>
      <c r="Z969" s="151">
        <f>X957</f>
        <v>2215.6098642593402</v>
      </c>
      <c r="AA969" s="135"/>
      <c r="AB969" s="132">
        <f>IF(AA962&lt;=0,W_max,ABS(AA$23-AA968))</f>
        <v>3.5874273256195544</v>
      </c>
      <c r="AC969" s="151">
        <f>AA957</f>
        <v>4315.4424913215807</v>
      </c>
      <c r="AD969" s="135"/>
      <c r="AE969" s="132">
        <f>IF(AD962&lt;=0,W_max,ABS(AD$23-AD968))</f>
        <v>15.464891227476095</v>
      </c>
      <c r="AF969" s="151">
        <f>AD957</f>
        <v>7097.3140465647139</v>
      </c>
      <c r="AG969" s="135"/>
      <c r="AH969" s="132">
        <f>IF(AG962&lt;=0,W_max,ABS(AG$23-AG968))</f>
        <v>63.394449182119054</v>
      </c>
      <c r="AI969" s="151">
        <f>AG957</f>
        <v>9954.529345329709</v>
      </c>
      <c r="AJ969" s="135"/>
      <c r="AK969" s="132">
        <f>IF(AJ962&lt;=0,W_max,ABS(AJ$23-AJ968))</f>
        <v>7174</v>
      </c>
      <c r="AL969" s="151">
        <f>AJ957</f>
        <v>12639.610819592848</v>
      </c>
      <c r="AM969" s="135"/>
      <c r="AN969" s="132">
        <f>IF(AM962&lt;=0,W_max,ABS(AM$23-AM968))</f>
        <v>7174</v>
      </c>
      <c r="AO969" s="151">
        <f>AM957</f>
        <v>14820.937727201101</v>
      </c>
      <c r="AP969" s="135"/>
      <c r="AQ969" s="132">
        <f>IF(AP962&lt;=0,W_max,ABS(AP$23-AP968))</f>
        <v>7174</v>
      </c>
      <c r="AR969" s="151">
        <f>AP957</f>
        <v>16535.251090136069</v>
      </c>
      <c r="AS969" s="135"/>
      <c r="AT969" s="132">
        <f>IF(AS962&lt;=0,W_max,ABS(AS$23-AS968))</f>
        <v>7174</v>
      </c>
      <c r="AU969" s="151">
        <f>AS957</f>
        <v>18447.856245427978</v>
      </c>
    </row>
    <row r="970" spans="13:47" ht="13" x14ac:dyDescent="0.25">
      <c r="M970" s="12"/>
      <c r="N970" s="12"/>
      <c r="O970" s="12"/>
      <c r="P970" s="12"/>
      <c r="Q970" s="12"/>
      <c r="R970" s="182"/>
      <c r="S970" s="22"/>
      <c r="T970" s="152"/>
      <c r="U970" s="157"/>
      <c r="V970" s="1"/>
      <c r="W970" s="147"/>
      <c r="X970" s="157"/>
      <c r="Y970" s="1"/>
      <c r="Z970" s="147"/>
      <c r="AA970" s="157"/>
      <c r="AB970" s="1"/>
      <c r="AC970" s="147"/>
      <c r="AD970" s="157"/>
      <c r="AE970" s="1"/>
      <c r="AF970" s="147"/>
      <c r="AG970" s="157"/>
      <c r="AH970" s="1"/>
      <c r="AI970" s="147"/>
      <c r="AJ970" s="157"/>
      <c r="AK970" s="1"/>
      <c r="AL970" s="147"/>
      <c r="AM970" s="157"/>
      <c r="AN970" s="1"/>
      <c r="AO970" s="147"/>
      <c r="AP970" s="157"/>
      <c r="AQ970" s="1"/>
      <c r="AR970" s="147"/>
      <c r="AS970" s="157"/>
      <c r="AT970" s="1"/>
      <c r="AU970" s="147"/>
    </row>
    <row r="971" spans="13:47" ht="14" x14ac:dyDescent="0.3">
      <c r="M971" s="23"/>
      <c r="N971" s="23"/>
      <c r="O971" s="23" t="s">
        <v>238</v>
      </c>
      <c r="P971" s="20"/>
      <c r="Q971" s="20"/>
      <c r="R971" s="18">
        <f>R957*1.02</f>
        <v>43.153596327595196</v>
      </c>
      <c r="S971" s="128" t="s">
        <v>185</v>
      </c>
      <c r="T971" s="153" t="s">
        <v>186</v>
      </c>
      <c r="U971" s="143">
        <f>U957*1.01</f>
        <v>904.83553829788127</v>
      </c>
      <c r="V971" s="128" t="s">
        <v>185</v>
      </c>
      <c r="W971" s="153" t="s">
        <v>186</v>
      </c>
      <c r="X971" s="143">
        <f>X957*1.01</f>
        <v>2237.7659629019336</v>
      </c>
      <c r="Y971" s="128" t="s">
        <v>185</v>
      </c>
      <c r="Z971" s="153" t="s">
        <v>186</v>
      </c>
      <c r="AA971" s="143">
        <f>AA957*1.01</f>
        <v>4358.5969162347965</v>
      </c>
      <c r="AB971" s="128" t="s">
        <v>185</v>
      </c>
      <c r="AC971" s="153" t="s">
        <v>186</v>
      </c>
      <c r="AD971" s="143">
        <f>AD957*1.01</f>
        <v>7168.2871870303607</v>
      </c>
      <c r="AE971" s="128" t="s">
        <v>185</v>
      </c>
      <c r="AF971" s="153" t="s">
        <v>186</v>
      </c>
      <c r="AG971" s="143">
        <f>AG957*1.01</f>
        <v>10054.074638783006</v>
      </c>
      <c r="AH971" s="128" t="s">
        <v>185</v>
      </c>
      <c r="AI971" s="153" t="s">
        <v>186</v>
      </c>
      <c r="AJ971" s="143">
        <f>AJ957*1.01</f>
        <v>12766.006927788776</v>
      </c>
      <c r="AK971" s="128" t="s">
        <v>185</v>
      </c>
      <c r="AL971" s="153" t="s">
        <v>186</v>
      </c>
      <c r="AM971" s="143">
        <f>AM957*1.01</f>
        <v>14969.147104473112</v>
      </c>
      <c r="AN971" s="128" t="s">
        <v>185</v>
      </c>
      <c r="AO971" s="153" t="s">
        <v>186</v>
      </c>
      <c r="AP971" s="143">
        <f>AP957*1.01</f>
        <v>16700.60360103743</v>
      </c>
      <c r="AQ971" s="128" t="s">
        <v>185</v>
      </c>
      <c r="AR971" s="153" t="s">
        <v>186</v>
      </c>
      <c r="AS971" s="143">
        <f>AS957*1.01</f>
        <v>18632.334807882256</v>
      </c>
      <c r="AT971" s="128" t="s">
        <v>185</v>
      </c>
      <c r="AU971" s="153" t="s">
        <v>186</v>
      </c>
    </row>
    <row r="972" spans="13:47" ht="14" x14ac:dyDescent="0.3">
      <c r="M972" s="12"/>
      <c r="N972" s="12"/>
      <c r="O972" s="20"/>
      <c r="P972" s="20"/>
      <c r="Q972" s="23"/>
      <c r="R972" s="139"/>
      <c r="S972" s="130" t="s">
        <v>228</v>
      </c>
      <c r="T972" s="154" t="s">
        <v>187</v>
      </c>
      <c r="U972" s="144"/>
      <c r="V972" s="130" t="s">
        <v>228</v>
      </c>
      <c r="W972" s="154" t="s">
        <v>187</v>
      </c>
      <c r="X972" s="144"/>
      <c r="Y972" s="130" t="s">
        <v>228</v>
      </c>
      <c r="Z972" s="154" t="s">
        <v>187</v>
      </c>
      <c r="AA972" s="144"/>
      <c r="AB972" s="130" t="s">
        <v>228</v>
      </c>
      <c r="AC972" s="154" t="s">
        <v>187</v>
      </c>
      <c r="AD972" s="144"/>
      <c r="AE972" s="130" t="s">
        <v>228</v>
      </c>
      <c r="AF972" s="154" t="s">
        <v>187</v>
      </c>
      <c r="AG972" s="144"/>
      <c r="AH972" s="130" t="s">
        <v>228</v>
      </c>
      <c r="AI972" s="154" t="s">
        <v>187</v>
      </c>
      <c r="AJ972" s="144"/>
      <c r="AK972" s="130" t="s">
        <v>228</v>
      </c>
      <c r="AL972" s="154" t="s">
        <v>187</v>
      </c>
      <c r="AM972" s="144"/>
      <c r="AN972" s="130" t="s">
        <v>228</v>
      </c>
      <c r="AO972" s="154" t="s">
        <v>187</v>
      </c>
      <c r="AP972" s="144"/>
      <c r="AQ972" s="130" t="s">
        <v>228</v>
      </c>
      <c r="AR972" s="154" t="s">
        <v>187</v>
      </c>
      <c r="AS972" s="144"/>
      <c r="AT972" s="130" t="s">
        <v>228</v>
      </c>
      <c r="AU972" s="154" t="s">
        <v>187</v>
      </c>
    </row>
    <row r="973" spans="13:47" x14ac:dyDescent="0.25">
      <c r="M973" s="20"/>
      <c r="N973" s="20"/>
      <c r="O973" s="7" t="s">
        <v>188</v>
      </c>
      <c r="P973" s="7"/>
      <c r="Q973" s="7"/>
      <c r="R973" s="181">
        <f>P_1_minW-(R971^2*R_up)+dpup_minQ</f>
        <v>100.52204414932505</v>
      </c>
      <c r="S973" s="132"/>
      <c r="T973" s="145"/>
      <c r="U973" s="138">
        <f>P_1_minW-(U971^2*R_up)+dpup_minQ</f>
        <v>100.19630951448461</v>
      </c>
      <c r="V973" s="132"/>
      <c r="W973" s="145"/>
      <c r="X973" s="138">
        <f>P_1_minW-(X971^2*R_up)+dpup_minQ</f>
        <v>98.525948357940663</v>
      </c>
      <c r="Y973" s="132"/>
      <c r="Z973" s="145"/>
      <c r="AA973" s="138">
        <f>P_1_minW-(AA971^2*R_up)+dpup_minQ</f>
        <v>92.94736175152967</v>
      </c>
      <c r="AB973" s="132"/>
      <c r="AC973" s="145"/>
      <c r="AD973" s="138">
        <f>P_1_minW-(AD971^2*R_up)+dpup_minQ</f>
        <v>80.032672473020369</v>
      </c>
      <c r="AE973" s="132"/>
      <c r="AF973" s="145"/>
      <c r="AG973" s="138">
        <f>P_1_minW-(AG971^2*R_up)+dpup_minQ</f>
        <v>60.214179032931312</v>
      </c>
      <c r="AH973" s="132"/>
      <c r="AI973" s="145"/>
      <c r="AJ973" s="138">
        <f>P_1_minW-(AJ971^2*R_up)+dpup_minQ</f>
        <v>35.536198241595471</v>
      </c>
      <c r="AK973" s="132"/>
      <c r="AL973" s="145"/>
      <c r="AM973" s="138">
        <f>P_1_minW-(AM971^2*R_up)+dpup_minQ</f>
        <v>11.17008265580975</v>
      </c>
      <c r="AN973" s="132"/>
      <c r="AO973" s="145"/>
      <c r="AP973" s="138">
        <f>P_1_minW-(AP971^2*R_up)+dpup_minQ</f>
        <v>-10.695941144421511</v>
      </c>
      <c r="AQ973" s="132"/>
      <c r="AR973" s="145"/>
      <c r="AS973" s="138">
        <f>P_1_minW-(AS971^2*R_up)+dpup_minQ</f>
        <v>-37.912927758260352</v>
      </c>
      <c r="AT973" s="132"/>
      <c r="AU973" s="145"/>
    </row>
    <row r="974" spans="13:47" x14ac:dyDescent="0.25">
      <c r="M974" s="20"/>
      <c r="N974" s="20"/>
      <c r="O974" s="7" t="s">
        <v>189</v>
      </c>
      <c r="P974" s="1"/>
      <c r="Q974" s="7"/>
      <c r="R974" s="181">
        <f>P_2_minW+(R971^2*R_dn)-dpdn_minQ</f>
        <v>50</v>
      </c>
      <c r="S974" s="132"/>
      <c r="T974" s="146"/>
      <c r="U974" s="138">
        <f>P_2_minW+(U971^2*R_dn)-dpdn_minQ</f>
        <v>50</v>
      </c>
      <c r="V974" s="132"/>
      <c r="W974" s="146"/>
      <c r="X974" s="138">
        <f>P_2_minW+(X971^2*R_dn)-dpdn_minQ</f>
        <v>50</v>
      </c>
      <c r="Y974" s="132"/>
      <c r="Z974" s="146"/>
      <c r="AA974" s="138">
        <f>P_2_minW+(AA971^2*R_dn)-dpdn_minQ</f>
        <v>50</v>
      </c>
      <c r="AB974" s="132"/>
      <c r="AC974" s="146"/>
      <c r="AD974" s="138">
        <f>P_2_minW+(AD971^2*R_dn)-dpdn_minQ</f>
        <v>50</v>
      </c>
      <c r="AE974" s="132"/>
      <c r="AF974" s="146"/>
      <c r="AG974" s="138">
        <f>P_2_minW+(AG971^2*R_dn)-dpdn_minQ</f>
        <v>50</v>
      </c>
      <c r="AH974" s="132"/>
      <c r="AI974" s="146"/>
      <c r="AJ974" s="138">
        <f>P_2_minW+(AJ971^2*R_dn)-dpdn_minQ</f>
        <v>50</v>
      </c>
      <c r="AK974" s="132"/>
      <c r="AL974" s="146"/>
      <c r="AM974" s="138">
        <f>P_2_minW+(AM971^2*R_dn)-dpdn_minQ</f>
        <v>50</v>
      </c>
      <c r="AN974" s="132"/>
      <c r="AO974" s="146"/>
      <c r="AP974" s="138">
        <f>P_2_minW+(AP971^2*R_dn)-dpdn_minQ</f>
        <v>50</v>
      </c>
      <c r="AQ974" s="132"/>
      <c r="AR974" s="146"/>
      <c r="AS974" s="138">
        <f>P_2_minW+(AS971^2*R_dn)-dpdn_minQ</f>
        <v>50</v>
      </c>
      <c r="AT974" s="132"/>
      <c r="AU974" s="146"/>
    </row>
    <row r="975" spans="13:47" x14ac:dyDescent="0.25">
      <c r="M975" s="20"/>
      <c r="N975" s="20"/>
      <c r="O975" s="7" t="s">
        <v>234</v>
      </c>
      <c r="P975" s="1"/>
      <c r="Q975" s="7"/>
      <c r="R975" s="179">
        <f>'Valve Sizing'!G$8*R973/P_1_maxW</f>
        <v>0.48490044412947492</v>
      </c>
      <c r="S975" s="132"/>
      <c r="T975" s="146"/>
      <c r="U975" s="143">
        <f>'Valve Sizing'!$G$8*U973/P_1_maxW</f>
        <v>0.48332915824448186</v>
      </c>
      <c r="V975" s="132"/>
      <c r="W975" s="146"/>
      <c r="X975" s="143">
        <f>'Valve Sizing'!$G$8*X973/P_1_maxW</f>
        <v>0.47527163341478779</v>
      </c>
      <c r="Y975" s="132"/>
      <c r="Z975" s="146"/>
      <c r="AA975" s="143">
        <f>'Valve Sizing'!$G$8*AA973/P_1_maxW</f>
        <v>0.44836152483158909</v>
      </c>
      <c r="AB975" s="132"/>
      <c r="AC975" s="146"/>
      <c r="AD975" s="143">
        <f>'Valve Sizing'!$G$8*AD973/P_1_maxW</f>
        <v>0.38606336307076528</v>
      </c>
      <c r="AE975" s="132"/>
      <c r="AF975" s="146"/>
      <c r="AG975" s="143">
        <f>'Valve Sizing'!$G$8*AG973/P_1_maxW</f>
        <v>0.29046247918105189</v>
      </c>
      <c r="AH975" s="132"/>
      <c r="AI975" s="146"/>
      <c r="AJ975" s="143">
        <f>'Valve Sizing'!$G$8*AJ973/P_1_maxW</f>
        <v>0.17142029348732069</v>
      </c>
      <c r="AK975" s="132"/>
      <c r="AL975" s="146"/>
      <c r="AM975" s="143">
        <f>'Valve Sizing'!$G$8*AM973/P_1_maxW</f>
        <v>5.3882490020985704E-2</v>
      </c>
      <c r="AN975" s="132"/>
      <c r="AO975" s="146"/>
      <c r="AP975" s="143">
        <f>'Valve Sizing'!$G$8*AP973/P_1_maxW</f>
        <v>-5.1595315785741891E-2</v>
      </c>
      <c r="AQ975" s="132"/>
      <c r="AR975" s="146"/>
      <c r="AS975" s="143">
        <f>'Valve Sizing'!$G$8*AS973/P_1_maxW</f>
        <v>-0.18288521352510298</v>
      </c>
      <c r="AT975" s="132"/>
      <c r="AU975" s="146"/>
    </row>
    <row r="976" spans="13:47" x14ac:dyDescent="0.25">
      <c r="M976" s="20"/>
      <c r="N976" s="20"/>
      <c r="O976" s="7" t="s">
        <v>190</v>
      </c>
      <c r="P976" s="1"/>
      <c r="Q976" s="7"/>
      <c r="R976" s="181">
        <f>R973-R974</f>
        <v>50.522044149325055</v>
      </c>
      <c r="S976" s="132"/>
      <c r="T976" s="146"/>
      <c r="U976" s="138">
        <f>U973-U974</f>
        <v>50.196309514484611</v>
      </c>
      <c r="V976" s="132"/>
      <c r="W976" s="146"/>
      <c r="X976" s="138">
        <f>X973-X974</f>
        <v>48.525948357940663</v>
      </c>
      <c r="Y976" s="132"/>
      <c r="Z976" s="146"/>
      <c r="AA976" s="138">
        <f>AA973-AA974</f>
        <v>42.94736175152967</v>
      </c>
      <c r="AB976" s="132"/>
      <c r="AC976" s="146"/>
      <c r="AD976" s="138">
        <f>AD973-AD974</f>
        <v>30.032672473020369</v>
      </c>
      <c r="AE976" s="132"/>
      <c r="AF976" s="146"/>
      <c r="AG976" s="138">
        <f>AG973-AG974</f>
        <v>10.214179032931312</v>
      </c>
      <c r="AH976" s="132"/>
      <c r="AI976" s="146"/>
      <c r="AJ976" s="138">
        <f>AJ973-AJ974</f>
        <v>-14.463801758404529</v>
      </c>
      <c r="AK976" s="132"/>
      <c r="AL976" s="146"/>
      <c r="AM976" s="138">
        <f>AM973-AM974</f>
        <v>-38.82991734419025</v>
      </c>
      <c r="AN976" s="132"/>
      <c r="AO976" s="146"/>
      <c r="AP976" s="138">
        <f>AP973-AP974</f>
        <v>-60.695941144421511</v>
      </c>
      <c r="AQ976" s="132"/>
      <c r="AR976" s="146"/>
      <c r="AS976" s="138">
        <f>AS973-AS974</f>
        <v>-87.912927758260352</v>
      </c>
      <c r="AT976" s="132"/>
      <c r="AU976" s="146"/>
    </row>
    <row r="977" spans="13:47" ht="14.5" x14ac:dyDescent="0.35">
      <c r="M977" s="27"/>
      <c r="N977" s="27"/>
      <c r="O977" s="2" t="s">
        <v>191</v>
      </c>
      <c r="P977" s="10"/>
      <c r="Q977" s="2"/>
      <c r="R977" s="181">
        <f>R976/R973</f>
        <v>0.5025966650088689</v>
      </c>
      <c r="S977" s="132"/>
      <c r="T977" s="146"/>
      <c r="U977" s="138">
        <f>U976/U973</f>
        <v>0.50097962447636968</v>
      </c>
      <c r="V977" s="132"/>
      <c r="W977" s="146"/>
      <c r="X977" s="138">
        <f>X976/X973</f>
        <v>0.4925194749879282</v>
      </c>
      <c r="Y977" s="132"/>
      <c r="Z977" s="146"/>
      <c r="AA977" s="138">
        <f>AA976/AA973</f>
        <v>0.46206111655259402</v>
      </c>
      <c r="AB977" s="132"/>
      <c r="AC977" s="146"/>
      <c r="AD977" s="138">
        <f>AD976/AD973</f>
        <v>0.37525514949091093</v>
      </c>
      <c r="AE977" s="132"/>
      <c r="AF977" s="146"/>
      <c r="AG977" s="138">
        <f>AG976/AG973</f>
        <v>0.16963079455663005</v>
      </c>
      <c r="AH977" s="132"/>
      <c r="AI977" s="146"/>
      <c r="AJ977" s="138">
        <f>AJ976/AJ973</f>
        <v>-0.40701601392673753</v>
      </c>
      <c r="AK977" s="132"/>
      <c r="AL977" s="146"/>
      <c r="AM977" s="138">
        <f>AM976/AM973</f>
        <v>-3.4762426152678598</v>
      </c>
      <c r="AN977" s="132"/>
      <c r="AO977" s="146"/>
      <c r="AP977" s="138">
        <f>AP976/AP973</f>
        <v>5.6746704497413578</v>
      </c>
      <c r="AQ977" s="132"/>
      <c r="AR977" s="146"/>
      <c r="AS977" s="138">
        <f>AS976/AS973</f>
        <v>2.3188113647885227</v>
      </c>
      <c r="AT977" s="132"/>
      <c r="AU977" s="146"/>
    </row>
    <row r="978" spans="13:47" x14ac:dyDescent="0.25">
      <c r="M978" s="27"/>
      <c r="N978" s="27"/>
      <c r="O978" s="2" t="s">
        <v>26</v>
      </c>
      <c r="P978" s="7">
        <v>12</v>
      </c>
      <c r="Q978" s="2"/>
      <c r="R978" s="181">
        <f>1-R977/(3*F_GAMMA*R$29)</f>
        <v>0.73824189754353309</v>
      </c>
      <c r="S978" s="133"/>
      <c r="T978" s="146"/>
      <c r="U978" s="138">
        <f>1-U977/(3*F_GAMMA*U$29)</f>
        <v>0.73914151797298566</v>
      </c>
      <c r="V978" s="133"/>
      <c r="W978" s="146"/>
      <c r="X978" s="138">
        <f>1-X977/(3*F_GAMMA*X$29)</f>
        <v>0.73969948286472942</v>
      </c>
      <c r="Y978" s="133"/>
      <c r="Z978" s="146"/>
      <c r="AA978" s="138">
        <f>1-AA977/(3*F_GAMMA*AA$29)</f>
        <v>0.75244860772736222</v>
      </c>
      <c r="AB978" s="133"/>
      <c r="AC978" s="146"/>
      <c r="AD978" s="138">
        <f>1-AD977/(3*F_GAMMA*AD$29)</f>
        <v>0.79344309037146532</v>
      </c>
      <c r="AE978" s="133"/>
      <c r="AF978" s="146"/>
      <c r="AG978" s="138">
        <f>1-AG977/(3*F_GAMMA*AG$29)</f>
        <v>0.90130166331064121</v>
      </c>
      <c r="AH978" s="133"/>
      <c r="AI978" s="146"/>
      <c r="AJ978" s="138">
        <f>1-AJ977/(3*F_GAMMA*AJ$29)</f>
        <v>1.2531627746693896</v>
      </c>
      <c r="AK978" s="133"/>
      <c r="AL978" s="146"/>
      <c r="AM978" s="138">
        <f>1-AM977/(3*F_GAMMA*AM$29)</f>
        <v>3.3624373321279246</v>
      </c>
      <c r="AN978" s="133"/>
      <c r="AO978" s="146"/>
      <c r="AP978" s="138">
        <f>1-AP977/(3*F_GAMMA*AP$29)</f>
        <v>-2.1869618811578304</v>
      </c>
      <c r="AQ978" s="133"/>
      <c r="AR978" s="146"/>
      <c r="AS978" s="138">
        <f>1-AS977/(3*F_GAMMA*AS$29)</f>
        <v>-0.97696178562644032</v>
      </c>
      <c r="AT978" s="133"/>
      <c r="AU978" s="146"/>
    </row>
    <row r="979" spans="13:47" x14ac:dyDescent="0.25">
      <c r="M979" s="27"/>
      <c r="N979" s="27"/>
      <c r="O979" s="2" t="s">
        <v>71</v>
      </c>
      <c r="P979" s="85">
        <v>5</v>
      </c>
      <c r="Q979" s="2"/>
      <c r="R979" s="179">
        <f>R971/((N_6*R$27*R978)*SQRT(R977*R973*R975))</f>
        <v>0.18659470140555842</v>
      </c>
      <c r="S979" s="133"/>
      <c r="T979" s="146"/>
      <c r="U979" s="143">
        <f>U971/((N_6*U$27*U978)*SQRT(U977*U973*U975))</f>
        <v>3.9291840513752234</v>
      </c>
      <c r="V979" s="133"/>
      <c r="W979" s="146"/>
      <c r="X979" s="143">
        <f>X971/((N_6*X$27*X978)*SQRT(X977*X973*X975))</f>
        <v>9.9811486148660009</v>
      </c>
      <c r="Y979" s="133"/>
      <c r="Z979" s="146"/>
      <c r="AA979" s="143">
        <f>AA971/((N_6*AA$27*AA978)*SQRT(AA977*AA973*AA975))</f>
        <v>21.035709699465137</v>
      </c>
      <c r="AB979" s="133"/>
      <c r="AC979" s="146"/>
      <c r="AD979" s="143">
        <f>AD971/((N_6*AD$27*AD978)*SQRT(AD977*AD973*AD975))</f>
        <v>42.784624795970366</v>
      </c>
      <c r="AE979" s="133"/>
      <c r="AF979" s="146"/>
      <c r="AG979" s="143">
        <f>AG971/((N_6*AG$27*AG978)*SQRT(AG977*AG973*AG975))</f>
        <v>106.6867044710698</v>
      </c>
      <c r="AH979" s="133"/>
      <c r="AI979" s="146"/>
      <c r="AJ979" s="143" t="e">
        <f>AJ971/((N_6*AJ$27*AJ978)*SQRT(AJ977*AJ973*AJ975))</f>
        <v>#NUM!</v>
      </c>
      <c r="AK979" s="133"/>
      <c r="AL979" s="146"/>
      <c r="AM979" s="143" t="e">
        <f>AM971/((N_6*AM$27*AM978)*SQRT(AM977*AM973*AM975))</f>
        <v>#NUM!</v>
      </c>
      <c r="AN979" s="133"/>
      <c r="AO979" s="146"/>
      <c r="AP979" s="143">
        <f>AP971/((N_6*AP$27*AP978)*SQRT(AP977*AP973*AP975))</f>
        <v>-88.652105577171866</v>
      </c>
      <c r="AQ979" s="133"/>
      <c r="AR979" s="146"/>
      <c r="AS979" s="143">
        <f>AS971/((N_6*AS$27*AS978)*SQRT(AS977*AS973*AS975))</f>
        <v>-128.39393697180523</v>
      </c>
      <c r="AT979" s="133"/>
      <c r="AU979" s="146"/>
    </row>
    <row r="980" spans="13:47" x14ac:dyDescent="0.25">
      <c r="M980" s="27"/>
      <c r="N980" s="27"/>
      <c r="O980" s="2" t="s">
        <v>73</v>
      </c>
      <c r="P980" s="85">
        <v>5</v>
      </c>
      <c r="Q980" s="2"/>
      <c r="R980" s="179">
        <f>R971/((N_6*R$27*0.667)*SQRT(R981*R973*R975))</f>
        <v>0.18301338622190755</v>
      </c>
      <c r="S980" s="133"/>
      <c r="T980" s="155"/>
      <c r="U980" s="143">
        <f>U971/((N_6*U$27*0.667)*SQRT(U981*U973*U975))</f>
        <v>3.8518311844466737</v>
      </c>
      <c r="V980" s="133"/>
      <c r="W980" s="155"/>
      <c r="X980" s="143">
        <f>X971/((N_6*X$27*0.667)*SQRT(X981*X973*X975))</f>
        <v>9.7815605144309785</v>
      </c>
      <c r="Y980" s="133"/>
      <c r="Z980" s="155"/>
      <c r="AA980" s="143">
        <f>AA971/((N_6*AA$27*0.667)*SQRT(AA981*AA973*AA975))</f>
        <v>20.450385154928085</v>
      </c>
      <c r="AB980" s="133"/>
      <c r="AC980" s="155"/>
      <c r="AD980" s="143">
        <f>AD971/((N_6*AD$27*0.667)*SQRT(AD981*AD973*AD975))</f>
        <v>40.064356103293392</v>
      </c>
      <c r="AE980" s="133"/>
      <c r="AF980" s="155"/>
      <c r="AG980" s="143">
        <f>AG971/((N_6*AG$27*0.667)*SQRT(AG981*AG973*AG975))</f>
        <v>78.445887893872694</v>
      </c>
      <c r="AH980" s="133"/>
      <c r="AI980" s="155"/>
      <c r="AJ980" s="143">
        <f>AJ971/((N_6*AJ$27*0.667)*SQRT(AJ981*AJ973*AJ975))</f>
        <v>180.49373890918187</v>
      </c>
      <c r="AK980" s="133"/>
      <c r="AL980" s="155"/>
      <c r="AM980" s="143">
        <f>AM971/((N_6*AM$27*0.667)*SQRT(AM981*AM973*AM975))</f>
        <v>747.02283337301549</v>
      </c>
      <c r="AN980" s="133"/>
      <c r="AO980" s="155"/>
      <c r="AP980" s="143">
        <f>AP971/((N_6*AP$27*0.667)*SQRT(AP981*AP973*AP975))</f>
        <v>898.78019967475109</v>
      </c>
      <c r="AQ980" s="133"/>
      <c r="AR980" s="155"/>
      <c r="AS980" s="143">
        <f>AS971/((N_6*AS$27*0.667)*SQRT(AS981*AS973*AS975))</f>
        <v>457.99002905684432</v>
      </c>
      <c r="AT980" s="133"/>
      <c r="AU980" s="155"/>
    </row>
    <row r="981" spans="13:47" ht="15.5" x14ac:dyDescent="0.4">
      <c r="M981" s="27"/>
      <c r="N981" s="27"/>
      <c r="O981" s="2" t="s">
        <v>192</v>
      </c>
      <c r="P981" s="85">
        <v>10</v>
      </c>
      <c r="Q981" s="2"/>
      <c r="R981" s="181">
        <f>F_GAMMA*R$29</f>
        <v>0.64002688015162901</v>
      </c>
      <c r="S981" s="133"/>
      <c r="T981" s="155"/>
      <c r="U981" s="138">
        <f>F_GAMMA*U$29</f>
        <v>0.64016782916606918</v>
      </c>
      <c r="V981" s="133"/>
      <c r="W981" s="155"/>
      <c r="X981" s="138">
        <f>F_GAMMA*X$29</f>
        <v>0.6307062319203669</v>
      </c>
      <c r="Y981" s="133"/>
      <c r="Z981" s="155"/>
      <c r="AA981" s="138">
        <f>F_GAMMA*AA$29</f>
        <v>0.62217534213893466</v>
      </c>
      <c r="AB981" s="133"/>
      <c r="AC981" s="155"/>
      <c r="AD981" s="138">
        <f>F_GAMMA*AD$29</f>
        <v>0.60557184969146072</v>
      </c>
      <c r="AE981" s="133"/>
      <c r="AF981" s="155"/>
      <c r="AG981" s="138">
        <f>F_GAMMA*AG$29</f>
        <v>0.57289312142622573</v>
      </c>
      <c r="AH981" s="133"/>
      <c r="AI981" s="155"/>
      <c r="AJ981" s="138">
        <f>F_GAMMA*AJ$29</f>
        <v>0.53590819116049981</v>
      </c>
      <c r="AK981" s="133"/>
      <c r="AL981" s="155"/>
      <c r="AM981" s="138">
        <f>F_GAMMA*AM$29</f>
        <v>0.49048815926850342</v>
      </c>
      <c r="AN981" s="133"/>
      <c r="AO981" s="155"/>
      <c r="AP981" s="138">
        <f>F_GAMMA*AP$29</f>
        <v>0.59352979016280105</v>
      </c>
      <c r="AQ981" s="133"/>
      <c r="AR981" s="155"/>
      <c r="AS981" s="138">
        <f>F_GAMMA*AS$29</f>
        <v>0.39097221161068291</v>
      </c>
      <c r="AT981" s="133"/>
      <c r="AU981" s="155"/>
    </row>
    <row r="982" spans="13:47" x14ac:dyDescent="0.25">
      <c r="M982" s="27"/>
      <c r="N982" s="27"/>
      <c r="O982" s="2" t="s">
        <v>193</v>
      </c>
      <c r="P982" s="134"/>
      <c r="Q982" s="2"/>
      <c r="R982" s="181">
        <f>IF(R977&lt;R981,R979,R980)</f>
        <v>0.18659470140555842</v>
      </c>
      <c r="S982" s="133"/>
      <c r="T982" s="155"/>
      <c r="U982" s="138">
        <f>IF(U977&lt;U981,U979,U980)</f>
        <v>3.9291840513752234</v>
      </c>
      <c r="V982" s="133"/>
      <c r="W982" s="155"/>
      <c r="X982" s="138">
        <f>IF(X977&lt;X981,X979,X980)</f>
        <v>9.9811486148660009</v>
      </c>
      <c r="Y982" s="133"/>
      <c r="Z982" s="155"/>
      <c r="AA982" s="138">
        <f>IF(AA977&lt;AA981,AA979,AA980)</f>
        <v>21.035709699465137</v>
      </c>
      <c r="AB982" s="133"/>
      <c r="AC982" s="155"/>
      <c r="AD982" s="138">
        <f>IF(AD977&lt;AD981,AD979,AD980)</f>
        <v>42.784624795970366</v>
      </c>
      <c r="AE982" s="133"/>
      <c r="AF982" s="155"/>
      <c r="AG982" s="138">
        <f>IF(AG977&lt;AG981,AG979,AG980)</f>
        <v>106.6867044710698</v>
      </c>
      <c r="AH982" s="133"/>
      <c r="AI982" s="155"/>
      <c r="AJ982" s="138" t="e">
        <f>IF(AJ977&lt;AJ981,AJ979,AJ980)</f>
        <v>#NUM!</v>
      </c>
      <c r="AK982" s="133"/>
      <c r="AL982" s="155"/>
      <c r="AM982" s="138" t="e">
        <f>IF(AM977&lt;AM981,AM979,AM980)</f>
        <v>#NUM!</v>
      </c>
      <c r="AN982" s="133"/>
      <c r="AO982" s="155"/>
      <c r="AP982" s="138">
        <f>IF(AP977&lt;AP981,AP979,AP980)</f>
        <v>898.78019967475109</v>
      </c>
      <c r="AQ982" s="133"/>
      <c r="AR982" s="155"/>
      <c r="AS982" s="138">
        <f>IF(AS977&lt;AS981,AS979,AS980)</f>
        <v>457.99002905684432</v>
      </c>
      <c r="AT982" s="133"/>
      <c r="AU982" s="155"/>
    </row>
    <row r="983" spans="13:47" ht="13" x14ac:dyDescent="0.3">
      <c r="M983" s="28"/>
      <c r="N983" s="28"/>
      <c r="O983" s="9" t="s">
        <v>194</v>
      </c>
      <c r="P983" s="1"/>
      <c r="Q983" s="1"/>
      <c r="R983" s="135"/>
      <c r="S983" s="132">
        <f>IF(R976&lt;=0,W_max,ABS(R$23-R982))</f>
        <v>1.8134052985944416</v>
      </c>
      <c r="T983" s="151">
        <f>R971</f>
        <v>43.153596327595196</v>
      </c>
      <c r="U983" s="135"/>
      <c r="V983" s="132">
        <f>IF(U976&lt;=0,W_max,ABS(U$23-U982))</f>
        <v>1.0708159486247766</v>
      </c>
      <c r="W983" s="151">
        <f>U971</f>
        <v>904.83553829788127</v>
      </c>
      <c r="X983" s="135"/>
      <c r="Y983" s="132">
        <f>IF(X976&lt;=0,W_max,ABS(X$23-X982))</f>
        <v>1.8851385133999088E-2</v>
      </c>
      <c r="Z983" s="151">
        <f>X971</f>
        <v>2237.7659629019336</v>
      </c>
      <c r="AA983" s="135"/>
      <c r="AB983" s="132">
        <f>IF(AA976&lt;=0,W_max,ABS(AA$23-AA982))</f>
        <v>3.8357096994651378</v>
      </c>
      <c r="AC983" s="151">
        <f>AA971</f>
        <v>4358.5969162347965</v>
      </c>
      <c r="AD983" s="135"/>
      <c r="AE983" s="132">
        <f>IF(AD976&lt;=0,W_max,ABS(AD$23-AD982))</f>
        <v>16.184624795970365</v>
      </c>
      <c r="AF983" s="151">
        <f>AD971</f>
        <v>7168.2871870303607</v>
      </c>
      <c r="AG983" s="135"/>
      <c r="AH983" s="132">
        <f>IF(AG976&lt;=0,W_max,ABS(AG$23-AG982))</f>
        <v>68.286704471069811</v>
      </c>
      <c r="AI983" s="151">
        <f>AG971</f>
        <v>10054.074638783006</v>
      </c>
      <c r="AJ983" s="135"/>
      <c r="AK983" s="132">
        <f>IF(AJ976&lt;=0,W_max,ABS(AJ$23-AJ982))</f>
        <v>7174</v>
      </c>
      <c r="AL983" s="151">
        <f>AJ971</f>
        <v>12766.006927788776</v>
      </c>
      <c r="AM983" s="135"/>
      <c r="AN983" s="132">
        <f>IF(AM976&lt;=0,W_max,ABS(AM$23-AM982))</f>
        <v>7174</v>
      </c>
      <c r="AO983" s="151">
        <f>AM971</f>
        <v>14969.147104473112</v>
      </c>
      <c r="AP983" s="135"/>
      <c r="AQ983" s="132">
        <f>IF(AP976&lt;=0,W_max,ABS(AP$23-AP982))</f>
        <v>7174</v>
      </c>
      <c r="AR983" s="151">
        <f>AP971</f>
        <v>16700.60360103743</v>
      </c>
      <c r="AS983" s="135"/>
      <c r="AT983" s="132">
        <f>IF(AS976&lt;=0,W_max,ABS(AS$23-AS982))</f>
        <v>7174</v>
      </c>
      <c r="AU983" s="151">
        <f>AS971</f>
        <v>18632.334807882256</v>
      </c>
    </row>
    <row r="984" spans="13:47" ht="13" x14ac:dyDescent="0.25">
      <c r="M984" s="12"/>
      <c r="N984" s="12"/>
      <c r="O984" s="2"/>
      <c r="P984" s="85"/>
      <c r="Q984" s="2"/>
      <c r="R984" s="18"/>
      <c r="S984" s="150"/>
      <c r="T984" s="152"/>
      <c r="U984" s="157"/>
      <c r="V984" s="1"/>
      <c r="W984" s="147"/>
      <c r="X984" s="157"/>
      <c r="Y984" s="1"/>
      <c r="Z984" s="147"/>
      <c r="AA984" s="157"/>
      <c r="AB984" s="1"/>
      <c r="AC984" s="147"/>
      <c r="AD984" s="157"/>
      <c r="AE984" s="1"/>
      <c r="AF984" s="147"/>
      <c r="AG984" s="157"/>
      <c r="AH984" s="1"/>
      <c r="AI984" s="147"/>
      <c r="AJ984" s="157"/>
      <c r="AK984" s="1"/>
      <c r="AL984" s="147"/>
      <c r="AM984" s="157"/>
      <c r="AN984" s="1"/>
      <c r="AO984" s="147"/>
      <c r="AP984" s="157"/>
      <c r="AQ984" s="1"/>
      <c r="AR984" s="147"/>
      <c r="AS984" s="157"/>
      <c r="AT984" s="1"/>
      <c r="AU984" s="147"/>
    </row>
    <row r="985" spans="13:47" ht="14" x14ac:dyDescent="0.3">
      <c r="M985" s="23"/>
      <c r="N985" s="23"/>
      <c r="O985" s="23" t="s">
        <v>238</v>
      </c>
      <c r="P985" s="20"/>
      <c r="Q985" s="20"/>
      <c r="R985" s="181">
        <f>R971*1.02</f>
        <v>44.016668254147099</v>
      </c>
      <c r="S985" s="128" t="s">
        <v>185</v>
      </c>
      <c r="T985" s="153" t="s">
        <v>186</v>
      </c>
      <c r="U985" s="143">
        <f>U971*1.01</f>
        <v>913.88389368086007</v>
      </c>
      <c r="V985" s="128" t="s">
        <v>185</v>
      </c>
      <c r="W985" s="153" t="s">
        <v>186</v>
      </c>
      <c r="X985" s="143">
        <f>X971*1.01</f>
        <v>2260.1436225309531</v>
      </c>
      <c r="Y985" s="128" t="s">
        <v>185</v>
      </c>
      <c r="Z985" s="153" t="s">
        <v>186</v>
      </c>
      <c r="AA985" s="143">
        <f>AA971*1.01</f>
        <v>4402.1828853971447</v>
      </c>
      <c r="AB985" s="128" t="s">
        <v>185</v>
      </c>
      <c r="AC985" s="153" t="s">
        <v>186</v>
      </c>
      <c r="AD985" s="143">
        <f>AD971*1.01</f>
        <v>7239.9700589006643</v>
      </c>
      <c r="AE985" s="128" t="s">
        <v>185</v>
      </c>
      <c r="AF985" s="153" t="s">
        <v>186</v>
      </c>
      <c r="AG985" s="143">
        <f>AG971*1.01</f>
        <v>10154.615385170837</v>
      </c>
      <c r="AH985" s="128" t="s">
        <v>185</v>
      </c>
      <c r="AI985" s="153" t="s">
        <v>186</v>
      </c>
      <c r="AJ985" s="143">
        <f>AJ971*1.01</f>
        <v>12893.666997066664</v>
      </c>
      <c r="AK985" s="128" t="s">
        <v>185</v>
      </c>
      <c r="AL985" s="153" t="s">
        <v>186</v>
      </c>
      <c r="AM985" s="143">
        <f>AM971*1.01</f>
        <v>15118.838575517842</v>
      </c>
      <c r="AN985" s="128" t="s">
        <v>185</v>
      </c>
      <c r="AO985" s="153" t="s">
        <v>186</v>
      </c>
      <c r="AP985" s="143">
        <f>AP971*1.01</f>
        <v>16867.609637047804</v>
      </c>
      <c r="AQ985" s="128" t="s">
        <v>185</v>
      </c>
      <c r="AR985" s="153" t="s">
        <v>186</v>
      </c>
      <c r="AS985" s="143">
        <f>AS971*1.01</f>
        <v>18818.658155961079</v>
      </c>
      <c r="AT985" s="128" t="s">
        <v>185</v>
      </c>
      <c r="AU985" s="153" t="s">
        <v>186</v>
      </c>
    </row>
    <row r="986" spans="13:47" ht="14" x14ac:dyDescent="0.3">
      <c r="M986" s="12"/>
      <c r="N986" s="12"/>
      <c r="O986" s="20"/>
      <c r="P986" s="20"/>
      <c r="Q986" s="23"/>
      <c r="R986" s="139"/>
      <c r="S986" s="130" t="s">
        <v>228</v>
      </c>
      <c r="T986" s="154" t="s">
        <v>187</v>
      </c>
      <c r="U986" s="144"/>
      <c r="V986" s="130" t="s">
        <v>228</v>
      </c>
      <c r="W986" s="154" t="s">
        <v>187</v>
      </c>
      <c r="X986" s="144"/>
      <c r="Y986" s="130" t="s">
        <v>228</v>
      </c>
      <c r="Z986" s="154" t="s">
        <v>187</v>
      </c>
      <c r="AA986" s="144"/>
      <c r="AB986" s="130" t="s">
        <v>228</v>
      </c>
      <c r="AC986" s="154" t="s">
        <v>187</v>
      </c>
      <c r="AD986" s="144"/>
      <c r="AE986" s="130" t="s">
        <v>228</v>
      </c>
      <c r="AF986" s="154" t="s">
        <v>187</v>
      </c>
      <c r="AG986" s="144"/>
      <c r="AH986" s="130" t="s">
        <v>228</v>
      </c>
      <c r="AI986" s="154" t="s">
        <v>187</v>
      </c>
      <c r="AJ986" s="144"/>
      <c r="AK986" s="130" t="s">
        <v>228</v>
      </c>
      <c r="AL986" s="154" t="s">
        <v>187</v>
      </c>
      <c r="AM986" s="144"/>
      <c r="AN986" s="130" t="s">
        <v>228</v>
      </c>
      <c r="AO986" s="154" t="s">
        <v>187</v>
      </c>
      <c r="AP986" s="144"/>
      <c r="AQ986" s="130" t="s">
        <v>228</v>
      </c>
      <c r="AR986" s="154" t="s">
        <v>187</v>
      </c>
      <c r="AS986" s="144"/>
      <c r="AT986" s="130" t="s">
        <v>228</v>
      </c>
      <c r="AU986" s="154" t="s">
        <v>187</v>
      </c>
    </row>
    <row r="987" spans="13:47" x14ac:dyDescent="0.25">
      <c r="M987" s="20"/>
      <c r="N987" s="20"/>
      <c r="O987" s="7" t="s">
        <v>188</v>
      </c>
      <c r="P987" s="7"/>
      <c r="Q987" s="7"/>
      <c r="R987" s="181">
        <f>P_1_minW-(R985^2*R_up)+dpup_minQ</f>
        <v>100.52201414879403</v>
      </c>
      <c r="S987" s="132"/>
      <c r="T987" s="145"/>
      <c r="U987" s="138">
        <f>P_1_minW-(U985^2*R_up)+dpup_minQ</f>
        <v>100.18974732231754</v>
      </c>
      <c r="V987" s="132"/>
      <c r="W987" s="145"/>
      <c r="X987" s="138">
        <f>P_1_minW-(X985^2*R_up)+dpup_minQ</f>
        <v>98.485811906527061</v>
      </c>
      <c r="Y987" s="132"/>
      <c r="Z987" s="145"/>
      <c r="AA987" s="138">
        <f>P_1_minW-(AA985^2*R_up)+dpup_minQ</f>
        <v>92.795095709327214</v>
      </c>
      <c r="AB987" s="132"/>
      <c r="AC987" s="145"/>
      <c r="AD987" s="138">
        <f>P_1_minW-(AD985^2*R_up)+dpup_minQ</f>
        <v>79.620821176319865</v>
      </c>
      <c r="AE987" s="132"/>
      <c r="AF987" s="145"/>
      <c r="AG987" s="138">
        <f>P_1_minW-(AG985^2*R_up)+dpup_minQ</f>
        <v>59.403976018085018</v>
      </c>
      <c r="AH987" s="132"/>
      <c r="AI987" s="145"/>
      <c r="AJ987" s="138">
        <f>P_1_minW-(AJ985^2*R_up)+dpup_minQ</f>
        <v>34.229967812843327</v>
      </c>
      <c r="AK987" s="132"/>
      <c r="AL987" s="145"/>
      <c r="AM987" s="138">
        <f>P_1_minW-(AM985^2*R_up)+dpup_minQ</f>
        <v>9.37409330378334</v>
      </c>
      <c r="AN987" s="132"/>
      <c r="AO987" s="145"/>
      <c r="AP987" s="138">
        <f>P_1_minW-(AP985^2*R_up)+dpup_minQ</f>
        <v>-12.931437574832572</v>
      </c>
      <c r="AQ987" s="132"/>
      <c r="AR987" s="145"/>
      <c r="AS987" s="138">
        <f>P_1_minW-(AS985^2*R_up)+dpup_minQ</f>
        <v>-40.695485619609585</v>
      </c>
      <c r="AT987" s="132"/>
      <c r="AU987" s="145"/>
    </row>
    <row r="988" spans="13:47" x14ac:dyDescent="0.25">
      <c r="M988" s="20"/>
      <c r="N988" s="20"/>
      <c r="O988" s="7" t="s">
        <v>189</v>
      </c>
      <c r="P988" s="1"/>
      <c r="Q988" s="7"/>
      <c r="R988" s="181">
        <f>P_2_minW+(R985^2*R_dn)-dpdn_minQ</f>
        <v>50</v>
      </c>
      <c r="S988" s="132"/>
      <c r="T988" s="146"/>
      <c r="U988" s="138">
        <f>P_2_minW+(U985^2*R_dn)-dpdn_minQ</f>
        <v>50</v>
      </c>
      <c r="V988" s="132"/>
      <c r="W988" s="146"/>
      <c r="X988" s="138">
        <f>P_2_minW+(X985^2*R_dn)-dpdn_minQ</f>
        <v>50</v>
      </c>
      <c r="Y988" s="132"/>
      <c r="Z988" s="146"/>
      <c r="AA988" s="138">
        <f>P_2_minW+(AA985^2*R_dn)-dpdn_minQ</f>
        <v>50</v>
      </c>
      <c r="AB988" s="132"/>
      <c r="AC988" s="146"/>
      <c r="AD988" s="138">
        <f>P_2_minW+(AD985^2*R_dn)-dpdn_minQ</f>
        <v>50</v>
      </c>
      <c r="AE988" s="132"/>
      <c r="AF988" s="146"/>
      <c r="AG988" s="138">
        <f>P_2_minW+(AG985^2*R_dn)-dpdn_minQ</f>
        <v>50</v>
      </c>
      <c r="AH988" s="132"/>
      <c r="AI988" s="146"/>
      <c r="AJ988" s="138">
        <f>P_2_minW+(AJ985^2*R_dn)-dpdn_minQ</f>
        <v>50</v>
      </c>
      <c r="AK988" s="132"/>
      <c r="AL988" s="146"/>
      <c r="AM988" s="138">
        <f>P_2_minW+(AM985^2*R_dn)-dpdn_minQ</f>
        <v>50</v>
      </c>
      <c r="AN988" s="132"/>
      <c r="AO988" s="146"/>
      <c r="AP988" s="138">
        <f>P_2_minW+(AP985^2*R_dn)-dpdn_minQ</f>
        <v>50</v>
      </c>
      <c r="AQ988" s="132"/>
      <c r="AR988" s="146"/>
      <c r="AS988" s="138">
        <f>P_2_minW+(AS985^2*R_dn)-dpdn_minQ</f>
        <v>50</v>
      </c>
      <c r="AT988" s="132"/>
      <c r="AU988" s="146"/>
    </row>
    <row r="989" spans="13:47" x14ac:dyDescent="0.25">
      <c r="M989" s="20"/>
      <c r="N989" s="20"/>
      <c r="O989" s="7" t="s">
        <v>234</v>
      </c>
      <c r="P989" s="1"/>
      <c r="Q989" s="7"/>
      <c r="R989" s="179">
        <f>'Valve Sizing'!G$8*R987/P_1_maxW</f>
        <v>0.48490029941225449</v>
      </c>
      <c r="S989" s="132"/>
      <c r="T989" s="146"/>
      <c r="U989" s="143">
        <f>'Valve Sizing'!$G$8*U987/P_1_maxW</f>
        <v>0.48329750339779415</v>
      </c>
      <c r="V989" s="132"/>
      <c r="W989" s="146"/>
      <c r="X989" s="143">
        <f>'Valve Sizing'!$G$8*X987/P_1_maxW</f>
        <v>0.4750780223190233</v>
      </c>
      <c r="Y989" s="132"/>
      <c r="Z989" s="146"/>
      <c r="AA989" s="143">
        <f>'Valve Sizing'!$G$8*AA987/P_1_maxW</f>
        <v>0.44762702055330239</v>
      </c>
      <c r="AB989" s="132"/>
      <c r="AC989" s="146"/>
      <c r="AD989" s="143">
        <f>'Valve Sizing'!$G$8*AD987/P_1_maxW</f>
        <v>0.38407666574108595</v>
      </c>
      <c r="AE989" s="132"/>
      <c r="AF989" s="146"/>
      <c r="AG989" s="143">
        <f>'Valve Sizing'!$G$8*AG987/P_1_maxW</f>
        <v>0.28655420408518928</v>
      </c>
      <c r="AH989" s="132"/>
      <c r="AI989" s="146"/>
      <c r="AJ989" s="143">
        <f>'Valve Sizing'!$G$8*AJ987/P_1_maxW</f>
        <v>0.16511927045901409</v>
      </c>
      <c r="AK989" s="132"/>
      <c r="AL989" s="146"/>
      <c r="AM989" s="143">
        <f>'Valve Sizing'!$G$8*AM987/P_1_maxW</f>
        <v>4.5218957143005917E-2</v>
      </c>
      <c r="AN989" s="132"/>
      <c r="AO989" s="146"/>
      <c r="AP989" s="143">
        <f>'Valve Sizing'!$G$8*AP987/P_1_maxW</f>
        <v>-6.237895256043692E-2</v>
      </c>
      <c r="AQ989" s="132"/>
      <c r="AR989" s="146"/>
      <c r="AS989" s="143">
        <f>'Valve Sizing'!$G$8*AS987/P_1_maxW</f>
        <v>-0.19630777724435922</v>
      </c>
      <c r="AT989" s="132"/>
      <c r="AU989" s="146"/>
    </row>
    <row r="990" spans="13:47" x14ac:dyDescent="0.25">
      <c r="M990" s="20"/>
      <c r="N990" s="20"/>
      <c r="O990" s="7" t="s">
        <v>190</v>
      </c>
      <c r="P990" s="1"/>
      <c r="Q990" s="7"/>
      <c r="R990" s="181">
        <f>R987-R988</f>
        <v>50.522014148794028</v>
      </c>
      <c r="S990" s="132"/>
      <c r="T990" s="146"/>
      <c r="U990" s="138">
        <f>U987-U988</f>
        <v>50.189747322317544</v>
      </c>
      <c r="V990" s="132"/>
      <c r="W990" s="146"/>
      <c r="X990" s="138">
        <f>X987-X988</f>
        <v>48.485811906527061</v>
      </c>
      <c r="Y990" s="132"/>
      <c r="Z990" s="146"/>
      <c r="AA990" s="138">
        <f>AA987-AA988</f>
        <v>42.795095709327214</v>
      </c>
      <c r="AB990" s="132"/>
      <c r="AC990" s="146"/>
      <c r="AD990" s="138">
        <f>AD987-AD988</f>
        <v>29.620821176319865</v>
      </c>
      <c r="AE990" s="132"/>
      <c r="AF990" s="146"/>
      <c r="AG990" s="138">
        <f>AG987-AG988</f>
        <v>9.403976018085018</v>
      </c>
      <c r="AH990" s="132"/>
      <c r="AI990" s="146"/>
      <c r="AJ990" s="138">
        <f>AJ987-AJ988</f>
        <v>-15.770032187156673</v>
      </c>
      <c r="AK990" s="132"/>
      <c r="AL990" s="146"/>
      <c r="AM990" s="138">
        <f>AM987-AM988</f>
        <v>-40.62590669621666</v>
      </c>
      <c r="AN990" s="132"/>
      <c r="AO990" s="146"/>
      <c r="AP990" s="138">
        <f>AP987-AP988</f>
        <v>-62.931437574832572</v>
      </c>
      <c r="AQ990" s="132"/>
      <c r="AR990" s="146"/>
      <c r="AS990" s="138">
        <f>AS987-AS988</f>
        <v>-90.695485619609585</v>
      </c>
      <c r="AT990" s="132"/>
      <c r="AU990" s="146"/>
    </row>
    <row r="991" spans="13:47" ht="14.5" x14ac:dyDescent="0.35">
      <c r="M991" s="27"/>
      <c r="N991" s="27"/>
      <c r="O991" s="2" t="s">
        <v>191</v>
      </c>
      <c r="P991" s="10"/>
      <c r="Q991" s="2"/>
      <c r="R991" s="181">
        <f>R990/R987</f>
        <v>0.50259651656015036</v>
      </c>
      <c r="S991" s="132"/>
      <c r="T991" s="146"/>
      <c r="U991" s="138">
        <f>U990/U987</f>
        <v>0.50094693981863792</v>
      </c>
      <c r="V991" s="132"/>
      <c r="W991" s="146"/>
      <c r="X991" s="138">
        <f>X990/X987</f>
        <v>0.49231265872636532</v>
      </c>
      <c r="Y991" s="132"/>
      <c r="Z991" s="146"/>
      <c r="AA991" s="138">
        <f>AA990/AA987</f>
        <v>0.46117842093055467</v>
      </c>
      <c r="AB991" s="132"/>
      <c r="AC991" s="146"/>
      <c r="AD991" s="138">
        <f>AD990/AD987</f>
        <v>0.37202355789228447</v>
      </c>
      <c r="AE991" s="132"/>
      <c r="AF991" s="146"/>
      <c r="AG991" s="138">
        <f>AG990/AG987</f>
        <v>0.15830549819126685</v>
      </c>
      <c r="AH991" s="132"/>
      <c r="AI991" s="146"/>
      <c r="AJ991" s="138">
        <f>AJ990/AJ987</f>
        <v>-0.46070835571278701</v>
      </c>
      <c r="AK991" s="132"/>
      <c r="AL991" s="146"/>
      <c r="AM991" s="138">
        <f>AM990/AM987</f>
        <v>-4.3338491926275404</v>
      </c>
      <c r="AN991" s="132"/>
      <c r="AO991" s="146"/>
      <c r="AP991" s="138">
        <f>AP990/AP987</f>
        <v>4.8665461369361616</v>
      </c>
      <c r="AQ991" s="132"/>
      <c r="AR991" s="146"/>
      <c r="AS991" s="138">
        <f>AS990/AS987</f>
        <v>2.2286375070532869</v>
      </c>
      <c r="AT991" s="132"/>
      <c r="AU991" s="146"/>
    </row>
    <row r="992" spans="13:47" x14ac:dyDescent="0.25">
      <c r="M992" s="27"/>
      <c r="N992" s="27"/>
      <c r="O992" s="2" t="s">
        <v>26</v>
      </c>
      <c r="P992" s="7">
        <v>12</v>
      </c>
      <c r="Q992" s="2"/>
      <c r="R992" s="181">
        <f>1-R991/(3*F_GAMMA*R$29)</f>
        <v>0.73824197485732679</v>
      </c>
      <c r="S992" s="133"/>
      <c r="T992" s="146"/>
      <c r="U992" s="138">
        <f>1-U991/(3*F_GAMMA*U$29)</f>
        <v>0.73915853676932963</v>
      </c>
      <c r="V992" s="133"/>
      <c r="W992" s="146"/>
      <c r="X992" s="138">
        <f>1-X991/(3*F_GAMMA*X$29)</f>
        <v>0.73980878692796082</v>
      </c>
      <c r="Y992" s="133"/>
      <c r="Z992" s="146"/>
      <c r="AA992" s="138">
        <f>1-AA991/(3*F_GAMMA*AA$29)</f>
        <v>0.7529215160123508</v>
      </c>
      <c r="AB992" s="133"/>
      <c r="AC992" s="146"/>
      <c r="AD992" s="138">
        <f>1-AD991/(3*F_GAMMA*AD$29)</f>
        <v>0.79522190026840978</v>
      </c>
      <c r="AE992" s="133"/>
      <c r="AF992" s="146"/>
      <c r="AG992" s="138">
        <f>1-AG991/(3*F_GAMMA*AG$29)</f>
        <v>0.90789119746154223</v>
      </c>
      <c r="AH992" s="133"/>
      <c r="AI992" s="146"/>
      <c r="AJ992" s="138">
        <f>1-AJ991/(3*F_GAMMA*AJ$29)</f>
        <v>1.2865592548076386</v>
      </c>
      <c r="AK992" s="133"/>
      <c r="AL992" s="146"/>
      <c r="AM992" s="138">
        <f>1-AM991/(3*F_GAMMA*AM$29)</f>
        <v>3.9452625313054708</v>
      </c>
      <c r="AN992" s="133"/>
      <c r="AO992" s="146"/>
      <c r="AP992" s="138">
        <f>1-AP991/(3*F_GAMMA*AP$29)</f>
        <v>-1.7331097318644009</v>
      </c>
      <c r="AQ992" s="133"/>
      <c r="AR992" s="146"/>
      <c r="AS992" s="138">
        <f>1-AS991/(3*F_GAMMA*AS$29)</f>
        <v>-0.9000817627353439</v>
      </c>
      <c r="AT992" s="133"/>
      <c r="AU992" s="146"/>
    </row>
    <row r="993" spans="13:47" x14ac:dyDescent="0.25">
      <c r="M993" s="27"/>
      <c r="N993" s="27"/>
      <c r="O993" s="2" t="s">
        <v>71</v>
      </c>
      <c r="P993" s="85">
        <v>5</v>
      </c>
      <c r="Q993" s="2"/>
      <c r="R993" s="179">
        <f>R985/((N_6*R$27*R992)*SQRT(R991*R987*R989))</f>
        <v>0.1903266604115996</v>
      </c>
      <c r="S993" s="133"/>
      <c r="T993" s="146"/>
      <c r="U993" s="143">
        <f>U985/((N_6*U$27*U992)*SQRT(U991*U987*U989))</f>
        <v>3.9687739058004223</v>
      </c>
      <c r="V993" s="133"/>
      <c r="W993" s="146"/>
      <c r="X993" s="143">
        <f>X985/((N_6*X$27*X992)*SQRT(X991*X987*X989))</f>
        <v>10.085696205876138</v>
      </c>
      <c r="Y993" s="133"/>
      <c r="Z993" s="146"/>
      <c r="AA993" s="143">
        <f>AA985/((N_6*AA$27*AA992)*SQRT(AA991*AA987*AA989))</f>
        <v>21.287905967658229</v>
      </c>
      <c r="AB993" s="133"/>
      <c r="AC993" s="146"/>
      <c r="AD993" s="143">
        <f>AD985/((N_6*AD$27*AD992)*SQRT(AD991*AD987*AD989))</f>
        <v>43.526658519323348</v>
      </c>
      <c r="AE993" s="133"/>
      <c r="AF993" s="146"/>
      <c r="AG993" s="143">
        <f>AG985/((N_6*AG$27*AG992)*SQRT(AG991*AG987*AG989))</f>
        <v>112.24206424041039</v>
      </c>
      <c r="AH993" s="133"/>
      <c r="AI993" s="146"/>
      <c r="AJ993" s="143" t="e">
        <f>AJ985/((N_6*AJ$27*AJ992)*SQRT(AJ991*AJ987*AJ989))</f>
        <v>#NUM!</v>
      </c>
      <c r="AK993" s="133"/>
      <c r="AL993" s="146"/>
      <c r="AM993" s="143" t="e">
        <f>AM985/((N_6*AM$27*AM992)*SQRT(AM991*AM987*AM989))</f>
        <v>#NUM!</v>
      </c>
      <c r="AN993" s="133"/>
      <c r="AO993" s="146"/>
      <c r="AP993" s="143">
        <f>AP985/((N_6*AP$27*AP992)*SQRT(AP991*AP987*AP989))</f>
        <v>-100.91545396899448</v>
      </c>
      <c r="AQ993" s="133"/>
      <c r="AR993" s="146"/>
      <c r="AS993" s="143">
        <f>AS985/((N_6*AS$27*AS992)*SQRT(AS991*AS987*AS989))</f>
        <v>-133.75671200707112</v>
      </c>
      <c r="AT993" s="133"/>
      <c r="AU993" s="146"/>
    </row>
    <row r="994" spans="13:47" x14ac:dyDescent="0.25">
      <c r="M994" s="27"/>
      <c r="N994" s="27"/>
      <c r="O994" s="2" t="s">
        <v>73</v>
      </c>
      <c r="P994" s="85">
        <v>5</v>
      </c>
      <c r="Q994" s="2"/>
      <c r="R994" s="179">
        <f>R985/((N_6*R$27*0.667)*SQRT(R995*R987*R989))</f>
        <v>0.1866737096586073</v>
      </c>
      <c r="S994" s="133"/>
      <c r="T994" s="155"/>
      <c r="U994" s="143">
        <f>U985/((N_6*U$27*0.667)*SQRT(U995*U987*U989))</f>
        <v>3.8906043050083401</v>
      </c>
      <c r="V994" s="133"/>
      <c r="W994" s="155"/>
      <c r="X994" s="143">
        <f>X985/((N_6*X$27*0.667)*SQRT(X995*X987*X989))</f>
        <v>9.883402314739282</v>
      </c>
      <c r="Y994" s="133"/>
      <c r="Z994" s="155"/>
      <c r="AA994" s="143">
        <f>AA985/((N_6*AA$27*0.667)*SQRT(AA995*AA987*AA989))</f>
        <v>20.688781295472886</v>
      </c>
      <c r="AB994" s="133"/>
      <c r="AC994" s="155"/>
      <c r="AD994" s="143">
        <f>AD985/((N_6*AD$27*0.667)*SQRT(AD995*AD987*AD989))</f>
        <v>40.67431127825494</v>
      </c>
      <c r="AE994" s="133"/>
      <c r="AF994" s="155"/>
      <c r="AG994" s="143">
        <f>AG985/((N_6*AG$27*0.667)*SQRT(AG995*AG987*AG989))</f>
        <v>80.310959050398822</v>
      </c>
      <c r="AH994" s="133"/>
      <c r="AI994" s="155"/>
      <c r="AJ994" s="143">
        <f>AJ985/((N_6*AJ$27*0.667)*SQRT(AJ995*AJ987*AJ989))</f>
        <v>189.25527290987483</v>
      </c>
      <c r="AK994" s="133"/>
      <c r="AL994" s="155"/>
      <c r="AM994" s="143">
        <f>AM985/((N_6*AM$27*0.667)*SQRT(AM995*AM987*AM989))</f>
        <v>899.0469359951768</v>
      </c>
      <c r="AN994" s="133"/>
      <c r="AO994" s="155"/>
      <c r="AP994" s="143">
        <f>AP985/((N_6*AP$27*0.667)*SQRT(AP995*AP987*AP989))</f>
        <v>750.83942233647508</v>
      </c>
      <c r="AQ994" s="133"/>
      <c r="AR994" s="155"/>
      <c r="AS994" s="143">
        <f>AS985/((N_6*AS$27*0.667)*SQRT(AS995*AS987*AS989))</f>
        <v>430.94166459685806</v>
      </c>
      <c r="AT994" s="133"/>
      <c r="AU994" s="155"/>
    </row>
    <row r="995" spans="13:47" ht="15.5" x14ac:dyDescent="0.4">
      <c r="M995" s="27"/>
      <c r="N995" s="27"/>
      <c r="O995" s="2" t="s">
        <v>192</v>
      </c>
      <c r="P995" s="85">
        <v>10</v>
      </c>
      <c r="Q995" s="2"/>
      <c r="R995" s="181">
        <f>F_GAMMA*R$29</f>
        <v>0.64002688015162901</v>
      </c>
      <c r="S995" s="133"/>
      <c r="T995" s="155"/>
      <c r="U995" s="138">
        <f>F_GAMMA*U$29</f>
        <v>0.64016782916606918</v>
      </c>
      <c r="V995" s="133"/>
      <c r="W995" s="155"/>
      <c r="X995" s="138">
        <f>F_GAMMA*X$29</f>
        <v>0.6307062319203669</v>
      </c>
      <c r="Y995" s="133"/>
      <c r="Z995" s="155"/>
      <c r="AA995" s="138">
        <f>F_GAMMA*AA$29</f>
        <v>0.62217534213893466</v>
      </c>
      <c r="AB995" s="133"/>
      <c r="AC995" s="155"/>
      <c r="AD995" s="138">
        <f>F_GAMMA*AD$29</f>
        <v>0.60557184969146072</v>
      </c>
      <c r="AE995" s="133"/>
      <c r="AF995" s="155"/>
      <c r="AG995" s="138">
        <f>F_GAMMA*AG$29</f>
        <v>0.57289312142622573</v>
      </c>
      <c r="AH995" s="133"/>
      <c r="AI995" s="155"/>
      <c r="AJ995" s="138">
        <f>F_GAMMA*AJ$29</f>
        <v>0.53590819116049981</v>
      </c>
      <c r="AK995" s="133"/>
      <c r="AL995" s="155"/>
      <c r="AM995" s="138">
        <f>F_GAMMA*AM$29</f>
        <v>0.49048815926850342</v>
      </c>
      <c r="AN995" s="133"/>
      <c r="AO995" s="155"/>
      <c r="AP995" s="138">
        <f>F_GAMMA*AP$29</f>
        <v>0.59352979016280105</v>
      </c>
      <c r="AQ995" s="133"/>
      <c r="AR995" s="155"/>
      <c r="AS995" s="138">
        <f>F_GAMMA*AS$29</f>
        <v>0.39097221161068291</v>
      </c>
      <c r="AT995" s="133"/>
      <c r="AU995" s="155"/>
    </row>
    <row r="996" spans="13:47" x14ac:dyDescent="0.25">
      <c r="M996" s="27"/>
      <c r="N996" s="27"/>
      <c r="O996" s="2" t="s">
        <v>193</v>
      </c>
      <c r="P996" s="134"/>
      <c r="Q996" s="2"/>
      <c r="R996" s="181">
        <f>IF(R991&lt;R995,R993,R994)</f>
        <v>0.1903266604115996</v>
      </c>
      <c r="S996" s="133"/>
      <c r="T996" s="155"/>
      <c r="U996" s="138">
        <f>IF(U991&lt;U995,U993,U994)</f>
        <v>3.9687739058004223</v>
      </c>
      <c r="V996" s="133"/>
      <c r="W996" s="155"/>
      <c r="X996" s="138">
        <f>IF(X991&lt;X995,X993,X994)</f>
        <v>10.085696205876138</v>
      </c>
      <c r="Y996" s="133"/>
      <c r="Z996" s="155"/>
      <c r="AA996" s="138">
        <f>IF(AA991&lt;AA995,AA993,AA994)</f>
        <v>21.287905967658229</v>
      </c>
      <c r="AB996" s="133"/>
      <c r="AC996" s="155"/>
      <c r="AD996" s="138">
        <f>IF(AD991&lt;AD995,AD993,AD994)</f>
        <v>43.526658519323348</v>
      </c>
      <c r="AE996" s="133"/>
      <c r="AF996" s="155"/>
      <c r="AG996" s="138">
        <f>IF(AG991&lt;AG995,AG993,AG994)</f>
        <v>112.24206424041039</v>
      </c>
      <c r="AH996" s="133"/>
      <c r="AI996" s="155"/>
      <c r="AJ996" s="138" t="e">
        <f>IF(AJ991&lt;AJ995,AJ993,AJ994)</f>
        <v>#NUM!</v>
      </c>
      <c r="AK996" s="133"/>
      <c r="AL996" s="155"/>
      <c r="AM996" s="138" t="e">
        <f>IF(AM991&lt;AM995,AM993,AM994)</f>
        <v>#NUM!</v>
      </c>
      <c r="AN996" s="133"/>
      <c r="AO996" s="155"/>
      <c r="AP996" s="138">
        <f>IF(AP991&lt;AP995,AP993,AP994)</f>
        <v>750.83942233647508</v>
      </c>
      <c r="AQ996" s="133"/>
      <c r="AR996" s="155"/>
      <c r="AS996" s="138">
        <f>IF(AS991&lt;AS995,AS993,AS994)</f>
        <v>430.94166459685806</v>
      </c>
      <c r="AT996" s="133"/>
      <c r="AU996" s="155"/>
    </row>
    <row r="997" spans="13:47" ht="13" x14ac:dyDescent="0.3">
      <c r="M997" s="28"/>
      <c r="N997" s="28"/>
      <c r="O997" s="9" t="s">
        <v>194</v>
      </c>
      <c r="P997" s="1"/>
      <c r="Q997" s="1"/>
      <c r="R997" s="135"/>
      <c r="S997" s="132">
        <f>IF(R990&lt;=0,W_max,ABS(R$23-R996))</f>
        <v>1.8096733395884004</v>
      </c>
      <c r="T997" s="151">
        <f>R985</f>
        <v>44.016668254147099</v>
      </c>
      <c r="U997" s="135"/>
      <c r="V997" s="132">
        <f>IF(U990&lt;=0,W_max,ABS(U$23-U996))</f>
        <v>1.0312260941995777</v>
      </c>
      <c r="W997" s="151">
        <f>U985</f>
        <v>913.88389368086007</v>
      </c>
      <c r="X997" s="135"/>
      <c r="Y997" s="132">
        <f>IF(X990&lt;=0,W_max,ABS(X$23-X996))</f>
        <v>8.569620587613791E-2</v>
      </c>
      <c r="Z997" s="151">
        <f>X985</f>
        <v>2260.1436225309531</v>
      </c>
      <c r="AA997" s="135"/>
      <c r="AB997" s="132">
        <f>IF(AA990&lt;=0,W_max,ABS(AA$23-AA996))</f>
        <v>4.0879059676582301</v>
      </c>
      <c r="AC997" s="151">
        <f>AA985</f>
        <v>4402.1828853971447</v>
      </c>
      <c r="AD997" s="135"/>
      <c r="AE997" s="132">
        <f>IF(AD990&lt;=0,W_max,ABS(AD$23-AD996))</f>
        <v>16.926658519323347</v>
      </c>
      <c r="AF997" s="151">
        <f>AD985</f>
        <v>7239.9700589006643</v>
      </c>
      <c r="AG997" s="135"/>
      <c r="AH997" s="132">
        <f>IF(AG990&lt;=0,W_max,ABS(AG$23-AG996))</f>
        <v>73.842064240410394</v>
      </c>
      <c r="AI997" s="151">
        <f>AG985</f>
        <v>10154.615385170837</v>
      </c>
      <c r="AJ997" s="135"/>
      <c r="AK997" s="132">
        <f>IF(AJ990&lt;=0,W_max,ABS(AJ$23-AJ996))</f>
        <v>7174</v>
      </c>
      <c r="AL997" s="151">
        <f>AJ985</f>
        <v>12893.666997066664</v>
      </c>
      <c r="AM997" s="135"/>
      <c r="AN997" s="132">
        <f>IF(AM990&lt;=0,W_max,ABS(AM$23-AM996))</f>
        <v>7174</v>
      </c>
      <c r="AO997" s="151">
        <f>AM985</f>
        <v>15118.838575517842</v>
      </c>
      <c r="AP997" s="135"/>
      <c r="AQ997" s="132">
        <f>IF(AP990&lt;=0,W_max,ABS(AP$23-AP996))</f>
        <v>7174</v>
      </c>
      <c r="AR997" s="151">
        <f>AP985</f>
        <v>16867.609637047804</v>
      </c>
      <c r="AS997" s="135"/>
      <c r="AT997" s="132">
        <f>IF(AS990&lt;=0,W_max,ABS(AS$23-AS996))</f>
        <v>7174</v>
      </c>
      <c r="AU997" s="151">
        <f>AS985</f>
        <v>18818.658155961079</v>
      </c>
    </row>
    <row r="998" spans="13:47" ht="13" x14ac:dyDescent="0.25">
      <c r="M998" s="12"/>
      <c r="N998" s="12"/>
      <c r="O998" s="2"/>
      <c r="P998" s="85"/>
      <c r="Q998" s="2"/>
      <c r="R998" s="18"/>
      <c r="S998" s="150"/>
      <c r="T998" s="148"/>
      <c r="U998" s="157"/>
      <c r="V998" s="1"/>
      <c r="W998" s="147"/>
      <c r="X998" s="157"/>
      <c r="Y998" s="1"/>
      <c r="Z998" s="147"/>
      <c r="AA998" s="157"/>
      <c r="AB998" s="1"/>
      <c r="AC998" s="147"/>
      <c r="AD998" s="157"/>
      <c r="AE998" s="1"/>
      <c r="AF998" s="147"/>
      <c r="AG998" s="157"/>
      <c r="AH998" s="1"/>
      <c r="AI998" s="147"/>
      <c r="AJ998" s="157"/>
      <c r="AK998" s="1"/>
      <c r="AL998" s="147"/>
      <c r="AM998" s="157"/>
      <c r="AN998" s="1"/>
      <c r="AO998" s="147"/>
      <c r="AP998" s="157"/>
      <c r="AQ998" s="1"/>
      <c r="AR998" s="147"/>
      <c r="AS998" s="157"/>
      <c r="AT998" s="1"/>
      <c r="AU998" s="147"/>
    </row>
    <row r="999" spans="13:47" ht="14" x14ac:dyDescent="0.3">
      <c r="M999" s="23"/>
      <c r="N999" s="23"/>
      <c r="O999" s="23" t="s">
        <v>238</v>
      </c>
      <c r="P999" s="20"/>
      <c r="Q999" s="20"/>
      <c r="R999" s="181">
        <f>R985*1.02</f>
        <v>44.897001619230039</v>
      </c>
      <c r="S999" s="128" t="s">
        <v>185</v>
      </c>
      <c r="T999" s="149" t="s">
        <v>186</v>
      </c>
      <c r="U999" s="143">
        <f>U985*1.01</f>
        <v>923.02273261766868</v>
      </c>
      <c r="V999" s="128" t="s">
        <v>185</v>
      </c>
      <c r="W999" s="153" t="s">
        <v>186</v>
      </c>
      <c r="X999" s="143">
        <f>X985*1.01</f>
        <v>2282.7450587562626</v>
      </c>
      <c r="Y999" s="128" t="s">
        <v>185</v>
      </c>
      <c r="Z999" s="153" t="s">
        <v>186</v>
      </c>
      <c r="AA999" s="143">
        <f>AA985*1.01</f>
        <v>4446.2047142511165</v>
      </c>
      <c r="AB999" s="128" t="s">
        <v>185</v>
      </c>
      <c r="AC999" s="153" t="s">
        <v>186</v>
      </c>
      <c r="AD999" s="143">
        <f>AD985*1.01</f>
        <v>7312.3697594896712</v>
      </c>
      <c r="AE999" s="128" t="s">
        <v>185</v>
      </c>
      <c r="AF999" s="153" t="s">
        <v>186</v>
      </c>
      <c r="AG999" s="143">
        <f>AG985*1.01</f>
        <v>10256.161539022545</v>
      </c>
      <c r="AH999" s="128" t="s">
        <v>185</v>
      </c>
      <c r="AI999" s="153" t="s">
        <v>186</v>
      </c>
      <c r="AJ999" s="143">
        <f>AJ985*1.01</f>
        <v>13022.603667037331</v>
      </c>
      <c r="AK999" s="128" t="s">
        <v>185</v>
      </c>
      <c r="AL999" s="153" t="s">
        <v>186</v>
      </c>
      <c r="AM999" s="143">
        <f>AM985*1.01</f>
        <v>15270.026961273021</v>
      </c>
      <c r="AN999" s="128" t="s">
        <v>185</v>
      </c>
      <c r="AO999" s="153" t="s">
        <v>186</v>
      </c>
      <c r="AP999" s="143">
        <f>AP985*1.01</f>
        <v>17036.285733418281</v>
      </c>
      <c r="AQ999" s="128" t="s">
        <v>185</v>
      </c>
      <c r="AR999" s="153" t="s">
        <v>186</v>
      </c>
      <c r="AS999" s="143">
        <f>AS985*1.01</f>
        <v>19006.844737520689</v>
      </c>
      <c r="AT999" s="128" t="s">
        <v>185</v>
      </c>
      <c r="AU999" s="153" t="s">
        <v>186</v>
      </c>
    </row>
    <row r="1000" spans="13:47" ht="14" x14ac:dyDescent="0.3">
      <c r="M1000" s="12"/>
      <c r="N1000" s="12"/>
      <c r="O1000" s="20"/>
      <c r="P1000" s="20"/>
      <c r="Q1000" s="23"/>
      <c r="R1000" s="139"/>
      <c r="S1000" s="130" t="s">
        <v>228</v>
      </c>
      <c r="T1000" s="131" t="s">
        <v>187</v>
      </c>
      <c r="U1000" s="144"/>
      <c r="V1000" s="130" t="s">
        <v>228</v>
      </c>
      <c r="W1000" s="154" t="s">
        <v>187</v>
      </c>
      <c r="X1000" s="144"/>
      <c r="Y1000" s="130" t="s">
        <v>228</v>
      </c>
      <c r="Z1000" s="154" t="s">
        <v>187</v>
      </c>
      <c r="AA1000" s="144"/>
      <c r="AB1000" s="130" t="s">
        <v>228</v>
      </c>
      <c r="AC1000" s="154" t="s">
        <v>187</v>
      </c>
      <c r="AD1000" s="144"/>
      <c r="AE1000" s="130" t="s">
        <v>228</v>
      </c>
      <c r="AF1000" s="154" t="s">
        <v>187</v>
      </c>
      <c r="AG1000" s="144"/>
      <c r="AH1000" s="130" t="s">
        <v>228</v>
      </c>
      <c r="AI1000" s="154" t="s">
        <v>187</v>
      </c>
      <c r="AJ1000" s="144"/>
      <c r="AK1000" s="130" t="s">
        <v>228</v>
      </c>
      <c r="AL1000" s="154" t="s">
        <v>187</v>
      </c>
      <c r="AM1000" s="144"/>
      <c r="AN1000" s="130" t="s">
        <v>228</v>
      </c>
      <c r="AO1000" s="154" t="s">
        <v>187</v>
      </c>
      <c r="AP1000" s="144"/>
      <c r="AQ1000" s="130" t="s">
        <v>228</v>
      </c>
      <c r="AR1000" s="154" t="s">
        <v>187</v>
      </c>
      <c r="AS1000" s="144"/>
      <c r="AT1000" s="130" t="s">
        <v>228</v>
      </c>
      <c r="AU1000" s="154" t="s">
        <v>187</v>
      </c>
    </row>
    <row r="1001" spans="13:47" x14ac:dyDescent="0.25">
      <c r="M1001" s="20"/>
      <c r="N1001" s="20"/>
      <c r="O1001" s="7" t="s">
        <v>188</v>
      </c>
      <c r="P1001" s="7"/>
      <c r="Q1001" s="7"/>
      <c r="R1001" s="181">
        <f>P_1_minW-(R999^2*R_up)+dpup_minQ</f>
        <v>100.52198293624156</v>
      </c>
      <c r="S1001" s="132"/>
      <c r="T1001" s="145"/>
      <c r="U1001" s="138">
        <f>P_1_minW-(U999^2*R_up)+dpup_minQ</f>
        <v>100.18305323008792</v>
      </c>
      <c r="V1001" s="132"/>
      <c r="W1001" s="145"/>
      <c r="X1001" s="138">
        <f>P_1_minW-(X999^2*R_up)+dpup_minQ</f>
        <v>98.444868712440041</v>
      </c>
      <c r="Y1001" s="132"/>
      <c r="Z1001" s="145"/>
      <c r="AA1001" s="138">
        <f>P_1_minW-(AA999^2*R_up)+dpup_minQ</f>
        <v>92.639769119676487</v>
      </c>
      <c r="AB1001" s="132"/>
      <c r="AC1001" s="145"/>
      <c r="AD1001" s="138">
        <f>P_1_minW-(AD999^2*R_up)+dpup_minQ</f>
        <v>79.200691668555692</v>
      </c>
      <c r="AE1001" s="132"/>
      <c r="AF1001" s="145"/>
      <c r="AG1001" s="138">
        <f>P_1_minW-(AG999^2*R_up)+dpup_minQ</f>
        <v>58.577487922640316</v>
      </c>
      <c r="AH1001" s="132"/>
      <c r="AI1001" s="145"/>
      <c r="AJ1001" s="138">
        <f>P_1_minW-(AJ999^2*R_up)+dpup_minQ</f>
        <v>32.897482152473273</v>
      </c>
      <c r="AK1001" s="132"/>
      <c r="AL1001" s="145"/>
      <c r="AM1001" s="138">
        <f>P_1_minW-(AM999^2*R_up)+dpup_minQ</f>
        <v>7.542004565781169</v>
      </c>
      <c r="AN1001" s="132"/>
      <c r="AO1001" s="145"/>
      <c r="AP1001" s="138">
        <f>P_1_minW-(AP999^2*R_up)+dpup_minQ</f>
        <v>-15.211867483494899</v>
      </c>
      <c r="AQ1001" s="132"/>
      <c r="AR1001" s="145"/>
      <c r="AS1001" s="138">
        <f>P_1_minW-(AS999^2*R_up)+dpup_minQ</f>
        <v>-43.533972893971921</v>
      </c>
      <c r="AT1001" s="132"/>
      <c r="AU1001" s="145"/>
    </row>
    <row r="1002" spans="13:47" x14ac:dyDescent="0.25">
      <c r="M1002" s="20"/>
      <c r="N1002" s="20"/>
      <c r="O1002" s="7" t="s">
        <v>189</v>
      </c>
      <c r="P1002" s="1"/>
      <c r="Q1002" s="7"/>
      <c r="R1002" s="181">
        <f>P_2_minW+(R999^2*R_dn)-dpdn_minQ</f>
        <v>50</v>
      </c>
      <c r="S1002" s="132"/>
      <c r="T1002" s="146"/>
      <c r="U1002" s="138">
        <f>P_2_minW+(U999^2*R_dn)-dpdn_minQ</f>
        <v>50</v>
      </c>
      <c r="V1002" s="132"/>
      <c r="W1002" s="146"/>
      <c r="X1002" s="138">
        <f>P_2_minW+(X999^2*R_dn)-dpdn_minQ</f>
        <v>50</v>
      </c>
      <c r="Y1002" s="132"/>
      <c r="Z1002" s="146"/>
      <c r="AA1002" s="138">
        <f>P_2_minW+(AA999^2*R_dn)-dpdn_minQ</f>
        <v>50</v>
      </c>
      <c r="AB1002" s="132"/>
      <c r="AC1002" s="146"/>
      <c r="AD1002" s="138">
        <f>P_2_minW+(AD999^2*R_dn)-dpdn_minQ</f>
        <v>50</v>
      </c>
      <c r="AE1002" s="132"/>
      <c r="AF1002" s="146"/>
      <c r="AG1002" s="138">
        <f>P_2_minW+(AG999^2*R_dn)-dpdn_minQ</f>
        <v>50</v>
      </c>
      <c r="AH1002" s="132"/>
      <c r="AI1002" s="146"/>
      <c r="AJ1002" s="138">
        <f>P_2_minW+(AJ999^2*R_dn)-dpdn_minQ</f>
        <v>50</v>
      </c>
      <c r="AK1002" s="132"/>
      <c r="AL1002" s="146"/>
      <c r="AM1002" s="138">
        <f>P_2_minW+(AM999^2*R_dn)-dpdn_minQ</f>
        <v>50</v>
      </c>
      <c r="AN1002" s="132"/>
      <c r="AO1002" s="146"/>
      <c r="AP1002" s="138">
        <f>P_2_minW+(AP999^2*R_dn)-dpdn_minQ</f>
        <v>50</v>
      </c>
      <c r="AQ1002" s="132"/>
      <c r="AR1002" s="146"/>
      <c r="AS1002" s="138">
        <f>P_2_minW+(AS999^2*R_dn)-dpdn_minQ</f>
        <v>50</v>
      </c>
      <c r="AT1002" s="132"/>
      <c r="AU1002" s="146"/>
    </row>
    <row r="1003" spans="13:47" x14ac:dyDescent="0.25">
      <c r="M1003" s="20"/>
      <c r="N1003" s="20"/>
      <c r="O1003" s="7" t="s">
        <v>234</v>
      </c>
      <c r="P1003" s="1"/>
      <c r="Q1003" s="7"/>
      <c r="R1003" s="179">
        <f>'Valve Sizing'!G$8*R1001/P_1_maxW</f>
        <v>0.48490014884845839</v>
      </c>
      <c r="S1003" s="132"/>
      <c r="T1003" s="146"/>
      <c r="U1003" s="143">
        <f>'Valve Sizing'!$G$8*U1001/P_1_maxW</f>
        <v>0.48326521228868813</v>
      </c>
      <c r="V1003" s="132"/>
      <c r="W1003" s="146"/>
      <c r="X1003" s="143">
        <f>'Valve Sizing'!$G$8*X1001/P_1_maxW</f>
        <v>0.47488051964023398</v>
      </c>
      <c r="Y1003" s="132"/>
      <c r="Z1003" s="146"/>
      <c r="AA1003" s="143">
        <f>'Valve Sizing'!$G$8*AA1001/P_1_maxW</f>
        <v>0.44687775273902208</v>
      </c>
      <c r="AB1003" s="132"/>
      <c r="AC1003" s="146"/>
      <c r="AD1003" s="143">
        <f>'Valve Sizing'!$G$8*AD1001/P_1_maxW</f>
        <v>0.38205003579508007</v>
      </c>
      <c r="AE1003" s="132"/>
      <c r="AF1003" s="146"/>
      <c r="AG1003" s="143">
        <f>'Valve Sizing'!$G$8*AG1001/P_1_maxW</f>
        <v>0.2825673726598999</v>
      </c>
      <c r="AH1003" s="132"/>
      <c r="AI1003" s="146"/>
      <c r="AJ1003" s="143">
        <f>'Valve Sizing'!$G$8*AJ1001/P_1_maxW</f>
        <v>0.15869159686783857</v>
      </c>
      <c r="AK1003" s="132"/>
      <c r="AL1003" s="146"/>
      <c r="AM1003" s="143">
        <f>'Valve Sizing'!$G$8*AM1001/P_1_maxW</f>
        <v>3.6381287254178579E-2</v>
      </c>
      <c r="AN1003" s="132"/>
      <c r="AO1003" s="146"/>
      <c r="AP1003" s="143">
        <f>'Valve Sizing'!$G$8*AP1001/P_1_maxW</f>
        <v>-7.3379340434303345E-2</v>
      </c>
      <c r="AQ1003" s="132"/>
      <c r="AR1003" s="146"/>
      <c r="AS1003" s="143">
        <f>'Valve Sizing'!$G$8*AS1001/P_1_maxW</f>
        <v>-0.21000013449437244</v>
      </c>
      <c r="AT1003" s="132"/>
      <c r="AU1003" s="146"/>
    </row>
    <row r="1004" spans="13:47" x14ac:dyDescent="0.25">
      <c r="M1004" s="20"/>
      <c r="N1004" s="20"/>
      <c r="O1004" s="7" t="s">
        <v>190</v>
      </c>
      <c r="P1004" s="1"/>
      <c r="Q1004" s="7"/>
      <c r="R1004" s="181">
        <f>R1001-R1002</f>
        <v>50.521982936241557</v>
      </c>
      <c r="S1004" s="132"/>
      <c r="T1004" s="146"/>
      <c r="U1004" s="138">
        <f>U1001-U1002</f>
        <v>50.183053230087921</v>
      </c>
      <c r="V1004" s="132"/>
      <c r="W1004" s="146"/>
      <c r="X1004" s="138">
        <f>X1001-X1002</f>
        <v>48.444868712440041</v>
      </c>
      <c r="Y1004" s="132"/>
      <c r="Z1004" s="146"/>
      <c r="AA1004" s="138">
        <f>AA1001-AA1002</f>
        <v>42.639769119676487</v>
      </c>
      <c r="AB1004" s="132"/>
      <c r="AC1004" s="146"/>
      <c r="AD1004" s="138">
        <f>AD1001-AD1002</f>
        <v>29.200691668555692</v>
      </c>
      <c r="AE1004" s="132"/>
      <c r="AF1004" s="146"/>
      <c r="AG1004" s="138">
        <f>AG1001-AG1002</f>
        <v>8.5774879226403158</v>
      </c>
      <c r="AH1004" s="132"/>
      <c r="AI1004" s="146"/>
      <c r="AJ1004" s="138">
        <f>AJ1001-AJ1002</f>
        <v>-17.102517847526727</v>
      </c>
      <c r="AK1004" s="132"/>
      <c r="AL1004" s="146"/>
      <c r="AM1004" s="138">
        <f>AM1001-AM1002</f>
        <v>-42.45799543421883</v>
      </c>
      <c r="AN1004" s="132"/>
      <c r="AO1004" s="146"/>
      <c r="AP1004" s="138">
        <f>AP1001-AP1002</f>
        <v>-65.211867483494899</v>
      </c>
      <c r="AQ1004" s="132"/>
      <c r="AR1004" s="146"/>
      <c r="AS1004" s="138">
        <f>AS1001-AS1002</f>
        <v>-93.533972893971921</v>
      </c>
      <c r="AT1004" s="132"/>
      <c r="AU1004" s="146"/>
    </row>
    <row r="1005" spans="13:47" ht="14.5" x14ac:dyDescent="0.35">
      <c r="M1005" s="27"/>
      <c r="N1005" s="27"/>
      <c r="O1005" s="2" t="s">
        <v>191</v>
      </c>
      <c r="P1005" s="10"/>
      <c r="Q1005" s="2"/>
      <c r="R1005" s="181">
        <f>R1004/R1001</f>
        <v>0.5025963621140096</v>
      </c>
      <c r="S1005" s="132"/>
      <c r="T1005" s="146"/>
      <c r="U1005" s="138">
        <f>U1004/U1001</f>
        <v>0.50091359378750167</v>
      </c>
      <c r="V1005" s="132"/>
      <c r="W1005" s="146"/>
      <c r="X1005" s="138">
        <f>X1004/X1001</f>
        <v>0.4921015116993932</v>
      </c>
      <c r="Y1005" s="132"/>
      <c r="Z1005" s="146"/>
      <c r="AA1005" s="138">
        <f>AA1004/AA1001</f>
        <v>0.46027499339503308</v>
      </c>
      <c r="AB1005" s="132"/>
      <c r="AC1005" s="146"/>
      <c r="AD1005" s="138">
        <f>AD1004/AD1001</f>
        <v>0.36869238201550919</v>
      </c>
      <c r="AE1005" s="132"/>
      <c r="AF1005" s="146"/>
      <c r="AG1005" s="138">
        <f>AG1004/AG1001</f>
        <v>0.14642976725065568</v>
      </c>
      <c r="AH1005" s="132"/>
      <c r="AI1005" s="146"/>
      <c r="AJ1005" s="138">
        <f>AJ1004/AJ1001</f>
        <v>-0.51987315528464961</v>
      </c>
      <c r="AK1005" s="132"/>
      <c r="AL1005" s="146"/>
      <c r="AM1005" s="138">
        <f>AM1004/AM1001</f>
        <v>-5.6295372223526634</v>
      </c>
      <c r="AN1005" s="132"/>
      <c r="AO1005" s="146"/>
      <c r="AP1005" s="138">
        <f>AP1004/AP1001</f>
        <v>4.286907413192413</v>
      </c>
      <c r="AQ1005" s="132"/>
      <c r="AR1005" s="146"/>
      <c r="AS1005" s="138">
        <f>AS1004/AS1001</f>
        <v>2.1485283027528008</v>
      </c>
      <c r="AT1005" s="132"/>
      <c r="AU1005" s="146"/>
    </row>
    <row r="1006" spans="13:47" x14ac:dyDescent="0.25">
      <c r="M1006" s="27"/>
      <c r="N1006" s="27"/>
      <c r="O1006" s="2" t="s">
        <v>26</v>
      </c>
      <c r="P1006" s="7">
        <v>12</v>
      </c>
      <c r="Q1006" s="2"/>
      <c r="R1006" s="181">
        <f>1-R1005/(3*F_GAMMA*R$29)</f>
        <v>0.7382420552946467</v>
      </c>
      <c r="S1006" s="133"/>
      <c r="T1006" s="146"/>
      <c r="U1006" s="138">
        <f>1-U1005/(3*F_GAMMA*U$29)</f>
        <v>0.739175899940682</v>
      </c>
      <c r="V1006" s="133"/>
      <c r="W1006" s="146"/>
      <c r="X1006" s="138">
        <f>1-X1005/(3*F_GAMMA*X$29)</f>
        <v>0.73992037983566017</v>
      </c>
      <c r="Y1006" s="133"/>
      <c r="Z1006" s="146"/>
      <c r="AA1006" s="138">
        <f>1-AA1005/(3*F_GAMMA*AA$29)</f>
        <v>0.75340553151641321</v>
      </c>
      <c r="AB1006" s="133"/>
      <c r="AC1006" s="146"/>
      <c r="AD1006" s="138">
        <f>1-AD1005/(3*F_GAMMA*AD$29)</f>
        <v>0.79705552572423444</v>
      </c>
      <c r="AE1006" s="133"/>
      <c r="AF1006" s="146"/>
      <c r="AG1006" s="138">
        <f>1-AG1005/(3*F_GAMMA*AG$29)</f>
        <v>0.91480099761824296</v>
      </c>
      <c r="AH1006" s="133"/>
      <c r="AI1006" s="146"/>
      <c r="AJ1006" s="138">
        <f>1-AJ1005/(3*F_GAMMA*AJ$29)</f>
        <v>1.3233595877426154</v>
      </c>
      <c r="AK1006" s="133"/>
      <c r="AL1006" s="146"/>
      <c r="AM1006" s="138">
        <f>1-AM1005/(3*F_GAMMA*AM$29)</f>
        <v>4.8258057243409329</v>
      </c>
      <c r="AN1006" s="133"/>
      <c r="AO1006" s="146"/>
      <c r="AP1006" s="138">
        <f>1-AP1005/(3*F_GAMMA*AP$29)</f>
        <v>-1.4075777853355063</v>
      </c>
      <c r="AQ1006" s="133"/>
      <c r="AR1006" s="146"/>
      <c r="AS1006" s="138">
        <f>1-AS1005/(3*F_GAMMA*AS$29)</f>
        <v>-0.83178261689540367</v>
      </c>
      <c r="AT1006" s="133"/>
      <c r="AU1006" s="146"/>
    </row>
    <row r="1007" spans="13:47" x14ac:dyDescent="0.25">
      <c r="M1007" s="27"/>
      <c r="N1007" s="27"/>
      <c r="O1007" s="2" t="s">
        <v>71</v>
      </c>
      <c r="P1007" s="85">
        <v>5</v>
      </c>
      <c r="Q1007" s="2"/>
      <c r="R1007" s="179">
        <f>R999/((N_6*R$27*R1006)*SQRT(R1005*R1001*R1003))</f>
        <v>0.19413326257498961</v>
      </c>
      <c r="S1007" s="133"/>
      <c r="T1007" s="146"/>
      <c r="U1007" s="143">
        <f>U999/((N_6*U$27*U1006)*SQRT(U1005*U1001*U1003))</f>
        <v>4.0087687460745869</v>
      </c>
      <c r="V1007" s="133"/>
      <c r="W1007" s="146"/>
      <c r="X1007" s="143">
        <f>X999/((N_6*X$27*X1006)*SQRT(X1005*X1001*X1003))</f>
        <v>10.191438531254589</v>
      </c>
      <c r="Y1007" s="133"/>
      <c r="Z1007" s="146"/>
      <c r="AA1007" s="143">
        <f>AA999/((N_6*AA$27*AA1006)*SQRT(AA1005*AA1001*AA1003))</f>
        <v>21.544111064721058</v>
      </c>
      <c r="AB1007" s="133"/>
      <c r="AC1007" s="146"/>
      <c r="AD1007" s="143">
        <f>AD999/((N_6*AD$27*AD1006)*SQRT(AD1005*AD1001*AD1003))</f>
        <v>44.292202205028907</v>
      </c>
      <c r="AE1007" s="133"/>
      <c r="AF1007" s="146"/>
      <c r="AG1007" s="143">
        <f>AG999/((N_6*AG$27*AG1006)*SQRT(AG1005*AG1001*AG1003))</f>
        <v>118.63211662379764</v>
      </c>
      <c r="AH1007" s="133"/>
      <c r="AI1007" s="146"/>
      <c r="AJ1007" s="143" t="e">
        <f>AJ999/((N_6*AJ$27*AJ1006)*SQRT(AJ1005*AJ1001*AJ1003))</f>
        <v>#NUM!</v>
      </c>
      <c r="AK1007" s="133"/>
      <c r="AL1007" s="146"/>
      <c r="AM1007" s="143" t="e">
        <f>AM999/((N_6*AM$27*AM1006)*SQRT(AM1005*AM1001*AM1003))</f>
        <v>#NUM!</v>
      </c>
      <c r="AN1007" s="133"/>
      <c r="AO1007" s="146"/>
      <c r="AP1007" s="143">
        <f>AP999/((N_6*AP$27*AP1006)*SQRT(AP1005*AP1001*AP1003))</f>
        <v>-113.66725014656394</v>
      </c>
      <c r="AQ1007" s="133"/>
      <c r="AR1007" s="146"/>
      <c r="AS1007" s="143">
        <f>AS999/((N_6*AS$27*AS1006)*SQRT(AS1005*AS1001*AS1003))</f>
        <v>-139.17979463136822</v>
      </c>
      <c r="AT1007" s="133"/>
      <c r="AU1007" s="146"/>
    </row>
    <row r="1008" spans="13:47" x14ac:dyDescent="0.25">
      <c r="M1008" s="27"/>
      <c r="N1008" s="27"/>
      <c r="O1008" s="2" t="s">
        <v>73</v>
      </c>
      <c r="P1008" s="85">
        <v>5</v>
      </c>
      <c r="Q1008" s="2"/>
      <c r="R1008" s="179">
        <f>R999/((N_6*R$27*0.667)*SQRT(R1009*R1001*R1003))</f>
        <v>0.19040724297411307</v>
      </c>
      <c r="S1008" s="133"/>
      <c r="T1008" s="147"/>
      <c r="U1008" s="143">
        <f>U999/((N_6*U$27*0.667)*SQRT(U1009*U1001*U1003))</f>
        <v>3.9297729124726546</v>
      </c>
      <c r="V1008" s="133"/>
      <c r="W1008" s="155"/>
      <c r="X1008" s="143">
        <f>X999/((N_6*X$27*0.667)*SQRT(X1009*X1001*X1003))</f>
        <v>9.9863879472610382</v>
      </c>
      <c r="Y1008" s="133"/>
      <c r="Z1008" s="155"/>
      <c r="AA1008" s="143">
        <f>AA999/((N_6*AA$27*0.667)*SQRT(AA1009*AA1001*AA1003))</f>
        <v>20.930704310392432</v>
      </c>
      <c r="AB1008" s="133"/>
      <c r="AC1008" s="155"/>
      <c r="AD1008" s="143">
        <f>AD999/((N_6*AD$27*0.667)*SQRT(AD1009*AD1001*AD1003))</f>
        <v>41.298973739923596</v>
      </c>
      <c r="AE1008" s="133"/>
      <c r="AF1008" s="155"/>
      <c r="AG1008" s="143">
        <f>AG999/((N_6*AG$27*0.667)*SQRT(AG1009*AG1001*AG1003))</f>
        <v>82.258532401337973</v>
      </c>
      <c r="AH1008" s="133"/>
      <c r="AI1008" s="155"/>
      <c r="AJ1008" s="143">
        <f>AJ999/((N_6*AJ$27*0.667)*SQRT(AJ1009*AJ1001*AJ1003))</f>
        <v>198.89011228250317</v>
      </c>
      <c r="AK1008" s="133"/>
      <c r="AL1008" s="155"/>
      <c r="AM1008" s="143">
        <f>AM999/((N_6*AM$27*0.667)*SQRT(AM1009*AM1001*AM1003))</f>
        <v>1128.6160445651585</v>
      </c>
      <c r="AN1008" s="133"/>
      <c r="AO1008" s="155"/>
      <c r="AP1008" s="143">
        <f>AP999/((N_6*AP$27*0.667)*SQRT(AP1009*AP1001*AP1003))</f>
        <v>644.6629554520099</v>
      </c>
      <c r="AQ1008" s="133"/>
      <c r="AR1008" s="155"/>
      <c r="AS1008" s="143">
        <f>AS999/((N_6*AS$27*0.667)*SQRT(AS1009*AS1001*AS1003))</f>
        <v>406.87198847614548</v>
      </c>
      <c r="AT1008" s="133"/>
      <c r="AU1008" s="155"/>
    </row>
    <row r="1009" spans="13:47" ht="15.5" x14ac:dyDescent="0.4">
      <c r="M1009" s="27"/>
      <c r="N1009" s="27"/>
      <c r="O1009" s="2" t="s">
        <v>192</v>
      </c>
      <c r="P1009" s="85">
        <v>10</v>
      </c>
      <c r="Q1009" s="2"/>
      <c r="R1009" s="181">
        <f>F_GAMMA*R$29</f>
        <v>0.64002688015162901</v>
      </c>
      <c r="S1009" s="133"/>
      <c r="T1009" s="147"/>
      <c r="U1009" s="138">
        <f>F_GAMMA*U$29</f>
        <v>0.64016782916606918</v>
      </c>
      <c r="V1009" s="133"/>
      <c r="W1009" s="155"/>
      <c r="X1009" s="138">
        <f>F_GAMMA*X$29</f>
        <v>0.6307062319203669</v>
      </c>
      <c r="Y1009" s="133"/>
      <c r="Z1009" s="155"/>
      <c r="AA1009" s="138">
        <f>F_GAMMA*AA$29</f>
        <v>0.62217534213893466</v>
      </c>
      <c r="AB1009" s="133"/>
      <c r="AC1009" s="155"/>
      <c r="AD1009" s="138">
        <f>F_GAMMA*AD$29</f>
        <v>0.60557184969146072</v>
      </c>
      <c r="AE1009" s="133"/>
      <c r="AF1009" s="155"/>
      <c r="AG1009" s="138">
        <f>F_GAMMA*AG$29</f>
        <v>0.57289312142622573</v>
      </c>
      <c r="AH1009" s="133"/>
      <c r="AI1009" s="155"/>
      <c r="AJ1009" s="138">
        <f>F_GAMMA*AJ$29</f>
        <v>0.53590819116049981</v>
      </c>
      <c r="AK1009" s="133"/>
      <c r="AL1009" s="155"/>
      <c r="AM1009" s="138">
        <f>F_GAMMA*AM$29</f>
        <v>0.49048815926850342</v>
      </c>
      <c r="AN1009" s="133"/>
      <c r="AO1009" s="155"/>
      <c r="AP1009" s="138">
        <f>F_GAMMA*AP$29</f>
        <v>0.59352979016280105</v>
      </c>
      <c r="AQ1009" s="133"/>
      <c r="AR1009" s="155"/>
      <c r="AS1009" s="138">
        <f>F_GAMMA*AS$29</f>
        <v>0.39097221161068291</v>
      </c>
      <c r="AT1009" s="133"/>
      <c r="AU1009" s="155"/>
    </row>
    <row r="1010" spans="13:47" x14ac:dyDescent="0.25">
      <c r="M1010" s="27"/>
      <c r="N1010" s="27"/>
      <c r="O1010" s="2" t="s">
        <v>193</v>
      </c>
      <c r="P1010" s="134"/>
      <c r="Q1010" s="2"/>
      <c r="R1010" s="181">
        <f>IF(R1005&lt;R1009,R1007,R1008)</f>
        <v>0.19413326257498961</v>
      </c>
      <c r="S1010" s="133"/>
      <c r="T1010" s="147"/>
      <c r="U1010" s="138">
        <f>IF(U1005&lt;U1009,U1007,U1008)</f>
        <v>4.0087687460745869</v>
      </c>
      <c r="V1010" s="133"/>
      <c r="W1010" s="155"/>
      <c r="X1010" s="138">
        <f>IF(X1005&lt;X1009,X1007,X1008)</f>
        <v>10.191438531254589</v>
      </c>
      <c r="Y1010" s="133"/>
      <c r="Z1010" s="155"/>
      <c r="AA1010" s="138">
        <f>IF(AA1005&lt;AA1009,AA1007,AA1008)</f>
        <v>21.544111064721058</v>
      </c>
      <c r="AB1010" s="133"/>
      <c r="AC1010" s="155"/>
      <c r="AD1010" s="138">
        <f>IF(AD1005&lt;AD1009,AD1007,AD1008)</f>
        <v>44.292202205028907</v>
      </c>
      <c r="AE1010" s="133"/>
      <c r="AF1010" s="155"/>
      <c r="AG1010" s="138">
        <f>IF(AG1005&lt;AG1009,AG1007,AG1008)</f>
        <v>118.63211662379764</v>
      </c>
      <c r="AH1010" s="133"/>
      <c r="AI1010" s="155"/>
      <c r="AJ1010" s="138" t="e">
        <f>IF(AJ1005&lt;AJ1009,AJ1007,AJ1008)</f>
        <v>#NUM!</v>
      </c>
      <c r="AK1010" s="133"/>
      <c r="AL1010" s="155"/>
      <c r="AM1010" s="138" t="e">
        <f>IF(AM1005&lt;AM1009,AM1007,AM1008)</f>
        <v>#NUM!</v>
      </c>
      <c r="AN1010" s="133"/>
      <c r="AO1010" s="155"/>
      <c r="AP1010" s="138">
        <f>IF(AP1005&lt;AP1009,AP1007,AP1008)</f>
        <v>644.6629554520099</v>
      </c>
      <c r="AQ1010" s="133"/>
      <c r="AR1010" s="155"/>
      <c r="AS1010" s="138">
        <f>IF(AS1005&lt;AS1009,AS1007,AS1008)</f>
        <v>406.87198847614548</v>
      </c>
      <c r="AT1010" s="133"/>
      <c r="AU1010" s="155"/>
    </row>
    <row r="1011" spans="13:47" ht="13" x14ac:dyDescent="0.3">
      <c r="M1011" s="28"/>
      <c r="N1011" s="28"/>
      <c r="O1011" s="9" t="s">
        <v>194</v>
      </c>
      <c r="P1011" s="1"/>
      <c r="Q1011" s="1"/>
      <c r="R1011" s="135"/>
      <c r="S1011" s="132">
        <f>IF(R1004&lt;=0,W_max,ABS(R$23-R1010))</f>
        <v>1.8058667374250104</v>
      </c>
      <c r="T1011" s="151">
        <f>R999</f>
        <v>44.897001619230039</v>
      </c>
      <c r="U1011" s="135"/>
      <c r="V1011" s="132">
        <f>IF(U1004&lt;=0,W_max,ABS(U$23-U1010))</f>
        <v>0.99123125392541311</v>
      </c>
      <c r="W1011" s="151">
        <f>U999</f>
        <v>923.02273261766868</v>
      </c>
      <c r="X1011" s="135"/>
      <c r="Y1011" s="132">
        <f>IF(X1004&lt;=0,W_max,ABS(X$23-X1010))</f>
        <v>0.19143853125458854</v>
      </c>
      <c r="Z1011" s="151">
        <f>X999</f>
        <v>2282.7450587562626</v>
      </c>
      <c r="AA1011" s="135"/>
      <c r="AB1011" s="132">
        <f>IF(AA1004&lt;=0,W_max,ABS(AA$23-AA1010))</f>
        <v>4.3441110647210586</v>
      </c>
      <c r="AC1011" s="151">
        <f>AA999</f>
        <v>4446.2047142511165</v>
      </c>
      <c r="AD1011" s="135"/>
      <c r="AE1011" s="132">
        <f>IF(AD1004&lt;=0,W_max,ABS(AD$23-AD1010))</f>
        <v>17.692202205028906</v>
      </c>
      <c r="AF1011" s="151">
        <f>AD999</f>
        <v>7312.3697594896712</v>
      </c>
      <c r="AG1011" s="135"/>
      <c r="AH1011" s="132">
        <f>IF(AG1004&lt;=0,W_max,ABS(AG$23-AG1010))</f>
        <v>80.232116623797651</v>
      </c>
      <c r="AI1011" s="151">
        <f>AG999</f>
        <v>10256.161539022545</v>
      </c>
      <c r="AJ1011" s="135"/>
      <c r="AK1011" s="132">
        <f>IF(AJ1004&lt;=0,W_max,ABS(AJ$23-AJ1010))</f>
        <v>7174</v>
      </c>
      <c r="AL1011" s="151">
        <f>AJ999</f>
        <v>13022.603667037331</v>
      </c>
      <c r="AM1011" s="135"/>
      <c r="AN1011" s="132">
        <f>IF(AM1004&lt;=0,W_max,ABS(AM$23-AM1010))</f>
        <v>7174</v>
      </c>
      <c r="AO1011" s="151">
        <f>AM999</f>
        <v>15270.026961273021</v>
      </c>
      <c r="AP1011" s="135"/>
      <c r="AQ1011" s="132">
        <f>IF(AP1004&lt;=0,W_max,ABS(AP$23-AP1010))</f>
        <v>7174</v>
      </c>
      <c r="AR1011" s="151">
        <f>AP999</f>
        <v>17036.285733418281</v>
      </c>
      <c r="AS1011" s="135"/>
      <c r="AT1011" s="132">
        <f>IF(AS1004&lt;=0,W_max,ABS(AS$23-AS1010))</f>
        <v>7174</v>
      </c>
      <c r="AU1011" s="151">
        <f>AS999</f>
        <v>19006.844737520689</v>
      </c>
    </row>
    <row r="1012" spans="13:47" ht="13" x14ac:dyDescent="0.25">
      <c r="M1012" s="12"/>
      <c r="N1012" s="12"/>
      <c r="O1012" s="12"/>
      <c r="P1012" s="12"/>
      <c r="Q1012" s="12"/>
      <c r="R1012" s="182"/>
      <c r="S1012" s="22"/>
      <c r="T1012" s="152"/>
      <c r="U1012" s="157"/>
      <c r="V1012" s="1"/>
      <c r="W1012" s="147"/>
      <c r="X1012" s="157"/>
      <c r="Y1012" s="1"/>
      <c r="Z1012" s="147"/>
      <c r="AA1012" s="157"/>
      <c r="AB1012" s="1"/>
      <c r="AC1012" s="147"/>
      <c r="AD1012" s="157"/>
      <c r="AE1012" s="1"/>
      <c r="AF1012" s="147"/>
      <c r="AG1012" s="157"/>
      <c r="AH1012" s="1"/>
      <c r="AI1012" s="147"/>
      <c r="AJ1012" s="157"/>
      <c r="AK1012" s="1"/>
      <c r="AL1012" s="147"/>
      <c r="AM1012" s="157"/>
      <c r="AN1012" s="1"/>
      <c r="AO1012" s="147"/>
      <c r="AP1012" s="157"/>
      <c r="AQ1012" s="1"/>
      <c r="AR1012" s="147"/>
      <c r="AS1012" s="157"/>
      <c r="AT1012" s="1"/>
      <c r="AU1012" s="147"/>
    </row>
    <row r="1013" spans="13:47" ht="14" x14ac:dyDescent="0.3">
      <c r="M1013" s="23"/>
      <c r="N1013" s="23"/>
      <c r="O1013" s="23" t="s">
        <v>238</v>
      </c>
      <c r="P1013" s="20"/>
      <c r="Q1013" s="20"/>
      <c r="R1013" s="18">
        <f>R999*1.02</f>
        <v>45.794941651614643</v>
      </c>
      <c r="S1013" s="128" t="s">
        <v>185</v>
      </c>
      <c r="T1013" s="153" t="s">
        <v>186</v>
      </c>
      <c r="U1013" s="143">
        <f>U999*1.01</f>
        <v>932.25295994384533</v>
      </c>
      <c r="V1013" s="128" t="s">
        <v>185</v>
      </c>
      <c r="W1013" s="153" t="s">
        <v>186</v>
      </c>
      <c r="X1013" s="143">
        <f>X999*1.01</f>
        <v>2305.572509343825</v>
      </c>
      <c r="Y1013" s="128" t="s">
        <v>185</v>
      </c>
      <c r="Z1013" s="153" t="s">
        <v>186</v>
      </c>
      <c r="AA1013" s="143">
        <f>AA999*1.01</f>
        <v>4490.6667613936279</v>
      </c>
      <c r="AB1013" s="128" t="s">
        <v>185</v>
      </c>
      <c r="AC1013" s="153" t="s">
        <v>186</v>
      </c>
      <c r="AD1013" s="143">
        <f>AD999*1.01</f>
        <v>7385.493457084568</v>
      </c>
      <c r="AE1013" s="128" t="s">
        <v>185</v>
      </c>
      <c r="AF1013" s="153" t="s">
        <v>186</v>
      </c>
      <c r="AG1013" s="143">
        <f>AG999*1.01</f>
        <v>10358.72315441277</v>
      </c>
      <c r="AH1013" s="128" t="s">
        <v>185</v>
      </c>
      <c r="AI1013" s="153" t="s">
        <v>186</v>
      </c>
      <c r="AJ1013" s="143">
        <f>AJ999*1.01</f>
        <v>13152.829703707705</v>
      </c>
      <c r="AK1013" s="128" t="s">
        <v>185</v>
      </c>
      <c r="AL1013" s="153" t="s">
        <v>186</v>
      </c>
      <c r="AM1013" s="143">
        <f>AM999*1.01</f>
        <v>15422.727230885752</v>
      </c>
      <c r="AN1013" s="128" t="s">
        <v>185</v>
      </c>
      <c r="AO1013" s="153" t="s">
        <v>186</v>
      </c>
      <c r="AP1013" s="143">
        <f>AP999*1.01</f>
        <v>17206.648590752462</v>
      </c>
      <c r="AQ1013" s="128" t="s">
        <v>185</v>
      </c>
      <c r="AR1013" s="153" t="s">
        <v>186</v>
      </c>
      <c r="AS1013" s="143">
        <f>AS999*1.01</f>
        <v>19196.913184895897</v>
      </c>
      <c r="AT1013" s="128" t="s">
        <v>185</v>
      </c>
      <c r="AU1013" s="153" t="s">
        <v>186</v>
      </c>
    </row>
    <row r="1014" spans="13:47" ht="14" x14ac:dyDescent="0.3">
      <c r="M1014" s="12"/>
      <c r="N1014" s="12"/>
      <c r="O1014" s="20"/>
      <c r="P1014" s="20"/>
      <c r="Q1014" s="23"/>
      <c r="R1014" s="139"/>
      <c r="S1014" s="130" t="s">
        <v>228</v>
      </c>
      <c r="T1014" s="154" t="s">
        <v>187</v>
      </c>
      <c r="U1014" s="144"/>
      <c r="V1014" s="130" t="s">
        <v>228</v>
      </c>
      <c r="W1014" s="154" t="s">
        <v>187</v>
      </c>
      <c r="X1014" s="144"/>
      <c r="Y1014" s="130" t="s">
        <v>228</v>
      </c>
      <c r="Z1014" s="154" t="s">
        <v>187</v>
      </c>
      <c r="AA1014" s="144"/>
      <c r="AB1014" s="130" t="s">
        <v>228</v>
      </c>
      <c r="AC1014" s="154" t="s">
        <v>187</v>
      </c>
      <c r="AD1014" s="144"/>
      <c r="AE1014" s="130" t="s">
        <v>228</v>
      </c>
      <c r="AF1014" s="154" t="s">
        <v>187</v>
      </c>
      <c r="AG1014" s="144"/>
      <c r="AH1014" s="130" t="s">
        <v>228</v>
      </c>
      <c r="AI1014" s="154" t="s">
        <v>187</v>
      </c>
      <c r="AJ1014" s="144"/>
      <c r="AK1014" s="130" t="s">
        <v>228</v>
      </c>
      <c r="AL1014" s="154" t="s">
        <v>187</v>
      </c>
      <c r="AM1014" s="144"/>
      <c r="AN1014" s="130" t="s">
        <v>228</v>
      </c>
      <c r="AO1014" s="154" t="s">
        <v>187</v>
      </c>
      <c r="AP1014" s="144"/>
      <c r="AQ1014" s="130" t="s">
        <v>228</v>
      </c>
      <c r="AR1014" s="154" t="s">
        <v>187</v>
      </c>
      <c r="AS1014" s="144"/>
      <c r="AT1014" s="130" t="s">
        <v>228</v>
      </c>
      <c r="AU1014" s="154" t="s">
        <v>187</v>
      </c>
    </row>
    <row r="1015" spans="13:47" x14ac:dyDescent="0.25">
      <c r="M1015" s="20"/>
      <c r="N1015" s="20"/>
      <c r="O1015" s="7" t="s">
        <v>188</v>
      </c>
      <c r="P1015" s="7"/>
      <c r="Q1015" s="7"/>
      <c r="R1015" s="181">
        <f>P_1_minW-(R1013^2*R_up)+dpup_minQ</f>
        <v>100.52195046270195</v>
      </c>
      <c r="S1015" s="132"/>
      <c r="T1015" s="145"/>
      <c r="U1015" s="138">
        <f>P_1_minW-(U1013^2*R_up)+dpup_minQ</f>
        <v>100.17622458660448</v>
      </c>
      <c r="V1015" s="132"/>
      <c r="W1015" s="145"/>
      <c r="X1015" s="138">
        <f>P_1_minW-(X1013^2*R_up)+dpup_minQ</f>
        <v>98.403102560151879</v>
      </c>
      <c r="Y1015" s="132"/>
      <c r="Z1015" s="145"/>
      <c r="AA1015" s="138">
        <f>P_1_minW-(AA1013^2*R_up)+dpup_minQ</f>
        <v>92.481320465573774</v>
      </c>
      <c r="AB1015" s="132"/>
      <c r="AC1015" s="145"/>
      <c r="AD1015" s="138">
        <f>P_1_minW-(AD1013^2*R_up)+dpup_minQ</f>
        <v>78.772117557685448</v>
      </c>
      <c r="AE1015" s="132"/>
      <c r="AF1015" s="145"/>
      <c r="AG1015" s="138">
        <f>P_1_minW-(AG1013^2*R_up)+dpup_minQ</f>
        <v>57.73438741647719</v>
      </c>
      <c r="AH1015" s="132"/>
      <c r="AI1015" s="145"/>
      <c r="AJ1015" s="138">
        <f>P_1_minW-(AJ1013^2*R_up)+dpup_minQ</f>
        <v>31.53821353032977</v>
      </c>
      <c r="AK1015" s="132"/>
      <c r="AL1015" s="145"/>
      <c r="AM1015" s="138">
        <f>P_1_minW-(AM1013^2*R_up)+dpup_minQ</f>
        <v>5.6730908441451495</v>
      </c>
      <c r="AN1015" s="132"/>
      <c r="AO1015" s="145"/>
      <c r="AP1015" s="138">
        <f>P_1_minW-(AP1013^2*R_up)+dpup_minQ</f>
        <v>-17.538134033321342</v>
      </c>
      <c r="AQ1015" s="132"/>
      <c r="AR1015" s="145"/>
      <c r="AS1015" s="138">
        <f>P_1_minW-(AS1013^2*R_up)+dpup_minQ</f>
        <v>-46.429513762548979</v>
      </c>
      <c r="AT1015" s="132"/>
      <c r="AU1015" s="145"/>
    </row>
    <row r="1016" spans="13:47" x14ac:dyDescent="0.25">
      <c r="M1016" s="20"/>
      <c r="N1016" s="20"/>
      <c r="O1016" s="7" t="s">
        <v>189</v>
      </c>
      <c r="P1016" s="1"/>
      <c r="Q1016" s="7"/>
      <c r="R1016" s="181">
        <f>P_2_minW+(R1013^2*R_dn)-dpdn_minQ</f>
        <v>50</v>
      </c>
      <c r="S1016" s="132"/>
      <c r="T1016" s="146"/>
      <c r="U1016" s="138">
        <f>P_2_minW+(U1013^2*R_dn)-dpdn_minQ</f>
        <v>50</v>
      </c>
      <c r="V1016" s="132"/>
      <c r="W1016" s="146"/>
      <c r="X1016" s="138">
        <f>P_2_minW+(X1013^2*R_dn)-dpdn_minQ</f>
        <v>50</v>
      </c>
      <c r="Y1016" s="132"/>
      <c r="Z1016" s="146"/>
      <c r="AA1016" s="138">
        <f>P_2_minW+(AA1013^2*R_dn)-dpdn_minQ</f>
        <v>50</v>
      </c>
      <c r="AB1016" s="132"/>
      <c r="AC1016" s="146"/>
      <c r="AD1016" s="138">
        <f>P_2_minW+(AD1013^2*R_dn)-dpdn_minQ</f>
        <v>50</v>
      </c>
      <c r="AE1016" s="132"/>
      <c r="AF1016" s="146"/>
      <c r="AG1016" s="138">
        <f>P_2_minW+(AG1013^2*R_dn)-dpdn_minQ</f>
        <v>50</v>
      </c>
      <c r="AH1016" s="132"/>
      <c r="AI1016" s="146"/>
      <c r="AJ1016" s="138">
        <f>P_2_minW+(AJ1013^2*R_dn)-dpdn_minQ</f>
        <v>50</v>
      </c>
      <c r="AK1016" s="132"/>
      <c r="AL1016" s="146"/>
      <c r="AM1016" s="138">
        <f>P_2_minW+(AM1013^2*R_dn)-dpdn_minQ</f>
        <v>50</v>
      </c>
      <c r="AN1016" s="132"/>
      <c r="AO1016" s="146"/>
      <c r="AP1016" s="138">
        <f>P_2_minW+(AP1013^2*R_dn)-dpdn_minQ</f>
        <v>50</v>
      </c>
      <c r="AQ1016" s="132"/>
      <c r="AR1016" s="146"/>
      <c r="AS1016" s="138">
        <f>P_2_minW+(AS1013^2*R_dn)-dpdn_minQ</f>
        <v>50</v>
      </c>
      <c r="AT1016" s="132"/>
      <c r="AU1016" s="146"/>
    </row>
    <row r="1017" spans="13:47" x14ac:dyDescent="0.25">
      <c r="M1017" s="20"/>
      <c r="N1017" s="20"/>
      <c r="O1017" s="7" t="s">
        <v>234</v>
      </c>
      <c r="P1017" s="1"/>
      <c r="Q1017" s="7"/>
      <c r="R1017" s="179">
        <f>'Valve Sizing'!G$8*R1015/P_1_maxW</f>
        <v>0.4848999922018849</v>
      </c>
      <c r="S1017" s="132"/>
      <c r="T1017" s="146"/>
      <c r="U1017" s="143">
        <f>'Valve Sizing'!$G$8*U1015/P_1_maxW</f>
        <v>0.48323227212828906</v>
      </c>
      <c r="V1017" s="132"/>
      <c r="W1017" s="146"/>
      <c r="X1017" s="143">
        <f>'Valve Sizing'!$G$8*X1015/P_1_maxW</f>
        <v>0.4746790471576009</v>
      </c>
      <c r="Y1017" s="132"/>
      <c r="Z1017" s="146"/>
      <c r="AA1017" s="143">
        <f>'Valve Sizing'!$G$8*AA1015/P_1_maxW</f>
        <v>0.44611342464167469</v>
      </c>
      <c r="AB1017" s="132"/>
      <c r="AC1017" s="146"/>
      <c r="AD1017" s="143">
        <f>'Valve Sizing'!$G$8*AD1015/P_1_maxW</f>
        <v>0.37998267058715945</v>
      </c>
      <c r="AE1017" s="132"/>
      <c r="AF1017" s="146"/>
      <c r="AG1017" s="143">
        <f>'Valve Sizing'!$G$8*AG1015/P_1_maxW</f>
        <v>0.27850040592296221</v>
      </c>
      <c r="AH1017" s="132"/>
      <c r="AI1017" s="146"/>
      <c r="AJ1017" s="143">
        <f>'Valve Sizing'!$G$8*AJ1015/P_1_maxW</f>
        <v>0.15213472703748038</v>
      </c>
      <c r="AK1017" s="132"/>
      <c r="AL1017" s="146"/>
      <c r="AM1017" s="143">
        <f>'Valve Sizing'!$G$8*AM1015/P_1_maxW</f>
        <v>2.7365980200585793E-2</v>
      </c>
      <c r="AN1017" s="132"/>
      <c r="AO1017" s="146"/>
      <c r="AP1017" s="143">
        <f>'Valve Sizing'!$G$8*AP1015/P_1_maxW</f>
        <v>-8.4600836104434501E-2</v>
      </c>
      <c r="AQ1017" s="132"/>
      <c r="AR1017" s="146"/>
      <c r="AS1017" s="143">
        <f>'Valve Sizing'!$G$8*AS1015/P_1_maxW</f>
        <v>-0.2239677081251111</v>
      </c>
      <c r="AT1017" s="132"/>
      <c r="AU1017" s="146"/>
    </row>
    <row r="1018" spans="13:47" x14ac:dyDescent="0.25">
      <c r="M1018" s="20"/>
      <c r="N1018" s="20"/>
      <c r="O1018" s="7" t="s">
        <v>190</v>
      </c>
      <c r="P1018" s="1"/>
      <c r="Q1018" s="7"/>
      <c r="R1018" s="181">
        <f>R1015-R1016</f>
        <v>50.521950462701952</v>
      </c>
      <c r="S1018" s="132"/>
      <c r="T1018" s="146"/>
      <c r="U1018" s="138">
        <f>U1015-U1016</f>
        <v>50.176224586604476</v>
      </c>
      <c r="V1018" s="132"/>
      <c r="W1018" s="146"/>
      <c r="X1018" s="138">
        <f>X1015-X1016</f>
        <v>48.403102560151879</v>
      </c>
      <c r="Y1018" s="132"/>
      <c r="Z1018" s="146"/>
      <c r="AA1018" s="138">
        <f>AA1015-AA1016</f>
        <v>42.481320465573774</v>
      </c>
      <c r="AB1018" s="132"/>
      <c r="AC1018" s="146"/>
      <c r="AD1018" s="138">
        <f>AD1015-AD1016</f>
        <v>28.772117557685448</v>
      </c>
      <c r="AE1018" s="132"/>
      <c r="AF1018" s="146"/>
      <c r="AG1018" s="138">
        <f>AG1015-AG1016</f>
        <v>7.7343874164771904</v>
      </c>
      <c r="AH1018" s="132"/>
      <c r="AI1018" s="146"/>
      <c r="AJ1018" s="138">
        <f>AJ1015-AJ1016</f>
        <v>-18.46178646967023</v>
      </c>
      <c r="AK1018" s="132"/>
      <c r="AL1018" s="146"/>
      <c r="AM1018" s="138">
        <f>AM1015-AM1016</f>
        <v>-44.32690915585485</v>
      </c>
      <c r="AN1018" s="132"/>
      <c r="AO1018" s="146"/>
      <c r="AP1018" s="138">
        <f>AP1015-AP1016</f>
        <v>-67.538134033321342</v>
      </c>
      <c r="AQ1018" s="132"/>
      <c r="AR1018" s="146"/>
      <c r="AS1018" s="138">
        <f>AS1015-AS1016</f>
        <v>-96.429513762548979</v>
      </c>
      <c r="AT1018" s="132"/>
      <c r="AU1018" s="146"/>
    </row>
    <row r="1019" spans="13:47" ht="14.5" x14ac:dyDescent="0.35">
      <c r="M1019" s="27"/>
      <c r="N1019" s="27"/>
      <c r="O1019" s="2" t="s">
        <v>191</v>
      </c>
      <c r="P1019" s="10"/>
      <c r="Q1019" s="2"/>
      <c r="R1019" s="181">
        <f>R1018/R1015</f>
        <v>0.50259620142814287</v>
      </c>
      <c r="S1019" s="132"/>
      <c r="T1019" s="146"/>
      <c r="U1019" s="138">
        <f>U1018/U1015</f>
        <v>0.50087957290929908</v>
      </c>
      <c r="V1019" s="132"/>
      <c r="W1019" s="146"/>
      <c r="X1019" s="138">
        <f>X1018/X1015</f>
        <v>0.49188593957760646</v>
      </c>
      <c r="Y1019" s="132"/>
      <c r="Z1019" s="146"/>
      <c r="AA1019" s="138">
        <f>AA1018/AA1015</f>
        <v>0.45935028016157564</v>
      </c>
      <c r="AB1019" s="132"/>
      <c r="AC1019" s="146"/>
      <c r="AD1019" s="138">
        <f>AD1018/AD1015</f>
        <v>0.36525763747071288</v>
      </c>
      <c r="AE1019" s="132"/>
      <c r="AF1019" s="146"/>
      <c r="AG1019" s="138">
        <f>AG1018/AG1015</f>
        <v>0.13396500357202756</v>
      </c>
      <c r="AH1019" s="132"/>
      <c r="AI1019" s="146"/>
      <c r="AJ1019" s="138">
        <f>AJ1018/AJ1015</f>
        <v>-0.58537832055439154</v>
      </c>
      <c r="AK1019" s="132"/>
      <c r="AL1019" s="146"/>
      <c r="AM1019" s="138">
        <f>AM1018/AM1015</f>
        <v>-7.8135376946417043</v>
      </c>
      <c r="AN1019" s="132"/>
      <c r="AO1019" s="146"/>
      <c r="AP1019" s="138">
        <f>AP1018/AP1015</f>
        <v>3.8509304299421578</v>
      </c>
      <c r="AQ1019" s="132"/>
      <c r="AR1019" s="146"/>
      <c r="AS1019" s="138">
        <f>AS1018/AS1015</f>
        <v>2.0769012196791743</v>
      </c>
      <c r="AT1019" s="132"/>
      <c r="AU1019" s="146"/>
    </row>
    <row r="1020" spans="13:47" x14ac:dyDescent="0.25">
      <c r="M1020" s="27"/>
      <c r="N1020" s="27"/>
      <c r="O1020" s="2" t="s">
        <v>26</v>
      </c>
      <c r="P1020" s="7">
        <v>12</v>
      </c>
      <c r="Q1020" s="2"/>
      <c r="R1020" s="181">
        <f>1-R1019/(3*F_GAMMA*R$29)</f>
        <v>0.73824213898168745</v>
      </c>
      <c r="S1020" s="133"/>
      <c r="T1020" s="146"/>
      <c r="U1020" s="138">
        <f>1-U1019/(3*F_GAMMA*U$29)</f>
        <v>0.73919361450273513</v>
      </c>
      <c r="V1020" s="133"/>
      <c r="W1020" s="146"/>
      <c r="X1020" s="138">
        <f>1-X1019/(3*F_GAMMA*X$29)</f>
        <v>0.74003431144167919</v>
      </c>
      <c r="Y1020" s="133"/>
      <c r="Z1020" s="146"/>
      <c r="AA1020" s="138">
        <f>1-AA1019/(3*F_GAMMA*AA$29)</f>
        <v>0.75390095093214593</v>
      </c>
      <c r="AB1020" s="133"/>
      <c r="AC1020" s="146"/>
      <c r="AD1020" s="138">
        <f>1-AD1019/(3*F_GAMMA*AD$29)</f>
        <v>0.7989461599220572</v>
      </c>
      <c r="AE1020" s="133"/>
      <c r="AF1020" s="146"/>
      <c r="AG1020" s="138">
        <f>1-AG1019/(3*F_GAMMA*AG$29)</f>
        <v>0.9220535218165884</v>
      </c>
      <c r="AH1020" s="133"/>
      <c r="AI1020" s="146"/>
      <c r="AJ1020" s="138">
        <f>1-AJ1019/(3*F_GAMMA*AJ$29)</f>
        <v>1.3641036096666515</v>
      </c>
      <c r="AK1020" s="133"/>
      <c r="AL1020" s="146"/>
      <c r="AM1020" s="138">
        <f>1-AM1019/(3*F_GAMMA*AM$29)</f>
        <v>6.3100416710667293</v>
      </c>
      <c r="AN1020" s="133"/>
      <c r="AO1020" s="146"/>
      <c r="AP1020" s="138">
        <f>1-AP1019/(3*F_GAMMA*AP$29)</f>
        <v>-1.1627279673616577</v>
      </c>
      <c r="AQ1020" s="133"/>
      <c r="AR1020" s="146"/>
      <c r="AS1020" s="138">
        <f>1-AS1019/(3*F_GAMMA*AS$29)</f>
        <v>-0.7707151198998623</v>
      </c>
      <c r="AT1020" s="133"/>
      <c r="AU1020" s="146"/>
    </row>
    <row r="1021" spans="13:47" x14ac:dyDescent="0.25">
      <c r="M1021" s="27"/>
      <c r="N1021" s="27"/>
      <c r="O1021" s="2" t="s">
        <v>71</v>
      </c>
      <c r="P1021" s="85">
        <v>5</v>
      </c>
      <c r="Q1021" s="2"/>
      <c r="R1021" s="179">
        <f>R1013/((N_6*R$27*R1020)*SQRT(R1019*R1015*R1017))</f>
        <v>0.19801600100231981</v>
      </c>
      <c r="S1021" s="133"/>
      <c r="T1021" s="146"/>
      <c r="U1021" s="143">
        <f>U1013/((N_6*U$27*U1020)*SQRT(U1019*U1015*U1017))</f>
        <v>4.0491729003470471</v>
      </c>
      <c r="V1021" s="133"/>
      <c r="W1021" s="146"/>
      <c r="X1021" s="143">
        <f>X1013/((N_6*X$27*X1020)*SQRT(X1019*X1015*X1017))</f>
        <v>10.298392366711075</v>
      </c>
      <c r="Y1021" s="133"/>
      <c r="Z1021" s="146"/>
      <c r="AA1021" s="143">
        <f>AA1013/((N_6*AA$27*AA1020)*SQRT(AA1019*AA1015*AA1017))</f>
        <v>21.804423361334006</v>
      </c>
      <c r="AB1021" s="133"/>
      <c r="AC1021" s="146"/>
      <c r="AD1021" s="143">
        <f>AD1013/((N_6*AD$27*AD1020)*SQRT(AD1019*AD1015*AD1017))</f>
        <v>45.082562578617704</v>
      </c>
      <c r="AE1021" s="133"/>
      <c r="AF1021" s="146"/>
      <c r="AG1021" s="143">
        <f>AG1013/((N_6*AG$27*AG1020)*SQRT(AG1019*AG1015*AG1017))</f>
        <v>126.09833102583437</v>
      </c>
      <c r="AH1021" s="133"/>
      <c r="AI1021" s="146"/>
      <c r="AJ1021" s="143" t="e">
        <f>AJ1013/((N_6*AJ$27*AJ1020)*SQRT(AJ1019*AJ1015*AJ1017))</f>
        <v>#NUM!</v>
      </c>
      <c r="AK1021" s="133"/>
      <c r="AL1021" s="146"/>
      <c r="AM1021" s="143" t="e">
        <f>AM1013/((N_6*AM$27*AM1020)*SQRT(AM1019*AM1015*AM1017))</f>
        <v>#NUM!</v>
      </c>
      <c r="AN1021" s="133"/>
      <c r="AO1021" s="146"/>
      <c r="AP1021" s="143">
        <f>AP1013/((N_6*AP$27*AP1020)*SQRT(AP1019*AP1015*AP1017))</f>
        <v>-127.18601989226759</v>
      </c>
      <c r="AQ1021" s="133"/>
      <c r="AR1021" s="146"/>
      <c r="AS1021" s="143">
        <f>AS1013/((N_6*AS$27*AS1020)*SQRT(AS1019*AS1015*AS1017))</f>
        <v>-144.68060357646686</v>
      </c>
      <c r="AT1021" s="133"/>
      <c r="AU1021" s="146"/>
    </row>
    <row r="1022" spans="13:47" x14ac:dyDescent="0.25">
      <c r="M1022" s="27"/>
      <c r="N1022" s="27"/>
      <c r="O1022" s="2" t="s">
        <v>73</v>
      </c>
      <c r="P1022" s="85">
        <v>5</v>
      </c>
      <c r="Q1022" s="2"/>
      <c r="R1022" s="179">
        <f>R1013/((N_6*R$27*0.667)*SQRT(R1023*R1015*R1017))</f>
        <v>0.19421545057472864</v>
      </c>
      <c r="S1022" s="133"/>
      <c r="T1022" s="155"/>
      <c r="U1022" s="143">
        <f>U1013/((N_6*U$27*0.667)*SQRT(U1023*U1015*U1017))</f>
        <v>3.9693411984933298</v>
      </c>
      <c r="V1022" s="133"/>
      <c r="W1022" s="155"/>
      <c r="X1022" s="143">
        <f>X1013/((N_6*X$27*0.667)*SQRT(X1023*X1015*X1017))</f>
        <v>10.090532829251375</v>
      </c>
      <c r="Y1022" s="133"/>
      <c r="Z1022" s="155"/>
      <c r="AA1022" s="143">
        <f>AA1013/((N_6*AA$27*0.667)*SQRT(AA1023*AA1015*AA1017))</f>
        <v>21.176230628154364</v>
      </c>
      <c r="AB1022" s="133"/>
      <c r="AC1022" s="155"/>
      <c r="AD1022" s="143">
        <f>AD1013/((N_6*AD$27*0.667)*SQRT(AD1023*AD1015*AD1017))</f>
        <v>41.938905042615332</v>
      </c>
      <c r="AE1022" s="133"/>
      <c r="AF1022" s="155"/>
      <c r="AG1022" s="143">
        <f>AG1013/((N_6*AG$27*0.667)*SQRT(AG1023*AG1015*AG1017))</f>
        <v>84.294358837646428</v>
      </c>
      <c r="AH1022" s="133"/>
      <c r="AI1022" s="155"/>
      <c r="AJ1022" s="143">
        <f>AJ1013/((N_6*AJ$27*0.667)*SQRT(AJ1023*AJ1015*AJ1017))</f>
        <v>209.53671811350458</v>
      </c>
      <c r="AK1022" s="133"/>
      <c r="AL1022" s="155"/>
      <c r="AM1022" s="143">
        <f>AM1013/((N_6*AM$27*0.667)*SQRT(AM1023*AM1015*AM1017))</f>
        <v>1515.4256949028315</v>
      </c>
      <c r="AN1022" s="133"/>
      <c r="AO1022" s="155"/>
      <c r="AP1022" s="143">
        <f>AP1013/((N_6*AP$27*0.667)*SQRT(AP1023*AP1015*AP1017))</f>
        <v>564.74609588081557</v>
      </c>
      <c r="AQ1022" s="133"/>
      <c r="AR1022" s="155"/>
      <c r="AS1022" s="143">
        <f>AS1013/((N_6*AS$27*0.667)*SQRT(AS1023*AS1015*AS1017))</f>
        <v>385.31270756584354</v>
      </c>
      <c r="AT1022" s="133"/>
      <c r="AU1022" s="155"/>
    </row>
    <row r="1023" spans="13:47" ht="15.5" x14ac:dyDescent="0.4">
      <c r="M1023" s="27"/>
      <c r="N1023" s="27"/>
      <c r="O1023" s="2" t="s">
        <v>192</v>
      </c>
      <c r="P1023" s="85">
        <v>10</v>
      </c>
      <c r="Q1023" s="2"/>
      <c r="R1023" s="181">
        <f>F_GAMMA*R$29</f>
        <v>0.64002688015162901</v>
      </c>
      <c r="S1023" s="133"/>
      <c r="T1023" s="155"/>
      <c r="U1023" s="138">
        <f>F_GAMMA*U$29</f>
        <v>0.64016782916606918</v>
      </c>
      <c r="V1023" s="133"/>
      <c r="W1023" s="155"/>
      <c r="X1023" s="138">
        <f>F_GAMMA*X$29</f>
        <v>0.6307062319203669</v>
      </c>
      <c r="Y1023" s="133"/>
      <c r="Z1023" s="155"/>
      <c r="AA1023" s="138">
        <f>F_GAMMA*AA$29</f>
        <v>0.62217534213893466</v>
      </c>
      <c r="AB1023" s="133"/>
      <c r="AC1023" s="155"/>
      <c r="AD1023" s="138">
        <f>F_GAMMA*AD$29</f>
        <v>0.60557184969146072</v>
      </c>
      <c r="AE1023" s="133"/>
      <c r="AF1023" s="155"/>
      <c r="AG1023" s="138">
        <f>F_GAMMA*AG$29</f>
        <v>0.57289312142622573</v>
      </c>
      <c r="AH1023" s="133"/>
      <c r="AI1023" s="155"/>
      <c r="AJ1023" s="138">
        <f>F_GAMMA*AJ$29</f>
        <v>0.53590819116049981</v>
      </c>
      <c r="AK1023" s="133"/>
      <c r="AL1023" s="155"/>
      <c r="AM1023" s="138">
        <f>F_GAMMA*AM$29</f>
        <v>0.49048815926850342</v>
      </c>
      <c r="AN1023" s="133"/>
      <c r="AO1023" s="155"/>
      <c r="AP1023" s="138">
        <f>F_GAMMA*AP$29</f>
        <v>0.59352979016280105</v>
      </c>
      <c r="AQ1023" s="133"/>
      <c r="AR1023" s="155"/>
      <c r="AS1023" s="138">
        <f>F_GAMMA*AS$29</f>
        <v>0.39097221161068291</v>
      </c>
      <c r="AT1023" s="133"/>
      <c r="AU1023" s="155"/>
    </row>
    <row r="1024" spans="13:47" x14ac:dyDescent="0.25">
      <c r="M1024" s="27"/>
      <c r="N1024" s="27"/>
      <c r="O1024" s="2" t="s">
        <v>193</v>
      </c>
      <c r="P1024" s="134"/>
      <c r="Q1024" s="2"/>
      <c r="R1024" s="181">
        <f>IF(R1019&lt;R1023,R1021,R1022)</f>
        <v>0.19801600100231981</v>
      </c>
      <c r="S1024" s="133"/>
      <c r="T1024" s="155"/>
      <c r="U1024" s="138">
        <f>IF(U1019&lt;U1023,U1021,U1022)</f>
        <v>4.0491729003470471</v>
      </c>
      <c r="V1024" s="133"/>
      <c r="W1024" s="155"/>
      <c r="X1024" s="138">
        <f>IF(X1019&lt;X1023,X1021,X1022)</f>
        <v>10.298392366711075</v>
      </c>
      <c r="Y1024" s="133"/>
      <c r="Z1024" s="155"/>
      <c r="AA1024" s="138">
        <f>IF(AA1019&lt;AA1023,AA1021,AA1022)</f>
        <v>21.804423361334006</v>
      </c>
      <c r="AB1024" s="133"/>
      <c r="AC1024" s="155"/>
      <c r="AD1024" s="138">
        <f>IF(AD1019&lt;AD1023,AD1021,AD1022)</f>
        <v>45.082562578617704</v>
      </c>
      <c r="AE1024" s="133"/>
      <c r="AF1024" s="155"/>
      <c r="AG1024" s="138">
        <f>IF(AG1019&lt;AG1023,AG1021,AG1022)</f>
        <v>126.09833102583437</v>
      </c>
      <c r="AH1024" s="133"/>
      <c r="AI1024" s="155"/>
      <c r="AJ1024" s="138" t="e">
        <f>IF(AJ1019&lt;AJ1023,AJ1021,AJ1022)</f>
        <v>#NUM!</v>
      </c>
      <c r="AK1024" s="133"/>
      <c r="AL1024" s="155"/>
      <c r="AM1024" s="138" t="e">
        <f>IF(AM1019&lt;AM1023,AM1021,AM1022)</f>
        <v>#NUM!</v>
      </c>
      <c r="AN1024" s="133"/>
      <c r="AO1024" s="155"/>
      <c r="AP1024" s="138">
        <f>IF(AP1019&lt;AP1023,AP1021,AP1022)</f>
        <v>564.74609588081557</v>
      </c>
      <c r="AQ1024" s="133"/>
      <c r="AR1024" s="155"/>
      <c r="AS1024" s="138">
        <f>IF(AS1019&lt;AS1023,AS1021,AS1022)</f>
        <v>385.31270756584354</v>
      </c>
      <c r="AT1024" s="133"/>
      <c r="AU1024" s="155"/>
    </row>
    <row r="1025" spans="13:47" ht="13" x14ac:dyDescent="0.3">
      <c r="M1025" s="28"/>
      <c r="N1025" s="28"/>
      <c r="O1025" s="9" t="s">
        <v>194</v>
      </c>
      <c r="P1025" s="1"/>
      <c r="Q1025" s="1"/>
      <c r="R1025" s="135"/>
      <c r="S1025" s="132">
        <f>IF(R1018&lt;=0,W_max,ABS(R$23-R1024))</f>
        <v>1.8019839989976802</v>
      </c>
      <c r="T1025" s="151">
        <f>R1013</f>
        <v>45.794941651614643</v>
      </c>
      <c r="U1025" s="135"/>
      <c r="V1025" s="132">
        <f>IF(U1018&lt;=0,W_max,ABS(U$23-U1024))</f>
        <v>0.95082709965295287</v>
      </c>
      <c r="W1025" s="151">
        <f>U1013</f>
        <v>932.25295994384533</v>
      </c>
      <c r="X1025" s="135"/>
      <c r="Y1025" s="132">
        <f>IF(X1018&lt;=0,W_max,ABS(X$23-X1024))</f>
        <v>0.2983923667110755</v>
      </c>
      <c r="Z1025" s="151">
        <f>X1013</f>
        <v>2305.572509343825</v>
      </c>
      <c r="AA1025" s="135"/>
      <c r="AB1025" s="132">
        <f>IF(AA1018&lt;=0,W_max,ABS(AA$23-AA1024))</f>
        <v>4.6044233613340069</v>
      </c>
      <c r="AC1025" s="151">
        <f>AA1013</f>
        <v>4490.6667613936279</v>
      </c>
      <c r="AD1025" s="135"/>
      <c r="AE1025" s="132">
        <f>IF(AD1018&lt;=0,W_max,ABS(AD$23-AD1024))</f>
        <v>18.482562578617703</v>
      </c>
      <c r="AF1025" s="151">
        <f>AD1013</f>
        <v>7385.493457084568</v>
      </c>
      <c r="AG1025" s="135"/>
      <c r="AH1025" s="132">
        <f>IF(AG1018&lt;=0,W_max,ABS(AG$23-AG1024))</f>
        <v>87.698331025834364</v>
      </c>
      <c r="AI1025" s="151">
        <f>AG1013</f>
        <v>10358.72315441277</v>
      </c>
      <c r="AJ1025" s="135"/>
      <c r="AK1025" s="132">
        <f>IF(AJ1018&lt;=0,W_max,ABS(AJ$23-AJ1024))</f>
        <v>7174</v>
      </c>
      <c r="AL1025" s="151">
        <f>AJ1013</f>
        <v>13152.829703707705</v>
      </c>
      <c r="AM1025" s="135"/>
      <c r="AN1025" s="132">
        <f>IF(AM1018&lt;=0,W_max,ABS(AM$23-AM1024))</f>
        <v>7174</v>
      </c>
      <c r="AO1025" s="151">
        <f>AM1013</f>
        <v>15422.727230885752</v>
      </c>
      <c r="AP1025" s="135"/>
      <c r="AQ1025" s="132">
        <f>IF(AP1018&lt;=0,W_max,ABS(AP$23-AP1024))</f>
        <v>7174</v>
      </c>
      <c r="AR1025" s="151">
        <f>AP1013</f>
        <v>17206.648590752462</v>
      </c>
      <c r="AS1025" s="135"/>
      <c r="AT1025" s="132">
        <f>IF(AS1018&lt;=0,W_max,ABS(AS$23-AS1024))</f>
        <v>7174</v>
      </c>
      <c r="AU1025" s="151">
        <f>AS1013</f>
        <v>19196.913184895897</v>
      </c>
    </row>
    <row r="1026" spans="13:47" ht="13" x14ac:dyDescent="0.25">
      <c r="M1026" s="12"/>
      <c r="N1026" s="12"/>
      <c r="O1026" s="2"/>
      <c r="P1026" s="85"/>
      <c r="Q1026" s="2"/>
      <c r="R1026" s="18"/>
      <c r="S1026" s="150"/>
      <c r="T1026" s="152"/>
      <c r="U1026" s="157"/>
      <c r="V1026" s="1"/>
      <c r="W1026" s="147"/>
      <c r="X1026" s="157"/>
      <c r="Y1026" s="1"/>
      <c r="Z1026" s="147"/>
      <c r="AA1026" s="157"/>
      <c r="AB1026" s="1"/>
      <c r="AC1026" s="147"/>
      <c r="AD1026" s="157"/>
      <c r="AE1026" s="1"/>
      <c r="AF1026" s="147"/>
      <c r="AG1026" s="157"/>
      <c r="AH1026" s="1"/>
      <c r="AI1026" s="147"/>
      <c r="AJ1026" s="157"/>
      <c r="AK1026" s="1"/>
      <c r="AL1026" s="147"/>
      <c r="AM1026" s="157"/>
      <c r="AN1026" s="1"/>
      <c r="AO1026" s="147"/>
      <c r="AP1026" s="157"/>
      <c r="AQ1026" s="1"/>
      <c r="AR1026" s="147"/>
      <c r="AS1026" s="157"/>
      <c r="AT1026" s="1"/>
      <c r="AU1026" s="147"/>
    </row>
    <row r="1027" spans="13:47" ht="14" x14ac:dyDescent="0.3">
      <c r="M1027" s="23"/>
      <c r="N1027" s="23"/>
      <c r="O1027" s="23" t="s">
        <v>238</v>
      </c>
      <c r="P1027" s="20"/>
      <c r="Q1027" s="20"/>
      <c r="R1027" s="181">
        <f>R1013*1.02</f>
        <v>46.710840484646937</v>
      </c>
      <c r="S1027" s="128" t="s">
        <v>185</v>
      </c>
      <c r="T1027" s="153" t="s">
        <v>186</v>
      </c>
      <c r="U1027" s="143">
        <f>U1013*1.01</f>
        <v>941.57548954328377</v>
      </c>
      <c r="V1027" s="128" t="s">
        <v>185</v>
      </c>
      <c r="W1027" s="153" t="s">
        <v>186</v>
      </c>
      <c r="X1027" s="143">
        <f>X1013*1.01</f>
        <v>2328.6282344372635</v>
      </c>
      <c r="Y1027" s="128" t="s">
        <v>185</v>
      </c>
      <c r="Z1027" s="153" t="s">
        <v>186</v>
      </c>
      <c r="AA1027" s="143">
        <f>AA1013*1.01</f>
        <v>4535.5734290075643</v>
      </c>
      <c r="AB1027" s="128" t="s">
        <v>185</v>
      </c>
      <c r="AC1027" s="153" t="s">
        <v>186</v>
      </c>
      <c r="AD1027" s="143">
        <f>AD1013*1.01</f>
        <v>7459.3483916554142</v>
      </c>
      <c r="AE1027" s="128" t="s">
        <v>185</v>
      </c>
      <c r="AF1027" s="153" t="s">
        <v>186</v>
      </c>
      <c r="AG1027" s="143">
        <f>AG1013*1.01</f>
        <v>10462.310385956898</v>
      </c>
      <c r="AH1027" s="128" t="s">
        <v>185</v>
      </c>
      <c r="AI1027" s="153" t="s">
        <v>186</v>
      </c>
      <c r="AJ1027" s="143">
        <f>AJ1013*1.01</f>
        <v>13284.358000744782</v>
      </c>
      <c r="AK1027" s="128" t="s">
        <v>185</v>
      </c>
      <c r="AL1027" s="153" t="s">
        <v>186</v>
      </c>
      <c r="AM1027" s="143">
        <f>AM1013*1.01</f>
        <v>15576.954503194609</v>
      </c>
      <c r="AN1027" s="128" t="s">
        <v>185</v>
      </c>
      <c r="AO1027" s="153" t="s">
        <v>186</v>
      </c>
      <c r="AP1027" s="143">
        <f>AP1013*1.01</f>
        <v>17378.715076659988</v>
      </c>
      <c r="AQ1027" s="128" t="s">
        <v>185</v>
      </c>
      <c r="AR1027" s="153" t="s">
        <v>186</v>
      </c>
      <c r="AS1027" s="143">
        <f>AS1013*1.01</f>
        <v>19388.882316744857</v>
      </c>
      <c r="AT1027" s="128" t="s">
        <v>185</v>
      </c>
      <c r="AU1027" s="153" t="s">
        <v>186</v>
      </c>
    </row>
    <row r="1028" spans="13:47" ht="14" x14ac:dyDescent="0.3">
      <c r="M1028" s="12"/>
      <c r="N1028" s="12"/>
      <c r="O1028" s="20"/>
      <c r="P1028" s="20"/>
      <c r="Q1028" s="23"/>
      <c r="R1028" s="139"/>
      <c r="S1028" s="130" t="s">
        <v>228</v>
      </c>
      <c r="T1028" s="154" t="s">
        <v>187</v>
      </c>
      <c r="U1028" s="144"/>
      <c r="V1028" s="130" t="s">
        <v>228</v>
      </c>
      <c r="W1028" s="154" t="s">
        <v>187</v>
      </c>
      <c r="X1028" s="144"/>
      <c r="Y1028" s="130" t="s">
        <v>228</v>
      </c>
      <c r="Z1028" s="154" t="s">
        <v>187</v>
      </c>
      <c r="AA1028" s="144"/>
      <c r="AB1028" s="130" t="s">
        <v>228</v>
      </c>
      <c r="AC1028" s="154" t="s">
        <v>187</v>
      </c>
      <c r="AD1028" s="144"/>
      <c r="AE1028" s="130" t="s">
        <v>228</v>
      </c>
      <c r="AF1028" s="154" t="s">
        <v>187</v>
      </c>
      <c r="AG1028" s="144"/>
      <c r="AH1028" s="130" t="s">
        <v>228</v>
      </c>
      <c r="AI1028" s="154" t="s">
        <v>187</v>
      </c>
      <c r="AJ1028" s="144"/>
      <c r="AK1028" s="130" t="s">
        <v>228</v>
      </c>
      <c r="AL1028" s="154" t="s">
        <v>187</v>
      </c>
      <c r="AM1028" s="144"/>
      <c r="AN1028" s="130" t="s">
        <v>228</v>
      </c>
      <c r="AO1028" s="154" t="s">
        <v>187</v>
      </c>
      <c r="AP1028" s="144"/>
      <c r="AQ1028" s="130" t="s">
        <v>228</v>
      </c>
      <c r="AR1028" s="154" t="s">
        <v>187</v>
      </c>
      <c r="AS1028" s="144"/>
      <c r="AT1028" s="130" t="s">
        <v>228</v>
      </c>
      <c r="AU1028" s="154" t="s">
        <v>187</v>
      </c>
    </row>
    <row r="1029" spans="13:47" x14ac:dyDescent="0.25">
      <c r="M1029" s="20"/>
      <c r="N1029" s="20"/>
      <c r="O1029" s="7" t="s">
        <v>188</v>
      </c>
      <c r="P1029" s="7"/>
      <c r="Q1029" s="7"/>
      <c r="R1029" s="181">
        <f>P_1_minW-(R1027^2*R_up)+dpup_minQ</f>
        <v>100.52191667723135</v>
      </c>
      <c r="S1029" s="132"/>
      <c r="T1029" s="145"/>
      <c r="U1029" s="138">
        <f>P_1_minW-(U1027^2*R_up)+dpup_minQ</f>
        <v>100.16925868738701</v>
      </c>
      <c r="V1029" s="132"/>
      <c r="W1029" s="145"/>
      <c r="X1029" s="138">
        <f>P_1_minW-(X1027^2*R_up)+dpup_minQ</f>
        <v>98.360496908202734</v>
      </c>
      <c r="Y1029" s="132"/>
      <c r="Z1029" s="145"/>
      <c r="AA1029" s="138">
        <f>P_1_minW-(AA1027^2*R_up)+dpup_minQ</f>
        <v>92.31968699352359</v>
      </c>
      <c r="AB1029" s="132"/>
      <c r="AC1029" s="145"/>
      <c r="AD1029" s="138">
        <f>P_1_minW-(AD1027^2*R_up)+dpup_minQ</f>
        <v>78.33492910718671</v>
      </c>
      <c r="AE1029" s="132"/>
      <c r="AF1029" s="145"/>
      <c r="AG1029" s="138">
        <f>P_1_minW-(AG1027^2*R_up)+dpup_minQ</f>
        <v>56.874340590140172</v>
      </c>
      <c r="AH1029" s="132"/>
      <c r="AI1029" s="145"/>
      <c r="AJ1029" s="138">
        <f>P_1_minW-(AJ1027^2*R_up)+dpup_minQ</f>
        <v>30.151623608881195</v>
      </c>
      <c r="AK1029" s="132"/>
      <c r="AL1029" s="145"/>
      <c r="AM1029" s="138">
        <f>P_1_minW-(AM1027^2*R_up)+dpup_minQ</f>
        <v>3.7666119567042666</v>
      </c>
      <c r="AN1029" s="132"/>
      <c r="AO1029" s="145"/>
      <c r="AP1029" s="138">
        <f>P_1_minW-(AP1027^2*R_up)+dpup_minQ</f>
        <v>-19.91115854079932</v>
      </c>
      <c r="AQ1029" s="132"/>
      <c r="AR1029" s="145"/>
      <c r="AS1029" s="138">
        <f>P_1_minW-(AS1027^2*R_up)+dpup_minQ</f>
        <v>-49.383255002584448</v>
      </c>
      <c r="AT1029" s="132"/>
      <c r="AU1029" s="145"/>
    </row>
    <row r="1030" spans="13:47" x14ac:dyDescent="0.25">
      <c r="M1030" s="20"/>
      <c r="N1030" s="20"/>
      <c r="O1030" s="7" t="s">
        <v>189</v>
      </c>
      <c r="P1030" s="1"/>
      <c r="Q1030" s="7"/>
      <c r="R1030" s="181">
        <f>P_2_minW+(R1027^2*R_dn)-dpdn_minQ</f>
        <v>50</v>
      </c>
      <c r="S1030" s="132"/>
      <c r="T1030" s="146"/>
      <c r="U1030" s="138">
        <f>P_2_minW+(U1027^2*R_dn)-dpdn_minQ</f>
        <v>50</v>
      </c>
      <c r="V1030" s="132"/>
      <c r="W1030" s="146"/>
      <c r="X1030" s="138">
        <f>P_2_minW+(X1027^2*R_dn)-dpdn_minQ</f>
        <v>50</v>
      </c>
      <c r="Y1030" s="132"/>
      <c r="Z1030" s="146"/>
      <c r="AA1030" s="138">
        <f>P_2_minW+(AA1027^2*R_dn)-dpdn_minQ</f>
        <v>50</v>
      </c>
      <c r="AB1030" s="132"/>
      <c r="AC1030" s="146"/>
      <c r="AD1030" s="138">
        <f>P_2_minW+(AD1027^2*R_dn)-dpdn_minQ</f>
        <v>50</v>
      </c>
      <c r="AE1030" s="132"/>
      <c r="AF1030" s="146"/>
      <c r="AG1030" s="138">
        <f>P_2_minW+(AG1027^2*R_dn)-dpdn_minQ</f>
        <v>50</v>
      </c>
      <c r="AH1030" s="132"/>
      <c r="AI1030" s="146"/>
      <c r="AJ1030" s="138">
        <f>P_2_minW+(AJ1027^2*R_dn)-dpdn_minQ</f>
        <v>50</v>
      </c>
      <c r="AK1030" s="132"/>
      <c r="AL1030" s="146"/>
      <c r="AM1030" s="138">
        <f>P_2_minW+(AM1027^2*R_dn)-dpdn_minQ</f>
        <v>50</v>
      </c>
      <c r="AN1030" s="132"/>
      <c r="AO1030" s="146"/>
      <c r="AP1030" s="138">
        <f>P_2_minW+(AP1027^2*R_dn)-dpdn_minQ</f>
        <v>50</v>
      </c>
      <c r="AQ1030" s="132"/>
      <c r="AR1030" s="146"/>
      <c r="AS1030" s="138">
        <f>P_2_minW+(AS1027^2*R_dn)-dpdn_minQ</f>
        <v>50</v>
      </c>
      <c r="AT1030" s="132"/>
      <c r="AU1030" s="146"/>
    </row>
    <row r="1031" spans="13:47" x14ac:dyDescent="0.25">
      <c r="M1031" s="20"/>
      <c r="N1031" s="20"/>
      <c r="O1031" s="7" t="s">
        <v>234</v>
      </c>
      <c r="P1031" s="1"/>
      <c r="Q1031" s="7"/>
      <c r="R1031" s="179">
        <f>'Valve Sizing'!G$8*R1029/P_1_maxW</f>
        <v>0.48489982922678987</v>
      </c>
      <c r="S1031" s="132"/>
      <c r="T1031" s="146"/>
      <c r="U1031" s="143">
        <f>'Valve Sizing'!$G$8*U1029/P_1_maxW</f>
        <v>0.48319866987066595</v>
      </c>
      <c r="V1031" s="132"/>
      <c r="W1031" s="146"/>
      <c r="X1031" s="143">
        <f>'Valve Sizing'!$G$8*X1029/P_1_maxW</f>
        <v>0.47447352507806706</v>
      </c>
      <c r="Y1031" s="132"/>
      <c r="Z1031" s="146"/>
      <c r="AA1031" s="143">
        <f>'Valve Sizing'!$G$8*AA1029/P_1_maxW</f>
        <v>0.44533373354957051</v>
      </c>
      <c r="AB1031" s="132"/>
      <c r="AC1031" s="146"/>
      <c r="AD1031" s="143">
        <f>'Valve Sizing'!$G$8*AD1029/P_1_maxW</f>
        <v>0.3778737513385596</v>
      </c>
      <c r="AE1031" s="132"/>
      <c r="AF1031" s="146"/>
      <c r="AG1031" s="143">
        <f>'Valve Sizing'!$G$8*AG1029/P_1_maxW</f>
        <v>0.27435169315461205</v>
      </c>
      <c r="AH1031" s="132"/>
      <c r="AI1031" s="146"/>
      <c r="AJ1031" s="143">
        <f>'Valve Sizing'!$G$8*AJ1029/P_1_maxW</f>
        <v>0.14544606412353206</v>
      </c>
      <c r="AK1031" s="132"/>
      <c r="AL1031" s="146"/>
      <c r="AM1031" s="143">
        <f>'Valve Sizing'!$G$8*AM1029/P_1_maxW</f>
        <v>1.8169465475215894E-2</v>
      </c>
      <c r="AN1031" s="132"/>
      <c r="AO1031" s="146"/>
      <c r="AP1031" s="143">
        <f>'Valve Sizing'!$G$8*AP1029/P_1_maxW</f>
        <v>-9.6047883837535403E-2</v>
      </c>
      <c r="AQ1031" s="132"/>
      <c r="AR1031" s="146"/>
      <c r="AS1031" s="143">
        <f>'Valve Sizing'!$G$8*AS1029/P_1_maxW</f>
        <v>-0.23821602998582767</v>
      </c>
      <c r="AT1031" s="132"/>
      <c r="AU1031" s="146"/>
    </row>
    <row r="1032" spans="13:47" x14ac:dyDescent="0.25">
      <c r="M1032" s="20"/>
      <c r="N1032" s="20"/>
      <c r="O1032" s="7" t="s">
        <v>190</v>
      </c>
      <c r="P1032" s="1"/>
      <c r="Q1032" s="7"/>
      <c r="R1032" s="181">
        <f>R1029-R1030</f>
        <v>50.521916677231346</v>
      </c>
      <c r="S1032" s="132"/>
      <c r="T1032" s="146"/>
      <c r="U1032" s="138">
        <f>U1029-U1030</f>
        <v>50.169258687387014</v>
      </c>
      <c r="V1032" s="132"/>
      <c r="W1032" s="146"/>
      <c r="X1032" s="138">
        <f>X1029-X1030</f>
        <v>48.360496908202734</v>
      </c>
      <c r="Y1032" s="132"/>
      <c r="Z1032" s="146"/>
      <c r="AA1032" s="138">
        <f>AA1029-AA1030</f>
        <v>42.31968699352359</v>
      </c>
      <c r="AB1032" s="132"/>
      <c r="AC1032" s="146"/>
      <c r="AD1032" s="138">
        <f>AD1029-AD1030</f>
        <v>28.33492910718671</v>
      </c>
      <c r="AE1032" s="132"/>
      <c r="AF1032" s="146"/>
      <c r="AG1032" s="138">
        <f>AG1029-AG1030</f>
        <v>6.8743405901401715</v>
      </c>
      <c r="AH1032" s="132"/>
      <c r="AI1032" s="146"/>
      <c r="AJ1032" s="138">
        <f>AJ1029-AJ1030</f>
        <v>-19.848376391118805</v>
      </c>
      <c r="AK1032" s="132"/>
      <c r="AL1032" s="146"/>
      <c r="AM1032" s="138">
        <f>AM1029-AM1030</f>
        <v>-46.233388043295733</v>
      </c>
      <c r="AN1032" s="132"/>
      <c r="AO1032" s="146"/>
      <c r="AP1032" s="138">
        <f>AP1029-AP1030</f>
        <v>-69.91115854079932</v>
      </c>
      <c r="AQ1032" s="132"/>
      <c r="AR1032" s="146"/>
      <c r="AS1032" s="138">
        <f>AS1029-AS1030</f>
        <v>-99.383255002584448</v>
      </c>
      <c r="AT1032" s="132"/>
      <c r="AU1032" s="146"/>
    </row>
    <row r="1033" spans="13:47" ht="14.5" x14ac:dyDescent="0.35">
      <c r="M1033" s="27"/>
      <c r="N1033" s="27"/>
      <c r="O1033" s="2" t="s">
        <v>191</v>
      </c>
      <c r="P1033" s="10"/>
      <c r="Q1033" s="2"/>
      <c r="R1033" s="181">
        <f>R1032/R1029</f>
        <v>0.50259603425045696</v>
      </c>
      <c r="S1033" s="132"/>
      <c r="T1033" s="146"/>
      <c r="U1033" s="138">
        <f>U1032/U1029</f>
        <v>0.5008448634321796</v>
      </c>
      <c r="V1033" s="132"/>
      <c r="W1033" s="146"/>
      <c r="X1033" s="138">
        <f>X1032/X1029</f>
        <v>0.49166584582565004</v>
      </c>
      <c r="Y1033" s="132"/>
      <c r="Z1033" s="146"/>
      <c r="AA1033" s="138">
        <f>AA1032/AA1029</f>
        <v>0.45840370967129035</v>
      </c>
      <c r="AB1033" s="132"/>
      <c r="AC1033" s="146"/>
      <c r="AD1033" s="138">
        <f>AD1032/AD1029</f>
        <v>0.36171513053156218</v>
      </c>
      <c r="AE1033" s="132"/>
      <c r="AF1033" s="146"/>
      <c r="AG1033" s="138">
        <f>AG1032/AG1029</f>
        <v>0.12086892821631973</v>
      </c>
      <c r="AH1033" s="132"/>
      <c r="AI1033" s="146"/>
      <c r="AJ1033" s="138">
        <f>AJ1032/AJ1029</f>
        <v>-0.65828549230338773</v>
      </c>
      <c r="AK1033" s="132"/>
      <c r="AL1033" s="146"/>
      <c r="AM1033" s="138">
        <f>AM1032/AM1029</f>
        <v>-12.274529092651559</v>
      </c>
      <c r="AN1033" s="132"/>
      <c r="AO1033" s="146"/>
      <c r="AP1033" s="138">
        <f>AP1032/AP1029</f>
        <v>3.511154732535859</v>
      </c>
      <c r="AQ1033" s="132"/>
      <c r="AR1033" s="146"/>
      <c r="AS1033" s="138">
        <f>AS1032/AS1029</f>
        <v>2.0124889498957343</v>
      </c>
      <c r="AT1033" s="132"/>
      <c r="AU1033" s="146"/>
    </row>
    <row r="1034" spans="13:47" x14ac:dyDescent="0.25">
      <c r="M1034" s="27"/>
      <c r="N1034" s="27"/>
      <c r="O1034" s="2" t="s">
        <v>26</v>
      </c>
      <c r="P1034" s="7">
        <v>12</v>
      </c>
      <c r="Q1034" s="2"/>
      <c r="R1034" s="181">
        <f>1-R1033/(3*F_GAMMA*R$29)</f>
        <v>0.73824222604974199</v>
      </c>
      <c r="S1034" s="133"/>
      <c r="T1034" s="146"/>
      <c r="U1034" s="138">
        <f>1-U1033/(3*F_GAMMA*U$29)</f>
        <v>0.73921168761603351</v>
      </c>
      <c r="V1034" s="133"/>
      <c r="W1034" s="146"/>
      <c r="X1034" s="138">
        <f>1-X1033/(3*F_GAMMA*X$29)</f>
        <v>0.74015063276573223</v>
      </c>
      <c r="Y1034" s="133"/>
      <c r="Z1034" s="146"/>
      <c r="AA1034" s="138">
        <f>1-AA1033/(3*F_GAMMA*AA$29)</f>
        <v>0.75440808047488395</v>
      </c>
      <c r="AB1034" s="133"/>
      <c r="AC1034" s="146"/>
      <c r="AD1034" s="138">
        <f>1-AD1033/(3*F_GAMMA*AD$29)</f>
        <v>0.80089611127297489</v>
      </c>
      <c r="AE1034" s="133"/>
      <c r="AF1034" s="146"/>
      <c r="AG1034" s="138">
        <f>1-AG1033/(3*F_GAMMA*AG$29)</f>
        <v>0.9296733697230094</v>
      </c>
      <c r="AH1034" s="133"/>
      <c r="AI1034" s="146"/>
      <c r="AJ1034" s="138">
        <f>1-AJ1033/(3*F_GAMMA*AJ$29)</f>
        <v>1.4094516580522758</v>
      </c>
      <c r="AK1034" s="133"/>
      <c r="AL1034" s="146"/>
      <c r="AM1034" s="138">
        <f>1-AM1033/(3*F_GAMMA*AM$29)</f>
        <v>9.3417094179244842</v>
      </c>
      <c r="AN1034" s="133"/>
      <c r="AO1034" s="146"/>
      <c r="AP1034" s="138">
        <f>1-AP1033/(3*F_GAMMA*AP$29)</f>
        <v>-0.97190592661618225</v>
      </c>
      <c r="AQ1034" s="133"/>
      <c r="AR1034" s="146"/>
      <c r="AS1034" s="138">
        <f>1-AS1033/(3*F_GAMMA*AS$29)</f>
        <v>-0.71579879603626284</v>
      </c>
      <c r="AT1034" s="133"/>
      <c r="AU1034" s="146"/>
    </row>
    <row r="1035" spans="13:47" x14ac:dyDescent="0.25">
      <c r="M1035" s="27"/>
      <c r="N1035" s="27"/>
      <c r="O1035" s="2" t="s">
        <v>71</v>
      </c>
      <c r="P1035" s="85">
        <v>5</v>
      </c>
      <c r="Q1035" s="2"/>
      <c r="R1035" s="179">
        <f>R1027/((N_6*R$27*R1034)*SQRT(R1033*R1029*R1031))</f>
        <v>0.20197639867721462</v>
      </c>
      <c r="S1035" s="133"/>
      <c r="T1035" s="146"/>
      <c r="U1035" s="143">
        <f>U1027/((N_6*U$27*U1034)*SQRT(U1033*U1029*U1031))</f>
        <v>4.0899907486323137</v>
      </c>
      <c r="V1035" s="133"/>
      <c r="W1035" s="146"/>
      <c r="X1035" s="143">
        <f>X1027/((N_6*X$27*X1034)*SQRT(X1033*X1029*X1031))</f>
        <v>10.406574818543019</v>
      </c>
      <c r="Y1035" s="133"/>
      <c r="Z1035" s="146"/>
      <c r="AA1035" s="143">
        <f>AA1027/((N_6*AA$27*AA1034)*SQRT(AA1033*AA1029*AA1031))</f>
        <v>22.068944829202838</v>
      </c>
      <c r="AB1035" s="133"/>
      <c r="AC1035" s="146"/>
      <c r="AD1035" s="143">
        <f>AD1027/((N_6*AD$27*AD1034)*SQRT(AD1033*AD1029*AD1031))</f>
        <v>45.899153634993489</v>
      </c>
      <c r="AE1035" s="133"/>
      <c r="AF1035" s="146"/>
      <c r="AG1035" s="143">
        <f>AG1027/((N_6*AG$27*AG1034)*SQRT(AG1033*AG1029*AG1031))</f>
        <v>134.99353949666113</v>
      </c>
      <c r="AH1035" s="133"/>
      <c r="AI1035" s="146"/>
      <c r="AJ1035" s="143" t="e">
        <f>AJ1027/((N_6*AJ$27*AJ1034)*SQRT(AJ1033*AJ1029*AJ1031))</f>
        <v>#NUM!</v>
      </c>
      <c r="AK1035" s="133"/>
      <c r="AL1035" s="146"/>
      <c r="AM1035" s="143" t="e">
        <f>AM1027/((N_6*AM$27*AM1034)*SQRT(AM1033*AM1029*AM1031))</f>
        <v>#NUM!</v>
      </c>
      <c r="AN1035" s="133"/>
      <c r="AO1035" s="146"/>
      <c r="AP1035" s="143">
        <f>AP1027/((N_6*AP$27*AP1034)*SQRT(AP1033*AP1029*AP1031))</f>
        <v>-141.76184129023815</v>
      </c>
      <c r="AQ1035" s="133"/>
      <c r="AR1035" s="146"/>
      <c r="AS1035" s="143">
        <f>AS1027/((N_6*AS$27*AS1034)*SQRT(AS1033*AS1029*AS1031))</f>
        <v>-150.27619593887849</v>
      </c>
      <c r="AT1035" s="133"/>
      <c r="AU1035" s="146"/>
    </row>
    <row r="1036" spans="13:47" x14ac:dyDescent="0.25">
      <c r="M1036" s="27"/>
      <c r="N1036" s="27"/>
      <c r="O1036" s="2" t="s">
        <v>73</v>
      </c>
      <c r="P1036" s="85">
        <v>5</v>
      </c>
      <c r="Q1036" s="2"/>
      <c r="R1036" s="179">
        <f>R1027/((N_6*R$27*0.667)*SQRT(R1037*R1029*R1031))</f>
        <v>0.19809982616765962</v>
      </c>
      <c r="S1036" s="133"/>
      <c r="T1036" s="155"/>
      <c r="U1036" s="143">
        <f>U1027/((N_6*U$27*0.667)*SQRT(U1037*U1029*U1031))</f>
        <v>4.0093134039067237</v>
      </c>
      <c r="V1036" s="133"/>
      <c r="W1036" s="155"/>
      <c r="X1036" s="143">
        <f>X1027/((N_6*X$27*0.667)*SQRT(X1037*X1029*X1031))</f>
        <v>10.195852662153465</v>
      </c>
      <c r="Y1036" s="133"/>
      <c r="Z1036" s="155"/>
      <c r="AA1036" s="143">
        <f>AA1027/((N_6*AA$27*0.667)*SQRT(AA1037*AA1029*AA1031))</f>
        <v>21.425439070474265</v>
      </c>
      <c r="AB1036" s="133"/>
      <c r="AC1036" s="155"/>
      <c r="AD1036" s="143">
        <f>AD1027/((N_6*AD$27*0.667)*SQRT(AD1037*AD1029*AD1031))</f>
        <v>42.594696387284557</v>
      </c>
      <c r="AE1036" s="133"/>
      <c r="AF1036" s="155"/>
      <c r="AG1036" s="143">
        <f>AG1027/((N_6*AG$27*0.667)*SQRT(AG1037*AG1029*AG1031))</f>
        <v>86.424738306503059</v>
      </c>
      <c r="AH1036" s="133"/>
      <c r="AI1036" s="155"/>
      <c r="AJ1036" s="143">
        <f>AJ1027/((N_6*AJ$27*0.667)*SQRT(AJ1037*AJ1029*AJ1031))</f>
        <v>221.36446058332078</v>
      </c>
      <c r="AK1036" s="133"/>
      <c r="AL1036" s="155"/>
      <c r="AM1036" s="143">
        <f>AM1027/((N_6*AM$27*0.667)*SQRT(AM1037*AM1029*AM1031))</f>
        <v>2305.286345100576</v>
      </c>
      <c r="AN1036" s="133"/>
      <c r="AO1036" s="155"/>
      <c r="AP1036" s="143">
        <f>AP1027/((N_6*AP$27*0.667)*SQRT(AP1037*AP1029*AP1031))</f>
        <v>502.41369085068965</v>
      </c>
      <c r="AQ1036" s="133"/>
      <c r="AR1036" s="155"/>
      <c r="AS1036" s="143">
        <f>AS1027/((N_6*AS$27*0.667)*SQRT(AS1037*AS1029*AS1031))</f>
        <v>365.88881138871585</v>
      </c>
      <c r="AT1036" s="133"/>
      <c r="AU1036" s="155"/>
    </row>
    <row r="1037" spans="13:47" ht="15.5" x14ac:dyDescent="0.4">
      <c r="M1037" s="27"/>
      <c r="N1037" s="27"/>
      <c r="O1037" s="2" t="s">
        <v>192</v>
      </c>
      <c r="P1037" s="85">
        <v>10</v>
      </c>
      <c r="Q1037" s="2"/>
      <c r="R1037" s="181">
        <f>F_GAMMA*R$29</f>
        <v>0.64002688015162901</v>
      </c>
      <c r="S1037" s="133"/>
      <c r="T1037" s="155"/>
      <c r="U1037" s="138">
        <f>F_GAMMA*U$29</f>
        <v>0.64016782916606918</v>
      </c>
      <c r="V1037" s="133"/>
      <c r="W1037" s="155"/>
      <c r="X1037" s="138">
        <f>F_GAMMA*X$29</f>
        <v>0.6307062319203669</v>
      </c>
      <c r="Y1037" s="133"/>
      <c r="Z1037" s="155"/>
      <c r="AA1037" s="138">
        <f>F_GAMMA*AA$29</f>
        <v>0.62217534213893466</v>
      </c>
      <c r="AB1037" s="133"/>
      <c r="AC1037" s="155"/>
      <c r="AD1037" s="138">
        <f>F_GAMMA*AD$29</f>
        <v>0.60557184969146072</v>
      </c>
      <c r="AE1037" s="133"/>
      <c r="AF1037" s="155"/>
      <c r="AG1037" s="138">
        <f>F_GAMMA*AG$29</f>
        <v>0.57289312142622573</v>
      </c>
      <c r="AH1037" s="133"/>
      <c r="AI1037" s="155"/>
      <c r="AJ1037" s="138">
        <f>F_GAMMA*AJ$29</f>
        <v>0.53590819116049981</v>
      </c>
      <c r="AK1037" s="133"/>
      <c r="AL1037" s="155"/>
      <c r="AM1037" s="138">
        <f>F_GAMMA*AM$29</f>
        <v>0.49048815926850342</v>
      </c>
      <c r="AN1037" s="133"/>
      <c r="AO1037" s="155"/>
      <c r="AP1037" s="138">
        <f>F_GAMMA*AP$29</f>
        <v>0.59352979016280105</v>
      </c>
      <c r="AQ1037" s="133"/>
      <c r="AR1037" s="155"/>
      <c r="AS1037" s="138">
        <f>F_GAMMA*AS$29</f>
        <v>0.39097221161068291</v>
      </c>
      <c r="AT1037" s="133"/>
      <c r="AU1037" s="155"/>
    </row>
    <row r="1038" spans="13:47" x14ac:dyDescent="0.25">
      <c r="M1038" s="27"/>
      <c r="N1038" s="27"/>
      <c r="O1038" s="2" t="s">
        <v>193</v>
      </c>
      <c r="P1038" s="134"/>
      <c r="Q1038" s="2"/>
      <c r="R1038" s="181">
        <f>IF(R1033&lt;R1037,R1035,R1036)</f>
        <v>0.20197639867721462</v>
      </c>
      <c r="S1038" s="133"/>
      <c r="T1038" s="155"/>
      <c r="U1038" s="138">
        <f>IF(U1033&lt;U1037,U1035,U1036)</f>
        <v>4.0899907486323137</v>
      </c>
      <c r="V1038" s="133"/>
      <c r="W1038" s="155"/>
      <c r="X1038" s="138">
        <f>IF(X1033&lt;X1037,X1035,X1036)</f>
        <v>10.406574818543019</v>
      </c>
      <c r="Y1038" s="133"/>
      <c r="Z1038" s="155"/>
      <c r="AA1038" s="138">
        <f>IF(AA1033&lt;AA1037,AA1035,AA1036)</f>
        <v>22.068944829202838</v>
      </c>
      <c r="AB1038" s="133"/>
      <c r="AC1038" s="155"/>
      <c r="AD1038" s="138">
        <f>IF(AD1033&lt;AD1037,AD1035,AD1036)</f>
        <v>45.899153634993489</v>
      </c>
      <c r="AE1038" s="133"/>
      <c r="AF1038" s="155"/>
      <c r="AG1038" s="138">
        <f>IF(AG1033&lt;AG1037,AG1035,AG1036)</f>
        <v>134.99353949666113</v>
      </c>
      <c r="AH1038" s="133"/>
      <c r="AI1038" s="155"/>
      <c r="AJ1038" s="138" t="e">
        <f>IF(AJ1033&lt;AJ1037,AJ1035,AJ1036)</f>
        <v>#NUM!</v>
      </c>
      <c r="AK1038" s="133"/>
      <c r="AL1038" s="155"/>
      <c r="AM1038" s="138" t="e">
        <f>IF(AM1033&lt;AM1037,AM1035,AM1036)</f>
        <v>#NUM!</v>
      </c>
      <c r="AN1038" s="133"/>
      <c r="AO1038" s="155"/>
      <c r="AP1038" s="138">
        <f>IF(AP1033&lt;AP1037,AP1035,AP1036)</f>
        <v>502.41369085068965</v>
      </c>
      <c r="AQ1038" s="133"/>
      <c r="AR1038" s="155"/>
      <c r="AS1038" s="138">
        <f>IF(AS1033&lt;AS1037,AS1035,AS1036)</f>
        <v>365.88881138871585</v>
      </c>
      <c r="AT1038" s="133"/>
      <c r="AU1038" s="155"/>
    </row>
    <row r="1039" spans="13:47" ht="13" x14ac:dyDescent="0.3">
      <c r="M1039" s="28"/>
      <c r="N1039" s="28"/>
      <c r="O1039" s="9" t="s">
        <v>194</v>
      </c>
      <c r="P1039" s="1"/>
      <c r="Q1039" s="1"/>
      <c r="R1039" s="135"/>
      <c r="S1039" s="132">
        <f>IF(R1032&lt;=0,W_max,ABS(R$23-R1038))</f>
        <v>1.7980236013227855</v>
      </c>
      <c r="T1039" s="151">
        <f>R1027</f>
        <v>46.710840484646937</v>
      </c>
      <c r="U1039" s="135"/>
      <c r="V1039" s="132">
        <f>IF(U1032&lt;=0,W_max,ABS(U$23-U1038))</f>
        <v>0.91000925136768629</v>
      </c>
      <c r="W1039" s="151">
        <f>U1027</f>
        <v>941.57548954328377</v>
      </c>
      <c r="X1039" s="135"/>
      <c r="Y1039" s="132">
        <f>IF(X1032&lt;=0,W_max,ABS(X$23-X1038))</f>
        <v>0.40657481854301913</v>
      </c>
      <c r="Z1039" s="151">
        <f>X1027</f>
        <v>2328.6282344372635</v>
      </c>
      <c r="AA1039" s="135"/>
      <c r="AB1039" s="132">
        <f>IF(AA1032&lt;=0,W_max,ABS(AA$23-AA1038))</f>
        <v>4.8689448292028388</v>
      </c>
      <c r="AC1039" s="151">
        <f>AA1027</f>
        <v>4535.5734290075643</v>
      </c>
      <c r="AD1039" s="135"/>
      <c r="AE1039" s="132">
        <f>IF(AD1032&lt;=0,W_max,ABS(AD$23-AD1038))</f>
        <v>19.299153634993488</v>
      </c>
      <c r="AF1039" s="151">
        <f>AD1027</f>
        <v>7459.3483916554142</v>
      </c>
      <c r="AG1039" s="135"/>
      <c r="AH1039" s="132">
        <f>IF(AG1032&lt;=0,W_max,ABS(AG$23-AG1038))</f>
        <v>96.593539496661123</v>
      </c>
      <c r="AI1039" s="151">
        <f>AG1027</f>
        <v>10462.310385956898</v>
      </c>
      <c r="AJ1039" s="135"/>
      <c r="AK1039" s="132">
        <f>IF(AJ1032&lt;=0,W_max,ABS(AJ$23-AJ1038))</f>
        <v>7174</v>
      </c>
      <c r="AL1039" s="151">
        <f>AJ1027</f>
        <v>13284.358000744782</v>
      </c>
      <c r="AM1039" s="135"/>
      <c r="AN1039" s="132">
        <f>IF(AM1032&lt;=0,W_max,ABS(AM$23-AM1038))</f>
        <v>7174</v>
      </c>
      <c r="AO1039" s="151">
        <f>AM1027</f>
        <v>15576.954503194609</v>
      </c>
      <c r="AP1039" s="135"/>
      <c r="AQ1039" s="132">
        <f>IF(AP1032&lt;=0,W_max,ABS(AP$23-AP1038))</f>
        <v>7174</v>
      </c>
      <c r="AR1039" s="151">
        <f>AP1027</f>
        <v>17378.715076659988</v>
      </c>
      <c r="AS1039" s="135"/>
      <c r="AT1039" s="132">
        <f>IF(AS1032&lt;=0,W_max,ABS(AS$23-AS1038))</f>
        <v>7174</v>
      </c>
      <c r="AU1039" s="151">
        <f>AS1027</f>
        <v>19388.882316744857</v>
      </c>
    </row>
    <row r="1040" spans="13:47" ht="13" x14ac:dyDescent="0.25">
      <c r="M1040" s="12"/>
      <c r="N1040" s="12"/>
      <c r="O1040" s="2"/>
      <c r="P1040" s="85"/>
      <c r="Q1040" s="2"/>
      <c r="R1040" s="18"/>
      <c r="S1040" s="150"/>
      <c r="T1040" s="148"/>
      <c r="U1040" s="157"/>
      <c r="V1040" s="1"/>
      <c r="W1040" s="147"/>
      <c r="X1040" s="157"/>
      <c r="Y1040" s="1"/>
      <c r="Z1040" s="147"/>
      <c r="AA1040" s="157"/>
      <c r="AB1040" s="1"/>
      <c r="AC1040" s="147"/>
      <c r="AD1040" s="157"/>
      <c r="AE1040" s="1"/>
      <c r="AF1040" s="147"/>
      <c r="AG1040" s="157"/>
      <c r="AH1040" s="1"/>
      <c r="AI1040" s="147"/>
      <c r="AJ1040" s="157"/>
      <c r="AK1040" s="1"/>
      <c r="AL1040" s="147"/>
      <c r="AM1040" s="157"/>
      <c r="AN1040" s="1"/>
      <c r="AO1040" s="147"/>
      <c r="AP1040" s="157"/>
      <c r="AQ1040" s="1"/>
      <c r="AR1040" s="147"/>
      <c r="AS1040" s="157"/>
      <c r="AT1040" s="1"/>
      <c r="AU1040" s="147"/>
    </row>
    <row r="1041" spans="13:47" ht="14" x14ac:dyDescent="0.3">
      <c r="M1041" s="23"/>
      <c r="N1041" s="23"/>
      <c r="O1041" s="23" t="s">
        <v>238</v>
      </c>
      <c r="P1041" s="20"/>
      <c r="Q1041" s="20"/>
      <c r="R1041" s="181">
        <f>R1027*1.02</f>
        <v>47.645057294339878</v>
      </c>
      <c r="S1041" s="128" t="s">
        <v>185</v>
      </c>
      <c r="T1041" s="149" t="s">
        <v>186</v>
      </c>
      <c r="U1041" s="143">
        <f>U1027*1.01</f>
        <v>950.99124443871665</v>
      </c>
      <c r="V1041" s="128" t="s">
        <v>185</v>
      </c>
      <c r="W1041" s="153" t="s">
        <v>186</v>
      </c>
      <c r="X1041" s="143">
        <f>X1027*1.01</f>
        <v>2351.9145167816359</v>
      </c>
      <c r="Y1041" s="128" t="s">
        <v>185</v>
      </c>
      <c r="Z1041" s="153" t="s">
        <v>186</v>
      </c>
      <c r="AA1041" s="143">
        <f>AA1027*1.01</f>
        <v>4580.9291632976401</v>
      </c>
      <c r="AB1041" s="128" t="s">
        <v>185</v>
      </c>
      <c r="AC1041" s="153" t="s">
        <v>186</v>
      </c>
      <c r="AD1041" s="143">
        <f>AD1027*1.01</f>
        <v>7533.941875571968</v>
      </c>
      <c r="AE1041" s="128" t="s">
        <v>185</v>
      </c>
      <c r="AF1041" s="153" t="s">
        <v>186</v>
      </c>
      <c r="AG1041" s="143">
        <f>AG1027*1.01</f>
        <v>10566.933489816467</v>
      </c>
      <c r="AH1041" s="128" t="s">
        <v>185</v>
      </c>
      <c r="AI1041" s="153" t="s">
        <v>186</v>
      </c>
      <c r="AJ1041" s="143">
        <f>AJ1027*1.01</f>
        <v>13417.201580752229</v>
      </c>
      <c r="AK1041" s="128" t="s">
        <v>185</v>
      </c>
      <c r="AL1041" s="153" t="s">
        <v>186</v>
      </c>
      <c r="AM1041" s="143">
        <f>AM1027*1.01</f>
        <v>15732.724048226555</v>
      </c>
      <c r="AN1041" s="128" t="s">
        <v>185</v>
      </c>
      <c r="AO1041" s="153" t="s">
        <v>186</v>
      </c>
      <c r="AP1041" s="143">
        <f>AP1027*1.01</f>
        <v>17552.502227426587</v>
      </c>
      <c r="AQ1041" s="128" t="s">
        <v>185</v>
      </c>
      <c r="AR1041" s="153" t="s">
        <v>186</v>
      </c>
      <c r="AS1041" s="143">
        <f>AS1027*1.01</f>
        <v>19582.771139912307</v>
      </c>
      <c r="AT1041" s="128" t="s">
        <v>185</v>
      </c>
      <c r="AU1041" s="153" t="s">
        <v>186</v>
      </c>
    </row>
    <row r="1042" spans="13:47" ht="14" x14ac:dyDescent="0.3">
      <c r="M1042" s="12"/>
      <c r="N1042" s="12"/>
      <c r="O1042" s="20"/>
      <c r="P1042" s="20"/>
      <c r="Q1042" s="23"/>
      <c r="R1042" s="139"/>
      <c r="S1042" s="130" t="s">
        <v>228</v>
      </c>
      <c r="T1042" s="131" t="s">
        <v>187</v>
      </c>
      <c r="U1042" s="144"/>
      <c r="V1042" s="130" t="s">
        <v>228</v>
      </c>
      <c r="W1042" s="154" t="s">
        <v>187</v>
      </c>
      <c r="X1042" s="144"/>
      <c r="Y1042" s="130" t="s">
        <v>228</v>
      </c>
      <c r="Z1042" s="154" t="s">
        <v>187</v>
      </c>
      <c r="AA1042" s="144"/>
      <c r="AB1042" s="130" t="s">
        <v>228</v>
      </c>
      <c r="AC1042" s="154" t="s">
        <v>187</v>
      </c>
      <c r="AD1042" s="144"/>
      <c r="AE1042" s="130" t="s">
        <v>228</v>
      </c>
      <c r="AF1042" s="154" t="s">
        <v>187</v>
      </c>
      <c r="AG1042" s="144"/>
      <c r="AH1042" s="130" t="s">
        <v>228</v>
      </c>
      <c r="AI1042" s="154" t="s">
        <v>187</v>
      </c>
      <c r="AJ1042" s="144"/>
      <c r="AK1042" s="130" t="s">
        <v>228</v>
      </c>
      <c r="AL1042" s="154" t="s">
        <v>187</v>
      </c>
      <c r="AM1042" s="144"/>
      <c r="AN1042" s="130" t="s">
        <v>228</v>
      </c>
      <c r="AO1042" s="154" t="s">
        <v>187</v>
      </c>
      <c r="AP1042" s="144"/>
      <c r="AQ1042" s="130" t="s">
        <v>228</v>
      </c>
      <c r="AR1042" s="154" t="s">
        <v>187</v>
      </c>
      <c r="AS1042" s="144"/>
      <c r="AT1042" s="130" t="s">
        <v>228</v>
      </c>
      <c r="AU1042" s="154" t="s">
        <v>187</v>
      </c>
    </row>
    <row r="1043" spans="13:47" x14ac:dyDescent="0.25">
      <c r="M1043" s="20"/>
      <c r="N1043" s="20"/>
      <c r="O1043" s="7" t="s">
        <v>188</v>
      </c>
      <c r="P1043" s="7"/>
      <c r="Q1043" s="7"/>
      <c r="R1043" s="181">
        <f>P_1_minW-(R1041^2*R_up)+dpup_minQ</f>
        <v>100.52188152682774</v>
      </c>
      <c r="S1043" s="132"/>
      <c r="T1043" s="145"/>
      <c r="U1043" s="138">
        <f>P_1_minW-(U1041^2*R_up)+dpup_minQ</f>
        <v>100.1621527735953</v>
      </c>
      <c r="V1043" s="132"/>
      <c r="W1043" s="145"/>
      <c r="X1043" s="138">
        <f>P_1_minW-(X1041^2*R_up)+dpup_minQ</f>
        <v>98.317034882649395</v>
      </c>
      <c r="Y1043" s="132"/>
      <c r="Z1043" s="145"/>
      <c r="AA1043" s="138">
        <f>P_1_minW-(AA1041^2*R_up)+dpup_minQ</f>
        <v>92.154804688685218</v>
      </c>
      <c r="AB1043" s="132"/>
      <c r="AC1043" s="145"/>
      <c r="AD1043" s="138">
        <f>P_1_minW-(AD1041^2*R_up)+dpup_minQ</f>
        <v>77.88895316883297</v>
      </c>
      <c r="AE1043" s="132"/>
      <c r="AF1043" s="145"/>
      <c r="AG1043" s="138">
        <f>P_1_minW-(AG1041^2*R_up)+dpup_minQ</f>
        <v>55.997006822593782</v>
      </c>
      <c r="AH1043" s="132"/>
      <c r="AI1043" s="145"/>
      <c r="AJ1043" s="138">
        <f>P_1_minW-(AJ1041^2*R_up)+dpup_minQ</f>
        <v>28.737163230011504</v>
      </c>
      <c r="AK1043" s="132"/>
      <c r="AL1043" s="145"/>
      <c r="AM1043" s="138">
        <f>P_1_minW-(AM1041^2*R_up)+dpup_minQ</f>
        <v>1.8218128436258065</v>
      </c>
      <c r="AN1043" s="132"/>
      <c r="AO1043" s="145"/>
      <c r="AP1043" s="138">
        <f>P_1_minW-(AP1041^2*R_up)+dpup_minQ</f>
        <v>-22.331880840877574</v>
      </c>
      <c r="AQ1043" s="132"/>
      <c r="AR1043" s="145"/>
      <c r="AS1043" s="138">
        <f>P_1_minW-(AS1041^2*R_up)+dpup_minQ</f>
        <v>-52.3963664415446</v>
      </c>
      <c r="AT1043" s="132"/>
      <c r="AU1043" s="145"/>
    </row>
    <row r="1044" spans="13:47" x14ac:dyDescent="0.25">
      <c r="M1044" s="20"/>
      <c r="N1044" s="20"/>
      <c r="O1044" s="7" t="s">
        <v>189</v>
      </c>
      <c r="P1044" s="1"/>
      <c r="Q1044" s="7"/>
      <c r="R1044" s="181">
        <f>P_2_minW+(R1041^2*R_dn)-dpdn_minQ</f>
        <v>50</v>
      </c>
      <c r="S1044" s="132"/>
      <c r="T1044" s="146"/>
      <c r="U1044" s="138">
        <f>P_2_minW+(U1041^2*R_dn)-dpdn_minQ</f>
        <v>50</v>
      </c>
      <c r="V1044" s="132"/>
      <c r="W1044" s="146"/>
      <c r="X1044" s="138">
        <f>P_2_minW+(X1041^2*R_dn)-dpdn_minQ</f>
        <v>50</v>
      </c>
      <c r="Y1044" s="132"/>
      <c r="Z1044" s="146"/>
      <c r="AA1044" s="138">
        <f>P_2_minW+(AA1041^2*R_dn)-dpdn_minQ</f>
        <v>50</v>
      </c>
      <c r="AB1044" s="132"/>
      <c r="AC1044" s="146"/>
      <c r="AD1044" s="138">
        <f>P_2_minW+(AD1041^2*R_dn)-dpdn_minQ</f>
        <v>50</v>
      </c>
      <c r="AE1044" s="132"/>
      <c r="AF1044" s="146"/>
      <c r="AG1044" s="138">
        <f>P_2_minW+(AG1041^2*R_dn)-dpdn_minQ</f>
        <v>50</v>
      </c>
      <c r="AH1044" s="132"/>
      <c r="AI1044" s="146"/>
      <c r="AJ1044" s="138">
        <f>P_2_minW+(AJ1041^2*R_dn)-dpdn_minQ</f>
        <v>50</v>
      </c>
      <c r="AK1044" s="132"/>
      <c r="AL1044" s="146"/>
      <c r="AM1044" s="138">
        <f>P_2_minW+(AM1041^2*R_dn)-dpdn_minQ</f>
        <v>50</v>
      </c>
      <c r="AN1044" s="132"/>
      <c r="AO1044" s="146"/>
      <c r="AP1044" s="138">
        <f>P_2_minW+(AP1041^2*R_dn)-dpdn_minQ</f>
        <v>50</v>
      </c>
      <c r="AQ1044" s="132"/>
      <c r="AR1044" s="146"/>
      <c r="AS1044" s="138">
        <f>P_2_minW+(AS1041^2*R_dn)-dpdn_minQ</f>
        <v>50</v>
      </c>
      <c r="AT1044" s="132"/>
      <c r="AU1044" s="146"/>
    </row>
    <row r="1045" spans="13:47" x14ac:dyDescent="0.25">
      <c r="M1045" s="20"/>
      <c r="N1045" s="20"/>
      <c r="O1045" s="7" t="s">
        <v>234</v>
      </c>
      <c r="P1045" s="1"/>
      <c r="Q1045" s="7"/>
      <c r="R1045" s="179">
        <f>'Valve Sizing'!G$8*R1043/P_1_maxW</f>
        <v>0.48489965966750093</v>
      </c>
      <c r="S1045" s="132"/>
      <c r="T1045" s="146"/>
      <c r="U1045" s="143">
        <f>'Valve Sizing'!$G$8*U1043/P_1_maxW</f>
        <v>0.48316439220766466</v>
      </c>
      <c r="V1045" s="132"/>
      <c r="W1045" s="146"/>
      <c r="X1045" s="143">
        <f>'Valve Sizing'!$G$8*X1043/P_1_maxW</f>
        <v>0.47426387200473447</v>
      </c>
      <c r="Y1045" s="132"/>
      <c r="Z1045" s="146"/>
      <c r="AA1045" s="143">
        <f>'Valve Sizing'!$G$8*AA1043/P_1_maxW</f>
        <v>0.44453837066651525</v>
      </c>
      <c r="AB1045" s="132"/>
      <c r="AC1045" s="146"/>
      <c r="AD1045" s="143">
        <f>'Valve Sizing'!$G$8*AD1043/P_1_maxW</f>
        <v>0.375722442813063</v>
      </c>
      <c r="AE1045" s="132"/>
      <c r="AF1045" s="146"/>
      <c r="AG1045" s="143">
        <f>'Valve Sizing'!$G$8*AG1043/P_1_maxW</f>
        <v>0.27011959125961804</v>
      </c>
      <c r="AH1045" s="132"/>
      <c r="AI1045" s="146"/>
      <c r="AJ1045" s="143">
        <f>'Valve Sizing'!$G$8*AJ1043/P_1_maxW</f>
        <v>0.13862295908501338</v>
      </c>
      <c r="AK1045" s="132"/>
      <c r="AL1045" s="146"/>
      <c r="AM1045" s="143">
        <f>'Valve Sizing'!$G$8*AM1043/P_1_maxW</f>
        <v>8.7881008038659808E-3</v>
      </c>
      <c r="AN1045" s="132"/>
      <c r="AO1045" s="146"/>
      <c r="AP1045" s="143">
        <f>'Valve Sizing'!$G$8*AP1043/P_1_maxW</f>
        <v>-0.10772501723007147</v>
      </c>
      <c r="AQ1045" s="132"/>
      <c r="AR1045" s="146"/>
      <c r="AS1045" s="143">
        <f>'Valve Sizing'!$G$8*AS1043/P_1_maxW</f>
        <v>-0.25275074311594448</v>
      </c>
      <c r="AT1045" s="132"/>
      <c r="AU1045" s="146"/>
    </row>
    <row r="1046" spans="13:47" x14ac:dyDescent="0.25">
      <c r="M1046" s="20"/>
      <c r="N1046" s="20"/>
      <c r="O1046" s="7" t="s">
        <v>190</v>
      </c>
      <c r="P1046" s="1"/>
      <c r="Q1046" s="7"/>
      <c r="R1046" s="181">
        <f>R1043-R1044</f>
        <v>50.521881526827741</v>
      </c>
      <c r="S1046" s="132"/>
      <c r="T1046" s="146"/>
      <c r="U1046" s="138">
        <f>U1043-U1044</f>
        <v>50.162152773595295</v>
      </c>
      <c r="V1046" s="132"/>
      <c r="W1046" s="146"/>
      <c r="X1046" s="138">
        <f>X1043-X1044</f>
        <v>48.317034882649395</v>
      </c>
      <c r="Y1046" s="132"/>
      <c r="Z1046" s="146"/>
      <c r="AA1046" s="138">
        <f>AA1043-AA1044</f>
        <v>42.154804688685218</v>
      </c>
      <c r="AB1046" s="132"/>
      <c r="AC1046" s="146"/>
      <c r="AD1046" s="138">
        <f>AD1043-AD1044</f>
        <v>27.88895316883297</v>
      </c>
      <c r="AE1046" s="132"/>
      <c r="AF1046" s="146"/>
      <c r="AG1046" s="138">
        <f>AG1043-AG1044</f>
        <v>5.9970068225937823</v>
      </c>
      <c r="AH1046" s="132"/>
      <c r="AI1046" s="146"/>
      <c r="AJ1046" s="138">
        <f>AJ1043-AJ1044</f>
        <v>-21.262836769988496</v>
      </c>
      <c r="AK1046" s="132"/>
      <c r="AL1046" s="146"/>
      <c r="AM1046" s="138">
        <f>AM1043-AM1044</f>
        <v>-48.178187156374193</v>
      </c>
      <c r="AN1046" s="132"/>
      <c r="AO1046" s="146"/>
      <c r="AP1046" s="138">
        <f>AP1043-AP1044</f>
        <v>-72.331880840877574</v>
      </c>
      <c r="AQ1046" s="132"/>
      <c r="AR1046" s="146"/>
      <c r="AS1046" s="138">
        <f>AS1043-AS1044</f>
        <v>-102.3963664415446</v>
      </c>
      <c r="AT1046" s="132"/>
      <c r="AU1046" s="146"/>
    </row>
    <row r="1047" spans="13:47" ht="14.5" x14ac:dyDescent="0.35">
      <c r="M1047" s="27"/>
      <c r="N1047" s="27"/>
      <c r="O1047" s="2" t="s">
        <v>191</v>
      </c>
      <c r="P1047" s="10"/>
      <c r="Q1047" s="2"/>
      <c r="R1047" s="181">
        <f>R1046/R1043</f>
        <v>0.50259586031867332</v>
      </c>
      <c r="S1047" s="132"/>
      <c r="T1047" s="146"/>
      <c r="U1047" s="138">
        <f>U1046/U1043</f>
        <v>0.50080945132020982</v>
      </c>
      <c r="V1047" s="132"/>
      <c r="W1047" s="146"/>
      <c r="X1047" s="138">
        <f>X1046/X1043</f>
        <v>0.49144113164438197</v>
      </c>
      <c r="Y1047" s="132"/>
      <c r="Z1047" s="146"/>
      <c r="AA1047" s="138">
        <f>AA1046/AA1043</f>
        <v>0.45743469188710667</v>
      </c>
      <c r="AB1047" s="132"/>
      <c r="AC1047" s="146"/>
      <c r="AD1047" s="138">
        <f>AD1046/AD1043</f>
        <v>0.35806044418623217</v>
      </c>
      <c r="AE1047" s="132"/>
      <c r="AF1047" s="146"/>
      <c r="AG1047" s="138">
        <f>AG1046/AG1043</f>
        <v>0.10709513173790029</v>
      </c>
      <c r="AH1047" s="132"/>
      <c r="AI1047" s="146"/>
      <c r="AJ1047" s="138">
        <f>AJ1046/AJ1043</f>
        <v>-0.73990729703559488</v>
      </c>
      <c r="AK1047" s="132"/>
      <c r="AL1047" s="146"/>
      <c r="AM1047" s="138">
        <f>AM1046/AM1043</f>
        <v>-26.445190198840102</v>
      </c>
      <c r="AN1047" s="132"/>
      <c r="AO1047" s="146"/>
      <c r="AP1047" s="138">
        <f>AP1046/AP1043</f>
        <v>3.2389515847889125</v>
      </c>
      <c r="AQ1047" s="132"/>
      <c r="AR1047" s="146"/>
      <c r="AS1047" s="138">
        <f>AS1046/AS1043</f>
        <v>1.9542646445871761</v>
      </c>
      <c r="AT1047" s="132"/>
      <c r="AU1047" s="146"/>
    </row>
    <row r="1048" spans="13:47" x14ac:dyDescent="0.25">
      <c r="M1048" s="27"/>
      <c r="N1048" s="27"/>
      <c r="O1048" s="2" t="s">
        <v>26</v>
      </c>
      <c r="P1048" s="7">
        <v>12</v>
      </c>
      <c r="Q1048" s="2"/>
      <c r="R1048" s="181">
        <f>1-R1047/(3*F_GAMMA*R$29)</f>
        <v>0.73824231663540796</v>
      </c>
      <c r="S1048" s="133"/>
      <c r="T1048" s="146"/>
      <c r="U1048" s="138">
        <f>1-U1047/(3*F_GAMMA*U$29)</f>
        <v>0.73923012658904264</v>
      </c>
      <c r="V1048" s="133"/>
      <c r="W1048" s="146"/>
      <c r="X1048" s="138">
        <f>1-X1047/(3*F_GAMMA*X$29)</f>
        <v>0.74026939602396302</v>
      </c>
      <c r="Y1048" s="133"/>
      <c r="Z1048" s="146"/>
      <c r="AA1048" s="138">
        <f>1-AA1047/(3*F_GAMMA*AA$29)</f>
        <v>0.75492723625973202</v>
      </c>
      <c r="AB1048" s="133"/>
      <c r="AC1048" s="146"/>
      <c r="AD1048" s="138">
        <f>1-AD1047/(3*F_GAMMA*AD$29)</f>
        <v>0.80290781109422205</v>
      </c>
      <c r="AE1048" s="133"/>
      <c r="AF1048" s="146"/>
      <c r="AG1048" s="138">
        <f>1-AG1047/(3*F_GAMMA*AG$29)</f>
        <v>0.93768754430652768</v>
      </c>
      <c r="AH1048" s="133"/>
      <c r="AI1048" s="146"/>
      <c r="AJ1048" s="138">
        <f>1-AJ1047/(3*F_GAMMA*AJ$29)</f>
        <v>1.460220182760122</v>
      </c>
      <c r="AK1048" s="133"/>
      <c r="AL1048" s="146"/>
      <c r="AM1048" s="138">
        <f>1-AM1047/(3*F_GAMMA*AM$29)</f>
        <v>18.972020798136775</v>
      </c>
      <c r="AN1048" s="133"/>
      <c r="AO1048" s="146"/>
      <c r="AP1048" s="138">
        <f>1-AP1047/(3*F_GAMMA*AP$29)</f>
        <v>-0.81903342706156401</v>
      </c>
      <c r="AQ1048" s="133"/>
      <c r="AR1048" s="146"/>
      <c r="AS1048" s="138">
        <f>1-AS1047/(3*F_GAMMA*AS$29)</f>
        <v>-0.66615817915056641</v>
      </c>
      <c r="AT1048" s="133"/>
      <c r="AU1048" s="146"/>
    </row>
    <row r="1049" spans="13:47" x14ac:dyDescent="0.25">
      <c r="M1049" s="27"/>
      <c r="N1049" s="27"/>
      <c r="O1049" s="2" t="s">
        <v>71</v>
      </c>
      <c r="P1049" s="85">
        <v>5</v>
      </c>
      <c r="Q1049" s="2"/>
      <c r="R1049" s="179">
        <f>R1041/((N_6*R$27*R1048)*SQRT(R1047*R1043*R1045))</f>
        <v>0.20601600905878459</v>
      </c>
      <c r="S1049" s="133"/>
      <c r="T1049" s="146"/>
      <c r="U1049" s="143">
        <f>U1041/((N_6*U$27*U1048)*SQRT(U1047*U1043*U1045))</f>
        <v>4.1312267235966367</v>
      </c>
      <c r="V1049" s="133"/>
      <c r="W1049" s="146"/>
      <c r="X1049" s="143">
        <f>X1041/((N_6*X$27*X1048)*SQRT(X1047*X1043*X1045))</f>
        <v>10.516003332789566</v>
      </c>
      <c r="Y1049" s="133"/>
      <c r="Z1049" s="146"/>
      <c r="AA1049" s="143">
        <f>AA1041/((N_6*AA$27*AA1048)*SQRT(AA1047*AA1043*AA1045))</f>
        <v>22.337781215723069</v>
      </c>
      <c r="AB1049" s="133"/>
      <c r="AC1049" s="146"/>
      <c r="AD1049" s="143">
        <f>AD1041/((N_6*AD$27*AD1048)*SQRT(AD1047*AD1043*AD1045))</f>
        <v>46.7435083839623</v>
      </c>
      <c r="AE1049" s="133"/>
      <c r="AF1049" s="146"/>
      <c r="AG1049" s="143">
        <f>AG1041/((N_6*AG$27*AG1048)*SQRT(AG1047*AG1043*AG1045))</f>
        <v>145.85812749388313</v>
      </c>
      <c r="AH1049" s="133"/>
      <c r="AI1049" s="146"/>
      <c r="AJ1049" s="143" t="e">
        <f>AJ1041/((N_6*AJ$27*AJ1048)*SQRT(AJ1047*AJ1043*AJ1045))</f>
        <v>#NUM!</v>
      </c>
      <c r="AK1049" s="133"/>
      <c r="AL1049" s="146"/>
      <c r="AM1049" s="143" t="e">
        <f>AM1041/((N_6*AM$27*AM1048)*SQRT(AM1047*AM1043*AM1045))</f>
        <v>#NUM!</v>
      </c>
      <c r="AN1049" s="133"/>
      <c r="AO1049" s="146"/>
      <c r="AP1049" s="143">
        <f>AP1041/((N_6*AP$27*AP1048)*SQRT(AP1047*AP1043*AP1045))</f>
        <v>-157.7238274774401</v>
      </c>
      <c r="AQ1049" s="133"/>
      <c r="AR1049" s="146"/>
      <c r="AS1049" s="143">
        <f>AS1041/((N_6*AS$27*AS1048)*SQRT(AS1047*AS1043*AS1045))</f>
        <v>-155.98353981940187</v>
      </c>
      <c r="AT1049" s="133"/>
      <c r="AU1049" s="146"/>
    </row>
    <row r="1050" spans="13:47" x14ac:dyDescent="0.25">
      <c r="M1050" s="27"/>
      <c r="N1050" s="27"/>
      <c r="O1050" s="2" t="s">
        <v>73</v>
      </c>
      <c r="P1050" s="85">
        <v>5</v>
      </c>
      <c r="Q1050" s="2"/>
      <c r="R1050" s="179">
        <f>R1041/((N_6*R$27*0.667)*SQRT(R1051*R1043*R1045))</f>
        <v>0.20206189334781427</v>
      </c>
      <c r="S1050" s="133"/>
      <c r="T1050" s="147"/>
      <c r="U1050" s="143">
        <f>U1041/((N_6*U$27*0.667)*SQRT(U1051*U1043*U1045))</f>
        <v>4.0496938194485299</v>
      </c>
      <c r="V1050" s="133"/>
      <c r="W1050" s="155"/>
      <c r="X1050" s="143">
        <f>X1041/((N_6*X$27*0.667)*SQRT(X1051*X1043*X1045))</f>
        <v>10.302363438886736</v>
      </c>
      <c r="Y1050" s="133"/>
      <c r="Z1050" s="155"/>
      <c r="AA1050" s="143">
        <f>AA1041/((N_6*AA$27*0.667)*SQRT(AA1051*AA1043*AA1045))</f>
        <v>21.678410949061796</v>
      </c>
      <c r="AB1050" s="133"/>
      <c r="AC1050" s="155"/>
      <c r="AD1050" s="143">
        <f>AD1041/((N_6*AD$27*0.667)*SQRT(AD1051*AD1043*AD1045))</f>
        <v>43.266970603053124</v>
      </c>
      <c r="AE1050" s="133"/>
      <c r="AF1050" s="155"/>
      <c r="AG1050" s="143">
        <f>AG1041/((N_6*AG$27*0.667)*SQRT(AG1051*AG1043*AG1045))</f>
        <v>88.656586906593006</v>
      </c>
      <c r="AH1050" s="133"/>
      <c r="AI1050" s="155"/>
      <c r="AJ1050" s="143">
        <f>AJ1041/((N_6*AJ$27*0.667)*SQRT(AJ1051*AJ1043*AJ1045))</f>
        <v>234.58275338082214</v>
      </c>
      <c r="AK1050" s="133"/>
      <c r="AL1050" s="155"/>
      <c r="AM1050" s="143">
        <f>AM1041/((N_6*AM$27*0.667)*SQRT(AM1051*AM1043*AM1045))</f>
        <v>4813.8590815616471</v>
      </c>
      <c r="AN1050" s="133"/>
      <c r="AO1050" s="155"/>
      <c r="AP1050" s="143">
        <f>AP1041/((N_6*AP$27*0.667)*SQRT(AP1051*AP1043*AP1045))</f>
        <v>452.43278477546886</v>
      </c>
      <c r="AQ1050" s="133"/>
      <c r="AR1050" s="155"/>
      <c r="AS1050" s="143">
        <f>AS1041/((N_6*AS$27*0.667)*SQRT(AS1051*AS1043*AS1045))</f>
        <v>348.29644724535063</v>
      </c>
      <c r="AT1050" s="133"/>
      <c r="AU1050" s="155"/>
    </row>
    <row r="1051" spans="13:47" ht="15.5" x14ac:dyDescent="0.4">
      <c r="M1051" s="27"/>
      <c r="N1051" s="27"/>
      <c r="O1051" s="2" t="s">
        <v>192</v>
      </c>
      <c r="P1051" s="85">
        <v>10</v>
      </c>
      <c r="Q1051" s="2"/>
      <c r="R1051" s="181">
        <f>F_GAMMA*R$29</f>
        <v>0.64002688015162901</v>
      </c>
      <c r="S1051" s="133"/>
      <c r="T1051" s="147"/>
      <c r="U1051" s="138">
        <f>F_GAMMA*U$29</f>
        <v>0.64016782916606918</v>
      </c>
      <c r="V1051" s="133"/>
      <c r="W1051" s="155"/>
      <c r="X1051" s="138">
        <f>F_GAMMA*X$29</f>
        <v>0.6307062319203669</v>
      </c>
      <c r="Y1051" s="133"/>
      <c r="Z1051" s="155"/>
      <c r="AA1051" s="138">
        <f>F_GAMMA*AA$29</f>
        <v>0.62217534213893466</v>
      </c>
      <c r="AB1051" s="133"/>
      <c r="AC1051" s="155"/>
      <c r="AD1051" s="138">
        <f>F_GAMMA*AD$29</f>
        <v>0.60557184969146072</v>
      </c>
      <c r="AE1051" s="133"/>
      <c r="AF1051" s="155"/>
      <c r="AG1051" s="138">
        <f>F_GAMMA*AG$29</f>
        <v>0.57289312142622573</v>
      </c>
      <c r="AH1051" s="133"/>
      <c r="AI1051" s="155"/>
      <c r="AJ1051" s="138">
        <f>F_GAMMA*AJ$29</f>
        <v>0.53590819116049981</v>
      </c>
      <c r="AK1051" s="133"/>
      <c r="AL1051" s="155"/>
      <c r="AM1051" s="138">
        <f>F_GAMMA*AM$29</f>
        <v>0.49048815926850342</v>
      </c>
      <c r="AN1051" s="133"/>
      <c r="AO1051" s="155"/>
      <c r="AP1051" s="138">
        <f>F_GAMMA*AP$29</f>
        <v>0.59352979016280105</v>
      </c>
      <c r="AQ1051" s="133"/>
      <c r="AR1051" s="155"/>
      <c r="AS1051" s="138">
        <f>F_GAMMA*AS$29</f>
        <v>0.39097221161068291</v>
      </c>
      <c r="AT1051" s="133"/>
      <c r="AU1051" s="155"/>
    </row>
    <row r="1052" spans="13:47" x14ac:dyDescent="0.25">
      <c r="M1052" s="27"/>
      <c r="N1052" s="27"/>
      <c r="O1052" s="2" t="s">
        <v>193</v>
      </c>
      <c r="P1052" s="134"/>
      <c r="Q1052" s="2"/>
      <c r="R1052" s="181">
        <f>IF(R1047&lt;R1051,R1049,R1050)</f>
        <v>0.20601600905878459</v>
      </c>
      <c r="S1052" s="133"/>
      <c r="T1052" s="147"/>
      <c r="U1052" s="138">
        <f>IF(U1047&lt;U1051,U1049,U1050)</f>
        <v>4.1312267235966367</v>
      </c>
      <c r="V1052" s="133"/>
      <c r="W1052" s="155"/>
      <c r="X1052" s="138">
        <f>IF(X1047&lt;X1051,X1049,X1050)</f>
        <v>10.516003332789566</v>
      </c>
      <c r="Y1052" s="133"/>
      <c r="Z1052" s="155"/>
      <c r="AA1052" s="138">
        <f>IF(AA1047&lt;AA1051,AA1049,AA1050)</f>
        <v>22.337781215723069</v>
      </c>
      <c r="AB1052" s="133"/>
      <c r="AC1052" s="155"/>
      <c r="AD1052" s="138">
        <f>IF(AD1047&lt;AD1051,AD1049,AD1050)</f>
        <v>46.7435083839623</v>
      </c>
      <c r="AE1052" s="133"/>
      <c r="AF1052" s="155"/>
      <c r="AG1052" s="138">
        <f>IF(AG1047&lt;AG1051,AG1049,AG1050)</f>
        <v>145.85812749388313</v>
      </c>
      <c r="AH1052" s="133"/>
      <c r="AI1052" s="155"/>
      <c r="AJ1052" s="138" t="e">
        <f>IF(AJ1047&lt;AJ1051,AJ1049,AJ1050)</f>
        <v>#NUM!</v>
      </c>
      <c r="AK1052" s="133"/>
      <c r="AL1052" s="155"/>
      <c r="AM1052" s="138" t="e">
        <f>IF(AM1047&lt;AM1051,AM1049,AM1050)</f>
        <v>#NUM!</v>
      </c>
      <c r="AN1052" s="133"/>
      <c r="AO1052" s="155"/>
      <c r="AP1052" s="138">
        <f>IF(AP1047&lt;AP1051,AP1049,AP1050)</f>
        <v>452.43278477546886</v>
      </c>
      <c r="AQ1052" s="133"/>
      <c r="AR1052" s="155"/>
      <c r="AS1052" s="138">
        <f>IF(AS1047&lt;AS1051,AS1049,AS1050)</f>
        <v>348.29644724535063</v>
      </c>
      <c r="AT1052" s="133"/>
      <c r="AU1052" s="155"/>
    </row>
    <row r="1053" spans="13:47" ht="13" x14ac:dyDescent="0.3">
      <c r="M1053" s="28"/>
      <c r="N1053" s="28"/>
      <c r="O1053" s="9" t="s">
        <v>194</v>
      </c>
      <c r="P1053" s="1"/>
      <c r="Q1053" s="1"/>
      <c r="R1053" s="135"/>
      <c r="S1053" s="132">
        <f>IF(R1046&lt;=0,W_max,ABS(R$23-R1052))</f>
        <v>1.7939839909412154</v>
      </c>
      <c r="T1053" s="151">
        <f>R1041</f>
        <v>47.645057294339878</v>
      </c>
      <c r="U1053" s="135"/>
      <c r="V1053" s="132">
        <f>IF(U1046&lt;=0,W_max,ABS(U$23-U1052))</f>
        <v>0.86877327640336333</v>
      </c>
      <c r="W1053" s="151">
        <f>U1041</f>
        <v>950.99124443871665</v>
      </c>
      <c r="X1053" s="135"/>
      <c r="Y1053" s="132">
        <f>IF(X1046&lt;=0,W_max,ABS(X$23-X1052))</f>
        <v>0.51600333278956612</v>
      </c>
      <c r="Z1053" s="151">
        <f>X1041</f>
        <v>2351.9145167816359</v>
      </c>
      <c r="AA1053" s="135"/>
      <c r="AB1053" s="132">
        <f>IF(AA1046&lt;=0,W_max,ABS(AA$23-AA1052))</f>
        <v>5.13778121572307</v>
      </c>
      <c r="AC1053" s="151">
        <f>AA1041</f>
        <v>4580.9291632976401</v>
      </c>
      <c r="AD1053" s="135"/>
      <c r="AE1053" s="132">
        <f>IF(AD1046&lt;=0,W_max,ABS(AD$23-AD1052))</f>
        <v>20.143508383962299</v>
      </c>
      <c r="AF1053" s="151">
        <f>AD1041</f>
        <v>7533.941875571968</v>
      </c>
      <c r="AG1053" s="135"/>
      <c r="AH1053" s="132">
        <f>IF(AG1046&lt;=0,W_max,ABS(AG$23-AG1052))</f>
        <v>107.45812749388313</v>
      </c>
      <c r="AI1053" s="151">
        <f>AG1041</f>
        <v>10566.933489816467</v>
      </c>
      <c r="AJ1053" s="135"/>
      <c r="AK1053" s="132">
        <f>IF(AJ1046&lt;=0,W_max,ABS(AJ$23-AJ1052))</f>
        <v>7174</v>
      </c>
      <c r="AL1053" s="151">
        <f>AJ1041</f>
        <v>13417.201580752229</v>
      </c>
      <c r="AM1053" s="135"/>
      <c r="AN1053" s="132">
        <f>IF(AM1046&lt;=0,W_max,ABS(AM$23-AM1052))</f>
        <v>7174</v>
      </c>
      <c r="AO1053" s="151">
        <f>AM1041</f>
        <v>15732.724048226555</v>
      </c>
      <c r="AP1053" s="135"/>
      <c r="AQ1053" s="132">
        <f>IF(AP1046&lt;=0,W_max,ABS(AP$23-AP1052))</f>
        <v>7174</v>
      </c>
      <c r="AR1053" s="151">
        <f>AP1041</f>
        <v>17552.502227426587</v>
      </c>
      <c r="AS1053" s="135"/>
      <c r="AT1053" s="132">
        <f>IF(AS1046&lt;=0,W_max,ABS(AS$23-AS1052))</f>
        <v>7174</v>
      </c>
      <c r="AU1053" s="151">
        <f>AS1041</f>
        <v>19582.771139912307</v>
      </c>
    </row>
    <row r="1054" spans="13:47" ht="13" x14ac:dyDescent="0.25">
      <c r="M1054" s="12"/>
      <c r="N1054" s="12"/>
      <c r="O1054" s="12"/>
      <c r="P1054" s="12"/>
      <c r="Q1054" s="12"/>
      <c r="R1054" s="182"/>
      <c r="S1054" s="22"/>
      <c r="T1054" s="152"/>
      <c r="U1054" s="157"/>
      <c r="V1054" s="1"/>
      <c r="W1054" s="147"/>
      <c r="X1054" s="157"/>
      <c r="Y1054" s="1"/>
      <c r="Z1054" s="147"/>
      <c r="AA1054" s="157"/>
      <c r="AB1054" s="1"/>
      <c r="AC1054" s="147"/>
      <c r="AD1054" s="157"/>
      <c r="AE1054" s="1"/>
      <c r="AF1054" s="147"/>
      <c r="AG1054" s="157"/>
      <c r="AH1054" s="1"/>
      <c r="AI1054" s="147"/>
      <c r="AJ1054" s="157"/>
      <c r="AK1054" s="1"/>
      <c r="AL1054" s="147"/>
      <c r="AM1054" s="157"/>
      <c r="AN1054" s="1"/>
      <c r="AO1054" s="147"/>
      <c r="AP1054" s="157"/>
      <c r="AQ1054" s="1"/>
      <c r="AR1054" s="147"/>
      <c r="AS1054" s="157"/>
      <c r="AT1054" s="1"/>
      <c r="AU1054" s="147"/>
    </row>
    <row r="1055" spans="13:47" ht="14" x14ac:dyDescent="0.3">
      <c r="M1055" s="23"/>
      <c r="N1055" s="23"/>
      <c r="O1055" s="23" t="s">
        <v>238</v>
      </c>
      <c r="P1055" s="20"/>
      <c r="Q1055" s="20"/>
      <c r="R1055" s="18">
        <f>R1041*1.02</f>
        <v>48.597958440226677</v>
      </c>
      <c r="S1055" s="128" t="s">
        <v>185</v>
      </c>
      <c r="T1055" s="153" t="s">
        <v>186</v>
      </c>
      <c r="U1055" s="143">
        <f>U1041*1.01</f>
        <v>960.50115688310382</v>
      </c>
      <c r="V1055" s="128" t="s">
        <v>185</v>
      </c>
      <c r="W1055" s="153" t="s">
        <v>186</v>
      </c>
      <c r="X1055" s="143">
        <f>X1041*1.01</f>
        <v>2375.4336619494525</v>
      </c>
      <c r="Y1055" s="128" t="s">
        <v>185</v>
      </c>
      <c r="Z1055" s="153" t="s">
        <v>186</v>
      </c>
      <c r="AA1055" s="143">
        <f>AA1041*1.01</f>
        <v>4626.7384549306162</v>
      </c>
      <c r="AB1055" s="128" t="s">
        <v>185</v>
      </c>
      <c r="AC1055" s="153" t="s">
        <v>186</v>
      </c>
      <c r="AD1055" s="143">
        <f>AD1041*1.01</f>
        <v>7609.2812943276876</v>
      </c>
      <c r="AE1055" s="128" t="s">
        <v>185</v>
      </c>
      <c r="AF1055" s="153" t="s">
        <v>186</v>
      </c>
      <c r="AG1055" s="143">
        <f>AG1041*1.01</f>
        <v>10672.602824714631</v>
      </c>
      <c r="AH1055" s="128" t="s">
        <v>185</v>
      </c>
      <c r="AI1055" s="153" t="s">
        <v>186</v>
      </c>
      <c r="AJ1055" s="143">
        <f>AJ1041*1.01</f>
        <v>13551.373596559752</v>
      </c>
      <c r="AK1055" s="128" t="s">
        <v>185</v>
      </c>
      <c r="AL1055" s="153" t="s">
        <v>186</v>
      </c>
      <c r="AM1055" s="143">
        <f>AM1041*1.01</f>
        <v>15890.051288708821</v>
      </c>
      <c r="AN1055" s="128" t="s">
        <v>185</v>
      </c>
      <c r="AO1055" s="153" t="s">
        <v>186</v>
      </c>
      <c r="AP1055" s="143">
        <f>AP1041*1.01</f>
        <v>17728.027249700852</v>
      </c>
      <c r="AQ1055" s="128" t="s">
        <v>185</v>
      </c>
      <c r="AR1055" s="153" t="s">
        <v>186</v>
      </c>
      <c r="AS1055" s="143">
        <f>AS1041*1.01</f>
        <v>19778.598851311432</v>
      </c>
      <c r="AT1055" s="128" t="s">
        <v>185</v>
      </c>
      <c r="AU1055" s="153" t="s">
        <v>186</v>
      </c>
    </row>
    <row r="1056" spans="13:47" ht="14" x14ac:dyDescent="0.3">
      <c r="M1056" s="12"/>
      <c r="N1056" s="12"/>
      <c r="O1056" s="20"/>
      <c r="P1056" s="20"/>
      <c r="Q1056" s="23"/>
      <c r="R1056" s="139"/>
      <c r="S1056" s="130" t="s">
        <v>228</v>
      </c>
      <c r="T1056" s="154" t="s">
        <v>187</v>
      </c>
      <c r="U1056" s="144"/>
      <c r="V1056" s="130" t="s">
        <v>228</v>
      </c>
      <c r="W1056" s="154" t="s">
        <v>187</v>
      </c>
      <c r="X1056" s="144"/>
      <c r="Y1056" s="130" t="s">
        <v>228</v>
      </c>
      <c r="Z1056" s="154" t="s">
        <v>187</v>
      </c>
      <c r="AA1056" s="144"/>
      <c r="AB1056" s="130" t="s">
        <v>228</v>
      </c>
      <c r="AC1056" s="154" t="s">
        <v>187</v>
      </c>
      <c r="AD1056" s="144"/>
      <c r="AE1056" s="130" t="s">
        <v>228</v>
      </c>
      <c r="AF1056" s="154" t="s">
        <v>187</v>
      </c>
      <c r="AG1056" s="144"/>
      <c r="AH1056" s="130" t="s">
        <v>228</v>
      </c>
      <c r="AI1056" s="154" t="s">
        <v>187</v>
      </c>
      <c r="AJ1056" s="144"/>
      <c r="AK1056" s="130" t="s">
        <v>228</v>
      </c>
      <c r="AL1056" s="154" t="s">
        <v>187</v>
      </c>
      <c r="AM1056" s="144"/>
      <c r="AN1056" s="130" t="s">
        <v>228</v>
      </c>
      <c r="AO1056" s="154" t="s">
        <v>187</v>
      </c>
      <c r="AP1056" s="144"/>
      <c r="AQ1056" s="130" t="s">
        <v>228</v>
      </c>
      <c r="AR1056" s="154" t="s">
        <v>187</v>
      </c>
      <c r="AS1056" s="144"/>
      <c r="AT1056" s="130" t="s">
        <v>228</v>
      </c>
      <c r="AU1056" s="154" t="s">
        <v>187</v>
      </c>
    </row>
    <row r="1057" spans="13:47" x14ac:dyDescent="0.25">
      <c r="M1057" s="20"/>
      <c r="N1057" s="20"/>
      <c r="O1057" s="7" t="s">
        <v>188</v>
      </c>
      <c r="P1057" s="7"/>
      <c r="Q1057" s="7"/>
      <c r="R1057" s="181">
        <f>P_1_minW-(R1055^2*R_up)+dpup_minQ</f>
        <v>100.52184495634782</v>
      </c>
      <c r="S1057" s="132"/>
      <c r="T1057" s="145"/>
      <c r="U1057" s="138">
        <f>P_1_minW-(U1055^2*R_up)+dpup_minQ</f>
        <v>100.15490403093635</v>
      </c>
      <c r="V1057" s="132"/>
      <c r="W1057" s="145"/>
      <c r="X1057" s="138">
        <f>P_1_minW-(X1055^2*R_up)+dpup_minQ</f>
        <v>98.272699270382446</v>
      </c>
      <c r="Y1057" s="132"/>
      <c r="Z1057" s="145"/>
      <c r="AA1057" s="138">
        <f>P_1_minW-(AA1055^2*R_up)+dpup_minQ</f>
        <v>91.986608249519577</v>
      </c>
      <c r="AB1057" s="132"/>
      <c r="AC1057" s="145"/>
      <c r="AD1057" s="138">
        <f>P_1_minW-(AD1055^2*R_up)+dpup_minQ</f>
        <v>77.434013114118301</v>
      </c>
      <c r="AE1057" s="132"/>
      <c r="AF1057" s="145"/>
      <c r="AG1057" s="138">
        <f>P_1_minW-(AG1055^2*R_up)+dpup_minQ</f>
        <v>55.102038646319713</v>
      </c>
      <c r="AH1057" s="132"/>
      <c r="AI1057" s="145"/>
      <c r="AJ1057" s="138">
        <f>P_1_minW-(AJ1055^2*R_up)+dpup_minQ</f>
        <v>27.294272197526524</v>
      </c>
      <c r="AK1057" s="132"/>
      <c r="AL1057" s="145"/>
      <c r="AM1057" s="138">
        <f>P_1_minW-(AM1055^2*R_up)+dpup_minQ</f>
        <v>-0.16207673162550462</v>
      </c>
      <c r="AN1057" s="132"/>
      <c r="AO1057" s="145"/>
      <c r="AP1057" s="138">
        <f>P_1_minW-(AP1055^2*R_up)+dpup_minQ</f>
        <v>-24.801259659187423</v>
      </c>
      <c r="AQ1057" s="132"/>
      <c r="AR1057" s="145"/>
      <c r="AS1057" s="138">
        <f>P_1_minW-(AS1055^2*R_up)+dpup_minQ</f>
        <v>-55.470041420427904</v>
      </c>
      <c r="AT1057" s="132"/>
      <c r="AU1057" s="145"/>
    </row>
    <row r="1058" spans="13:47" x14ac:dyDescent="0.25">
      <c r="M1058" s="20"/>
      <c r="N1058" s="20"/>
      <c r="O1058" s="7" t="s">
        <v>189</v>
      </c>
      <c r="P1058" s="1"/>
      <c r="Q1058" s="7"/>
      <c r="R1058" s="181">
        <f>P_2_minW+(R1055^2*R_dn)-dpdn_minQ</f>
        <v>50</v>
      </c>
      <c r="S1058" s="132"/>
      <c r="T1058" s="146"/>
      <c r="U1058" s="138">
        <f>P_2_minW+(U1055^2*R_dn)-dpdn_minQ</f>
        <v>50</v>
      </c>
      <c r="V1058" s="132"/>
      <c r="W1058" s="146"/>
      <c r="X1058" s="138">
        <f>P_2_minW+(X1055^2*R_dn)-dpdn_minQ</f>
        <v>50</v>
      </c>
      <c r="Y1058" s="132"/>
      <c r="Z1058" s="146"/>
      <c r="AA1058" s="138">
        <f>P_2_minW+(AA1055^2*R_dn)-dpdn_minQ</f>
        <v>50</v>
      </c>
      <c r="AB1058" s="132"/>
      <c r="AC1058" s="146"/>
      <c r="AD1058" s="138">
        <f>P_2_minW+(AD1055^2*R_dn)-dpdn_minQ</f>
        <v>50</v>
      </c>
      <c r="AE1058" s="132"/>
      <c r="AF1058" s="146"/>
      <c r="AG1058" s="138">
        <f>P_2_minW+(AG1055^2*R_dn)-dpdn_minQ</f>
        <v>50</v>
      </c>
      <c r="AH1058" s="132"/>
      <c r="AI1058" s="146"/>
      <c r="AJ1058" s="138">
        <f>P_2_minW+(AJ1055^2*R_dn)-dpdn_minQ</f>
        <v>50</v>
      </c>
      <c r="AK1058" s="132"/>
      <c r="AL1058" s="146"/>
      <c r="AM1058" s="138">
        <f>P_2_minW+(AM1055^2*R_dn)-dpdn_minQ</f>
        <v>50</v>
      </c>
      <c r="AN1058" s="132"/>
      <c r="AO1058" s="146"/>
      <c r="AP1058" s="138">
        <f>P_2_minW+(AP1055^2*R_dn)-dpdn_minQ</f>
        <v>50</v>
      </c>
      <c r="AQ1058" s="132"/>
      <c r="AR1058" s="146"/>
      <c r="AS1058" s="138">
        <f>P_2_minW+(AS1055^2*R_dn)-dpdn_minQ</f>
        <v>50</v>
      </c>
      <c r="AT1058" s="132"/>
      <c r="AU1058" s="146"/>
    </row>
    <row r="1059" spans="13:47" x14ac:dyDescent="0.25">
      <c r="M1059" s="20"/>
      <c r="N1059" s="20"/>
      <c r="O1059" s="7" t="s">
        <v>234</v>
      </c>
      <c r="P1059" s="1"/>
      <c r="Q1059" s="7"/>
      <c r="R1059" s="179">
        <f>'Valve Sizing'!G$8*R1057/P_1_maxW</f>
        <v>0.48489948325801685</v>
      </c>
      <c r="S1059" s="132"/>
      <c r="T1059" s="146"/>
      <c r="U1059" s="143">
        <f>'Valve Sizing'!$G$8*U1057/P_1_maxW</f>
        <v>0.48312942556363697</v>
      </c>
      <c r="V1059" s="132"/>
      <c r="W1059" s="146"/>
      <c r="X1059" s="143">
        <f>'Valve Sizing'!$G$8*X1057/P_1_maxW</f>
        <v>0.47405000490462801</v>
      </c>
      <c r="Y1059" s="132"/>
      <c r="Z1059" s="146"/>
      <c r="AA1059" s="143">
        <f>'Valve Sizing'!$G$8*AA1057/P_1_maxW</f>
        <v>0.44372702098951045</v>
      </c>
      <c r="AB1059" s="132"/>
      <c r="AC1059" s="146"/>
      <c r="AD1059" s="143">
        <f>'Valve Sizing'!$G$8*AD1057/P_1_maxW</f>
        <v>0.37352789298620381</v>
      </c>
      <c r="AE1059" s="132"/>
      <c r="AF1059" s="146"/>
      <c r="AG1059" s="143">
        <f>'Valve Sizing'!$G$8*AG1057/P_1_maxW</f>
        <v>0.26580242411653465</v>
      </c>
      <c r="AH1059" s="132"/>
      <c r="AI1059" s="146"/>
      <c r="AJ1059" s="143">
        <f>'Valve Sizing'!$G$8*AJ1057/P_1_maxW</f>
        <v>0.13166270963522039</v>
      </c>
      <c r="AK1059" s="132"/>
      <c r="AL1059" s="146"/>
      <c r="AM1059" s="143">
        <f>'Valve Sizing'!$G$8*AM1057/P_1_maxW</f>
        <v>-7.818292973779383E-4</v>
      </c>
      <c r="AN1059" s="132"/>
      <c r="AO1059" s="146"/>
      <c r="AP1059" s="143">
        <f>'Valve Sizing'!$G$8*AP1057/P_1_maxW</f>
        <v>-0.11963686100379763</v>
      </c>
      <c r="AQ1059" s="132"/>
      <c r="AR1059" s="146"/>
      <c r="AS1059" s="143">
        <f>'Valve Sizing'!$G$8*AS1057/P_1_maxW</f>
        <v>-0.26757760397997699</v>
      </c>
      <c r="AT1059" s="132"/>
      <c r="AU1059" s="146"/>
    </row>
    <row r="1060" spans="13:47" x14ac:dyDescent="0.25">
      <c r="M1060" s="20"/>
      <c r="N1060" s="20"/>
      <c r="O1060" s="7" t="s">
        <v>190</v>
      </c>
      <c r="P1060" s="1"/>
      <c r="Q1060" s="7"/>
      <c r="R1060" s="181">
        <f>R1057-R1058</f>
        <v>50.52184495634782</v>
      </c>
      <c r="S1060" s="132"/>
      <c r="T1060" s="146"/>
      <c r="U1060" s="138">
        <f>U1057-U1058</f>
        <v>50.154904030936351</v>
      </c>
      <c r="V1060" s="132"/>
      <c r="W1060" s="146"/>
      <c r="X1060" s="138">
        <f>X1057-X1058</f>
        <v>48.272699270382446</v>
      </c>
      <c r="Y1060" s="132"/>
      <c r="Z1060" s="146"/>
      <c r="AA1060" s="138">
        <f>AA1057-AA1058</f>
        <v>41.986608249519577</v>
      </c>
      <c r="AB1060" s="132"/>
      <c r="AC1060" s="146"/>
      <c r="AD1060" s="138">
        <f>AD1057-AD1058</f>
        <v>27.434013114118301</v>
      </c>
      <c r="AE1060" s="132"/>
      <c r="AF1060" s="146"/>
      <c r="AG1060" s="138">
        <f>AG1057-AG1058</f>
        <v>5.1020386463197127</v>
      </c>
      <c r="AH1060" s="132"/>
      <c r="AI1060" s="146"/>
      <c r="AJ1060" s="138">
        <f>AJ1057-AJ1058</f>
        <v>-22.705727802473476</v>
      </c>
      <c r="AK1060" s="132"/>
      <c r="AL1060" s="146"/>
      <c r="AM1060" s="138">
        <f>AM1057-AM1058</f>
        <v>-50.162076731625504</v>
      </c>
      <c r="AN1060" s="132"/>
      <c r="AO1060" s="146"/>
      <c r="AP1060" s="138">
        <f>AP1057-AP1058</f>
        <v>-74.801259659187423</v>
      </c>
      <c r="AQ1060" s="132"/>
      <c r="AR1060" s="146"/>
      <c r="AS1060" s="138">
        <f>AS1057-AS1058</f>
        <v>-105.4700414204279</v>
      </c>
      <c r="AT1060" s="132"/>
      <c r="AU1060" s="146"/>
    </row>
    <row r="1061" spans="13:47" ht="14.5" x14ac:dyDescent="0.35">
      <c r="M1061" s="27"/>
      <c r="N1061" s="27"/>
      <c r="O1061" s="2" t="s">
        <v>191</v>
      </c>
      <c r="P1061" s="10"/>
      <c r="Q1061" s="2"/>
      <c r="R1061" s="181">
        <f>R1060/R1057</f>
        <v>0.50259567935991645</v>
      </c>
      <c r="S1061" s="132"/>
      <c r="T1061" s="146"/>
      <c r="U1061" s="138">
        <f>U1060/U1057</f>
        <v>0.5007733222473485</v>
      </c>
      <c r="V1061" s="132"/>
      <c r="W1061" s="146"/>
      <c r="X1061" s="138">
        <f>X1060/X1057</f>
        <v>0.49121169591126651</v>
      </c>
      <c r="Y1061" s="132"/>
      <c r="Z1061" s="146"/>
      <c r="AA1061" s="138">
        <f>AA1060/AA1057</f>
        <v>0.45644261755611432</v>
      </c>
      <c r="AB1061" s="132"/>
      <c r="AC1061" s="146"/>
      <c r="AD1061" s="138">
        <f>AD1060/AD1057</f>
        <v>0.35428892305616977</v>
      </c>
      <c r="AE1061" s="132"/>
      <c r="AF1061" s="146"/>
      <c r="AG1061" s="138">
        <f>AG1060/AG1057</f>
        <v>9.2592556857430897E-2</v>
      </c>
      <c r="AH1061" s="132"/>
      <c r="AI1061" s="146"/>
      <c r="AJ1061" s="138">
        <f>AJ1060/AJ1057</f>
        <v>-0.83188617883466132</v>
      </c>
      <c r="AK1061" s="132"/>
      <c r="AL1061" s="146"/>
      <c r="AM1061" s="138">
        <f>AM1060/AM1057</f>
        <v>309.49585562676742</v>
      </c>
      <c r="AN1061" s="132"/>
      <c r="AO1061" s="146"/>
      <c r="AP1061" s="138">
        <f>AP1060/AP1057</f>
        <v>3.0160266328036252</v>
      </c>
      <c r="AQ1061" s="132"/>
      <c r="AR1061" s="146"/>
      <c r="AS1061" s="138">
        <f>AS1060/AS1057</f>
        <v>1.9013874646501805</v>
      </c>
      <c r="AT1061" s="132"/>
      <c r="AU1061" s="146"/>
    </row>
    <row r="1062" spans="13:47" x14ac:dyDescent="0.25">
      <c r="M1062" s="27"/>
      <c r="N1062" s="27"/>
      <c r="O1062" s="2" t="s">
        <v>26</v>
      </c>
      <c r="P1062" s="7">
        <v>12</v>
      </c>
      <c r="Q1062" s="2"/>
      <c r="R1062" s="181">
        <f>1-R1061/(3*F_GAMMA*R$29)</f>
        <v>0.73824241088080222</v>
      </c>
      <c r="S1062" s="133"/>
      <c r="T1062" s="146"/>
      <c r="U1062" s="138">
        <f>1-U1061/(3*F_GAMMA*U$29)</f>
        <v>0.73924893888128596</v>
      </c>
      <c r="V1062" s="133"/>
      <c r="W1062" s="146"/>
      <c r="X1062" s="138">
        <f>1-X1061/(3*F_GAMMA*X$29)</f>
        <v>0.74039065466044796</v>
      </c>
      <c r="Y1062" s="133"/>
      <c r="Z1062" s="146"/>
      <c r="AA1062" s="138">
        <f>1-AA1061/(3*F_GAMMA*AA$29)</f>
        <v>0.75545874469677043</v>
      </c>
      <c r="AB1062" s="133"/>
      <c r="AC1062" s="146"/>
      <c r="AD1062" s="138">
        <f>1-AD1061/(3*F_GAMMA*AD$29)</f>
        <v>0.80498382191054607</v>
      </c>
      <c r="AE1062" s="133"/>
      <c r="AF1062" s="146"/>
      <c r="AG1062" s="138">
        <f>1-AG1061/(3*F_GAMMA*AG$29)</f>
        <v>0.94612575284146061</v>
      </c>
      <c r="AH1062" s="133"/>
      <c r="AI1062" s="146"/>
      <c r="AJ1062" s="138">
        <f>1-AJ1061/(3*F_GAMMA*AJ$29)</f>
        <v>1.517430779224346</v>
      </c>
      <c r="AK1062" s="133"/>
      <c r="AL1062" s="146"/>
      <c r="AM1062" s="138">
        <f>1-AM1061/(3*F_GAMMA*AM$29)</f>
        <v>-209.33185666047373</v>
      </c>
      <c r="AN1062" s="133"/>
      <c r="AO1062" s="146"/>
      <c r="AP1062" s="138">
        <f>1-AP1061/(3*F_GAMMA*AP$29)</f>
        <v>-0.69383614369008084</v>
      </c>
      <c r="AQ1062" s="133"/>
      <c r="AR1062" s="146"/>
      <c r="AS1062" s="138">
        <f>1-AS1061/(3*F_GAMMA*AS$29)</f>
        <v>-0.62107639041409124</v>
      </c>
      <c r="AT1062" s="133"/>
      <c r="AU1062" s="146"/>
    </row>
    <row r="1063" spans="13:47" x14ac:dyDescent="0.25">
      <c r="M1063" s="27"/>
      <c r="N1063" s="27"/>
      <c r="O1063" s="2" t="s">
        <v>71</v>
      </c>
      <c r="P1063" s="85">
        <v>5</v>
      </c>
      <c r="Q1063" s="2"/>
      <c r="R1063" s="179">
        <f>R1055/((N_6*R$27*R1062)*SQRT(R1061*R1057*R1059))</f>
        <v>0.21013641669210384</v>
      </c>
      <c r="S1063" s="133"/>
      <c r="T1063" s="146"/>
      <c r="U1063" s="143">
        <f>U1055/((N_6*U$27*U1062)*SQRT(U1061*U1057*U1059))</f>
        <v>4.1728853113609592</v>
      </c>
      <c r="V1063" s="133"/>
      <c r="W1063" s="146"/>
      <c r="X1063" s="143">
        <f>X1055/((N_6*X$27*X1062)*SQRT(X1061*X1057*X1059))</f>
        <v>10.626695704706467</v>
      </c>
      <c r="Y1063" s="133"/>
      <c r="Z1063" s="146"/>
      <c r="AA1063" s="143">
        <f>AA1055/((N_6*AA$27*AA1062)*SQRT(AA1061*AA1057*AA1059))</f>
        <v>22.61104222914042</v>
      </c>
      <c r="AB1063" s="133"/>
      <c r="AC1063" s="146"/>
      <c r="AD1063" s="143">
        <f>AD1055/((N_6*AD$27*AD1062)*SQRT(AD1061*AD1057*AD1059))</f>
        <v>47.617292218274706</v>
      </c>
      <c r="AE1063" s="133"/>
      <c r="AF1063" s="146"/>
      <c r="AG1063" s="143">
        <f>AG1055/((N_6*AG$27*AG1062)*SQRT(AG1061*AG1057*AG1059))</f>
        <v>159.57147655357906</v>
      </c>
      <c r="AH1063" s="133"/>
      <c r="AI1063" s="146"/>
      <c r="AJ1063" s="143" t="e">
        <f>AJ1055/((N_6*AJ$27*AJ1062)*SQRT(AJ1061*AJ1057*AJ1059))</f>
        <v>#NUM!</v>
      </c>
      <c r="AK1063" s="133"/>
      <c r="AL1063" s="146"/>
      <c r="AM1063" s="143">
        <f>AM1055/((N_6*AM$27*AM1062)*SQRT(AM1061*AM1057*AM1059))</f>
        <v>-6.9322655271453062</v>
      </c>
      <c r="AN1063" s="133"/>
      <c r="AO1063" s="146"/>
      <c r="AP1063" s="143">
        <f>AP1055/((N_6*AP$27*AP1062)*SQRT(AP1061*AP1057*AP1059))</f>
        <v>-175.46867363480121</v>
      </c>
      <c r="AQ1063" s="133"/>
      <c r="AR1063" s="146"/>
      <c r="AS1063" s="143">
        <f>AS1055/((N_6*AS$27*AS1062)*SQRT(AS1061*AS1057*AS1059))</f>
        <v>-161.81975705184109</v>
      </c>
      <c r="AT1063" s="133"/>
      <c r="AU1063" s="146"/>
    </row>
    <row r="1064" spans="13:47" x14ac:dyDescent="0.25">
      <c r="M1064" s="27"/>
      <c r="N1064" s="27"/>
      <c r="O1064" s="2" t="s">
        <v>73</v>
      </c>
      <c r="P1064" s="85">
        <v>5</v>
      </c>
      <c r="Q1064" s="2"/>
      <c r="R1064" s="179">
        <f>R1055/((N_6*R$27*0.667)*SQRT(R1065*R1057*R1059))</f>
        <v>0.20610320619638697</v>
      </c>
      <c r="S1064" s="133"/>
      <c r="T1064" s="155"/>
      <c r="U1064" s="143">
        <f>U1055/((N_6*U$27*0.667)*SQRT(U1065*U1057*U1059))</f>
        <v>4.0904867864846883</v>
      </c>
      <c r="V1064" s="133"/>
      <c r="W1064" s="155"/>
      <c r="X1064" s="143">
        <f>X1055/((N_6*X$27*0.667)*SQRT(X1065*X1057*X1059))</f>
        <v>10.410081451370367</v>
      </c>
      <c r="Y1064" s="133"/>
      <c r="Z1064" s="155"/>
      <c r="AA1064" s="143">
        <f>AA1055/((N_6*AA$27*0.667)*SQRT(AA1065*AA1057*AA1059))</f>
        <v>21.935230167072735</v>
      </c>
      <c r="AB1064" s="133"/>
      <c r="AC1064" s="155"/>
      <c r="AD1064" s="143">
        <f>AD1055/((N_6*AD$27*0.667)*SQRT(AD1065*AD1057*AD1059))</f>
        <v>43.956384289586474</v>
      </c>
      <c r="AE1064" s="133"/>
      <c r="AF1064" s="155"/>
      <c r="AG1064" s="143">
        <f>AG1055/((N_6*AG$27*0.667)*SQRT(AG1065*AG1057*AG1059))</f>
        <v>90.997514068021289</v>
      </c>
      <c r="AH1064" s="133"/>
      <c r="AI1064" s="155"/>
      <c r="AJ1064" s="143">
        <f>AJ1055/((N_6*AJ$27*0.667)*SQRT(AJ1065*AJ1057*AJ1059))</f>
        <v>249.45363094223629</v>
      </c>
      <c r="AK1064" s="133"/>
      <c r="AL1064" s="155"/>
      <c r="AM1064" s="143">
        <f>AM1055/((N_6*AM$27*0.667)*SQRT(AM1065*AM1057*AM1059))</f>
        <v>54650.965110045581</v>
      </c>
      <c r="AN1064" s="133"/>
      <c r="AO1064" s="155"/>
      <c r="AP1064" s="143">
        <f>AP1055/((N_6*AP$27*0.667)*SQRT(AP1065*AP1057*AP1059))</f>
        <v>411.45941491375214</v>
      </c>
      <c r="AQ1064" s="133"/>
      <c r="AR1064" s="155"/>
      <c r="AS1064" s="143">
        <f>AS1055/((N_6*AS$27*0.667)*SQRT(AS1065*AS1057*AS1059))</f>
        <v>332.28680727411768</v>
      </c>
      <c r="AT1064" s="133"/>
      <c r="AU1064" s="155"/>
    </row>
    <row r="1065" spans="13:47" ht="15.5" x14ac:dyDescent="0.4">
      <c r="M1065" s="27"/>
      <c r="N1065" s="27"/>
      <c r="O1065" s="2" t="s">
        <v>192</v>
      </c>
      <c r="P1065" s="85">
        <v>10</v>
      </c>
      <c r="Q1065" s="2"/>
      <c r="R1065" s="181">
        <f>F_GAMMA*R$29</f>
        <v>0.64002688015162901</v>
      </c>
      <c r="S1065" s="133"/>
      <c r="T1065" s="155"/>
      <c r="U1065" s="138">
        <f>F_GAMMA*U$29</f>
        <v>0.64016782916606918</v>
      </c>
      <c r="V1065" s="133"/>
      <c r="W1065" s="155"/>
      <c r="X1065" s="138">
        <f>F_GAMMA*X$29</f>
        <v>0.6307062319203669</v>
      </c>
      <c r="Y1065" s="133"/>
      <c r="Z1065" s="155"/>
      <c r="AA1065" s="138">
        <f>F_GAMMA*AA$29</f>
        <v>0.62217534213893466</v>
      </c>
      <c r="AB1065" s="133"/>
      <c r="AC1065" s="155"/>
      <c r="AD1065" s="138">
        <f>F_GAMMA*AD$29</f>
        <v>0.60557184969146072</v>
      </c>
      <c r="AE1065" s="133"/>
      <c r="AF1065" s="155"/>
      <c r="AG1065" s="138">
        <f>F_GAMMA*AG$29</f>
        <v>0.57289312142622573</v>
      </c>
      <c r="AH1065" s="133"/>
      <c r="AI1065" s="155"/>
      <c r="AJ1065" s="138">
        <f>F_GAMMA*AJ$29</f>
        <v>0.53590819116049981</v>
      </c>
      <c r="AK1065" s="133"/>
      <c r="AL1065" s="155"/>
      <c r="AM1065" s="138">
        <f>F_GAMMA*AM$29</f>
        <v>0.49048815926850342</v>
      </c>
      <c r="AN1065" s="133"/>
      <c r="AO1065" s="155"/>
      <c r="AP1065" s="138">
        <f>F_GAMMA*AP$29</f>
        <v>0.59352979016280105</v>
      </c>
      <c r="AQ1065" s="133"/>
      <c r="AR1065" s="155"/>
      <c r="AS1065" s="138">
        <f>F_GAMMA*AS$29</f>
        <v>0.39097221161068291</v>
      </c>
      <c r="AT1065" s="133"/>
      <c r="AU1065" s="155"/>
    </row>
    <row r="1066" spans="13:47" x14ac:dyDescent="0.25">
      <c r="M1066" s="27"/>
      <c r="N1066" s="27"/>
      <c r="O1066" s="2" t="s">
        <v>193</v>
      </c>
      <c r="P1066" s="134"/>
      <c r="Q1066" s="2"/>
      <c r="R1066" s="181">
        <f>IF(R1061&lt;R1065,R1063,R1064)</f>
        <v>0.21013641669210384</v>
      </c>
      <c r="S1066" s="133"/>
      <c r="T1066" s="155"/>
      <c r="U1066" s="138">
        <f>IF(U1061&lt;U1065,U1063,U1064)</f>
        <v>4.1728853113609592</v>
      </c>
      <c r="V1066" s="133"/>
      <c r="W1066" s="155"/>
      <c r="X1066" s="138">
        <f>IF(X1061&lt;X1065,X1063,X1064)</f>
        <v>10.626695704706467</v>
      </c>
      <c r="Y1066" s="133"/>
      <c r="Z1066" s="155"/>
      <c r="AA1066" s="138">
        <f>IF(AA1061&lt;AA1065,AA1063,AA1064)</f>
        <v>22.61104222914042</v>
      </c>
      <c r="AB1066" s="133"/>
      <c r="AC1066" s="155"/>
      <c r="AD1066" s="138">
        <f>IF(AD1061&lt;AD1065,AD1063,AD1064)</f>
        <v>47.617292218274706</v>
      </c>
      <c r="AE1066" s="133"/>
      <c r="AF1066" s="155"/>
      <c r="AG1066" s="138">
        <f>IF(AG1061&lt;AG1065,AG1063,AG1064)</f>
        <v>159.57147655357906</v>
      </c>
      <c r="AH1066" s="133"/>
      <c r="AI1066" s="155"/>
      <c r="AJ1066" s="138" t="e">
        <f>IF(AJ1061&lt;AJ1065,AJ1063,AJ1064)</f>
        <v>#NUM!</v>
      </c>
      <c r="AK1066" s="133"/>
      <c r="AL1066" s="155"/>
      <c r="AM1066" s="138">
        <f>IF(AM1061&lt;AM1065,AM1063,AM1064)</f>
        <v>54650.965110045581</v>
      </c>
      <c r="AN1066" s="133"/>
      <c r="AO1066" s="155"/>
      <c r="AP1066" s="138">
        <f>IF(AP1061&lt;AP1065,AP1063,AP1064)</f>
        <v>411.45941491375214</v>
      </c>
      <c r="AQ1066" s="133"/>
      <c r="AR1066" s="155"/>
      <c r="AS1066" s="138">
        <f>IF(AS1061&lt;AS1065,AS1063,AS1064)</f>
        <v>332.28680727411768</v>
      </c>
      <c r="AT1066" s="133"/>
      <c r="AU1066" s="155"/>
    </row>
    <row r="1067" spans="13:47" ht="13" x14ac:dyDescent="0.3">
      <c r="M1067" s="28"/>
      <c r="N1067" s="28"/>
      <c r="O1067" s="9" t="s">
        <v>194</v>
      </c>
      <c r="P1067" s="1"/>
      <c r="Q1067" s="1"/>
      <c r="R1067" s="135"/>
      <c r="S1067" s="132">
        <f>IF(R1060&lt;=0,W_max,ABS(R$23-R1066))</f>
        <v>1.7898635833078962</v>
      </c>
      <c r="T1067" s="151">
        <f>R1055</f>
        <v>48.597958440226677</v>
      </c>
      <c r="U1067" s="135"/>
      <c r="V1067" s="132">
        <f>IF(U1060&lt;=0,W_max,ABS(U$23-U1066))</f>
        <v>0.82711468863904081</v>
      </c>
      <c r="W1067" s="151">
        <f>U1055</f>
        <v>960.50115688310382</v>
      </c>
      <c r="X1067" s="135"/>
      <c r="Y1067" s="132">
        <f>IF(X1060&lt;=0,W_max,ABS(X$23-X1066))</f>
        <v>0.62669570470646718</v>
      </c>
      <c r="Z1067" s="151">
        <f>X1055</f>
        <v>2375.4336619494525</v>
      </c>
      <c r="AA1067" s="135"/>
      <c r="AB1067" s="132">
        <f>IF(AA1060&lt;=0,W_max,ABS(AA$23-AA1066))</f>
        <v>5.4110422291404205</v>
      </c>
      <c r="AC1067" s="151">
        <f>AA1055</f>
        <v>4626.7384549306162</v>
      </c>
      <c r="AD1067" s="135"/>
      <c r="AE1067" s="132">
        <f>IF(AD1060&lt;=0,W_max,ABS(AD$23-AD1066))</f>
        <v>21.017292218274704</v>
      </c>
      <c r="AF1067" s="151">
        <f>AD1055</f>
        <v>7609.2812943276876</v>
      </c>
      <c r="AG1067" s="135"/>
      <c r="AH1067" s="132">
        <f>IF(AG1060&lt;=0,W_max,ABS(AG$23-AG1066))</f>
        <v>121.17147655357905</v>
      </c>
      <c r="AI1067" s="151">
        <f>AG1055</f>
        <v>10672.602824714631</v>
      </c>
      <c r="AJ1067" s="135"/>
      <c r="AK1067" s="132">
        <f>IF(AJ1060&lt;=0,W_max,ABS(AJ$23-AJ1066))</f>
        <v>7174</v>
      </c>
      <c r="AL1067" s="151">
        <f>AJ1055</f>
        <v>13551.373596559752</v>
      </c>
      <c r="AM1067" s="135"/>
      <c r="AN1067" s="132">
        <f>IF(AM1060&lt;=0,W_max,ABS(AM$23-AM1066))</f>
        <v>7174</v>
      </c>
      <c r="AO1067" s="151">
        <f>AM1055</f>
        <v>15890.051288708821</v>
      </c>
      <c r="AP1067" s="135"/>
      <c r="AQ1067" s="132">
        <f>IF(AP1060&lt;=0,W_max,ABS(AP$23-AP1066))</f>
        <v>7174</v>
      </c>
      <c r="AR1067" s="151">
        <f>AP1055</f>
        <v>17728.027249700852</v>
      </c>
      <c r="AS1067" s="135"/>
      <c r="AT1067" s="132">
        <f>IF(AS1060&lt;=0,W_max,ABS(AS$23-AS1066))</f>
        <v>7174</v>
      </c>
      <c r="AU1067" s="151">
        <f>AS1055</f>
        <v>19778.598851311432</v>
      </c>
    </row>
    <row r="1068" spans="13:47" ht="13" x14ac:dyDescent="0.25">
      <c r="M1068" s="12"/>
      <c r="N1068" s="12"/>
      <c r="O1068" s="2"/>
      <c r="P1068" s="85"/>
      <c r="Q1068" s="2"/>
      <c r="R1068" s="18"/>
      <c r="S1068" s="150"/>
      <c r="T1068" s="152"/>
      <c r="U1068" s="157"/>
      <c r="V1068" s="1"/>
      <c r="W1068" s="147"/>
      <c r="X1068" s="157"/>
      <c r="Y1068" s="1"/>
      <c r="Z1068" s="147"/>
      <c r="AA1068" s="157"/>
      <c r="AB1068" s="1"/>
      <c r="AC1068" s="147"/>
      <c r="AD1068" s="157"/>
      <c r="AE1068" s="1"/>
      <c r="AF1068" s="147"/>
      <c r="AG1068" s="157"/>
      <c r="AH1068" s="1"/>
      <c r="AI1068" s="147"/>
      <c r="AJ1068" s="157"/>
      <c r="AK1068" s="1"/>
      <c r="AL1068" s="147"/>
      <c r="AM1068" s="157"/>
      <c r="AN1068" s="1"/>
      <c r="AO1068" s="147"/>
      <c r="AP1068" s="157"/>
      <c r="AQ1068" s="1"/>
      <c r="AR1068" s="147"/>
      <c r="AS1068" s="157"/>
      <c r="AT1068" s="1"/>
      <c r="AU1068" s="147"/>
    </row>
    <row r="1069" spans="13:47" ht="14" x14ac:dyDescent="0.3">
      <c r="M1069" s="23"/>
      <c r="N1069" s="23"/>
      <c r="O1069" s="23" t="s">
        <v>238</v>
      </c>
      <c r="P1069" s="20"/>
      <c r="Q1069" s="20"/>
      <c r="R1069" s="181">
        <f>R1055*1.02</f>
        <v>49.569917609031208</v>
      </c>
      <c r="S1069" s="128" t="s">
        <v>185</v>
      </c>
      <c r="T1069" s="153" t="s">
        <v>186</v>
      </c>
      <c r="U1069" s="143">
        <f>U1055*1.01</f>
        <v>970.10616845193488</v>
      </c>
      <c r="V1069" s="128" t="s">
        <v>185</v>
      </c>
      <c r="W1069" s="153" t="s">
        <v>186</v>
      </c>
      <c r="X1069" s="143">
        <f>X1055*1.01</f>
        <v>2399.187998568947</v>
      </c>
      <c r="Y1069" s="128" t="s">
        <v>185</v>
      </c>
      <c r="Z1069" s="153" t="s">
        <v>186</v>
      </c>
      <c r="AA1069" s="143">
        <f>AA1055*1.01</f>
        <v>4673.0058394799225</v>
      </c>
      <c r="AB1069" s="128" t="s">
        <v>185</v>
      </c>
      <c r="AC1069" s="153" t="s">
        <v>186</v>
      </c>
      <c r="AD1069" s="143">
        <f>AD1055*1.01</f>
        <v>7685.3741072709645</v>
      </c>
      <c r="AE1069" s="128" t="s">
        <v>185</v>
      </c>
      <c r="AF1069" s="153" t="s">
        <v>186</v>
      </c>
      <c r="AG1069" s="143">
        <f>AG1055*1.01</f>
        <v>10779.328852961778</v>
      </c>
      <c r="AH1069" s="128" t="s">
        <v>185</v>
      </c>
      <c r="AI1069" s="153" t="s">
        <v>186</v>
      </c>
      <c r="AJ1069" s="143">
        <f>AJ1055*1.01</f>
        <v>13686.88733252535</v>
      </c>
      <c r="AK1069" s="128" t="s">
        <v>185</v>
      </c>
      <c r="AL1069" s="153" t="s">
        <v>186</v>
      </c>
      <c r="AM1069" s="143">
        <f>AM1055*1.01</f>
        <v>16048.951801595909</v>
      </c>
      <c r="AN1069" s="128" t="s">
        <v>185</v>
      </c>
      <c r="AO1069" s="153" t="s">
        <v>186</v>
      </c>
      <c r="AP1069" s="143">
        <f>AP1055*1.01</f>
        <v>17905.307522197862</v>
      </c>
      <c r="AQ1069" s="128" t="s">
        <v>185</v>
      </c>
      <c r="AR1069" s="153" t="s">
        <v>186</v>
      </c>
      <c r="AS1069" s="143">
        <f>AS1055*1.01</f>
        <v>19976.384839824546</v>
      </c>
      <c r="AT1069" s="128" t="s">
        <v>185</v>
      </c>
      <c r="AU1069" s="153" t="s">
        <v>186</v>
      </c>
    </row>
    <row r="1070" spans="13:47" ht="14" x14ac:dyDescent="0.3">
      <c r="M1070" s="12"/>
      <c r="N1070" s="12"/>
      <c r="O1070" s="20"/>
      <c r="P1070" s="20"/>
      <c r="Q1070" s="23"/>
      <c r="R1070" s="139"/>
      <c r="S1070" s="130" t="s">
        <v>228</v>
      </c>
      <c r="T1070" s="154" t="s">
        <v>187</v>
      </c>
      <c r="U1070" s="144"/>
      <c r="V1070" s="130" t="s">
        <v>228</v>
      </c>
      <c r="W1070" s="154" t="s">
        <v>187</v>
      </c>
      <c r="X1070" s="144"/>
      <c r="Y1070" s="130" t="s">
        <v>228</v>
      </c>
      <c r="Z1070" s="154" t="s">
        <v>187</v>
      </c>
      <c r="AA1070" s="144"/>
      <c r="AB1070" s="130" t="s">
        <v>228</v>
      </c>
      <c r="AC1070" s="154" t="s">
        <v>187</v>
      </c>
      <c r="AD1070" s="144"/>
      <c r="AE1070" s="130" t="s">
        <v>228</v>
      </c>
      <c r="AF1070" s="154" t="s">
        <v>187</v>
      </c>
      <c r="AG1070" s="144"/>
      <c r="AH1070" s="130" t="s">
        <v>228</v>
      </c>
      <c r="AI1070" s="154" t="s">
        <v>187</v>
      </c>
      <c r="AJ1070" s="144"/>
      <c r="AK1070" s="130" t="s">
        <v>228</v>
      </c>
      <c r="AL1070" s="154" t="s">
        <v>187</v>
      </c>
      <c r="AM1070" s="144"/>
      <c r="AN1070" s="130" t="s">
        <v>228</v>
      </c>
      <c r="AO1070" s="154" t="s">
        <v>187</v>
      </c>
      <c r="AP1070" s="144"/>
      <c r="AQ1070" s="130" t="s">
        <v>228</v>
      </c>
      <c r="AR1070" s="154" t="s">
        <v>187</v>
      </c>
      <c r="AS1070" s="144"/>
      <c r="AT1070" s="130" t="s">
        <v>228</v>
      </c>
      <c r="AU1070" s="154" t="s">
        <v>187</v>
      </c>
    </row>
    <row r="1071" spans="13:47" x14ac:dyDescent="0.25">
      <c r="M1071" s="20"/>
      <c r="N1071" s="20"/>
      <c r="O1071" s="7" t="s">
        <v>188</v>
      </c>
      <c r="P1071" s="7"/>
      <c r="Q1071" s="7"/>
      <c r="R1071" s="181">
        <f>P_1_minW-(R1069^2*R_up)+dpup_minQ</f>
        <v>100.52180690842052</v>
      </c>
      <c r="S1071" s="132"/>
      <c r="T1071" s="145"/>
      <c r="U1071" s="138">
        <f>P_1_minW-(U1069^2*R_up)+dpup_minQ</f>
        <v>100.14750958854997</v>
      </c>
      <c r="V1071" s="132"/>
      <c r="W1071" s="145"/>
      <c r="X1071" s="138">
        <f>P_1_minW-(X1069^2*R_up)+dpup_minQ</f>
        <v>98.227472512308921</v>
      </c>
      <c r="Y1071" s="132"/>
      <c r="Z1071" s="145"/>
      <c r="AA1071" s="138">
        <f>P_1_minW-(AA1069^2*R_up)+dpup_minQ</f>
        <v>91.815031061926717</v>
      </c>
      <c r="AB1071" s="132"/>
      <c r="AC1071" s="145"/>
      <c r="AD1071" s="138">
        <f>P_1_minW-(AD1069^2*R_up)+dpup_minQ</f>
        <v>76.969928764303873</v>
      </c>
      <c r="AE1071" s="132"/>
      <c r="AF1071" s="145"/>
      <c r="AG1071" s="138">
        <f>P_1_minW-(AG1069^2*R_up)+dpup_minQ</f>
        <v>54.189081609702527</v>
      </c>
      <c r="AH1071" s="132"/>
      <c r="AI1071" s="145"/>
      <c r="AJ1071" s="138">
        <f>P_1_minW-(AJ1069^2*R_up)+dpup_minQ</f>
        <v>25.822379055288593</v>
      </c>
      <c r="AK1071" s="132"/>
      <c r="AL1071" s="145"/>
      <c r="AM1071" s="138">
        <f>P_1_minW-(AM1069^2*R_up)+dpup_minQ</f>
        <v>-2.1858424873393862</v>
      </c>
      <c r="AN1071" s="132"/>
      <c r="AO1071" s="145"/>
      <c r="AP1071" s="138">
        <f>P_1_minW-(AP1069^2*R_up)+dpup_minQ</f>
        <v>-27.320272991745313</v>
      </c>
      <c r="AQ1071" s="132"/>
      <c r="AR1071" s="145"/>
      <c r="AS1071" s="138">
        <f>P_1_minW-(AS1069^2*R_up)+dpup_minQ</f>
        <v>-58.605497266386706</v>
      </c>
      <c r="AT1071" s="132"/>
      <c r="AU1071" s="145"/>
    </row>
    <row r="1072" spans="13:47" x14ac:dyDescent="0.25">
      <c r="M1072" s="20"/>
      <c r="N1072" s="20"/>
      <c r="O1072" s="7" t="s">
        <v>189</v>
      </c>
      <c r="P1072" s="1"/>
      <c r="Q1072" s="7"/>
      <c r="R1072" s="181">
        <f>P_2_minW+(R1069^2*R_dn)-dpdn_minQ</f>
        <v>50</v>
      </c>
      <c r="S1072" s="132"/>
      <c r="T1072" s="146"/>
      <c r="U1072" s="138">
        <f>P_2_minW+(U1069^2*R_dn)-dpdn_minQ</f>
        <v>50</v>
      </c>
      <c r="V1072" s="132"/>
      <c r="W1072" s="146"/>
      <c r="X1072" s="138">
        <f>P_2_minW+(X1069^2*R_dn)-dpdn_minQ</f>
        <v>50</v>
      </c>
      <c r="Y1072" s="132"/>
      <c r="Z1072" s="146"/>
      <c r="AA1072" s="138">
        <f>P_2_minW+(AA1069^2*R_dn)-dpdn_minQ</f>
        <v>50</v>
      </c>
      <c r="AB1072" s="132"/>
      <c r="AC1072" s="146"/>
      <c r="AD1072" s="138">
        <f>P_2_minW+(AD1069^2*R_dn)-dpdn_minQ</f>
        <v>50</v>
      </c>
      <c r="AE1072" s="132"/>
      <c r="AF1072" s="146"/>
      <c r="AG1072" s="138">
        <f>P_2_minW+(AG1069^2*R_dn)-dpdn_minQ</f>
        <v>50</v>
      </c>
      <c r="AH1072" s="132"/>
      <c r="AI1072" s="146"/>
      <c r="AJ1072" s="138">
        <f>P_2_minW+(AJ1069^2*R_dn)-dpdn_minQ</f>
        <v>50</v>
      </c>
      <c r="AK1072" s="132"/>
      <c r="AL1072" s="146"/>
      <c r="AM1072" s="138">
        <f>P_2_minW+(AM1069^2*R_dn)-dpdn_minQ</f>
        <v>50</v>
      </c>
      <c r="AN1072" s="132"/>
      <c r="AO1072" s="146"/>
      <c r="AP1072" s="138">
        <f>P_2_minW+(AP1069^2*R_dn)-dpdn_minQ</f>
        <v>50</v>
      </c>
      <c r="AQ1072" s="132"/>
      <c r="AR1072" s="146"/>
      <c r="AS1072" s="138">
        <f>P_2_minW+(AS1069^2*R_dn)-dpdn_minQ</f>
        <v>50</v>
      </c>
      <c r="AT1072" s="132"/>
      <c r="AU1072" s="146"/>
    </row>
    <row r="1073" spans="13:47" x14ac:dyDescent="0.25">
      <c r="M1073" s="20"/>
      <c r="N1073" s="20"/>
      <c r="O1073" s="7" t="s">
        <v>234</v>
      </c>
      <c r="P1073" s="1"/>
      <c r="Q1073" s="7"/>
      <c r="R1073" s="179">
        <f>'Valve Sizing'!G$8*R1071/P_1_maxW</f>
        <v>0.48489929972158957</v>
      </c>
      <c r="S1073" s="132"/>
      <c r="T1073" s="146"/>
      <c r="U1073" s="143">
        <f>'Valve Sizing'!$G$8*U1071/P_1_maxW</f>
        <v>0.48309375609006439</v>
      </c>
      <c r="V1073" s="132"/>
      <c r="W1073" s="146"/>
      <c r="X1073" s="143">
        <f>'Valve Sizing'!$G$8*X1071/P_1_maxW</f>
        <v>0.47383183907580922</v>
      </c>
      <c r="Y1073" s="132"/>
      <c r="Z1073" s="146"/>
      <c r="AA1073" s="143">
        <f>'Valve Sizing'!$G$8*AA1071/P_1_maxW</f>
        <v>0.44289936318399797</v>
      </c>
      <c r="AB1073" s="132"/>
      <c r="AC1073" s="146"/>
      <c r="AD1073" s="143">
        <f>'Valve Sizing'!$G$8*AD1071/P_1_maxW</f>
        <v>0.37128923270782482</v>
      </c>
      <c r="AE1073" s="132"/>
      <c r="AF1073" s="146"/>
      <c r="AG1073" s="143">
        <f>'Valve Sizing'!$G$8*AG1071/P_1_maxW</f>
        <v>0.26139848191387527</v>
      </c>
      <c r="AH1073" s="132"/>
      <c r="AI1073" s="146"/>
      <c r="AJ1073" s="143">
        <f>'Valve Sizing'!$G$8*AJ1071/P_1_maxW</f>
        <v>0.12456255917148658</v>
      </c>
      <c r="AK1073" s="132"/>
      <c r="AL1073" s="146"/>
      <c r="AM1073" s="143">
        <f>'Valve Sizing'!$G$8*AM1071/P_1_maxW</f>
        <v>-1.0544114993656952E-2</v>
      </c>
      <c r="AN1073" s="132"/>
      <c r="AO1073" s="146"/>
      <c r="AP1073" s="143">
        <f>'Valve Sizing'!$G$8*AP1071/P_1_maxW</f>
        <v>-0.13178813283737573</v>
      </c>
      <c r="AQ1073" s="132"/>
      <c r="AR1073" s="146"/>
      <c r="AS1073" s="143">
        <f>'Valve Sizing'!$G$8*AS1071/P_1_maxW</f>
        <v>-0.28270248474737614</v>
      </c>
      <c r="AT1073" s="132"/>
      <c r="AU1073" s="146"/>
    </row>
    <row r="1074" spans="13:47" x14ac:dyDescent="0.25">
      <c r="M1074" s="20"/>
      <c r="N1074" s="20"/>
      <c r="O1074" s="7" t="s">
        <v>190</v>
      </c>
      <c r="P1074" s="1"/>
      <c r="Q1074" s="7"/>
      <c r="R1074" s="181">
        <f>R1071-R1072</f>
        <v>50.521806908420515</v>
      </c>
      <c r="S1074" s="132"/>
      <c r="T1074" s="146"/>
      <c r="U1074" s="138">
        <f>U1071-U1072</f>
        <v>50.147509588549966</v>
      </c>
      <c r="V1074" s="132"/>
      <c r="W1074" s="146"/>
      <c r="X1074" s="138">
        <f>X1071-X1072</f>
        <v>48.227472512308921</v>
      </c>
      <c r="Y1074" s="132"/>
      <c r="Z1074" s="146"/>
      <c r="AA1074" s="138">
        <f>AA1071-AA1072</f>
        <v>41.815031061926717</v>
      </c>
      <c r="AB1074" s="132"/>
      <c r="AC1074" s="146"/>
      <c r="AD1074" s="138">
        <f>AD1071-AD1072</f>
        <v>26.969928764303873</v>
      </c>
      <c r="AE1074" s="132"/>
      <c r="AF1074" s="146"/>
      <c r="AG1074" s="138">
        <f>AG1071-AG1072</f>
        <v>4.1890816097025265</v>
      </c>
      <c r="AH1074" s="132"/>
      <c r="AI1074" s="146"/>
      <c r="AJ1074" s="138">
        <f>AJ1071-AJ1072</f>
        <v>-24.177620944711407</v>
      </c>
      <c r="AK1074" s="132"/>
      <c r="AL1074" s="146"/>
      <c r="AM1074" s="138">
        <f>AM1071-AM1072</f>
        <v>-52.185842487339386</v>
      </c>
      <c r="AN1074" s="132"/>
      <c r="AO1074" s="146"/>
      <c r="AP1074" s="138">
        <f>AP1071-AP1072</f>
        <v>-77.320272991745313</v>
      </c>
      <c r="AQ1074" s="132"/>
      <c r="AR1074" s="146"/>
      <c r="AS1074" s="138">
        <f>AS1071-AS1072</f>
        <v>-108.60549726638671</v>
      </c>
      <c r="AT1074" s="132"/>
      <c r="AU1074" s="146"/>
    </row>
    <row r="1075" spans="13:47" ht="14.5" x14ac:dyDescent="0.35">
      <c r="M1075" s="27"/>
      <c r="N1075" s="27"/>
      <c r="O1075" s="2" t="s">
        <v>191</v>
      </c>
      <c r="P1075" s="10"/>
      <c r="Q1075" s="2"/>
      <c r="R1075" s="181">
        <f>R1074/R1071</f>
        <v>0.50259549109028601</v>
      </c>
      <c r="S1075" s="132"/>
      <c r="T1075" s="146"/>
      <c r="U1075" s="138">
        <f>U1074/U1071</f>
        <v>0.50073646159128671</v>
      </c>
      <c r="V1075" s="132"/>
      <c r="W1075" s="146"/>
      <c r="X1075" s="138">
        <f>X1074/X1071</f>
        <v>0.49097743511893294</v>
      </c>
      <c r="Y1075" s="132"/>
      <c r="Z1075" s="146"/>
      <c r="AA1075" s="138">
        <f>AA1074/AA1071</f>
        <v>0.45542685743605127</v>
      </c>
      <c r="AB1075" s="132"/>
      <c r="AC1075" s="146"/>
      <c r="AD1075" s="138">
        <f>AD1074/AD1071</f>
        <v>0.35039565707395642</v>
      </c>
      <c r="AE1075" s="132"/>
      <c r="AF1075" s="146"/>
      <c r="AG1075" s="138">
        <f>AG1074/AG1071</f>
        <v>7.7304901379846858E-2</v>
      </c>
      <c r="AH1075" s="132"/>
      <c r="AI1075" s="146"/>
      <c r="AJ1075" s="138">
        <f>AJ1074/AJ1071</f>
        <v>-0.93630493506986423</v>
      </c>
      <c r="AK1075" s="132"/>
      <c r="AL1075" s="146"/>
      <c r="AM1075" s="138">
        <f>AM1074/AM1071</f>
        <v>23.874475306251433</v>
      </c>
      <c r="AN1075" s="132"/>
      <c r="AO1075" s="146"/>
      <c r="AP1075" s="138">
        <f>AP1074/AP1071</f>
        <v>2.8301427666958987</v>
      </c>
      <c r="AQ1075" s="132"/>
      <c r="AR1075" s="146"/>
      <c r="AS1075" s="138">
        <f>AS1074/AS1071</f>
        <v>1.8531622856594647</v>
      </c>
      <c r="AT1075" s="132"/>
      <c r="AU1075" s="146"/>
    </row>
    <row r="1076" spans="13:47" x14ac:dyDescent="0.25">
      <c r="M1076" s="27"/>
      <c r="N1076" s="27"/>
      <c r="O1076" s="2" t="s">
        <v>26</v>
      </c>
      <c r="P1076" s="7">
        <v>12</v>
      </c>
      <c r="Q1076" s="2"/>
      <c r="R1076" s="181">
        <f>1-R1075/(3*F_GAMMA*R$29)</f>
        <v>0.73824250893378318</v>
      </c>
      <c r="S1076" s="133"/>
      <c r="T1076" s="146"/>
      <c r="U1076" s="138">
        <f>1-U1075/(3*F_GAMMA*U$29)</f>
        <v>0.73926813210655307</v>
      </c>
      <c r="V1076" s="133"/>
      <c r="W1076" s="146"/>
      <c r="X1076" s="138">
        <f>1-X1075/(3*F_GAMMA*X$29)</f>
        <v>0.74051446337966742</v>
      </c>
      <c r="Y1076" s="133"/>
      <c r="Z1076" s="146"/>
      <c r="AA1076" s="138">
        <f>1-AA1075/(3*F_GAMMA*AA$29)</f>
        <v>0.75600294290546777</v>
      </c>
      <c r="AB1076" s="133"/>
      <c r="AC1076" s="146"/>
      <c r="AD1076" s="138">
        <f>1-AD1075/(3*F_GAMMA*AD$29)</f>
        <v>0.80712684643862753</v>
      </c>
      <c r="AE1076" s="133"/>
      <c r="AF1076" s="146"/>
      <c r="AG1076" s="138">
        <f>1-AG1075/(3*F_GAMMA*AG$29)</f>
        <v>0.95502075431487399</v>
      </c>
      <c r="AH1076" s="133"/>
      <c r="AI1076" s="146"/>
      <c r="AJ1076" s="138">
        <f>1-AJ1075/(3*F_GAMMA*AJ$29)</f>
        <v>1.5823789413396303</v>
      </c>
      <c r="AK1076" s="133"/>
      <c r="AL1076" s="146"/>
      <c r="AM1076" s="138">
        <f>1-AM1075/(3*F_GAMMA*AM$29)</f>
        <v>-15.224975639138073</v>
      </c>
      <c r="AN1076" s="133"/>
      <c r="AO1076" s="146"/>
      <c r="AP1076" s="138">
        <f>1-AP1075/(3*F_GAMMA*AP$29)</f>
        <v>-0.58944157120269147</v>
      </c>
      <c r="AQ1076" s="133"/>
      <c r="AR1076" s="146"/>
      <c r="AS1076" s="138">
        <f>1-AS1075/(3*F_GAMMA*AS$29)</f>
        <v>-0.57996078376433036</v>
      </c>
      <c r="AT1076" s="133"/>
      <c r="AU1076" s="146"/>
    </row>
    <row r="1077" spans="13:47" x14ac:dyDescent="0.25">
      <c r="M1077" s="27"/>
      <c r="N1077" s="27"/>
      <c r="O1077" s="2" t="s">
        <v>71</v>
      </c>
      <c r="P1077" s="85">
        <v>5</v>
      </c>
      <c r="Q1077" s="2"/>
      <c r="R1077" s="179">
        <f>R1069/((N_6*R$27*R1076)*SQRT(R1075*R1071*R1073))</f>
        <v>0.21433923783095693</v>
      </c>
      <c r="S1077" s="133"/>
      <c r="T1077" s="146"/>
      <c r="U1077" s="143">
        <f>U1069/((N_6*U$27*U1076)*SQRT(U1075*U1071*U1073))</f>
        <v>4.2149710523207009</v>
      </c>
      <c r="V1077" s="133"/>
      <c r="W1077" s="146"/>
      <c r="X1077" s="143">
        <f>X1069/((N_6*X$27*X1076)*SQRT(X1075*X1071*X1073))</f>
        <v>10.738670088575137</v>
      </c>
      <c r="Y1077" s="133"/>
      <c r="Z1077" s="146"/>
      <c r="AA1077" s="143">
        <f>AA1069/((N_6*AA$27*AA1076)*SQRT(AA1075*AA1071*AA1073))</f>
        <v>22.888841734964164</v>
      </c>
      <c r="AB1077" s="133"/>
      <c r="AC1077" s="146"/>
      <c r="AD1077" s="143">
        <f>AD1069/((N_6*AD$27*AD1076)*SQRT(AD1075*AD1071*AD1073))</f>
        <v>48.522318176825941</v>
      </c>
      <c r="AE1077" s="133"/>
      <c r="AF1077" s="146"/>
      <c r="AG1077" s="143">
        <f>AG1069/((N_6*AG$27*AG1076)*SQRT(AG1075*AG1071*AG1073))</f>
        <v>177.68595104863522</v>
      </c>
      <c r="AH1077" s="133"/>
      <c r="AI1077" s="146"/>
      <c r="AJ1077" s="143" t="e">
        <f>AJ1069/((N_6*AJ$27*AJ1076)*SQRT(AJ1075*AJ1071*AJ1073))</f>
        <v>#NUM!</v>
      </c>
      <c r="AK1077" s="133"/>
      <c r="AL1077" s="146"/>
      <c r="AM1077" s="143">
        <f>AM1069/((N_6*AM$27*AM1076)*SQRT(AM1075*AM1071*AM1073))</f>
        <v>-25.700264322884554</v>
      </c>
      <c r="AN1077" s="133"/>
      <c r="AO1077" s="146"/>
      <c r="AP1077" s="143">
        <f>AP1069/((N_6*AP$27*AP1076)*SQRT(AP1075*AP1071*AP1073))</f>
        <v>-195.49661566990181</v>
      </c>
      <c r="AQ1077" s="133"/>
      <c r="AR1077" s="146"/>
      <c r="AS1077" s="143">
        <f>AS1069/((N_6*AS$27*AS1076)*SQRT(AS1075*AS1071*AS1073))</f>
        <v>-167.80234755486805</v>
      </c>
      <c r="AT1077" s="133"/>
      <c r="AU1077" s="146"/>
    </row>
    <row r="1078" spans="13:47" x14ac:dyDescent="0.25">
      <c r="M1078" s="27"/>
      <c r="N1078" s="27"/>
      <c r="O1078" s="2" t="s">
        <v>73</v>
      </c>
      <c r="P1078" s="85">
        <v>5</v>
      </c>
      <c r="Q1078" s="2"/>
      <c r="R1078" s="179">
        <f>R1069/((N_6*R$27*0.667)*SQRT(R1079*R1071*R1073))</f>
        <v>0.21022534989146496</v>
      </c>
      <c r="S1078" s="133"/>
      <c r="T1078" s="155"/>
      <c r="U1078" s="143">
        <f>U1069/((N_6*U$27*0.667)*SQRT(U1079*U1071*U1073))</f>
        <v>4.1316966977568965</v>
      </c>
      <c r="V1078" s="133"/>
      <c r="W1078" s="155"/>
      <c r="X1078" s="143">
        <f>X1069/((N_6*X$27*0.667)*SQRT(X1079*X1071*X1073))</f>
        <v>10.519023298290973</v>
      </c>
      <c r="Y1078" s="133"/>
      <c r="Z1078" s="155"/>
      <c r="AA1078" s="143">
        <f>AA1069/((N_6*AA$27*0.667)*SQRT(AA1079*AA1071*AA1073))</f>
        <v>22.195983325534733</v>
      </c>
      <c r="AB1078" s="133"/>
      <c r="AC1078" s="155"/>
      <c r="AD1078" s="143">
        <f>AD1069/((N_6*AD$27*0.667)*SQRT(AD1079*AD1071*AD1073))</f>
        <v>44.663630135755973</v>
      </c>
      <c r="AE1078" s="133"/>
      <c r="AF1078" s="155"/>
      <c r="AG1078" s="143">
        <f>AG1069/((N_6*AG$27*0.667)*SQRT(AG1079*AG1071*AG1073))</f>
        <v>93.455911630680305</v>
      </c>
      <c r="AH1078" s="133"/>
      <c r="AI1078" s="155"/>
      <c r="AJ1078" s="143">
        <f>AJ1069/((N_6*AJ$27*0.667)*SQRT(AJ1079*AJ1071*AJ1073))</f>
        <v>266.30938388406577</v>
      </c>
      <c r="AK1078" s="133"/>
      <c r="AL1078" s="155"/>
      <c r="AM1078" s="143">
        <f>AM1069/((N_6*AM$27*0.667)*SQRT(AM1079*AM1071*AM1073))</f>
        <v>4092.804653164741</v>
      </c>
      <c r="AN1078" s="133"/>
      <c r="AO1078" s="155"/>
      <c r="AP1078" s="143">
        <f>AP1069/((N_6*AP$27*0.667)*SQRT(AP1079*AP1071*AP1073))</f>
        <v>377.25680521173314</v>
      </c>
      <c r="AQ1078" s="133"/>
      <c r="AR1078" s="155"/>
      <c r="AS1078" s="143">
        <f>AS1069/((N_6*AS$27*0.667)*SQRT(AS1079*AS1071*AS1073))</f>
        <v>317.6542041434742</v>
      </c>
      <c r="AT1078" s="133"/>
      <c r="AU1078" s="155"/>
    </row>
    <row r="1079" spans="13:47" ht="15.5" x14ac:dyDescent="0.4">
      <c r="M1079" s="27"/>
      <c r="N1079" s="27"/>
      <c r="O1079" s="2" t="s">
        <v>192</v>
      </c>
      <c r="P1079" s="85">
        <v>10</v>
      </c>
      <c r="Q1079" s="2"/>
      <c r="R1079" s="181">
        <f>F_GAMMA*R$29</f>
        <v>0.64002688015162901</v>
      </c>
      <c r="S1079" s="133"/>
      <c r="T1079" s="155"/>
      <c r="U1079" s="138">
        <f>F_GAMMA*U$29</f>
        <v>0.64016782916606918</v>
      </c>
      <c r="V1079" s="133"/>
      <c r="W1079" s="155"/>
      <c r="X1079" s="138">
        <f>F_GAMMA*X$29</f>
        <v>0.6307062319203669</v>
      </c>
      <c r="Y1079" s="133"/>
      <c r="Z1079" s="155"/>
      <c r="AA1079" s="138">
        <f>F_GAMMA*AA$29</f>
        <v>0.62217534213893466</v>
      </c>
      <c r="AB1079" s="133"/>
      <c r="AC1079" s="155"/>
      <c r="AD1079" s="138">
        <f>F_GAMMA*AD$29</f>
        <v>0.60557184969146072</v>
      </c>
      <c r="AE1079" s="133"/>
      <c r="AF1079" s="155"/>
      <c r="AG1079" s="138">
        <f>F_GAMMA*AG$29</f>
        <v>0.57289312142622573</v>
      </c>
      <c r="AH1079" s="133"/>
      <c r="AI1079" s="155"/>
      <c r="AJ1079" s="138">
        <f>F_GAMMA*AJ$29</f>
        <v>0.53590819116049981</v>
      </c>
      <c r="AK1079" s="133"/>
      <c r="AL1079" s="155"/>
      <c r="AM1079" s="138">
        <f>F_GAMMA*AM$29</f>
        <v>0.49048815926850342</v>
      </c>
      <c r="AN1079" s="133"/>
      <c r="AO1079" s="155"/>
      <c r="AP1079" s="138">
        <f>F_GAMMA*AP$29</f>
        <v>0.59352979016280105</v>
      </c>
      <c r="AQ1079" s="133"/>
      <c r="AR1079" s="155"/>
      <c r="AS1079" s="138">
        <f>F_GAMMA*AS$29</f>
        <v>0.39097221161068291</v>
      </c>
      <c r="AT1079" s="133"/>
      <c r="AU1079" s="155"/>
    </row>
    <row r="1080" spans="13:47" x14ac:dyDescent="0.25">
      <c r="M1080" s="27"/>
      <c r="N1080" s="27"/>
      <c r="O1080" s="2" t="s">
        <v>193</v>
      </c>
      <c r="P1080" s="134"/>
      <c r="Q1080" s="2"/>
      <c r="R1080" s="181">
        <f>IF(R1075&lt;R1079,R1077,R1078)</f>
        <v>0.21433923783095693</v>
      </c>
      <c r="S1080" s="133"/>
      <c r="T1080" s="155"/>
      <c r="U1080" s="138">
        <f>IF(U1075&lt;U1079,U1077,U1078)</f>
        <v>4.2149710523207009</v>
      </c>
      <c r="V1080" s="133"/>
      <c r="W1080" s="155"/>
      <c r="X1080" s="138">
        <f>IF(X1075&lt;X1079,X1077,X1078)</f>
        <v>10.738670088575137</v>
      </c>
      <c r="Y1080" s="133"/>
      <c r="Z1080" s="155"/>
      <c r="AA1080" s="138">
        <f>IF(AA1075&lt;AA1079,AA1077,AA1078)</f>
        <v>22.888841734964164</v>
      </c>
      <c r="AB1080" s="133"/>
      <c r="AC1080" s="155"/>
      <c r="AD1080" s="138">
        <f>IF(AD1075&lt;AD1079,AD1077,AD1078)</f>
        <v>48.522318176825941</v>
      </c>
      <c r="AE1080" s="133"/>
      <c r="AF1080" s="155"/>
      <c r="AG1080" s="138">
        <f>IF(AG1075&lt;AG1079,AG1077,AG1078)</f>
        <v>177.68595104863522</v>
      </c>
      <c r="AH1080" s="133"/>
      <c r="AI1080" s="155"/>
      <c r="AJ1080" s="138" t="e">
        <f>IF(AJ1075&lt;AJ1079,AJ1077,AJ1078)</f>
        <v>#NUM!</v>
      </c>
      <c r="AK1080" s="133"/>
      <c r="AL1080" s="155"/>
      <c r="AM1080" s="138">
        <f>IF(AM1075&lt;AM1079,AM1077,AM1078)</f>
        <v>4092.804653164741</v>
      </c>
      <c r="AN1080" s="133"/>
      <c r="AO1080" s="155"/>
      <c r="AP1080" s="138">
        <f>IF(AP1075&lt;AP1079,AP1077,AP1078)</f>
        <v>377.25680521173314</v>
      </c>
      <c r="AQ1080" s="133"/>
      <c r="AR1080" s="155"/>
      <c r="AS1080" s="138">
        <f>IF(AS1075&lt;AS1079,AS1077,AS1078)</f>
        <v>317.6542041434742</v>
      </c>
      <c r="AT1080" s="133"/>
      <c r="AU1080" s="155"/>
    </row>
    <row r="1081" spans="13:47" ht="13" x14ac:dyDescent="0.3">
      <c r="M1081" s="28"/>
      <c r="N1081" s="28"/>
      <c r="O1081" s="9" t="s">
        <v>194</v>
      </c>
      <c r="P1081" s="1"/>
      <c r="Q1081" s="1"/>
      <c r="R1081" s="135"/>
      <c r="S1081" s="132">
        <f>IF(R1074&lt;=0,W_max,ABS(R$23-R1080))</f>
        <v>1.785660762169043</v>
      </c>
      <c r="T1081" s="151">
        <f>R1069</f>
        <v>49.569917609031208</v>
      </c>
      <c r="U1081" s="135"/>
      <c r="V1081" s="132">
        <f>IF(U1074&lt;=0,W_max,ABS(U$23-U1080))</f>
        <v>0.78502894767929909</v>
      </c>
      <c r="W1081" s="151">
        <f>U1069</f>
        <v>970.10616845193488</v>
      </c>
      <c r="X1081" s="135"/>
      <c r="Y1081" s="132">
        <f>IF(X1074&lt;=0,W_max,ABS(X$23-X1080))</f>
        <v>0.73867008857513738</v>
      </c>
      <c r="Z1081" s="151">
        <f>X1069</f>
        <v>2399.187998568947</v>
      </c>
      <c r="AA1081" s="135"/>
      <c r="AB1081" s="132">
        <f>IF(AA1074&lt;=0,W_max,ABS(AA$23-AA1080))</f>
        <v>5.6888417349641642</v>
      </c>
      <c r="AC1081" s="151">
        <f>AA1069</f>
        <v>4673.0058394799225</v>
      </c>
      <c r="AD1081" s="135"/>
      <c r="AE1081" s="132">
        <f>IF(AD1074&lt;=0,W_max,ABS(AD$23-AD1080))</f>
        <v>21.922318176825939</v>
      </c>
      <c r="AF1081" s="151">
        <f>AD1069</f>
        <v>7685.3741072709645</v>
      </c>
      <c r="AG1081" s="135"/>
      <c r="AH1081" s="132">
        <f>IF(AG1074&lt;=0,W_max,ABS(AG$23-AG1080))</f>
        <v>139.28595104863521</v>
      </c>
      <c r="AI1081" s="151">
        <f>AG1069</f>
        <v>10779.328852961778</v>
      </c>
      <c r="AJ1081" s="135"/>
      <c r="AK1081" s="132">
        <f>IF(AJ1074&lt;=0,W_max,ABS(AJ$23-AJ1080))</f>
        <v>7174</v>
      </c>
      <c r="AL1081" s="151">
        <f>AJ1069</f>
        <v>13686.88733252535</v>
      </c>
      <c r="AM1081" s="135"/>
      <c r="AN1081" s="132">
        <f>IF(AM1074&lt;=0,W_max,ABS(AM$23-AM1080))</f>
        <v>7174</v>
      </c>
      <c r="AO1081" s="151">
        <f>AM1069</f>
        <v>16048.951801595909</v>
      </c>
      <c r="AP1081" s="135"/>
      <c r="AQ1081" s="132">
        <f>IF(AP1074&lt;=0,W_max,ABS(AP$23-AP1080))</f>
        <v>7174</v>
      </c>
      <c r="AR1081" s="151">
        <f>AP1069</f>
        <v>17905.307522197862</v>
      </c>
      <c r="AS1081" s="135"/>
      <c r="AT1081" s="132">
        <f>IF(AS1074&lt;=0,W_max,ABS(AS$23-AS1080))</f>
        <v>7174</v>
      </c>
      <c r="AU1081" s="151">
        <f>AS1069</f>
        <v>19976.384839824546</v>
      </c>
    </row>
    <row r="1082" spans="13:47" ht="13" x14ac:dyDescent="0.25">
      <c r="M1082" s="12"/>
      <c r="N1082" s="12"/>
      <c r="O1082" s="2"/>
      <c r="P1082" s="85"/>
      <c r="Q1082" s="2"/>
      <c r="R1082" s="18"/>
      <c r="S1082" s="150"/>
      <c r="T1082" s="148"/>
      <c r="U1082" s="157"/>
      <c r="V1082" s="1"/>
      <c r="W1082" s="147"/>
      <c r="X1082" s="157"/>
      <c r="Y1082" s="1"/>
      <c r="Z1082" s="147"/>
      <c r="AA1082" s="157"/>
      <c r="AB1082" s="1"/>
      <c r="AC1082" s="147"/>
      <c r="AD1082" s="157"/>
      <c r="AE1082" s="1"/>
      <c r="AF1082" s="147"/>
      <c r="AG1082" s="157"/>
      <c r="AH1082" s="1"/>
      <c r="AI1082" s="147"/>
      <c r="AJ1082" s="157"/>
      <c r="AK1082" s="1"/>
      <c r="AL1082" s="147"/>
      <c r="AM1082" s="157"/>
      <c r="AN1082" s="1"/>
      <c r="AO1082" s="147"/>
      <c r="AP1082" s="157"/>
      <c r="AQ1082" s="1"/>
      <c r="AR1082" s="147"/>
      <c r="AS1082" s="157"/>
      <c r="AT1082" s="1"/>
      <c r="AU1082" s="147"/>
    </row>
    <row r="1083" spans="13:47" ht="14" x14ac:dyDescent="0.3">
      <c r="M1083" s="23"/>
      <c r="N1083" s="23"/>
      <c r="O1083" s="23" t="s">
        <v>238</v>
      </c>
      <c r="P1083" s="20"/>
      <c r="Q1083" s="20"/>
      <c r="R1083" s="181">
        <f>R1069*1.02</f>
        <v>50.561315961211832</v>
      </c>
      <c r="S1083" s="128" t="s">
        <v>185</v>
      </c>
      <c r="T1083" s="149" t="s">
        <v>186</v>
      </c>
      <c r="U1083" s="143">
        <f>U1069*1.01</f>
        <v>979.80723013645422</v>
      </c>
      <c r="V1083" s="128" t="s">
        <v>185</v>
      </c>
      <c r="W1083" s="153" t="s">
        <v>186</v>
      </c>
      <c r="X1083" s="143">
        <f>X1069*1.01</f>
        <v>2423.1798785546366</v>
      </c>
      <c r="Y1083" s="128" t="s">
        <v>185</v>
      </c>
      <c r="Z1083" s="153" t="s">
        <v>186</v>
      </c>
      <c r="AA1083" s="143">
        <f>AA1069*1.01</f>
        <v>4719.7358978747216</v>
      </c>
      <c r="AB1083" s="128" t="s">
        <v>185</v>
      </c>
      <c r="AC1083" s="153" t="s">
        <v>186</v>
      </c>
      <c r="AD1083" s="143">
        <f>AD1069*1.01</f>
        <v>7762.2278483436739</v>
      </c>
      <c r="AE1083" s="128" t="s">
        <v>185</v>
      </c>
      <c r="AF1083" s="153" t="s">
        <v>186</v>
      </c>
      <c r="AG1083" s="143">
        <f>AG1069*1.01</f>
        <v>10887.122141491396</v>
      </c>
      <c r="AH1083" s="128" t="s">
        <v>185</v>
      </c>
      <c r="AI1083" s="153" t="s">
        <v>186</v>
      </c>
      <c r="AJ1083" s="143">
        <f>AJ1069*1.01</f>
        <v>13823.756205850603</v>
      </c>
      <c r="AK1083" s="128" t="s">
        <v>185</v>
      </c>
      <c r="AL1083" s="153" t="s">
        <v>186</v>
      </c>
      <c r="AM1083" s="143">
        <f>AM1069*1.01</f>
        <v>16209.441319611869</v>
      </c>
      <c r="AN1083" s="128" t="s">
        <v>185</v>
      </c>
      <c r="AO1083" s="153" t="s">
        <v>186</v>
      </c>
      <c r="AP1083" s="143">
        <f>AP1069*1.01</f>
        <v>18084.36059741984</v>
      </c>
      <c r="AQ1083" s="128" t="s">
        <v>185</v>
      </c>
      <c r="AR1083" s="153" t="s">
        <v>186</v>
      </c>
      <c r="AS1083" s="143">
        <f>AS1069*1.01</f>
        <v>20176.148688222791</v>
      </c>
      <c r="AT1083" s="128" t="s">
        <v>185</v>
      </c>
      <c r="AU1083" s="153" t="s">
        <v>186</v>
      </c>
    </row>
    <row r="1084" spans="13:47" ht="14" x14ac:dyDescent="0.3">
      <c r="M1084" s="12"/>
      <c r="N1084" s="12"/>
      <c r="O1084" s="20"/>
      <c r="P1084" s="20"/>
      <c r="Q1084" s="23"/>
      <c r="R1084" s="139"/>
      <c r="S1084" s="130" t="s">
        <v>228</v>
      </c>
      <c r="T1084" s="131" t="s">
        <v>187</v>
      </c>
      <c r="U1084" s="144"/>
      <c r="V1084" s="130" t="s">
        <v>228</v>
      </c>
      <c r="W1084" s="154" t="s">
        <v>187</v>
      </c>
      <c r="X1084" s="144"/>
      <c r="Y1084" s="130" t="s">
        <v>228</v>
      </c>
      <c r="Z1084" s="154" t="s">
        <v>187</v>
      </c>
      <c r="AA1084" s="144"/>
      <c r="AB1084" s="130" t="s">
        <v>228</v>
      </c>
      <c r="AC1084" s="154" t="s">
        <v>187</v>
      </c>
      <c r="AD1084" s="144"/>
      <c r="AE1084" s="130" t="s">
        <v>228</v>
      </c>
      <c r="AF1084" s="154" t="s">
        <v>187</v>
      </c>
      <c r="AG1084" s="144"/>
      <c r="AH1084" s="130" t="s">
        <v>228</v>
      </c>
      <c r="AI1084" s="154" t="s">
        <v>187</v>
      </c>
      <c r="AJ1084" s="144"/>
      <c r="AK1084" s="130" t="s">
        <v>228</v>
      </c>
      <c r="AL1084" s="154" t="s">
        <v>187</v>
      </c>
      <c r="AM1084" s="144"/>
      <c r="AN1084" s="130" t="s">
        <v>228</v>
      </c>
      <c r="AO1084" s="154" t="s">
        <v>187</v>
      </c>
      <c r="AP1084" s="144"/>
      <c r="AQ1084" s="130" t="s">
        <v>228</v>
      </c>
      <c r="AR1084" s="154" t="s">
        <v>187</v>
      </c>
      <c r="AS1084" s="144"/>
      <c r="AT1084" s="130" t="s">
        <v>228</v>
      </c>
      <c r="AU1084" s="154" t="s">
        <v>187</v>
      </c>
    </row>
    <row r="1085" spans="13:47" x14ac:dyDescent="0.25">
      <c r="M1085" s="20"/>
      <c r="N1085" s="20"/>
      <c r="O1085" s="7" t="s">
        <v>188</v>
      </c>
      <c r="P1085" s="7"/>
      <c r="Q1085" s="7"/>
      <c r="R1085" s="181">
        <f>P_1_minW-(R1083^2*R_up)+dpup_minQ</f>
        <v>100.52176732335694</v>
      </c>
      <c r="S1085" s="132"/>
      <c r="T1085" s="145"/>
      <c r="U1085" s="138">
        <f>P_1_minW-(U1083^2*R_up)+dpup_minQ</f>
        <v>100.13996651787161</v>
      </c>
      <c r="V1085" s="132"/>
      <c r="W1085" s="145"/>
      <c r="X1085" s="138">
        <f>P_1_minW-(X1083^2*R_up)+dpup_minQ</f>
        <v>98.18133669639812</v>
      </c>
      <c r="Y1085" s="132"/>
      <c r="Z1085" s="145"/>
      <c r="AA1085" s="138">
        <f>P_1_minW-(AA1083^2*R_up)+dpup_minQ</f>
        <v>91.640005172863241</v>
      </c>
      <c r="AB1085" s="132"/>
      <c r="AC1085" s="145"/>
      <c r="AD1085" s="138">
        <f>P_1_minW-(AD1083^2*R_up)+dpup_minQ</f>
        <v>76.496516319058173</v>
      </c>
      <c r="AE1085" s="132"/>
      <c r="AF1085" s="145"/>
      <c r="AG1085" s="138">
        <f>P_1_minW-(AG1083^2*R_up)+dpup_minQ</f>
        <v>53.257774136649338</v>
      </c>
      <c r="AH1085" s="132"/>
      <c r="AI1085" s="145"/>
      <c r="AJ1085" s="138">
        <f>P_1_minW-(AJ1083^2*R_up)+dpup_minQ</f>
        <v>24.320900860891697</v>
      </c>
      <c r="AK1085" s="132"/>
      <c r="AL1085" s="145"/>
      <c r="AM1085" s="138">
        <f>P_1_minW-(AM1083^2*R_up)+dpup_minQ</f>
        <v>-4.2502859347431334</v>
      </c>
      <c r="AN1085" s="132"/>
      <c r="AO1085" s="145"/>
      <c r="AP1085" s="138">
        <f>P_1_minW-(AP1083^2*R_up)+dpup_minQ</f>
        <v>-29.889918492287606</v>
      </c>
      <c r="AQ1085" s="132"/>
      <c r="AR1085" s="145"/>
      <c r="AS1085" s="138">
        <f>P_1_minW-(AS1083^2*R_up)+dpup_minQ</f>
        <v>-61.803975774849263</v>
      </c>
      <c r="AT1085" s="132"/>
      <c r="AU1085" s="145"/>
    </row>
    <row r="1086" spans="13:47" x14ac:dyDescent="0.25">
      <c r="M1086" s="20"/>
      <c r="N1086" s="20"/>
      <c r="O1086" s="7" t="s">
        <v>189</v>
      </c>
      <c r="P1086" s="1"/>
      <c r="Q1086" s="7"/>
      <c r="R1086" s="181">
        <f>P_2_minW+(R1083^2*R_dn)-dpdn_minQ</f>
        <v>50</v>
      </c>
      <c r="S1086" s="132"/>
      <c r="T1086" s="146"/>
      <c r="U1086" s="138">
        <f>P_2_minW+(U1083^2*R_dn)-dpdn_minQ</f>
        <v>50</v>
      </c>
      <c r="V1086" s="132"/>
      <c r="W1086" s="146"/>
      <c r="X1086" s="138">
        <f>P_2_minW+(X1083^2*R_dn)-dpdn_minQ</f>
        <v>50</v>
      </c>
      <c r="Y1086" s="132"/>
      <c r="Z1086" s="146"/>
      <c r="AA1086" s="138">
        <f>P_2_minW+(AA1083^2*R_dn)-dpdn_minQ</f>
        <v>50</v>
      </c>
      <c r="AB1086" s="132"/>
      <c r="AC1086" s="146"/>
      <c r="AD1086" s="138">
        <f>P_2_minW+(AD1083^2*R_dn)-dpdn_minQ</f>
        <v>50</v>
      </c>
      <c r="AE1086" s="132"/>
      <c r="AF1086" s="146"/>
      <c r="AG1086" s="138">
        <f>P_2_minW+(AG1083^2*R_dn)-dpdn_minQ</f>
        <v>50</v>
      </c>
      <c r="AH1086" s="132"/>
      <c r="AI1086" s="146"/>
      <c r="AJ1086" s="138">
        <f>P_2_minW+(AJ1083^2*R_dn)-dpdn_minQ</f>
        <v>50</v>
      </c>
      <c r="AK1086" s="132"/>
      <c r="AL1086" s="146"/>
      <c r="AM1086" s="138">
        <f>P_2_minW+(AM1083^2*R_dn)-dpdn_minQ</f>
        <v>50</v>
      </c>
      <c r="AN1086" s="132"/>
      <c r="AO1086" s="146"/>
      <c r="AP1086" s="138">
        <f>P_2_minW+(AP1083^2*R_dn)-dpdn_minQ</f>
        <v>50</v>
      </c>
      <c r="AQ1086" s="132"/>
      <c r="AR1086" s="146"/>
      <c r="AS1086" s="138">
        <f>P_2_minW+(AS1083^2*R_dn)-dpdn_minQ</f>
        <v>50</v>
      </c>
      <c r="AT1086" s="132"/>
      <c r="AU1086" s="146"/>
    </row>
    <row r="1087" spans="13:47" x14ac:dyDescent="0.25">
      <c r="M1087" s="20"/>
      <c r="N1087" s="20"/>
      <c r="O1087" s="7" t="s">
        <v>234</v>
      </c>
      <c r="P1087" s="1"/>
      <c r="Q1087" s="7"/>
      <c r="R1087" s="179">
        <f>'Valve Sizing'!G$8*R1085/P_1_maxW</f>
        <v>0.48489910877029052</v>
      </c>
      <c r="S1087" s="132"/>
      <c r="T1087" s="146"/>
      <c r="U1087" s="143">
        <f>'Valve Sizing'!$G$8*U1085/P_1_maxW</f>
        <v>0.48305736966007301</v>
      </c>
      <c r="V1087" s="132"/>
      <c r="W1087" s="146"/>
      <c r="X1087" s="143">
        <f>'Valve Sizing'!$G$8*X1085/P_1_maxW</f>
        <v>0.47360928811383129</v>
      </c>
      <c r="Y1087" s="132"/>
      <c r="Z1087" s="146"/>
      <c r="AA1087" s="143">
        <f>'Valve Sizing'!$G$8*AA1085/P_1_maxW</f>
        <v>0.44205506945659467</v>
      </c>
      <c r="AB1087" s="132"/>
      <c r="AC1087" s="146"/>
      <c r="AD1087" s="143">
        <f>'Valve Sizing'!$G$8*AD1085/P_1_maxW</f>
        <v>0.36900557535785039</v>
      </c>
      <c r="AE1087" s="132"/>
      <c r="AF1087" s="146"/>
      <c r="AG1087" s="143">
        <f>'Valve Sizing'!$G$8*AG1085/P_1_maxW</f>
        <v>0.25690602047294242</v>
      </c>
      <c r="AH1087" s="132"/>
      <c r="AI1087" s="146"/>
      <c r="AJ1087" s="143">
        <f>'Valve Sizing'!$G$8*AJ1085/P_1_maxW</f>
        <v>0.11731969568343181</v>
      </c>
      <c r="AK1087" s="132"/>
      <c r="AL1087" s="146"/>
      <c r="AM1087" s="143">
        <f>'Valve Sizing'!$G$8*AM1085/P_1_maxW</f>
        <v>-2.0502622632431255E-2</v>
      </c>
      <c r="AN1087" s="132"/>
      <c r="AO1087" s="146"/>
      <c r="AP1087" s="143">
        <f>'Valve Sizing'!$G$8*AP1085/P_1_maxW</f>
        <v>-0.14418364523480873</v>
      </c>
      <c r="AQ1087" s="132"/>
      <c r="AR1087" s="146"/>
      <c r="AS1087" s="143">
        <f>'Valve Sizing'!$G$8*AS1085/P_1_maxW</f>
        <v>-0.29813137561820002</v>
      </c>
      <c r="AT1087" s="132"/>
      <c r="AU1087" s="146"/>
    </row>
    <row r="1088" spans="13:47" x14ac:dyDescent="0.25">
      <c r="M1088" s="20"/>
      <c r="N1088" s="20"/>
      <c r="O1088" s="7" t="s">
        <v>190</v>
      </c>
      <c r="P1088" s="1"/>
      <c r="Q1088" s="7"/>
      <c r="R1088" s="181">
        <f>R1085-R1086</f>
        <v>50.52176732335694</v>
      </c>
      <c r="S1088" s="132"/>
      <c r="T1088" s="146"/>
      <c r="U1088" s="138">
        <f>U1085-U1086</f>
        <v>50.139966517871613</v>
      </c>
      <c r="V1088" s="132"/>
      <c r="W1088" s="146"/>
      <c r="X1088" s="138">
        <f>X1085-X1086</f>
        <v>48.18133669639812</v>
      </c>
      <c r="Y1088" s="132"/>
      <c r="Z1088" s="146"/>
      <c r="AA1088" s="138">
        <f>AA1085-AA1086</f>
        <v>41.640005172863241</v>
      </c>
      <c r="AB1088" s="132"/>
      <c r="AC1088" s="146"/>
      <c r="AD1088" s="138">
        <f>AD1085-AD1086</f>
        <v>26.496516319058173</v>
      </c>
      <c r="AE1088" s="132"/>
      <c r="AF1088" s="146"/>
      <c r="AG1088" s="138">
        <f>AG1085-AG1086</f>
        <v>3.2577741366493385</v>
      </c>
      <c r="AH1088" s="132"/>
      <c r="AI1088" s="146"/>
      <c r="AJ1088" s="138">
        <f>AJ1085-AJ1086</f>
        <v>-25.679099139108303</v>
      </c>
      <c r="AK1088" s="132"/>
      <c r="AL1088" s="146"/>
      <c r="AM1088" s="138">
        <f>AM1085-AM1086</f>
        <v>-54.250285934743133</v>
      </c>
      <c r="AN1088" s="132"/>
      <c r="AO1088" s="146"/>
      <c r="AP1088" s="138">
        <f>AP1085-AP1086</f>
        <v>-79.889918492287606</v>
      </c>
      <c r="AQ1088" s="132"/>
      <c r="AR1088" s="146"/>
      <c r="AS1088" s="138">
        <f>AS1085-AS1086</f>
        <v>-111.80397577484926</v>
      </c>
      <c r="AT1088" s="132"/>
      <c r="AU1088" s="146"/>
    </row>
    <row r="1089" spans="13:47" ht="14.5" x14ac:dyDescent="0.35">
      <c r="M1089" s="27"/>
      <c r="N1089" s="27"/>
      <c r="O1089" s="2" t="s">
        <v>191</v>
      </c>
      <c r="P1089" s="10"/>
      <c r="Q1089" s="2"/>
      <c r="R1089" s="181">
        <f>R1088/R1085</f>
        <v>0.50259529521441126</v>
      </c>
      <c r="S1089" s="132"/>
      <c r="T1089" s="146"/>
      <c r="U1089" s="138">
        <f>U1088/U1085</f>
        <v>0.50069885442715134</v>
      </c>
      <c r="V1089" s="132"/>
      <c r="W1089" s="146"/>
      <c r="X1089" s="138">
        <f>X1088/X1085</f>
        <v>0.49073824331183402</v>
      </c>
      <c r="Y1089" s="132"/>
      <c r="Z1089" s="146"/>
      <c r="AA1089" s="138">
        <f>AA1088/AA1085</f>
        <v>0.45438676148387891</v>
      </c>
      <c r="AB1089" s="132"/>
      <c r="AC1089" s="146"/>
      <c r="AD1089" s="138">
        <f>AD1088/AD1085</f>
        <v>0.34637546379947881</v>
      </c>
      <c r="AE1089" s="132"/>
      <c r="AF1089" s="146"/>
      <c r="AG1089" s="138">
        <f>AG1088/AG1085</f>
        <v>6.1169926634382213E-2</v>
      </c>
      <c r="AH1089" s="132"/>
      <c r="AI1089" s="146"/>
      <c r="AJ1089" s="138">
        <f>AJ1088/AJ1085</f>
        <v>-1.0558449000711403</v>
      </c>
      <c r="AK1089" s="132"/>
      <c r="AL1089" s="146"/>
      <c r="AM1089" s="138">
        <f>AM1088/AM1085</f>
        <v>12.763914420741614</v>
      </c>
      <c r="AN1089" s="132"/>
      <c r="AO1089" s="146"/>
      <c r="AP1089" s="138">
        <f>AP1088/AP1085</f>
        <v>2.6728048292571067</v>
      </c>
      <c r="AQ1089" s="132"/>
      <c r="AR1089" s="146"/>
      <c r="AS1089" s="138">
        <f>AS1088/AS1085</f>
        <v>1.8090094427282328</v>
      </c>
      <c r="AT1089" s="132"/>
      <c r="AU1089" s="146"/>
    </row>
    <row r="1090" spans="13:47" x14ac:dyDescent="0.25">
      <c r="M1090" s="27"/>
      <c r="N1090" s="27"/>
      <c r="O1090" s="2" t="s">
        <v>26</v>
      </c>
      <c r="P1090" s="7">
        <v>12</v>
      </c>
      <c r="Q1090" s="2"/>
      <c r="R1090" s="181">
        <f>1-R1089/(3*F_GAMMA*R$29)</f>
        <v>0.73824261094818322</v>
      </c>
      <c r="S1090" s="133"/>
      <c r="T1090" s="146"/>
      <c r="U1090" s="138">
        <f>1-U1089/(3*F_GAMMA*U$29)</f>
        <v>0.73928771403617732</v>
      </c>
      <c r="V1090" s="133"/>
      <c r="W1090" s="146"/>
      <c r="X1090" s="138">
        <f>1-X1089/(3*F_GAMMA*X$29)</f>
        <v>0.74064087817998359</v>
      </c>
      <c r="Y1090" s="133"/>
      <c r="Z1090" s="146"/>
      <c r="AA1090" s="138">
        <f>1-AA1089/(3*F_GAMMA*AA$29)</f>
        <v>0.75656017914940543</v>
      </c>
      <c r="AB1090" s="133"/>
      <c r="AC1090" s="146"/>
      <c r="AD1090" s="138">
        <f>1-AD1089/(3*F_GAMMA*AD$29)</f>
        <v>0.8093397373210367</v>
      </c>
      <c r="AE1090" s="133"/>
      <c r="AF1090" s="146"/>
      <c r="AG1090" s="138">
        <f>1-AG1089/(3*F_GAMMA*AG$29)</f>
        <v>0.9644087618052859</v>
      </c>
      <c r="AH1090" s="133"/>
      <c r="AI1090" s="146"/>
      <c r="AJ1090" s="138">
        <f>1-AJ1089/(3*F_GAMMA*AJ$29)</f>
        <v>1.6567324512461279</v>
      </c>
      <c r="AK1090" s="133"/>
      <c r="AL1090" s="146"/>
      <c r="AM1090" s="138">
        <f>1-AM1089/(3*F_GAMMA*AM$29)</f>
        <v>-7.6742932726294963</v>
      </c>
      <c r="AN1090" s="133"/>
      <c r="AO1090" s="146"/>
      <c r="AP1090" s="138">
        <f>1-AP1089/(3*F_GAMMA*AP$29)</f>
        <v>-0.50107872907495521</v>
      </c>
      <c r="AQ1090" s="133"/>
      <c r="AR1090" s="146"/>
      <c r="AS1090" s="138">
        <f>1-AS1089/(3*F_GAMMA*AS$29)</f>
        <v>-0.54231715111387002</v>
      </c>
      <c r="AT1090" s="133"/>
      <c r="AU1090" s="146"/>
    </row>
    <row r="1091" spans="13:47" x14ac:dyDescent="0.25">
      <c r="M1091" s="27"/>
      <c r="N1091" s="27"/>
      <c r="O1091" s="2" t="s">
        <v>71</v>
      </c>
      <c r="P1091" s="85">
        <v>5</v>
      </c>
      <c r="Q1091" s="2"/>
      <c r="R1091" s="179">
        <f>R1083/((N_6*R$27*R1090)*SQRT(R1089*R1085*R1087))</f>
        <v>0.21862612107310303</v>
      </c>
      <c r="S1091" s="133"/>
      <c r="T1091" s="146"/>
      <c r="U1091" s="143">
        <f>U1083/((N_6*U$27*U1090)*SQRT(U1089*U1085*U1087))</f>
        <v>4.2574885419828306</v>
      </c>
      <c r="V1091" s="133"/>
      <c r="W1091" s="146"/>
      <c r="X1091" s="143">
        <f>X1083/((N_6*X$27*X1090)*SQRT(X1089*X1085*X1087))</f>
        <v>10.851945007859712</v>
      </c>
      <c r="Y1091" s="133"/>
      <c r="Z1091" s="146"/>
      <c r="AA1091" s="143">
        <f>AA1083/((N_6*AA$27*AA1090)*SQRT(AA1089*AA1085*AA1087))</f>
        <v>23.171297964454922</v>
      </c>
      <c r="AB1091" s="133"/>
      <c r="AC1091" s="146"/>
      <c r="AD1091" s="143">
        <f>AD1083/((N_6*AD$27*AD1090)*SQRT(AD1089*AD1085*AD1087))</f>
        <v>49.460564430004595</v>
      </c>
      <c r="AE1091" s="133"/>
      <c r="AF1091" s="146"/>
      <c r="AG1091" s="143">
        <f>AG1083/((N_6*AG$27*AG1090)*SQRT(AG1089*AG1085*AG1087))</f>
        <v>203.27756129323438</v>
      </c>
      <c r="AH1091" s="133"/>
      <c r="AI1091" s="146"/>
      <c r="AJ1091" s="143" t="e">
        <f>AJ1083/((N_6*AJ$27*AJ1090)*SQRT(AJ1089*AJ1085*AJ1087))</f>
        <v>#NUM!</v>
      </c>
      <c r="AK1091" s="133"/>
      <c r="AL1091" s="146"/>
      <c r="AM1091" s="143">
        <f>AM1083/((N_6*AM$27*AM1090)*SQRT(AM1089*AM1085*AM1087))</f>
        <v>-36.22036896192261</v>
      </c>
      <c r="AN1091" s="133"/>
      <c r="AO1091" s="146"/>
      <c r="AP1091" s="143">
        <f>AP1083/((N_6*AP$27*AP1090)*SQRT(AP1089*AP1085*AP1087))</f>
        <v>-218.46218054352062</v>
      </c>
      <c r="AQ1091" s="133"/>
      <c r="AR1091" s="146"/>
      <c r="AS1091" s="143">
        <f>AS1083/((N_6*AS$27*AS1090)*SQRT(AS1089*AS1085*AS1087))</f>
        <v>-173.94940438399075</v>
      </c>
      <c r="AT1091" s="133"/>
      <c r="AU1091" s="146"/>
    </row>
    <row r="1092" spans="13:47" x14ac:dyDescent="0.25">
      <c r="M1092" s="27"/>
      <c r="N1092" s="27"/>
      <c r="O1092" s="2" t="s">
        <v>73</v>
      </c>
      <c r="P1092" s="85">
        <v>5</v>
      </c>
      <c r="Q1092" s="2"/>
      <c r="R1092" s="179">
        <f>R1083/((N_6*R$27*0.667)*SQRT(R1093*R1085*R1087))</f>
        <v>0.21442994133090074</v>
      </c>
      <c r="S1092" s="133"/>
      <c r="T1092" s="147"/>
      <c r="U1092" s="143">
        <f>U1083/((N_6*U$27*0.667)*SQRT(U1093*U1085*U1087))</f>
        <v>4.1733279981430869</v>
      </c>
      <c r="V1092" s="133"/>
      <c r="W1092" s="155"/>
      <c r="X1092" s="143">
        <f>X1083/((N_6*X$27*0.667)*SQRT(X1093*X1085*X1087))</f>
        <v>10.629205893123586</v>
      </c>
      <c r="Y1092" s="133"/>
      <c r="Z1092" s="155"/>
      <c r="AA1092" s="143">
        <f>AA1083/((N_6*AA$27*0.667)*SQRT(AA1093*AA1085*AA1087))</f>
        <v>22.460759835032519</v>
      </c>
      <c r="AB1092" s="133"/>
      <c r="AC1092" s="155"/>
      <c r="AD1092" s="143">
        <f>AD1083/((N_6*AD$27*0.667)*SQRT(AD1093*AD1085*AD1087))</f>
        <v>45.38943943174516</v>
      </c>
      <c r="AE1092" s="133"/>
      <c r="AF1092" s="155"/>
      <c r="AG1092" s="143">
        <f>AG1083/((N_6*AG$27*0.667)*SQRT(AG1093*AG1085*AG1087))</f>
        <v>96.041057017568477</v>
      </c>
      <c r="AH1092" s="133"/>
      <c r="AI1092" s="155"/>
      <c r="AJ1092" s="143">
        <f>AJ1083/((N_6*AJ$27*0.667)*SQRT(AJ1093*AJ1085*AJ1087))</f>
        <v>285.57779643637787</v>
      </c>
      <c r="AK1092" s="133"/>
      <c r="AL1092" s="155"/>
      <c r="AM1092" s="143">
        <f>AM1083/((N_6*AM$27*0.667)*SQRT(AM1093*AM1085*AM1087))</f>
        <v>2125.9013405286541</v>
      </c>
      <c r="AN1092" s="133"/>
      <c r="AO1092" s="155"/>
      <c r="AP1092" s="143">
        <f>AP1083/((N_6*AP$27*0.667)*SQRT(AP1093*AP1085*AP1087))</f>
        <v>348.2721606660798</v>
      </c>
      <c r="AQ1092" s="133"/>
      <c r="AR1092" s="155"/>
      <c r="AS1092" s="143">
        <f>AS1083/((N_6*AS$27*0.667)*SQRT(AS1093*AS1085*AS1087))</f>
        <v>304.22711779917603</v>
      </c>
      <c r="AT1092" s="133"/>
      <c r="AU1092" s="155"/>
    </row>
    <row r="1093" spans="13:47" ht="15.5" x14ac:dyDescent="0.4">
      <c r="M1093" s="27"/>
      <c r="N1093" s="27"/>
      <c r="O1093" s="2" t="s">
        <v>192</v>
      </c>
      <c r="P1093" s="85">
        <v>10</v>
      </c>
      <c r="Q1093" s="2"/>
      <c r="R1093" s="181">
        <f>F_GAMMA*R$29</f>
        <v>0.64002688015162901</v>
      </c>
      <c r="S1093" s="133"/>
      <c r="T1093" s="147"/>
      <c r="U1093" s="138">
        <f>F_GAMMA*U$29</f>
        <v>0.64016782916606918</v>
      </c>
      <c r="V1093" s="133"/>
      <c r="W1093" s="155"/>
      <c r="X1093" s="138">
        <f>F_GAMMA*X$29</f>
        <v>0.6307062319203669</v>
      </c>
      <c r="Y1093" s="133"/>
      <c r="Z1093" s="155"/>
      <c r="AA1093" s="138">
        <f>F_GAMMA*AA$29</f>
        <v>0.62217534213893466</v>
      </c>
      <c r="AB1093" s="133"/>
      <c r="AC1093" s="155"/>
      <c r="AD1093" s="138">
        <f>F_GAMMA*AD$29</f>
        <v>0.60557184969146072</v>
      </c>
      <c r="AE1093" s="133"/>
      <c r="AF1093" s="155"/>
      <c r="AG1093" s="138">
        <f>F_GAMMA*AG$29</f>
        <v>0.57289312142622573</v>
      </c>
      <c r="AH1093" s="133"/>
      <c r="AI1093" s="155"/>
      <c r="AJ1093" s="138">
        <f>F_GAMMA*AJ$29</f>
        <v>0.53590819116049981</v>
      </c>
      <c r="AK1093" s="133"/>
      <c r="AL1093" s="155"/>
      <c r="AM1093" s="138">
        <f>F_GAMMA*AM$29</f>
        <v>0.49048815926850342</v>
      </c>
      <c r="AN1093" s="133"/>
      <c r="AO1093" s="155"/>
      <c r="AP1093" s="138">
        <f>F_GAMMA*AP$29</f>
        <v>0.59352979016280105</v>
      </c>
      <c r="AQ1093" s="133"/>
      <c r="AR1093" s="155"/>
      <c r="AS1093" s="138">
        <f>F_GAMMA*AS$29</f>
        <v>0.39097221161068291</v>
      </c>
      <c r="AT1093" s="133"/>
      <c r="AU1093" s="155"/>
    </row>
    <row r="1094" spans="13:47" x14ac:dyDescent="0.25">
      <c r="M1094" s="27"/>
      <c r="N1094" s="27"/>
      <c r="O1094" s="2" t="s">
        <v>193</v>
      </c>
      <c r="P1094" s="134"/>
      <c r="Q1094" s="2"/>
      <c r="R1094" s="181">
        <f>IF(R1089&lt;R1093,R1091,R1092)</f>
        <v>0.21862612107310303</v>
      </c>
      <c r="S1094" s="133"/>
      <c r="T1094" s="147"/>
      <c r="U1094" s="138">
        <f>IF(U1089&lt;U1093,U1091,U1092)</f>
        <v>4.2574885419828306</v>
      </c>
      <c r="V1094" s="133"/>
      <c r="W1094" s="155"/>
      <c r="X1094" s="138">
        <f>IF(X1089&lt;X1093,X1091,X1092)</f>
        <v>10.851945007859712</v>
      </c>
      <c r="Y1094" s="133"/>
      <c r="Z1094" s="155"/>
      <c r="AA1094" s="138">
        <f>IF(AA1089&lt;AA1093,AA1091,AA1092)</f>
        <v>23.171297964454922</v>
      </c>
      <c r="AB1094" s="133"/>
      <c r="AC1094" s="155"/>
      <c r="AD1094" s="138">
        <f>IF(AD1089&lt;AD1093,AD1091,AD1092)</f>
        <v>49.460564430004595</v>
      </c>
      <c r="AE1094" s="133"/>
      <c r="AF1094" s="155"/>
      <c r="AG1094" s="138">
        <f>IF(AG1089&lt;AG1093,AG1091,AG1092)</f>
        <v>203.27756129323438</v>
      </c>
      <c r="AH1094" s="133"/>
      <c r="AI1094" s="155"/>
      <c r="AJ1094" s="138" t="e">
        <f>IF(AJ1089&lt;AJ1093,AJ1091,AJ1092)</f>
        <v>#NUM!</v>
      </c>
      <c r="AK1094" s="133"/>
      <c r="AL1094" s="155"/>
      <c r="AM1094" s="138">
        <f>IF(AM1089&lt;AM1093,AM1091,AM1092)</f>
        <v>2125.9013405286541</v>
      </c>
      <c r="AN1094" s="133"/>
      <c r="AO1094" s="155"/>
      <c r="AP1094" s="138">
        <f>IF(AP1089&lt;AP1093,AP1091,AP1092)</f>
        <v>348.2721606660798</v>
      </c>
      <c r="AQ1094" s="133"/>
      <c r="AR1094" s="155"/>
      <c r="AS1094" s="138">
        <f>IF(AS1089&lt;AS1093,AS1091,AS1092)</f>
        <v>304.22711779917603</v>
      </c>
      <c r="AT1094" s="133"/>
      <c r="AU1094" s="155"/>
    </row>
    <row r="1095" spans="13:47" ht="13" x14ac:dyDescent="0.3">
      <c r="M1095" s="28"/>
      <c r="N1095" s="28"/>
      <c r="O1095" s="9" t="s">
        <v>194</v>
      </c>
      <c r="P1095" s="1"/>
      <c r="Q1095" s="1"/>
      <c r="R1095" s="135"/>
      <c r="S1095" s="132">
        <f>IF(R1088&lt;=0,W_max,ABS(R$23-R1094))</f>
        <v>1.7813738789268969</v>
      </c>
      <c r="T1095" s="151">
        <f>R1083</f>
        <v>50.561315961211832</v>
      </c>
      <c r="U1095" s="135"/>
      <c r="V1095" s="132">
        <f>IF(U1088&lt;=0,W_max,ABS(U$23-U1094))</f>
        <v>0.74251145801716945</v>
      </c>
      <c r="W1095" s="151">
        <f>U1083</f>
        <v>979.80723013645422</v>
      </c>
      <c r="X1095" s="135"/>
      <c r="Y1095" s="132">
        <f>IF(X1088&lt;=0,W_max,ABS(X$23-X1094))</f>
        <v>0.85194500785971172</v>
      </c>
      <c r="Z1095" s="151">
        <f>X1083</f>
        <v>2423.1798785546366</v>
      </c>
      <c r="AA1095" s="135"/>
      <c r="AB1095" s="132">
        <f>IF(AA1088&lt;=0,W_max,ABS(AA$23-AA1094))</f>
        <v>5.9712979644549229</v>
      </c>
      <c r="AC1095" s="151">
        <f>AA1083</f>
        <v>4719.7358978747216</v>
      </c>
      <c r="AD1095" s="135"/>
      <c r="AE1095" s="132">
        <f>IF(AD1088&lt;=0,W_max,ABS(AD$23-AD1094))</f>
        <v>22.860564430004594</v>
      </c>
      <c r="AF1095" s="151">
        <f>AD1083</f>
        <v>7762.2278483436739</v>
      </c>
      <c r="AG1095" s="135"/>
      <c r="AH1095" s="132">
        <f>IF(AG1088&lt;=0,W_max,ABS(AG$23-AG1094))</f>
        <v>164.87756129323438</v>
      </c>
      <c r="AI1095" s="151">
        <f>AG1083</f>
        <v>10887.122141491396</v>
      </c>
      <c r="AJ1095" s="135"/>
      <c r="AK1095" s="132">
        <f>IF(AJ1088&lt;=0,W_max,ABS(AJ$23-AJ1094))</f>
        <v>7174</v>
      </c>
      <c r="AL1095" s="151">
        <f>AJ1083</f>
        <v>13823.756205850603</v>
      </c>
      <c r="AM1095" s="135"/>
      <c r="AN1095" s="132">
        <f>IF(AM1088&lt;=0,W_max,ABS(AM$23-AM1094))</f>
        <v>7174</v>
      </c>
      <c r="AO1095" s="151">
        <f>AM1083</f>
        <v>16209.441319611869</v>
      </c>
      <c r="AP1095" s="135"/>
      <c r="AQ1095" s="132">
        <f>IF(AP1088&lt;=0,W_max,ABS(AP$23-AP1094))</f>
        <v>7174</v>
      </c>
      <c r="AR1095" s="151">
        <f>AP1083</f>
        <v>18084.36059741984</v>
      </c>
      <c r="AS1095" s="135"/>
      <c r="AT1095" s="132">
        <f>IF(AS1088&lt;=0,W_max,ABS(AS$23-AS1094))</f>
        <v>7174</v>
      </c>
      <c r="AU1095" s="151">
        <f>AS1083</f>
        <v>20176.148688222791</v>
      </c>
    </row>
    <row r="1096" spans="13:47" ht="13" x14ac:dyDescent="0.25">
      <c r="M1096" s="12"/>
      <c r="N1096" s="12"/>
      <c r="O1096" s="12"/>
      <c r="P1096" s="12"/>
      <c r="Q1096" s="12"/>
      <c r="R1096" s="182"/>
      <c r="S1096" s="22"/>
      <c r="T1096" s="152"/>
      <c r="U1096" s="157"/>
      <c r="V1096" s="1"/>
      <c r="W1096" s="147"/>
      <c r="X1096" s="157"/>
      <c r="Y1096" s="1"/>
      <c r="Z1096" s="147"/>
      <c r="AA1096" s="157"/>
      <c r="AB1096" s="1"/>
      <c r="AC1096" s="147"/>
      <c r="AD1096" s="157"/>
      <c r="AE1096" s="1"/>
      <c r="AF1096" s="147"/>
      <c r="AG1096" s="157"/>
      <c r="AH1096" s="1"/>
      <c r="AI1096" s="147"/>
      <c r="AJ1096" s="157"/>
      <c r="AK1096" s="1"/>
      <c r="AL1096" s="147"/>
      <c r="AM1096" s="157"/>
      <c r="AN1096" s="1"/>
      <c r="AO1096" s="147"/>
      <c r="AP1096" s="157"/>
      <c r="AQ1096" s="1"/>
      <c r="AR1096" s="147"/>
      <c r="AS1096" s="157"/>
      <c r="AT1096" s="1"/>
      <c r="AU1096" s="147"/>
    </row>
    <row r="1097" spans="13:47" ht="14" x14ac:dyDescent="0.3">
      <c r="M1097" s="23"/>
      <c r="N1097" s="23"/>
      <c r="O1097" s="23" t="s">
        <v>238</v>
      </c>
      <c r="P1097" s="20"/>
      <c r="Q1097" s="20"/>
      <c r="R1097" s="18">
        <f>R1083*1.02</f>
        <v>51.572542280436068</v>
      </c>
      <c r="S1097" s="128" t="s">
        <v>185</v>
      </c>
      <c r="T1097" s="153" t="s">
        <v>186</v>
      </c>
      <c r="U1097" s="143">
        <f>U1083*1.01</f>
        <v>989.60530243781875</v>
      </c>
      <c r="V1097" s="128" t="s">
        <v>185</v>
      </c>
      <c r="W1097" s="153" t="s">
        <v>186</v>
      </c>
      <c r="X1097" s="143">
        <f>X1083*1.01</f>
        <v>2447.4116773401829</v>
      </c>
      <c r="Y1097" s="128" t="s">
        <v>185</v>
      </c>
      <c r="Z1097" s="153" t="s">
        <v>186</v>
      </c>
      <c r="AA1097" s="143">
        <f>AA1083*1.01</f>
        <v>4766.9332568534692</v>
      </c>
      <c r="AB1097" s="128" t="s">
        <v>185</v>
      </c>
      <c r="AC1097" s="153" t="s">
        <v>186</v>
      </c>
      <c r="AD1097" s="143">
        <f>AD1083*1.01</f>
        <v>7839.8501268271111</v>
      </c>
      <c r="AE1097" s="128" t="s">
        <v>185</v>
      </c>
      <c r="AF1097" s="153" t="s">
        <v>186</v>
      </c>
      <c r="AG1097" s="143">
        <f>AG1083*1.01</f>
        <v>10995.993362906311</v>
      </c>
      <c r="AH1097" s="128" t="s">
        <v>185</v>
      </c>
      <c r="AI1097" s="153" t="s">
        <v>186</v>
      </c>
      <c r="AJ1097" s="143">
        <f>AJ1083*1.01</f>
        <v>13961.993767909109</v>
      </c>
      <c r="AK1097" s="128" t="s">
        <v>185</v>
      </c>
      <c r="AL1097" s="153" t="s">
        <v>186</v>
      </c>
      <c r="AM1097" s="143">
        <f>AM1083*1.01</f>
        <v>16371.535732807988</v>
      </c>
      <c r="AN1097" s="128" t="s">
        <v>185</v>
      </c>
      <c r="AO1097" s="153" t="s">
        <v>186</v>
      </c>
      <c r="AP1097" s="143">
        <f>AP1083*1.01</f>
        <v>18265.204203394038</v>
      </c>
      <c r="AQ1097" s="128" t="s">
        <v>185</v>
      </c>
      <c r="AR1097" s="153" t="s">
        <v>186</v>
      </c>
      <c r="AS1097" s="143">
        <f>AS1083*1.01</f>
        <v>20377.910175105018</v>
      </c>
      <c r="AT1097" s="128" t="s">
        <v>185</v>
      </c>
      <c r="AU1097" s="153" t="s">
        <v>186</v>
      </c>
    </row>
    <row r="1098" spans="13:47" ht="14" x14ac:dyDescent="0.3">
      <c r="M1098" s="12"/>
      <c r="N1098" s="12"/>
      <c r="O1098" s="20"/>
      <c r="P1098" s="20"/>
      <c r="Q1098" s="23"/>
      <c r="R1098" s="139"/>
      <c r="S1098" s="130" t="s">
        <v>228</v>
      </c>
      <c r="T1098" s="154" t="s">
        <v>187</v>
      </c>
      <c r="U1098" s="144"/>
      <c r="V1098" s="130" t="s">
        <v>228</v>
      </c>
      <c r="W1098" s="154" t="s">
        <v>187</v>
      </c>
      <c r="X1098" s="144"/>
      <c r="Y1098" s="130" t="s">
        <v>228</v>
      </c>
      <c r="Z1098" s="154" t="s">
        <v>187</v>
      </c>
      <c r="AA1098" s="144"/>
      <c r="AB1098" s="130" t="s">
        <v>228</v>
      </c>
      <c r="AC1098" s="154" t="s">
        <v>187</v>
      </c>
      <c r="AD1098" s="144"/>
      <c r="AE1098" s="130" t="s">
        <v>228</v>
      </c>
      <c r="AF1098" s="154" t="s">
        <v>187</v>
      </c>
      <c r="AG1098" s="144"/>
      <c r="AH1098" s="130" t="s">
        <v>228</v>
      </c>
      <c r="AI1098" s="154" t="s">
        <v>187</v>
      </c>
      <c r="AJ1098" s="144"/>
      <c r="AK1098" s="130" t="s">
        <v>228</v>
      </c>
      <c r="AL1098" s="154" t="s">
        <v>187</v>
      </c>
      <c r="AM1098" s="144"/>
      <c r="AN1098" s="130" t="s">
        <v>228</v>
      </c>
      <c r="AO1098" s="154" t="s">
        <v>187</v>
      </c>
      <c r="AP1098" s="144"/>
      <c r="AQ1098" s="130" t="s">
        <v>228</v>
      </c>
      <c r="AR1098" s="154" t="s">
        <v>187</v>
      </c>
      <c r="AS1098" s="144"/>
      <c r="AT1098" s="130" t="s">
        <v>228</v>
      </c>
      <c r="AU1098" s="154" t="s">
        <v>187</v>
      </c>
    </row>
    <row r="1099" spans="13:47" x14ac:dyDescent="0.25">
      <c r="M1099" s="20"/>
      <c r="N1099" s="20"/>
      <c r="O1099" s="7" t="s">
        <v>188</v>
      </c>
      <c r="P1099" s="7"/>
      <c r="Q1099" s="7"/>
      <c r="R1099" s="181">
        <f>P_1_minW-(R1097^2*R_up)+dpup_minQ</f>
        <v>100.5217261390568</v>
      </c>
      <c r="S1099" s="132"/>
      <c r="T1099" s="145"/>
      <c r="U1099" s="138">
        <f>P_1_minW-(U1097^2*R_up)+dpup_minQ</f>
        <v>100.13227183147262</v>
      </c>
      <c r="V1099" s="132"/>
      <c r="W1099" s="145"/>
      <c r="X1099" s="138">
        <f>P_1_minW-(X1097^2*R_up)+dpup_minQ</f>
        <v>98.134273550587523</v>
      </c>
      <c r="Y1099" s="132"/>
      <c r="Z1099" s="145"/>
      <c r="AA1099" s="138">
        <f>P_1_minW-(AA1097^2*R_up)+dpup_minQ</f>
        <v>91.461461263429584</v>
      </c>
      <c r="AB1099" s="132"/>
      <c r="AC1099" s="145"/>
      <c r="AD1099" s="138">
        <f>P_1_minW-(AD1097^2*R_up)+dpup_minQ</f>
        <v>76.013588283663026</v>
      </c>
      <c r="AE1099" s="132"/>
      <c r="AF1099" s="145"/>
      <c r="AG1099" s="138">
        <f>P_1_minW-(AG1097^2*R_up)+dpup_minQ</f>
        <v>52.307747383387778</v>
      </c>
      <c r="AH1099" s="132"/>
      <c r="AI1099" s="145"/>
      <c r="AJ1099" s="138">
        <f>P_1_minW-(AJ1097^2*R_up)+dpup_minQ</f>
        <v>22.789242954787412</v>
      </c>
      <c r="AK1099" s="132"/>
      <c r="AL1099" s="145"/>
      <c r="AM1099" s="138">
        <f>P_1_minW-(AM1097^2*R_up)+dpup_minQ</f>
        <v>-6.3562246954396935</v>
      </c>
      <c r="AN1099" s="132"/>
      <c r="AO1099" s="145"/>
      <c r="AP1099" s="138">
        <f>P_1_minW-(AP1097^2*R_up)+dpup_minQ</f>
        <v>-32.511213867390765</v>
      </c>
      <c r="AQ1099" s="132"/>
      <c r="AR1099" s="145"/>
      <c r="AS1099" s="138">
        <f>P_1_minW-(AS1097^2*R_up)+dpup_minQ</f>
        <v>-65.066743701331959</v>
      </c>
      <c r="AT1099" s="132"/>
      <c r="AU1099" s="145"/>
    </row>
    <row r="1100" spans="13:47" x14ac:dyDescent="0.25">
      <c r="M1100" s="20"/>
      <c r="N1100" s="20"/>
      <c r="O1100" s="7" t="s">
        <v>189</v>
      </c>
      <c r="P1100" s="1"/>
      <c r="Q1100" s="7"/>
      <c r="R1100" s="181">
        <f>P_2_minW+(R1097^2*R_dn)-dpdn_minQ</f>
        <v>50</v>
      </c>
      <c r="S1100" s="132"/>
      <c r="T1100" s="146"/>
      <c r="U1100" s="138">
        <f>P_2_minW+(U1097^2*R_dn)-dpdn_minQ</f>
        <v>50</v>
      </c>
      <c r="V1100" s="132"/>
      <c r="W1100" s="146"/>
      <c r="X1100" s="138">
        <f>P_2_minW+(X1097^2*R_dn)-dpdn_minQ</f>
        <v>50</v>
      </c>
      <c r="Y1100" s="132"/>
      <c r="Z1100" s="146"/>
      <c r="AA1100" s="138">
        <f>P_2_minW+(AA1097^2*R_dn)-dpdn_minQ</f>
        <v>50</v>
      </c>
      <c r="AB1100" s="132"/>
      <c r="AC1100" s="146"/>
      <c r="AD1100" s="138">
        <f>P_2_minW+(AD1097^2*R_dn)-dpdn_minQ</f>
        <v>50</v>
      </c>
      <c r="AE1100" s="132"/>
      <c r="AF1100" s="146"/>
      <c r="AG1100" s="138">
        <f>P_2_minW+(AG1097^2*R_dn)-dpdn_minQ</f>
        <v>50</v>
      </c>
      <c r="AH1100" s="132"/>
      <c r="AI1100" s="146"/>
      <c r="AJ1100" s="138">
        <f>P_2_minW+(AJ1097^2*R_dn)-dpdn_minQ</f>
        <v>50</v>
      </c>
      <c r="AK1100" s="132"/>
      <c r="AL1100" s="146"/>
      <c r="AM1100" s="138">
        <f>P_2_minW+(AM1097^2*R_dn)-dpdn_minQ</f>
        <v>50</v>
      </c>
      <c r="AN1100" s="132"/>
      <c r="AO1100" s="146"/>
      <c r="AP1100" s="138">
        <f>P_2_minW+(AP1097^2*R_dn)-dpdn_minQ</f>
        <v>50</v>
      </c>
      <c r="AQ1100" s="132"/>
      <c r="AR1100" s="146"/>
      <c r="AS1100" s="138">
        <f>P_2_minW+(AS1097^2*R_dn)-dpdn_minQ</f>
        <v>50</v>
      </c>
      <c r="AT1100" s="132"/>
      <c r="AU1100" s="146"/>
    </row>
    <row r="1101" spans="13:47" x14ac:dyDescent="0.25">
      <c r="M1101" s="20"/>
      <c r="N1101" s="20"/>
      <c r="O1101" s="7" t="s">
        <v>234</v>
      </c>
      <c r="P1101" s="1"/>
      <c r="Q1101" s="7"/>
      <c r="R1101" s="179">
        <f>'Valve Sizing'!G$8*R1099/P_1_maxW</f>
        <v>0.48489891010455899</v>
      </c>
      <c r="S1101" s="132"/>
      <c r="T1101" s="146"/>
      <c r="U1101" s="143">
        <f>'Valve Sizing'!$G$8*U1099/P_1_maxW</f>
        <v>0.4830202518628387</v>
      </c>
      <c r="V1101" s="132"/>
      <c r="W1101" s="146"/>
      <c r="X1101" s="143">
        <f>'Valve Sizing'!$G$8*X1099/P_1_maxW</f>
        <v>0.47338226387751758</v>
      </c>
      <c r="Y1101" s="132"/>
      <c r="Z1101" s="146"/>
      <c r="AA1101" s="143">
        <f>'Valve Sizing'!$G$8*AA1099/P_1_maxW</f>
        <v>0.44119380542527048</v>
      </c>
      <c r="AB1101" s="132"/>
      <c r="AC1101" s="146"/>
      <c r="AD1101" s="143">
        <f>'Valve Sizing'!$G$8*AD1099/P_1_maxW</f>
        <v>0.36667601649514142</v>
      </c>
      <c r="AE1101" s="132"/>
      <c r="AF1101" s="146"/>
      <c r="AG1101" s="143">
        <f>'Valve Sizing'!$G$8*AG1099/P_1_maxW</f>
        <v>0.25232326055704679</v>
      </c>
      <c r="AH1101" s="132"/>
      <c r="AI1101" s="146"/>
      <c r="AJ1101" s="143">
        <f>'Valve Sizing'!$G$8*AJ1099/P_1_maxW</f>
        <v>0.10993125063926708</v>
      </c>
      <c r="AK1101" s="132"/>
      <c r="AL1101" s="146"/>
      <c r="AM1101" s="143">
        <f>'Valve Sizing'!$G$8*AM1099/P_1_maxW</f>
        <v>-3.0661296274744908E-2</v>
      </c>
      <c r="AN1101" s="132"/>
      <c r="AO1101" s="146"/>
      <c r="AP1101" s="143">
        <f>'Valve Sizing'!$G$8*AP1099/P_1_maxW</f>
        <v>-0.15682830743142995</v>
      </c>
      <c r="AQ1101" s="132"/>
      <c r="AR1101" s="146"/>
      <c r="AS1101" s="143">
        <f>'Valve Sizing'!$G$8*AS1099/P_1_maxW</f>
        <v>-0.31387038719552762</v>
      </c>
      <c r="AT1101" s="132"/>
      <c r="AU1101" s="146"/>
    </row>
    <row r="1102" spans="13:47" x14ac:dyDescent="0.25">
      <c r="M1102" s="20"/>
      <c r="N1102" s="20"/>
      <c r="O1102" s="7" t="s">
        <v>190</v>
      </c>
      <c r="P1102" s="1"/>
      <c r="Q1102" s="7"/>
      <c r="R1102" s="181">
        <f>R1099-R1100</f>
        <v>50.521726139056796</v>
      </c>
      <c r="S1102" s="132"/>
      <c r="T1102" s="146"/>
      <c r="U1102" s="138">
        <f>U1099-U1100</f>
        <v>50.132271831472622</v>
      </c>
      <c r="V1102" s="132"/>
      <c r="W1102" s="146"/>
      <c r="X1102" s="138">
        <f>X1099-X1100</f>
        <v>48.134273550587523</v>
      </c>
      <c r="Y1102" s="132"/>
      <c r="Z1102" s="146"/>
      <c r="AA1102" s="138">
        <f>AA1099-AA1100</f>
        <v>41.461461263429584</v>
      </c>
      <c r="AB1102" s="132"/>
      <c r="AC1102" s="146"/>
      <c r="AD1102" s="138">
        <f>AD1099-AD1100</f>
        <v>26.013588283663026</v>
      </c>
      <c r="AE1102" s="132"/>
      <c r="AF1102" s="146"/>
      <c r="AG1102" s="138">
        <f>AG1099-AG1100</f>
        <v>2.3077473833877775</v>
      </c>
      <c r="AH1102" s="132"/>
      <c r="AI1102" s="146"/>
      <c r="AJ1102" s="138">
        <f>AJ1099-AJ1100</f>
        <v>-27.210757045212588</v>
      </c>
      <c r="AK1102" s="132"/>
      <c r="AL1102" s="146"/>
      <c r="AM1102" s="138">
        <f>AM1099-AM1100</f>
        <v>-56.356224695439693</v>
      </c>
      <c r="AN1102" s="132"/>
      <c r="AO1102" s="146"/>
      <c r="AP1102" s="138">
        <f>AP1099-AP1100</f>
        <v>-82.511213867390765</v>
      </c>
      <c r="AQ1102" s="132"/>
      <c r="AR1102" s="146"/>
      <c r="AS1102" s="138">
        <f>AS1099-AS1100</f>
        <v>-115.06674370133196</v>
      </c>
      <c r="AT1102" s="132"/>
      <c r="AU1102" s="146"/>
    </row>
    <row r="1103" spans="13:47" ht="14.5" x14ac:dyDescent="0.35">
      <c r="M1103" s="27"/>
      <c r="N1103" s="27"/>
      <c r="O1103" s="2" t="s">
        <v>191</v>
      </c>
      <c r="P1103" s="10"/>
      <c r="Q1103" s="2"/>
      <c r="R1103" s="181">
        <f>R1102/R1099</f>
        <v>0.50259509142498737</v>
      </c>
      <c r="S1103" s="132"/>
      <c r="T1103" s="146"/>
      <c r="U1103" s="138">
        <f>U1102/U1099</f>
        <v>0.50066048552106779</v>
      </c>
      <c r="V1103" s="132"/>
      <c r="W1103" s="146"/>
      <c r="X1103" s="138">
        <f>X1102/X1099</f>
        <v>0.49049401202093423</v>
      </c>
      <c r="Y1103" s="132"/>
      <c r="Z1103" s="146"/>
      <c r="AA1103" s="138">
        <f>AA1102/AA1099</f>
        <v>0.45332165800425217</v>
      </c>
      <c r="AB1103" s="132"/>
      <c r="AC1103" s="146"/>
      <c r="AD1103" s="138">
        <f>AD1102/AD1099</f>
        <v>0.34222286923999762</v>
      </c>
      <c r="AE1103" s="132"/>
      <c r="AF1103" s="146"/>
      <c r="AG1103" s="138">
        <f>AG1102/AG1099</f>
        <v>4.4118653523219517E-2</v>
      </c>
      <c r="AH1103" s="132"/>
      <c r="AI1103" s="146"/>
      <c r="AJ1103" s="138">
        <f>AJ1102/AJ1099</f>
        <v>-1.1940175941428688</v>
      </c>
      <c r="AK1103" s="132"/>
      <c r="AL1103" s="146"/>
      <c r="AM1103" s="138">
        <f>AM1102/AM1099</f>
        <v>8.8663046691651353</v>
      </c>
      <c r="AN1103" s="132"/>
      <c r="AO1103" s="146"/>
      <c r="AP1103" s="138">
        <f>AP1102/AP1099</f>
        <v>2.537930887599086</v>
      </c>
      <c r="AQ1103" s="132"/>
      <c r="AR1103" s="146"/>
      <c r="AS1103" s="138">
        <f>AS1102/AS1099</f>
        <v>1.7684417131662371</v>
      </c>
      <c r="AT1103" s="132"/>
      <c r="AU1103" s="146"/>
    </row>
    <row r="1104" spans="13:47" x14ac:dyDescent="0.25">
      <c r="M1104" s="27"/>
      <c r="N1104" s="27"/>
      <c r="O1104" s="2" t="s">
        <v>26</v>
      </c>
      <c r="P1104" s="7">
        <v>12</v>
      </c>
      <c r="Q1104" s="2"/>
      <c r="R1104" s="181">
        <f>1-R1103/(3*F_GAMMA*R$29)</f>
        <v>0.73824271708405043</v>
      </c>
      <c r="S1104" s="133"/>
      <c r="T1104" s="146"/>
      <c r="U1104" s="138">
        <f>1-U1103/(3*F_GAMMA*U$29)</f>
        <v>0.73930769260238849</v>
      </c>
      <c r="V1104" s="133"/>
      <c r="W1104" s="146"/>
      <c r="X1104" s="138">
        <f>1-X1103/(3*F_GAMMA*X$29)</f>
        <v>0.74076995638815668</v>
      </c>
      <c r="Y1104" s="133"/>
      <c r="Z1104" s="146"/>
      <c r="AA1104" s="138">
        <f>1-AA1103/(3*F_GAMMA*AA$29)</f>
        <v>0.75713081329248855</v>
      </c>
      <c r="AB1104" s="133"/>
      <c r="AC1104" s="146"/>
      <c r="AD1104" s="138">
        <f>1-AD1103/(3*F_GAMMA*AD$29)</f>
        <v>0.81162550768370956</v>
      </c>
      <c r="AE1104" s="133"/>
      <c r="AF1104" s="146"/>
      <c r="AG1104" s="138">
        <f>1-AG1103/(3*F_GAMMA*AG$29)</f>
        <v>0.97432991025540361</v>
      </c>
      <c r="AH1104" s="133"/>
      <c r="AI1104" s="146"/>
      <c r="AJ1104" s="138">
        <f>1-AJ1103/(3*F_GAMMA*AJ$29)</f>
        <v>1.7426754643410374</v>
      </c>
      <c r="AK1104" s="133"/>
      <c r="AL1104" s="146"/>
      <c r="AM1104" s="138">
        <f>1-AM1103/(3*F_GAMMA*AM$29)</f>
        <v>-5.0254969133798086</v>
      </c>
      <c r="AN1104" s="133"/>
      <c r="AO1104" s="146"/>
      <c r="AP1104" s="138">
        <f>1-AP1103/(3*F_GAMMA*AP$29)</f>
        <v>-0.4253319320349247</v>
      </c>
      <c r="AQ1104" s="133"/>
      <c r="AR1104" s="146"/>
      <c r="AS1104" s="138">
        <f>1-AS1103/(3*F_GAMMA*AS$29)</f>
        <v>-0.50773009832831151</v>
      </c>
      <c r="AT1104" s="133"/>
      <c r="AU1104" s="146"/>
    </row>
    <row r="1105" spans="13:47" x14ac:dyDescent="0.25">
      <c r="M1105" s="27"/>
      <c r="N1105" s="27"/>
      <c r="O1105" s="2" t="s">
        <v>71</v>
      </c>
      <c r="P1105" s="85">
        <v>5</v>
      </c>
      <c r="Q1105" s="2"/>
      <c r="R1105" s="179">
        <f>R1097/((N_6*R$27*R1104)*SQRT(R1103*R1099*R1101))</f>
        <v>0.2229987480083119</v>
      </c>
      <c r="S1105" s="133"/>
      <c r="T1105" s="146"/>
      <c r="U1105" s="143">
        <f>U1097/((N_6*U$27*U1104)*SQRT(U1103*U1099*U1101))</f>
        <v>4.3004424318207075</v>
      </c>
      <c r="V1105" s="133"/>
      <c r="W1105" s="146"/>
      <c r="X1105" s="143">
        <f>X1097/((N_6*X$27*X1104)*SQRT(X1103*X1099*X1101))</f>
        <v>10.966539365726744</v>
      </c>
      <c r="Y1105" s="133"/>
      <c r="Z1105" s="146"/>
      <c r="AA1105" s="143">
        <f>AA1097/((N_6*AA$27*AA1104)*SQRT(AA1103*AA1099*AA1101))</f>
        <v>23.458533736078305</v>
      </c>
      <c r="AB1105" s="133"/>
      <c r="AC1105" s="146"/>
      <c r="AD1105" s="143">
        <f>AD1097/((N_6*AD$27*AD1104)*SQRT(AD1103*AD1099*AD1101))</f>
        <v>50.434194381141076</v>
      </c>
      <c r="AE1105" s="133"/>
      <c r="AF1105" s="146"/>
      <c r="AG1105" s="143">
        <f>AG1097/((N_6*AG$27*AG1104)*SQRT(AG1103*AG1099*AG1101))</f>
        <v>243.63561648798728</v>
      </c>
      <c r="AH1105" s="133"/>
      <c r="AI1105" s="146"/>
      <c r="AJ1105" s="143" t="e">
        <f>AJ1097/((N_6*AJ$27*AJ1104)*SQRT(AJ1103*AJ1099*AJ1101))</f>
        <v>#NUM!</v>
      </c>
      <c r="AK1105" s="133"/>
      <c r="AL1105" s="146"/>
      <c r="AM1105" s="143">
        <f>AM1097/((N_6*AM$27*AM1104)*SQRT(AM1103*AM1099*AM1101))</f>
        <v>-44.820133722204439</v>
      </c>
      <c r="AN1105" s="133"/>
      <c r="AO1105" s="146"/>
      <c r="AP1105" s="143">
        <f>AP1097/((N_6*AP$27*AP1104)*SQRT(AP1103*AP1099*AP1101))</f>
        <v>-245.25105828988779</v>
      </c>
      <c r="AQ1105" s="133"/>
      <c r="AR1105" s="146"/>
      <c r="AS1105" s="143">
        <f>AS1097/((N_6*AS$27*AS1104)*SQRT(AS1103*AS1099*AS1101))</f>
        <v>-180.27982701352747</v>
      </c>
      <c r="AT1105" s="133"/>
      <c r="AU1105" s="146"/>
    </row>
    <row r="1106" spans="13:47" x14ac:dyDescent="0.25">
      <c r="M1106" s="27"/>
      <c r="N1106" s="27"/>
      <c r="O1106" s="2" t="s">
        <v>73</v>
      </c>
      <c r="P1106" s="85">
        <v>5</v>
      </c>
      <c r="Q1106" s="2"/>
      <c r="R1106" s="179">
        <f>R1097/((N_6*R$27*0.667)*SQRT(R1107*R1099*R1101))</f>
        <v>0.21871862976769907</v>
      </c>
      <c r="S1106" s="133"/>
      <c r="T1106" s="155"/>
      <c r="U1106" s="143">
        <f>U1097/((N_6*U$27*0.667)*SQRT(U1107*U1099*U1101))</f>
        <v>4.2153851854332656</v>
      </c>
      <c r="V1106" s="133"/>
      <c r="W1106" s="155"/>
      <c r="X1106" s="143">
        <f>X1097/((N_6*X$27*0.667)*SQRT(X1107*X1099*X1101))</f>
        <v>10.740646472415616</v>
      </c>
      <c r="Y1106" s="133"/>
      <c r="Z1106" s="155"/>
      <c r="AA1106" s="143">
        <f>AA1097/((N_6*AA$27*0.667)*SQRT(AA1107*AA1099*AA1101))</f>
        <v>22.729652032956746</v>
      </c>
      <c r="AB1106" s="133"/>
      <c r="AC1106" s="155"/>
      <c r="AD1106" s="143">
        <f>AD1097/((N_6*AD$27*0.667)*SQRT(AD1107*AD1099*AD1101))</f>
        <v>46.134584793691815</v>
      </c>
      <c r="AE1106" s="133"/>
      <c r="AF1106" s="155"/>
      <c r="AG1106" s="143">
        <f>AG1097/((N_6*AG$27*0.667)*SQRT(AG1107*AG1099*AG1101))</f>
        <v>98.76323317551747</v>
      </c>
      <c r="AH1106" s="133"/>
      <c r="AI1106" s="155"/>
      <c r="AJ1106" s="143">
        <f>AJ1097/((N_6*AJ$27*0.667)*SQRT(AJ1107*AJ1099*AJ1101))</f>
        <v>307.81910491148676</v>
      </c>
      <c r="AK1106" s="133"/>
      <c r="AL1106" s="155"/>
      <c r="AM1106" s="143">
        <f>AM1097/((N_6*AM$27*0.667)*SQRT(AM1107*AM1099*AM1101))</f>
        <v>1435.765078995877</v>
      </c>
      <c r="AN1106" s="133"/>
      <c r="AO1106" s="155"/>
      <c r="AP1106" s="143">
        <f>AP1097/((N_6*AP$27*0.667)*SQRT(AP1107*AP1099*AP1101))</f>
        <v>323.39379277813009</v>
      </c>
      <c r="AQ1106" s="133"/>
      <c r="AR1106" s="155"/>
      <c r="AS1106" s="143">
        <f>AS1097/((N_6*AS$27*0.667)*SQRT(AS1107*AS1099*AS1101))</f>
        <v>291.86138405615134</v>
      </c>
      <c r="AT1106" s="133"/>
      <c r="AU1106" s="155"/>
    </row>
    <row r="1107" spans="13:47" ht="15.5" x14ac:dyDescent="0.4">
      <c r="M1107" s="27"/>
      <c r="N1107" s="27"/>
      <c r="O1107" s="2" t="s">
        <v>192</v>
      </c>
      <c r="P1107" s="85">
        <v>10</v>
      </c>
      <c r="Q1107" s="2"/>
      <c r="R1107" s="181">
        <f>F_GAMMA*R$29</f>
        <v>0.64002688015162901</v>
      </c>
      <c r="S1107" s="133"/>
      <c r="T1107" s="155"/>
      <c r="U1107" s="138">
        <f>F_GAMMA*U$29</f>
        <v>0.64016782916606918</v>
      </c>
      <c r="V1107" s="133"/>
      <c r="W1107" s="155"/>
      <c r="X1107" s="138">
        <f>F_GAMMA*X$29</f>
        <v>0.6307062319203669</v>
      </c>
      <c r="Y1107" s="133"/>
      <c r="Z1107" s="155"/>
      <c r="AA1107" s="138">
        <f>F_GAMMA*AA$29</f>
        <v>0.62217534213893466</v>
      </c>
      <c r="AB1107" s="133"/>
      <c r="AC1107" s="155"/>
      <c r="AD1107" s="138">
        <f>F_GAMMA*AD$29</f>
        <v>0.60557184969146072</v>
      </c>
      <c r="AE1107" s="133"/>
      <c r="AF1107" s="155"/>
      <c r="AG1107" s="138">
        <f>F_GAMMA*AG$29</f>
        <v>0.57289312142622573</v>
      </c>
      <c r="AH1107" s="133"/>
      <c r="AI1107" s="155"/>
      <c r="AJ1107" s="138">
        <f>F_GAMMA*AJ$29</f>
        <v>0.53590819116049981</v>
      </c>
      <c r="AK1107" s="133"/>
      <c r="AL1107" s="155"/>
      <c r="AM1107" s="138">
        <f>F_GAMMA*AM$29</f>
        <v>0.49048815926850342</v>
      </c>
      <c r="AN1107" s="133"/>
      <c r="AO1107" s="155"/>
      <c r="AP1107" s="138">
        <f>F_GAMMA*AP$29</f>
        <v>0.59352979016280105</v>
      </c>
      <c r="AQ1107" s="133"/>
      <c r="AR1107" s="155"/>
      <c r="AS1107" s="138">
        <f>F_GAMMA*AS$29</f>
        <v>0.39097221161068291</v>
      </c>
      <c r="AT1107" s="133"/>
      <c r="AU1107" s="155"/>
    </row>
    <row r="1108" spans="13:47" x14ac:dyDescent="0.25">
      <c r="M1108" s="27"/>
      <c r="N1108" s="27"/>
      <c r="O1108" s="2" t="s">
        <v>193</v>
      </c>
      <c r="P1108" s="134"/>
      <c r="Q1108" s="2"/>
      <c r="R1108" s="181">
        <f>IF(R1103&lt;R1107,R1105,R1106)</f>
        <v>0.2229987480083119</v>
      </c>
      <c r="S1108" s="133"/>
      <c r="T1108" s="155"/>
      <c r="U1108" s="138">
        <f>IF(U1103&lt;U1107,U1105,U1106)</f>
        <v>4.3004424318207075</v>
      </c>
      <c r="V1108" s="133"/>
      <c r="W1108" s="155"/>
      <c r="X1108" s="138">
        <f>IF(X1103&lt;X1107,X1105,X1106)</f>
        <v>10.966539365726744</v>
      </c>
      <c r="Y1108" s="133"/>
      <c r="Z1108" s="155"/>
      <c r="AA1108" s="138">
        <f>IF(AA1103&lt;AA1107,AA1105,AA1106)</f>
        <v>23.458533736078305</v>
      </c>
      <c r="AB1108" s="133"/>
      <c r="AC1108" s="155"/>
      <c r="AD1108" s="138">
        <f>IF(AD1103&lt;AD1107,AD1105,AD1106)</f>
        <v>50.434194381141076</v>
      </c>
      <c r="AE1108" s="133"/>
      <c r="AF1108" s="155"/>
      <c r="AG1108" s="138">
        <f>IF(AG1103&lt;AG1107,AG1105,AG1106)</f>
        <v>243.63561648798728</v>
      </c>
      <c r="AH1108" s="133"/>
      <c r="AI1108" s="155"/>
      <c r="AJ1108" s="138" t="e">
        <f>IF(AJ1103&lt;AJ1107,AJ1105,AJ1106)</f>
        <v>#NUM!</v>
      </c>
      <c r="AK1108" s="133"/>
      <c r="AL1108" s="155"/>
      <c r="AM1108" s="138">
        <f>IF(AM1103&lt;AM1107,AM1105,AM1106)</f>
        <v>1435.765078995877</v>
      </c>
      <c r="AN1108" s="133"/>
      <c r="AO1108" s="155"/>
      <c r="AP1108" s="138">
        <f>IF(AP1103&lt;AP1107,AP1105,AP1106)</f>
        <v>323.39379277813009</v>
      </c>
      <c r="AQ1108" s="133"/>
      <c r="AR1108" s="155"/>
      <c r="AS1108" s="138">
        <f>IF(AS1103&lt;AS1107,AS1105,AS1106)</f>
        <v>291.86138405615134</v>
      </c>
      <c r="AT1108" s="133"/>
      <c r="AU1108" s="155"/>
    </row>
    <row r="1109" spans="13:47" ht="13" x14ac:dyDescent="0.3">
      <c r="M1109" s="28"/>
      <c r="N1109" s="28"/>
      <c r="O1109" s="9" t="s">
        <v>194</v>
      </c>
      <c r="P1109" s="1"/>
      <c r="Q1109" s="1"/>
      <c r="R1109" s="135"/>
      <c r="S1109" s="132">
        <f>IF(R1102&lt;=0,W_max,ABS(R$23-R1108))</f>
        <v>1.777001251991688</v>
      </c>
      <c r="T1109" s="151">
        <f>R1097</f>
        <v>51.572542280436068</v>
      </c>
      <c r="U1109" s="135"/>
      <c r="V1109" s="132">
        <f>IF(U1102&lt;=0,W_max,ABS(U$23-U1108))</f>
        <v>0.69955756817929249</v>
      </c>
      <c r="W1109" s="151">
        <f>U1097</f>
        <v>989.60530243781875</v>
      </c>
      <c r="X1109" s="135"/>
      <c r="Y1109" s="132">
        <f>IF(X1102&lt;=0,W_max,ABS(X$23-X1108))</f>
        <v>0.96653936572674404</v>
      </c>
      <c r="Z1109" s="151">
        <f>X1097</f>
        <v>2447.4116773401829</v>
      </c>
      <c r="AA1109" s="135"/>
      <c r="AB1109" s="132">
        <f>IF(AA1102&lt;=0,W_max,ABS(AA$23-AA1108))</f>
        <v>6.2585337360783058</v>
      </c>
      <c r="AC1109" s="151">
        <f>AA1097</f>
        <v>4766.9332568534692</v>
      </c>
      <c r="AD1109" s="135"/>
      <c r="AE1109" s="132">
        <f>IF(AD1102&lt;=0,W_max,ABS(AD$23-AD1108))</f>
        <v>23.834194381141074</v>
      </c>
      <c r="AF1109" s="151">
        <f>AD1097</f>
        <v>7839.8501268271111</v>
      </c>
      <c r="AG1109" s="135"/>
      <c r="AH1109" s="132">
        <f>IF(AG1102&lt;=0,W_max,ABS(AG$23-AG1108))</f>
        <v>205.23561648798727</v>
      </c>
      <c r="AI1109" s="151">
        <f>AG1097</f>
        <v>10995.993362906311</v>
      </c>
      <c r="AJ1109" s="135"/>
      <c r="AK1109" s="132">
        <f>IF(AJ1102&lt;=0,W_max,ABS(AJ$23-AJ1108))</f>
        <v>7174</v>
      </c>
      <c r="AL1109" s="151">
        <f>AJ1097</f>
        <v>13961.993767909109</v>
      </c>
      <c r="AM1109" s="135"/>
      <c r="AN1109" s="132">
        <f>IF(AM1102&lt;=0,W_max,ABS(AM$23-AM1108))</f>
        <v>7174</v>
      </c>
      <c r="AO1109" s="151">
        <f>AM1097</f>
        <v>16371.535732807988</v>
      </c>
      <c r="AP1109" s="135"/>
      <c r="AQ1109" s="132">
        <f>IF(AP1102&lt;=0,W_max,ABS(AP$23-AP1108))</f>
        <v>7174</v>
      </c>
      <c r="AR1109" s="151">
        <f>AP1097</f>
        <v>18265.204203394038</v>
      </c>
      <c r="AS1109" s="135"/>
      <c r="AT1109" s="132">
        <f>IF(AS1102&lt;=0,W_max,ABS(AS$23-AS1108))</f>
        <v>7174</v>
      </c>
      <c r="AU1109" s="151">
        <f>AS1097</f>
        <v>20377.910175105018</v>
      </c>
    </row>
    <row r="1110" spans="13:47" ht="13" x14ac:dyDescent="0.25">
      <c r="M1110" s="12"/>
      <c r="N1110" s="12"/>
      <c r="O1110" s="2"/>
      <c r="P1110" s="85"/>
      <c r="Q1110" s="2"/>
      <c r="R1110" s="18"/>
      <c r="S1110" s="150"/>
      <c r="T1110" s="152"/>
      <c r="U1110" s="157"/>
      <c r="V1110" s="1"/>
      <c r="W1110" s="147"/>
      <c r="X1110" s="157"/>
      <c r="Y1110" s="1"/>
      <c r="Z1110" s="147"/>
      <c r="AA1110" s="157"/>
      <c r="AB1110" s="1"/>
      <c r="AC1110" s="147"/>
      <c r="AD1110" s="157"/>
      <c r="AE1110" s="1"/>
      <c r="AF1110" s="147"/>
      <c r="AG1110" s="157"/>
      <c r="AH1110" s="1"/>
      <c r="AI1110" s="147"/>
      <c r="AJ1110" s="157"/>
      <c r="AK1110" s="1"/>
      <c r="AL1110" s="147"/>
      <c r="AM1110" s="157"/>
      <c r="AN1110" s="1"/>
      <c r="AO1110" s="147"/>
      <c r="AP1110" s="157"/>
      <c r="AQ1110" s="1"/>
      <c r="AR1110" s="147"/>
      <c r="AS1110" s="157"/>
      <c r="AT1110" s="1"/>
      <c r="AU1110" s="147"/>
    </row>
    <row r="1111" spans="13:47" ht="14" x14ac:dyDescent="0.3">
      <c r="M1111" s="23"/>
      <c r="N1111" s="23"/>
      <c r="O1111" s="23" t="s">
        <v>238</v>
      </c>
      <c r="P1111" s="20"/>
      <c r="Q1111" s="20"/>
      <c r="R1111" s="181">
        <f>R1097*1.02</f>
        <v>52.603993126044791</v>
      </c>
      <c r="S1111" s="128" t="s">
        <v>185</v>
      </c>
      <c r="T1111" s="153" t="s">
        <v>186</v>
      </c>
      <c r="U1111" s="143">
        <f>U1097*1.01</f>
        <v>999.5013554621969</v>
      </c>
      <c r="V1111" s="128" t="s">
        <v>185</v>
      </c>
      <c r="W1111" s="153" t="s">
        <v>186</v>
      </c>
      <c r="X1111" s="143">
        <f>X1097*1.01</f>
        <v>2471.8857941135848</v>
      </c>
      <c r="Y1111" s="128" t="s">
        <v>185</v>
      </c>
      <c r="Z1111" s="153" t="s">
        <v>186</v>
      </c>
      <c r="AA1111" s="143">
        <f>AA1097*1.01</f>
        <v>4814.6025894220038</v>
      </c>
      <c r="AB1111" s="128" t="s">
        <v>185</v>
      </c>
      <c r="AC1111" s="153" t="s">
        <v>186</v>
      </c>
      <c r="AD1111" s="143">
        <f>AD1097*1.01</f>
        <v>7918.2486280953826</v>
      </c>
      <c r="AE1111" s="128" t="s">
        <v>185</v>
      </c>
      <c r="AF1111" s="153" t="s">
        <v>186</v>
      </c>
      <c r="AG1111" s="143">
        <f>AG1097*1.01</f>
        <v>11105.953296535374</v>
      </c>
      <c r="AH1111" s="128" t="s">
        <v>185</v>
      </c>
      <c r="AI1111" s="153" t="s">
        <v>186</v>
      </c>
      <c r="AJ1111" s="143">
        <f>AJ1097*1.01</f>
        <v>14101.613705588201</v>
      </c>
      <c r="AK1111" s="128" t="s">
        <v>185</v>
      </c>
      <c r="AL1111" s="153" t="s">
        <v>186</v>
      </c>
      <c r="AM1111" s="143">
        <f>AM1097*1.01</f>
        <v>16535.251090136069</v>
      </c>
      <c r="AN1111" s="128" t="s">
        <v>185</v>
      </c>
      <c r="AO1111" s="153" t="s">
        <v>186</v>
      </c>
      <c r="AP1111" s="143">
        <f>AP1097*1.01</f>
        <v>18447.856245427978</v>
      </c>
      <c r="AQ1111" s="128" t="s">
        <v>185</v>
      </c>
      <c r="AR1111" s="153" t="s">
        <v>186</v>
      </c>
      <c r="AS1111" s="143">
        <f>AS1097*1.01</f>
        <v>20581.689276856068</v>
      </c>
      <c r="AT1111" s="128" t="s">
        <v>185</v>
      </c>
      <c r="AU1111" s="153" t="s">
        <v>186</v>
      </c>
    </row>
    <row r="1112" spans="13:47" ht="14" x14ac:dyDescent="0.3">
      <c r="M1112" s="12"/>
      <c r="N1112" s="12"/>
      <c r="O1112" s="20"/>
      <c r="P1112" s="20"/>
      <c r="Q1112" s="23"/>
      <c r="R1112" s="139"/>
      <c r="S1112" s="130" t="s">
        <v>228</v>
      </c>
      <c r="T1112" s="154" t="s">
        <v>187</v>
      </c>
      <c r="U1112" s="144"/>
      <c r="V1112" s="130" t="s">
        <v>228</v>
      </c>
      <c r="W1112" s="154" t="s">
        <v>187</v>
      </c>
      <c r="X1112" s="144"/>
      <c r="Y1112" s="130" t="s">
        <v>228</v>
      </c>
      <c r="Z1112" s="154" t="s">
        <v>187</v>
      </c>
      <c r="AA1112" s="144"/>
      <c r="AB1112" s="130" t="s">
        <v>228</v>
      </c>
      <c r="AC1112" s="154" t="s">
        <v>187</v>
      </c>
      <c r="AD1112" s="144"/>
      <c r="AE1112" s="130" t="s">
        <v>228</v>
      </c>
      <c r="AF1112" s="154" t="s">
        <v>187</v>
      </c>
      <c r="AG1112" s="144"/>
      <c r="AH1112" s="130" t="s">
        <v>228</v>
      </c>
      <c r="AI1112" s="154" t="s">
        <v>187</v>
      </c>
      <c r="AJ1112" s="144"/>
      <c r="AK1112" s="130" t="s">
        <v>228</v>
      </c>
      <c r="AL1112" s="154" t="s">
        <v>187</v>
      </c>
      <c r="AM1112" s="144"/>
      <c r="AN1112" s="130" t="s">
        <v>228</v>
      </c>
      <c r="AO1112" s="154" t="s">
        <v>187</v>
      </c>
      <c r="AP1112" s="144"/>
      <c r="AQ1112" s="130" t="s">
        <v>228</v>
      </c>
      <c r="AR1112" s="154" t="s">
        <v>187</v>
      </c>
      <c r="AS1112" s="144"/>
      <c r="AT1112" s="130" t="s">
        <v>228</v>
      </c>
      <c r="AU1112" s="154" t="s">
        <v>187</v>
      </c>
    </row>
    <row r="1113" spans="13:47" x14ac:dyDescent="0.25">
      <c r="M1113" s="20"/>
      <c r="N1113" s="20"/>
      <c r="O1113" s="7" t="s">
        <v>188</v>
      </c>
      <c r="P1113" s="7"/>
      <c r="Q1113" s="7"/>
      <c r="R1113" s="181">
        <f>P_1_minW-(R1111^2*R_up)+dpup_minQ</f>
        <v>100.52168329091093</v>
      </c>
      <c r="S1113" s="132"/>
      <c r="T1113" s="145"/>
      <c r="U1113" s="138">
        <f>P_1_minW-(U1111^2*R_up)+dpup_minQ</f>
        <v>100.12442248187702</v>
      </c>
      <c r="V1113" s="132"/>
      <c r="W1113" s="145"/>
      <c r="X1113" s="138">
        <f>P_1_minW-(X1111^2*R_up)+dpup_minQ</f>
        <v>98.086264435546127</v>
      </c>
      <c r="Y1113" s="132"/>
      <c r="Z1113" s="145"/>
      <c r="AA1113" s="138">
        <f>P_1_minW-(AA1111^2*R_up)+dpup_minQ</f>
        <v>91.279328621416298</v>
      </c>
      <c r="AB1113" s="132"/>
      <c r="AC1113" s="145"/>
      <c r="AD1113" s="138">
        <f>P_1_minW-(AD1111^2*R_up)+dpup_minQ</f>
        <v>75.520953394756447</v>
      </c>
      <c r="AE1113" s="132"/>
      <c r="AF1113" s="145"/>
      <c r="AG1113" s="138">
        <f>P_1_minW-(AG1111^2*R_up)+dpup_minQ</f>
        <v>51.338625092385662</v>
      </c>
      <c r="AH1113" s="132"/>
      <c r="AI1113" s="145"/>
      <c r="AJ1113" s="138">
        <f>P_1_minW-(AJ1111^2*R_up)+dpup_minQ</f>
        <v>21.226798724770418</v>
      </c>
      <c r="AK1113" s="132"/>
      <c r="AL1113" s="145"/>
      <c r="AM1113" s="138">
        <f>P_1_minW-(AM1111^2*R_up)+dpup_minQ</f>
        <v>-8.5044928252262508</v>
      </c>
      <c r="AN1113" s="132"/>
      <c r="AO1113" s="145"/>
      <c r="AP1113" s="138">
        <f>P_1_minW-(AP1111^2*R_up)+dpup_minQ</f>
        <v>-35.18519727953354</v>
      </c>
      <c r="AQ1113" s="132"/>
      <c r="AR1113" s="145"/>
      <c r="AS1113" s="138">
        <f>P_1_minW-(AS1111^2*R_up)+dpup_minQ</f>
        <v>-68.395093263136928</v>
      </c>
      <c r="AT1113" s="132"/>
      <c r="AU1113" s="145"/>
    </row>
    <row r="1114" spans="13:47" x14ac:dyDescent="0.25">
      <c r="M1114" s="20"/>
      <c r="N1114" s="20"/>
      <c r="O1114" s="7" t="s">
        <v>189</v>
      </c>
      <c r="P1114" s="1"/>
      <c r="Q1114" s="7"/>
      <c r="R1114" s="181">
        <f>P_2_minW+(R1111^2*R_dn)-dpdn_minQ</f>
        <v>50</v>
      </c>
      <c r="S1114" s="132"/>
      <c r="T1114" s="146"/>
      <c r="U1114" s="138">
        <f>P_2_minW+(U1111^2*R_dn)-dpdn_minQ</f>
        <v>50</v>
      </c>
      <c r="V1114" s="132"/>
      <c r="W1114" s="146"/>
      <c r="X1114" s="138">
        <f>P_2_minW+(X1111^2*R_dn)-dpdn_minQ</f>
        <v>50</v>
      </c>
      <c r="Y1114" s="132"/>
      <c r="Z1114" s="146"/>
      <c r="AA1114" s="138">
        <f>P_2_minW+(AA1111^2*R_dn)-dpdn_minQ</f>
        <v>50</v>
      </c>
      <c r="AB1114" s="132"/>
      <c r="AC1114" s="146"/>
      <c r="AD1114" s="138">
        <f>P_2_minW+(AD1111^2*R_dn)-dpdn_minQ</f>
        <v>50</v>
      </c>
      <c r="AE1114" s="132"/>
      <c r="AF1114" s="146"/>
      <c r="AG1114" s="138">
        <f>P_2_minW+(AG1111^2*R_dn)-dpdn_minQ</f>
        <v>50</v>
      </c>
      <c r="AH1114" s="132"/>
      <c r="AI1114" s="146"/>
      <c r="AJ1114" s="138">
        <f>P_2_minW+(AJ1111^2*R_dn)-dpdn_minQ</f>
        <v>50</v>
      </c>
      <c r="AK1114" s="132"/>
      <c r="AL1114" s="146"/>
      <c r="AM1114" s="138">
        <f>P_2_minW+(AM1111^2*R_dn)-dpdn_minQ</f>
        <v>50</v>
      </c>
      <c r="AN1114" s="132"/>
      <c r="AO1114" s="146"/>
      <c r="AP1114" s="138">
        <f>P_2_minW+(AP1111^2*R_dn)-dpdn_minQ</f>
        <v>50</v>
      </c>
      <c r="AQ1114" s="132"/>
      <c r="AR1114" s="146"/>
      <c r="AS1114" s="138">
        <f>P_2_minW+(AS1111^2*R_dn)-dpdn_minQ</f>
        <v>50</v>
      </c>
      <c r="AT1114" s="132"/>
      <c r="AU1114" s="146"/>
    </row>
    <row r="1115" spans="13:47" x14ac:dyDescent="0.25">
      <c r="M1115" s="20"/>
      <c r="N1115" s="20"/>
      <c r="O1115" s="7" t="s">
        <v>234</v>
      </c>
      <c r="P1115" s="1"/>
      <c r="Q1115" s="7"/>
      <c r="R1115" s="179">
        <f>'Valve Sizing'!G$8*R1113/P_1_maxW</f>
        <v>0.484898703412732</v>
      </c>
      <c r="S1115" s="132"/>
      <c r="T1115" s="146"/>
      <c r="U1115" s="143">
        <f>'Valve Sizing'!$G$8*U1113/P_1_maxW</f>
        <v>0.48298238799788012</v>
      </c>
      <c r="V1115" s="132"/>
      <c r="W1115" s="146"/>
      <c r="X1115" s="143">
        <f>'Valve Sizing'!$G$8*X1113/P_1_maxW</f>
        <v>0.47315067645405406</v>
      </c>
      <c r="Y1115" s="132"/>
      <c r="Z1115" s="146"/>
      <c r="AA1115" s="143">
        <f>'Valve Sizing'!$G$8*AA1113/P_1_maxW</f>
        <v>0.44031522998691663</v>
      </c>
      <c r="AB1115" s="132"/>
      <c r="AC1115" s="146"/>
      <c r="AD1115" s="143">
        <f>'Valve Sizing'!$G$8*AD1113/P_1_maxW</f>
        <v>0.36429963349929206</v>
      </c>
      <c r="AE1115" s="132"/>
      <c r="AF1115" s="146"/>
      <c r="AG1115" s="143">
        <f>'Valve Sizing'!$G$8*AG1113/P_1_maxW</f>
        <v>0.24764838716684173</v>
      </c>
      <c r="AH1115" s="132"/>
      <c r="AI1115" s="146"/>
      <c r="AJ1115" s="143">
        <f>'Valve Sizing'!$G$8*AJ1113/P_1_maxW</f>
        <v>0.10239429784971457</v>
      </c>
      <c r="AK1115" s="132"/>
      <c r="AL1115" s="146"/>
      <c r="AM1115" s="143">
        <f>'Valve Sizing'!$G$8*AM1113/P_1_maxW</f>
        <v>-4.1024159257269051E-2</v>
      </c>
      <c r="AN1115" s="132"/>
      <c r="AO1115" s="146"/>
      <c r="AP1115" s="143">
        <f>'Valve Sizing'!$G$8*AP1113/P_1_maxW</f>
        <v>-0.16972712733820347</v>
      </c>
      <c r="AQ1115" s="132"/>
      <c r="AR1115" s="146"/>
      <c r="AS1115" s="143">
        <f>'Valve Sizing'!$G$8*AS1113/P_1_maxW</f>
        <v>-0.32992575290555937</v>
      </c>
      <c r="AT1115" s="132"/>
      <c r="AU1115" s="146"/>
    </row>
    <row r="1116" spans="13:47" x14ac:dyDescent="0.25">
      <c r="M1116" s="20"/>
      <c r="N1116" s="20"/>
      <c r="O1116" s="7" t="s">
        <v>190</v>
      </c>
      <c r="P1116" s="1"/>
      <c r="Q1116" s="7"/>
      <c r="R1116" s="181">
        <f>R1113-R1114</f>
        <v>50.521683290910929</v>
      </c>
      <c r="S1116" s="132"/>
      <c r="T1116" s="146"/>
      <c r="U1116" s="138">
        <f>U1113-U1114</f>
        <v>50.124422481877019</v>
      </c>
      <c r="V1116" s="132"/>
      <c r="W1116" s="146"/>
      <c r="X1116" s="138">
        <f>X1113-X1114</f>
        <v>48.086264435546127</v>
      </c>
      <c r="Y1116" s="132"/>
      <c r="Z1116" s="146"/>
      <c r="AA1116" s="138">
        <f>AA1113-AA1114</f>
        <v>41.279328621416298</v>
      </c>
      <c r="AB1116" s="132"/>
      <c r="AC1116" s="146"/>
      <c r="AD1116" s="138">
        <f>AD1113-AD1114</f>
        <v>25.520953394756447</v>
      </c>
      <c r="AE1116" s="132"/>
      <c r="AF1116" s="146"/>
      <c r="AG1116" s="138">
        <f>AG1113-AG1114</f>
        <v>1.3386250923856622</v>
      </c>
      <c r="AH1116" s="132"/>
      <c r="AI1116" s="146"/>
      <c r="AJ1116" s="138">
        <f>AJ1113-AJ1114</f>
        <v>-28.773201275229582</v>
      </c>
      <c r="AK1116" s="132"/>
      <c r="AL1116" s="146"/>
      <c r="AM1116" s="138">
        <f>AM1113-AM1114</f>
        <v>-58.504492825226251</v>
      </c>
      <c r="AN1116" s="132"/>
      <c r="AO1116" s="146"/>
      <c r="AP1116" s="138">
        <f>AP1113-AP1114</f>
        <v>-85.18519727953354</v>
      </c>
      <c r="AQ1116" s="132"/>
      <c r="AR1116" s="146"/>
      <c r="AS1116" s="138">
        <f>AS1113-AS1114</f>
        <v>-118.39509326313693</v>
      </c>
      <c r="AT1116" s="132"/>
      <c r="AU1116" s="146"/>
    </row>
    <row r="1117" spans="13:47" ht="14.5" x14ac:dyDescent="0.35">
      <c r="M1117" s="27"/>
      <c r="N1117" s="27"/>
      <c r="O1117" s="2" t="s">
        <v>191</v>
      </c>
      <c r="P1117" s="10"/>
      <c r="Q1117" s="2"/>
      <c r="R1117" s="181">
        <f>R1116/R1113</f>
        <v>0.50259487940229364</v>
      </c>
      <c r="S1117" s="132"/>
      <c r="T1117" s="146"/>
      <c r="U1117" s="138">
        <f>U1116/U1113</f>
        <v>0.50062133932357777</v>
      </c>
      <c r="V1117" s="132"/>
      <c r="W1117" s="146"/>
      <c r="X1117" s="138">
        <f>X1116/X1113</f>
        <v>0.49024463019635428</v>
      </c>
      <c r="Y1117" s="132"/>
      <c r="Z1117" s="146"/>
      <c r="AA1117" s="138">
        <f>AA1116/AA1113</f>
        <v>0.45223085275554037</v>
      </c>
      <c r="AB1117" s="132"/>
      <c r="AC1117" s="146"/>
      <c r="AD1117" s="138">
        <f>AD1116/AD1113</f>
        <v>0.33793208702431993</v>
      </c>
      <c r="AE1117" s="132"/>
      <c r="AF1117" s="146"/>
      <c r="AG1117" s="138">
        <f>AG1116/AG1113</f>
        <v>2.6074424275616247E-2</v>
      </c>
      <c r="AH1117" s="132"/>
      <c r="AI1117" s="146"/>
      <c r="AJ1117" s="138">
        <f>AJ1116/AJ1113</f>
        <v>-1.3555129837667399</v>
      </c>
      <c r="AK1117" s="132"/>
      <c r="AL1117" s="146"/>
      <c r="AM1117" s="138">
        <f>AM1116/AM1113</f>
        <v>6.8792453621324343</v>
      </c>
      <c r="AN1117" s="132"/>
      <c r="AO1117" s="146"/>
      <c r="AP1117" s="138">
        <f>AP1116/AP1113</f>
        <v>2.421052143114852</v>
      </c>
      <c r="AQ1117" s="132"/>
      <c r="AR1117" s="146"/>
      <c r="AS1117" s="138">
        <f>AS1116/AS1113</f>
        <v>1.731046594346098</v>
      </c>
      <c r="AT1117" s="132"/>
      <c r="AU1117" s="146"/>
    </row>
    <row r="1118" spans="13:47" x14ac:dyDescent="0.25">
      <c r="M1118" s="27"/>
      <c r="N1118" s="27"/>
      <c r="O1118" s="2" t="s">
        <v>26</v>
      </c>
      <c r="P1118" s="7">
        <v>12</v>
      </c>
      <c r="Q1118" s="2"/>
      <c r="R1118" s="181">
        <f>1-R1117/(3*F_GAMMA*R$29)</f>
        <v>0.73824282750789894</v>
      </c>
      <c r="S1118" s="133"/>
      <c r="T1118" s="146"/>
      <c r="U1118" s="138">
        <f>1-U1117/(3*F_GAMMA*U$29)</f>
        <v>0.73932807590173932</v>
      </c>
      <c r="V1118" s="133"/>
      <c r="W1118" s="146"/>
      <c r="X1118" s="138">
        <f>1-X1117/(3*F_GAMMA*X$29)</f>
        <v>0.74090175669494429</v>
      </c>
      <c r="Y1118" s="133"/>
      <c r="Z1118" s="146"/>
      <c r="AA1118" s="138">
        <f>1-AA1117/(3*F_GAMMA*AA$29)</f>
        <v>0.75771521727789981</v>
      </c>
      <c r="AB1118" s="133"/>
      <c r="AC1118" s="146"/>
      <c r="AD1118" s="138">
        <f>1-AD1117/(3*F_GAMMA*AD$29)</f>
        <v>0.81398734259939787</v>
      </c>
      <c r="AE1118" s="133"/>
      <c r="AF1118" s="146"/>
      <c r="AG1118" s="138">
        <f>1-AG1117/(3*F_GAMMA*AG$29)</f>
        <v>0.98482880238306725</v>
      </c>
      <c r="AH1118" s="133"/>
      <c r="AI1118" s="146"/>
      <c r="AJ1118" s="138">
        <f>1-AJ1117/(3*F_GAMMA*AJ$29)</f>
        <v>1.843125126110003</v>
      </c>
      <c r="AK1118" s="133"/>
      <c r="AL1118" s="146"/>
      <c r="AM1118" s="138">
        <f>1-AM1117/(3*F_GAMMA*AM$29)</f>
        <v>-3.6751012110002783</v>
      </c>
      <c r="AN1118" s="133"/>
      <c r="AO1118" s="146"/>
      <c r="AP1118" s="138">
        <f>1-AP1117/(3*F_GAMMA*AP$29)</f>
        <v>-0.35969145005665992</v>
      </c>
      <c r="AQ1118" s="133"/>
      <c r="AR1118" s="146"/>
      <c r="AS1118" s="138">
        <f>1-AS1117/(3*F_GAMMA*AS$29)</f>
        <v>-0.47584793576908258</v>
      </c>
      <c r="AT1118" s="133"/>
      <c r="AU1118" s="146"/>
    </row>
    <row r="1119" spans="13:47" x14ac:dyDescent="0.25">
      <c r="M1119" s="27"/>
      <c r="N1119" s="27"/>
      <c r="O1119" s="2" t="s">
        <v>71</v>
      </c>
      <c r="P1119" s="85">
        <v>5</v>
      </c>
      <c r="Q1119" s="2"/>
      <c r="R1119" s="179">
        <f>R1111/((N_6*R$27*R1118)*SQRT(R1117*R1113*R1115))</f>
        <v>0.22745883387943233</v>
      </c>
      <c r="S1119" s="133"/>
      <c r="T1119" s="146"/>
      <c r="U1119" s="143">
        <f>U1111/((N_6*U$27*U1118)*SQRT(U1117*U1113*U1115))</f>
        <v>4.3438374301471638</v>
      </c>
      <c r="V1119" s="133"/>
      <c r="W1119" s="146"/>
      <c r="X1119" s="143">
        <f>X1111/((N_6*X$27*X1118)*SQRT(X1117*X1113*X1115))</f>
        <v>11.082472455942675</v>
      </c>
      <c r="Y1119" s="133"/>
      <c r="Z1119" s="146"/>
      <c r="AA1119" s="143">
        <f>AA1111/((N_6*AA$27*AA1118)*SQRT(AA1117*AA1113*AA1115))</f>
        <v>23.750676690893243</v>
      </c>
      <c r="AB1119" s="133"/>
      <c r="AC1119" s="146"/>
      <c r="AD1119" s="143">
        <f>AD1111/((N_6*AD$27*AD1118)*SQRT(AD1117*AD1113*AD1115))</f>
        <v>51.44557986095468</v>
      </c>
      <c r="AE1119" s="133"/>
      <c r="AF1119" s="146"/>
      <c r="AG1119" s="143">
        <f>AG1111/((N_6*AG$27*AG1118)*SQRT(AG1117*AG1113*AG1115))</f>
        <v>322.65098036158014</v>
      </c>
      <c r="AH1119" s="133"/>
      <c r="AI1119" s="146"/>
      <c r="AJ1119" s="143" t="e">
        <f>AJ1111/((N_6*AJ$27*AJ1118)*SQRT(AJ1117*AJ1113*AJ1115))</f>
        <v>#NUM!</v>
      </c>
      <c r="AK1119" s="133"/>
      <c r="AL1119" s="146"/>
      <c r="AM1119" s="143">
        <f>AM1111/((N_6*AM$27*AM1118)*SQRT(AM1117*AM1113*AM1115))</f>
        <v>-52.523780305275324</v>
      </c>
      <c r="AN1119" s="133"/>
      <c r="AO1119" s="146"/>
      <c r="AP1119" s="143">
        <f>AP1111/((N_6*AP$27*AP1118)*SQRT(AP1117*AP1113*AP1115))</f>
        <v>-277.10295477934085</v>
      </c>
      <c r="AQ1119" s="133"/>
      <c r="AR1119" s="146"/>
      <c r="AS1119" s="143">
        <f>AS1111/((N_6*AS$27*AS1118)*SQRT(AS1117*AS1113*AS1115))</f>
        <v>-186.8135394714941</v>
      </c>
      <c r="AT1119" s="133"/>
      <c r="AU1119" s="146"/>
    </row>
    <row r="1120" spans="13:47" x14ac:dyDescent="0.25">
      <c r="M1120" s="27"/>
      <c r="N1120" s="27"/>
      <c r="O1120" s="2" t="s">
        <v>73</v>
      </c>
      <c r="P1120" s="85">
        <v>5</v>
      </c>
      <c r="Q1120" s="2"/>
      <c r="R1120" s="179">
        <f>R1111/((N_6*R$27*0.667)*SQRT(R1121*R1113*R1115))</f>
        <v>0.2230930974581728</v>
      </c>
      <c r="S1120" s="133"/>
      <c r="T1120" s="155"/>
      <c r="U1120" s="143">
        <f>U1111/((N_6*U$27*0.667)*SQRT(U1121*U1113*U1115))</f>
        <v>4.2578728111211168</v>
      </c>
      <c r="V1120" s="133"/>
      <c r="W1120" s="155"/>
      <c r="X1120" s="143">
        <f>X1111/((N_6*X$27*0.667)*SQRT(X1121*X1113*X1115))</f>
        <v>10.853362604343751</v>
      </c>
      <c r="Y1120" s="133"/>
      <c r="Z1120" s="155"/>
      <c r="AA1120" s="143">
        <f>AA1111/((N_6*AA$27*0.667)*SQRT(AA1121*AA1113*AA1115))</f>
        <v>23.002755306641337</v>
      </c>
      <c r="AB1120" s="133"/>
      <c r="AC1120" s="155"/>
      <c r="AD1120" s="143">
        <f>AD1111/((N_6*AD$27*0.667)*SQRT(AD1121*AD1113*AD1115))</f>
        <v>46.899883122142981</v>
      </c>
      <c r="AE1120" s="133"/>
      <c r="AF1120" s="155"/>
      <c r="AG1120" s="143">
        <f>AG1111/((N_6*AG$27*0.667)*SQRT(AG1121*AG1113*AG1115))</f>
        <v>101.63386855100218</v>
      </c>
      <c r="AH1120" s="133"/>
      <c r="AI1120" s="155"/>
      <c r="AJ1120" s="143">
        <f>AJ1111/((N_6*AJ$27*0.667)*SQRT(AJ1121*AJ1113*AJ1115))</f>
        <v>333.78156091736474</v>
      </c>
      <c r="AK1120" s="133"/>
      <c r="AL1120" s="155"/>
      <c r="AM1120" s="143">
        <f>AM1111/((N_6*AM$27*0.667)*SQRT(AM1121*AM1113*AM1115))</f>
        <v>1083.8160600409392</v>
      </c>
      <c r="AN1120" s="133"/>
      <c r="AO1120" s="155"/>
      <c r="AP1120" s="143">
        <f>AP1111/((N_6*AP$27*0.667)*SQRT(AP1121*AP1113*AP1115))</f>
        <v>301.80487332885525</v>
      </c>
      <c r="AQ1120" s="133"/>
      <c r="AR1120" s="155"/>
      <c r="AS1120" s="143">
        <f>AS1111/((N_6*AS$27*0.667)*SQRT(AS1121*AS1113*AS1115))</f>
        <v>280.43495017444889</v>
      </c>
      <c r="AT1120" s="133"/>
      <c r="AU1120" s="155"/>
    </row>
    <row r="1121" spans="13:47" ht="15.5" x14ac:dyDescent="0.4">
      <c r="M1121" s="27"/>
      <c r="N1121" s="27"/>
      <c r="O1121" s="2" t="s">
        <v>192</v>
      </c>
      <c r="P1121" s="85">
        <v>10</v>
      </c>
      <c r="Q1121" s="2"/>
      <c r="R1121" s="181">
        <f>F_GAMMA*R$29</f>
        <v>0.64002688015162901</v>
      </c>
      <c r="S1121" s="133"/>
      <c r="T1121" s="155"/>
      <c r="U1121" s="138">
        <f>F_GAMMA*U$29</f>
        <v>0.64016782916606918</v>
      </c>
      <c r="V1121" s="133"/>
      <c r="W1121" s="155"/>
      <c r="X1121" s="138">
        <f>F_GAMMA*X$29</f>
        <v>0.6307062319203669</v>
      </c>
      <c r="Y1121" s="133"/>
      <c r="Z1121" s="155"/>
      <c r="AA1121" s="138">
        <f>F_GAMMA*AA$29</f>
        <v>0.62217534213893466</v>
      </c>
      <c r="AB1121" s="133"/>
      <c r="AC1121" s="155"/>
      <c r="AD1121" s="138">
        <f>F_GAMMA*AD$29</f>
        <v>0.60557184969146072</v>
      </c>
      <c r="AE1121" s="133"/>
      <c r="AF1121" s="155"/>
      <c r="AG1121" s="138">
        <f>F_GAMMA*AG$29</f>
        <v>0.57289312142622573</v>
      </c>
      <c r="AH1121" s="133"/>
      <c r="AI1121" s="155"/>
      <c r="AJ1121" s="138">
        <f>F_GAMMA*AJ$29</f>
        <v>0.53590819116049981</v>
      </c>
      <c r="AK1121" s="133"/>
      <c r="AL1121" s="155"/>
      <c r="AM1121" s="138">
        <f>F_GAMMA*AM$29</f>
        <v>0.49048815926850342</v>
      </c>
      <c r="AN1121" s="133"/>
      <c r="AO1121" s="155"/>
      <c r="AP1121" s="138">
        <f>F_GAMMA*AP$29</f>
        <v>0.59352979016280105</v>
      </c>
      <c r="AQ1121" s="133"/>
      <c r="AR1121" s="155"/>
      <c r="AS1121" s="138">
        <f>F_GAMMA*AS$29</f>
        <v>0.39097221161068291</v>
      </c>
      <c r="AT1121" s="133"/>
      <c r="AU1121" s="155"/>
    </row>
    <row r="1122" spans="13:47" x14ac:dyDescent="0.25">
      <c r="M1122" s="27"/>
      <c r="N1122" s="27"/>
      <c r="O1122" s="2" t="s">
        <v>193</v>
      </c>
      <c r="P1122" s="134"/>
      <c r="Q1122" s="2"/>
      <c r="R1122" s="181">
        <f>IF(R1117&lt;R1121,R1119,R1120)</f>
        <v>0.22745883387943233</v>
      </c>
      <c r="S1122" s="133"/>
      <c r="T1122" s="155"/>
      <c r="U1122" s="138">
        <f>IF(U1117&lt;U1121,U1119,U1120)</f>
        <v>4.3438374301471638</v>
      </c>
      <c r="V1122" s="133"/>
      <c r="W1122" s="155"/>
      <c r="X1122" s="138">
        <f>IF(X1117&lt;X1121,X1119,X1120)</f>
        <v>11.082472455942675</v>
      </c>
      <c r="Y1122" s="133"/>
      <c r="Z1122" s="155"/>
      <c r="AA1122" s="138">
        <f>IF(AA1117&lt;AA1121,AA1119,AA1120)</f>
        <v>23.750676690893243</v>
      </c>
      <c r="AB1122" s="133"/>
      <c r="AC1122" s="155"/>
      <c r="AD1122" s="138">
        <f>IF(AD1117&lt;AD1121,AD1119,AD1120)</f>
        <v>51.44557986095468</v>
      </c>
      <c r="AE1122" s="133"/>
      <c r="AF1122" s="155"/>
      <c r="AG1122" s="138">
        <f>IF(AG1117&lt;AG1121,AG1119,AG1120)</f>
        <v>322.65098036158014</v>
      </c>
      <c r="AH1122" s="133"/>
      <c r="AI1122" s="155"/>
      <c r="AJ1122" s="138" t="e">
        <f>IF(AJ1117&lt;AJ1121,AJ1119,AJ1120)</f>
        <v>#NUM!</v>
      </c>
      <c r="AK1122" s="133"/>
      <c r="AL1122" s="155"/>
      <c r="AM1122" s="138">
        <f>IF(AM1117&lt;AM1121,AM1119,AM1120)</f>
        <v>1083.8160600409392</v>
      </c>
      <c r="AN1122" s="133"/>
      <c r="AO1122" s="155"/>
      <c r="AP1122" s="138">
        <f>IF(AP1117&lt;AP1121,AP1119,AP1120)</f>
        <v>301.80487332885525</v>
      </c>
      <c r="AQ1122" s="133"/>
      <c r="AR1122" s="155"/>
      <c r="AS1122" s="138">
        <f>IF(AS1117&lt;AS1121,AS1119,AS1120)</f>
        <v>280.43495017444889</v>
      </c>
      <c r="AT1122" s="133"/>
      <c r="AU1122" s="155"/>
    </row>
    <row r="1123" spans="13:47" ht="13" x14ac:dyDescent="0.3">
      <c r="M1123" s="28"/>
      <c r="N1123" s="28"/>
      <c r="O1123" s="9" t="s">
        <v>194</v>
      </c>
      <c r="P1123" s="1"/>
      <c r="Q1123" s="1"/>
      <c r="R1123" s="135"/>
      <c r="S1123" s="132">
        <f>IF(R1116&lt;=0,W_max,ABS(R$23-R1122))</f>
        <v>1.7725411661205677</v>
      </c>
      <c r="T1123" s="151">
        <f>R1111</f>
        <v>52.603993126044791</v>
      </c>
      <c r="U1123" s="135"/>
      <c r="V1123" s="132">
        <f>IF(U1116&lt;=0,W_max,ABS(U$23-U1122))</f>
        <v>0.65616256985283616</v>
      </c>
      <c r="W1123" s="151">
        <f>U1111</f>
        <v>999.5013554621969</v>
      </c>
      <c r="X1123" s="135"/>
      <c r="Y1123" s="132">
        <f>IF(X1116&lt;=0,W_max,ABS(X$23-X1122))</f>
        <v>1.0824724559426748</v>
      </c>
      <c r="Z1123" s="151">
        <f>X1111</f>
        <v>2471.8857941135848</v>
      </c>
      <c r="AA1123" s="135"/>
      <c r="AB1123" s="132">
        <f>IF(AA1116&lt;=0,W_max,ABS(AA$23-AA1122))</f>
        <v>6.5506766908932441</v>
      </c>
      <c r="AC1123" s="151">
        <f>AA1111</f>
        <v>4814.6025894220038</v>
      </c>
      <c r="AD1123" s="135"/>
      <c r="AE1123" s="132">
        <f>IF(AD1116&lt;=0,W_max,ABS(AD$23-AD1122))</f>
        <v>24.845579860954679</v>
      </c>
      <c r="AF1123" s="151">
        <f>AD1111</f>
        <v>7918.2486280953826</v>
      </c>
      <c r="AG1123" s="135"/>
      <c r="AH1123" s="132">
        <f>IF(AG1116&lt;=0,W_max,ABS(AG$23-AG1122))</f>
        <v>284.25098036158016</v>
      </c>
      <c r="AI1123" s="151">
        <f>AG1111</f>
        <v>11105.953296535374</v>
      </c>
      <c r="AJ1123" s="135"/>
      <c r="AK1123" s="132">
        <f>IF(AJ1116&lt;=0,W_max,ABS(AJ$23-AJ1122))</f>
        <v>7174</v>
      </c>
      <c r="AL1123" s="151">
        <f>AJ1111</f>
        <v>14101.613705588201</v>
      </c>
      <c r="AM1123" s="135"/>
      <c r="AN1123" s="132">
        <f>IF(AM1116&lt;=0,W_max,ABS(AM$23-AM1122))</f>
        <v>7174</v>
      </c>
      <c r="AO1123" s="151">
        <f>AM1111</f>
        <v>16535.251090136069</v>
      </c>
      <c r="AP1123" s="135"/>
      <c r="AQ1123" s="132">
        <f>IF(AP1116&lt;=0,W_max,ABS(AP$23-AP1122))</f>
        <v>7174</v>
      </c>
      <c r="AR1123" s="151">
        <f>AP1111</f>
        <v>18447.856245427978</v>
      </c>
      <c r="AS1123" s="135"/>
      <c r="AT1123" s="132">
        <f>IF(AS1116&lt;=0,W_max,ABS(AS$23-AS1122))</f>
        <v>7174</v>
      </c>
      <c r="AU1123" s="151">
        <f>AS1111</f>
        <v>20581.689276856068</v>
      </c>
    </row>
    <row r="1124" spans="13:47" ht="13" x14ac:dyDescent="0.25">
      <c r="M1124" s="12"/>
      <c r="N1124" s="12"/>
      <c r="O1124" s="2"/>
      <c r="P1124" s="85"/>
      <c r="Q1124" s="2"/>
      <c r="R1124" s="18"/>
      <c r="S1124" s="150"/>
      <c r="T1124" s="148"/>
      <c r="U1124" s="157"/>
      <c r="V1124" s="1"/>
      <c r="W1124" s="147"/>
      <c r="X1124" s="157"/>
      <c r="Y1124" s="1"/>
      <c r="Z1124" s="147"/>
      <c r="AA1124" s="157"/>
      <c r="AB1124" s="1"/>
      <c r="AC1124" s="147"/>
      <c r="AD1124" s="157"/>
      <c r="AE1124" s="1"/>
      <c r="AF1124" s="147"/>
      <c r="AG1124" s="157"/>
      <c r="AH1124" s="1"/>
      <c r="AI1124" s="147"/>
      <c r="AJ1124" s="157"/>
      <c r="AK1124" s="1"/>
      <c r="AL1124" s="147"/>
      <c r="AM1124" s="157"/>
      <c r="AN1124" s="1"/>
      <c r="AO1124" s="147"/>
      <c r="AP1124" s="157"/>
      <c r="AQ1124" s="1"/>
      <c r="AR1124" s="147"/>
      <c r="AS1124" s="157"/>
      <c r="AT1124" s="1"/>
      <c r="AU1124" s="147"/>
    </row>
    <row r="1125" spans="13:47" ht="14" x14ac:dyDescent="0.3">
      <c r="M1125" s="23"/>
      <c r="N1125" s="23"/>
      <c r="O1125" s="23" t="s">
        <v>238</v>
      </c>
      <c r="P1125" s="20"/>
      <c r="Q1125" s="20"/>
      <c r="R1125" s="181">
        <f>R1111*1.02</f>
        <v>53.65607298856569</v>
      </c>
      <c r="S1125" s="128" t="s">
        <v>185</v>
      </c>
      <c r="T1125" s="149" t="s">
        <v>186</v>
      </c>
      <c r="U1125" s="143">
        <f>U1111*1.01</f>
        <v>1009.4963690168189</v>
      </c>
      <c r="V1125" s="128" t="s">
        <v>185</v>
      </c>
      <c r="W1125" s="153" t="s">
        <v>186</v>
      </c>
      <c r="X1125" s="143">
        <f>X1111*1.01</f>
        <v>2496.6046520547206</v>
      </c>
      <c r="Y1125" s="128" t="s">
        <v>185</v>
      </c>
      <c r="Z1125" s="153" t="s">
        <v>186</v>
      </c>
      <c r="AA1125" s="143">
        <f>AA1111*1.01</f>
        <v>4862.7486153162235</v>
      </c>
      <c r="AB1125" s="128" t="s">
        <v>185</v>
      </c>
      <c r="AC1125" s="153" t="s">
        <v>186</v>
      </c>
      <c r="AD1125" s="143">
        <f>AD1111*1.01</f>
        <v>7997.4311143763362</v>
      </c>
      <c r="AE1125" s="128" t="s">
        <v>185</v>
      </c>
      <c r="AF1125" s="153" t="s">
        <v>186</v>
      </c>
      <c r="AG1125" s="143">
        <f>AG1111*1.01</f>
        <v>11217.012829500727</v>
      </c>
      <c r="AH1125" s="128" t="s">
        <v>185</v>
      </c>
      <c r="AI1125" s="153" t="s">
        <v>186</v>
      </c>
      <c r="AJ1125" s="143">
        <f>AJ1111*1.01</f>
        <v>14242.629842644083</v>
      </c>
      <c r="AK1125" s="128" t="s">
        <v>185</v>
      </c>
      <c r="AL1125" s="153" t="s">
        <v>186</v>
      </c>
      <c r="AM1125" s="143">
        <f>AM1111*1.01</f>
        <v>16700.60360103743</v>
      </c>
      <c r="AN1125" s="128" t="s">
        <v>185</v>
      </c>
      <c r="AO1125" s="153" t="s">
        <v>186</v>
      </c>
      <c r="AP1125" s="143">
        <f>AP1111*1.01</f>
        <v>18632.334807882256</v>
      </c>
      <c r="AQ1125" s="128" t="s">
        <v>185</v>
      </c>
      <c r="AR1125" s="153" t="s">
        <v>186</v>
      </c>
      <c r="AS1125" s="143">
        <f>AS1111*1.01</f>
        <v>20787.50616962463</v>
      </c>
      <c r="AT1125" s="128" t="s">
        <v>185</v>
      </c>
      <c r="AU1125" s="153" t="s">
        <v>186</v>
      </c>
    </row>
    <row r="1126" spans="13:47" ht="14" x14ac:dyDescent="0.3">
      <c r="M1126" s="12"/>
      <c r="N1126" s="12"/>
      <c r="O1126" s="20"/>
      <c r="P1126" s="20"/>
      <c r="Q1126" s="23"/>
      <c r="R1126" s="139"/>
      <c r="S1126" s="130" t="s">
        <v>228</v>
      </c>
      <c r="T1126" s="131" t="s">
        <v>187</v>
      </c>
      <c r="U1126" s="144"/>
      <c r="V1126" s="130" t="s">
        <v>228</v>
      </c>
      <c r="W1126" s="154" t="s">
        <v>187</v>
      </c>
      <c r="X1126" s="144"/>
      <c r="Y1126" s="130" t="s">
        <v>228</v>
      </c>
      <c r="Z1126" s="154" t="s">
        <v>187</v>
      </c>
      <c r="AA1126" s="144"/>
      <c r="AB1126" s="130" t="s">
        <v>228</v>
      </c>
      <c r="AC1126" s="154" t="s">
        <v>187</v>
      </c>
      <c r="AD1126" s="144"/>
      <c r="AE1126" s="130" t="s">
        <v>228</v>
      </c>
      <c r="AF1126" s="154" t="s">
        <v>187</v>
      </c>
      <c r="AG1126" s="144"/>
      <c r="AH1126" s="130" t="s">
        <v>228</v>
      </c>
      <c r="AI1126" s="154" t="s">
        <v>187</v>
      </c>
      <c r="AJ1126" s="144"/>
      <c r="AK1126" s="130" t="s">
        <v>228</v>
      </c>
      <c r="AL1126" s="154" t="s">
        <v>187</v>
      </c>
      <c r="AM1126" s="144"/>
      <c r="AN1126" s="130" t="s">
        <v>228</v>
      </c>
      <c r="AO1126" s="154" t="s">
        <v>187</v>
      </c>
      <c r="AP1126" s="144"/>
      <c r="AQ1126" s="130" t="s">
        <v>228</v>
      </c>
      <c r="AR1126" s="154" t="s">
        <v>187</v>
      </c>
      <c r="AS1126" s="144"/>
      <c r="AT1126" s="130" t="s">
        <v>228</v>
      </c>
      <c r="AU1126" s="154" t="s">
        <v>187</v>
      </c>
    </row>
    <row r="1127" spans="13:47" x14ac:dyDescent="0.25">
      <c r="M1127" s="20"/>
      <c r="N1127" s="20"/>
      <c r="O1127" s="7" t="s">
        <v>188</v>
      </c>
      <c r="P1127" s="7"/>
      <c r="Q1127" s="7"/>
      <c r="R1127" s="181">
        <f>P_1_minW-(R1125^2*R_up)+dpup_minQ</f>
        <v>100.52163871169998</v>
      </c>
      <c r="S1127" s="132"/>
      <c r="T1127" s="145"/>
      <c r="U1127" s="138">
        <f>P_1_minW-(U1125^2*R_up)+dpup_minQ</f>
        <v>100.11641536035454</v>
      </c>
      <c r="V1127" s="132"/>
      <c r="W1127" s="145"/>
      <c r="X1127" s="138">
        <f>P_1_minW-(X1125^2*R_up)+dpup_minQ</f>
        <v>98.03729033729239</v>
      </c>
      <c r="Y1127" s="132"/>
      <c r="Z1127" s="145"/>
      <c r="AA1127" s="138">
        <f>P_1_minW-(AA1125^2*R_up)+dpup_minQ</f>
        <v>91.093535113298572</v>
      </c>
      <c r="AB1127" s="132"/>
      <c r="AC1127" s="145"/>
      <c r="AD1127" s="138">
        <f>P_1_minW-(AD1125^2*R_up)+dpup_minQ</f>
        <v>75.018416544582848</v>
      </c>
      <c r="AE1127" s="132"/>
      <c r="AF1127" s="145"/>
      <c r="AG1127" s="138">
        <f>P_1_minW-(AG1125^2*R_up)+dpup_minQ</f>
        <v>50.350023443334415</v>
      </c>
      <c r="AH1127" s="132"/>
      <c r="AI1127" s="145"/>
      <c r="AJ1127" s="138">
        <f>P_1_minW-(AJ1125^2*R_up)+dpup_minQ</f>
        <v>19.632949365730099</v>
      </c>
      <c r="AK1127" s="132"/>
      <c r="AL1127" s="145"/>
      <c r="AM1127" s="138">
        <f>P_1_minW-(AM1125^2*R_up)+dpup_minQ</f>
        <v>-10.695941144421511</v>
      </c>
      <c r="AN1127" s="132"/>
      <c r="AO1127" s="145"/>
      <c r="AP1127" s="138">
        <f>P_1_minW-(AP1125^2*R_up)+dpup_minQ</f>
        <v>-37.912927758260352</v>
      </c>
      <c r="AQ1127" s="132"/>
      <c r="AR1127" s="145"/>
      <c r="AS1127" s="138">
        <f>P_1_minW-(AS1125^2*R_up)+dpup_minQ</f>
        <v>-71.790342651134196</v>
      </c>
      <c r="AT1127" s="132"/>
      <c r="AU1127" s="145"/>
    </row>
    <row r="1128" spans="13:47" x14ac:dyDescent="0.25">
      <c r="M1128" s="20"/>
      <c r="N1128" s="20"/>
      <c r="O1128" s="7" t="s">
        <v>189</v>
      </c>
      <c r="P1128" s="1"/>
      <c r="Q1128" s="7"/>
      <c r="R1128" s="181">
        <f>P_2_minW+(R1125^2*R_dn)-dpdn_minQ</f>
        <v>50</v>
      </c>
      <c r="S1128" s="132"/>
      <c r="T1128" s="146"/>
      <c r="U1128" s="138">
        <f>P_2_minW+(U1125^2*R_dn)-dpdn_minQ</f>
        <v>50</v>
      </c>
      <c r="V1128" s="132"/>
      <c r="W1128" s="146"/>
      <c r="X1128" s="138">
        <f>P_2_minW+(X1125^2*R_dn)-dpdn_minQ</f>
        <v>50</v>
      </c>
      <c r="Y1128" s="132"/>
      <c r="Z1128" s="146"/>
      <c r="AA1128" s="138">
        <f>P_2_minW+(AA1125^2*R_dn)-dpdn_minQ</f>
        <v>50</v>
      </c>
      <c r="AB1128" s="132"/>
      <c r="AC1128" s="146"/>
      <c r="AD1128" s="138">
        <f>P_2_minW+(AD1125^2*R_dn)-dpdn_minQ</f>
        <v>50</v>
      </c>
      <c r="AE1128" s="132"/>
      <c r="AF1128" s="146"/>
      <c r="AG1128" s="138">
        <f>P_2_minW+(AG1125^2*R_dn)-dpdn_minQ</f>
        <v>50</v>
      </c>
      <c r="AH1128" s="132"/>
      <c r="AI1128" s="146"/>
      <c r="AJ1128" s="138">
        <f>P_2_minW+(AJ1125^2*R_dn)-dpdn_minQ</f>
        <v>50</v>
      </c>
      <c r="AK1128" s="132"/>
      <c r="AL1128" s="146"/>
      <c r="AM1128" s="138">
        <f>P_2_minW+(AM1125^2*R_dn)-dpdn_minQ</f>
        <v>50</v>
      </c>
      <c r="AN1128" s="132"/>
      <c r="AO1128" s="146"/>
      <c r="AP1128" s="138">
        <f>P_2_minW+(AP1125^2*R_dn)-dpdn_minQ</f>
        <v>50</v>
      </c>
      <c r="AQ1128" s="132"/>
      <c r="AR1128" s="146"/>
      <c r="AS1128" s="138">
        <f>P_2_minW+(AS1125^2*R_dn)-dpdn_minQ</f>
        <v>50</v>
      </c>
      <c r="AT1128" s="132"/>
      <c r="AU1128" s="146"/>
    </row>
    <row r="1129" spans="13:47" x14ac:dyDescent="0.25">
      <c r="M1129" s="20"/>
      <c r="N1129" s="20"/>
      <c r="O1129" s="7" t="s">
        <v>234</v>
      </c>
      <c r="P1129" s="1"/>
      <c r="Q1129" s="7"/>
      <c r="R1129" s="179">
        <f>'Valve Sizing'!G$8*R1127/P_1_maxW</f>
        <v>0.48489848837055521</v>
      </c>
      <c r="S1129" s="132"/>
      <c r="T1129" s="146"/>
      <c r="U1129" s="143">
        <f>'Valve Sizing'!$G$8*U1127/P_1_maxW</f>
        <v>0.48294376306923575</v>
      </c>
      <c r="V1129" s="132"/>
      <c r="W1129" s="146"/>
      <c r="X1129" s="143">
        <f>'Valve Sizing'!$G$8*X1127/P_1_maxW</f>
        <v>0.47291443412337875</v>
      </c>
      <c r="Y1129" s="132"/>
      <c r="Z1129" s="146"/>
      <c r="AA1129" s="143">
        <f>'Valve Sizing'!$G$8*AA1127/P_1_maxW</f>
        <v>0.43941899518225203</v>
      </c>
      <c r="AB1129" s="132"/>
      <c r="AC1129" s="146"/>
      <c r="AD1129" s="143">
        <f>'Valve Sizing'!$G$8*AD1127/P_1_maxW</f>
        <v>0.36187548520522617</v>
      </c>
      <c r="AE1129" s="132"/>
      <c r="AF1129" s="146"/>
      <c r="AG1129" s="143">
        <f>'Valve Sizing'!$G$8*AG1127/P_1_maxW</f>
        <v>0.2428795488214936</v>
      </c>
      <c r="AH1129" s="132"/>
      <c r="AI1129" s="146"/>
      <c r="AJ1129" s="143">
        <f>'Valve Sizing'!$G$8*AJ1127/P_1_maxW</f>
        <v>9.4705852309092134E-2</v>
      </c>
      <c r="AK1129" s="132"/>
      <c r="AL1129" s="146"/>
      <c r="AM1129" s="143">
        <f>'Valve Sizing'!$G$8*AM1127/P_1_maxW</f>
        <v>-5.1595315785741891E-2</v>
      </c>
      <c r="AN1129" s="132"/>
      <c r="AO1129" s="146"/>
      <c r="AP1129" s="143">
        <f>'Valve Sizing'!$G$8*AP1127/P_1_maxW</f>
        <v>-0.18288521352510298</v>
      </c>
      <c r="AQ1129" s="132"/>
      <c r="AR1129" s="146"/>
      <c r="AS1129" s="143">
        <f>'Valve Sizing'!$G$8*AS1127/P_1_maxW</f>
        <v>-0.3463038314663629</v>
      </c>
      <c r="AT1129" s="132"/>
      <c r="AU1129" s="146"/>
    </row>
    <row r="1130" spans="13:47" x14ac:dyDescent="0.25">
      <c r="M1130" s="20"/>
      <c r="N1130" s="20"/>
      <c r="O1130" s="7" t="s">
        <v>190</v>
      </c>
      <c r="P1130" s="1"/>
      <c r="Q1130" s="7"/>
      <c r="R1130" s="181">
        <f>R1127-R1128</f>
        <v>50.521638711699978</v>
      </c>
      <c r="S1130" s="132"/>
      <c r="T1130" s="146"/>
      <c r="U1130" s="138">
        <f>U1127-U1128</f>
        <v>50.116415360354537</v>
      </c>
      <c r="V1130" s="132"/>
      <c r="W1130" s="146"/>
      <c r="X1130" s="138">
        <f>X1127-X1128</f>
        <v>48.03729033729239</v>
      </c>
      <c r="Y1130" s="132"/>
      <c r="Z1130" s="146"/>
      <c r="AA1130" s="138">
        <f>AA1127-AA1128</f>
        <v>41.093535113298572</v>
      </c>
      <c r="AB1130" s="132"/>
      <c r="AC1130" s="146"/>
      <c r="AD1130" s="138">
        <f>AD1127-AD1128</f>
        <v>25.018416544582848</v>
      </c>
      <c r="AE1130" s="132"/>
      <c r="AF1130" s="146"/>
      <c r="AG1130" s="138">
        <f>AG1127-AG1128</f>
        <v>0.35002344333441471</v>
      </c>
      <c r="AH1130" s="132"/>
      <c r="AI1130" s="146"/>
      <c r="AJ1130" s="138">
        <f>AJ1127-AJ1128</f>
        <v>-30.367050634269901</v>
      </c>
      <c r="AK1130" s="132"/>
      <c r="AL1130" s="146"/>
      <c r="AM1130" s="138">
        <f>AM1127-AM1128</f>
        <v>-60.695941144421511</v>
      </c>
      <c r="AN1130" s="132"/>
      <c r="AO1130" s="146"/>
      <c r="AP1130" s="138">
        <f>AP1127-AP1128</f>
        <v>-87.912927758260352</v>
      </c>
      <c r="AQ1130" s="132"/>
      <c r="AR1130" s="146"/>
      <c r="AS1130" s="138">
        <f>AS1127-AS1128</f>
        <v>-121.7903426511342</v>
      </c>
      <c r="AT1130" s="132"/>
      <c r="AU1130" s="146"/>
    </row>
    <row r="1131" spans="13:47" ht="14.5" x14ac:dyDescent="0.35">
      <c r="M1131" s="27"/>
      <c r="N1131" s="27"/>
      <c r="O1131" s="2" t="s">
        <v>191</v>
      </c>
      <c r="P1131" s="10"/>
      <c r="Q1131" s="2"/>
      <c r="R1131" s="181">
        <f>R1130/R1127</f>
        <v>0.50259465881369114</v>
      </c>
      <c r="S1131" s="132"/>
      <c r="T1131" s="146"/>
      <c r="U1131" s="138">
        <f>U1130/U1127</f>
        <v>0.50058139996291073</v>
      </c>
      <c r="V1131" s="132"/>
      <c r="W1131" s="146"/>
      <c r="X1131" s="138">
        <f>X1130/X1127</f>
        <v>0.4899899841378979</v>
      </c>
      <c r="Y1131" s="132"/>
      <c r="Z1131" s="146"/>
      <c r="AA1131" s="138">
        <f>AA1130/AA1127</f>
        <v>0.45111362801090155</v>
      </c>
      <c r="AB1131" s="132"/>
      <c r="AC1131" s="146"/>
      <c r="AD1131" s="138">
        <f>AD1130/AD1127</f>
        <v>0.33349699576389491</v>
      </c>
      <c r="AE1131" s="132"/>
      <c r="AF1131" s="146"/>
      <c r="AG1131" s="138">
        <f>AG1130/AG1127</f>
        <v>6.9518029863152439E-3</v>
      </c>
      <c r="AH1131" s="132"/>
      <c r="AI1131" s="146"/>
      <c r="AJ1131" s="138">
        <f>AJ1130/AJ1127</f>
        <v>-1.5467391102875505</v>
      </c>
      <c r="AK1131" s="132"/>
      <c r="AL1131" s="146"/>
      <c r="AM1131" s="138">
        <f>AM1130/AM1127</f>
        <v>5.6746704497413578</v>
      </c>
      <c r="AN1131" s="132"/>
      <c r="AO1131" s="146"/>
      <c r="AP1131" s="138">
        <f>AP1130/AP1127</f>
        <v>2.3188113647885227</v>
      </c>
      <c r="AQ1131" s="132"/>
      <c r="AR1131" s="146"/>
      <c r="AS1131" s="138">
        <f>AS1130/AS1127</f>
        <v>1.6964725080499399</v>
      </c>
      <c r="AT1131" s="132"/>
      <c r="AU1131" s="146"/>
    </row>
    <row r="1132" spans="13:47" x14ac:dyDescent="0.25">
      <c r="M1132" s="27"/>
      <c r="N1132" s="27"/>
      <c r="O1132" s="2" t="s">
        <v>26</v>
      </c>
      <c r="P1132" s="7">
        <v>12</v>
      </c>
      <c r="Q1132" s="2"/>
      <c r="R1132" s="181">
        <f>1-R1131/(3*F_GAMMA*R$29)</f>
        <v>0.73824294239297084</v>
      </c>
      <c r="S1132" s="133"/>
      <c r="T1132" s="146"/>
      <c r="U1132" s="138">
        <f>1-U1131/(3*F_GAMMA*U$29)</f>
        <v>0.7393488721986099</v>
      </c>
      <c r="V1132" s="133"/>
      <c r="W1132" s="146"/>
      <c r="X1132" s="138">
        <f>1-X1131/(3*F_GAMMA*X$29)</f>
        <v>0.74103633919181777</v>
      </c>
      <c r="Y1132" s="133"/>
      <c r="Z1132" s="146"/>
      <c r="AA1132" s="138">
        <f>1-AA1131/(3*F_GAMMA*AA$29)</f>
        <v>0.75831377563113289</v>
      </c>
      <c r="AB1132" s="133"/>
      <c r="AC1132" s="146"/>
      <c r="AD1132" s="138">
        <f>1-AD1131/(3*F_GAMMA*AD$29)</f>
        <v>0.81642861154911572</v>
      </c>
      <c r="AE1132" s="133"/>
      <c r="AF1132" s="146"/>
      <c r="AG1132" s="138">
        <f>1-AG1131/(3*F_GAMMA*AG$29)</f>
        <v>0.99595514839428301</v>
      </c>
      <c r="AH1132" s="133"/>
      <c r="AI1132" s="146"/>
      <c r="AJ1132" s="138">
        <f>1-AJ1131/(3*F_GAMMA*AJ$29)</f>
        <v>1.9620672195972686</v>
      </c>
      <c r="AK1132" s="133"/>
      <c r="AL1132" s="146"/>
      <c r="AM1132" s="138">
        <f>1-AM1131/(3*F_GAMMA*AM$29)</f>
        <v>-2.8564780430203514</v>
      </c>
      <c r="AN1132" s="133"/>
      <c r="AO1132" s="146"/>
      <c r="AP1132" s="138">
        <f>1-AP1131/(3*F_GAMMA*AP$29)</f>
        <v>-0.30227182258899421</v>
      </c>
      <c r="AQ1132" s="133"/>
      <c r="AR1132" s="146"/>
      <c r="AS1132" s="138">
        <f>1-AS1131/(3*F_GAMMA*AS$29)</f>
        <v>-0.44637091645721227</v>
      </c>
      <c r="AT1132" s="133"/>
      <c r="AU1132" s="146"/>
    </row>
    <row r="1133" spans="13:47" x14ac:dyDescent="0.25">
      <c r="M1133" s="27"/>
      <c r="N1133" s="27"/>
      <c r="O1133" s="2" t="s">
        <v>71</v>
      </c>
      <c r="P1133" s="85">
        <v>5</v>
      </c>
      <c r="Q1133" s="2"/>
      <c r="R1133" s="179">
        <f>R1125/((N_6*R$27*R1132)*SQRT(R1131*R1127*R1129))</f>
        <v>0.23200812825675657</v>
      </c>
      <c r="S1133" s="133"/>
      <c r="T1133" s="146"/>
      <c r="U1133" s="143">
        <f>U1125/((N_6*U$27*U1132)*SQRT(U1131*U1127*U1129))</f>
        <v>4.3876783030063455</v>
      </c>
      <c r="V1133" s="133"/>
      <c r="W1133" s="146"/>
      <c r="X1133" s="143">
        <f>X1125/((N_6*X$27*X1132)*SQRT(X1131*X1127*X1129))</f>
        <v>11.199763974165188</v>
      </c>
      <c r="Y1133" s="133"/>
      <c r="Z1133" s="146"/>
      <c r="AA1133" s="143">
        <f>AA1125/((N_6*AA$27*AA1132)*SQRT(AA1131*AA1127*AA1129))</f>
        <v>24.047859542928922</v>
      </c>
      <c r="AB1133" s="133"/>
      <c r="AC1133" s="146"/>
      <c r="AD1133" s="143">
        <f>AD1125/((N_6*AD$27*AD1132)*SQRT(AD1131*AD1127*AD1129))</f>
        <v>52.497327995218825</v>
      </c>
      <c r="AE1133" s="133"/>
      <c r="AF1133" s="146"/>
      <c r="AG1133" s="143">
        <f>AG1125/((N_6*AG$27*AG1132)*SQRT(AG1131*AG1127*AG1129))</f>
        <v>636.32431107494142</v>
      </c>
      <c r="AH1133" s="133"/>
      <c r="AI1133" s="146"/>
      <c r="AJ1133" s="143" t="e">
        <f>AJ1125/((N_6*AJ$27*AJ1132)*SQRT(AJ1131*AJ1127*AJ1129))</f>
        <v>#NUM!</v>
      </c>
      <c r="AK1133" s="133"/>
      <c r="AL1133" s="146"/>
      <c r="AM1133" s="143">
        <f>AM1125/((N_6*AM$27*AM1132)*SQRT(AM1131*AM1127*AM1129))</f>
        <v>-59.751010640096716</v>
      </c>
      <c r="AN1133" s="133"/>
      <c r="AO1133" s="146"/>
      <c r="AP1133" s="143">
        <f>AP1125/((N_6*AP$27*AP1132)*SQRT(AP1131*AP1127*AP1129))</f>
        <v>-315.81809461291118</v>
      </c>
      <c r="AQ1133" s="133"/>
      <c r="AR1133" s="146"/>
      <c r="AS1133" s="143">
        <f>AS1125/((N_6*AS$27*AS1132)*SQRT(AS1131*AS1127*AS1129))</f>
        <v>-193.57171952027812</v>
      </c>
      <c r="AT1133" s="133"/>
      <c r="AU1133" s="146"/>
    </row>
    <row r="1134" spans="13:47" x14ac:dyDescent="0.25">
      <c r="M1134" s="27"/>
      <c r="N1134" s="27"/>
      <c r="O1134" s="2" t="s">
        <v>73</v>
      </c>
      <c r="P1134" s="85">
        <v>5</v>
      </c>
      <c r="Q1134" s="2"/>
      <c r="R1134" s="179">
        <f>R1125/((N_6*R$27*0.667)*SQRT(R1135*R1127*R1129))</f>
        <v>0.22755506032312578</v>
      </c>
      <c r="S1134" s="133"/>
      <c r="T1134" s="147"/>
      <c r="U1134" s="143">
        <f>U1125/((N_6*U$27*0.667)*SQRT(U1135*U1127*U1129))</f>
        <v>4.3007954812117948</v>
      </c>
      <c r="V1134" s="133"/>
      <c r="W1134" s="155"/>
      <c r="X1134" s="143">
        <f>X1125/((N_6*X$27*0.667)*SQRT(X1135*X1127*X1129))</f>
        <v>10.967372197554246</v>
      </c>
      <c r="Y1134" s="133"/>
      <c r="Z1134" s="155"/>
      <c r="AA1134" s="143">
        <f>AA1125/((N_6*AA$27*0.667)*SQRT(AA1135*AA1127*AA1129))</f>
        <v>23.280168222735693</v>
      </c>
      <c r="AB1134" s="133"/>
      <c r="AC1134" s="155"/>
      <c r="AD1134" s="143">
        <f>AD1125/((N_6*AD$27*0.667)*SQRT(AD1135*AD1127*AD1129))</f>
        <v>47.686198818069791</v>
      </c>
      <c r="AE1134" s="133"/>
      <c r="AF1134" s="155"/>
      <c r="AG1134" s="143">
        <f>AG1125/((N_6*AG$27*0.667)*SQRT(AG1135*AG1127*AG1129))</f>
        <v>104.66570111733783</v>
      </c>
      <c r="AH1134" s="133"/>
      <c r="AI1134" s="155"/>
      <c r="AJ1134" s="143">
        <f>AJ1125/((N_6*AJ$27*0.667)*SQRT(AJ1135*AJ1127*AJ1129))</f>
        <v>364.48752647627538</v>
      </c>
      <c r="AK1134" s="133"/>
      <c r="AL1134" s="155"/>
      <c r="AM1134" s="143">
        <f>AM1125/((N_6*AM$27*0.667)*SQRT(AM1135*AM1127*AM1129))</f>
        <v>870.37492445471798</v>
      </c>
      <c r="AN1134" s="133"/>
      <c r="AO1134" s="155"/>
      <c r="AP1134" s="143">
        <f>AP1125/((N_6*AP$27*0.667)*SQRT(AP1135*AP1127*AP1129))</f>
        <v>282.89175440278729</v>
      </c>
      <c r="AQ1134" s="133"/>
      <c r="AR1134" s="155"/>
      <c r="AS1134" s="143">
        <f>AS1125/((N_6*AS$27*0.667)*SQRT(AS1135*AS1127*AS1129))</f>
        <v>269.84379237856695</v>
      </c>
      <c r="AT1134" s="133"/>
      <c r="AU1134" s="155"/>
    </row>
    <row r="1135" spans="13:47" ht="15.5" x14ac:dyDescent="0.4">
      <c r="M1135" s="27"/>
      <c r="N1135" s="27"/>
      <c r="O1135" s="2" t="s">
        <v>192</v>
      </c>
      <c r="P1135" s="85">
        <v>10</v>
      </c>
      <c r="Q1135" s="2"/>
      <c r="R1135" s="181">
        <f>F_GAMMA*R$29</f>
        <v>0.64002688015162901</v>
      </c>
      <c r="S1135" s="133"/>
      <c r="T1135" s="147"/>
      <c r="U1135" s="138">
        <f>F_GAMMA*U$29</f>
        <v>0.64016782916606918</v>
      </c>
      <c r="V1135" s="133"/>
      <c r="W1135" s="155"/>
      <c r="X1135" s="138">
        <f>F_GAMMA*X$29</f>
        <v>0.6307062319203669</v>
      </c>
      <c r="Y1135" s="133"/>
      <c r="Z1135" s="155"/>
      <c r="AA1135" s="138">
        <f>F_GAMMA*AA$29</f>
        <v>0.62217534213893466</v>
      </c>
      <c r="AB1135" s="133"/>
      <c r="AC1135" s="155"/>
      <c r="AD1135" s="138">
        <f>F_GAMMA*AD$29</f>
        <v>0.60557184969146072</v>
      </c>
      <c r="AE1135" s="133"/>
      <c r="AF1135" s="155"/>
      <c r="AG1135" s="138">
        <f>F_GAMMA*AG$29</f>
        <v>0.57289312142622573</v>
      </c>
      <c r="AH1135" s="133"/>
      <c r="AI1135" s="155"/>
      <c r="AJ1135" s="138">
        <f>F_GAMMA*AJ$29</f>
        <v>0.53590819116049981</v>
      </c>
      <c r="AK1135" s="133"/>
      <c r="AL1135" s="155"/>
      <c r="AM1135" s="138">
        <f>F_GAMMA*AM$29</f>
        <v>0.49048815926850342</v>
      </c>
      <c r="AN1135" s="133"/>
      <c r="AO1135" s="155"/>
      <c r="AP1135" s="138">
        <f>F_GAMMA*AP$29</f>
        <v>0.59352979016280105</v>
      </c>
      <c r="AQ1135" s="133"/>
      <c r="AR1135" s="155"/>
      <c r="AS1135" s="138">
        <f>F_GAMMA*AS$29</f>
        <v>0.39097221161068291</v>
      </c>
      <c r="AT1135" s="133"/>
      <c r="AU1135" s="155"/>
    </row>
    <row r="1136" spans="13:47" x14ac:dyDescent="0.25">
      <c r="M1136" s="27"/>
      <c r="N1136" s="27"/>
      <c r="O1136" s="2" t="s">
        <v>193</v>
      </c>
      <c r="P1136" s="134"/>
      <c r="Q1136" s="2"/>
      <c r="R1136" s="181">
        <f>IF(R1131&lt;R1135,R1133,R1134)</f>
        <v>0.23200812825675657</v>
      </c>
      <c r="S1136" s="133"/>
      <c r="T1136" s="147"/>
      <c r="U1136" s="138">
        <f>IF(U1131&lt;U1135,U1133,U1134)</f>
        <v>4.3876783030063455</v>
      </c>
      <c r="V1136" s="133"/>
      <c r="W1136" s="155"/>
      <c r="X1136" s="138">
        <f>IF(X1131&lt;X1135,X1133,X1134)</f>
        <v>11.199763974165188</v>
      </c>
      <c r="Y1136" s="133"/>
      <c r="Z1136" s="155"/>
      <c r="AA1136" s="138">
        <f>IF(AA1131&lt;AA1135,AA1133,AA1134)</f>
        <v>24.047859542928922</v>
      </c>
      <c r="AB1136" s="133"/>
      <c r="AC1136" s="155"/>
      <c r="AD1136" s="138">
        <f>IF(AD1131&lt;AD1135,AD1133,AD1134)</f>
        <v>52.497327995218825</v>
      </c>
      <c r="AE1136" s="133"/>
      <c r="AF1136" s="155"/>
      <c r="AG1136" s="138">
        <f>IF(AG1131&lt;AG1135,AG1133,AG1134)</f>
        <v>636.32431107494142</v>
      </c>
      <c r="AH1136" s="133"/>
      <c r="AI1136" s="155"/>
      <c r="AJ1136" s="138" t="e">
        <f>IF(AJ1131&lt;AJ1135,AJ1133,AJ1134)</f>
        <v>#NUM!</v>
      </c>
      <c r="AK1136" s="133"/>
      <c r="AL1136" s="155"/>
      <c r="AM1136" s="138">
        <f>IF(AM1131&lt;AM1135,AM1133,AM1134)</f>
        <v>870.37492445471798</v>
      </c>
      <c r="AN1136" s="133"/>
      <c r="AO1136" s="155"/>
      <c r="AP1136" s="138">
        <f>IF(AP1131&lt;AP1135,AP1133,AP1134)</f>
        <v>282.89175440278729</v>
      </c>
      <c r="AQ1136" s="133"/>
      <c r="AR1136" s="155"/>
      <c r="AS1136" s="138">
        <f>IF(AS1131&lt;AS1135,AS1133,AS1134)</f>
        <v>269.84379237856695</v>
      </c>
      <c r="AT1136" s="133"/>
      <c r="AU1136" s="155"/>
    </row>
    <row r="1137" spans="13:47" ht="13" x14ac:dyDescent="0.3">
      <c r="M1137" s="28"/>
      <c r="N1137" s="28"/>
      <c r="O1137" s="9" t="s">
        <v>194</v>
      </c>
      <c r="P1137" s="1"/>
      <c r="Q1137" s="1"/>
      <c r="R1137" s="135"/>
      <c r="S1137" s="132">
        <f>IF(R1130&lt;=0,W_max,ABS(R$23-R1136))</f>
        <v>1.7679918717432435</v>
      </c>
      <c r="T1137" s="151">
        <f>R1125</f>
        <v>53.65607298856569</v>
      </c>
      <c r="U1137" s="135"/>
      <c r="V1137" s="132">
        <f>IF(U1130&lt;=0,W_max,ABS(U$23-U1136))</f>
        <v>0.61232169699365446</v>
      </c>
      <c r="W1137" s="151">
        <f>U1125</f>
        <v>1009.4963690168189</v>
      </c>
      <c r="X1137" s="135"/>
      <c r="Y1137" s="132">
        <f>IF(X1130&lt;=0,W_max,ABS(X$23-X1136))</f>
        <v>1.1997639741651884</v>
      </c>
      <c r="Z1137" s="151">
        <f>X1125</f>
        <v>2496.6046520547206</v>
      </c>
      <c r="AA1137" s="135"/>
      <c r="AB1137" s="132">
        <f>IF(AA1130&lt;=0,W_max,ABS(AA$23-AA1136))</f>
        <v>6.8478595429289228</v>
      </c>
      <c r="AC1137" s="151">
        <f>AA1125</f>
        <v>4862.7486153162235</v>
      </c>
      <c r="AD1137" s="135"/>
      <c r="AE1137" s="132">
        <f>IF(AD1130&lt;=0,W_max,ABS(AD$23-AD1136))</f>
        <v>25.897327995218824</v>
      </c>
      <c r="AF1137" s="151">
        <f>AD1125</f>
        <v>7997.4311143763362</v>
      </c>
      <c r="AG1137" s="135"/>
      <c r="AH1137" s="132">
        <f>IF(AG1130&lt;=0,W_max,ABS(AG$23-AG1136))</f>
        <v>597.92431107494144</v>
      </c>
      <c r="AI1137" s="151">
        <f>AG1125</f>
        <v>11217.012829500727</v>
      </c>
      <c r="AJ1137" s="135"/>
      <c r="AK1137" s="132">
        <f>IF(AJ1130&lt;=0,W_max,ABS(AJ$23-AJ1136))</f>
        <v>7174</v>
      </c>
      <c r="AL1137" s="151">
        <f>AJ1125</f>
        <v>14242.629842644083</v>
      </c>
      <c r="AM1137" s="135"/>
      <c r="AN1137" s="132">
        <f>IF(AM1130&lt;=0,W_max,ABS(AM$23-AM1136))</f>
        <v>7174</v>
      </c>
      <c r="AO1137" s="151">
        <f>AM1125</f>
        <v>16700.60360103743</v>
      </c>
      <c r="AP1137" s="135"/>
      <c r="AQ1137" s="132">
        <f>IF(AP1130&lt;=0,W_max,ABS(AP$23-AP1136))</f>
        <v>7174</v>
      </c>
      <c r="AR1137" s="151">
        <f>AP1125</f>
        <v>18632.334807882256</v>
      </c>
      <c r="AS1137" s="135"/>
      <c r="AT1137" s="132">
        <f>IF(AS1130&lt;=0,W_max,ABS(AS$23-AS1136))</f>
        <v>7174</v>
      </c>
      <c r="AU1137" s="151">
        <f>AS1125</f>
        <v>20787.50616962463</v>
      </c>
    </row>
    <row r="1138" spans="13:47" ht="13" x14ac:dyDescent="0.25">
      <c r="M1138" s="12"/>
      <c r="N1138" s="12"/>
      <c r="O1138" s="12"/>
      <c r="P1138" s="12"/>
      <c r="Q1138" s="12"/>
      <c r="R1138" s="182"/>
      <c r="S1138" s="22"/>
      <c r="T1138" s="152"/>
      <c r="U1138" s="157"/>
      <c r="V1138" s="1"/>
      <c r="W1138" s="147"/>
      <c r="X1138" s="157"/>
      <c r="Y1138" s="1"/>
      <c r="Z1138" s="147"/>
      <c r="AA1138" s="157"/>
      <c r="AB1138" s="1"/>
      <c r="AC1138" s="147"/>
      <c r="AD1138" s="157"/>
      <c r="AE1138" s="1"/>
      <c r="AF1138" s="147"/>
      <c r="AG1138" s="157"/>
      <c r="AH1138" s="1"/>
      <c r="AI1138" s="147"/>
      <c r="AJ1138" s="157"/>
      <c r="AK1138" s="1"/>
      <c r="AL1138" s="147"/>
      <c r="AM1138" s="157"/>
      <c r="AN1138" s="1"/>
      <c r="AO1138" s="147"/>
      <c r="AP1138" s="157"/>
      <c r="AQ1138" s="1"/>
      <c r="AR1138" s="147"/>
      <c r="AS1138" s="157"/>
      <c r="AT1138" s="1"/>
      <c r="AU1138" s="147"/>
    </row>
    <row r="1139" spans="13:47" ht="14" x14ac:dyDescent="0.3">
      <c r="M1139" s="23"/>
      <c r="N1139" s="23"/>
      <c r="O1139" s="23" t="s">
        <v>238</v>
      </c>
      <c r="P1139" s="20"/>
      <c r="Q1139" s="20"/>
      <c r="R1139" s="18">
        <f>R1125*1.02</f>
        <v>54.729194448337005</v>
      </c>
      <c r="S1139" s="128" t="s">
        <v>185</v>
      </c>
      <c r="T1139" s="153" t="s">
        <v>186</v>
      </c>
      <c r="U1139" s="143">
        <f>U1125*1.01</f>
        <v>1019.5913327069871</v>
      </c>
      <c r="V1139" s="128" t="s">
        <v>185</v>
      </c>
      <c r="W1139" s="153" t="s">
        <v>186</v>
      </c>
      <c r="X1139" s="143">
        <f>X1125*1.01</f>
        <v>2521.5706985752677</v>
      </c>
      <c r="Y1139" s="128" t="s">
        <v>185</v>
      </c>
      <c r="Z1139" s="153" t="s">
        <v>186</v>
      </c>
      <c r="AA1139" s="143">
        <f>AA1125*1.01</f>
        <v>4911.3761014693855</v>
      </c>
      <c r="AB1139" s="128" t="s">
        <v>185</v>
      </c>
      <c r="AC1139" s="153" t="s">
        <v>186</v>
      </c>
      <c r="AD1139" s="143">
        <f>AD1125*1.01</f>
        <v>8077.4054255200999</v>
      </c>
      <c r="AE1139" s="128" t="s">
        <v>185</v>
      </c>
      <c r="AF1139" s="153" t="s">
        <v>186</v>
      </c>
      <c r="AG1139" s="143">
        <f>AG1125*1.01</f>
        <v>11329.182957795734</v>
      </c>
      <c r="AH1139" s="128" t="s">
        <v>185</v>
      </c>
      <c r="AI1139" s="153" t="s">
        <v>186</v>
      </c>
      <c r="AJ1139" s="143">
        <f>AJ1125*1.01</f>
        <v>14385.056141070523</v>
      </c>
      <c r="AK1139" s="128" t="s">
        <v>185</v>
      </c>
      <c r="AL1139" s="153" t="s">
        <v>186</v>
      </c>
      <c r="AM1139" s="143">
        <f>AM1125*1.01</f>
        <v>16867.609637047804</v>
      </c>
      <c r="AN1139" s="128" t="s">
        <v>185</v>
      </c>
      <c r="AO1139" s="153" t="s">
        <v>186</v>
      </c>
      <c r="AP1139" s="143">
        <f>AP1125*1.01</f>
        <v>18818.658155961079</v>
      </c>
      <c r="AQ1139" s="128" t="s">
        <v>185</v>
      </c>
      <c r="AR1139" s="153" t="s">
        <v>186</v>
      </c>
      <c r="AS1139" s="143">
        <f>AS1125*1.01</f>
        <v>20995.381231320876</v>
      </c>
      <c r="AT1139" s="128" t="s">
        <v>185</v>
      </c>
      <c r="AU1139" s="153" t="s">
        <v>186</v>
      </c>
    </row>
    <row r="1140" spans="13:47" ht="14" x14ac:dyDescent="0.3">
      <c r="M1140" s="12"/>
      <c r="N1140" s="12"/>
      <c r="O1140" s="20"/>
      <c r="P1140" s="20"/>
      <c r="Q1140" s="23"/>
      <c r="R1140" s="139"/>
      <c r="S1140" s="130" t="s">
        <v>228</v>
      </c>
      <c r="T1140" s="154" t="s">
        <v>187</v>
      </c>
      <c r="U1140" s="144"/>
      <c r="V1140" s="130" t="s">
        <v>228</v>
      </c>
      <c r="W1140" s="154" t="s">
        <v>187</v>
      </c>
      <c r="X1140" s="144"/>
      <c r="Y1140" s="130" t="s">
        <v>228</v>
      </c>
      <c r="Z1140" s="154" t="s">
        <v>187</v>
      </c>
      <c r="AA1140" s="144"/>
      <c r="AB1140" s="130" t="s">
        <v>228</v>
      </c>
      <c r="AC1140" s="154" t="s">
        <v>187</v>
      </c>
      <c r="AD1140" s="144"/>
      <c r="AE1140" s="130" t="s">
        <v>228</v>
      </c>
      <c r="AF1140" s="154" t="s">
        <v>187</v>
      </c>
      <c r="AG1140" s="144"/>
      <c r="AH1140" s="130" t="s">
        <v>228</v>
      </c>
      <c r="AI1140" s="154" t="s">
        <v>187</v>
      </c>
      <c r="AJ1140" s="144"/>
      <c r="AK1140" s="130" t="s">
        <v>228</v>
      </c>
      <c r="AL1140" s="154" t="s">
        <v>187</v>
      </c>
      <c r="AM1140" s="144"/>
      <c r="AN1140" s="130" t="s">
        <v>228</v>
      </c>
      <c r="AO1140" s="154" t="s">
        <v>187</v>
      </c>
      <c r="AP1140" s="144"/>
      <c r="AQ1140" s="130" t="s">
        <v>228</v>
      </c>
      <c r="AR1140" s="154" t="s">
        <v>187</v>
      </c>
      <c r="AS1140" s="144"/>
      <c r="AT1140" s="130" t="s">
        <v>228</v>
      </c>
      <c r="AU1140" s="154" t="s">
        <v>187</v>
      </c>
    </row>
    <row r="1141" spans="13:47" x14ac:dyDescent="0.25">
      <c r="M1141" s="20"/>
      <c r="N1141" s="20"/>
      <c r="O1141" s="7" t="s">
        <v>188</v>
      </c>
      <c r="P1141" s="7"/>
      <c r="Q1141" s="7"/>
      <c r="R1141" s="181">
        <f>P_1_minW-(R1139^2*R_up)+dpup_minQ</f>
        <v>100.52159233148889</v>
      </c>
      <c r="S1141" s="132"/>
      <c r="T1141" s="145"/>
      <c r="U1141" s="138">
        <f>P_1_minW-(U1139^2*R_up)+dpup_minQ</f>
        <v>100.10824729568945</v>
      </c>
      <c r="V1141" s="132"/>
      <c r="W1141" s="145"/>
      <c r="X1141" s="138">
        <f>P_1_minW-(X1139^2*R_up)+dpup_minQ</f>
        <v>97.987331859663769</v>
      </c>
      <c r="Y1141" s="132"/>
      <c r="Z1141" s="145"/>
      <c r="AA1141" s="138">
        <f>P_1_minW-(AA1139^2*R_up)+dpup_minQ</f>
        <v>90.904007155667657</v>
      </c>
      <c r="AB1141" s="132"/>
      <c r="AC1141" s="145"/>
      <c r="AD1141" s="138">
        <f>P_1_minW-(AD1139^2*R_up)+dpup_minQ</f>
        <v>74.50577870372075</v>
      </c>
      <c r="AE1141" s="132"/>
      <c r="AF1141" s="145"/>
      <c r="AG1141" s="138">
        <f>P_1_minW-(AG1139^2*R_up)+dpup_minQ</f>
        <v>49.341550901137232</v>
      </c>
      <c r="AH1141" s="132"/>
      <c r="AI1141" s="145"/>
      <c r="AJ1141" s="138">
        <f>P_1_minW-(AJ1139^2*R_up)+dpup_minQ</f>
        <v>18.007063634573072</v>
      </c>
      <c r="AK1141" s="132"/>
      <c r="AL1141" s="145"/>
      <c r="AM1141" s="138">
        <f>P_1_minW-(AM1139^2*R_up)+dpup_minQ</f>
        <v>-12.931437574832572</v>
      </c>
      <c r="AN1141" s="132"/>
      <c r="AO1141" s="145"/>
      <c r="AP1141" s="138">
        <f>P_1_minW-(AP1139^2*R_up)+dpup_minQ</f>
        <v>-40.695485619609585</v>
      </c>
      <c r="AQ1141" s="132"/>
      <c r="AR1141" s="145"/>
      <c r="AS1141" s="138">
        <f>P_1_minW-(AS1139^2*R_up)+dpup_minQ</f>
        <v>-75.25383655183019</v>
      </c>
      <c r="AT1141" s="132"/>
      <c r="AU1141" s="145"/>
    </row>
    <row r="1142" spans="13:47" x14ac:dyDescent="0.25">
      <c r="M1142" s="20"/>
      <c r="N1142" s="20"/>
      <c r="O1142" s="7" t="s">
        <v>189</v>
      </c>
      <c r="P1142" s="1"/>
      <c r="Q1142" s="7"/>
      <c r="R1142" s="181">
        <f>P_2_minW+(R1139^2*R_dn)-dpdn_minQ</f>
        <v>50</v>
      </c>
      <c r="S1142" s="132"/>
      <c r="T1142" s="146"/>
      <c r="U1142" s="138">
        <f>P_2_minW+(U1139^2*R_dn)-dpdn_minQ</f>
        <v>50</v>
      </c>
      <c r="V1142" s="132"/>
      <c r="W1142" s="146"/>
      <c r="X1142" s="138">
        <f>P_2_minW+(X1139^2*R_dn)-dpdn_minQ</f>
        <v>50</v>
      </c>
      <c r="Y1142" s="132"/>
      <c r="Z1142" s="146"/>
      <c r="AA1142" s="138">
        <f>P_2_minW+(AA1139^2*R_dn)-dpdn_minQ</f>
        <v>50</v>
      </c>
      <c r="AB1142" s="132"/>
      <c r="AC1142" s="146"/>
      <c r="AD1142" s="138">
        <f>P_2_minW+(AD1139^2*R_dn)-dpdn_minQ</f>
        <v>50</v>
      </c>
      <c r="AE1142" s="132"/>
      <c r="AF1142" s="146"/>
      <c r="AG1142" s="138">
        <f>P_2_minW+(AG1139^2*R_dn)-dpdn_minQ</f>
        <v>50</v>
      </c>
      <c r="AH1142" s="132"/>
      <c r="AI1142" s="146"/>
      <c r="AJ1142" s="138">
        <f>P_2_minW+(AJ1139^2*R_dn)-dpdn_minQ</f>
        <v>50</v>
      </c>
      <c r="AK1142" s="132"/>
      <c r="AL1142" s="146"/>
      <c r="AM1142" s="138">
        <f>P_2_minW+(AM1139^2*R_dn)-dpdn_minQ</f>
        <v>50</v>
      </c>
      <c r="AN1142" s="132"/>
      <c r="AO1142" s="146"/>
      <c r="AP1142" s="138">
        <f>P_2_minW+(AP1139^2*R_dn)-dpdn_minQ</f>
        <v>50</v>
      </c>
      <c r="AQ1142" s="132"/>
      <c r="AR1142" s="146"/>
      <c r="AS1142" s="138">
        <f>P_2_minW+(AS1139^2*R_dn)-dpdn_minQ</f>
        <v>50</v>
      </c>
      <c r="AT1142" s="132"/>
      <c r="AU1142" s="146"/>
    </row>
    <row r="1143" spans="13:47" x14ac:dyDescent="0.25">
      <c r="M1143" s="20"/>
      <c r="N1143" s="20"/>
      <c r="O1143" s="7" t="s">
        <v>234</v>
      </c>
      <c r="P1143" s="1"/>
      <c r="Q1143" s="7"/>
      <c r="R1143" s="179">
        <f>'Valve Sizing'!G$8*R1141/P_1_maxW</f>
        <v>0.48489826464067443</v>
      </c>
      <c r="S1143" s="132"/>
      <c r="T1143" s="146"/>
      <c r="U1143" s="143">
        <f>'Valve Sizing'!$G$8*U1141/P_1_maxW</f>
        <v>0.48290436177952561</v>
      </c>
      <c r="V1143" s="132"/>
      <c r="W1143" s="146"/>
      <c r="X1143" s="143">
        <f>'Valve Sizing'!$G$8*X1141/P_1_maxW</f>
        <v>0.47267344332185701</v>
      </c>
      <c r="Y1143" s="132"/>
      <c r="Z1143" s="146"/>
      <c r="AA1143" s="143">
        <f>'Valve Sizing'!$G$8*AA1141/P_1_maxW</f>
        <v>0.43850474605801348</v>
      </c>
      <c r="AB1143" s="132"/>
      <c r="AC1143" s="146"/>
      <c r="AD1143" s="143">
        <f>'Valve Sizing'!$G$8*AD1141/P_1_maxW</f>
        <v>0.3594026115304495</v>
      </c>
      <c r="AE1143" s="132"/>
      <c r="AF1143" s="146"/>
      <c r="AG1143" s="143">
        <f>'Valve Sizing'!$G$8*AG1141/P_1_maxW</f>
        <v>0.23801485682540391</v>
      </c>
      <c r="AH1143" s="132"/>
      <c r="AI1143" s="146"/>
      <c r="AJ1143" s="143">
        <f>'Valve Sizing'!$G$8*AJ1141/P_1_maxW</f>
        <v>8.6862869013103194E-2</v>
      </c>
      <c r="AK1143" s="132"/>
      <c r="AL1143" s="146"/>
      <c r="AM1143" s="143">
        <f>'Valve Sizing'!$G$8*AM1141/P_1_maxW</f>
        <v>-6.237895256043692E-2</v>
      </c>
      <c r="AN1143" s="132"/>
      <c r="AO1143" s="146"/>
      <c r="AP1143" s="143">
        <f>'Valve Sizing'!$G$8*AP1141/P_1_maxW</f>
        <v>-0.19630777724435922</v>
      </c>
      <c r="AQ1143" s="132"/>
      <c r="AR1143" s="146"/>
      <c r="AS1143" s="143">
        <f>'Valve Sizing'!$G$8*AS1141/P_1_maxW</f>
        <v>-0.36301110940623843</v>
      </c>
      <c r="AT1143" s="132"/>
      <c r="AU1143" s="146"/>
    </row>
    <row r="1144" spans="13:47" x14ac:dyDescent="0.25">
      <c r="M1144" s="20"/>
      <c r="N1144" s="20"/>
      <c r="O1144" s="7" t="s">
        <v>190</v>
      </c>
      <c r="P1144" s="1"/>
      <c r="Q1144" s="7"/>
      <c r="R1144" s="181">
        <f>R1141-R1142</f>
        <v>50.52159233148889</v>
      </c>
      <c r="S1144" s="132"/>
      <c r="T1144" s="146"/>
      <c r="U1144" s="138">
        <f>U1141-U1142</f>
        <v>50.108247295689452</v>
      </c>
      <c r="V1144" s="132"/>
      <c r="W1144" s="146"/>
      <c r="X1144" s="138">
        <f>X1141-X1142</f>
        <v>47.987331859663769</v>
      </c>
      <c r="Y1144" s="132"/>
      <c r="Z1144" s="146"/>
      <c r="AA1144" s="138">
        <f>AA1141-AA1142</f>
        <v>40.904007155667657</v>
      </c>
      <c r="AB1144" s="132"/>
      <c r="AC1144" s="146"/>
      <c r="AD1144" s="138">
        <f>AD1141-AD1142</f>
        <v>24.50577870372075</v>
      </c>
      <c r="AE1144" s="132"/>
      <c r="AF1144" s="146"/>
      <c r="AG1144" s="138">
        <f>AG1141-AG1142</f>
        <v>-0.65844909886276781</v>
      </c>
      <c r="AH1144" s="132"/>
      <c r="AI1144" s="146"/>
      <c r="AJ1144" s="138">
        <f>AJ1141-AJ1142</f>
        <v>-31.992936365426928</v>
      </c>
      <c r="AK1144" s="132"/>
      <c r="AL1144" s="146"/>
      <c r="AM1144" s="138">
        <f>AM1141-AM1142</f>
        <v>-62.931437574832572</v>
      </c>
      <c r="AN1144" s="132"/>
      <c r="AO1144" s="146"/>
      <c r="AP1144" s="138">
        <f>AP1141-AP1142</f>
        <v>-90.695485619609585</v>
      </c>
      <c r="AQ1144" s="132"/>
      <c r="AR1144" s="146"/>
      <c r="AS1144" s="138">
        <f>AS1141-AS1142</f>
        <v>-125.25383655183019</v>
      </c>
      <c r="AT1144" s="132"/>
      <c r="AU1144" s="146"/>
    </row>
    <row r="1145" spans="13:47" ht="14.5" x14ac:dyDescent="0.35">
      <c r="M1145" s="27"/>
      <c r="N1145" s="27"/>
      <c r="O1145" s="2" t="s">
        <v>191</v>
      </c>
      <c r="P1145" s="10"/>
      <c r="Q1145" s="2"/>
      <c r="R1145" s="181">
        <f>R1144/R1141</f>
        <v>0.50259442931310139</v>
      </c>
      <c r="S1145" s="132"/>
      <c r="T1145" s="146"/>
      <c r="U1145" s="138">
        <f>U1144/U1141</f>
        <v>0.50054065123810287</v>
      </c>
      <c r="V1145" s="132"/>
      <c r="W1145" s="146"/>
      <c r="X1145" s="138">
        <f>X1144/X1141</f>
        <v>0.48972995742338027</v>
      </c>
      <c r="Y1145" s="132"/>
      <c r="Z1145" s="146"/>
      <c r="AA1145" s="138">
        <f>AA1144/AA1141</f>
        <v>0.4499692415717384</v>
      </c>
      <c r="AB1145" s="132"/>
      <c r="AC1145" s="146"/>
      <c r="AD1145" s="138">
        <f>AD1144/AD1141</f>
        <v>0.32891111441396093</v>
      </c>
      <c r="AE1145" s="132"/>
      <c r="AF1145" s="146"/>
      <c r="AG1145" s="138">
        <f>AG1144/AG1141</f>
        <v>-1.3344718332467165E-2</v>
      </c>
      <c r="AH1145" s="132"/>
      <c r="AI1145" s="146"/>
      <c r="AJ1145" s="138">
        <f>AJ1144/AJ1141</f>
        <v>-1.7766881383148645</v>
      </c>
      <c r="AK1145" s="132"/>
      <c r="AL1145" s="146"/>
      <c r="AM1145" s="138">
        <f>AM1144/AM1141</f>
        <v>4.8665461369361616</v>
      </c>
      <c r="AN1145" s="132"/>
      <c r="AO1145" s="146"/>
      <c r="AP1145" s="138">
        <f>AP1144/AP1141</f>
        <v>2.2286375070532869</v>
      </c>
      <c r="AQ1145" s="132"/>
      <c r="AR1145" s="146"/>
      <c r="AS1145" s="138">
        <f>AS1144/AS1141</f>
        <v>1.6644179525061569</v>
      </c>
      <c r="AT1145" s="132"/>
      <c r="AU1145" s="146"/>
    </row>
    <row r="1146" spans="13:47" x14ac:dyDescent="0.25">
      <c r="M1146" s="27"/>
      <c r="N1146" s="27"/>
      <c r="O1146" s="2" t="s">
        <v>26</v>
      </c>
      <c r="P1146" s="7">
        <v>12</v>
      </c>
      <c r="Q1146" s="2"/>
      <c r="R1146" s="181">
        <f>1-R1145/(3*F_GAMMA*R$29)</f>
        <v>0.73824306191950795</v>
      </c>
      <c r="S1146" s="133"/>
      <c r="T1146" s="146"/>
      <c r="U1146" s="138">
        <f>1-U1145/(3*F_GAMMA*U$29)</f>
        <v>0.73937008992879005</v>
      </c>
      <c r="V1146" s="133"/>
      <c r="W1146" s="146"/>
      <c r="X1146" s="138">
        <f>1-X1145/(3*F_GAMMA*X$29)</f>
        <v>0.74117376540884106</v>
      </c>
      <c r="Y1146" s="133"/>
      <c r="Z1146" s="146"/>
      <c r="AA1146" s="138">
        <f>1-AA1145/(3*F_GAMMA*AA$29)</f>
        <v>0.75892688598853852</v>
      </c>
      <c r="AB1146" s="133"/>
      <c r="AC1146" s="146"/>
      <c r="AD1146" s="138">
        <f>1-AD1145/(3*F_GAMMA*AD$29)</f>
        <v>0.81895288198444638</v>
      </c>
      <c r="AE1146" s="133"/>
      <c r="AF1146" s="146"/>
      <c r="AG1146" s="138">
        <f>1-AG1145/(3*F_GAMMA*AG$29)</f>
        <v>1.0077645188566442</v>
      </c>
      <c r="AH1146" s="133"/>
      <c r="AI1146" s="146"/>
      <c r="AJ1146" s="138">
        <f>1-AJ1145/(3*F_GAMMA*AJ$29)</f>
        <v>2.1050948449879554</v>
      </c>
      <c r="AK1146" s="133"/>
      <c r="AL1146" s="146"/>
      <c r="AM1146" s="138">
        <f>1-AM1145/(3*F_GAMMA*AM$29)</f>
        <v>-2.3072807467251639</v>
      </c>
      <c r="AN1146" s="133"/>
      <c r="AO1146" s="146"/>
      <c r="AP1146" s="138">
        <f>1-AP1145/(3*F_GAMMA*AP$29)</f>
        <v>-0.25162912010532068</v>
      </c>
      <c r="AQ1146" s="133"/>
      <c r="AR1146" s="146"/>
      <c r="AS1146" s="138">
        <f>1-AS1145/(3*F_GAMMA*AS$29)</f>
        <v>-0.41904198736552734</v>
      </c>
      <c r="AT1146" s="133"/>
      <c r="AU1146" s="146"/>
    </row>
    <row r="1147" spans="13:47" x14ac:dyDescent="0.25">
      <c r="M1147" s="27"/>
      <c r="N1147" s="27"/>
      <c r="O1147" s="2" t="s">
        <v>71</v>
      </c>
      <c r="P1147" s="85">
        <v>5</v>
      </c>
      <c r="Q1147" s="2"/>
      <c r="R1147" s="179">
        <f>R1139/((N_6*R$27*R1146)*SQRT(R1145*R1141*R1143))</f>
        <v>0.23664841572595119</v>
      </c>
      <c r="S1147" s="133"/>
      <c r="T1147" s="146"/>
      <c r="U1147" s="143">
        <f>U1139/((N_6*U$27*U1146)*SQRT(U1145*U1141*U1143))</f>
        <v>4.4319698750848247</v>
      </c>
      <c r="V1147" s="133"/>
      <c r="W1147" s="146"/>
      <c r="X1147" s="143">
        <f>X1139/((N_6*X$27*X1146)*SQRT(X1145*X1141*X1143))</f>
        <v>11.318434029645095</v>
      </c>
      <c r="Y1147" s="133"/>
      <c r="Z1147" s="146"/>
      <c r="AA1147" s="143">
        <f>AA1139/((N_6*AA$27*AA1146)*SQRT(AA1145*AA1141*AA1143))</f>
        <v>24.350220345697721</v>
      </c>
      <c r="AB1147" s="133"/>
      <c r="AC1147" s="146"/>
      <c r="AD1147" s="143">
        <f>AD1139/((N_6*AD$27*AD1146)*SQRT(AD1145*AD1141*AD1143))</f>
        <v>53.592312455317717</v>
      </c>
      <c r="AE1147" s="133"/>
      <c r="AF1147" s="146"/>
      <c r="AG1147" s="143" t="e">
        <f>AG1139/((N_6*AG$27*AG1146)*SQRT(AG1145*AG1141*AG1143))</f>
        <v>#NUM!</v>
      </c>
      <c r="AH1147" s="133"/>
      <c r="AI1147" s="146"/>
      <c r="AJ1147" s="143" t="e">
        <f>AJ1139/((N_6*AJ$27*AJ1146)*SQRT(AJ1145*AJ1141*AJ1143))</f>
        <v>#NUM!</v>
      </c>
      <c r="AK1147" s="133"/>
      <c r="AL1147" s="146"/>
      <c r="AM1147" s="143">
        <f>AM1139/((N_6*AM$27*AM1146)*SQRT(AM1145*AM1141*AM1143))</f>
        <v>-66.731236819119275</v>
      </c>
      <c r="AN1147" s="133"/>
      <c r="AO1147" s="146"/>
      <c r="AP1147" s="143">
        <f>AP1139/((N_6*AP$27*AP1146)*SQRT(AP1145*AP1141*AP1143))</f>
        <v>-364.12393638580244</v>
      </c>
      <c r="AQ1147" s="133"/>
      <c r="AR1147" s="146"/>
      <c r="AS1147" s="143">
        <f>AS1139/((N_6*AS$27*AS1146)*SQRT(AS1145*AS1141*AS1143))</f>
        <v>-200.57704502814241</v>
      </c>
      <c r="AT1147" s="133"/>
      <c r="AU1147" s="146"/>
    </row>
    <row r="1148" spans="13:47" x14ac:dyDescent="0.25">
      <c r="M1148" s="27"/>
      <c r="N1148" s="27"/>
      <c r="O1148" s="2" t="s">
        <v>73</v>
      </c>
      <c r="P1148" s="85">
        <v>5</v>
      </c>
      <c r="Q1148" s="2"/>
      <c r="R1148" s="179">
        <f>R1139/((N_6*R$27*0.667)*SQRT(R1149*R1141*R1143))</f>
        <v>0.23210626862232847</v>
      </c>
      <c r="S1148" s="133"/>
      <c r="T1148" s="155"/>
      <c r="U1148" s="143">
        <f>U1139/((N_6*U$27*0.667)*SQRT(U1149*U1141*U1143))</f>
        <v>4.3441578570463193</v>
      </c>
      <c r="V1148" s="133"/>
      <c r="W1148" s="155"/>
      <c r="X1148" s="143">
        <f>X1139/((N_6*X$27*0.667)*SQRT(X1149*X1141*X1143))</f>
        <v>11.082693510297489</v>
      </c>
      <c r="Y1148" s="133"/>
      <c r="Z1148" s="155"/>
      <c r="AA1148" s="143">
        <f>AA1139/((N_6*AA$27*0.667)*SQRT(AA1149*AA1141*AA1143))</f>
        <v>23.561992663181986</v>
      </c>
      <c r="AB1148" s="133"/>
      <c r="AC1148" s="155"/>
      <c r="AD1148" s="143">
        <f>AD1139/((N_6*AD$27*0.667)*SQRT(AD1149*AD1141*AD1143))</f>
        <v>48.494447282985519</v>
      </c>
      <c r="AE1148" s="133"/>
      <c r="AF1148" s="155"/>
      <c r="AG1148" s="143">
        <f>AG1139/((N_6*AG$27*0.667)*SQRT(AG1149*AG1141*AG1143))</f>
        <v>107.87297141683536</v>
      </c>
      <c r="AH1148" s="133"/>
      <c r="AI1148" s="155"/>
      <c r="AJ1148" s="143">
        <f>AJ1139/((N_6*AJ$27*0.667)*SQRT(AJ1149*AJ1141*AJ1143))</f>
        <v>401.37164781212647</v>
      </c>
      <c r="AK1148" s="133"/>
      <c r="AL1148" s="155"/>
      <c r="AM1148" s="143">
        <f>AM1139/((N_6*AM$27*0.667)*SQRT(AM1149*AM1141*AM1143))</f>
        <v>727.10970460878559</v>
      </c>
      <c r="AN1148" s="133"/>
      <c r="AO1148" s="155"/>
      <c r="AP1148" s="143">
        <f>AP1139/((N_6*AP$27*0.667)*SQRT(AP1149*AP1141*AP1143))</f>
        <v>266.18449269324952</v>
      </c>
      <c r="AQ1148" s="133"/>
      <c r="AR1148" s="155"/>
      <c r="AS1148" s="143">
        <f>AS1139/((N_6*AS$27*0.667)*SQRT(AS1149*AS1141*AS1143))</f>
        <v>259.99870567176254</v>
      </c>
      <c r="AT1148" s="133"/>
      <c r="AU1148" s="155"/>
    </row>
    <row r="1149" spans="13:47" ht="15.5" x14ac:dyDescent="0.4">
      <c r="M1149" s="27"/>
      <c r="N1149" s="27"/>
      <c r="O1149" s="2" t="s">
        <v>192</v>
      </c>
      <c r="P1149" s="85">
        <v>10</v>
      </c>
      <c r="Q1149" s="2"/>
      <c r="R1149" s="181">
        <f>F_GAMMA*R$29</f>
        <v>0.64002688015162901</v>
      </c>
      <c r="S1149" s="133"/>
      <c r="T1149" s="155"/>
      <c r="U1149" s="138">
        <f>F_GAMMA*U$29</f>
        <v>0.64016782916606918</v>
      </c>
      <c r="V1149" s="133"/>
      <c r="W1149" s="155"/>
      <c r="X1149" s="138">
        <f>F_GAMMA*X$29</f>
        <v>0.6307062319203669</v>
      </c>
      <c r="Y1149" s="133"/>
      <c r="Z1149" s="155"/>
      <c r="AA1149" s="138">
        <f>F_GAMMA*AA$29</f>
        <v>0.62217534213893466</v>
      </c>
      <c r="AB1149" s="133"/>
      <c r="AC1149" s="155"/>
      <c r="AD1149" s="138">
        <f>F_GAMMA*AD$29</f>
        <v>0.60557184969146072</v>
      </c>
      <c r="AE1149" s="133"/>
      <c r="AF1149" s="155"/>
      <c r="AG1149" s="138">
        <f>F_GAMMA*AG$29</f>
        <v>0.57289312142622573</v>
      </c>
      <c r="AH1149" s="133"/>
      <c r="AI1149" s="155"/>
      <c r="AJ1149" s="138">
        <f>F_GAMMA*AJ$29</f>
        <v>0.53590819116049981</v>
      </c>
      <c r="AK1149" s="133"/>
      <c r="AL1149" s="155"/>
      <c r="AM1149" s="138">
        <f>F_GAMMA*AM$29</f>
        <v>0.49048815926850342</v>
      </c>
      <c r="AN1149" s="133"/>
      <c r="AO1149" s="155"/>
      <c r="AP1149" s="138">
        <f>F_GAMMA*AP$29</f>
        <v>0.59352979016280105</v>
      </c>
      <c r="AQ1149" s="133"/>
      <c r="AR1149" s="155"/>
      <c r="AS1149" s="138">
        <f>F_GAMMA*AS$29</f>
        <v>0.39097221161068291</v>
      </c>
      <c r="AT1149" s="133"/>
      <c r="AU1149" s="155"/>
    </row>
    <row r="1150" spans="13:47" x14ac:dyDescent="0.25">
      <c r="M1150" s="27"/>
      <c r="N1150" s="27"/>
      <c r="O1150" s="2" t="s">
        <v>193</v>
      </c>
      <c r="P1150" s="134"/>
      <c r="Q1150" s="2"/>
      <c r="R1150" s="181">
        <f>IF(R1145&lt;R1149,R1147,R1148)</f>
        <v>0.23664841572595119</v>
      </c>
      <c r="S1150" s="133"/>
      <c r="T1150" s="155"/>
      <c r="U1150" s="138">
        <f>IF(U1145&lt;U1149,U1147,U1148)</f>
        <v>4.4319698750848247</v>
      </c>
      <c r="V1150" s="133"/>
      <c r="W1150" s="155"/>
      <c r="X1150" s="138">
        <f>IF(X1145&lt;X1149,X1147,X1148)</f>
        <v>11.318434029645095</v>
      </c>
      <c r="Y1150" s="133"/>
      <c r="Z1150" s="155"/>
      <c r="AA1150" s="138">
        <f>IF(AA1145&lt;AA1149,AA1147,AA1148)</f>
        <v>24.350220345697721</v>
      </c>
      <c r="AB1150" s="133"/>
      <c r="AC1150" s="155"/>
      <c r="AD1150" s="138">
        <f>IF(AD1145&lt;AD1149,AD1147,AD1148)</f>
        <v>53.592312455317717</v>
      </c>
      <c r="AE1150" s="133"/>
      <c r="AF1150" s="155"/>
      <c r="AG1150" s="138" t="e">
        <f>IF(AG1145&lt;AG1149,AG1147,AG1148)</f>
        <v>#NUM!</v>
      </c>
      <c r="AH1150" s="133"/>
      <c r="AI1150" s="155"/>
      <c r="AJ1150" s="138" t="e">
        <f>IF(AJ1145&lt;AJ1149,AJ1147,AJ1148)</f>
        <v>#NUM!</v>
      </c>
      <c r="AK1150" s="133"/>
      <c r="AL1150" s="155"/>
      <c r="AM1150" s="138">
        <f>IF(AM1145&lt;AM1149,AM1147,AM1148)</f>
        <v>727.10970460878559</v>
      </c>
      <c r="AN1150" s="133"/>
      <c r="AO1150" s="155"/>
      <c r="AP1150" s="138">
        <f>IF(AP1145&lt;AP1149,AP1147,AP1148)</f>
        <v>266.18449269324952</v>
      </c>
      <c r="AQ1150" s="133"/>
      <c r="AR1150" s="155"/>
      <c r="AS1150" s="138">
        <f>IF(AS1145&lt;AS1149,AS1147,AS1148)</f>
        <v>259.99870567176254</v>
      </c>
      <c r="AT1150" s="133"/>
      <c r="AU1150" s="155"/>
    </row>
    <row r="1151" spans="13:47" ht="13" x14ac:dyDescent="0.3">
      <c r="M1151" s="28"/>
      <c r="N1151" s="28"/>
      <c r="O1151" s="9" t="s">
        <v>194</v>
      </c>
      <c r="P1151" s="1"/>
      <c r="Q1151" s="1"/>
      <c r="R1151" s="135"/>
      <c r="S1151" s="132">
        <f>IF(R1144&lt;=0,W_max,ABS(R$23-R1150))</f>
        <v>1.7633515842740488</v>
      </c>
      <c r="T1151" s="151">
        <f>R1139</f>
        <v>54.729194448337005</v>
      </c>
      <c r="U1151" s="135"/>
      <c r="V1151" s="132">
        <f>IF(U1144&lt;=0,W_max,ABS(U$23-U1150))</f>
        <v>0.56803012491517535</v>
      </c>
      <c r="W1151" s="151">
        <f>U1139</f>
        <v>1019.5913327069871</v>
      </c>
      <c r="X1151" s="135"/>
      <c r="Y1151" s="132">
        <f>IF(X1144&lt;=0,W_max,ABS(X$23-X1150))</f>
        <v>1.3184340296450952</v>
      </c>
      <c r="Z1151" s="151">
        <f>X1139</f>
        <v>2521.5706985752677</v>
      </c>
      <c r="AA1151" s="135"/>
      <c r="AB1151" s="132">
        <f>IF(AA1144&lt;=0,W_max,ABS(AA$23-AA1150))</f>
        <v>7.150220345697722</v>
      </c>
      <c r="AC1151" s="151">
        <f>AA1139</f>
        <v>4911.3761014693855</v>
      </c>
      <c r="AD1151" s="135"/>
      <c r="AE1151" s="132">
        <f>IF(AD1144&lt;=0,W_max,ABS(AD$23-AD1150))</f>
        <v>26.992312455317716</v>
      </c>
      <c r="AF1151" s="151">
        <f>AD1139</f>
        <v>8077.4054255200999</v>
      </c>
      <c r="AG1151" s="135"/>
      <c r="AH1151" s="132">
        <f>IF(AG1144&lt;=0,W_max,ABS(AG$23-AG1150))</f>
        <v>7174</v>
      </c>
      <c r="AI1151" s="151">
        <f>AG1139</f>
        <v>11329.182957795734</v>
      </c>
      <c r="AJ1151" s="135"/>
      <c r="AK1151" s="132">
        <f>IF(AJ1144&lt;=0,W_max,ABS(AJ$23-AJ1150))</f>
        <v>7174</v>
      </c>
      <c r="AL1151" s="151">
        <f>AJ1139</f>
        <v>14385.056141070523</v>
      </c>
      <c r="AM1151" s="135"/>
      <c r="AN1151" s="132">
        <f>IF(AM1144&lt;=0,W_max,ABS(AM$23-AM1150))</f>
        <v>7174</v>
      </c>
      <c r="AO1151" s="151">
        <f>AM1139</f>
        <v>16867.609637047804</v>
      </c>
      <c r="AP1151" s="135"/>
      <c r="AQ1151" s="132">
        <f>IF(AP1144&lt;=0,W_max,ABS(AP$23-AP1150))</f>
        <v>7174</v>
      </c>
      <c r="AR1151" s="151">
        <f>AP1139</f>
        <v>18818.658155961079</v>
      </c>
      <c r="AS1151" s="135"/>
      <c r="AT1151" s="132">
        <f>IF(AS1144&lt;=0,W_max,ABS(AS$23-AS1150))</f>
        <v>7174</v>
      </c>
      <c r="AU1151" s="151">
        <f>AS1139</f>
        <v>20995.381231320876</v>
      </c>
    </row>
    <row r="1152" spans="13:47" ht="13" x14ac:dyDescent="0.25">
      <c r="M1152" s="12"/>
      <c r="N1152" s="12"/>
      <c r="O1152" s="2"/>
      <c r="P1152" s="85"/>
      <c r="Q1152" s="2"/>
      <c r="R1152" s="18"/>
      <c r="S1152" s="150"/>
      <c r="T1152" s="152"/>
      <c r="U1152" s="157"/>
      <c r="V1152" s="1"/>
      <c r="W1152" s="147"/>
      <c r="X1152" s="157"/>
      <c r="Y1152" s="1"/>
      <c r="Z1152" s="147"/>
      <c r="AA1152" s="157"/>
      <c r="AB1152" s="1"/>
      <c r="AC1152" s="147"/>
      <c r="AD1152" s="157"/>
      <c r="AE1152" s="1"/>
      <c r="AF1152" s="147"/>
      <c r="AG1152" s="157"/>
      <c r="AH1152" s="1"/>
      <c r="AI1152" s="147"/>
      <c r="AJ1152" s="157"/>
      <c r="AK1152" s="1"/>
      <c r="AL1152" s="147"/>
      <c r="AM1152" s="157"/>
      <c r="AN1152" s="1"/>
      <c r="AO1152" s="147"/>
      <c r="AP1152" s="157"/>
      <c r="AQ1152" s="1"/>
      <c r="AR1152" s="147"/>
      <c r="AS1152" s="157"/>
      <c r="AT1152" s="1"/>
      <c r="AU1152" s="147"/>
    </row>
    <row r="1153" spans="13:47" ht="14" x14ac:dyDescent="0.3">
      <c r="M1153" s="23"/>
      <c r="N1153" s="23"/>
      <c r="O1153" s="23" t="s">
        <v>238</v>
      </c>
      <c r="P1153" s="20"/>
      <c r="Q1153" s="20"/>
      <c r="R1153" s="181">
        <f>R1139*1.02</f>
        <v>55.823778337303743</v>
      </c>
      <c r="S1153" s="128" t="s">
        <v>185</v>
      </c>
      <c r="T1153" s="153" t="s">
        <v>186</v>
      </c>
      <c r="U1153" s="143">
        <f>U1139*1.01</f>
        <v>1029.787246034057</v>
      </c>
      <c r="V1153" s="128" t="s">
        <v>185</v>
      </c>
      <c r="W1153" s="153" t="s">
        <v>186</v>
      </c>
      <c r="X1153" s="143">
        <f>X1139*1.01</f>
        <v>2546.7864055610203</v>
      </c>
      <c r="Y1153" s="128" t="s">
        <v>185</v>
      </c>
      <c r="Z1153" s="153" t="s">
        <v>186</v>
      </c>
      <c r="AA1153" s="143">
        <f>AA1139*1.01</f>
        <v>4960.4898624840798</v>
      </c>
      <c r="AB1153" s="128" t="s">
        <v>185</v>
      </c>
      <c r="AC1153" s="153" t="s">
        <v>186</v>
      </c>
      <c r="AD1153" s="143">
        <f>AD1139*1.01</f>
        <v>8158.1794797753009</v>
      </c>
      <c r="AE1153" s="128" t="s">
        <v>185</v>
      </c>
      <c r="AF1153" s="153" t="s">
        <v>186</v>
      </c>
      <c r="AG1153" s="143">
        <f>AG1139*1.01</f>
        <v>11442.474787373692</v>
      </c>
      <c r="AH1153" s="128" t="s">
        <v>185</v>
      </c>
      <c r="AI1153" s="153" t="s">
        <v>186</v>
      </c>
      <c r="AJ1153" s="143">
        <f>AJ1139*1.01</f>
        <v>14528.906702481228</v>
      </c>
      <c r="AK1153" s="128" t="s">
        <v>185</v>
      </c>
      <c r="AL1153" s="153" t="s">
        <v>186</v>
      </c>
      <c r="AM1153" s="143">
        <f>AM1139*1.01</f>
        <v>17036.285733418281</v>
      </c>
      <c r="AN1153" s="128" t="s">
        <v>185</v>
      </c>
      <c r="AO1153" s="153" t="s">
        <v>186</v>
      </c>
      <c r="AP1153" s="143">
        <f>AP1139*1.01</f>
        <v>19006.844737520689</v>
      </c>
      <c r="AQ1153" s="128" t="s">
        <v>185</v>
      </c>
      <c r="AR1153" s="153" t="s">
        <v>186</v>
      </c>
      <c r="AS1153" s="143">
        <f>AS1139*1.01</f>
        <v>21205.335043634084</v>
      </c>
      <c r="AT1153" s="128" t="s">
        <v>185</v>
      </c>
      <c r="AU1153" s="153" t="s">
        <v>186</v>
      </c>
    </row>
    <row r="1154" spans="13:47" ht="14" x14ac:dyDescent="0.3">
      <c r="M1154" s="12"/>
      <c r="N1154" s="12"/>
      <c r="O1154" s="20"/>
      <c r="P1154" s="20"/>
      <c r="Q1154" s="23"/>
      <c r="R1154" s="139"/>
      <c r="S1154" s="130" t="s">
        <v>228</v>
      </c>
      <c r="T1154" s="154" t="s">
        <v>187</v>
      </c>
      <c r="U1154" s="144"/>
      <c r="V1154" s="130" t="s">
        <v>228</v>
      </c>
      <c r="W1154" s="154" t="s">
        <v>187</v>
      </c>
      <c r="X1154" s="144"/>
      <c r="Y1154" s="130" t="s">
        <v>228</v>
      </c>
      <c r="Z1154" s="154" t="s">
        <v>187</v>
      </c>
      <c r="AA1154" s="144"/>
      <c r="AB1154" s="130" t="s">
        <v>228</v>
      </c>
      <c r="AC1154" s="154" t="s">
        <v>187</v>
      </c>
      <c r="AD1154" s="144"/>
      <c r="AE1154" s="130" t="s">
        <v>228</v>
      </c>
      <c r="AF1154" s="154" t="s">
        <v>187</v>
      </c>
      <c r="AG1154" s="144"/>
      <c r="AH1154" s="130" t="s">
        <v>228</v>
      </c>
      <c r="AI1154" s="154" t="s">
        <v>187</v>
      </c>
      <c r="AJ1154" s="144"/>
      <c r="AK1154" s="130" t="s">
        <v>228</v>
      </c>
      <c r="AL1154" s="154" t="s">
        <v>187</v>
      </c>
      <c r="AM1154" s="144"/>
      <c r="AN1154" s="130" t="s">
        <v>228</v>
      </c>
      <c r="AO1154" s="154" t="s">
        <v>187</v>
      </c>
      <c r="AP1154" s="144"/>
      <c r="AQ1154" s="130" t="s">
        <v>228</v>
      </c>
      <c r="AR1154" s="154" t="s">
        <v>187</v>
      </c>
      <c r="AS1154" s="144"/>
      <c r="AT1154" s="130" t="s">
        <v>228</v>
      </c>
      <c r="AU1154" s="154" t="s">
        <v>187</v>
      </c>
    </row>
    <row r="1155" spans="13:47" x14ac:dyDescent="0.25">
      <c r="M1155" s="20"/>
      <c r="N1155" s="20"/>
      <c r="O1155" s="7" t="s">
        <v>188</v>
      </c>
      <c r="P1155" s="7"/>
      <c r="Q1155" s="7"/>
      <c r="R1155" s="181">
        <f>P_1_minW-(R1153^2*R_up)+dpup_minQ</f>
        <v>100.52154407751729</v>
      </c>
      <c r="S1155" s="132"/>
      <c r="T1155" s="145"/>
      <c r="U1155" s="138">
        <f>P_1_minW-(U1153^2*R_up)+dpup_minQ</f>
        <v>100.0999150529246</v>
      </c>
      <c r="V1155" s="132"/>
      <c r="W1155" s="145"/>
      <c r="X1155" s="138">
        <f>P_1_minW-(X1153^2*R_up)+dpup_minQ</f>
        <v>97.936369216634802</v>
      </c>
      <c r="Y1155" s="132"/>
      <c r="Z1155" s="145"/>
      <c r="AA1155" s="138">
        <f>P_1_minW-(AA1153^2*R_up)+dpup_minQ</f>
        <v>90.710669686088366</v>
      </c>
      <c r="AB1155" s="132"/>
      <c r="AC1155" s="145"/>
      <c r="AD1155" s="138">
        <f>P_1_minW-(AD1153^2*R_up)+dpup_minQ</f>
        <v>73.982836842257328</v>
      </c>
      <c r="AE1155" s="132"/>
      <c r="AF1155" s="145"/>
      <c r="AG1155" s="138">
        <f>P_1_minW-(AG1153^2*R_up)+dpup_minQ</f>
        <v>48.312808060841874</v>
      </c>
      <c r="AH1155" s="132"/>
      <c r="AI1155" s="145"/>
      <c r="AJ1155" s="138">
        <f>P_1_minW-(AJ1153^2*R_up)+dpup_minQ</f>
        <v>16.348497600219787</v>
      </c>
      <c r="AK1155" s="132"/>
      <c r="AL1155" s="145"/>
      <c r="AM1155" s="138">
        <f>P_1_minW-(AM1153^2*R_up)+dpup_minQ</f>
        <v>-15.211867483494899</v>
      </c>
      <c r="AN1155" s="132"/>
      <c r="AO1155" s="145"/>
      <c r="AP1155" s="138">
        <f>P_1_minW-(AP1153^2*R_up)+dpup_minQ</f>
        <v>-43.533972893971921</v>
      </c>
      <c r="AQ1155" s="132"/>
      <c r="AR1155" s="145"/>
      <c r="AS1155" s="138">
        <f>P_1_minW-(AS1153^2*R_up)+dpup_minQ</f>
        <v>-78.786946679930182</v>
      </c>
      <c r="AT1155" s="132"/>
      <c r="AU1155" s="145"/>
    </row>
    <row r="1156" spans="13:47" x14ac:dyDescent="0.25">
      <c r="M1156" s="20"/>
      <c r="N1156" s="20"/>
      <c r="O1156" s="7" t="s">
        <v>189</v>
      </c>
      <c r="P1156" s="1"/>
      <c r="Q1156" s="7"/>
      <c r="R1156" s="181">
        <f>P_2_minW+(R1153^2*R_dn)-dpdn_minQ</f>
        <v>50</v>
      </c>
      <c r="S1156" s="132"/>
      <c r="T1156" s="146"/>
      <c r="U1156" s="138">
        <f>P_2_minW+(U1153^2*R_dn)-dpdn_minQ</f>
        <v>50</v>
      </c>
      <c r="V1156" s="132"/>
      <c r="W1156" s="146"/>
      <c r="X1156" s="138">
        <f>P_2_minW+(X1153^2*R_dn)-dpdn_minQ</f>
        <v>50</v>
      </c>
      <c r="Y1156" s="132"/>
      <c r="Z1156" s="146"/>
      <c r="AA1156" s="138">
        <f>P_2_minW+(AA1153^2*R_dn)-dpdn_minQ</f>
        <v>50</v>
      </c>
      <c r="AB1156" s="132"/>
      <c r="AC1156" s="146"/>
      <c r="AD1156" s="138">
        <f>P_2_minW+(AD1153^2*R_dn)-dpdn_minQ</f>
        <v>50</v>
      </c>
      <c r="AE1156" s="132"/>
      <c r="AF1156" s="146"/>
      <c r="AG1156" s="138">
        <f>P_2_minW+(AG1153^2*R_dn)-dpdn_minQ</f>
        <v>50</v>
      </c>
      <c r="AH1156" s="132"/>
      <c r="AI1156" s="146"/>
      <c r="AJ1156" s="138">
        <f>P_2_minW+(AJ1153^2*R_dn)-dpdn_minQ</f>
        <v>50</v>
      </c>
      <c r="AK1156" s="132"/>
      <c r="AL1156" s="146"/>
      <c r="AM1156" s="138">
        <f>P_2_minW+(AM1153^2*R_dn)-dpdn_minQ</f>
        <v>50</v>
      </c>
      <c r="AN1156" s="132"/>
      <c r="AO1156" s="146"/>
      <c r="AP1156" s="138">
        <f>P_2_minW+(AP1153^2*R_dn)-dpdn_minQ</f>
        <v>50</v>
      </c>
      <c r="AQ1156" s="132"/>
      <c r="AR1156" s="146"/>
      <c r="AS1156" s="138">
        <f>P_2_minW+(AS1153^2*R_dn)-dpdn_minQ</f>
        <v>50</v>
      </c>
      <c r="AT1156" s="132"/>
      <c r="AU1156" s="146"/>
    </row>
    <row r="1157" spans="13:47" x14ac:dyDescent="0.25">
      <c r="M1157" s="20"/>
      <c r="N1157" s="20"/>
      <c r="O1157" s="7" t="s">
        <v>234</v>
      </c>
      <c r="P1157" s="1"/>
      <c r="Q1157" s="7"/>
      <c r="R1157" s="179">
        <f>'Valve Sizing'!G$8*R1155/P_1_maxW</f>
        <v>0.48489803187210656</v>
      </c>
      <c r="S1157" s="132"/>
      <c r="T1157" s="146"/>
      <c r="U1157" s="143">
        <f>'Valve Sizing'!$G$8*U1155/P_1_maxW</f>
        <v>0.48286416852389247</v>
      </c>
      <c r="V1157" s="132"/>
      <c r="W1157" s="146"/>
      <c r="X1157" s="143">
        <f>'Valve Sizing'!$G$8*X1155/P_1_maxW</f>
        <v>0.47242760860522459</v>
      </c>
      <c r="Y1157" s="132"/>
      <c r="Z1157" s="146"/>
      <c r="AA1157" s="143">
        <f>'Valve Sizing'!$G$8*AA1155/P_1_maxW</f>
        <v>0.43757212052637789</v>
      </c>
      <c r="AB1157" s="132"/>
      <c r="AC1157" s="146"/>
      <c r="AD1157" s="143">
        <f>'Valve Sizing'!$G$8*AD1155/P_1_maxW</f>
        <v>0.35688003309480976</v>
      </c>
      <c r="AE1157" s="132"/>
      <c r="AF1157" s="146"/>
      <c r="AG1157" s="143">
        <f>'Valve Sizing'!$G$8*AG1155/P_1_maxW</f>
        <v>0.23305238452019278</v>
      </c>
      <c r="AH1157" s="132"/>
      <c r="AI1157" s="146"/>
      <c r="AJ1157" s="143">
        <f>'Valve Sizing'!$G$8*AJ1155/P_1_maxW</f>
        <v>7.8862241752864881E-2</v>
      </c>
      <c r="AK1157" s="132"/>
      <c r="AL1157" s="146"/>
      <c r="AM1157" s="143">
        <f>'Valve Sizing'!$G$8*AM1155/P_1_maxW</f>
        <v>-7.3379340434303345E-2</v>
      </c>
      <c r="AN1157" s="132"/>
      <c r="AO1157" s="146"/>
      <c r="AP1157" s="143">
        <f>'Valve Sizing'!$G$8*AP1155/P_1_maxW</f>
        <v>-0.21000013449437244</v>
      </c>
      <c r="AQ1157" s="132"/>
      <c r="AR1157" s="146"/>
      <c r="AS1157" s="143">
        <f>'Valve Sizing'!$G$8*AS1155/P_1_maxW</f>
        <v>-0.38005420363270553</v>
      </c>
      <c r="AT1157" s="132"/>
      <c r="AU1157" s="146"/>
    </row>
    <row r="1158" spans="13:47" x14ac:dyDescent="0.25">
      <c r="M1158" s="20"/>
      <c r="N1158" s="20"/>
      <c r="O1158" s="7" t="s">
        <v>190</v>
      </c>
      <c r="P1158" s="1"/>
      <c r="Q1158" s="7"/>
      <c r="R1158" s="181">
        <f>R1155-R1156</f>
        <v>50.521544077517291</v>
      </c>
      <c r="S1158" s="132"/>
      <c r="T1158" s="146"/>
      <c r="U1158" s="138">
        <f>U1155-U1156</f>
        <v>50.099915052924601</v>
      </c>
      <c r="V1158" s="132"/>
      <c r="W1158" s="146"/>
      <c r="X1158" s="138">
        <f>X1155-X1156</f>
        <v>47.936369216634802</v>
      </c>
      <c r="Y1158" s="132"/>
      <c r="Z1158" s="146"/>
      <c r="AA1158" s="138">
        <f>AA1155-AA1156</f>
        <v>40.710669686088366</v>
      </c>
      <c r="AB1158" s="132"/>
      <c r="AC1158" s="146"/>
      <c r="AD1158" s="138">
        <f>AD1155-AD1156</f>
        <v>23.982836842257328</v>
      </c>
      <c r="AE1158" s="132"/>
      <c r="AF1158" s="146"/>
      <c r="AG1158" s="138">
        <f>AG1155-AG1156</f>
        <v>-1.6871919391581258</v>
      </c>
      <c r="AH1158" s="132"/>
      <c r="AI1158" s="146"/>
      <c r="AJ1158" s="138">
        <f>AJ1155-AJ1156</f>
        <v>-33.651502399780213</v>
      </c>
      <c r="AK1158" s="132"/>
      <c r="AL1158" s="146"/>
      <c r="AM1158" s="138">
        <f>AM1155-AM1156</f>
        <v>-65.211867483494899</v>
      </c>
      <c r="AN1158" s="132"/>
      <c r="AO1158" s="146"/>
      <c r="AP1158" s="138">
        <f>AP1155-AP1156</f>
        <v>-93.533972893971921</v>
      </c>
      <c r="AQ1158" s="132"/>
      <c r="AR1158" s="146"/>
      <c r="AS1158" s="138">
        <f>AS1155-AS1156</f>
        <v>-128.78694667993017</v>
      </c>
      <c r="AT1158" s="132"/>
      <c r="AU1158" s="146"/>
    </row>
    <row r="1159" spans="13:47" ht="14.5" x14ac:dyDescent="0.35">
      <c r="M1159" s="27"/>
      <c r="N1159" s="27"/>
      <c r="O1159" s="2" t="s">
        <v>191</v>
      </c>
      <c r="P1159" s="10"/>
      <c r="Q1159" s="2"/>
      <c r="R1159" s="181">
        <f>R1158/R1155</f>
        <v>0.50259419054046317</v>
      </c>
      <c r="S1159" s="132"/>
      <c r="T1159" s="146"/>
      <c r="U1159" s="138">
        <f>U1158/U1155</f>
        <v>0.50049907661196202</v>
      </c>
      <c r="V1159" s="132"/>
      <c r="W1159" s="146"/>
      <c r="X1159" s="138">
        <f>X1158/X1155</f>
        <v>0.48946443083467567</v>
      </c>
      <c r="Y1159" s="132"/>
      <c r="Z1159" s="146"/>
      <c r="AA1159" s="138">
        <f>AA1158/AA1155</f>
        <v>0.44879692573068791</v>
      </c>
      <c r="AB1159" s="132"/>
      <c r="AC1159" s="146"/>
      <c r="AD1159" s="138">
        <f>AD1158/AD1155</f>
        <v>0.32416757542553265</v>
      </c>
      <c r="AE1159" s="132"/>
      <c r="AF1159" s="146"/>
      <c r="AG1159" s="138">
        <f>AG1158/AG1155</f>
        <v>-3.4922249541641019E-2</v>
      </c>
      <c r="AH1159" s="132"/>
      <c r="AI1159" s="146"/>
      <c r="AJ1159" s="138">
        <f>AJ1158/AJ1155</f>
        <v>-2.0583850102120582</v>
      </c>
      <c r="AK1159" s="132"/>
      <c r="AL1159" s="146"/>
      <c r="AM1159" s="138">
        <f>AM1158/AM1155</f>
        <v>4.286907413192413</v>
      </c>
      <c r="AN1159" s="132"/>
      <c r="AO1159" s="146"/>
      <c r="AP1159" s="138">
        <f>AP1158/AP1155</f>
        <v>2.1485283027528008</v>
      </c>
      <c r="AQ1159" s="132"/>
      <c r="AR1159" s="146"/>
      <c r="AS1159" s="138">
        <f>AS1158/AS1155</f>
        <v>1.6346228925855397</v>
      </c>
      <c r="AT1159" s="132"/>
      <c r="AU1159" s="146"/>
    </row>
    <row r="1160" spans="13:47" x14ac:dyDescent="0.25">
      <c r="M1160" s="27"/>
      <c r="N1160" s="27"/>
      <c r="O1160" s="2" t="s">
        <v>26</v>
      </c>
      <c r="P1160" s="7">
        <v>12</v>
      </c>
      <c r="Q1160" s="2"/>
      <c r="R1160" s="181">
        <f>1-R1159/(3*F_GAMMA*R$29)</f>
        <v>0.73824318627503405</v>
      </c>
      <c r="S1160" s="133"/>
      <c r="T1160" s="146"/>
      <c r="U1160" s="138">
        <f>1-U1159/(3*F_GAMMA*U$29)</f>
        <v>0.7393917377031427</v>
      </c>
      <c r="V1160" s="133"/>
      <c r="W1160" s="146"/>
      <c r="X1160" s="138">
        <f>1-X1159/(3*F_GAMMA*X$29)</f>
        <v>0.74131409835375595</v>
      </c>
      <c r="Y1160" s="133"/>
      <c r="Z1160" s="146"/>
      <c r="AA1160" s="138">
        <f>1-AA1159/(3*F_GAMMA*AA$29)</f>
        <v>0.75955495965290687</v>
      </c>
      <c r="AB1160" s="133"/>
      <c r="AC1160" s="146"/>
      <c r="AD1160" s="138">
        <f>1-AD1159/(3*F_GAMMA*AD$29)</f>
        <v>0.82156393410586692</v>
      </c>
      <c r="AE1160" s="133"/>
      <c r="AF1160" s="146"/>
      <c r="AG1160" s="138">
        <f>1-AG1159/(3*F_GAMMA*AG$29)</f>
        <v>1.0203192347958967</v>
      </c>
      <c r="AH1160" s="133"/>
      <c r="AI1160" s="146"/>
      <c r="AJ1160" s="138">
        <f>1-AJ1159/(3*F_GAMMA*AJ$29)</f>
        <v>2.2803094784790541</v>
      </c>
      <c r="AK1160" s="133"/>
      <c r="AL1160" s="146"/>
      <c r="AM1160" s="138">
        <f>1-AM1159/(3*F_GAMMA*AM$29)</f>
        <v>-1.9133611295773538</v>
      </c>
      <c r="AN1160" s="133"/>
      <c r="AO1160" s="146"/>
      <c r="AP1160" s="138">
        <f>1-AP1159/(3*F_GAMMA*AP$29)</f>
        <v>-0.20663884574548197</v>
      </c>
      <c r="AQ1160" s="133"/>
      <c r="AR1160" s="146"/>
      <c r="AS1160" s="138">
        <f>1-AS1159/(3*F_GAMMA*AS$29)</f>
        <v>-0.3936394489107089</v>
      </c>
      <c r="AT1160" s="133"/>
      <c r="AU1160" s="146"/>
    </row>
    <row r="1161" spans="13:47" x14ac:dyDescent="0.25">
      <c r="M1161" s="27"/>
      <c r="N1161" s="27"/>
      <c r="O1161" s="2" t="s">
        <v>71</v>
      </c>
      <c r="P1161" s="85">
        <v>5</v>
      </c>
      <c r="Q1161" s="2"/>
      <c r="R1161" s="179">
        <f>R1153/((N_6*R$27*R1160)*SQRT(R1159*R1155*R1157))</f>
        <v>0.24138151658983237</v>
      </c>
      <c r="S1161" s="133"/>
      <c r="T1161" s="146"/>
      <c r="U1161" s="143">
        <f>U1153/((N_6*U$27*U1160)*SQRT(U1159*U1155*U1157))</f>
        <v>4.4767170306425079</v>
      </c>
      <c r="V1161" s="133"/>
      <c r="W1161" s="146"/>
      <c r="X1161" s="143">
        <f>X1153/((N_6*X$27*X1160)*SQRT(X1159*X1155*X1157))</f>
        <v>11.438503157356486</v>
      </c>
      <c r="Y1161" s="133"/>
      <c r="Z1161" s="146"/>
      <c r="AA1161" s="143">
        <f>AA1153/((N_6*AA$27*AA1160)*SQRT(AA1159*AA1155*AA1157))</f>
        <v>24.657902776094481</v>
      </c>
      <c r="AB1161" s="133"/>
      <c r="AC1161" s="146"/>
      <c r="AD1161" s="143">
        <f>AD1153/((N_6*AD$27*AD1160)*SQRT(AD1159*AD1155*AD1157))</f>
        <v>54.733709964572306</v>
      </c>
      <c r="AE1161" s="133"/>
      <c r="AF1161" s="146"/>
      <c r="AG1161" s="143" t="e">
        <f>AG1153/((N_6*AG$27*AG1160)*SQRT(AG1159*AG1155*AG1157))</f>
        <v>#NUM!</v>
      </c>
      <c r="AH1161" s="133"/>
      <c r="AI1161" s="146"/>
      <c r="AJ1161" s="143" t="e">
        <f>AJ1153/((N_6*AJ$27*AJ1160)*SQRT(AJ1159*AJ1155*AJ1157))</f>
        <v>#NUM!</v>
      </c>
      <c r="AK1161" s="133"/>
      <c r="AL1161" s="146"/>
      <c r="AM1161" s="143">
        <f>AM1153/((N_6*AM$27*AM1160)*SQRT(AM1159*AM1155*AM1157))</f>
        <v>-73.613367954094102</v>
      </c>
      <c r="AN1161" s="133"/>
      <c r="AO1161" s="146"/>
      <c r="AP1161" s="143">
        <f>AP1153/((N_6*AP$27*AP1160)*SQRT(AP1159*AP1155*AP1157))</f>
        <v>-426.37000578271869</v>
      </c>
      <c r="AQ1161" s="133"/>
      <c r="AR1161" s="146"/>
      <c r="AS1161" s="143">
        <f>AS1153/((N_6*AS$27*AS1160)*SQRT(AS1159*AS1155*AS1157))</f>
        <v>-207.85396396278784</v>
      </c>
      <c r="AT1161" s="133"/>
      <c r="AU1161" s="146"/>
    </row>
    <row r="1162" spans="13:47" x14ac:dyDescent="0.25">
      <c r="M1162" s="27"/>
      <c r="N1162" s="27"/>
      <c r="O1162" s="2" t="s">
        <v>73</v>
      </c>
      <c r="P1162" s="85">
        <v>5</v>
      </c>
      <c r="Q1162" s="2"/>
      <c r="R1162" s="179">
        <f>R1153/((N_6*R$27*0.667)*SQRT(R1163*R1155*R1157))</f>
        <v>0.23674850764255456</v>
      </c>
      <c r="S1162" s="133"/>
      <c r="T1162" s="155"/>
      <c r="U1162" s="143">
        <f>U1153/((N_6*U$27*0.667)*SQRT(U1163*U1155*U1157))</f>
        <v>4.3879646561430254</v>
      </c>
      <c r="V1162" s="133"/>
      <c r="W1162" s="155"/>
      <c r="X1162" s="143">
        <f>X1153/((N_6*X$27*0.667)*SQRT(X1163*X1155*X1157))</f>
        <v>11.199345159868226</v>
      </c>
      <c r="Y1162" s="133"/>
      <c r="Z1162" s="155"/>
      <c r="AA1162" s="143">
        <f>AA1153/((N_6*AA$27*0.667)*SQRT(AA1163*AA1155*AA1157))</f>
        <v>23.848333968192609</v>
      </c>
      <c r="AB1162" s="133"/>
      <c r="AC1162" s="155"/>
      <c r="AD1162" s="143">
        <f>AD1153/((N_6*AD$27*0.667)*SQRT(AD1163*AD1155*AD1157))</f>
        <v>49.325598732884181</v>
      </c>
      <c r="AE1162" s="133"/>
      <c r="AF1162" s="155"/>
      <c r="AG1162" s="143">
        <f>AG1153/((N_6*AG$27*0.667)*SQRT(AG1163*AG1155*AG1157))</f>
        <v>111.27165078773592</v>
      </c>
      <c r="AH1162" s="133"/>
      <c r="AI1162" s="155"/>
      <c r="AJ1162" s="143">
        <f>AJ1153/((N_6*AJ$27*0.667)*SQRT(AJ1163*AJ1155*AJ1157))</f>
        <v>446.51198108876616</v>
      </c>
      <c r="AK1162" s="133"/>
      <c r="AL1162" s="155"/>
      <c r="AM1162" s="143">
        <f>AM1153/((N_6*AM$27*0.667)*SQRT(AM1163*AM1155*AM1157))</f>
        <v>624.28886545714704</v>
      </c>
      <c r="AN1162" s="133"/>
      <c r="AO1162" s="155"/>
      <c r="AP1162" s="143">
        <f>AP1153/((N_6*AP$27*0.667)*SQRT(AP1163*AP1155*AP1157))</f>
        <v>251.31711027508314</v>
      </c>
      <c r="AQ1162" s="133"/>
      <c r="AR1162" s="155"/>
      <c r="AS1162" s="143">
        <f>AS1153/((N_6*AS$27*0.667)*SQRT(AS1163*AS1155*AS1157))</f>
        <v>250.82275597751138</v>
      </c>
      <c r="AT1162" s="133"/>
      <c r="AU1162" s="155"/>
    </row>
    <row r="1163" spans="13:47" ht="15.5" x14ac:dyDescent="0.4">
      <c r="M1163" s="27"/>
      <c r="N1163" s="27"/>
      <c r="O1163" s="2" t="s">
        <v>192</v>
      </c>
      <c r="P1163" s="85">
        <v>10</v>
      </c>
      <c r="Q1163" s="2"/>
      <c r="R1163" s="181">
        <f>F_GAMMA*R$29</f>
        <v>0.64002688015162901</v>
      </c>
      <c r="S1163" s="133"/>
      <c r="T1163" s="155"/>
      <c r="U1163" s="138">
        <f>F_GAMMA*U$29</f>
        <v>0.64016782916606918</v>
      </c>
      <c r="V1163" s="133"/>
      <c r="W1163" s="155"/>
      <c r="X1163" s="138">
        <f>F_GAMMA*X$29</f>
        <v>0.6307062319203669</v>
      </c>
      <c r="Y1163" s="133"/>
      <c r="Z1163" s="155"/>
      <c r="AA1163" s="138">
        <f>F_GAMMA*AA$29</f>
        <v>0.62217534213893466</v>
      </c>
      <c r="AB1163" s="133"/>
      <c r="AC1163" s="155"/>
      <c r="AD1163" s="138">
        <f>F_GAMMA*AD$29</f>
        <v>0.60557184969146072</v>
      </c>
      <c r="AE1163" s="133"/>
      <c r="AF1163" s="155"/>
      <c r="AG1163" s="138">
        <f>F_GAMMA*AG$29</f>
        <v>0.57289312142622573</v>
      </c>
      <c r="AH1163" s="133"/>
      <c r="AI1163" s="155"/>
      <c r="AJ1163" s="138">
        <f>F_GAMMA*AJ$29</f>
        <v>0.53590819116049981</v>
      </c>
      <c r="AK1163" s="133"/>
      <c r="AL1163" s="155"/>
      <c r="AM1163" s="138">
        <f>F_GAMMA*AM$29</f>
        <v>0.49048815926850342</v>
      </c>
      <c r="AN1163" s="133"/>
      <c r="AO1163" s="155"/>
      <c r="AP1163" s="138">
        <f>F_GAMMA*AP$29</f>
        <v>0.59352979016280105</v>
      </c>
      <c r="AQ1163" s="133"/>
      <c r="AR1163" s="155"/>
      <c r="AS1163" s="138">
        <f>F_GAMMA*AS$29</f>
        <v>0.39097221161068291</v>
      </c>
      <c r="AT1163" s="133"/>
      <c r="AU1163" s="155"/>
    </row>
    <row r="1164" spans="13:47" x14ac:dyDescent="0.25">
      <c r="M1164" s="27"/>
      <c r="N1164" s="27"/>
      <c r="O1164" s="2" t="s">
        <v>193</v>
      </c>
      <c r="P1164" s="134"/>
      <c r="Q1164" s="2"/>
      <c r="R1164" s="181">
        <f>IF(R1159&lt;R1163,R1161,R1162)</f>
        <v>0.24138151658983237</v>
      </c>
      <c r="S1164" s="133"/>
      <c r="T1164" s="155"/>
      <c r="U1164" s="138">
        <f>IF(U1159&lt;U1163,U1161,U1162)</f>
        <v>4.4767170306425079</v>
      </c>
      <c r="V1164" s="133"/>
      <c r="W1164" s="155"/>
      <c r="X1164" s="138">
        <f>IF(X1159&lt;X1163,X1161,X1162)</f>
        <v>11.438503157356486</v>
      </c>
      <c r="Y1164" s="133"/>
      <c r="Z1164" s="155"/>
      <c r="AA1164" s="138">
        <f>IF(AA1159&lt;AA1163,AA1161,AA1162)</f>
        <v>24.657902776094481</v>
      </c>
      <c r="AB1164" s="133"/>
      <c r="AC1164" s="155"/>
      <c r="AD1164" s="138">
        <f>IF(AD1159&lt;AD1163,AD1161,AD1162)</f>
        <v>54.733709964572306</v>
      </c>
      <c r="AE1164" s="133"/>
      <c r="AF1164" s="155"/>
      <c r="AG1164" s="138" t="e">
        <f>IF(AG1159&lt;AG1163,AG1161,AG1162)</f>
        <v>#NUM!</v>
      </c>
      <c r="AH1164" s="133"/>
      <c r="AI1164" s="155"/>
      <c r="AJ1164" s="138" t="e">
        <f>IF(AJ1159&lt;AJ1163,AJ1161,AJ1162)</f>
        <v>#NUM!</v>
      </c>
      <c r="AK1164" s="133"/>
      <c r="AL1164" s="155"/>
      <c r="AM1164" s="138">
        <f>IF(AM1159&lt;AM1163,AM1161,AM1162)</f>
        <v>624.28886545714704</v>
      </c>
      <c r="AN1164" s="133"/>
      <c r="AO1164" s="155"/>
      <c r="AP1164" s="138">
        <f>IF(AP1159&lt;AP1163,AP1161,AP1162)</f>
        <v>251.31711027508314</v>
      </c>
      <c r="AQ1164" s="133"/>
      <c r="AR1164" s="155"/>
      <c r="AS1164" s="138">
        <f>IF(AS1159&lt;AS1163,AS1161,AS1162)</f>
        <v>250.82275597751138</v>
      </c>
      <c r="AT1164" s="133"/>
      <c r="AU1164" s="155"/>
    </row>
    <row r="1165" spans="13:47" ht="13" x14ac:dyDescent="0.3">
      <c r="M1165" s="28"/>
      <c r="N1165" s="28"/>
      <c r="O1165" s="9" t="s">
        <v>194</v>
      </c>
      <c r="P1165" s="1"/>
      <c r="Q1165" s="1"/>
      <c r="R1165" s="135"/>
      <c r="S1165" s="132">
        <f>IF(R1158&lt;=0,W_max,ABS(R$23-R1164))</f>
        <v>1.7586184834101677</v>
      </c>
      <c r="T1165" s="151">
        <f>R1153</f>
        <v>55.823778337303743</v>
      </c>
      <c r="U1165" s="135"/>
      <c r="V1165" s="132">
        <f>IF(U1158&lt;=0,W_max,ABS(U$23-U1164))</f>
        <v>0.52328296935749208</v>
      </c>
      <c r="W1165" s="151">
        <f>U1153</f>
        <v>1029.787246034057</v>
      </c>
      <c r="X1165" s="135"/>
      <c r="Y1165" s="132">
        <f>IF(X1158&lt;=0,W_max,ABS(X$23-X1164))</f>
        <v>1.4385031573564859</v>
      </c>
      <c r="Z1165" s="151">
        <f>X1153</f>
        <v>2546.7864055610203</v>
      </c>
      <c r="AA1165" s="135"/>
      <c r="AB1165" s="132">
        <f>IF(AA1158&lt;=0,W_max,ABS(AA$23-AA1164))</f>
        <v>7.4579027760944818</v>
      </c>
      <c r="AC1165" s="151">
        <f>AA1153</f>
        <v>4960.4898624840798</v>
      </c>
      <c r="AD1165" s="135"/>
      <c r="AE1165" s="132">
        <f>IF(AD1158&lt;=0,W_max,ABS(AD$23-AD1164))</f>
        <v>28.133709964572304</v>
      </c>
      <c r="AF1165" s="151">
        <f>AD1153</f>
        <v>8158.1794797753009</v>
      </c>
      <c r="AG1165" s="135"/>
      <c r="AH1165" s="132">
        <f>IF(AG1158&lt;=0,W_max,ABS(AG$23-AG1164))</f>
        <v>7174</v>
      </c>
      <c r="AI1165" s="151">
        <f>AG1153</f>
        <v>11442.474787373692</v>
      </c>
      <c r="AJ1165" s="135"/>
      <c r="AK1165" s="132">
        <f>IF(AJ1158&lt;=0,W_max,ABS(AJ$23-AJ1164))</f>
        <v>7174</v>
      </c>
      <c r="AL1165" s="151">
        <f>AJ1153</f>
        <v>14528.906702481228</v>
      </c>
      <c r="AM1165" s="135"/>
      <c r="AN1165" s="132">
        <f>IF(AM1158&lt;=0,W_max,ABS(AM$23-AM1164))</f>
        <v>7174</v>
      </c>
      <c r="AO1165" s="151">
        <f>AM1153</f>
        <v>17036.285733418281</v>
      </c>
      <c r="AP1165" s="135"/>
      <c r="AQ1165" s="132">
        <f>IF(AP1158&lt;=0,W_max,ABS(AP$23-AP1164))</f>
        <v>7174</v>
      </c>
      <c r="AR1165" s="151">
        <f>AP1153</f>
        <v>19006.844737520689</v>
      </c>
      <c r="AS1165" s="135"/>
      <c r="AT1165" s="132">
        <f>IF(AS1158&lt;=0,W_max,ABS(AS$23-AS1164))</f>
        <v>7174</v>
      </c>
      <c r="AU1165" s="151">
        <f>AS1153</f>
        <v>21205.335043634084</v>
      </c>
    </row>
    <row r="1166" spans="13:47" ht="13" x14ac:dyDescent="0.25">
      <c r="M1166" s="12"/>
      <c r="N1166" s="12"/>
      <c r="O1166" s="2"/>
      <c r="P1166" s="85"/>
      <c r="Q1166" s="2"/>
      <c r="R1166" s="18"/>
      <c r="S1166" s="150"/>
      <c r="T1166" s="148"/>
      <c r="U1166" s="157"/>
      <c r="V1166" s="1"/>
      <c r="W1166" s="147"/>
      <c r="X1166" s="157"/>
      <c r="Y1166" s="1"/>
      <c r="Z1166" s="147"/>
      <c r="AA1166" s="157"/>
      <c r="AB1166" s="1"/>
      <c r="AC1166" s="147"/>
      <c r="AD1166" s="157"/>
      <c r="AE1166" s="1"/>
      <c r="AF1166" s="147"/>
      <c r="AG1166" s="157"/>
      <c r="AH1166" s="1"/>
      <c r="AI1166" s="147"/>
      <c r="AJ1166" s="157"/>
      <c r="AK1166" s="1"/>
      <c r="AL1166" s="147"/>
      <c r="AM1166" s="157"/>
      <c r="AN1166" s="1"/>
      <c r="AO1166" s="147"/>
      <c r="AP1166" s="157"/>
      <c r="AQ1166" s="1"/>
      <c r="AR1166" s="147"/>
      <c r="AS1166" s="157"/>
      <c r="AT1166" s="1"/>
      <c r="AU1166" s="147"/>
    </row>
    <row r="1167" spans="13:47" ht="14" x14ac:dyDescent="0.3">
      <c r="M1167" s="23"/>
      <c r="N1167" s="23"/>
      <c r="O1167" s="23" t="s">
        <v>238</v>
      </c>
      <c r="P1167" s="20"/>
      <c r="Q1167" s="20"/>
      <c r="R1167" s="181">
        <f>R1153*1.02</f>
        <v>56.940253904049818</v>
      </c>
      <c r="S1167" s="128" t="s">
        <v>185</v>
      </c>
      <c r="T1167" s="149" t="s">
        <v>186</v>
      </c>
      <c r="U1167" s="143">
        <f>U1153*1.01</f>
        <v>1040.0851184943976</v>
      </c>
      <c r="V1167" s="128" t="s">
        <v>185</v>
      </c>
      <c r="W1167" s="153" t="s">
        <v>186</v>
      </c>
      <c r="X1167" s="143">
        <f>X1153*1.01</f>
        <v>2572.2542696166306</v>
      </c>
      <c r="Y1167" s="128" t="s">
        <v>185</v>
      </c>
      <c r="Z1167" s="153" t="s">
        <v>186</v>
      </c>
      <c r="AA1167" s="143">
        <f>AA1153*1.01</f>
        <v>5010.0947611089205</v>
      </c>
      <c r="AB1167" s="128" t="s">
        <v>185</v>
      </c>
      <c r="AC1167" s="153" t="s">
        <v>186</v>
      </c>
      <c r="AD1167" s="143">
        <f>AD1153*1.01</f>
        <v>8239.7612745730548</v>
      </c>
      <c r="AE1167" s="128" t="s">
        <v>185</v>
      </c>
      <c r="AF1167" s="153" t="s">
        <v>186</v>
      </c>
      <c r="AG1167" s="143">
        <f>AG1153*1.01</f>
        <v>11556.899535247429</v>
      </c>
      <c r="AH1167" s="128" t="s">
        <v>185</v>
      </c>
      <c r="AI1167" s="153" t="s">
        <v>186</v>
      </c>
      <c r="AJ1167" s="143">
        <f>AJ1153*1.01</f>
        <v>14674.195769506041</v>
      </c>
      <c r="AK1167" s="128" t="s">
        <v>185</v>
      </c>
      <c r="AL1167" s="153" t="s">
        <v>186</v>
      </c>
      <c r="AM1167" s="143">
        <f>AM1153*1.01</f>
        <v>17206.648590752462</v>
      </c>
      <c r="AN1167" s="128" t="s">
        <v>185</v>
      </c>
      <c r="AO1167" s="153" t="s">
        <v>186</v>
      </c>
      <c r="AP1167" s="143">
        <f>AP1153*1.01</f>
        <v>19196.913184895897</v>
      </c>
      <c r="AQ1167" s="128" t="s">
        <v>185</v>
      </c>
      <c r="AR1167" s="153" t="s">
        <v>186</v>
      </c>
      <c r="AS1167" s="143">
        <f>AS1153*1.01</f>
        <v>21417.388394070425</v>
      </c>
      <c r="AT1167" s="128" t="s">
        <v>185</v>
      </c>
      <c r="AU1167" s="153" t="s">
        <v>186</v>
      </c>
    </row>
    <row r="1168" spans="13:47" ht="14" x14ac:dyDescent="0.3">
      <c r="M1168" s="12"/>
      <c r="N1168" s="12"/>
      <c r="O1168" s="20"/>
      <c r="P1168" s="20"/>
      <c r="Q1168" s="23"/>
      <c r="R1168" s="139"/>
      <c r="S1168" s="130" t="s">
        <v>228</v>
      </c>
      <c r="T1168" s="131" t="s">
        <v>187</v>
      </c>
      <c r="U1168" s="144"/>
      <c r="V1168" s="130" t="s">
        <v>228</v>
      </c>
      <c r="W1168" s="154" t="s">
        <v>187</v>
      </c>
      <c r="X1168" s="144"/>
      <c r="Y1168" s="130" t="s">
        <v>228</v>
      </c>
      <c r="Z1168" s="154" t="s">
        <v>187</v>
      </c>
      <c r="AA1168" s="144"/>
      <c r="AB1168" s="130" t="s">
        <v>228</v>
      </c>
      <c r="AC1168" s="154" t="s">
        <v>187</v>
      </c>
      <c r="AD1168" s="144"/>
      <c r="AE1168" s="130" t="s">
        <v>228</v>
      </c>
      <c r="AF1168" s="154" t="s">
        <v>187</v>
      </c>
      <c r="AG1168" s="144"/>
      <c r="AH1168" s="130" t="s">
        <v>228</v>
      </c>
      <c r="AI1168" s="154" t="s">
        <v>187</v>
      </c>
      <c r="AJ1168" s="144"/>
      <c r="AK1168" s="130" t="s">
        <v>228</v>
      </c>
      <c r="AL1168" s="154" t="s">
        <v>187</v>
      </c>
      <c r="AM1168" s="144"/>
      <c r="AN1168" s="130" t="s">
        <v>228</v>
      </c>
      <c r="AO1168" s="154" t="s">
        <v>187</v>
      </c>
      <c r="AP1168" s="144"/>
      <c r="AQ1168" s="130" t="s">
        <v>228</v>
      </c>
      <c r="AR1168" s="154" t="s">
        <v>187</v>
      </c>
      <c r="AS1168" s="144"/>
      <c r="AT1168" s="130" t="s">
        <v>228</v>
      </c>
      <c r="AU1168" s="154" t="s">
        <v>187</v>
      </c>
    </row>
    <row r="1169" spans="13:47" x14ac:dyDescent="0.25">
      <c r="M1169" s="20"/>
      <c r="N1169" s="20"/>
      <c r="O1169" s="7" t="s">
        <v>188</v>
      </c>
      <c r="P1169" s="7"/>
      <c r="Q1169" s="7"/>
      <c r="R1169" s="181">
        <f>P_1_minW-(R1167^2*R_up)+dpup_minQ</f>
        <v>100.52149387408522</v>
      </c>
      <c r="S1169" s="132"/>
      <c r="T1169" s="145"/>
      <c r="U1169" s="138">
        <f>P_1_minW-(U1167^2*R_up)+dpup_minQ</f>
        <v>100.09141533208019</v>
      </c>
      <c r="V1169" s="132"/>
      <c r="W1169" s="145"/>
      <c r="X1169" s="138">
        <f>P_1_minW-(X1167^2*R_up)+dpup_minQ</f>
        <v>97.884382224480945</v>
      </c>
      <c r="Y1169" s="132"/>
      <c r="Z1169" s="145"/>
      <c r="AA1169" s="138">
        <f>P_1_minW-(AA1167^2*R_up)+dpup_minQ</f>
        <v>90.513446133370536</v>
      </c>
      <c r="AB1169" s="132"/>
      <c r="AC1169" s="145"/>
      <c r="AD1169" s="138">
        <f>P_1_minW-(AD1167^2*R_up)+dpup_minQ</f>
        <v>73.449383849378492</v>
      </c>
      <c r="AE1169" s="132"/>
      <c r="AF1169" s="145"/>
      <c r="AG1169" s="138">
        <f>P_1_minW-(AG1167^2*R_up)+dpup_minQ</f>
        <v>47.263387489456591</v>
      </c>
      <c r="AH1169" s="132"/>
      <c r="AI1169" s="145"/>
      <c r="AJ1169" s="138">
        <f>P_1_minW-(AJ1167^2*R_up)+dpup_minQ</f>
        <v>14.656594388575982</v>
      </c>
      <c r="AK1169" s="132"/>
      <c r="AL1169" s="145"/>
      <c r="AM1169" s="138">
        <f>P_1_minW-(AM1167^2*R_up)+dpup_minQ</f>
        <v>-17.538134033321342</v>
      </c>
      <c r="AN1169" s="132"/>
      <c r="AO1169" s="145"/>
      <c r="AP1169" s="138">
        <f>P_1_minW-(AP1167^2*R_up)+dpup_minQ</f>
        <v>-46.429513762548979</v>
      </c>
      <c r="AQ1169" s="132"/>
      <c r="AR1169" s="145"/>
      <c r="AS1169" s="138">
        <f>P_1_minW-(AS1167^2*R_up)+dpup_minQ</f>
        <v>-82.391072321604994</v>
      </c>
      <c r="AT1169" s="132"/>
      <c r="AU1169" s="145"/>
    </row>
    <row r="1170" spans="13:47" x14ac:dyDescent="0.25">
      <c r="M1170" s="20"/>
      <c r="N1170" s="20"/>
      <c r="O1170" s="7" t="s">
        <v>189</v>
      </c>
      <c r="P1170" s="1"/>
      <c r="Q1170" s="7"/>
      <c r="R1170" s="181">
        <f>P_2_minW+(R1167^2*R_dn)-dpdn_minQ</f>
        <v>50</v>
      </c>
      <c r="S1170" s="132"/>
      <c r="T1170" s="146"/>
      <c r="U1170" s="138">
        <f>P_2_minW+(U1167^2*R_dn)-dpdn_minQ</f>
        <v>50</v>
      </c>
      <c r="V1170" s="132"/>
      <c r="W1170" s="146"/>
      <c r="X1170" s="138">
        <f>P_2_minW+(X1167^2*R_dn)-dpdn_minQ</f>
        <v>50</v>
      </c>
      <c r="Y1170" s="132"/>
      <c r="Z1170" s="146"/>
      <c r="AA1170" s="138">
        <f>P_2_minW+(AA1167^2*R_dn)-dpdn_minQ</f>
        <v>50</v>
      </c>
      <c r="AB1170" s="132"/>
      <c r="AC1170" s="146"/>
      <c r="AD1170" s="138">
        <f>P_2_minW+(AD1167^2*R_dn)-dpdn_minQ</f>
        <v>50</v>
      </c>
      <c r="AE1170" s="132"/>
      <c r="AF1170" s="146"/>
      <c r="AG1170" s="138">
        <f>P_2_minW+(AG1167^2*R_dn)-dpdn_minQ</f>
        <v>50</v>
      </c>
      <c r="AH1170" s="132"/>
      <c r="AI1170" s="146"/>
      <c r="AJ1170" s="138">
        <f>P_2_minW+(AJ1167^2*R_dn)-dpdn_minQ</f>
        <v>50</v>
      </c>
      <c r="AK1170" s="132"/>
      <c r="AL1170" s="146"/>
      <c r="AM1170" s="138">
        <f>P_2_minW+(AM1167^2*R_dn)-dpdn_minQ</f>
        <v>50</v>
      </c>
      <c r="AN1170" s="132"/>
      <c r="AO1170" s="146"/>
      <c r="AP1170" s="138">
        <f>P_2_minW+(AP1167^2*R_dn)-dpdn_minQ</f>
        <v>50</v>
      </c>
      <c r="AQ1170" s="132"/>
      <c r="AR1170" s="146"/>
      <c r="AS1170" s="138">
        <f>P_2_minW+(AS1167^2*R_dn)-dpdn_minQ</f>
        <v>50</v>
      </c>
      <c r="AT1170" s="132"/>
      <c r="AU1170" s="146"/>
    </row>
    <row r="1171" spans="13:47" x14ac:dyDescent="0.25">
      <c r="M1171" s="20"/>
      <c r="N1171" s="20"/>
      <c r="O1171" s="7" t="s">
        <v>234</v>
      </c>
      <c r="P1171" s="1"/>
      <c r="Q1171" s="7"/>
      <c r="R1171" s="179">
        <f>'Valve Sizing'!G$8*R1169/P_1_maxW</f>
        <v>0.48489778969968833</v>
      </c>
      <c r="S1171" s="132"/>
      <c r="T1171" s="146"/>
      <c r="U1171" s="143">
        <f>'Valve Sizing'!$G$8*U1169/P_1_maxW</f>
        <v>0.48282316738382097</v>
      </c>
      <c r="V1171" s="132"/>
      <c r="W1171" s="146"/>
      <c r="X1171" s="143">
        <f>'Valve Sizing'!$G$8*X1169/P_1_maxW</f>
        <v>0.47217683261078786</v>
      </c>
      <c r="Y1171" s="132"/>
      <c r="Z1171" s="146"/>
      <c r="AA1171" s="143">
        <f>'Valve Sizing'!$G$8*AA1169/P_1_maxW</f>
        <v>0.43662074922155636</v>
      </c>
      <c r="AB1171" s="132"/>
      <c r="AC1171" s="146"/>
      <c r="AD1171" s="143">
        <f>'Valve Sizing'!$G$8*AD1169/P_1_maxW</f>
        <v>0.35430675083261376</v>
      </c>
      <c r="AE1171" s="132"/>
      <c r="AF1171" s="146"/>
      <c r="AG1171" s="143">
        <f>'Valve Sizing'!$G$8*AG1169/P_1_maxW</f>
        <v>0.22799016652164697</v>
      </c>
      <c r="AH1171" s="132"/>
      <c r="AI1171" s="146"/>
      <c r="AJ1171" s="143">
        <f>'Valve Sizing'!$G$8*AJ1169/P_1_maxW</f>
        <v>7.0700801884695672E-2</v>
      </c>
      <c r="AK1171" s="132"/>
      <c r="AL1171" s="146"/>
      <c r="AM1171" s="143">
        <f>'Valve Sizing'!$G$8*AM1169/P_1_maxW</f>
        <v>-8.4600836104434501E-2</v>
      </c>
      <c r="AN1171" s="132"/>
      <c r="AO1171" s="146"/>
      <c r="AP1171" s="143">
        <f>'Valve Sizing'!$G$8*AP1169/P_1_maxW</f>
        <v>-0.2239677081251111</v>
      </c>
      <c r="AQ1171" s="132"/>
      <c r="AR1171" s="146"/>
      <c r="AS1171" s="143">
        <f>'Valve Sizing'!$G$8*AS1169/P_1_maxW</f>
        <v>-0.39743986405312465</v>
      </c>
      <c r="AT1171" s="132"/>
      <c r="AU1171" s="146"/>
    </row>
    <row r="1172" spans="13:47" x14ac:dyDescent="0.25">
      <c r="M1172" s="20"/>
      <c r="N1172" s="20"/>
      <c r="O1172" s="7" t="s">
        <v>190</v>
      </c>
      <c r="P1172" s="1"/>
      <c r="Q1172" s="7"/>
      <c r="R1172" s="181">
        <f>R1169-R1170</f>
        <v>50.521493874085223</v>
      </c>
      <c r="S1172" s="132"/>
      <c r="T1172" s="146"/>
      <c r="U1172" s="138">
        <f>U1169-U1170</f>
        <v>50.091415332080189</v>
      </c>
      <c r="V1172" s="132"/>
      <c r="W1172" s="146"/>
      <c r="X1172" s="138">
        <f>X1169-X1170</f>
        <v>47.884382224480945</v>
      </c>
      <c r="Y1172" s="132"/>
      <c r="Z1172" s="146"/>
      <c r="AA1172" s="138">
        <f>AA1169-AA1170</f>
        <v>40.513446133370536</v>
      </c>
      <c r="AB1172" s="132"/>
      <c r="AC1172" s="146"/>
      <c r="AD1172" s="138">
        <f>AD1169-AD1170</f>
        <v>23.449383849378492</v>
      </c>
      <c r="AE1172" s="132"/>
      <c r="AF1172" s="146"/>
      <c r="AG1172" s="138">
        <f>AG1169-AG1170</f>
        <v>-2.7366125105434094</v>
      </c>
      <c r="AH1172" s="132"/>
      <c r="AI1172" s="146"/>
      <c r="AJ1172" s="138">
        <f>AJ1169-AJ1170</f>
        <v>-35.343405611424018</v>
      </c>
      <c r="AK1172" s="132"/>
      <c r="AL1172" s="146"/>
      <c r="AM1172" s="138">
        <f>AM1169-AM1170</f>
        <v>-67.538134033321342</v>
      </c>
      <c r="AN1172" s="132"/>
      <c r="AO1172" s="146"/>
      <c r="AP1172" s="138">
        <f>AP1169-AP1170</f>
        <v>-96.429513762548979</v>
      </c>
      <c r="AQ1172" s="132"/>
      <c r="AR1172" s="146"/>
      <c r="AS1172" s="138">
        <f>AS1169-AS1170</f>
        <v>-132.39107232160501</v>
      </c>
      <c r="AT1172" s="132"/>
      <c r="AU1172" s="146"/>
    </row>
    <row r="1173" spans="13:47" ht="14.5" x14ac:dyDescent="0.35">
      <c r="M1173" s="27"/>
      <c r="N1173" s="27"/>
      <c r="O1173" s="2" t="s">
        <v>191</v>
      </c>
      <c r="P1173" s="10"/>
      <c r="Q1173" s="2"/>
      <c r="R1173" s="181">
        <f>R1172/R1169</f>
        <v>0.50259394212116693</v>
      </c>
      <c r="S1173" s="132"/>
      <c r="T1173" s="146"/>
      <c r="U1173" s="138">
        <f>U1172/U1169</f>
        <v>0.50045665920387328</v>
      </c>
      <c r="V1173" s="132"/>
      <c r="W1173" s="146"/>
      <c r="X1173" s="138">
        <f>X1172/X1169</f>
        <v>0.48919328228139985</v>
      </c>
      <c r="Y1173" s="132"/>
      <c r="Z1173" s="146"/>
      <c r="AA1173" s="138">
        <f>AA1172/AA1169</f>
        <v>0.4475958861810922</v>
      </c>
      <c r="AB1173" s="132"/>
      <c r="AC1173" s="146"/>
      <c r="AD1173" s="138">
        <f>AD1172/AD1169</f>
        <v>0.31925909545362258</v>
      </c>
      <c r="AE1173" s="132"/>
      <c r="AF1173" s="146"/>
      <c r="AG1173" s="138">
        <f>AG1172/AG1169</f>
        <v>-5.7901319729862503E-2</v>
      </c>
      <c r="AH1173" s="132"/>
      <c r="AI1173" s="146"/>
      <c r="AJ1173" s="138">
        <f>AJ1172/AJ1169</f>
        <v>-2.4114336983339242</v>
      </c>
      <c r="AK1173" s="132"/>
      <c r="AL1173" s="146"/>
      <c r="AM1173" s="138">
        <f>AM1172/AM1169</f>
        <v>3.8509304299421578</v>
      </c>
      <c r="AN1173" s="132"/>
      <c r="AO1173" s="146"/>
      <c r="AP1173" s="138">
        <f>AP1172/AP1169</f>
        <v>2.0769012196791743</v>
      </c>
      <c r="AQ1173" s="132"/>
      <c r="AR1173" s="146"/>
      <c r="AS1173" s="138">
        <f>AS1172/AS1169</f>
        <v>1.6068618673250203</v>
      </c>
      <c r="AT1173" s="132"/>
      <c r="AU1173" s="146"/>
    </row>
    <row r="1174" spans="13:47" x14ac:dyDescent="0.25">
      <c r="M1174" s="27"/>
      <c r="N1174" s="27"/>
      <c r="O1174" s="2" t="s">
        <v>26</v>
      </c>
      <c r="P1174" s="7">
        <v>12</v>
      </c>
      <c r="Q1174" s="2"/>
      <c r="R1174" s="181">
        <f>1-R1173/(3*F_GAMMA*R$29)</f>
        <v>0.73824331565465018</v>
      </c>
      <c r="S1174" s="133"/>
      <c r="T1174" s="146"/>
      <c r="U1174" s="138">
        <f>1-U1173/(3*F_GAMMA*U$29)</f>
        <v>0.73941382431134983</v>
      </c>
      <c r="V1174" s="133"/>
      <c r="W1174" s="146"/>
      <c r="X1174" s="138">
        <f>1-X1173/(3*F_GAMMA*X$29)</f>
        <v>0.74145740255231563</v>
      </c>
      <c r="Y1174" s="133"/>
      <c r="Z1174" s="146"/>
      <c r="AA1174" s="138">
        <f>1-AA1173/(3*F_GAMMA*AA$29)</f>
        <v>0.76019842217772426</v>
      </c>
      <c r="AB1174" s="133"/>
      <c r="AC1174" s="146"/>
      <c r="AD1174" s="138">
        <f>1-AD1173/(3*F_GAMMA*AD$29)</f>
        <v>0.82426577698622916</v>
      </c>
      <c r="AE1174" s="133"/>
      <c r="AF1174" s="146"/>
      <c r="AG1174" s="138">
        <f>1-AG1173/(3*F_GAMMA*AG$29)</f>
        <v>1.0336894251093562</v>
      </c>
      <c r="AH1174" s="133"/>
      <c r="AI1174" s="146"/>
      <c r="AJ1174" s="138">
        <f>1-AJ1173/(3*F_GAMMA*AJ$29)</f>
        <v>2.4999047337517561</v>
      </c>
      <c r="AK1174" s="133"/>
      <c r="AL1174" s="146"/>
      <c r="AM1174" s="138">
        <f>1-AM1173/(3*F_GAMMA*AM$29)</f>
        <v>-1.6170733225482263</v>
      </c>
      <c r="AN1174" s="133"/>
      <c r="AO1174" s="146"/>
      <c r="AP1174" s="138">
        <f>1-AP1173/(3*F_GAMMA*AP$29)</f>
        <v>-0.16641223074890932</v>
      </c>
      <c r="AQ1174" s="133"/>
      <c r="AR1174" s="146"/>
      <c r="AS1174" s="138">
        <f>1-AS1173/(3*F_GAMMA*AS$29)</f>
        <v>-0.3699710785968251</v>
      </c>
      <c r="AT1174" s="133"/>
      <c r="AU1174" s="146"/>
    </row>
    <row r="1175" spans="13:47" x14ac:dyDescent="0.25">
      <c r="M1175" s="27"/>
      <c r="N1175" s="27"/>
      <c r="O1175" s="2" t="s">
        <v>71</v>
      </c>
      <c r="P1175" s="85">
        <v>5</v>
      </c>
      <c r="Q1175" s="2"/>
      <c r="R1175" s="179">
        <f>R1167/((N_6*R$27*R1174)*SQRT(R1173*R1169*R1171))</f>
        <v>0.246209287584266</v>
      </c>
      <c r="S1175" s="133"/>
      <c r="T1175" s="146"/>
      <c r="U1175" s="143">
        <f>U1167/((N_6*U$27*U1174)*SQRT(U1173*U1169*U1171))</f>
        <v>4.5219247144639221</v>
      </c>
      <c r="V1175" s="133"/>
      <c r="W1175" s="146"/>
      <c r="X1175" s="143">
        <f>X1167/((N_6*X$27*X1174)*SQRT(X1173*X1169*X1171))</f>
        <v>11.559992330573474</v>
      </c>
      <c r="Y1175" s="133"/>
      <c r="Z1175" s="146"/>
      <c r="AA1175" s="143">
        <f>AA1167/((N_6*AA$27*AA1174)*SQRT(AA1173*AA1169*AA1171))</f>
        <v>24.971056437046784</v>
      </c>
      <c r="AB1175" s="133"/>
      <c r="AC1175" s="146"/>
      <c r="AD1175" s="143">
        <f>AD1167/((N_6*AD$27*AD1174)*SQRT(AD1173*AD1169*AD1171))</f>
        <v>55.92504314031244</v>
      </c>
      <c r="AE1175" s="133"/>
      <c r="AF1175" s="146"/>
      <c r="AG1175" s="143" t="e">
        <f>AG1167/((N_6*AG$27*AG1174)*SQRT(AG1173*AG1169*AG1171))</f>
        <v>#NUM!</v>
      </c>
      <c r="AH1175" s="133"/>
      <c r="AI1175" s="146"/>
      <c r="AJ1175" s="143" t="e">
        <f>AJ1167/((N_6*AJ$27*AJ1174)*SQRT(AJ1173*AJ1169*AJ1171))</f>
        <v>#NUM!</v>
      </c>
      <c r="AK1175" s="133"/>
      <c r="AL1175" s="146"/>
      <c r="AM1175" s="143">
        <f>AM1167/((N_6*AM$27*AM1174)*SQRT(AM1173*AM1169*AM1171))</f>
        <v>-80.507003143289566</v>
      </c>
      <c r="AN1175" s="133"/>
      <c r="AO1175" s="146"/>
      <c r="AP1175" s="143">
        <f>AP1167/((N_6*AP$27*AP1174)*SQRT(AP1173*AP1169*AP1171))</f>
        <v>-509.95461916726305</v>
      </c>
      <c r="AQ1175" s="133"/>
      <c r="AR1175" s="146"/>
      <c r="AS1175" s="143">
        <f>AS1167/((N_6*AS$27*AS1174)*SQRT(AS1173*AS1169*AS1171))</f>
        <v>-215.42899504452581</v>
      </c>
      <c r="AT1175" s="133"/>
      <c r="AU1175" s="146"/>
    </row>
    <row r="1176" spans="13:47" x14ac:dyDescent="0.25">
      <c r="M1176" s="27"/>
      <c r="N1176" s="27"/>
      <c r="O1176" s="2" t="s">
        <v>73</v>
      </c>
      <c r="P1176" s="85">
        <v>5</v>
      </c>
      <c r="Q1176" s="2"/>
      <c r="R1176" s="179">
        <f>R1167/((N_6*R$27*0.667)*SQRT(R1177*R1169*R1171))</f>
        <v>0.24148359839945666</v>
      </c>
      <c r="S1176" s="133"/>
      <c r="T1176" s="147"/>
      <c r="U1176" s="143">
        <f>U1167/((N_6*U$27*0.667)*SQRT(U1177*U1169*U1171))</f>
        <v>4.4322206530565209</v>
      </c>
      <c r="V1176" s="133"/>
      <c r="W1176" s="155"/>
      <c r="X1176" s="143">
        <f>X1167/((N_6*X$27*0.667)*SQRT(X1177*X1169*X1171))</f>
        <v>11.3173461323633</v>
      </c>
      <c r="Y1176" s="133"/>
      <c r="Z1176" s="155"/>
      <c r="AA1176" s="143">
        <f>AA1167/((N_6*AA$27*0.667)*SQRT(AA1177*AA1169*AA1171))</f>
        <v>24.139301086650615</v>
      </c>
      <c r="AB1176" s="133"/>
      <c r="AC1176" s="155"/>
      <c r="AD1176" s="143">
        <f>AD1167/((N_6*AD$27*0.667)*SQRT(AD1177*AD1169*AD1171))</f>
        <v>50.180682359322866</v>
      </c>
      <c r="AE1176" s="133"/>
      <c r="AF1176" s="155"/>
      <c r="AG1176" s="143">
        <f>AG1167/((N_6*AG$27*0.667)*SQRT(AG1177*AG1169*AG1171))</f>
        <v>114.87971249211334</v>
      </c>
      <c r="AH1176" s="133"/>
      <c r="AI1176" s="155"/>
      <c r="AJ1176" s="143">
        <f>AJ1167/((N_6*AJ$27*0.667)*SQRT(AJ1177*AJ1169*AJ1171))</f>
        <v>503.03623449924788</v>
      </c>
      <c r="AK1176" s="133"/>
      <c r="AL1176" s="155"/>
      <c r="AM1176" s="143">
        <f>AM1167/((N_6*AM$27*0.667)*SQRT(AM1177*AM1169*AM1171))</f>
        <v>546.89771839237198</v>
      </c>
      <c r="AN1176" s="133"/>
      <c r="AO1176" s="155"/>
      <c r="AP1176" s="143">
        <f>AP1167/((N_6*AP$27*0.667)*SQRT(AP1177*AP1169*AP1171))</f>
        <v>238.00035136455045</v>
      </c>
      <c r="AQ1176" s="133"/>
      <c r="AR1176" s="155"/>
      <c r="AS1176" s="143">
        <f>AS1167/((N_6*AS$27*0.667)*SQRT(AS1177*AS1169*AS1171))</f>
        <v>242.24924048103045</v>
      </c>
      <c r="AT1176" s="133"/>
      <c r="AU1176" s="155"/>
    </row>
    <row r="1177" spans="13:47" ht="15.5" x14ac:dyDescent="0.4">
      <c r="M1177" s="27"/>
      <c r="N1177" s="27"/>
      <c r="O1177" s="2" t="s">
        <v>192</v>
      </c>
      <c r="P1177" s="85">
        <v>10</v>
      </c>
      <c r="Q1177" s="2"/>
      <c r="R1177" s="181">
        <f>F_GAMMA*R$29</f>
        <v>0.64002688015162901</v>
      </c>
      <c r="S1177" s="133"/>
      <c r="T1177" s="147"/>
      <c r="U1177" s="138">
        <f>F_GAMMA*U$29</f>
        <v>0.64016782916606918</v>
      </c>
      <c r="V1177" s="133"/>
      <c r="W1177" s="155"/>
      <c r="X1177" s="138">
        <f>F_GAMMA*X$29</f>
        <v>0.6307062319203669</v>
      </c>
      <c r="Y1177" s="133"/>
      <c r="Z1177" s="155"/>
      <c r="AA1177" s="138">
        <f>F_GAMMA*AA$29</f>
        <v>0.62217534213893466</v>
      </c>
      <c r="AB1177" s="133"/>
      <c r="AC1177" s="155"/>
      <c r="AD1177" s="138">
        <f>F_GAMMA*AD$29</f>
        <v>0.60557184969146072</v>
      </c>
      <c r="AE1177" s="133"/>
      <c r="AF1177" s="155"/>
      <c r="AG1177" s="138">
        <f>F_GAMMA*AG$29</f>
        <v>0.57289312142622573</v>
      </c>
      <c r="AH1177" s="133"/>
      <c r="AI1177" s="155"/>
      <c r="AJ1177" s="138">
        <f>F_GAMMA*AJ$29</f>
        <v>0.53590819116049981</v>
      </c>
      <c r="AK1177" s="133"/>
      <c r="AL1177" s="155"/>
      <c r="AM1177" s="138">
        <f>F_GAMMA*AM$29</f>
        <v>0.49048815926850342</v>
      </c>
      <c r="AN1177" s="133"/>
      <c r="AO1177" s="155"/>
      <c r="AP1177" s="138">
        <f>F_GAMMA*AP$29</f>
        <v>0.59352979016280105</v>
      </c>
      <c r="AQ1177" s="133"/>
      <c r="AR1177" s="155"/>
      <c r="AS1177" s="138">
        <f>F_GAMMA*AS$29</f>
        <v>0.39097221161068291</v>
      </c>
      <c r="AT1177" s="133"/>
      <c r="AU1177" s="155"/>
    </row>
    <row r="1178" spans="13:47" x14ac:dyDescent="0.25">
      <c r="M1178" s="27"/>
      <c r="N1178" s="27"/>
      <c r="O1178" s="2" t="s">
        <v>193</v>
      </c>
      <c r="P1178" s="134"/>
      <c r="Q1178" s="2"/>
      <c r="R1178" s="181">
        <f>IF(R1173&lt;R1177,R1175,R1176)</f>
        <v>0.246209287584266</v>
      </c>
      <c r="S1178" s="133"/>
      <c r="T1178" s="147"/>
      <c r="U1178" s="138">
        <f>IF(U1173&lt;U1177,U1175,U1176)</f>
        <v>4.5219247144639221</v>
      </c>
      <c r="V1178" s="133"/>
      <c r="W1178" s="155"/>
      <c r="X1178" s="138">
        <f>IF(X1173&lt;X1177,X1175,X1176)</f>
        <v>11.559992330573474</v>
      </c>
      <c r="Y1178" s="133"/>
      <c r="Z1178" s="155"/>
      <c r="AA1178" s="138">
        <f>IF(AA1173&lt;AA1177,AA1175,AA1176)</f>
        <v>24.971056437046784</v>
      </c>
      <c r="AB1178" s="133"/>
      <c r="AC1178" s="155"/>
      <c r="AD1178" s="138">
        <f>IF(AD1173&lt;AD1177,AD1175,AD1176)</f>
        <v>55.92504314031244</v>
      </c>
      <c r="AE1178" s="133"/>
      <c r="AF1178" s="155"/>
      <c r="AG1178" s="138" t="e">
        <f>IF(AG1173&lt;AG1177,AG1175,AG1176)</f>
        <v>#NUM!</v>
      </c>
      <c r="AH1178" s="133"/>
      <c r="AI1178" s="155"/>
      <c r="AJ1178" s="138" t="e">
        <f>IF(AJ1173&lt;AJ1177,AJ1175,AJ1176)</f>
        <v>#NUM!</v>
      </c>
      <c r="AK1178" s="133"/>
      <c r="AL1178" s="155"/>
      <c r="AM1178" s="138">
        <f>IF(AM1173&lt;AM1177,AM1175,AM1176)</f>
        <v>546.89771839237198</v>
      </c>
      <c r="AN1178" s="133"/>
      <c r="AO1178" s="155"/>
      <c r="AP1178" s="138">
        <f>IF(AP1173&lt;AP1177,AP1175,AP1176)</f>
        <v>238.00035136455045</v>
      </c>
      <c r="AQ1178" s="133"/>
      <c r="AR1178" s="155"/>
      <c r="AS1178" s="138">
        <f>IF(AS1173&lt;AS1177,AS1175,AS1176)</f>
        <v>242.24924048103045</v>
      </c>
      <c r="AT1178" s="133"/>
      <c r="AU1178" s="155"/>
    </row>
    <row r="1179" spans="13:47" ht="13" x14ac:dyDescent="0.3">
      <c r="M1179" s="28"/>
      <c r="N1179" s="28"/>
      <c r="O1179" s="9" t="s">
        <v>194</v>
      </c>
      <c r="P1179" s="1"/>
      <c r="Q1179" s="1"/>
      <c r="R1179" s="135"/>
      <c r="S1179" s="132">
        <f>IF(R1172&lt;=0,W_max,ABS(R$23-R1178))</f>
        <v>1.7537907124157339</v>
      </c>
      <c r="T1179" s="151">
        <f>R1167</f>
        <v>56.940253904049818</v>
      </c>
      <c r="U1179" s="135"/>
      <c r="V1179" s="132">
        <f>IF(U1172&lt;=0,W_max,ABS(U$23-U1178))</f>
        <v>0.47807528553607792</v>
      </c>
      <c r="W1179" s="151">
        <f>U1167</f>
        <v>1040.0851184943976</v>
      </c>
      <c r="X1179" s="135"/>
      <c r="Y1179" s="132">
        <f>IF(X1172&lt;=0,W_max,ABS(X$23-X1178))</f>
        <v>1.5599923305734738</v>
      </c>
      <c r="Z1179" s="151">
        <f>X1167</f>
        <v>2572.2542696166306</v>
      </c>
      <c r="AA1179" s="135"/>
      <c r="AB1179" s="132">
        <f>IF(AA1172&lt;=0,W_max,ABS(AA$23-AA1178))</f>
        <v>7.7710564370467843</v>
      </c>
      <c r="AC1179" s="151">
        <f>AA1167</f>
        <v>5010.0947611089205</v>
      </c>
      <c r="AD1179" s="135"/>
      <c r="AE1179" s="132">
        <f>IF(AD1172&lt;=0,W_max,ABS(AD$23-AD1178))</f>
        <v>29.325043140312438</v>
      </c>
      <c r="AF1179" s="151">
        <f>AD1167</f>
        <v>8239.7612745730548</v>
      </c>
      <c r="AG1179" s="135"/>
      <c r="AH1179" s="132">
        <f>IF(AG1172&lt;=0,W_max,ABS(AG$23-AG1178))</f>
        <v>7174</v>
      </c>
      <c r="AI1179" s="151">
        <f>AG1167</f>
        <v>11556.899535247429</v>
      </c>
      <c r="AJ1179" s="135"/>
      <c r="AK1179" s="132">
        <f>IF(AJ1172&lt;=0,W_max,ABS(AJ$23-AJ1178))</f>
        <v>7174</v>
      </c>
      <c r="AL1179" s="151">
        <f>AJ1167</f>
        <v>14674.195769506041</v>
      </c>
      <c r="AM1179" s="135"/>
      <c r="AN1179" s="132">
        <f>IF(AM1172&lt;=0,W_max,ABS(AM$23-AM1178))</f>
        <v>7174</v>
      </c>
      <c r="AO1179" s="151">
        <f>AM1167</f>
        <v>17206.648590752462</v>
      </c>
      <c r="AP1179" s="135"/>
      <c r="AQ1179" s="132">
        <f>IF(AP1172&lt;=0,W_max,ABS(AP$23-AP1178))</f>
        <v>7174</v>
      </c>
      <c r="AR1179" s="151">
        <f>AP1167</f>
        <v>19196.913184895897</v>
      </c>
      <c r="AS1179" s="135"/>
      <c r="AT1179" s="132">
        <f>IF(AS1172&lt;=0,W_max,ABS(AS$23-AS1178))</f>
        <v>7174</v>
      </c>
      <c r="AU1179" s="151">
        <f>AS1167</f>
        <v>21417.388394070425</v>
      </c>
    </row>
    <row r="1180" spans="13:47" ht="13" x14ac:dyDescent="0.25">
      <c r="M1180" s="12"/>
      <c r="N1180" s="12"/>
      <c r="O1180" s="12"/>
      <c r="P1180" s="12"/>
      <c r="Q1180" s="12"/>
      <c r="R1180" s="182"/>
      <c r="S1180" s="22"/>
      <c r="T1180" s="152"/>
      <c r="U1180" s="157"/>
      <c r="V1180" s="1"/>
      <c r="W1180" s="147"/>
      <c r="X1180" s="157"/>
      <c r="Y1180" s="1"/>
      <c r="Z1180" s="147"/>
      <c r="AA1180" s="157"/>
      <c r="AB1180" s="1"/>
      <c r="AC1180" s="147"/>
      <c r="AD1180" s="157"/>
      <c r="AE1180" s="1"/>
      <c r="AF1180" s="147"/>
      <c r="AG1180" s="157"/>
      <c r="AH1180" s="1"/>
      <c r="AI1180" s="147"/>
      <c r="AJ1180" s="157"/>
      <c r="AK1180" s="1"/>
      <c r="AL1180" s="147"/>
      <c r="AM1180" s="157"/>
      <c r="AN1180" s="1"/>
      <c r="AO1180" s="147"/>
      <c r="AP1180" s="157"/>
      <c r="AQ1180" s="1"/>
      <c r="AR1180" s="147"/>
      <c r="AS1180" s="157"/>
      <c r="AT1180" s="1"/>
      <c r="AU1180" s="147"/>
    </row>
    <row r="1181" spans="13:47" ht="14" x14ac:dyDescent="0.3">
      <c r="M1181" s="23"/>
      <c r="N1181" s="23"/>
      <c r="O1181" s="23" t="s">
        <v>238</v>
      </c>
      <c r="P1181" s="20"/>
      <c r="Q1181" s="20"/>
      <c r="R1181" s="18">
        <f>R1167*1.02</f>
        <v>58.079058982130817</v>
      </c>
      <c r="S1181" s="128" t="s">
        <v>185</v>
      </c>
      <c r="T1181" s="153" t="s">
        <v>186</v>
      </c>
      <c r="U1181" s="143">
        <f>U1167*1.01</f>
        <v>1050.4859696793417</v>
      </c>
      <c r="V1181" s="128" t="s">
        <v>185</v>
      </c>
      <c r="W1181" s="153" t="s">
        <v>186</v>
      </c>
      <c r="X1181" s="143">
        <f>X1167*1.01</f>
        <v>2597.9768123127969</v>
      </c>
      <c r="Y1181" s="128" t="s">
        <v>185</v>
      </c>
      <c r="Z1181" s="153" t="s">
        <v>186</v>
      </c>
      <c r="AA1181" s="143">
        <f>AA1167*1.01</f>
        <v>5060.1957087200099</v>
      </c>
      <c r="AB1181" s="128" t="s">
        <v>185</v>
      </c>
      <c r="AC1181" s="153" t="s">
        <v>186</v>
      </c>
      <c r="AD1181" s="143">
        <f>AD1167*1.01</f>
        <v>8322.1588873187848</v>
      </c>
      <c r="AE1181" s="128" t="s">
        <v>185</v>
      </c>
      <c r="AF1181" s="153" t="s">
        <v>186</v>
      </c>
      <c r="AG1181" s="143">
        <f>AG1167*1.01</f>
        <v>11672.468530599903</v>
      </c>
      <c r="AH1181" s="128" t="s">
        <v>185</v>
      </c>
      <c r="AI1181" s="153" t="s">
        <v>186</v>
      </c>
      <c r="AJ1181" s="143">
        <f>AJ1167*1.01</f>
        <v>14820.937727201101</v>
      </c>
      <c r="AK1181" s="128" t="s">
        <v>185</v>
      </c>
      <c r="AL1181" s="153" t="s">
        <v>186</v>
      </c>
      <c r="AM1181" s="143">
        <f>AM1167*1.01</f>
        <v>17378.715076659988</v>
      </c>
      <c r="AN1181" s="128" t="s">
        <v>185</v>
      </c>
      <c r="AO1181" s="153" t="s">
        <v>186</v>
      </c>
      <c r="AP1181" s="143">
        <f>AP1167*1.01</f>
        <v>19388.882316744857</v>
      </c>
      <c r="AQ1181" s="128" t="s">
        <v>185</v>
      </c>
      <c r="AR1181" s="153" t="s">
        <v>186</v>
      </c>
      <c r="AS1181" s="143">
        <f>AS1167*1.01</f>
        <v>21631.56227801113</v>
      </c>
      <c r="AT1181" s="128" t="s">
        <v>185</v>
      </c>
      <c r="AU1181" s="153" t="s">
        <v>186</v>
      </c>
    </row>
    <row r="1182" spans="13:47" ht="14" x14ac:dyDescent="0.3">
      <c r="M1182" s="12"/>
      <c r="N1182" s="12"/>
      <c r="O1182" s="20"/>
      <c r="P1182" s="20"/>
      <c r="Q1182" s="23"/>
      <c r="R1182" s="139"/>
      <c r="S1182" s="130" t="s">
        <v>228</v>
      </c>
      <c r="T1182" s="154" t="s">
        <v>187</v>
      </c>
      <c r="U1182" s="144"/>
      <c r="V1182" s="130" t="s">
        <v>228</v>
      </c>
      <c r="W1182" s="154" t="s">
        <v>187</v>
      </c>
      <c r="X1182" s="144"/>
      <c r="Y1182" s="130" t="s">
        <v>228</v>
      </c>
      <c r="Z1182" s="154" t="s">
        <v>187</v>
      </c>
      <c r="AA1182" s="144"/>
      <c r="AB1182" s="130" t="s">
        <v>228</v>
      </c>
      <c r="AC1182" s="154" t="s">
        <v>187</v>
      </c>
      <c r="AD1182" s="144"/>
      <c r="AE1182" s="130" t="s">
        <v>228</v>
      </c>
      <c r="AF1182" s="154" t="s">
        <v>187</v>
      </c>
      <c r="AG1182" s="144"/>
      <c r="AH1182" s="130" t="s">
        <v>228</v>
      </c>
      <c r="AI1182" s="154" t="s">
        <v>187</v>
      </c>
      <c r="AJ1182" s="144"/>
      <c r="AK1182" s="130" t="s">
        <v>228</v>
      </c>
      <c r="AL1182" s="154" t="s">
        <v>187</v>
      </c>
      <c r="AM1182" s="144"/>
      <c r="AN1182" s="130" t="s">
        <v>228</v>
      </c>
      <c r="AO1182" s="154" t="s">
        <v>187</v>
      </c>
      <c r="AP1182" s="144"/>
      <c r="AQ1182" s="130" t="s">
        <v>228</v>
      </c>
      <c r="AR1182" s="154" t="s">
        <v>187</v>
      </c>
      <c r="AS1182" s="144"/>
      <c r="AT1182" s="130" t="s">
        <v>228</v>
      </c>
      <c r="AU1182" s="154" t="s">
        <v>187</v>
      </c>
    </row>
    <row r="1183" spans="13:47" x14ac:dyDescent="0.25">
      <c r="M1183" s="20"/>
      <c r="N1183" s="20"/>
      <c r="O1183" s="7" t="s">
        <v>188</v>
      </c>
      <c r="P1183" s="7"/>
      <c r="Q1183" s="7"/>
      <c r="R1183" s="181">
        <f>P_1_minW-(R1181^2*R_up)+dpup_minQ</f>
        <v>100.52144164243451</v>
      </c>
      <c r="S1183" s="132"/>
      <c r="T1183" s="145"/>
      <c r="U1183" s="138">
        <f>P_1_minW-(U1181^2*R_up)+dpup_minQ</f>
        <v>100.08274476684679</v>
      </c>
      <c r="V1183" s="132"/>
      <c r="W1183" s="145"/>
      <c r="X1183" s="138">
        <f>P_1_minW-(X1181^2*R_up)+dpup_minQ</f>
        <v>97.831350293784809</v>
      </c>
      <c r="Y1183" s="132"/>
      <c r="Z1183" s="145"/>
      <c r="AA1183" s="138">
        <f>P_1_minW-(AA1181^2*R_up)+dpup_minQ</f>
        <v>90.312258387243077</v>
      </c>
      <c r="AB1183" s="132"/>
      <c r="AC1183" s="145"/>
      <c r="AD1183" s="138">
        <f>P_1_minW-(AD1181^2*R_up)+dpup_minQ</f>
        <v>72.905208451342801</v>
      </c>
      <c r="AE1183" s="132"/>
      <c r="AF1183" s="145"/>
      <c r="AG1183" s="138">
        <f>P_1_minW-(AG1181^2*R_up)+dpup_minQ</f>
        <v>46.192873564586471</v>
      </c>
      <c r="AH1183" s="132"/>
      <c r="AI1183" s="145"/>
      <c r="AJ1183" s="138">
        <f>P_1_minW-(AJ1181^2*R_up)+dpup_minQ</f>
        <v>12.930683922378165</v>
      </c>
      <c r="AK1183" s="132"/>
      <c r="AL1183" s="145"/>
      <c r="AM1183" s="138">
        <f>P_1_minW-(AM1181^2*R_up)+dpup_minQ</f>
        <v>-19.91115854079932</v>
      </c>
      <c r="AN1183" s="132"/>
      <c r="AO1183" s="145"/>
      <c r="AP1183" s="138">
        <f>P_1_minW-(AP1181^2*R_up)+dpup_minQ</f>
        <v>-49.383255002584448</v>
      </c>
      <c r="AQ1183" s="132"/>
      <c r="AR1183" s="145"/>
      <c r="AS1183" s="138">
        <f>P_1_minW-(AS1181^2*R_up)+dpup_minQ</f>
        <v>-86.067640888677474</v>
      </c>
      <c r="AT1183" s="132"/>
      <c r="AU1183" s="145"/>
    </row>
    <row r="1184" spans="13:47" x14ac:dyDescent="0.25">
      <c r="M1184" s="20"/>
      <c r="N1184" s="20"/>
      <c r="O1184" s="7" t="s">
        <v>189</v>
      </c>
      <c r="P1184" s="1"/>
      <c r="Q1184" s="7"/>
      <c r="R1184" s="181">
        <f>P_2_minW+(R1181^2*R_dn)-dpdn_minQ</f>
        <v>50</v>
      </c>
      <c r="S1184" s="132"/>
      <c r="T1184" s="146"/>
      <c r="U1184" s="138">
        <f>P_2_minW+(U1181^2*R_dn)-dpdn_minQ</f>
        <v>50</v>
      </c>
      <c r="V1184" s="132"/>
      <c r="W1184" s="146"/>
      <c r="X1184" s="138">
        <f>P_2_minW+(X1181^2*R_dn)-dpdn_minQ</f>
        <v>50</v>
      </c>
      <c r="Y1184" s="132"/>
      <c r="Z1184" s="146"/>
      <c r="AA1184" s="138">
        <f>P_2_minW+(AA1181^2*R_dn)-dpdn_minQ</f>
        <v>50</v>
      </c>
      <c r="AB1184" s="132"/>
      <c r="AC1184" s="146"/>
      <c r="AD1184" s="138">
        <f>P_2_minW+(AD1181^2*R_dn)-dpdn_minQ</f>
        <v>50</v>
      </c>
      <c r="AE1184" s="132"/>
      <c r="AF1184" s="146"/>
      <c r="AG1184" s="138">
        <f>P_2_minW+(AG1181^2*R_dn)-dpdn_minQ</f>
        <v>50</v>
      </c>
      <c r="AH1184" s="132"/>
      <c r="AI1184" s="146"/>
      <c r="AJ1184" s="138">
        <f>P_2_minW+(AJ1181^2*R_dn)-dpdn_minQ</f>
        <v>50</v>
      </c>
      <c r="AK1184" s="132"/>
      <c r="AL1184" s="146"/>
      <c r="AM1184" s="138">
        <f>P_2_minW+(AM1181^2*R_dn)-dpdn_minQ</f>
        <v>50</v>
      </c>
      <c r="AN1184" s="132"/>
      <c r="AO1184" s="146"/>
      <c r="AP1184" s="138">
        <f>P_2_minW+(AP1181^2*R_dn)-dpdn_minQ</f>
        <v>50</v>
      </c>
      <c r="AQ1184" s="132"/>
      <c r="AR1184" s="146"/>
      <c r="AS1184" s="138">
        <f>P_2_minW+(AS1181^2*R_dn)-dpdn_minQ</f>
        <v>50</v>
      </c>
      <c r="AT1184" s="132"/>
      <c r="AU1184" s="146"/>
    </row>
    <row r="1185" spans="13:47" x14ac:dyDescent="0.25">
      <c r="M1185" s="20"/>
      <c r="N1185" s="20"/>
      <c r="O1185" s="7" t="s">
        <v>234</v>
      </c>
      <c r="P1185" s="1"/>
      <c r="Q1185" s="7"/>
      <c r="R1185" s="179">
        <f>'Valve Sizing'!G$8*R1183/P_1_maxW</f>
        <v>0.48489753774350464</v>
      </c>
      <c r="S1185" s="132"/>
      <c r="T1185" s="146"/>
      <c r="U1185" s="143">
        <f>'Valve Sizing'!$G$8*U1183/P_1_maxW</f>
        <v>0.48278134212083401</v>
      </c>
      <c r="V1185" s="132"/>
      <c r="W1185" s="146"/>
      <c r="X1185" s="143">
        <f>'Valve Sizing'!$G$8*X1183/P_1_maxW</f>
        <v>0.47192101601886305</v>
      </c>
      <c r="Y1185" s="132"/>
      <c r="Z1185" s="146"/>
      <c r="AA1185" s="143">
        <f>'Valve Sizing'!$G$8*AA1183/P_1_maxW</f>
        <v>0.43565025535350799</v>
      </c>
      <c r="AB1185" s="132"/>
      <c r="AC1185" s="146"/>
      <c r="AD1185" s="143">
        <f>'Valve Sizing'!$G$8*AD1183/P_1_maxW</f>
        <v>0.35168174559694759</v>
      </c>
      <c r="AE1185" s="132"/>
      <c r="AF1185" s="146"/>
      <c r="AG1185" s="143">
        <f>'Valve Sizing'!$G$8*AG1183/P_1_maxW</f>
        <v>0.22282619794133041</v>
      </c>
      <c r="AH1185" s="132"/>
      <c r="AI1185" s="146"/>
      <c r="AJ1185" s="143">
        <f>'Valve Sizing'!$G$8*AJ1183/P_1_maxW</f>
        <v>6.237531707517642E-2</v>
      </c>
      <c r="AK1185" s="132"/>
      <c r="AL1185" s="146"/>
      <c r="AM1185" s="143">
        <f>'Valve Sizing'!$G$8*AM1183/P_1_maxW</f>
        <v>-9.6047883837535403E-2</v>
      </c>
      <c r="AN1185" s="132"/>
      <c r="AO1185" s="146"/>
      <c r="AP1185" s="143">
        <f>'Valve Sizing'!$G$8*AP1183/P_1_maxW</f>
        <v>-0.23821602998582767</v>
      </c>
      <c r="AQ1185" s="132"/>
      <c r="AR1185" s="146"/>
      <c r="AS1185" s="143">
        <f>'Valve Sizing'!$G$8*AS1183/P_1_maxW</f>
        <v>-0.41517497624799427</v>
      </c>
      <c r="AT1185" s="132"/>
      <c r="AU1185" s="146"/>
    </row>
    <row r="1186" spans="13:47" x14ac:dyDescent="0.25">
      <c r="M1186" s="20"/>
      <c r="N1186" s="20"/>
      <c r="O1186" s="7" t="s">
        <v>190</v>
      </c>
      <c r="P1186" s="1"/>
      <c r="Q1186" s="7"/>
      <c r="R1186" s="181">
        <f>R1183-R1184</f>
        <v>50.52144164243451</v>
      </c>
      <c r="S1186" s="132"/>
      <c r="T1186" s="146"/>
      <c r="U1186" s="138">
        <f>U1183-U1184</f>
        <v>50.082744766846787</v>
      </c>
      <c r="V1186" s="132"/>
      <c r="W1186" s="146"/>
      <c r="X1186" s="138">
        <f>X1183-X1184</f>
        <v>47.831350293784809</v>
      </c>
      <c r="Y1186" s="132"/>
      <c r="Z1186" s="146"/>
      <c r="AA1186" s="138">
        <f>AA1183-AA1184</f>
        <v>40.312258387243077</v>
      </c>
      <c r="AB1186" s="132"/>
      <c r="AC1186" s="146"/>
      <c r="AD1186" s="138">
        <f>AD1183-AD1184</f>
        <v>22.905208451342801</v>
      </c>
      <c r="AE1186" s="132"/>
      <c r="AF1186" s="146"/>
      <c r="AG1186" s="138">
        <f>AG1183-AG1184</f>
        <v>-3.8071264354135295</v>
      </c>
      <c r="AH1186" s="132"/>
      <c r="AI1186" s="146"/>
      <c r="AJ1186" s="138">
        <f>AJ1183-AJ1184</f>
        <v>-37.069316077621835</v>
      </c>
      <c r="AK1186" s="132"/>
      <c r="AL1186" s="146"/>
      <c r="AM1186" s="138">
        <f>AM1183-AM1184</f>
        <v>-69.91115854079932</v>
      </c>
      <c r="AN1186" s="132"/>
      <c r="AO1186" s="146"/>
      <c r="AP1186" s="138">
        <f>AP1183-AP1184</f>
        <v>-99.383255002584448</v>
      </c>
      <c r="AQ1186" s="132"/>
      <c r="AR1186" s="146"/>
      <c r="AS1186" s="138">
        <f>AS1183-AS1184</f>
        <v>-136.06764088867749</v>
      </c>
      <c r="AT1186" s="132"/>
      <c r="AU1186" s="146"/>
    </row>
    <row r="1187" spans="13:47" ht="14.5" x14ac:dyDescent="0.35">
      <c r="M1187" s="27"/>
      <c r="N1187" s="27"/>
      <c r="O1187" s="2" t="s">
        <v>191</v>
      </c>
      <c r="P1187" s="10"/>
      <c r="Q1187" s="2"/>
      <c r="R1187" s="181">
        <f>R1186/R1183</f>
        <v>0.50259368366546775</v>
      </c>
      <c r="S1187" s="132"/>
      <c r="T1187" s="146"/>
      <c r="U1187" s="138">
        <f>U1186/U1183</f>
        <v>0.50041338178244188</v>
      </c>
      <c r="V1187" s="132"/>
      <c r="W1187" s="146"/>
      <c r="X1187" s="138">
        <f>X1186/X1183</f>
        <v>0.48891638672213561</v>
      </c>
      <c r="Y1187" s="132"/>
      <c r="Z1187" s="146"/>
      <c r="AA1187" s="138">
        <f>AA1186/AA1183</f>
        <v>0.44636530086969151</v>
      </c>
      <c r="AB1187" s="132"/>
      <c r="AC1187" s="146"/>
      <c r="AD1187" s="138">
        <f>AD1186/AD1183</f>
        <v>0.31417794335818711</v>
      </c>
      <c r="AE1187" s="132"/>
      <c r="AF1187" s="146"/>
      <c r="AG1187" s="138">
        <f>AG1186/AG1183</f>
        <v>-8.2418047236018754E-2</v>
      </c>
      <c r="AH1187" s="132"/>
      <c r="AI1187" s="146"/>
      <c r="AJ1187" s="138">
        <f>AJ1186/AJ1183</f>
        <v>-2.866771494852546</v>
      </c>
      <c r="AK1187" s="132"/>
      <c r="AL1187" s="146"/>
      <c r="AM1187" s="138">
        <f>AM1186/AM1183</f>
        <v>3.511154732535859</v>
      </c>
      <c r="AN1187" s="132"/>
      <c r="AO1187" s="146"/>
      <c r="AP1187" s="138">
        <f>AP1186/AP1183</f>
        <v>2.0124889498957343</v>
      </c>
      <c r="AQ1187" s="132"/>
      <c r="AR1187" s="146"/>
      <c r="AS1187" s="138">
        <f>AS1186/AS1183</f>
        <v>1.5809384280053818</v>
      </c>
      <c r="AT1187" s="132"/>
      <c r="AU1187" s="146"/>
    </row>
    <row r="1188" spans="13:47" x14ac:dyDescent="0.25">
      <c r="M1188" s="27"/>
      <c r="N1188" s="27"/>
      <c r="O1188" s="2" t="s">
        <v>26</v>
      </c>
      <c r="P1188" s="7">
        <v>12</v>
      </c>
      <c r="Q1188" s="2"/>
      <c r="R1188" s="181">
        <f>1-R1187/(3*F_GAMMA*R$29)</f>
        <v>0.73824345026133997</v>
      </c>
      <c r="S1188" s="133"/>
      <c r="T1188" s="146"/>
      <c r="U1188" s="138">
        <f>1-U1187/(3*F_GAMMA*U$29)</f>
        <v>0.73943635872574331</v>
      </c>
      <c r="V1188" s="133"/>
      <c r="W1188" s="146"/>
      <c r="X1188" s="138">
        <f>1-X1187/(3*F_GAMMA*X$29)</f>
        <v>0.74160374408991814</v>
      </c>
      <c r="Y1188" s="133"/>
      <c r="Z1188" s="146"/>
      <c r="AA1188" s="138">
        <f>1-AA1187/(3*F_GAMMA*AA$29)</f>
        <v>0.76085771398184832</v>
      </c>
      <c r="AB1188" s="133"/>
      <c r="AC1188" s="146"/>
      <c r="AD1188" s="138">
        <f>1-AD1187/(3*F_GAMMA*AD$29)</f>
        <v>0.82706266618444424</v>
      </c>
      <c r="AE1188" s="133"/>
      <c r="AF1188" s="146"/>
      <c r="AG1188" s="138">
        <f>1-AG1187/(3*F_GAMMA*AG$29)</f>
        <v>1.0479542891763347</v>
      </c>
      <c r="AH1188" s="133"/>
      <c r="AI1188" s="146"/>
      <c r="AJ1188" s="138">
        <f>1-AJ1187/(3*F_GAMMA*AJ$29)</f>
        <v>2.7831235163897525</v>
      </c>
      <c r="AK1188" s="133"/>
      <c r="AL1188" s="146"/>
      <c r="AM1188" s="138">
        <f>1-AM1187/(3*F_GAMMA*AM$29)</f>
        <v>-1.3861634347927105</v>
      </c>
      <c r="AN1188" s="133"/>
      <c r="AO1188" s="146"/>
      <c r="AP1188" s="138">
        <f>1-AP1187/(3*F_GAMMA*AP$29)</f>
        <v>-0.1302375400251452</v>
      </c>
      <c r="AQ1188" s="133"/>
      <c r="AR1188" s="146"/>
      <c r="AS1188" s="138">
        <f>1-AS1187/(3*F_GAMMA*AS$29)</f>
        <v>-0.34786938905658715</v>
      </c>
      <c r="AT1188" s="133"/>
      <c r="AU1188" s="146"/>
    </row>
    <row r="1189" spans="13:47" x14ac:dyDescent="0.25">
      <c r="M1189" s="27"/>
      <c r="N1189" s="27"/>
      <c r="O1189" s="2" t="s">
        <v>71</v>
      </c>
      <c r="P1189" s="85">
        <v>5</v>
      </c>
      <c r="Q1189" s="2"/>
      <c r="R1189" s="179">
        <f>R1181/((N_6*R$27*R1188)*SQRT(R1187*R1183*R1185))</f>
        <v>0.25113362260848016</v>
      </c>
      <c r="S1189" s="133"/>
      <c r="T1189" s="146"/>
      <c r="U1189" s="143">
        <f>U1181/((N_6*U$27*U1188)*SQRT(U1187*U1183*U1185))</f>
        <v>4.5675979328304122</v>
      </c>
      <c r="V1189" s="133"/>
      <c r="W1189" s="146"/>
      <c r="X1189" s="143">
        <f>X1181/((N_6*X$27*X1188)*SQRT(X1187*X1183*X1185))</f>
        <v>11.682922973912985</v>
      </c>
      <c r="Y1189" s="133"/>
      <c r="Z1189" s="146"/>
      <c r="AA1189" s="143">
        <f>AA1181/((N_6*AA$27*AA1188)*SQRT(AA1187*AA1183*AA1185))</f>
        <v>25.289837180405975</v>
      </c>
      <c r="AB1189" s="133"/>
      <c r="AC1189" s="146"/>
      <c r="AD1189" s="143">
        <f>AD1181/((N_6*AD$27*AD1188)*SQRT(AD1187*AD1183*AD1185))</f>
        <v>57.170231016295681</v>
      </c>
      <c r="AE1189" s="133"/>
      <c r="AF1189" s="146"/>
      <c r="AG1189" s="143" t="e">
        <f>AG1181/((N_6*AG$27*AG1188)*SQRT(AG1187*AG1183*AG1185))</f>
        <v>#NUM!</v>
      </c>
      <c r="AH1189" s="133"/>
      <c r="AI1189" s="146"/>
      <c r="AJ1189" s="143" t="e">
        <f>AJ1181/((N_6*AJ$27*AJ1188)*SQRT(AJ1187*AJ1183*AJ1185))</f>
        <v>#NUM!</v>
      </c>
      <c r="AK1189" s="133"/>
      <c r="AL1189" s="146"/>
      <c r="AM1189" s="143">
        <f>AM1181/((N_6*AM$27*AM1188)*SQRT(AM1187*AM1183*AM1185))</f>
        <v>-87.501402596605544</v>
      </c>
      <c r="AN1189" s="133"/>
      <c r="AO1189" s="146"/>
      <c r="AP1189" s="143">
        <f>AP1181/((N_6*AP$27*AP1188)*SQRT(AP1187*AP1183*AP1185))</f>
        <v>-628.57565026695477</v>
      </c>
      <c r="AQ1189" s="133"/>
      <c r="AR1189" s="146"/>
      <c r="AS1189" s="143">
        <f>AS1181/((N_6*AS$27*AS1188)*SQRT(AS1187*AS1183*AS1185))</f>
        <v>-223.33106703766185</v>
      </c>
      <c r="AT1189" s="133"/>
      <c r="AU1189" s="146"/>
    </row>
    <row r="1190" spans="13:47" x14ac:dyDescent="0.25">
      <c r="M1190" s="27"/>
      <c r="N1190" s="27"/>
      <c r="O1190" s="2" t="s">
        <v>73</v>
      </c>
      <c r="P1190" s="85">
        <v>5</v>
      </c>
      <c r="Q1190" s="2"/>
      <c r="R1190" s="179">
        <f>R1181/((N_6*R$27*0.667)*SQRT(R1191*R1183*R1185))</f>
        <v>0.24631339835355995</v>
      </c>
      <c r="S1190" s="133"/>
      <c r="T1190" s="155"/>
      <c r="U1190" s="143">
        <f>U1181/((N_6*U$27*0.667)*SQRT(U1191*U1183*U1185))</f>
        <v>4.4769306802546209</v>
      </c>
      <c r="V1190" s="133"/>
      <c r="W1190" s="155"/>
      <c r="X1190" s="143">
        <f>X1181/((N_6*X$27*0.667)*SQRT(X1191*X1183*X1185))</f>
        <v>11.43671579276926</v>
      </c>
      <c r="Y1190" s="133"/>
      <c r="Z1190" s="155"/>
      <c r="AA1190" s="143">
        <f>AA1181/((N_6*AA$27*0.667)*SQRT(AA1191*AA1183*AA1185))</f>
        <v>24.435006734384981</v>
      </c>
      <c r="AB1190" s="133"/>
      <c r="AC1190" s="155"/>
      <c r="AD1190" s="143">
        <f>AD1181/((N_6*AD$27*0.667)*SQRT(AD1191*AD1183*AD1185))</f>
        <v>51.06079087507792</v>
      </c>
      <c r="AE1190" s="133"/>
      <c r="AF1190" s="155"/>
      <c r="AG1190" s="143">
        <f>AG1181/((N_6*AG$27*0.667)*SQRT(AG1191*AG1183*AG1185))</f>
        <v>118.71745545742026</v>
      </c>
      <c r="AH1190" s="133"/>
      <c r="AI1190" s="155"/>
      <c r="AJ1190" s="143">
        <f>AJ1181/((N_6*AJ$27*0.667)*SQRT(AJ1191*AJ1183*AJ1185))</f>
        <v>575.88029194983596</v>
      </c>
      <c r="AK1190" s="133"/>
      <c r="AL1190" s="155"/>
      <c r="AM1190" s="143">
        <f>AM1181/((N_6*AM$27*0.667)*SQRT(AM1191*AM1183*AM1185))</f>
        <v>486.53528234982269</v>
      </c>
      <c r="AN1190" s="133"/>
      <c r="AO1190" s="155"/>
      <c r="AP1190" s="143">
        <f>AP1181/((N_6*AP$27*0.667)*SQRT(AP1191*AP1183*AP1185))</f>
        <v>226.00257910256258</v>
      </c>
      <c r="AQ1190" s="133"/>
      <c r="AR1190" s="155"/>
      <c r="AS1190" s="143">
        <f>AS1181/((N_6*AS$27*0.667)*SQRT(AS1191*AS1183*AS1185))</f>
        <v>234.22004171490758</v>
      </c>
      <c r="AT1190" s="133"/>
      <c r="AU1190" s="155"/>
    </row>
    <row r="1191" spans="13:47" ht="15.5" x14ac:dyDescent="0.4">
      <c r="M1191" s="27"/>
      <c r="N1191" s="27"/>
      <c r="O1191" s="2" t="s">
        <v>192</v>
      </c>
      <c r="P1191" s="85">
        <v>10</v>
      </c>
      <c r="Q1191" s="2"/>
      <c r="R1191" s="181">
        <f>F_GAMMA*R$29</f>
        <v>0.64002688015162901</v>
      </c>
      <c r="S1191" s="133"/>
      <c r="T1191" s="155"/>
      <c r="U1191" s="138">
        <f>F_GAMMA*U$29</f>
        <v>0.64016782916606918</v>
      </c>
      <c r="V1191" s="133"/>
      <c r="W1191" s="155"/>
      <c r="X1191" s="138">
        <f>F_GAMMA*X$29</f>
        <v>0.6307062319203669</v>
      </c>
      <c r="Y1191" s="133"/>
      <c r="Z1191" s="155"/>
      <c r="AA1191" s="138">
        <f>F_GAMMA*AA$29</f>
        <v>0.62217534213893466</v>
      </c>
      <c r="AB1191" s="133"/>
      <c r="AC1191" s="155"/>
      <c r="AD1191" s="138">
        <f>F_GAMMA*AD$29</f>
        <v>0.60557184969146072</v>
      </c>
      <c r="AE1191" s="133"/>
      <c r="AF1191" s="155"/>
      <c r="AG1191" s="138">
        <f>F_GAMMA*AG$29</f>
        <v>0.57289312142622573</v>
      </c>
      <c r="AH1191" s="133"/>
      <c r="AI1191" s="155"/>
      <c r="AJ1191" s="138">
        <f>F_GAMMA*AJ$29</f>
        <v>0.53590819116049981</v>
      </c>
      <c r="AK1191" s="133"/>
      <c r="AL1191" s="155"/>
      <c r="AM1191" s="138">
        <f>F_GAMMA*AM$29</f>
        <v>0.49048815926850342</v>
      </c>
      <c r="AN1191" s="133"/>
      <c r="AO1191" s="155"/>
      <c r="AP1191" s="138">
        <f>F_GAMMA*AP$29</f>
        <v>0.59352979016280105</v>
      </c>
      <c r="AQ1191" s="133"/>
      <c r="AR1191" s="155"/>
      <c r="AS1191" s="138">
        <f>F_GAMMA*AS$29</f>
        <v>0.39097221161068291</v>
      </c>
      <c r="AT1191" s="133"/>
      <c r="AU1191" s="155"/>
    </row>
    <row r="1192" spans="13:47" x14ac:dyDescent="0.25">
      <c r="M1192" s="27"/>
      <c r="N1192" s="27"/>
      <c r="O1192" s="2" t="s">
        <v>193</v>
      </c>
      <c r="P1192" s="134"/>
      <c r="Q1192" s="2"/>
      <c r="R1192" s="181">
        <f>IF(R1187&lt;R1191,R1189,R1190)</f>
        <v>0.25113362260848016</v>
      </c>
      <c r="S1192" s="133"/>
      <c r="T1192" s="155"/>
      <c r="U1192" s="138">
        <f>IF(U1187&lt;U1191,U1189,U1190)</f>
        <v>4.5675979328304122</v>
      </c>
      <c r="V1192" s="133"/>
      <c r="W1192" s="155"/>
      <c r="X1192" s="138">
        <f>IF(X1187&lt;X1191,X1189,X1190)</f>
        <v>11.682922973912985</v>
      </c>
      <c r="Y1192" s="133"/>
      <c r="Z1192" s="155"/>
      <c r="AA1192" s="138">
        <f>IF(AA1187&lt;AA1191,AA1189,AA1190)</f>
        <v>25.289837180405975</v>
      </c>
      <c r="AB1192" s="133"/>
      <c r="AC1192" s="155"/>
      <c r="AD1192" s="138">
        <f>IF(AD1187&lt;AD1191,AD1189,AD1190)</f>
        <v>57.170231016295681</v>
      </c>
      <c r="AE1192" s="133"/>
      <c r="AF1192" s="155"/>
      <c r="AG1192" s="138" t="e">
        <f>IF(AG1187&lt;AG1191,AG1189,AG1190)</f>
        <v>#NUM!</v>
      </c>
      <c r="AH1192" s="133"/>
      <c r="AI1192" s="155"/>
      <c r="AJ1192" s="138" t="e">
        <f>IF(AJ1187&lt;AJ1191,AJ1189,AJ1190)</f>
        <v>#NUM!</v>
      </c>
      <c r="AK1192" s="133"/>
      <c r="AL1192" s="155"/>
      <c r="AM1192" s="138">
        <f>IF(AM1187&lt;AM1191,AM1189,AM1190)</f>
        <v>486.53528234982269</v>
      </c>
      <c r="AN1192" s="133"/>
      <c r="AO1192" s="155"/>
      <c r="AP1192" s="138">
        <f>IF(AP1187&lt;AP1191,AP1189,AP1190)</f>
        <v>226.00257910256258</v>
      </c>
      <c r="AQ1192" s="133"/>
      <c r="AR1192" s="155"/>
      <c r="AS1192" s="138">
        <f>IF(AS1187&lt;AS1191,AS1189,AS1190)</f>
        <v>234.22004171490758</v>
      </c>
      <c r="AT1192" s="133"/>
      <c r="AU1192" s="155"/>
    </row>
    <row r="1193" spans="13:47" ht="13" x14ac:dyDescent="0.3">
      <c r="M1193" s="28"/>
      <c r="N1193" s="28"/>
      <c r="O1193" s="9" t="s">
        <v>194</v>
      </c>
      <c r="P1193" s="1"/>
      <c r="Q1193" s="1"/>
      <c r="R1193" s="135"/>
      <c r="S1193" s="132">
        <f>IF(R1186&lt;=0,W_max,ABS(R$23-R1192))</f>
        <v>1.7488663773915198</v>
      </c>
      <c r="T1193" s="151">
        <f>R1181</f>
        <v>58.079058982130817</v>
      </c>
      <c r="U1193" s="135"/>
      <c r="V1193" s="132">
        <f>IF(U1186&lt;=0,W_max,ABS(U$23-U1192))</f>
        <v>0.43240206716958784</v>
      </c>
      <c r="W1193" s="151">
        <f>U1181</f>
        <v>1050.4859696793417</v>
      </c>
      <c r="X1193" s="135"/>
      <c r="Y1193" s="132">
        <f>IF(X1186&lt;=0,W_max,ABS(X$23-X1192))</f>
        <v>1.6829229739129854</v>
      </c>
      <c r="Z1193" s="151">
        <f>X1181</f>
        <v>2597.9768123127969</v>
      </c>
      <c r="AA1193" s="135"/>
      <c r="AB1193" s="132">
        <f>IF(AA1186&lt;=0,W_max,ABS(AA$23-AA1192))</f>
        <v>8.0898371804059757</v>
      </c>
      <c r="AC1193" s="151">
        <f>AA1181</f>
        <v>5060.1957087200099</v>
      </c>
      <c r="AD1193" s="135"/>
      <c r="AE1193" s="132">
        <f>IF(AD1186&lt;=0,W_max,ABS(AD$23-AD1192))</f>
        <v>30.570231016295679</v>
      </c>
      <c r="AF1193" s="151">
        <f>AD1181</f>
        <v>8322.1588873187848</v>
      </c>
      <c r="AG1193" s="135"/>
      <c r="AH1193" s="132">
        <f>IF(AG1186&lt;=0,W_max,ABS(AG$23-AG1192))</f>
        <v>7174</v>
      </c>
      <c r="AI1193" s="151">
        <f>AG1181</f>
        <v>11672.468530599903</v>
      </c>
      <c r="AJ1193" s="135"/>
      <c r="AK1193" s="132">
        <f>IF(AJ1186&lt;=0,W_max,ABS(AJ$23-AJ1192))</f>
        <v>7174</v>
      </c>
      <c r="AL1193" s="151">
        <f>AJ1181</f>
        <v>14820.937727201101</v>
      </c>
      <c r="AM1193" s="135"/>
      <c r="AN1193" s="132">
        <f>IF(AM1186&lt;=0,W_max,ABS(AM$23-AM1192))</f>
        <v>7174</v>
      </c>
      <c r="AO1193" s="151">
        <f>AM1181</f>
        <v>17378.715076659988</v>
      </c>
      <c r="AP1193" s="135"/>
      <c r="AQ1193" s="132">
        <f>IF(AP1186&lt;=0,W_max,ABS(AP$23-AP1192))</f>
        <v>7174</v>
      </c>
      <c r="AR1193" s="151">
        <f>AP1181</f>
        <v>19388.882316744857</v>
      </c>
      <c r="AS1193" s="135"/>
      <c r="AT1193" s="132">
        <f>IF(AS1186&lt;=0,W_max,ABS(AS$23-AS1192))</f>
        <v>7174</v>
      </c>
      <c r="AU1193" s="151">
        <f>AS1181</f>
        <v>21631.56227801113</v>
      </c>
    </row>
    <row r="1194" spans="13:47" ht="13" x14ac:dyDescent="0.25">
      <c r="M1194" s="12"/>
      <c r="N1194" s="12"/>
      <c r="O1194" s="2"/>
      <c r="P1194" s="85"/>
      <c r="Q1194" s="2"/>
      <c r="R1194" s="18"/>
      <c r="S1194" s="150"/>
      <c r="T1194" s="152"/>
      <c r="U1194" s="157"/>
      <c r="V1194" s="1"/>
      <c r="W1194" s="147"/>
      <c r="X1194" s="157"/>
      <c r="Y1194" s="1"/>
      <c r="Z1194" s="147"/>
      <c r="AA1194" s="157"/>
      <c r="AB1194" s="1"/>
      <c r="AC1194" s="147"/>
      <c r="AD1194" s="157"/>
      <c r="AE1194" s="1"/>
      <c r="AF1194" s="147"/>
      <c r="AG1194" s="157"/>
      <c r="AH1194" s="1"/>
      <c r="AI1194" s="147"/>
      <c r="AJ1194" s="157"/>
      <c r="AK1194" s="1"/>
      <c r="AL1194" s="147"/>
      <c r="AM1194" s="157"/>
      <c r="AN1194" s="1"/>
      <c r="AO1194" s="147"/>
      <c r="AP1194" s="157"/>
      <c r="AQ1194" s="1"/>
      <c r="AR1194" s="147"/>
      <c r="AS1194" s="157"/>
      <c r="AT1194" s="1"/>
      <c r="AU1194" s="147"/>
    </row>
    <row r="1195" spans="13:47" ht="14" x14ac:dyDescent="0.3">
      <c r="M1195" s="23"/>
      <c r="N1195" s="23"/>
      <c r="O1195" s="23" t="s">
        <v>238</v>
      </c>
      <c r="P1195" s="20"/>
      <c r="Q1195" s="20"/>
      <c r="R1195" s="181">
        <f>R1181*1.02</f>
        <v>59.240640161773435</v>
      </c>
      <c r="S1195" s="128" t="s">
        <v>185</v>
      </c>
      <c r="T1195" s="153" t="s">
        <v>186</v>
      </c>
      <c r="U1195" s="143">
        <f>U1181*1.01</f>
        <v>1060.990829376135</v>
      </c>
      <c r="V1195" s="128" t="s">
        <v>185</v>
      </c>
      <c r="W1195" s="153" t="s">
        <v>186</v>
      </c>
      <c r="X1195" s="143">
        <f>X1181*1.01</f>
        <v>2623.9565804359249</v>
      </c>
      <c r="Y1195" s="128" t="s">
        <v>185</v>
      </c>
      <c r="Z1195" s="153" t="s">
        <v>186</v>
      </c>
      <c r="AA1195" s="143">
        <f>AA1181*1.01</f>
        <v>5110.7976658072103</v>
      </c>
      <c r="AB1195" s="128" t="s">
        <v>185</v>
      </c>
      <c r="AC1195" s="153" t="s">
        <v>186</v>
      </c>
      <c r="AD1195" s="143">
        <f>AD1181*1.01</f>
        <v>8405.3804761919728</v>
      </c>
      <c r="AE1195" s="128" t="s">
        <v>185</v>
      </c>
      <c r="AF1195" s="153" t="s">
        <v>186</v>
      </c>
      <c r="AG1195" s="143">
        <f>AG1181*1.01</f>
        <v>11789.193215905902</v>
      </c>
      <c r="AH1195" s="128" t="s">
        <v>185</v>
      </c>
      <c r="AI1195" s="153" t="s">
        <v>186</v>
      </c>
      <c r="AJ1195" s="143">
        <f>AJ1181*1.01</f>
        <v>14969.147104473112</v>
      </c>
      <c r="AK1195" s="128" t="s">
        <v>185</v>
      </c>
      <c r="AL1195" s="153" t="s">
        <v>186</v>
      </c>
      <c r="AM1195" s="143">
        <f>AM1181*1.01</f>
        <v>17552.502227426587</v>
      </c>
      <c r="AN1195" s="128" t="s">
        <v>185</v>
      </c>
      <c r="AO1195" s="153" t="s">
        <v>186</v>
      </c>
      <c r="AP1195" s="143">
        <f>AP1181*1.01</f>
        <v>19582.771139912307</v>
      </c>
      <c r="AQ1195" s="128" t="s">
        <v>185</v>
      </c>
      <c r="AR1195" s="153" t="s">
        <v>186</v>
      </c>
      <c r="AS1195" s="143">
        <f>AS1181*1.01</f>
        <v>21847.877900791242</v>
      </c>
      <c r="AT1195" s="128" t="s">
        <v>185</v>
      </c>
      <c r="AU1195" s="153" t="s">
        <v>186</v>
      </c>
    </row>
    <row r="1196" spans="13:47" ht="14" x14ac:dyDescent="0.3">
      <c r="M1196" s="12"/>
      <c r="N1196" s="12"/>
      <c r="O1196" s="20"/>
      <c r="P1196" s="20"/>
      <c r="Q1196" s="23"/>
      <c r="R1196" s="139"/>
      <c r="S1196" s="130" t="s">
        <v>228</v>
      </c>
      <c r="T1196" s="154" t="s">
        <v>187</v>
      </c>
      <c r="U1196" s="144"/>
      <c r="V1196" s="130" t="s">
        <v>228</v>
      </c>
      <c r="W1196" s="154" t="s">
        <v>187</v>
      </c>
      <c r="X1196" s="144"/>
      <c r="Y1196" s="130" t="s">
        <v>228</v>
      </c>
      <c r="Z1196" s="154" t="s">
        <v>187</v>
      </c>
      <c r="AA1196" s="144"/>
      <c r="AB1196" s="130" t="s">
        <v>228</v>
      </c>
      <c r="AC1196" s="154" t="s">
        <v>187</v>
      </c>
      <c r="AD1196" s="144"/>
      <c r="AE1196" s="130" t="s">
        <v>228</v>
      </c>
      <c r="AF1196" s="154" t="s">
        <v>187</v>
      </c>
      <c r="AG1196" s="144"/>
      <c r="AH1196" s="130" t="s">
        <v>228</v>
      </c>
      <c r="AI1196" s="154" t="s">
        <v>187</v>
      </c>
      <c r="AJ1196" s="144"/>
      <c r="AK1196" s="130" t="s">
        <v>228</v>
      </c>
      <c r="AL1196" s="154" t="s">
        <v>187</v>
      </c>
      <c r="AM1196" s="144"/>
      <c r="AN1196" s="130" t="s">
        <v>228</v>
      </c>
      <c r="AO1196" s="154" t="s">
        <v>187</v>
      </c>
      <c r="AP1196" s="144"/>
      <c r="AQ1196" s="130" t="s">
        <v>228</v>
      </c>
      <c r="AR1196" s="154" t="s">
        <v>187</v>
      </c>
      <c r="AS1196" s="144"/>
      <c r="AT1196" s="130" t="s">
        <v>228</v>
      </c>
      <c r="AU1196" s="154" t="s">
        <v>187</v>
      </c>
    </row>
    <row r="1197" spans="13:47" x14ac:dyDescent="0.25">
      <c r="M1197" s="20"/>
      <c r="N1197" s="20"/>
      <c r="O1197" s="7" t="s">
        <v>188</v>
      </c>
      <c r="P1197" s="7"/>
      <c r="Q1197" s="7"/>
      <c r="R1197" s="181">
        <f>P_1_minW-(R1195^2*R_up)+dpup_minQ</f>
        <v>100.52138730062511</v>
      </c>
      <c r="S1197" s="132"/>
      <c r="T1197" s="145"/>
      <c r="U1197" s="138">
        <f>P_1_minW-(U1195^2*R_up)+dpup_minQ</f>
        <v>100.0738999232522</v>
      </c>
      <c r="V1197" s="132"/>
      <c r="W1197" s="145"/>
      <c r="X1197" s="138">
        <f>P_1_minW-(X1195^2*R_up)+dpup_minQ</f>
        <v>97.777252421281673</v>
      </c>
      <c r="Y1197" s="132"/>
      <c r="Z1197" s="145"/>
      <c r="AA1197" s="138">
        <f>P_1_minW-(AA1195^2*R_up)+dpup_minQ</f>
        <v>90.107026767418461</v>
      </c>
      <c r="AB1197" s="132"/>
      <c r="AC1197" s="145"/>
      <c r="AD1197" s="138">
        <f>P_1_minW-(AD1195^2*R_up)+dpup_minQ</f>
        <v>72.350095127806583</v>
      </c>
      <c r="AE1197" s="132"/>
      <c r="AF1197" s="145"/>
      <c r="AG1197" s="138">
        <f>P_1_minW-(AG1195^2*R_up)+dpup_minQ</f>
        <v>45.100842309826447</v>
      </c>
      <c r="AH1197" s="132"/>
      <c r="AI1197" s="145"/>
      <c r="AJ1197" s="138">
        <f>P_1_minW-(AJ1195^2*R_up)+dpup_minQ</f>
        <v>11.17008265580975</v>
      </c>
      <c r="AK1197" s="132"/>
      <c r="AL1197" s="145"/>
      <c r="AM1197" s="138">
        <f>P_1_minW-(AM1195^2*R_up)+dpup_minQ</f>
        <v>-22.331880840877574</v>
      </c>
      <c r="AN1197" s="132"/>
      <c r="AO1197" s="145"/>
      <c r="AP1197" s="138">
        <f>P_1_minW-(AP1195^2*R_up)+dpup_minQ</f>
        <v>-52.3963664415446</v>
      </c>
      <c r="AQ1197" s="132"/>
      <c r="AR1197" s="145"/>
      <c r="AS1197" s="138">
        <f>P_1_minW-(AS1195^2*R_up)+dpup_minQ</f>
        <v>-89.81810848394808</v>
      </c>
      <c r="AT1197" s="132"/>
      <c r="AU1197" s="145"/>
    </row>
    <row r="1198" spans="13:47" x14ac:dyDescent="0.25">
      <c r="M1198" s="20"/>
      <c r="N1198" s="20"/>
      <c r="O1198" s="7" t="s">
        <v>189</v>
      </c>
      <c r="P1198" s="1"/>
      <c r="Q1198" s="7"/>
      <c r="R1198" s="181">
        <f>P_2_minW+(R1195^2*R_dn)-dpdn_minQ</f>
        <v>50</v>
      </c>
      <c r="S1198" s="132"/>
      <c r="T1198" s="146"/>
      <c r="U1198" s="138">
        <f>P_2_minW+(U1195^2*R_dn)-dpdn_minQ</f>
        <v>50</v>
      </c>
      <c r="V1198" s="132"/>
      <c r="W1198" s="146"/>
      <c r="X1198" s="138">
        <f>P_2_minW+(X1195^2*R_dn)-dpdn_minQ</f>
        <v>50</v>
      </c>
      <c r="Y1198" s="132"/>
      <c r="Z1198" s="146"/>
      <c r="AA1198" s="138">
        <f>P_2_minW+(AA1195^2*R_dn)-dpdn_minQ</f>
        <v>50</v>
      </c>
      <c r="AB1198" s="132"/>
      <c r="AC1198" s="146"/>
      <c r="AD1198" s="138">
        <f>P_2_minW+(AD1195^2*R_dn)-dpdn_minQ</f>
        <v>50</v>
      </c>
      <c r="AE1198" s="132"/>
      <c r="AF1198" s="146"/>
      <c r="AG1198" s="138">
        <f>P_2_minW+(AG1195^2*R_dn)-dpdn_minQ</f>
        <v>50</v>
      </c>
      <c r="AH1198" s="132"/>
      <c r="AI1198" s="146"/>
      <c r="AJ1198" s="138">
        <f>P_2_minW+(AJ1195^2*R_dn)-dpdn_minQ</f>
        <v>50</v>
      </c>
      <c r="AK1198" s="132"/>
      <c r="AL1198" s="146"/>
      <c r="AM1198" s="138">
        <f>P_2_minW+(AM1195^2*R_dn)-dpdn_minQ</f>
        <v>50</v>
      </c>
      <c r="AN1198" s="132"/>
      <c r="AO1198" s="146"/>
      <c r="AP1198" s="138">
        <f>P_2_minW+(AP1195^2*R_dn)-dpdn_minQ</f>
        <v>50</v>
      </c>
      <c r="AQ1198" s="132"/>
      <c r="AR1198" s="146"/>
      <c r="AS1198" s="138">
        <f>P_2_minW+(AS1195^2*R_dn)-dpdn_minQ</f>
        <v>50</v>
      </c>
      <c r="AT1198" s="132"/>
      <c r="AU1198" s="146"/>
    </row>
    <row r="1199" spans="13:47" x14ac:dyDescent="0.25">
      <c r="M1199" s="20"/>
      <c r="N1199" s="20"/>
      <c r="O1199" s="7" t="s">
        <v>234</v>
      </c>
      <c r="P1199" s="1"/>
      <c r="Q1199" s="7"/>
      <c r="R1199" s="179">
        <f>'Valve Sizing'!G$8*R1197/P_1_maxW</f>
        <v>0.4848972756082911</v>
      </c>
      <c r="S1199" s="132"/>
      <c r="T1199" s="146"/>
      <c r="U1199" s="143">
        <f>'Valve Sizing'!$G$8*U1197/P_1_maxW</f>
        <v>0.48273867617006105</v>
      </c>
      <c r="V1199" s="132"/>
      <c r="W1199" s="146"/>
      <c r="X1199" s="143">
        <f>'Valve Sizing'!$G$8*X1197/P_1_maxW</f>
        <v>0.47166005751344048</v>
      </c>
      <c r="Y1199" s="132"/>
      <c r="Z1199" s="146"/>
      <c r="AA1199" s="143">
        <f>'Valve Sizing'!$G$8*AA1197/P_1_maxW</f>
        <v>0.43466025455871177</v>
      </c>
      <c r="AB1199" s="132"/>
      <c r="AC1199" s="146"/>
      <c r="AD1199" s="143">
        <f>'Valve Sizing'!$G$8*AD1197/P_1_maxW</f>
        <v>0.34900397775604453</v>
      </c>
      <c r="AE1199" s="132"/>
      <c r="AF1199" s="146"/>
      <c r="AG1199" s="143">
        <f>'Valve Sizing'!$G$8*AG1197/P_1_maxW</f>
        <v>0.21755843359254942</v>
      </c>
      <c r="AH1199" s="132"/>
      <c r="AI1199" s="146"/>
      <c r="AJ1199" s="143">
        <f>'Valve Sizing'!$G$8*AJ1197/P_1_maxW</f>
        <v>5.3882490020985704E-2</v>
      </c>
      <c r="AK1199" s="132"/>
      <c r="AL1199" s="146"/>
      <c r="AM1199" s="143">
        <f>'Valve Sizing'!$G$8*AM1197/P_1_maxW</f>
        <v>-0.10772501723007147</v>
      </c>
      <c r="AN1199" s="132"/>
      <c r="AO1199" s="146"/>
      <c r="AP1199" s="143">
        <f>'Valve Sizing'!$G$8*AP1197/P_1_maxW</f>
        <v>-0.25275074311594448</v>
      </c>
      <c r="AQ1199" s="132"/>
      <c r="AR1199" s="146"/>
      <c r="AS1199" s="143">
        <f>'Valve Sizing'!$G$8*AS1197/P_1_maxW</f>
        <v>-0.4332665641979806</v>
      </c>
      <c r="AT1199" s="132"/>
      <c r="AU1199" s="146"/>
    </row>
    <row r="1200" spans="13:47" x14ac:dyDescent="0.25">
      <c r="M1200" s="20"/>
      <c r="N1200" s="20"/>
      <c r="O1200" s="7" t="s">
        <v>190</v>
      </c>
      <c r="P1200" s="1"/>
      <c r="Q1200" s="7"/>
      <c r="R1200" s="181">
        <f>R1197-R1198</f>
        <v>50.521387300625108</v>
      </c>
      <c r="S1200" s="132"/>
      <c r="T1200" s="146"/>
      <c r="U1200" s="138">
        <f>U1197-U1198</f>
        <v>50.073899923252199</v>
      </c>
      <c r="V1200" s="132"/>
      <c r="W1200" s="146"/>
      <c r="X1200" s="138">
        <f>X1197-X1198</f>
        <v>47.777252421281673</v>
      </c>
      <c r="Y1200" s="132"/>
      <c r="Z1200" s="146"/>
      <c r="AA1200" s="138">
        <f>AA1197-AA1198</f>
        <v>40.107026767418461</v>
      </c>
      <c r="AB1200" s="132"/>
      <c r="AC1200" s="146"/>
      <c r="AD1200" s="138">
        <f>AD1197-AD1198</f>
        <v>22.350095127806583</v>
      </c>
      <c r="AE1200" s="132"/>
      <c r="AF1200" s="146"/>
      <c r="AG1200" s="138">
        <f>AG1197-AG1198</f>
        <v>-4.8991576901735527</v>
      </c>
      <c r="AH1200" s="132"/>
      <c r="AI1200" s="146"/>
      <c r="AJ1200" s="138">
        <f>AJ1197-AJ1198</f>
        <v>-38.82991734419025</v>
      </c>
      <c r="AK1200" s="132"/>
      <c r="AL1200" s="146"/>
      <c r="AM1200" s="138">
        <f>AM1197-AM1198</f>
        <v>-72.331880840877574</v>
      </c>
      <c r="AN1200" s="132"/>
      <c r="AO1200" s="146"/>
      <c r="AP1200" s="138">
        <f>AP1197-AP1198</f>
        <v>-102.3963664415446</v>
      </c>
      <c r="AQ1200" s="132"/>
      <c r="AR1200" s="146"/>
      <c r="AS1200" s="138">
        <f>AS1197-AS1198</f>
        <v>-139.81810848394809</v>
      </c>
      <c r="AT1200" s="132"/>
      <c r="AU1200" s="146"/>
    </row>
    <row r="1201" spans="13:47" ht="14.5" x14ac:dyDescent="0.35">
      <c r="M1201" s="27"/>
      <c r="N1201" s="27"/>
      <c r="O1201" s="2" t="s">
        <v>191</v>
      </c>
      <c r="P1201" s="10"/>
      <c r="Q1201" s="2"/>
      <c r="R1201" s="181">
        <f>R1200/R1197</f>
        <v>0.50259341476787334</v>
      </c>
      <c r="S1201" s="132"/>
      <c r="T1201" s="146"/>
      <c r="U1201" s="138">
        <f>U1200/U1197</f>
        <v>0.50036922675797024</v>
      </c>
      <c r="V1201" s="132"/>
      <c r="W1201" s="146"/>
      <c r="X1201" s="138">
        <f>X1200/X1197</f>
        <v>0.48863361608310779</v>
      </c>
      <c r="Y1201" s="132"/>
      <c r="Z1201" s="146"/>
      <c r="AA1201" s="138">
        <f>AA1200/AA1197</f>
        <v>0.44510431878904971</v>
      </c>
      <c r="AB1201" s="132"/>
      <c r="AC1201" s="146"/>
      <c r="AD1201" s="138">
        <f>AD1200/AD1197</f>
        <v>0.30891590520130063</v>
      </c>
      <c r="AE1201" s="132"/>
      <c r="AF1201" s="146"/>
      <c r="AG1201" s="138">
        <f>AG1200/AG1197</f>
        <v>-0.10862674485141795</v>
      </c>
      <c r="AH1201" s="132"/>
      <c r="AI1201" s="146"/>
      <c r="AJ1201" s="138">
        <f>AJ1200/AJ1197</f>
        <v>-3.4762426152678598</v>
      </c>
      <c r="AK1201" s="132"/>
      <c r="AL1201" s="146"/>
      <c r="AM1201" s="138">
        <f>AM1200/AM1197</f>
        <v>3.2389515847889125</v>
      </c>
      <c r="AN1201" s="132"/>
      <c r="AO1201" s="146"/>
      <c r="AP1201" s="138">
        <f>AP1200/AP1197</f>
        <v>1.9542646445871761</v>
      </c>
      <c r="AQ1201" s="132"/>
      <c r="AR1201" s="146"/>
      <c r="AS1201" s="138">
        <f>AS1200/AS1197</f>
        <v>1.5566806164587157</v>
      </c>
      <c r="AT1201" s="132"/>
      <c r="AU1201" s="146"/>
    </row>
    <row r="1202" spans="13:47" x14ac:dyDescent="0.25">
      <c r="M1202" s="27"/>
      <c r="N1202" s="27"/>
      <c r="O1202" s="2" t="s">
        <v>26</v>
      </c>
      <c r="P1202" s="7">
        <v>12</v>
      </c>
      <c r="Q1202" s="2"/>
      <c r="R1202" s="181">
        <f>1-R1201/(3*F_GAMMA*R$29)</f>
        <v>0.7382435903062885</v>
      </c>
      <c r="S1202" s="133"/>
      <c r="T1202" s="146"/>
      <c r="U1202" s="138">
        <f>1-U1201/(3*F_GAMMA*U$29)</f>
        <v>0.73945935010522224</v>
      </c>
      <c r="V1202" s="133"/>
      <c r="W1202" s="146"/>
      <c r="X1202" s="138">
        <f>1-X1201/(3*F_GAMMA*X$29)</f>
        <v>0.74175319065458734</v>
      </c>
      <c r="Y1202" s="133"/>
      <c r="Z1202" s="146"/>
      <c r="AA1202" s="138">
        <f>1-AA1201/(3*F_GAMMA*AA$29)</f>
        <v>0.76153329099647071</v>
      </c>
      <c r="AB1202" s="133"/>
      <c r="AC1202" s="146"/>
      <c r="AD1202" s="138">
        <f>1-AD1201/(3*F_GAMMA*AD$29)</f>
        <v>0.82995912301257424</v>
      </c>
      <c r="AE1202" s="133"/>
      <c r="AF1202" s="146"/>
      <c r="AG1202" s="138">
        <f>1-AG1201/(3*F_GAMMA*AG$29)</f>
        <v>1.0632036126744375</v>
      </c>
      <c r="AH1202" s="133"/>
      <c r="AI1202" s="146"/>
      <c r="AJ1202" s="138">
        <f>1-AJ1201/(3*F_GAMMA*AJ$29)</f>
        <v>3.1622127773665345</v>
      </c>
      <c r="AK1202" s="133"/>
      <c r="AL1202" s="146"/>
      <c r="AM1202" s="138">
        <f>1-AM1201/(3*F_GAMMA*AM$29)</f>
        <v>-1.2011755184327448</v>
      </c>
      <c r="AN1202" s="133"/>
      <c r="AO1202" s="146"/>
      <c r="AP1202" s="138">
        <f>1-AP1201/(3*F_GAMMA*AP$29)</f>
        <v>-9.753808316351753E-2</v>
      </c>
      <c r="AQ1202" s="133"/>
      <c r="AR1202" s="146"/>
      <c r="AS1202" s="138">
        <f>1-AS1201/(3*F_GAMMA*AS$29)</f>
        <v>-0.32718777296701784</v>
      </c>
      <c r="AT1202" s="133"/>
      <c r="AU1202" s="146"/>
    </row>
    <row r="1203" spans="13:47" x14ac:dyDescent="0.25">
      <c r="M1203" s="27"/>
      <c r="N1203" s="27"/>
      <c r="O1203" s="2" t="s">
        <v>71</v>
      </c>
      <c r="P1203" s="85">
        <v>5</v>
      </c>
      <c r="Q1203" s="2"/>
      <c r="R1203" s="179">
        <f>R1195/((N_6*R$27*R1202)*SQRT(R1201*R1197*R1199))</f>
        <v>0.25615645347008714</v>
      </c>
      <c r="S1203" s="133"/>
      <c r="T1203" s="146"/>
      <c r="U1203" s="143">
        <f>U1195/((N_6*U$27*U1202)*SQRT(U1201*U1197*U1199))</f>
        <v>4.6137417545138666</v>
      </c>
      <c r="V1203" s="133"/>
      <c r="W1203" s="146"/>
      <c r="X1203" s="143">
        <f>X1195/((N_6*X$27*X1202)*SQRT(X1201*X1197*X1199))</f>
        <v>11.807316976863991</v>
      </c>
      <c r="Y1203" s="133"/>
      <c r="Z1203" s="146"/>
      <c r="AA1203" s="143">
        <f>AA1195/((N_6*AA$27*AA1202)*SQRT(AA1201*AA1197*AA1199))</f>
        <v>25.614407451708399</v>
      </c>
      <c r="AB1203" s="133"/>
      <c r="AC1203" s="146"/>
      <c r="AD1203" s="143">
        <f>AD1195/((N_6*AD$27*AD1202)*SQRT(AD1201*AD1197*AD1199))</f>
        <v>58.473648930682785</v>
      </c>
      <c r="AE1203" s="133"/>
      <c r="AF1203" s="146"/>
      <c r="AG1203" s="143" t="e">
        <f>AG1195/((N_6*AG$27*AG1202)*SQRT(AG1201*AG1197*AG1199))</f>
        <v>#NUM!</v>
      </c>
      <c r="AH1203" s="133"/>
      <c r="AI1203" s="146"/>
      <c r="AJ1203" s="143" t="e">
        <f>AJ1195/((N_6*AJ$27*AJ1202)*SQRT(AJ1201*AJ1197*AJ1199))</f>
        <v>#NUM!</v>
      </c>
      <c r="AK1203" s="133"/>
      <c r="AL1203" s="146"/>
      <c r="AM1203" s="143">
        <f>AM1195/((N_6*AM$27*AM1202)*SQRT(AM1201*AM1197*AM1199))</f>
        <v>-94.675659604161766</v>
      </c>
      <c r="AN1203" s="133"/>
      <c r="AO1203" s="146"/>
      <c r="AP1203" s="143">
        <f>AP1195/((N_6*AP$27*AP1202)*SQRT(AP1201*AP1197*AP1199))</f>
        <v>-810.76408321312852</v>
      </c>
      <c r="AQ1203" s="133"/>
      <c r="AR1203" s="146"/>
      <c r="AS1203" s="143">
        <f>AS1195/((N_6*AS$27*AS1202)*SQRT(AS1201*AS1197*AS1199))</f>
        <v>-231.59190597571509</v>
      </c>
      <c r="AT1203" s="133"/>
      <c r="AU1203" s="146"/>
    </row>
    <row r="1204" spans="13:47" x14ac:dyDescent="0.25">
      <c r="M1204" s="27"/>
      <c r="N1204" s="27"/>
      <c r="O1204" s="2" t="s">
        <v>73</v>
      </c>
      <c r="P1204" s="85">
        <v>5</v>
      </c>
      <c r="Q1204" s="2"/>
      <c r="R1204" s="179">
        <f>R1195/((N_6*R$27*0.667)*SQRT(R1205*R1197*R1199))</f>
        <v>0.25123980214066333</v>
      </c>
      <c r="S1204" s="133"/>
      <c r="T1204" s="155"/>
      <c r="U1204" s="143">
        <f>U1195/((N_6*U$27*0.667)*SQRT(U1205*U1197*U1199))</f>
        <v>4.5220996290137396</v>
      </c>
      <c r="V1204" s="133"/>
      <c r="W1204" s="155"/>
      <c r="X1204" s="143">
        <f>X1195/((N_6*X$27*0.667)*SQRT(X1205*X1197*X1199))</f>
        <v>11.557473895392837</v>
      </c>
      <c r="Y1204" s="133"/>
      <c r="Z1204" s="155"/>
      <c r="AA1204" s="143">
        <f>AA1195/((N_6*AA$27*0.667)*SQRT(AA1205*AA1197*AA1199))</f>
        <v>24.735567560804501</v>
      </c>
      <c r="AB1204" s="133"/>
      <c r="AC1204" s="155"/>
      <c r="AD1204" s="143">
        <f>AD1195/((N_6*AD$27*0.667)*SQRT(AD1205*AD1197*AD1199))</f>
        <v>51.967085486489303</v>
      </c>
      <c r="AE1204" s="133"/>
      <c r="AF1204" s="155"/>
      <c r="AG1204" s="143">
        <f>AG1195/((N_6*AG$27*0.667)*SQRT(AG1205*AG1197*AG1199))</f>
        <v>122.80789294141002</v>
      </c>
      <c r="AH1204" s="133"/>
      <c r="AI1204" s="155"/>
      <c r="AJ1204" s="143">
        <f>AJ1195/((N_6*AJ$27*0.667)*SQRT(AJ1205*AJ1197*AJ1199))</f>
        <v>673.31563466468128</v>
      </c>
      <c r="AK1204" s="133"/>
      <c r="AL1204" s="155"/>
      <c r="AM1204" s="143">
        <f>AM1195/((N_6*AM$27*0.667)*SQRT(AM1205*AM1197*AM1199))</f>
        <v>438.13398538629252</v>
      </c>
      <c r="AN1204" s="133"/>
      <c r="AO1204" s="155"/>
      <c r="AP1204" s="143">
        <f>AP1195/((N_6*AP$27*0.667)*SQRT(AP1205*AP1197*AP1199))</f>
        <v>215.13610943976647</v>
      </c>
      <c r="AQ1204" s="133"/>
      <c r="AR1204" s="155"/>
      <c r="AS1204" s="143">
        <f>AS1195/((N_6*AS$27*0.667)*SQRT(AS1205*AS1197*AS1199))</f>
        <v>226.6842894746658</v>
      </c>
      <c r="AT1204" s="133"/>
      <c r="AU1204" s="155"/>
    </row>
    <row r="1205" spans="13:47" ht="15.5" x14ac:dyDescent="0.4">
      <c r="M1205" s="27"/>
      <c r="N1205" s="27"/>
      <c r="O1205" s="2" t="s">
        <v>192</v>
      </c>
      <c r="P1205" s="85">
        <v>10</v>
      </c>
      <c r="Q1205" s="2"/>
      <c r="R1205" s="181">
        <f>F_GAMMA*R$29</f>
        <v>0.64002688015162901</v>
      </c>
      <c r="S1205" s="133"/>
      <c r="T1205" s="155"/>
      <c r="U1205" s="138">
        <f>F_GAMMA*U$29</f>
        <v>0.64016782916606918</v>
      </c>
      <c r="V1205" s="133"/>
      <c r="W1205" s="155"/>
      <c r="X1205" s="138">
        <f>F_GAMMA*X$29</f>
        <v>0.6307062319203669</v>
      </c>
      <c r="Y1205" s="133"/>
      <c r="Z1205" s="155"/>
      <c r="AA1205" s="138">
        <f>F_GAMMA*AA$29</f>
        <v>0.62217534213893466</v>
      </c>
      <c r="AB1205" s="133"/>
      <c r="AC1205" s="155"/>
      <c r="AD1205" s="138">
        <f>F_GAMMA*AD$29</f>
        <v>0.60557184969146072</v>
      </c>
      <c r="AE1205" s="133"/>
      <c r="AF1205" s="155"/>
      <c r="AG1205" s="138">
        <f>F_GAMMA*AG$29</f>
        <v>0.57289312142622573</v>
      </c>
      <c r="AH1205" s="133"/>
      <c r="AI1205" s="155"/>
      <c r="AJ1205" s="138">
        <f>F_GAMMA*AJ$29</f>
        <v>0.53590819116049981</v>
      </c>
      <c r="AK1205" s="133"/>
      <c r="AL1205" s="155"/>
      <c r="AM1205" s="138">
        <f>F_GAMMA*AM$29</f>
        <v>0.49048815926850342</v>
      </c>
      <c r="AN1205" s="133"/>
      <c r="AO1205" s="155"/>
      <c r="AP1205" s="138">
        <f>F_GAMMA*AP$29</f>
        <v>0.59352979016280105</v>
      </c>
      <c r="AQ1205" s="133"/>
      <c r="AR1205" s="155"/>
      <c r="AS1205" s="138">
        <f>F_GAMMA*AS$29</f>
        <v>0.39097221161068291</v>
      </c>
      <c r="AT1205" s="133"/>
      <c r="AU1205" s="155"/>
    </row>
    <row r="1206" spans="13:47" x14ac:dyDescent="0.25">
      <c r="M1206" s="27"/>
      <c r="N1206" s="27"/>
      <c r="O1206" s="2" t="s">
        <v>193</v>
      </c>
      <c r="P1206" s="134"/>
      <c r="Q1206" s="2"/>
      <c r="R1206" s="181">
        <f>IF(R1201&lt;R1205,R1203,R1204)</f>
        <v>0.25615645347008714</v>
      </c>
      <c r="S1206" s="133"/>
      <c r="T1206" s="155"/>
      <c r="U1206" s="138">
        <f>IF(U1201&lt;U1205,U1203,U1204)</f>
        <v>4.6137417545138666</v>
      </c>
      <c r="V1206" s="133"/>
      <c r="W1206" s="155"/>
      <c r="X1206" s="138">
        <f>IF(X1201&lt;X1205,X1203,X1204)</f>
        <v>11.807316976863991</v>
      </c>
      <c r="Y1206" s="133"/>
      <c r="Z1206" s="155"/>
      <c r="AA1206" s="138">
        <f>IF(AA1201&lt;AA1205,AA1203,AA1204)</f>
        <v>25.614407451708399</v>
      </c>
      <c r="AB1206" s="133"/>
      <c r="AC1206" s="155"/>
      <c r="AD1206" s="138">
        <f>IF(AD1201&lt;AD1205,AD1203,AD1204)</f>
        <v>58.473648930682785</v>
      </c>
      <c r="AE1206" s="133"/>
      <c r="AF1206" s="155"/>
      <c r="AG1206" s="138" t="e">
        <f>IF(AG1201&lt;AG1205,AG1203,AG1204)</f>
        <v>#NUM!</v>
      </c>
      <c r="AH1206" s="133"/>
      <c r="AI1206" s="155"/>
      <c r="AJ1206" s="138" t="e">
        <f>IF(AJ1201&lt;AJ1205,AJ1203,AJ1204)</f>
        <v>#NUM!</v>
      </c>
      <c r="AK1206" s="133"/>
      <c r="AL1206" s="155"/>
      <c r="AM1206" s="138">
        <f>IF(AM1201&lt;AM1205,AM1203,AM1204)</f>
        <v>438.13398538629252</v>
      </c>
      <c r="AN1206" s="133"/>
      <c r="AO1206" s="155"/>
      <c r="AP1206" s="138">
        <f>IF(AP1201&lt;AP1205,AP1203,AP1204)</f>
        <v>215.13610943976647</v>
      </c>
      <c r="AQ1206" s="133"/>
      <c r="AR1206" s="155"/>
      <c r="AS1206" s="138">
        <f>IF(AS1201&lt;AS1205,AS1203,AS1204)</f>
        <v>226.6842894746658</v>
      </c>
      <c r="AT1206" s="133"/>
      <c r="AU1206" s="155"/>
    </row>
    <row r="1207" spans="13:47" ht="13" x14ac:dyDescent="0.3">
      <c r="M1207" s="28"/>
      <c r="N1207" s="28"/>
      <c r="O1207" s="9" t="s">
        <v>194</v>
      </c>
      <c r="P1207" s="1"/>
      <c r="Q1207" s="1"/>
      <c r="R1207" s="135"/>
      <c r="S1207" s="132">
        <f>IF(R1200&lt;=0,W_max,ABS(R$23-R1206))</f>
        <v>1.7438435465299129</v>
      </c>
      <c r="T1207" s="151">
        <f>R1195</f>
        <v>59.240640161773435</v>
      </c>
      <c r="U1207" s="135"/>
      <c r="V1207" s="132">
        <f>IF(U1200&lt;=0,W_max,ABS(U$23-U1206))</f>
        <v>0.38625824548613341</v>
      </c>
      <c r="W1207" s="151">
        <f>U1195</f>
        <v>1060.990829376135</v>
      </c>
      <c r="X1207" s="135"/>
      <c r="Y1207" s="132">
        <f>IF(X1200&lt;=0,W_max,ABS(X$23-X1206))</f>
        <v>1.8073169768639907</v>
      </c>
      <c r="Z1207" s="151">
        <f>X1195</f>
        <v>2623.9565804359249</v>
      </c>
      <c r="AA1207" s="135"/>
      <c r="AB1207" s="132">
        <f>IF(AA1200&lt;=0,W_max,ABS(AA$23-AA1206))</f>
        <v>8.4144074517083993</v>
      </c>
      <c r="AC1207" s="151">
        <f>AA1195</f>
        <v>5110.7976658072103</v>
      </c>
      <c r="AD1207" s="135"/>
      <c r="AE1207" s="132">
        <f>IF(AD1200&lt;=0,W_max,ABS(AD$23-AD1206))</f>
        <v>31.873648930682783</v>
      </c>
      <c r="AF1207" s="151">
        <f>AD1195</f>
        <v>8405.3804761919728</v>
      </c>
      <c r="AG1207" s="135"/>
      <c r="AH1207" s="132">
        <f>IF(AG1200&lt;=0,W_max,ABS(AG$23-AG1206))</f>
        <v>7174</v>
      </c>
      <c r="AI1207" s="151">
        <f>AG1195</f>
        <v>11789.193215905902</v>
      </c>
      <c r="AJ1207" s="135"/>
      <c r="AK1207" s="132">
        <f>IF(AJ1200&lt;=0,W_max,ABS(AJ$23-AJ1206))</f>
        <v>7174</v>
      </c>
      <c r="AL1207" s="151">
        <f>AJ1195</f>
        <v>14969.147104473112</v>
      </c>
      <c r="AM1207" s="135"/>
      <c r="AN1207" s="132">
        <f>IF(AM1200&lt;=0,W_max,ABS(AM$23-AM1206))</f>
        <v>7174</v>
      </c>
      <c r="AO1207" s="151">
        <f>AM1195</f>
        <v>17552.502227426587</v>
      </c>
      <c r="AP1207" s="135"/>
      <c r="AQ1207" s="132">
        <f>IF(AP1200&lt;=0,W_max,ABS(AP$23-AP1206))</f>
        <v>7174</v>
      </c>
      <c r="AR1207" s="151">
        <f>AP1195</f>
        <v>19582.771139912307</v>
      </c>
      <c r="AS1207" s="135"/>
      <c r="AT1207" s="132">
        <f>IF(AS1200&lt;=0,W_max,ABS(AS$23-AS1206))</f>
        <v>7174</v>
      </c>
      <c r="AU1207" s="151">
        <f>AS1195</f>
        <v>21847.877900791242</v>
      </c>
    </row>
    <row r="1208" spans="13:47" ht="13" x14ac:dyDescent="0.25">
      <c r="M1208" s="12"/>
      <c r="N1208" s="12"/>
      <c r="O1208" s="2"/>
      <c r="P1208" s="85"/>
      <c r="Q1208" s="2"/>
      <c r="R1208" s="18"/>
      <c r="S1208" s="150"/>
      <c r="T1208" s="148"/>
      <c r="U1208" s="157"/>
      <c r="V1208" s="1"/>
      <c r="W1208" s="147"/>
      <c r="X1208" s="157"/>
      <c r="Y1208" s="1"/>
      <c r="Z1208" s="147"/>
      <c r="AA1208" s="157"/>
      <c r="AB1208" s="1"/>
      <c r="AC1208" s="147"/>
      <c r="AD1208" s="157"/>
      <c r="AE1208" s="1"/>
      <c r="AF1208" s="147"/>
      <c r="AG1208" s="157"/>
      <c r="AH1208" s="1"/>
      <c r="AI1208" s="147"/>
      <c r="AJ1208" s="157"/>
      <c r="AK1208" s="1"/>
      <c r="AL1208" s="147"/>
      <c r="AM1208" s="157"/>
      <c r="AN1208" s="1"/>
      <c r="AO1208" s="147"/>
      <c r="AP1208" s="157"/>
      <c r="AQ1208" s="1"/>
      <c r="AR1208" s="147"/>
      <c r="AS1208" s="157"/>
      <c r="AT1208" s="1"/>
      <c r="AU1208" s="147"/>
    </row>
    <row r="1209" spans="13:47" ht="14" x14ac:dyDescent="0.3">
      <c r="M1209" s="23"/>
      <c r="N1209" s="23"/>
      <c r="O1209" s="23" t="s">
        <v>238</v>
      </c>
      <c r="P1209" s="20"/>
      <c r="Q1209" s="20"/>
      <c r="R1209" s="181">
        <f>R1195*1.02</f>
        <v>60.425452965008901</v>
      </c>
      <c r="S1209" s="128" t="s">
        <v>185</v>
      </c>
      <c r="T1209" s="149" t="s">
        <v>186</v>
      </c>
      <c r="U1209" s="143">
        <f>U1195*1.01</f>
        <v>1071.6007376698965</v>
      </c>
      <c r="V1209" s="128" t="s">
        <v>185</v>
      </c>
      <c r="W1209" s="153" t="s">
        <v>186</v>
      </c>
      <c r="X1209" s="143">
        <f>X1195*1.01</f>
        <v>2650.1961462402842</v>
      </c>
      <c r="Y1209" s="128" t="s">
        <v>185</v>
      </c>
      <c r="Z1209" s="153" t="s">
        <v>186</v>
      </c>
      <c r="AA1209" s="143">
        <f>AA1195*1.01</f>
        <v>5161.9056424652827</v>
      </c>
      <c r="AB1209" s="128" t="s">
        <v>185</v>
      </c>
      <c r="AC1209" s="153" t="s">
        <v>186</v>
      </c>
      <c r="AD1209" s="143">
        <f>AD1195*1.01</f>
        <v>8489.4342809538921</v>
      </c>
      <c r="AE1209" s="128" t="s">
        <v>185</v>
      </c>
      <c r="AF1209" s="153" t="s">
        <v>186</v>
      </c>
      <c r="AG1209" s="143">
        <f>AG1195*1.01</f>
        <v>11907.08514806496</v>
      </c>
      <c r="AH1209" s="128" t="s">
        <v>185</v>
      </c>
      <c r="AI1209" s="153" t="s">
        <v>186</v>
      </c>
      <c r="AJ1209" s="143">
        <f>AJ1195*1.01</f>
        <v>15118.838575517842</v>
      </c>
      <c r="AK1209" s="128" t="s">
        <v>185</v>
      </c>
      <c r="AL1209" s="153" t="s">
        <v>186</v>
      </c>
      <c r="AM1209" s="143">
        <f>AM1195*1.01</f>
        <v>17728.027249700852</v>
      </c>
      <c r="AN1209" s="128" t="s">
        <v>185</v>
      </c>
      <c r="AO1209" s="153" t="s">
        <v>186</v>
      </c>
      <c r="AP1209" s="143">
        <f>AP1195*1.01</f>
        <v>19778.598851311432</v>
      </c>
      <c r="AQ1209" s="128" t="s">
        <v>185</v>
      </c>
      <c r="AR1209" s="153" t="s">
        <v>186</v>
      </c>
      <c r="AS1209" s="143">
        <f>AS1195*1.01</f>
        <v>22066.356679799155</v>
      </c>
      <c r="AT1209" s="128" t="s">
        <v>185</v>
      </c>
      <c r="AU1209" s="153" t="s">
        <v>186</v>
      </c>
    </row>
    <row r="1210" spans="13:47" ht="14" x14ac:dyDescent="0.3">
      <c r="M1210" s="12"/>
      <c r="N1210" s="12"/>
      <c r="O1210" s="20"/>
      <c r="P1210" s="20"/>
      <c r="Q1210" s="23"/>
      <c r="R1210" s="139"/>
      <c r="S1210" s="130" t="s">
        <v>228</v>
      </c>
      <c r="T1210" s="131" t="s">
        <v>187</v>
      </c>
      <c r="U1210" s="144"/>
      <c r="V1210" s="130" t="s">
        <v>228</v>
      </c>
      <c r="W1210" s="154" t="s">
        <v>187</v>
      </c>
      <c r="X1210" s="144"/>
      <c r="Y1210" s="130" t="s">
        <v>228</v>
      </c>
      <c r="Z1210" s="154" t="s">
        <v>187</v>
      </c>
      <c r="AA1210" s="144"/>
      <c r="AB1210" s="130" t="s">
        <v>228</v>
      </c>
      <c r="AC1210" s="154" t="s">
        <v>187</v>
      </c>
      <c r="AD1210" s="144"/>
      <c r="AE1210" s="130" t="s">
        <v>228</v>
      </c>
      <c r="AF1210" s="154" t="s">
        <v>187</v>
      </c>
      <c r="AG1210" s="144"/>
      <c r="AH1210" s="130" t="s">
        <v>228</v>
      </c>
      <c r="AI1210" s="154" t="s">
        <v>187</v>
      </c>
      <c r="AJ1210" s="144"/>
      <c r="AK1210" s="130" t="s">
        <v>228</v>
      </c>
      <c r="AL1210" s="154" t="s">
        <v>187</v>
      </c>
      <c r="AM1210" s="144"/>
      <c r="AN1210" s="130" t="s">
        <v>228</v>
      </c>
      <c r="AO1210" s="154" t="s">
        <v>187</v>
      </c>
      <c r="AP1210" s="144"/>
      <c r="AQ1210" s="130" t="s">
        <v>228</v>
      </c>
      <c r="AR1210" s="154" t="s">
        <v>187</v>
      </c>
      <c r="AS1210" s="144"/>
      <c r="AT1210" s="130" t="s">
        <v>228</v>
      </c>
      <c r="AU1210" s="154" t="s">
        <v>187</v>
      </c>
    </row>
    <row r="1211" spans="13:47" x14ac:dyDescent="0.25">
      <c r="M1211" s="20"/>
      <c r="N1211" s="20"/>
      <c r="O1211" s="7" t="s">
        <v>188</v>
      </c>
      <c r="P1211" s="7"/>
      <c r="Q1211" s="7"/>
      <c r="R1211" s="181">
        <f>P_1_minW-(R1209^2*R_up)+dpup_minQ</f>
        <v>100.5213307634066</v>
      </c>
      <c r="S1211" s="132"/>
      <c r="T1211" s="145"/>
      <c r="U1211" s="138">
        <f>P_1_minW-(U1209^2*R_up)+dpup_minQ</f>
        <v>100.06487729830137</v>
      </c>
      <c r="V1211" s="132"/>
      <c r="W1211" s="145"/>
      <c r="X1211" s="138">
        <f>P_1_minW-(X1209^2*R_up)+dpup_minQ</f>
        <v>97.722067181541235</v>
      </c>
      <c r="Y1211" s="132"/>
      <c r="Z1211" s="145"/>
      <c r="AA1211" s="138">
        <f>P_1_minW-(AA1209^2*R_up)+dpup_minQ</f>
        <v>89.897669992035361</v>
      </c>
      <c r="AB1211" s="132"/>
      <c r="AC1211" s="145"/>
      <c r="AD1211" s="138">
        <f>P_1_minW-(AD1209^2*R_up)+dpup_minQ</f>
        <v>71.783824026467286</v>
      </c>
      <c r="AE1211" s="132"/>
      <c r="AF1211" s="145"/>
      <c r="AG1211" s="138">
        <f>P_1_minW-(AG1209^2*R_up)+dpup_minQ</f>
        <v>43.986861226845761</v>
      </c>
      <c r="AH1211" s="132"/>
      <c r="AI1211" s="145"/>
      <c r="AJ1211" s="138">
        <f>P_1_minW-(AJ1209^2*R_up)+dpup_minQ</f>
        <v>9.37409330378334</v>
      </c>
      <c r="AK1211" s="132"/>
      <c r="AL1211" s="145"/>
      <c r="AM1211" s="138">
        <f>P_1_minW-(AM1209^2*R_up)+dpup_minQ</f>
        <v>-24.801259659187423</v>
      </c>
      <c r="AN1211" s="132"/>
      <c r="AO1211" s="145"/>
      <c r="AP1211" s="138">
        <f>P_1_minW-(AP1209^2*R_up)+dpup_minQ</f>
        <v>-55.470041420427904</v>
      </c>
      <c r="AQ1211" s="132"/>
      <c r="AR1211" s="145"/>
      <c r="AS1211" s="138">
        <f>P_1_minW-(AS1209^2*R_up)+dpup_minQ</f>
        <v>-93.643960477883681</v>
      </c>
      <c r="AT1211" s="132"/>
      <c r="AU1211" s="145"/>
    </row>
    <row r="1212" spans="13:47" x14ac:dyDescent="0.25">
      <c r="M1212" s="20"/>
      <c r="N1212" s="20"/>
      <c r="O1212" s="7" t="s">
        <v>189</v>
      </c>
      <c r="P1212" s="1"/>
      <c r="Q1212" s="7"/>
      <c r="R1212" s="181">
        <f>P_2_minW+(R1209^2*R_dn)-dpdn_minQ</f>
        <v>50</v>
      </c>
      <c r="S1212" s="132"/>
      <c r="T1212" s="146"/>
      <c r="U1212" s="138">
        <f>P_2_minW+(U1209^2*R_dn)-dpdn_minQ</f>
        <v>50</v>
      </c>
      <c r="V1212" s="132"/>
      <c r="W1212" s="146"/>
      <c r="X1212" s="138">
        <f>P_2_minW+(X1209^2*R_dn)-dpdn_minQ</f>
        <v>50</v>
      </c>
      <c r="Y1212" s="132"/>
      <c r="Z1212" s="146"/>
      <c r="AA1212" s="138">
        <f>P_2_minW+(AA1209^2*R_dn)-dpdn_minQ</f>
        <v>50</v>
      </c>
      <c r="AB1212" s="132"/>
      <c r="AC1212" s="146"/>
      <c r="AD1212" s="138">
        <f>P_2_minW+(AD1209^2*R_dn)-dpdn_minQ</f>
        <v>50</v>
      </c>
      <c r="AE1212" s="132"/>
      <c r="AF1212" s="146"/>
      <c r="AG1212" s="138">
        <f>P_2_minW+(AG1209^2*R_dn)-dpdn_minQ</f>
        <v>50</v>
      </c>
      <c r="AH1212" s="132"/>
      <c r="AI1212" s="146"/>
      <c r="AJ1212" s="138">
        <f>P_2_minW+(AJ1209^2*R_dn)-dpdn_minQ</f>
        <v>50</v>
      </c>
      <c r="AK1212" s="132"/>
      <c r="AL1212" s="146"/>
      <c r="AM1212" s="138">
        <f>P_2_minW+(AM1209^2*R_dn)-dpdn_minQ</f>
        <v>50</v>
      </c>
      <c r="AN1212" s="132"/>
      <c r="AO1212" s="146"/>
      <c r="AP1212" s="138">
        <f>P_2_minW+(AP1209^2*R_dn)-dpdn_minQ</f>
        <v>50</v>
      </c>
      <c r="AQ1212" s="132"/>
      <c r="AR1212" s="146"/>
      <c r="AS1212" s="138">
        <f>P_2_minW+(AS1209^2*R_dn)-dpdn_minQ</f>
        <v>50</v>
      </c>
      <c r="AT1212" s="132"/>
      <c r="AU1212" s="146"/>
    </row>
    <row r="1213" spans="13:47" x14ac:dyDescent="0.25">
      <c r="M1213" s="20"/>
      <c r="N1213" s="20"/>
      <c r="O1213" s="7" t="s">
        <v>234</v>
      </c>
      <c r="P1213" s="1"/>
      <c r="Q1213" s="7"/>
      <c r="R1213" s="179">
        <f>'Valve Sizing'!G$8*R1211/P_1_maxW</f>
        <v>0.48489700288281473</v>
      </c>
      <c r="S1213" s="132"/>
      <c r="T1213" s="146"/>
      <c r="U1213" s="143">
        <f>'Valve Sizing'!$G$8*U1211/P_1_maxW</f>
        <v>0.48269515263367763</v>
      </c>
      <c r="V1213" s="132"/>
      <c r="W1213" s="146"/>
      <c r="X1213" s="143">
        <f>'Valve Sizing'!$G$8*X1211/P_1_maxW</f>
        <v>0.47139385374205894</v>
      </c>
      <c r="Y1213" s="132"/>
      <c r="Z1213" s="146"/>
      <c r="AA1213" s="143">
        <f>'Valve Sizing'!$G$8*AA1211/P_1_maxW</f>
        <v>0.43365035474794017</v>
      </c>
      <c r="AB1213" s="132"/>
      <c r="AC1213" s="146"/>
      <c r="AD1213" s="143">
        <f>'Valve Sizing'!$G$8*AD1211/P_1_maxW</f>
        <v>0.34627238678153932</v>
      </c>
      <c r="AE1213" s="132"/>
      <c r="AF1213" s="146"/>
      <c r="AG1213" s="143">
        <f>'Valve Sizing'!$G$8*AG1211/P_1_maxW</f>
        <v>0.21218478718035799</v>
      </c>
      <c r="AH1213" s="132"/>
      <c r="AI1213" s="146"/>
      <c r="AJ1213" s="143">
        <f>'Valve Sizing'!$G$8*AJ1211/P_1_maxW</f>
        <v>4.5218957143005917E-2</v>
      </c>
      <c r="AK1213" s="132"/>
      <c r="AL1213" s="146"/>
      <c r="AM1213" s="143">
        <f>'Valve Sizing'!$G$8*AM1211/P_1_maxW</f>
        <v>-0.11963686100379763</v>
      </c>
      <c r="AN1213" s="132"/>
      <c r="AO1213" s="146"/>
      <c r="AP1213" s="143">
        <f>'Valve Sizing'!$G$8*AP1211/P_1_maxW</f>
        <v>-0.26757760397997699</v>
      </c>
      <c r="AQ1213" s="132"/>
      <c r="AR1213" s="146"/>
      <c r="AS1213" s="143">
        <f>'Valve Sizing'!$G$8*AS1211/P_1_maxW</f>
        <v>-0.45172179306576182</v>
      </c>
      <c r="AT1213" s="132"/>
      <c r="AU1213" s="146"/>
    </row>
    <row r="1214" spans="13:47" x14ac:dyDescent="0.25">
      <c r="M1214" s="20"/>
      <c r="N1214" s="20"/>
      <c r="O1214" s="7" t="s">
        <v>190</v>
      </c>
      <c r="P1214" s="1"/>
      <c r="Q1214" s="7"/>
      <c r="R1214" s="181">
        <f>R1211-R1212</f>
        <v>50.521330763406596</v>
      </c>
      <c r="S1214" s="132"/>
      <c r="T1214" s="146"/>
      <c r="U1214" s="138">
        <f>U1211-U1212</f>
        <v>50.064877298301369</v>
      </c>
      <c r="V1214" s="132"/>
      <c r="W1214" s="146"/>
      <c r="X1214" s="138">
        <f>X1211-X1212</f>
        <v>47.722067181541235</v>
      </c>
      <c r="Y1214" s="132"/>
      <c r="Z1214" s="146"/>
      <c r="AA1214" s="138">
        <f>AA1211-AA1212</f>
        <v>39.897669992035361</v>
      </c>
      <c r="AB1214" s="132"/>
      <c r="AC1214" s="146"/>
      <c r="AD1214" s="138">
        <f>AD1211-AD1212</f>
        <v>21.783824026467286</v>
      </c>
      <c r="AE1214" s="132"/>
      <c r="AF1214" s="146"/>
      <c r="AG1214" s="138">
        <f>AG1211-AG1212</f>
        <v>-6.0131387731542389</v>
      </c>
      <c r="AH1214" s="132"/>
      <c r="AI1214" s="146"/>
      <c r="AJ1214" s="138">
        <f>AJ1211-AJ1212</f>
        <v>-40.62590669621666</v>
      </c>
      <c r="AK1214" s="132"/>
      <c r="AL1214" s="146"/>
      <c r="AM1214" s="138">
        <f>AM1211-AM1212</f>
        <v>-74.801259659187423</v>
      </c>
      <c r="AN1214" s="132"/>
      <c r="AO1214" s="146"/>
      <c r="AP1214" s="138">
        <f>AP1211-AP1212</f>
        <v>-105.4700414204279</v>
      </c>
      <c r="AQ1214" s="132"/>
      <c r="AR1214" s="146"/>
      <c r="AS1214" s="138">
        <f>AS1211-AS1212</f>
        <v>-143.6439604778837</v>
      </c>
      <c r="AT1214" s="132"/>
      <c r="AU1214" s="146"/>
    </row>
    <row r="1215" spans="13:47" ht="14.5" x14ac:dyDescent="0.35">
      <c r="M1215" s="27"/>
      <c r="N1215" s="27"/>
      <c r="O1215" s="2" t="s">
        <v>191</v>
      </c>
      <c r="P1215" s="10"/>
      <c r="Q1215" s="2"/>
      <c r="R1215" s="181">
        <f>R1214/R1211</f>
        <v>0.50259313500650737</v>
      </c>
      <c r="S1215" s="132"/>
      <c r="T1215" s="146"/>
      <c r="U1215" s="138">
        <f>U1214/U1211</f>
        <v>0.50032417617476288</v>
      </c>
      <c r="V1215" s="132"/>
      <c r="W1215" s="146"/>
      <c r="X1215" s="138">
        <f>X1214/X1211</f>
        <v>0.4883448391742114</v>
      </c>
      <c r="Y1215" s="132"/>
      <c r="Z1215" s="146"/>
      <c r="AA1215" s="138">
        <f>AA1214/AA1211</f>
        <v>0.44381205870597273</v>
      </c>
      <c r="AB1215" s="132"/>
      <c r="AC1215" s="146"/>
      <c r="AD1215" s="138">
        <f>AD1214/AD1211</f>
        <v>0.30346424590636756</v>
      </c>
      <c r="AE1215" s="132"/>
      <c r="AF1215" s="146"/>
      <c r="AG1215" s="138">
        <f>AG1214/AG1211</f>
        <v>-0.13670306553913289</v>
      </c>
      <c r="AH1215" s="132"/>
      <c r="AI1215" s="146"/>
      <c r="AJ1215" s="138">
        <f>AJ1214/AJ1211</f>
        <v>-4.3338491926275404</v>
      </c>
      <c r="AK1215" s="132"/>
      <c r="AL1215" s="146"/>
      <c r="AM1215" s="138">
        <f>AM1214/AM1211</f>
        <v>3.0160266328036252</v>
      </c>
      <c r="AN1215" s="132"/>
      <c r="AO1215" s="146"/>
      <c r="AP1215" s="138">
        <f>AP1214/AP1211</f>
        <v>1.9013874646501805</v>
      </c>
      <c r="AQ1215" s="132"/>
      <c r="AR1215" s="146"/>
      <c r="AS1215" s="138">
        <f>AS1214/AS1211</f>
        <v>1.5339372634907804</v>
      </c>
      <c r="AT1215" s="132"/>
      <c r="AU1215" s="146"/>
    </row>
    <row r="1216" spans="13:47" x14ac:dyDescent="0.25">
      <c r="M1216" s="27"/>
      <c r="N1216" s="27"/>
      <c r="O1216" s="2" t="s">
        <v>26</v>
      </c>
      <c r="P1216" s="7">
        <v>12</v>
      </c>
      <c r="Q1216" s="2"/>
      <c r="R1216" s="181">
        <f>1-R1215/(3*F_GAMMA*R$29)</f>
        <v>0.73824373600921378</v>
      </c>
      <c r="S1216" s="133"/>
      <c r="T1216" s="146"/>
      <c r="U1216" s="138">
        <f>1-U1215/(3*F_GAMMA*U$29)</f>
        <v>0.73948280779925957</v>
      </c>
      <c r="V1216" s="133"/>
      <c r="W1216" s="146"/>
      <c r="X1216" s="138">
        <f>1-X1215/(3*F_GAMMA*X$29)</f>
        <v>0.74190581158135238</v>
      </c>
      <c r="Y1216" s="133"/>
      <c r="Z1216" s="146"/>
      <c r="AA1216" s="138">
        <f>1-AA1215/(3*F_GAMMA*AA$29)</f>
        <v>0.76222562534637417</v>
      </c>
      <c r="AB1216" s="133"/>
      <c r="AC1216" s="146"/>
      <c r="AD1216" s="138">
        <f>1-AD1215/(3*F_GAMMA*AD$29)</f>
        <v>0.83295995564028569</v>
      </c>
      <c r="AE1216" s="133"/>
      <c r="AF1216" s="146"/>
      <c r="AG1216" s="138">
        <f>1-AG1215/(3*F_GAMMA*AG$29)</f>
        <v>1.079539597891493</v>
      </c>
      <c r="AH1216" s="133"/>
      <c r="AI1216" s="146"/>
      <c r="AJ1216" s="138">
        <f>1-AJ1215/(3*F_GAMMA*AJ$29)</f>
        <v>3.6956415695274631</v>
      </c>
      <c r="AK1216" s="133"/>
      <c r="AL1216" s="146"/>
      <c r="AM1216" s="138">
        <f>1-AM1215/(3*F_GAMMA*AM$29)</f>
        <v>-1.0496768208102583</v>
      </c>
      <c r="AN1216" s="133"/>
      <c r="AO1216" s="146"/>
      <c r="AP1216" s="138">
        <f>1-AP1215/(3*F_GAMMA*AP$29)</f>
        <v>-6.7841635002371836E-2</v>
      </c>
      <c r="AQ1216" s="133"/>
      <c r="AR1216" s="146"/>
      <c r="AS1216" s="138">
        <f>1-AS1215/(3*F_GAMMA*AS$29)</f>
        <v>-0.30779734717499907</v>
      </c>
      <c r="AT1216" s="133"/>
      <c r="AU1216" s="146"/>
    </row>
    <row r="1217" spans="13:47" x14ac:dyDescent="0.25">
      <c r="M1217" s="27"/>
      <c r="N1217" s="27"/>
      <c r="O1217" s="2" t="s">
        <v>71</v>
      </c>
      <c r="P1217" s="85">
        <v>5</v>
      </c>
      <c r="Q1217" s="2"/>
      <c r="R1217" s="179">
        <f>R1209/((N_6*R$27*R1216)*SQRT(R1215*R1211*R1213))</f>
        <v>0.26127975064511128</v>
      </c>
      <c r="S1217" s="133"/>
      <c r="T1217" s="146"/>
      <c r="U1217" s="143">
        <f>U1209/((N_6*U$27*U1216)*SQRT(U1215*U1211*U1213))</f>
        <v>4.6603613117925695</v>
      </c>
      <c r="V1217" s="133"/>
      <c r="W1217" s="146"/>
      <c r="X1217" s="143">
        <f>X1209/((N_6*X$27*X1216)*SQRT(X1215*X1211*X1213))</f>
        <v>11.933196707824422</v>
      </c>
      <c r="Y1217" s="133"/>
      <c r="Z1217" s="146"/>
      <c r="AA1217" s="143">
        <f>AA1209/((N_6*AA$27*AA1216)*SQRT(AA1215*AA1211*AA1213))</f>
        <v>25.944936658589857</v>
      </c>
      <c r="AB1217" s="133"/>
      <c r="AC1217" s="146"/>
      <c r="AD1217" s="143">
        <f>AD1209/((N_6*AD$27*AD1216)*SQRT(AD1215*AD1211*AD1213))</f>
        <v>59.840199906617549</v>
      </c>
      <c r="AE1217" s="133"/>
      <c r="AF1217" s="146"/>
      <c r="AG1217" s="143" t="e">
        <f>AG1209/((N_6*AG$27*AG1216)*SQRT(AG1215*AG1211*AG1213))</f>
        <v>#NUM!</v>
      </c>
      <c r="AH1217" s="133"/>
      <c r="AI1217" s="146"/>
      <c r="AJ1217" s="143" t="e">
        <f>AJ1209/((N_6*AJ$27*AJ1216)*SQRT(AJ1215*AJ1211*AJ1213))</f>
        <v>#NUM!</v>
      </c>
      <c r="AK1217" s="133"/>
      <c r="AL1217" s="146"/>
      <c r="AM1217" s="143">
        <f>AM1209/((N_6*AM$27*AM1216)*SQRT(AM1215*AM1211*AM1213))</f>
        <v>-102.10494669877501</v>
      </c>
      <c r="AN1217" s="133"/>
      <c r="AO1217" s="146"/>
      <c r="AP1217" s="143">
        <f>AP1209/((N_6*AP$27*AP1216)*SQRT(AP1215*AP1211*AP1213))</f>
        <v>-1127.4384464441837</v>
      </c>
      <c r="AQ1217" s="133"/>
      <c r="AR1217" s="146"/>
      <c r="AS1217" s="143">
        <f>AS1209/((N_6*AS$27*AS1216)*SQRT(AS1215*AS1211*AS1213))</f>
        <v>-240.2464813788981</v>
      </c>
      <c r="AT1217" s="133"/>
      <c r="AU1217" s="146"/>
    </row>
    <row r="1218" spans="13:47" x14ac:dyDescent="0.25">
      <c r="M1218" s="27"/>
      <c r="N1218" s="27"/>
      <c r="O1218" s="2" t="s">
        <v>73</v>
      </c>
      <c r="P1218" s="85">
        <v>5</v>
      </c>
      <c r="Q1218" s="2"/>
      <c r="R1218" s="179">
        <f>R1209/((N_6*R$27*0.667)*SQRT(R1219*R1211*R1213))</f>
        <v>0.25626474231694041</v>
      </c>
      <c r="S1218" s="133"/>
      <c r="T1218" s="147"/>
      <c r="U1218" s="143">
        <f>U1209/((N_6*U$27*0.667)*SQRT(U1219*U1211*U1213))</f>
        <v>4.5677324503332484</v>
      </c>
      <c r="V1218" s="133"/>
      <c r="W1218" s="155"/>
      <c r="X1218" s="143">
        <f>X1209/((N_6*X$27*0.667)*SQRT(X1219*X1211*X1213))</f>
        <v>11.679640594647722</v>
      </c>
      <c r="Y1218" s="133"/>
      <c r="Z1218" s="155"/>
      <c r="AA1218" s="143">
        <f>AA1209/((N_6*AA$27*0.667)*SQRT(AA1219*AA1211*AA1213))</f>
        <v>25.041104324408291</v>
      </c>
      <c r="AB1218" s="133"/>
      <c r="AC1218" s="155"/>
      <c r="AD1218" s="143">
        <f>AD1209/((N_6*AD$27*0.667)*SQRT(AD1219*AD1211*AD1213))</f>
        <v>52.900801339962612</v>
      </c>
      <c r="AE1218" s="133"/>
      <c r="AF1218" s="155"/>
      <c r="AG1218" s="143">
        <f>AG1209/((N_6*AG$27*0.667)*SQRT(AG1219*AG1211*AG1213))</f>
        <v>127.17722183545885</v>
      </c>
      <c r="AH1218" s="133"/>
      <c r="AI1218" s="155"/>
      <c r="AJ1218" s="143">
        <f>AJ1209/((N_6*AJ$27*0.667)*SQRT(AJ1219*AJ1211*AJ1213))</f>
        <v>810.33983334838717</v>
      </c>
      <c r="AK1218" s="133"/>
      <c r="AL1218" s="155"/>
      <c r="AM1218" s="143">
        <f>AM1209/((N_6*AM$27*0.667)*SQRT(AM1219*AM1211*AM1213))</f>
        <v>398.45554819892203</v>
      </c>
      <c r="AN1218" s="133"/>
      <c r="AO1218" s="155"/>
      <c r="AP1218" s="143">
        <f>AP1209/((N_6*AP$27*0.667)*SQRT(AP1219*AP1211*AP1213))</f>
        <v>205.24725847908991</v>
      </c>
      <c r="AQ1218" s="133"/>
      <c r="AR1218" s="155"/>
      <c r="AS1218" s="143">
        <f>AS1209/((N_6*AS$27*0.667)*SQRT(AS1219*AS1211*AS1213))</f>
        <v>219.59726542680056</v>
      </c>
      <c r="AT1218" s="133"/>
      <c r="AU1218" s="155"/>
    </row>
    <row r="1219" spans="13:47" ht="15.5" x14ac:dyDescent="0.4">
      <c r="M1219" s="27"/>
      <c r="N1219" s="27"/>
      <c r="O1219" s="2" t="s">
        <v>192</v>
      </c>
      <c r="P1219" s="85">
        <v>10</v>
      </c>
      <c r="Q1219" s="2"/>
      <c r="R1219" s="181">
        <f>F_GAMMA*R$29</f>
        <v>0.64002688015162901</v>
      </c>
      <c r="S1219" s="133"/>
      <c r="T1219" s="147"/>
      <c r="U1219" s="138">
        <f>F_GAMMA*U$29</f>
        <v>0.64016782916606918</v>
      </c>
      <c r="V1219" s="133"/>
      <c r="W1219" s="155"/>
      <c r="X1219" s="138">
        <f>F_GAMMA*X$29</f>
        <v>0.6307062319203669</v>
      </c>
      <c r="Y1219" s="133"/>
      <c r="Z1219" s="155"/>
      <c r="AA1219" s="138">
        <f>F_GAMMA*AA$29</f>
        <v>0.62217534213893466</v>
      </c>
      <c r="AB1219" s="133"/>
      <c r="AC1219" s="155"/>
      <c r="AD1219" s="138">
        <f>F_GAMMA*AD$29</f>
        <v>0.60557184969146072</v>
      </c>
      <c r="AE1219" s="133"/>
      <c r="AF1219" s="155"/>
      <c r="AG1219" s="138">
        <f>F_GAMMA*AG$29</f>
        <v>0.57289312142622573</v>
      </c>
      <c r="AH1219" s="133"/>
      <c r="AI1219" s="155"/>
      <c r="AJ1219" s="138">
        <f>F_GAMMA*AJ$29</f>
        <v>0.53590819116049981</v>
      </c>
      <c r="AK1219" s="133"/>
      <c r="AL1219" s="155"/>
      <c r="AM1219" s="138">
        <f>F_GAMMA*AM$29</f>
        <v>0.49048815926850342</v>
      </c>
      <c r="AN1219" s="133"/>
      <c r="AO1219" s="155"/>
      <c r="AP1219" s="138">
        <f>F_GAMMA*AP$29</f>
        <v>0.59352979016280105</v>
      </c>
      <c r="AQ1219" s="133"/>
      <c r="AR1219" s="155"/>
      <c r="AS1219" s="138">
        <f>F_GAMMA*AS$29</f>
        <v>0.39097221161068291</v>
      </c>
      <c r="AT1219" s="133"/>
      <c r="AU1219" s="155"/>
    </row>
    <row r="1220" spans="13:47" x14ac:dyDescent="0.25">
      <c r="M1220" s="27"/>
      <c r="N1220" s="27"/>
      <c r="O1220" s="2" t="s">
        <v>193</v>
      </c>
      <c r="P1220" s="134"/>
      <c r="Q1220" s="2"/>
      <c r="R1220" s="181">
        <f>IF(R1215&lt;R1219,R1217,R1218)</f>
        <v>0.26127975064511128</v>
      </c>
      <c r="S1220" s="133"/>
      <c r="T1220" s="147"/>
      <c r="U1220" s="138">
        <f>IF(U1215&lt;U1219,U1217,U1218)</f>
        <v>4.6603613117925695</v>
      </c>
      <c r="V1220" s="133"/>
      <c r="W1220" s="155"/>
      <c r="X1220" s="138">
        <f>IF(X1215&lt;X1219,X1217,X1218)</f>
        <v>11.933196707824422</v>
      </c>
      <c r="Y1220" s="133"/>
      <c r="Z1220" s="155"/>
      <c r="AA1220" s="138">
        <f>IF(AA1215&lt;AA1219,AA1217,AA1218)</f>
        <v>25.944936658589857</v>
      </c>
      <c r="AB1220" s="133"/>
      <c r="AC1220" s="155"/>
      <c r="AD1220" s="138">
        <f>IF(AD1215&lt;AD1219,AD1217,AD1218)</f>
        <v>59.840199906617549</v>
      </c>
      <c r="AE1220" s="133"/>
      <c r="AF1220" s="155"/>
      <c r="AG1220" s="138" t="e">
        <f>IF(AG1215&lt;AG1219,AG1217,AG1218)</f>
        <v>#NUM!</v>
      </c>
      <c r="AH1220" s="133"/>
      <c r="AI1220" s="155"/>
      <c r="AJ1220" s="138" t="e">
        <f>IF(AJ1215&lt;AJ1219,AJ1217,AJ1218)</f>
        <v>#NUM!</v>
      </c>
      <c r="AK1220" s="133"/>
      <c r="AL1220" s="155"/>
      <c r="AM1220" s="138">
        <f>IF(AM1215&lt;AM1219,AM1217,AM1218)</f>
        <v>398.45554819892203</v>
      </c>
      <c r="AN1220" s="133"/>
      <c r="AO1220" s="155"/>
      <c r="AP1220" s="138">
        <f>IF(AP1215&lt;AP1219,AP1217,AP1218)</f>
        <v>205.24725847908991</v>
      </c>
      <c r="AQ1220" s="133"/>
      <c r="AR1220" s="155"/>
      <c r="AS1220" s="138">
        <f>IF(AS1215&lt;AS1219,AS1217,AS1218)</f>
        <v>219.59726542680056</v>
      </c>
      <c r="AT1220" s="133"/>
      <c r="AU1220" s="155"/>
    </row>
    <row r="1221" spans="13:47" ht="13" x14ac:dyDescent="0.3">
      <c r="M1221" s="28"/>
      <c r="N1221" s="28"/>
      <c r="O1221" s="9" t="s">
        <v>194</v>
      </c>
      <c r="P1221" s="1"/>
      <c r="Q1221" s="1"/>
      <c r="R1221" s="135"/>
      <c r="S1221" s="132">
        <f>IF(R1214&lt;=0,W_max,ABS(R$23-R1220))</f>
        <v>1.7387202493548888</v>
      </c>
      <c r="T1221" s="151">
        <f>R1209</f>
        <v>60.425452965008901</v>
      </c>
      <c r="U1221" s="135"/>
      <c r="V1221" s="132">
        <f>IF(U1214&lt;=0,W_max,ABS(U$23-U1220))</f>
        <v>0.33963868820743048</v>
      </c>
      <c r="W1221" s="151">
        <f>U1209</f>
        <v>1071.6007376698965</v>
      </c>
      <c r="X1221" s="135"/>
      <c r="Y1221" s="132">
        <f>IF(X1214&lt;=0,W_max,ABS(X$23-X1220))</f>
        <v>1.9331967078244219</v>
      </c>
      <c r="Z1221" s="151">
        <f>X1209</f>
        <v>2650.1961462402842</v>
      </c>
      <c r="AA1221" s="135"/>
      <c r="AB1221" s="132">
        <f>IF(AA1214&lt;=0,W_max,ABS(AA$23-AA1220))</f>
        <v>8.7449366585898574</v>
      </c>
      <c r="AC1221" s="151">
        <f>AA1209</f>
        <v>5161.9056424652827</v>
      </c>
      <c r="AD1221" s="135"/>
      <c r="AE1221" s="132">
        <f>IF(AD1214&lt;=0,W_max,ABS(AD$23-AD1220))</f>
        <v>33.240199906617548</v>
      </c>
      <c r="AF1221" s="151">
        <f>AD1209</f>
        <v>8489.4342809538921</v>
      </c>
      <c r="AG1221" s="135"/>
      <c r="AH1221" s="132">
        <f>IF(AG1214&lt;=0,W_max,ABS(AG$23-AG1220))</f>
        <v>7174</v>
      </c>
      <c r="AI1221" s="151">
        <f>AG1209</f>
        <v>11907.08514806496</v>
      </c>
      <c r="AJ1221" s="135"/>
      <c r="AK1221" s="132">
        <f>IF(AJ1214&lt;=0,W_max,ABS(AJ$23-AJ1220))</f>
        <v>7174</v>
      </c>
      <c r="AL1221" s="151">
        <f>AJ1209</f>
        <v>15118.838575517842</v>
      </c>
      <c r="AM1221" s="135"/>
      <c r="AN1221" s="132">
        <f>IF(AM1214&lt;=0,W_max,ABS(AM$23-AM1220))</f>
        <v>7174</v>
      </c>
      <c r="AO1221" s="151">
        <f>AM1209</f>
        <v>17728.027249700852</v>
      </c>
      <c r="AP1221" s="135"/>
      <c r="AQ1221" s="132">
        <f>IF(AP1214&lt;=0,W_max,ABS(AP$23-AP1220))</f>
        <v>7174</v>
      </c>
      <c r="AR1221" s="151">
        <f>AP1209</f>
        <v>19778.598851311432</v>
      </c>
      <c r="AS1221" s="135"/>
      <c r="AT1221" s="132">
        <f>IF(AS1214&lt;=0,W_max,ABS(AS$23-AS1220))</f>
        <v>7174</v>
      </c>
      <c r="AU1221" s="151">
        <f>AS1209</f>
        <v>22066.356679799155</v>
      </c>
    </row>
    <row r="1222" spans="13:47" ht="13" x14ac:dyDescent="0.25">
      <c r="M1222" s="12"/>
      <c r="N1222" s="12"/>
      <c r="O1222" s="12"/>
      <c r="P1222" s="12"/>
      <c r="Q1222" s="12"/>
      <c r="R1222" s="182"/>
      <c r="S1222" s="22"/>
      <c r="T1222" s="152"/>
      <c r="U1222" s="157"/>
      <c r="V1222" s="1"/>
      <c r="W1222" s="147"/>
      <c r="X1222" s="157"/>
      <c r="Y1222" s="1"/>
      <c r="Z1222" s="147"/>
      <c r="AA1222" s="157"/>
      <c r="AB1222" s="1"/>
      <c r="AC1222" s="147"/>
      <c r="AD1222" s="157"/>
      <c r="AE1222" s="1"/>
      <c r="AF1222" s="147"/>
      <c r="AG1222" s="157"/>
      <c r="AH1222" s="1"/>
      <c r="AI1222" s="147"/>
      <c r="AJ1222" s="157"/>
      <c r="AK1222" s="1"/>
      <c r="AL1222" s="147"/>
      <c r="AM1222" s="157"/>
      <c r="AN1222" s="1"/>
      <c r="AO1222" s="147"/>
      <c r="AP1222" s="157"/>
      <c r="AQ1222" s="1"/>
      <c r="AR1222" s="147"/>
      <c r="AS1222" s="157"/>
      <c r="AT1222" s="1"/>
      <c r="AU1222" s="147"/>
    </row>
    <row r="1223" spans="13:47" ht="14" x14ac:dyDescent="0.3">
      <c r="M1223" s="23"/>
      <c r="N1223" s="23"/>
      <c r="O1223" s="23" t="s">
        <v>238</v>
      </c>
      <c r="P1223" s="20"/>
      <c r="Q1223" s="20"/>
      <c r="R1223" s="18">
        <f>R1209*1.02</f>
        <v>61.633962024309078</v>
      </c>
      <c r="S1223" s="128" t="s">
        <v>185</v>
      </c>
      <c r="T1223" s="153" t="s">
        <v>186</v>
      </c>
      <c r="U1223" s="143">
        <f>U1209*1.01</f>
        <v>1082.3167450465955</v>
      </c>
      <c r="V1223" s="128" t="s">
        <v>185</v>
      </c>
      <c r="W1223" s="153" t="s">
        <v>186</v>
      </c>
      <c r="X1223" s="143">
        <f>X1209*1.01</f>
        <v>2676.6981077026871</v>
      </c>
      <c r="Y1223" s="128" t="s">
        <v>185</v>
      </c>
      <c r="Z1223" s="153" t="s">
        <v>186</v>
      </c>
      <c r="AA1223" s="143">
        <f>AA1209*1.01</f>
        <v>5213.5246988899353</v>
      </c>
      <c r="AB1223" s="128" t="s">
        <v>185</v>
      </c>
      <c r="AC1223" s="153" t="s">
        <v>186</v>
      </c>
      <c r="AD1223" s="143">
        <f>AD1209*1.01</f>
        <v>8574.3286237634311</v>
      </c>
      <c r="AE1223" s="128" t="s">
        <v>185</v>
      </c>
      <c r="AF1223" s="153" t="s">
        <v>186</v>
      </c>
      <c r="AG1223" s="143">
        <f>AG1209*1.01</f>
        <v>12026.15599954561</v>
      </c>
      <c r="AH1223" s="128" t="s">
        <v>185</v>
      </c>
      <c r="AI1223" s="153" t="s">
        <v>186</v>
      </c>
      <c r="AJ1223" s="143">
        <f>AJ1209*1.01</f>
        <v>15270.026961273021</v>
      </c>
      <c r="AK1223" s="128" t="s">
        <v>185</v>
      </c>
      <c r="AL1223" s="153" t="s">
        <v>186</v>
      </c>
      <c r="AM1223" s="143">
        <f>AM1209*1.01</f>
        <v>17905.307522197862</v>
      </c>
      <c r="AN1223" s="128" t="s">
        <v>185</v>
      </c>
      <c r="AO1223" s="153" t="s">
        <v>186</v>
      </c>
      <c r="AP1223" s="143">
        <f>AP1209*1.01</f>
        <v>19976.384839824546</v>
      </c>
      <c r="AQ1223" s="128" t="s">
        <v>185</v>
      </c>
      <c r="AR1223" s="153" t="s">
        <v>186</v>
      </c>
      <c r="AS1223" s="143">
        <f>AS1209*1.01</f>
        <v>22287.020246597149</v>
      </c>
      <c r="AT1223" s="128" t="s">
        <v>185</v>
      </c>
      <c r="AU1223" s="153" t="s">
        <v>186</v>
      </c>
    </row>
    <row r="1224" spans="13:47" ht="14" x14ac:dyDescent="0.3">
      <c r="M1224" s="12"/>
      <c r="N1224" s="12"/>
      <c r="O1224" s="20"/>
      <c r="P1224" s="20"/>
      <c r="Q1224" s="23"/>
      <c r="R1224" s="139"/>
      <c r="S1224" s="130" t="s">
        <v>228</v>
      </c>
      <c r="T1224" s="154" t="s">
        <v>187</v>
      </c>
      <c r="U1224" s="144"/>
      <c r="V1224" s="130" t="s">
        <v>228</v>
      </c>
      <c r="W1224" s="154" t="s">
        <v>187</v>
      </c>
      <c r="X1224" s="144"/>
      <c r="Y1224" s="130" t="s">
        <v>228</v>
      </c>
      <c r="Z1224" s="154" t="s">
        <v>187</v>
      </c>
      <c r="AA1224" s="144"/>
      <c r="AB1224" s="130" t="s">
        <v>228</v>
      </c>
      <c r="AC1224" s="154" t="s">
        <v>187</v>
      </c>
      <c r="AD1224" s="144"/>
      <c r="AE1224" s="130" t="s">
        <v>228</v>
      </c>
      <c r="AF1224" s="154" t="s">
        <v>187</v>
      </c>
      <c r="AG1224" s="144"/>
      <c r="AH1224" s="130" t="s">
        <v>228</v>
      </c>
      <c r="AI1224" s="154" t="s">
        <v>187</v>
      </c>
      <c r="AJ1224" s="144"/>
      <c r="AK1224" s="130" t="s">
        <v>228</v>
      </c>
      <c r="AL1224" s="154" t="s">
        <v>187</v>
      </c>
      <c r="AM1224" s="144"/>
      <c r="AN1224" s="130" t="s">
        <v>228</v>
      </c>
      <c r="AO1224" s="154" t="s">
        <v>187</v>
      </c>
      <c r="AP1224" s="144"/>
      <c r="AQ1224" s="130" t="s">
        <v>228</v>
      </c>
      <c r="AR1224" s="154" t="s">
        <v>187</v>
      </c>
      <c r="AS1224" s="144"/>
      <c r="AT1224" s="130" t="s">
        <v>228</v>
      </c>
      <c r="AU1224" s="154" t="s">
        <v>187</v>
      </c>
    </row>
    <row r="1225" spans="13:47" x14ac:dyDescent="0.25">
      <c r="M1225" s="20"/>
      <c r="N1225" s="20"/>
      <c r="O1225" s="7" t="s">
        <v>188</v>
      </c>
      <c r="P1225" s="7"/>
      <c r="Q1225" s="7"/>
      <c r="R1225" s="181">
        <f>P_1_minW-(R1223^2*R_up)+dpup_minQ</f>
        <v>100.52127194208447</v>
      </c>
      <c r="S1225" s="132"/>
      <c r="T1225" s="145"/>
      <c r="U1225" s="138">
        <f>P_1_minW-(U1223^2*R_up)+dpup_minQ</f>
        <v>100.05567331858902</v>
      </c>
      <c r="V1225" s="132"/>
      <c r="W1225" s="145"/>
      <c r="X1225" s="138">
        <f>P_1_minW-(X1223^2*R_up)+dpup_minQ</f>
        <v>97.665772718482003</v>
      </c>
      <c r="Y1225" s="132"/>
      <c r="Z1225" s="145"/>
      <c r="AA1225" s="138">
        <f>P_1_minW-(AA1223^2*R_up)+dpup_minQ</f>
        <v>89.684105145467072</v>
      </c>
      <c r="AB1225" s="132"/>
      <c r="AC1225" s="145"/>
      <c r="AD1225" s="138">
        <f>P_1_minW-(AD1223^2*R_up)+dpup_minQ</f>
        <v>71.206170875991077</v>
      </c>
      <c r="AE1225" s="132"/>
      <c r="AF1225" s="145"/>
      <c r="AG1225" s="138">
        <f>P_1_minW-(AG1223^2*R_up)+dpup_minQ</f>
        <v>42.850489124097152</v>
      </c>
      <c r="AH1225" s="132"/>
      <c r="AI1225" s="145"/>
      <c r="AJ1225" s="138">
        <f>P_1_minW-(AJ1223^2*R_up)+dpup_minQ</f>
        <v>7.542004565781169</v>
      </c>
      <c r="AK1225" s="132"/>
      <c r="AL1225" s="145"/>
      <c r="AM1225" s="138">
        <f>P_1_minW-(AM1223^2*R_up)+dpup_minQ</f>
        <v>-27.320272991745313</v>
      </c>
      <c r="AN1225" s="132"/>
      <c r="AO1225" s="145"/>
      <c r="AP1225" s="138">
        <f>P_1_minW-(AP1223^2*R_up)+dpup_minQ</f>
        <v>-58.605497266386706</v>
      </c>
      <c r="AQ1225" s="132"/>
      <c r="AR1225" s="145"/>
      <c r="AS1225" s="138">
        <f>P_1_minW-(AS1223^2*R_up)+dpup_minQ</f>
        <v>-97.546712096897394</v>
      </c>
      <c r="AT1225" s="132"/>
      <c r="AU1225" s="145"/>
    </row>
    <row r="1226" spans="13:47" x14ac:dyDescent="0.25">
      <c r="M1226" s="20"/>
      <c r="N1226" s="20"/>
      <c r="O1226" s="7" t="s">
        <v>189</v>
      </c>
      <c r="P1226" s="1"/>
      <c r="Q1226" s="7"/>
      <c r="R1226" s="181">
        <f>P_2_minW+(R1223^2*R_dn)-dpdn_minQ</f>
        <v>50</v>
      </c>
      <c r="S1226" s="132"/>
      <c r="T1226" s="146"/>
      <c r="U1226" s="138">
        <f>P_2_minW+(U1223^2*R_dn)-dpdn_minQ</f>
        <v>50</v>
      </c>
      <c r="V1226" s="132"/>
      <c r="W1226" s="146"/>
      <c r="X1226" s="138">
        <f>P_2_minW+(X1223^2*R_dn)-dpdn_minQ</f>
        <v>50</v>
      </c>
      <c r="Y1226" s="132"/>
      <c r="Z1226" s="146"/>
      <c r="AA1226" s="138">
        <f>P_2_minW+(AA1223^2*R_dn)-dpdn_minQ</f>
        <v>50</v>
      </c>
      <c r="AB1226" s="132"/>
      <c r="AC1226" s="146"/>
      <c r="AD1226" s="138">
        <f>P_2_minW+(AD1223^2*R_dn)-dpdn_minQ</f>
        <v>50</v>
      </c>
      <c r="AE1226" s="132"/>
      <c r="AF1226" s="146"/>
      <c r="AG1226" s="138">
        <f>P_2_minW+(AG1223^2*R_dn)-dpdn_minQ</f>
        <v>50</v>
      </c>
      <c r="AH1226" s="132"/>
      <c r="AI1226" s="146"/>
      <c r="AJ1226" s="138">
        <f>P_2_minW+(AJ1223^2*R_dn)-dpdn_minQ</f>
        <v>50</v>
      </c>
      <c r="AK1226" s="132"/>
      <c r="AL1226" s="146"/>
      <c r="AM1226" s="138">
        <f>P_2_minW+(AM1223^2*R_dn)-dpdn_minQ</f>
        <v>50</v>
      </c>
      <c r="AN1226" s="132"/>
      <c r="AO1226" s="146"/>
      <c r="AP1226" s="138">
        <f>P_2_minW+(AP1223^2*R_dn)-dpdn_minQ</f>
        <v>50</v>
      </c>
      <c r="AQ1226" s="132"/>
      <c r="AR1226" s="146"/>
      <c r="AS1226" s="138">
        <f>P_2_minW+(AS1223^2*R_dn)-dpdn_minQ</f>
        <v>50</v>
      </c>
      <c r="AT1226" s="132"/>
      <c r="AU1226" s="146"/>
    </row>
    <row r="1227" spans="13:47" x14ac:dyDescent="0.25">
      <c r="M1227" s="20"/>
      <c r="N1227" s="20"/>
      <c r="O1227" s="7" t="s">
        <v>234</v>
      </c>
      <c r="P1227" s="1"/>
      <c r="Q1227" s="7"/>
      <c r="R1227" s="179">
        <f>'Valve Sizing'!G$8*R1225/P_1_maxW</f>
        <v>0.48489671913922933</v>
      </c>
      <c r="S1227" s="132"/>
      <c r="T1227" s="146"/>
      <c r="U1227" s="143">
        <f>'Valve Sizing'!$G$8*U1225/P_1_maxW</f>
        <v>0.48265075427421289</v>
      </c>
      <c r="V1227" s="132"/>
      <c r="W1227" s="146"/>
      <c r="X1227" s="143">
        <f>'Valve Sizing'!$G$8*X1225/P_1_maxW</f>
        <v>0.47112229927487259</v>
      </c>
      <c r="Y1227" s="132"/>
      <c r="Z1227" s="146"/>
      <c r="AA1227" s="143">
        <f>'Valve Sizing'!$G$8*AA1225/P_1_maxW</f>
        <v>0.43262015595097203</v>
      </c>
      <c r="AB1227" s="132"/>
      <c r="AC1227" s="146"/>
      <c r="AD1227" s="143">
        <f>'Valve Sizing'!$G$8*AD1225/P_1_maxW</f>
        <v>0.34348589082844655</v>
      </c>
      <c r="AE1227" s="132"/>
      <c r="AF1227" s="146"/>
      <c r="AG1227" s="143">
        <f>'Valve Sizing'!$G$8*AG1225/P_1_maxW</f>
        <v>0.20670313047528147</v>
      </c>
      <c r="AH1227" s="132"/>
      <c r="AI1227" s="146"/>
      <c r="AJ1227" s="143">
        <f>'Valve Sizing'!$G$8*AJ1225/P_1_maxW</f>
        <v>3.6381287254178579E-2</v>
      </c>
      <c r="AK1227" s="132"/>
      <c r="AL1227" s="146"/>
      <c r="AM1227" s="143">
        <f>'Valve Sizing'!$G$8*AM1225/P_1_maxW</f>
        <v>-0.13178813283737573</v>
      </c>
      <c r="AN1227" s="132"/>
      <c r="AO1227" s="146"/>
      <c r="AP1227" s="143">
        <f>'Valve Sizing'!$G$8*AP1225/P_1_maxW</f>
        <v>-0.28270248474737614</v>
      </c>
      <c r="AQ1227" s="132"/>
      <c r="AR1227" s="146"/>
      <c r="AS1227" s="143">
        <f>'Valve Sizing'!$G$8*AS1225/P_1_maxW</f>
        <v>-0.47054797203378557</v>
      </c>
      <c r="AT1227" s="132"/>
      <c r="AU1227" s="146"/>
    </row>
    <row r="1228" spans="13:47" x14ac:dyDescent="0.25">
      <c r="M1228" s="20"/>
      <c r="N1228" s="20"/>
      <c r="O1228" s="7" t="s">
        <v>190</v>
      </c>
      <c r="P1228" s="1"/>
      <c r="Q1228" s="7"/>
      <c r="R1228" s="181">
        <f>R1225-R1226</f>
        <v>50.521271942084468</v>
      </c>
      <c r="S1228" s="132"/>
      <c r="T1228" s="146"/>
      <c r="U1228" s="138">
        <f>U1225-U1226</f>
        <v>50.055673318589015</v>
      </c>
      <c r="V1228" s="132"/>
      <c r="W1228" s="146"/>
      <c r="X1228" s="138">
        <f>X1225-X1226</f>
        <v>47.665772718482003</v>
      </c>
      <c r="Y1228" s="132"/>
      <c r="Z1228" s="146"/>
      <c r="AA1228" s="138">
        <f>AA1225-AA1226</f>
        <v>39.684105145467072</v>
      </c>
      <c r="AB1228" s="132"/>
      <c r="AC1228" s="146"/>
      <c r="AD1228" s="138">
        <f>AD1225-AD1226</f>
        <v>21.206170875991077</v>
      </c>
      <c r="AE1228" s="132"/>
      <c r="AF1228" s="146"/>
      <c r="AG1228" s="138">
        <f>AG1225-AG1226</f>
        <v>-7.1495108759028483</v>
      </c>
      <c r="AH1228" s="132"/>
      <c r="AI1228" s="146"/>
      <c r="AJ1228" s="138">
        <f>AJ1225-AJ1226</f>
        <v>-42.45799543421883</v>
      </c>
      <c r="AK1228" s="132"/>
      <c r="AL1228" s="146"/>
      <c r="AM1228" s="138">
        <f>AM1225-AM1226</f>
        <v>-77.320272991745313</v>
      </c>
      <c r="AN1228" s="132"/>
      <c r="AO1228" s="146"/>
      <c r="AP1228" s="138">
        <f>AP1225-AP1226</f>
        <v>-108.60549726638671</v>
      </c>
      <c r="AQ1228" s="132"/>
      <c r="AR1228" s="146"/>
      <c r="AS1228" s="138">
        <f>AS1225-AS1226</f>
        <v>-147.54671209689741</v>
      </c>
      <c r="AT1228" s="132"/>
      <c r="AU1228" s="146"/>
    </row>
    <row r="1229" spans="13:47" ht="14.5" x14ac:dyDescent="0.35">
      <c r="M1229" s="27"/>
      <c r="N1229" s="27"/>
      <c r="O1229" s="2" t="s">
        <v>191</v>
      </c>
      <c r="P1229" s="10"/>
      <c r="Q1229" s="2"/>
      <c r="R1229" s="181">
        <f>R1228/R1225</f>
        <v>0.5025928439424483</v>
      </c>
      <c r="S1229" s="132"/>
      <c r="T1229" s="146"/>
      <c r="U1229" s="138">
        <f>U1228/U1225</f>
        <v>0.50027821170325715</v>
      </c>
      <c r="V1229" s="132"/>
      <c r="W1229" s="146"/>
      <c r="X1229" s="138">
        <f>X1228/X1225</f>
        <v>0.48804992160228783</v>
      </c>
      <c r="Y1229" s="132"/>
      <c r="Z1229" s="146"/>
      <c r="AA1229" s="138">
        <f>AA1228/AA1225</f>
        <v>0.44248760782191776</v>
      </c>
      <c r="AB1229" s="132"/>
      <c r="AC1229" s="146"/>
      <c r="AD1229" s="138">
        <f>AD1228/AD1225</f>
        <v>0.29781366720199898</v>
      </c>
      <c r="AE1229" s="132"/>
      <c r="AF1229" s="146"/>
      <c r="AG1229" s="138">
        <f>AG1228/AG1225</f>
        <v>-0.1668478241916331</v>
      </c>
      <c r="AH1229" s="132"/>
      <c r="AI1229" s="146"/>
      <c r="AJ1229" s="138">
        <f>AJ1228/AJ1225</f>
        <v>-5.6295372223526634</v>
      </c>
      <c r="AK1229" s="132"/>
      <c r="AL1229" s="146"/>
      <c r="AM1229" s="138">
        <f>AM1228/AM1225</f>
        <v>2.8301427666958987</v>
      </c>
      <c r="AN1229" s="132"/>
      <c r="AO1229" s="146"/>
      <c r="AP1229" s="138">
        <f>AP1228/AP1225</f>
        <v>1.8531622856594647</v>
      </c>
      <c r="AQ1229" s="132"/>
      <c r="AR1229" s="146"/>
      <c r="AS1229" s="138">
        <f>AS1228/AS1225</f>
        <v>1.5125749389721392</v>
      </c>
      <c r="AT1229" s="132"/>
      <c r="AU1229" s="146"/>
    </row>
    <row r="1230" spans="13:47" x14ac:dyDescent="0.25">
      <c r="M1230" s="27"/>
      <c r="N1230" s="27"/>
      <c r="O1230" s="2" t="s">
        <v>26</v>
      </c>
      <c r="P1230" s="7">
        <v>12</v>
      </c>
      <c r="Q1230" s="2"/>
      <c r="R1230" s="181">
        <f>1-R1229/(3*F_GAMMA*R$29)</f>
        <v>0.73824388759871096</v>
      </c>
      <c r="S1230" s="133"/>
      <c r="T1230" s="146"/>
      <c r="U1230" s="138">
        <f>1-U1229/(3*F_GAMMA*U$29)</f>
        <v>0.73950674135199979</v>
      </c>
      <c r="V1230" s="133"/>
      <c r="W1230" s="146"/>
      <c r="X1230" s="138">
        <f>1-X1229/(3*F_GAMMA*X$29)</f>
        <v>0.74206167789808197</v>
      </c>
      <c r="Y1230" s="133"/>
      <c r="Z1230" s="146"/>
      <c r="AA1230" s="138">
        <f>1-AA1229/(3*F_GAMMA*AA$29)</f>
        <v>0.76293520606762322</v>
      </c>
      <c r="AB1230" s="133"/>
      <c r="AC1230" s="146"/>
      <c r="AD1230" s="138">
        <f>1-AD1229/(3*F_GAMMA*AD$29)</f>
        <v>0.83607028224438595</v>
      </c>
      <c r="AE1230" s="133"/>
      <c r="AF1230" s="146"/>
      <c r="AG1230" s="138">
        <f>1-AG1229/(3*F_GAMMA*AG$29)</f>
        <v>1.0970790873850158</v>
      </c>
      <c r="AH1230" s="133"/>
      <c r="AI1230" s="146"/>
      <c r="AJ1230" s="138">
        <f>1-AJ1229/(3*F_GAMMA*AJ$29)</f>
        <v>4.5015557485459095</v>
      </c>
      <c r="AK1230" s="133"/>
      <c r="AL1230" s="146"/>
      <c r="AM1230" s="138">
        <f>1-AM1229/(3*F_GAMMA*AM$29)</f>
        <v>-0.92335106241686016</v>
      </c>
      <c r="AN1230" s="133"/>
      <c r="AO1230" s="146"/>
      <c r="AP1230" s="138">
        <f>1-AP1229/(3*F_GAMMA*AP$29)</f>
        <v>-4.075780546255614E-2</v>
      </c>
      <c r="AQ1230" s="133"/>
      <c r="AR1230" s="146"/>
      <c r="AS1230" s="138">
        <f>1-AS1229/(3*F_GAMMA*AS$29)</f>
        <v>-0.28958435241966418</v>
      </c>
      <c r="AT1230" s="133"/>
      <c r="AU1230" s="146"/>
    </row>
    <row r="1231" spans="13:47" x14ac:dyDescent="0.25">
      <c r="M1231" s="27"/>
      <c r="N1231" s="27"/>
      <c r="O1231" s="2" t="s">
        <v>71</v>
      </c>
      <c r="P1231" s="85">
        <v>5</v>
      </c>
      <c r="Q1231" s="2"/>
      <c r="R1231" s="179">
        <f>R1223/((N_6*R$27*R1230)*SQRT(R1229*R1225*R1227))</f>
        <v>0.266505524053332</v>
      </c>
      <c r="S1231" s="133"/>
      <c r="T1231" s="146"/>
      <c r="U1231" s="143">
        <f>U1223/((N_6*U$27*U1230)*SQRT(U1229*U1225*U1227))</f>
        <v>4.7074618014898002</v>
      </c>
      <c r="V1231" s="133"/>
      <c r="W1231" s="146"/>
      <c r="X1231" s="143">
        <f>X1223/((N_6*X$27*X1230)*SQRT(X1229*X1225*X1227))</f>
        <v>12.060585028668431</v>
      </c>
      <c r="Y1231" s="133"/>
      <c r="Z1231" s="146"/>
      <c r="AA1231" s="143">
        <f>AA1223/((N_6*AA$27*AA1230)*SQRT(AA1229*AA1225*AA1227))</f>
        <v>26.281601564807474</v>
      </c>
      <c r="AB1231" s="133"/>
      <c r="AC1231" s="146"/>
      <c r="AD1231" s="143">
        <f>AD1223/((N_6*AD$27*AD1230)*SQRT(AD1229*AD1225*AD1227))</f>
        <v>61.275400230371666</v>
      </c>
      <c r="AE1231" s="133"/>
      <c r="AF1231" s="146"/>
      <c r="AG1231" s="143" t="e">
        <f>AG1223/((N_6*AG$27*AG1230)*SQRT(AG1229*AG1225*AG1227))</f>
        <v>#NUM!</v>
      </c>
      <c r="AH1231" s="133"/>
      <c r="AI1231" s="146"/>
      <c r="AJ1231" s="143" t="e">
        <f>AJ1223/((N_6*AJ$27*AJ1230)*SQRT(AJ1229*AJ1225*AJ1227))</f>
        <v>#NUM!</v>
      </c>
      <c r="AK1231" s="133"/>
      <c r="AL1231" s="146"/>
      <c r="AM1231" s="143">
        <f>AM1223/((N_6*AM$27*AM1230)*SQRT(AM1229*AM1225*AM1227))</f>
        <v>-109.86491633705286</v>
      </c>
      <c r="AN1231" s="133"/>
      <c r="AO1231" s="146"/>
      <c r="AP1231" s="143">
        <f>AP1223/((N_6*AP$27*AP1230)*SQRT(AP1229*AP1225*AP1227))</f>
        <v>-1817.1820979636382</v>
      </c>
      <c r="AQ1231" s="133"/>
      <c r="AR1231" s="146"/>
      <c r="AS1231" s="143">
        <f>AS1223/((N_6*AS$27*AS1230)*SQRT(AS1229*AS1225*AS1227))</f>
        <v>-249.33352483409465</v>
      </c>
      <c r="AT1231" s="133"/>
      <c r="AU1231" s="146"/>
    </row>
    <row r="1232" spans="13:47" x14ac:dyDescent="0.25">
      <c r="M1232" s="27"/>
      <c r="N1232" s="27"/>
      <c r="O1232" s="2" t="s">
        <v>73</v>
      </c>
      <c r="P1232" s="85">
        <v>5</v>
      </c>
      <c r="Q1232" s="2"/>
      <c r="R1232" s="179">
        <f>R1223/((N_6*R$27*0.667)*SQRT(R1233*R1225*R1227))</f>
        <v>0.26139019011903947</v>
      </c>
      <c r="S1232" s="133"/>
      <c r="T1232" s="155"/>
      <c r="U1232" s="143">
        <f>U1223/((N_6*U$27*0.667)*SQRT(U1233*U1225*U1227))</f>
        <v>4.6138341558692995</v>
      </c>
      <c r="V1232" s="133"/>
      <c r="W1232" s="155"/>
      <c r="X1232" s="143">
        <f>X1223/((N_6*X$27*0.667)*SQRT(X1233*X1225*X1227))</f>
        <v>11.803236456211826</v>
      </c>
      <c r="Y1232" s="133"/>
      <c r="Z1232" s="155"/>
      <c r="AA1232" s="143">
        <f>AA1223/((N_6*AA$27*0.667)*SQRT(AA1233*AA1225*AA1227))</f>
        <v>25.351742077727828</v>
      </c>
      <c r="AB1232" s="133"/>
      <c r="AC1232" s="155"/>
      <c r="AD1232" s="143">
        <f>AD1223/((N_6*AD$27*0.667)*SQRT(AD1233*AD1225*AD1227))</f>
        <v>53.863253496231032</v>
      </c>
      <c r="AE1232" s="133"/>
      <c r="AF1232" s="155"/>
      <c r="AG1232" s="143">
        <f>AG1223/((N_6*AG$27*0.667)*SQRT(AG1233*AG1225*AG1227))</f>
        <v>131.85539282434206</v>
      </c>
      <c r="AH1232" s="133"/>
      <c r="AI1232" s="155"/>
      <c r="AJ1232" s="143">
        <f>AJ1223/((N_6*AJ$27*0.667)*SQRT(AJ1233*AJ1225*AJ1227))</f>
        <v>1017.2578325456337</v>
      </c>
      <c r="AK1232" s="133"/>
      <c r="AL1232" s="155"/>
      <c r="AM1232" s="143">
        <f>AM1223/((N_6*AM$27*0.667)*SQRT(AM1233*AM1225*AM1227))</f>
        <v>365.33388636622726</v>
      </c>
      <c r="AN1232" s="133"/>
      <c r="AO1232" s="155"/>
      <c r="AP1232" s="143">
        <f>AP1223/((N_6*AP$27*0.667)*SQRT(AP1233*AP1225*AP1227))</f>
        <v>196.20897705704246</v>
      </c>
      <c r="AQ1232" s="133"/>
      <c r="AR1232" s="155"/>
      <c r="AS1232" s="143">
        <f>AS1223/((N_6*AS$27*0.667)*SQRT(AS1233*AS1225*AS1227))</f>
        <v>212.91950056188554</v>
      </c>
      <c r="AT1232" s="133"/>
      <c r="AU1232" s="155"/>
    </row>
    <row r="1233" spans="13:47" ht="15.5" x14ac:dyDescent="0.4">
      <c r="M1233" s="27"/>
      <c r="N1233" s="27"/>
      <c r="O1233" s="2" t="s">
        <v>192</v>
      </c>
      <c r="P1233" s="85">
        <v>10</v>
      </c>
      <c r="Q1233" s="2"/>
      <c r="R1233" s="181">
        <f>F_GAMMA*R$29</f>
        <v>0.64002688015162901</v>
      </c>
      <c r="S1233" s="133"/>
      <c r="T1233" s="155"/>
      <c r="U1233" s="138">
        <f>F_GAMMA*U$29</f>
        <v>0.64016782916606918</v>
      </c>
      <c r="V1233" s="133"/>
      <c r="W1233" s="155"/>
      <c r="X1233" s="138">
        <f>F_GAMMA*X$29</f>
        <v>0.6307062319203669</v>
      </c>
      <c r="Y1233" s="133"/>
      <c r="Z1233" s="155"/>
      <c r="AA1233" s="138">
        <f>F_GAMMA*AA$29</f>
        <v>0.62217534213893466</v>
      </c>
      <c r="AB1233" s="133"/>
      <c r="AC1233" s="155"/>
      <c r="AD1233" s="138">
        <f>F_GAMMA*AD$29</f>
        <v>0.60557184969146072</v>
      </c>
      <c r="AE1233" s="133"/>
      <c r="AF1233" s="155"/>
      <c r="AG1233" s="138">
        <f>F_GAMMA*AG$29</f>
        <v>0.57289312142622573</v>
      </c>
      <c r="AH1233" s="133"/>
      <c r="AI1233" s="155"/>
      <c r="AJ1233" s="138">
        <f>F_GAMMA*AJ$29</f>
        <v>0.53590819116049981</v>
      </c>
      <c r="AK1233" s="133"/>
      <c r="AL1233" s="155"/>
      <c r="AM1233" s="138">
        <f>F_GAMMA*AM$29</f>
        <v>0.49048815926850342</v>
      </c>
      <c r="AN1233" s="133"/>
      <c r="AO1233" s="155"/>
      <c r="AP1233" s="138">
        <f>F_GAMMA*AP$29</f>
        <v>0.59352979016280105</v>
      </c>
      <c r="AQ1233" s="133"/>
      <c r="AR1233" s="155"/>
      <c r="AS1233" s="138">
        <f>F_GAMMA*AS$29</f>
        <v>0.39097221161068291</v>
      </c>
      <c r="AT1233" s="133"/>
      <c r="AU1233" s="155"/>
    </row>
    <row r="1234" spans="13:47" x14ac:dyDescent="0.25">
      <c r="M1234" s="27"/>
      <c r="N1234" s="27"/>
      <c r="O1234" s="2" t="s">
        <v>193</v>
      </c>
      <c r="P1234" s="134"/>
      <c r="Q1234" s="2"/>
      <c r="R1234" s="181">
        <f>IF(R1229&lt;R1233,R1231,R1232)</f>
        <v>0.266505524053332</v>
      </c>
      <c r="S1234" s="133"/>
      <c r="T1234" s="155"/>
      <c r="U1234" s="138">
        <f>IF(U1229&lt;U1233,U1231,U1232)</f>
        <v>4.7074618014898002</v>
      </c>
      <c r="V1234" s="133"/>
      <c r="W1234" s="155"/>
      <c r="X1234" s="138">
        <f>IF(X1229&lt;X1233,X1231,X1232)</f>
        <v>12.060585028668431</v>
      </c>
      <c r="Y1234" s="133"/>
      <c r="Z1234" s="155"/>
      <c r="AA1234" s="138">
        <f>IF(AA1229&lt;AA1233,AA1231,AA1232)</f>
        <v>26.281601564807474</v>
      </c>
      <c r="AB1234" s="133"/>
      <c r="AC1234" s="155"/>
      <c r="AD1234" s="138">
        <f>IF(AD1229&lt;AD1233,AD1231,AD1232)</f>
        <v>61.275400230371666</v>
      </c>
      <c r="AE1234" s="133"/>
      <c r="AF1234" s="155"/>
      <c r="AG1234" s="138" t="e">
        <f>IF(AG1229&lt;AG1233,AG1231,AG1232)</f>
        <v>#NUM!</v>
      </c>
      <c r="AH1234" s="133"/>
      <c r="AI1234" s="155"/>
      <c r="AJ1234" s="138" t="e">
        <f>IF(AJ1229&lt;AJ1233,AJ1231,AJ1232)</f>
        <v>#NUM!</v>
      </c>
      <c r="AK1234" s="133"/>
      <c r="AL1234" s="155"/>
      <c r="AM1234" s="138">
        <f>IF(AM1229&lt;AM1233,AM1231,AM1232)</f>
        <v>365.33388636622726</v>
      </c>
      <c r="AN1234" s="133"/>
      <c r="AO1234" s="155"/>
      <c r="AP1234" s="138">
        <f>IF(AP1229&lt;AP1233,AP1231,AP1232)</f>
        <v>196.20897705704246</v>
      </c>
      <c r="AQ1234" s="133"/>
      <c r="AR1234" s="155"/>
      <c r="AS1234" s="138">
        <f>IF(AS1229&lt;AS1233,AS1231,AS1232)</f>
        <v>212.91950056188554</v>
      </c>
      <c r="AT1234" s="133"/>
      <c r="AU1234" s="155"/>
    </row>
    <row r="1235" spans="13:47" ht="13" x14ac:dyDescent="0.3">
      <c r="M1235" s="28"/>
      <c r="N1235" s="28"/>
      <c r="O1235" s="9" t="s">
        <v>194</v>
      </c>
      <c r="P1235" s="1"/>
      <c r="Q1235" s="1"/>
      <c r="R1235" s="135"/>
      <c r="S1235" s="132">
        <f>IF(R1228&lt;=0,W_max,ABS(R$23-R1234))</f>
        <v>1.7334944759466679</v>
      </c>
      <c r="T1235" s="151">
        <f>R1223</f>
        <v>61.633962024309078</v>
      </c>
      <c r="U1235" s="135"/>
      <c r="V1235" s="132">
        <f>IF(U1228&lt;=0,W_max,ABS(U$23-U1234))</f>
        <v>0.2925381985101998</v>
      </c>
      <c r="W1235" s="151">
        <f>U1223</f>
        <v>1082.3167450465955</v>
      </c>
      <c r="X1235" s="135"/>
      <c r="Y1235" s="132">
        <f>IF(X1228&lt;=0,W_max,ABS(X$23-X1234))</f>
        <v>2.0605850286684309</v>
      </c>
      <c r="Z1235" s="151">
        <f>X1223</f>
        <v>2676.6981077026871</v>
      </c>
      <c r="AA1235" s="135"/>
      <c r="AB1235" s="132">
        <f>IF(AA1228&lt;=0,W_max,ABS(AA$23-AA1234))</f>
        <v>9.0816015648074746</v>
      </c>
      <c r="AC1235" s="151">
        <f>AA1223</f>
        <v>5213.5246988899353</v>
      </c>
      <c r="AD1235" s="135"/>
      <c r="AE1235" s="132">
        <f>IF(AD1228&lt;=0,W_max,ABS(AD$23-AD1234))</f>
        <v>34.675400230371665</v>
      </c>
      <c r="AF1235" s="151">
        <f>AD1223</f>
        <v>8574.3286237634311</v>
      </c>
      <c r="AG1235" s="135"/>
      <c r="AH1235" s="132">
        <f>IF(AG1228&lt;=0,W_max,ABS(AG$23-AG1234))</f>
        <v>7174</v>
      </c>
      <c r="AI1235" s="151">
        <f>AG1223</f>
        <v>12026.15599954561</v>
      </c>
      <c r="AJ1235" s="135"/>
      <c r="AK1235" s="132">
        <f>IF(AJ1228&lt;=0,W_max,ABS(AJ$23-AJ1234))</f>
        <v>7174</v>
      </c>
      <c r="AL1235" s="151">
        <f>AJ1223</f>
        <v>15270.026961273021</v>
      </c>
      <c r="AM1235" s="135"/>
      <c r="AN1235" s="132">
        <f>IF(AM1228&lt;=0,W_max,ABS(AM$23-AM1234))</f>
        <v>7174</v>
      </c>
      <c r="AO1235" s="151">
        <f>AM1223</f>
        <v>17905.307522197862</v>
      </c>
      <c r="AP1235" s="135"/>
      <c r="AQ1235" s="132">
        <f>IF(AP1228&lt;=0,W_max,ABS(AP$23-AP1234))</f>
        <v>7174</v>
      </c>
      <c r="AR1235" s="151">
        <f>AP1223</f>
        <v>19976.384839824546</v>
      </c>
      <c r="AS1235" s="135"/>
      <c r="AT1235" s="132">
        <f>IF(AS1228&lt;=0,W_max,ABS(AS$23-AS1234))</f>
        <v>7174</v>
      </c>
      <c r="AU1235" s="151">
        <f>AS1223</f>
        <v>22287.020246597149</v>
      </c>
    </row>
    <row r="1236" spans="13:47" ht="13" x14ac:dyDescent="0.25">
      <c r="M1236" s="12"/>
      <c r="N1236" s="12"/>
      <c r="O1236" s="2"/>
      <c r="P1236" s="85"/>
      <c r="Q1236" s="2"/>
      <c r="R1236" s="18"/>
      <c r="S1236" s="150"/>
      <c r="T1236" s="152"/>
      <c r="U1236" s="157"/>
      <c r="V1236" s="1"/>
      <c r="W1236" s="147"/>
      <c r="X1236" s="157"/>
      <c r="Y1236" s="1"/>
      <c r="Z1236" s="147"/>
      <c r="AA1236" s="157"/>
      <c r="AB1236" s="1"/>
      <c r="AC1236" s="147"/>
      <c r="AD1236" s="157"/>
      <c r="AE1236" s="1"/>
      <c r="AF1236" s="147"/>
      <c r="AG1236" s="157"/>
      <c r="AH1236" s="1"/>
      <c r="AI1236" s="147"/>
      <c r="AJ1236" s="157"/>
      <c r="AK1236" s="1"/>
      <c r="AL1236" s="147"/>
      <c r="AM1236" s="157"/>
      <c r="AN1236" s="1"/>
      <c r="AO1236" s="147"/>
      <c r="AP1236" s="157"/>
      <c r="AQ1236" s="1"/>
      <c r="AR1236" s="147"/>
      <c r="AS1236" s="157"/>
      <c r="AT1236" s="1"/>
      <c r="AU1236" s="147"/>
    </row>
    <row r="1237" spans="13:47" ht="14" x14ac:dyDescent="0.3">
      <c r="M1237" s="23"/>
      <c r="N1237" s="23"/>
      <c r="O1237" s="23" t="s">
        <v>238</v>
      </c>
      <c r="P1237" s="20"/>
      <c r="Q1237" s="20"/>
      <c r="R1237" s="181">
        <f>R1223*1.02</f>
        <v>62.866641264795263</v>
      </c>
      <c r="S1237" s="128" t="s">
        <v>185</v>
      </c>
      <c r="T1237" s="153" t="s">
        <v>186</v>
      </c>
      <c r="U1237" s="143">
        <f>U1223*1.01</f>
        <v>1093.1399124970615</v>
      </c>
      <c r="V1237" s="128" t="s">
        <v>185</v>
      </c>
      <c r="W1237" s="153" t="s">
        <v>186</v>
      </c>
      <c r="X1237" s="143">
        <f>X1223*1.01</f>
        <v>2703.4650887797138</v>
      </c>
      <c r="Y1237" s="128" t="s">
        <v>185</v>
      </c>
      <c r="Z1237" s="153" t="s">
        <v>186</v>
      </c>
      <c r="AA1237" s="143">
        <f>AA1223*1.01</f>
        <v>5265.6599458788351</v>
      </c>
      <c r="AB1237" s="128" t="s">
        <v>185</v>
      </c>
      <c r="AC1237" s="153" t="s">
        <v>186</v>
      </c>
      <c r="AD1237" s="143">
        <f>AD1223*1.01</f>
        <v>8660.0719100010647</v>
      </c>
      <c r="AE1237" s="128" t="s">
        <v>185</v>
      </c>
      <c r="AF1237" s="153" t="s">
        <v>186</v>
      </c>
      <c r="AG1237" s="143">
        <f>AG1223*1.01</f>
        <v>12146.417559541067</v>
      </c>
      <c r="AH1237" s="128" t="s">
        <v>185</v>
      </c>
      <c r="AI1237" s="153" t="s">
        <v>186</v>
      </c>
      <c r="AJ1237" s="143">
        <f>AJ1223*1.01</f>
        <v>15422.727230885752</v>
      </c>
      <c r="AK1237" s="128" t="s">
        <v>185</v>
      </c>
      <c r="AL1237" s="153" t="s">
        <v>186</v>
      </c>
      <c r="AM1237" s="143">
        <f>AM1223*1.01</f>
        <v>18084.36059741984</v>
      </c>
      <c r="AN1237" s="128" t="s">
        <v>185</v>
      </c>
      <c r="AO1237" s="153" t="s">
        <v>186</v>
      </c>
      <c r="AP1237" s="143">
        <f>AP1223*1.01</f>
        <v>20176.148688222791</v>
      </c>
      <c r="AQ1237" s="128" t="s">
        <v>185</v>
      </c>
      <c r="AR1237" s="153" t="s">
        <v>186</v>
      </c>
      <c r="AS1237" s="143">
        <f>AS1223*1.01</f>
        <v>22509.890449063121</v>
      </c>
      <c r="AT1237" s="128" t="s">
        <v>185</v>
      </c>
      <c r="AU1237" s="153" t="s">
        <v>186</v>
      </c>
    </row>
    <row r="1238" spans="13:47" ht="14" x14ac:dyDescent="0.3">
      <c r="M1238" s="12"/>
      <c r="N1238" s="12"/>
      <c r="O1238" s="20"/>
      <c r="P1238" s="20"/>
      <c r="Q1238" s="23"/>
      <c r="R1238" s="139"/>
      <c r="S1238" s="130" t="s">
        <v>228</v>
      </c>
      <c r="T1238" s="154" t="s">
        <v>187</v>
      </c>
      <c r="U1238" s="144"/>
      <c r="V1238" s="130" t="s">
        <v>228</v>
      </c>
      <c r="W1238" s="154" t="s">
        <v>187</v>
      </c>
      <c r="X1238" s="144"/>
      <c r="Y1238" s="130" t="s">
        <v>228</v>
      </c>
      <c r="Z1238" s="154" t="s">
        <v>187</v>
      </c>
      <c r="AA1238" s="144"/>
      <c r="AB1238" s="130" t="s">
        <v>228</v>
      </c>
      <c r="AC1238" s="154" t="s">
        <v>187</v>
      </c>
      <c r="AD1238" s="144"/>
      <c r="AE1238" s="130" t="s">
        <v>228</v>
      </c>
      <c r="AF1238" s="154" t="s">
        <v>187</v>
      </c>
      <c r="AG1238" s="144"/>
      <c r="AH1238" s="130" t="s">
        <v>228</v>
      </c>
      <c r="AI1238" s="154" t="s">
        <v>187</v>
      </c>
      <c r="AJ1238" s="144"/>
      <c r="AK1238" s="130" t="s">
        <v>228</v>
      </c>
      <c r="AL1238" s="154" t="s">
        <v>187</v>
      </c>
      <c r="AM1238" s="144"/>
      <c r="AN1238" s="130" t="s">
        <v>228</v>
      </c>
      <c r="AO1238" s="154" t="s">
        <v>187</v>
      </c>
      <c r="AP1238" s="144"/>
      <c r="AQ1238" s="130" t="s">
        <v>228</v>
      </c>
      <c r="AR1238" s="154" t="s">
        <v>187</v>
      </c>
      <c r="AS1238" s="144"/>
      <c r="AT1238" s="130" t="s">
        <v>228</v>
      </c>
      <c r="AU1238" s="154" t="s">
        <v>187</v>
      </c>
    </row>
    <row r="1239" spans="13:47" x14ac:dyDescent="0.25">
      <c r="M1239" s="20"/>
      <c r="N1239" s="20"/>
      <c r="O1239" s="7" t="s">
        <v>188</v>
      </c>
      <c r="P1239" s="7"/>
      <c r="Q1239" s="7"/>
      <c r="R1239" s="181">
        <f>P_1_minW-(R1237^2*R_up)+dpup_minQ</f>
        <v>100.52121074438092</v>
      </c>
      <c r="S1239" s="132"/>
      <c r="T1239" s="145"/>
      <c r="U1239" s="138">
        <f>P_1_minW-(U1237^2*R_up)+dpup_minQ</f>
        <v>100.04628433888445</v>
      </c>
      <c r="V1239" s="132"/>
      <c r="W1239" s="145"/>
      <c r="X1239" s="138">
        <f>P_1_minW-(X1237^2*R_up)+dpup_minQ</f>
        <v>97.608346736715276</v>
      </c>
      <c r="Y1239" s="132"/>
      <c r="Z1239" s="145"/>
      <c r="AA1239" s="138">
        <f>P_1_minW-(AA1237^2*R_up)+dpup_minQ</f>
        <v>89.466247645482738</v>
      </c>
      <c r="AB1239" s="132"/>
      <c r="AC1239" s="145"/>
      <c r="AD1239" s="138">
        <f>P_1_minW-(AD1237^2*R_up)+dpup_minQ</f>
        <v>70.61690689719029</v>
      </c>
      <c r="AE1239" s="132"/>
      <c r="AF1239" s="145"/>
      <c r="AG1239" s="138">
        <f>P_1_minW-(AG1237^2*R_up)+dpup_minQ</f>
        <v>41.691275942083287</v>
      </c>
      <c r="AH1239" s="132"/>
      <c r="AI1239" s="145"/>
      <c r="AJ1239" s="138">
        <f>P_1_minW-(AJ1237^2*R_up)+dpup_minQ</f>
        <v>5.6730908441451495</v>
      </c>
      <c r="AK1239" s="132"/>
      <c r="AL1239" s="145"/>
      <c r="AM1239" s="138">
        <f>P_1_minW-(AM1237^2*R_up)+dpup_minQ</f>
        <v>-29.889918492287606</v>
      </c>
      <c r="AN1239" s="132"/>
      <c r="AO1239" s="145"/>
      <c r="AP1239" s="138">
        <f>P_1_minW-(AP1237^2*R_up)+dpup_minQ</f>
        <v>-61.803975774849263</v>
      </c>
      <c r="AQ1239" s="132"/>
      <c r="AR1239" s="145"/>
      <c r="AS1239" s="138">
        <f>P_1_minW-(AS1237^2*R_up)+dpup_minQ</f>
        <v>-101.52790902345326</v>
      </c>
      <c r="AT1239" s="132"/>
      <c r="AU1239" s="145"/>
    </row>
    <row r="1240" spans="13:47" x14ac:dyDescent="0.25">
      <c r="M1240" s="20"/>
      <c r="N1240" s="20"/>
      <c r="O1240" s="7" t="s">
        <v>189</v>
      </c>
      <c r="P1240" s="1"/>
      <c r="Q1240" s="7"/>
      <c r="R1240" s="181">
        <f>P_2_minW+(R1237^2*R_dn)-dpdn_minQ</f>
        <v>50</v>
      </c>
      <c r="S1240" s="132"/>
      <c r="T1240" s="146"/>
      <c r="U1240" s="138">
        <f>P_2_minW+(U1237^2*R_dn)-dpdn_minQ</f>
        <v>50</v>
      </c>
      <c r="V1240" s="132"/>
      <c r="W1240" s="146"/>
      <c r="X1240" s="138">
        <f>P_2_minW+(X1237^2*R_dn)-dpdn_minQ</f>
        <v>50</v>
      </c>
      <c r="Y1240" s="132"/>
      <c r="Z1240" s="146"/>
      <c r="AA1240" s="138">
        <f>P_2_minW+(AA1237^2*R_dn)-dpdn_minQ</f>
        <v>50</v>
      </c>
      <c r="AB1240" s="132"/>
      <c r="AC1240" s="146"/>
      <c r="AD1240" s="138">
        <f>P_2_minW+(AD1237^2*R_dn)-dpdn_minQ</f>
        <v>50</v>
      </c>
      <c r="AE1240" s="132"/>
      <c r="AF1240" s="146"/>
      <c r="AG1240" s="138">
        <f>P_2_minW+(AG1237^2*R_dn)-dpdn_minQ</f>
        <v>50</v>
      </c>
      <c r="AH1240" s="132"/>
      <c r="AI1240" s="146"/>
      <c r="AJ1240" s="138">
        <f>P_2_minW+(AJ1237^2*R_dn)-dpdn_minQ</f>
        <v>50</v>
      </c>
      <c r="AK1240" s="132"/>
      <c r="AL1240" s="146"/>
      <c r="AM1240" s="138">
        <f>P_2_minW+(AM1237^2*R_dn)-dpdn_minQ</f>
        <v>50</v>
      </c>
      <c r="AN1240" s="132"/>
      <c r="AO1240" s="146"/>
      <c r="AP1240" s="138">
        <f>P_2_minW+(AP1237^2*R_dn)-dpdn_minQ</f>
        <v>50</v>
      </c>
      <c r="AQ1240" s="132"/>
      <c r="AR1240" s="146"/>
      <c r="AS1240" s="138">
        <f>P_2_minW+(AS1237^2*R_dn)-dpdn_minQ</f>
        <v>50</v>
      </c>
      <c r="AT1240" s="132"/>
      <c r="AU1240" s="146"/>
    </row>
    <row r="1241" spans="13:47" x14ac:dyDescent="0.25">
      <c r="M1241" s="20"/>
      <c r="N1241" s="20"/>
      <c r="O1241" s="7" t="s">
        <v>234</v>
      </c>
      <c r="P1241" s="1"/>
      <c r="Q1241" s="7"/>
      <c r="R1241" s="179">
        <f>'Valve Sizing'!G$8*R1239/P_1_maxW</f>
        <v>0.48489642393240295</v>
      </c>
      <c r="S1241" s="132"/>
      <c r="T1241" s="146"/>
      <c r="U1241" s="143">
        <f>'Valve Sizing'!$G$8*U1239/P_1_maxW</f>
        <v>0.48260546350772282</v>
      </c>
      <c r="V1241" s="132"/>
      <c r="W1241" s="146"/>
      <c r="X1241" s="143">
        <f>'Valve Sizing'!$G$8*X1239/P_1_maxW</f>
        <v>0.47084528656289582</v>
      </c>
      <c r="Y1241" s="132"/>
      <c r="Z1241" s="146"/>
      <c r="AA1241" s="143">
        <f>'Valve Sizing'!$G$8*AA1239/P_1_maxW</f>
        <v>0.43156925015818481</v>
      </c>
      <c r="AB1241" s="132"/>
      <c r="AC1241" s="146"/>
      <c r="AD1241" s="143">
        <f>'Valve Sizing'!$G$8*AD1239/P_1_maxW</f>
        <v>0.34064338630669666</v>
      </c>
      <c r="AE1241" s="132"/>
      <c r="AF1241" s="146"/>
      <c r="AG1241" s="143">
        <f>'Valve Sizing'!$G$8*AG1239/P_1_maxW</f>
        <v>0.20111129247043288</v>
      </c>
      <c r="AH1241" s="132"/>
      <c r="AI1241" s="146"/>
      <c r="AJ1241" s="143">
        <f>'Valve Sizing'!$G$8*AJ1239/P_1_maxW</f>
        <v>2.7365980200585793E-2</v>
      </c>
      <c r="AK1241" s="132"/>
      <c r="AL1241" s="146"/>
      <c r="AM1241" s="143">
        <f>'Valve Sizing'!$G$8*AM1239/P_1_maxW</f>
        <v>-0.14418364523480873</v>
      </c>
      <c r="AN1241" s="132"/>
      <c r="AO1241" s="146"/>
      <c r="AP1241" s="143">
        <f>'Valve Sizing'!$G$8*AP1239/P_1_maxW</f>
        <v>-0.29813137561820002</v>
      </c>
      <c r="AQ1241" s="132"/>
      <c r="AR1241" s="146"/>
      <c r="AS1241" s="143">
        <f>'Valve Sizing'!$G$8*AS1239/P_1_maxW</f>
        <v>-0.48975255719906646</v>
      </c>
      <c r="AT1241" s="132"/>
      <c r="AU1241" s="146"/>
    </row>
    <row r="1242" spans="13:47" x14ac:dyDescent="0.25">
      <c r="M1242" s="20"/>
      <c r="N1242" s="20"/>
      <c r="O1242" s="7" t="s">
        <v>190</v>
      </c>
      <c r="P1242" s="1"/>
      <c r="Q1242" s="7"/>
      <c r="R1242" s="181">
        <f>R1239-R1240</f>
        <v>50.521210744380923</v>
      </c>
      <c r="S1242" s="132"/>
      <c r="T1242" s="146"/>
      <c r="U1242" s="138">
        <f>U1239-U1240</f>
        <v>50.046284338884448</v>
      </c>
      <c r="V1242" s="132"/>
      <c r="W1242" s="146"/>
      <c r="X1242" s="138">
        <f>X1239-X1240</f>
        <v>47.608346736715276</v>
      </c>
      <c r="Y1242" s="132"/>
      <c r="Z1242" s="146"/>
      <c r="AA1242" s="138">
        <f>AA1239-AA1240</f>
        <v>39.466247645482738</v>
      </c>
      <c r="AB1242" s="132"/>
      <c r="AC1242" s="146"/>
      <c r="AD1242" s="138">
        <f>AD1239-AD1240</f>
        <v>20.61690689719029</v>
      </c>
      <c r="AE1242" s="132"/>
      <c r="AF1242" s="146"/>
      <c r="AG1242" s="138">
        <f>AG1239-AG1240</f>
        <v>-8.308724057916713</v>
      </c>
      <c r="AH1242" s="132"/>
      <c r="AI1242" s="146"/>
      <c r="AJ1242" s="138">
        <f>AJ1239-AJ1240</f>
        <v>-44.32690915585485</v>
      </c>
      <c r="AK1242" s="132"/>
      <c r="AL1242" s="146"/>
      <c r="AM1242" s="138">
        <f>AM1239-AM1240</f>
        <v>-79.889918492287606</v>
      </c>
      <c r="AN1242" s="132"/>
      <c r="AO1242" s="146"/>
      <c r="AP1242" s="138">
        <f>AP1239-AP1240</f>
        <v>-111.80397577484926</v>
      </c>
      <c r="AQ1242" s="132"/>
      <c r="AR1242" s="146"/>
      <c r="AS1242" s="138">
        <f>AS1239-AS1240</f>
        <v>-151.52790902345328</v>
      </c>
      <c r="AT1242" s="132"/>
      <c r="AU1242" s="146"/>
    </row>
    <row r="1243" spans="13:47" ht="14.5" x14ac:dyDescent="0.35">
      <c r="M1243" s="27"/>
      <c r="N1243" s="27"/>
      <c r="O1243" s="2" t="s">
        <v>191</v>
      </c>
      <c r="P1243" s="10"/>
      <c r="Q1243" s="2"/>
      <c r="R1243" s="181">
        <f>R1242/R1239</f>
        <v>0.50259254111903973</v>
      </c>
      <c r="S1243" s="132"/>
      <c r="T1243" s="146"/>
      <c r="U1243" s="138">
        <f>U1242/U1239</f>
        <v>0.50023131463197412</v>
      </c>
      <c r="V1243" s="132"/>
      <c r="W1243" s="146"/>
      <c r="X1243" s="138">
        <f>X1242/X1239</f>
        <v>0.48774872568154509</v>
      </c>
      <c r="Y1243" s="132"/>
      <c r="Z1243" s="146"/>
      <c r="AA1243" s="138">
        <f>AA1242/AA1239</f>
        <v>0.44113002036109689</v>
      </c>
      <c r="AB1243" s="132"/>
      <c r="AC1243" s="146"/>
      <c r="AD1243" s="138">
        <f>AD1242/AD1239</f>
        <v>0.29195426142362796</v>
      </c>
      <c r="AE1243" s="132"/>
      <c r="AF1243" s="146"/>
      <c r="AG1243" s="138">
        <f>AG1242/AG1239</f>
        <v>-0.19929167122299235</v>
      </c>
      <c r="AH1243" s="132"/>
      <c r="AI1243" s="146"/>
      <c r="AJ1243" s="138">
        <f>AJ1242/AJ1239</f>
        <v>-7.8135376946417043</v>
      </c>
      <c r="AK1243" s="132"/>
      <c r="AL1243" s="146"/>
      <c r="AM1243" s="138">
        <f>AM1242/AM1239</f>
        <v>2.6728048292571067</v>
      </c>
      <c r="AN1243" s="132"/>
      <c r="AO1243" s="146"/>
      <c r="AP1243" s="138">
        <f>AP1242/AP1239</f>
        <v>1.8090094427282328</v>
      </c>
      <c r="AQ1243" s="132"/>
      <c r="AR1243" s="146"/>
      <c r="AS1243" s="138">
        <f>AS1242/AS1239</f>
        <v>1.4924754235650599</v>
      </c>
      <c r="AT1243" s="132"/>
      <c r="AU1243" s="146"/>
    </row>
    <row r="1244" spans="13:47" x14ac:dyDescent="0.25">
      <c r="M1244" s="27"/>
      <c r="N1244" s="27"/>
      <c r="O1244" s="2" t="s">
        <v>26</v>
      </c>
      <c r="P1244" s="7">
        <v>12</v>
      </c>
      <c r="Q1244" s="2"/>
      <c r="R1244" s="181">
        <f>1-R1243/(3*F_GAMMA*R$29)</f>
        <v>0.73824404531261223</v>
      </c>
      <c r="S1244" s="133"/>
      <c r="T1244" s="146"/>
      <c r="U1244" s="138">
        <f>1-U1243/(3*F_GAMMA*U$29)</f>
        <v>0.73953116050644974</v>
      </c>
      <c r="V1244" s="133"/>
      <c r="W1244" s="146"/>
      <c r="X1244" s="138">
        <f>1-X1243/(3*F_GAMMA*X$29)</f>
        <v>0.74222086237282847</v>
      </c>
      <c r="Y1244" s="133"/>
      <c r="Z1244" s="146"/>
      <c r="AA1244" s="138">
        <f>1-AA1243/(3*F_GAMMA*AA$29)</f>
        <v>0.76366253986399513</v>
      </c>
      <c r="AB1244" s="133"/>
      <c r="AC1244" s="146"/>
      <c r="AD1244" s="138">
        <f>1-AD1243/(3*F_GAMMA*AD$29)</f>
        <v>0.83929555643844256</v>
      </c>
      <c r="AE1244" s="133"/>
      <c r="AF1244" s="146"/>
      <c r="AG1244" s="138">
        <f>1-AG1243/(3*F_GAMMA*AG$29)</f>
        <v>1.1159562832748819</v>
      </c>
      <c r="AH1244" s="133"/>
      <c r="AI1244" s="146"/>
      <c r="AJ1244" s="138">
        <f>1-AJ1243/(3*F_GAMMA*AJ$29)</f>
        <v>5.8599976784093224</v>
      </c>
      <c r="AK1244" s="133"/>
      <c r="AL1244" s="146"/>
      <c r="AM1244" s="138">
        <f>1-AM1243/(3*F_GAMMA*AM$29)</f>
        <v>-0.81642497632238631</v>
      </c>
      <c r="AN1244" s="133"/>
      <c r="AO1244" s="146"/>
      <c r="AP1244" s="138">
        <f>1-AP1243/(3*F_GAMMA*AP$29)</f>
        <v>-1.5961047904062386E-2</v>
      </c>
      <c r="AQ1244" s="133"/>
      <c r="AR1244" s="146"/>
      <c r="AS1244" s="138">
        <f>1-AS1243/(3*F_GAMMA*AS$29)</f>
        <v>-0.27244799778866557</v>
      </c>
      <c r="AT1244" s="133"/>
      <c r="AU1244" s="146"/>
    </row>
    <row r="1245" spans="13:47" x14ac:dyDescent="0.25">
      <c r="M1245" s="27"/>
      <c r="N1245" s="27"/>
      <c r="O1245" s="2" t="s">
        <v>71</v>
      </c>
      <c r="P1245" s="85">
        <v>5</v>
      </c>
      <c r="Q1245" s="2"/>
      <c r="R1245" s="179">
        <f>R1237/((N_6*R$27*R1244)*SQRT(R1243*R1239*R1241))</f>
        <v>0.27183582384925492</v>
      </c>
      <c r="S1245" s="133"/>
      <c r="T1245" s="146"/>
      <c r="U1245" s="143">
        <f>U1237/((N_6*U$27*U1244)*SQRT(U1243*U1239*U1241))</f>
        <v>4.7550484860358537</v>
      </c>
      <c r="V1245" s="133"/>
      <c r="W1245" s="146"/>
      <c r="X1245" s="143">
        <f>X1237/((N_6*X$27*X1244)*SQRT(X1243*X1239*X1241))</f>
        <v>12.189505309867409</v>
      </c>
      <c r="Y1245" s="133"/>
      <c r="Z1245" s="146"/>
      <c r="AA1245" s="143">
        <f>AA1237/((N_6*AA$27*AA1244)*SQRT(AA1243*AA1239*AA1241))</f>
        <v>26.624586712012647</v>
      </c>
      <c r="AB1245" s="133"/>
      <c r="AC1245" s="146"/>
      <c r="AD1245" s="143">
        <f>AD1237/((N_6*AD$27*AD1244)*SQRT(AD1243*AD1239*AD1241))</f>
        <v>62.785482694604944</v>
      </c>
      <c r="AE1245" s="133"/>
      <c r="AF1245" s="146"/>
      <c r="AG1245" s="143" t="e">
        <f>AG1237/((N_6*AG$27*AG1244)*SQRT(AG1243*AG1239*AG1241))</f>
        <v>#NUM!</v>
      </c>
      <c r="AH1245" s="133"/>
      <c r="AI1245" s="146"/>
      <c r="AJ1245" s="143" t="e">
        <f>AJ1237/((N_6*AJ$27*AJ1244)*SQRT(AJ1243*AJ1239*AJ1241))</f>
        <v>#NUM!</v>
      </c>
      <c r="AK1245" s="133"/>
      <c r="AL1245" s="146"/>
      <c r="AM1245" s="143">
        <f>AM1237/((N_6*AM$27*AM1244)*SQRT(AM1243*AM1239*AM1241))</f>
        <v>-118.03527774206013</v>
      </c>
      <c r="AN1245" s="133"/>
      <c r="AO1245" s="146"/>
      <c r="AP1245" s="143">
        <f>AP1237/((N_6*AP$27*AP1244)*SQRT(AP1243*AP1239*AP1241))</f>
        <v>-4498.0830095764213</v>
      </c>
      <c r="AQ1245" s="133"/>
      <c r="AR1245" s="146"/>
      <c r="AS1245" s="143">
        <f>AS1237/((N_6*AS$27*AS1244)*SQRT(AS1243*AS1239*AS1241))</f>
        <v>-258.89613731401113</v>
      </c>
      <c r="AT1245" s="133"/>
      <c r="AU1245" s="146"/>
    </row>
    <row r="1246" spans="13:47" x14ac:dyDescent="0.25">
      <c r="M1246" s="27"/>
      <c r="N1246" s="27"/>
      <c r="O1246" s="2" t="s">
        <v>73</v>
      </c>
      <c r="P1246" s="85">
        <v>5</v>
      </c>
      <c r="Q1246" s="2"/>
      <c r="R1246" s="179">
        <f>R1237/((N_6*R$27*0.667)*SQRT(R1247*R1239*R1241))</f>
        <v>0.26661815623949059</v>
      </c>
      <c r="S1246" s="133"/>
      <c r="T1246" s="155"/>
      <c r="U1246" s="143">
        <f>U1237/((N_6*U$27*0.667)*SQRT(U1247*U1239*U1241))</f>
        <v>4.6604098188886667</v>
      </c>
      <c r="V1246" s="133"/>
      <c r="W1246" s="155"/>
      <c r="X1246" s="143">
        <f>X1237/((N_6*X$27*0.667)*SQRT(X1247*X1239*X1241))</f>
        <v>11.928282468569707</v>
      </c>
      <c r="Y1246" s="133"/>
      <c r="Z1246" s="155"/>
      <c r="AA1246" s="143">
        <f>AA1237/((N_6*AA$27*0.667)*SQRT(AA1247*AA1239*AA1241))</f>
        <v>25.667610362295648</v>
      </c>
      <c r="AB1246" s="133"/>
      <c r="AC1246" s="155"/>
      <c r="AD1246" s="143">
        <f>AD1237/((N_6*AD$27*0.667)*SQRT(AD1247*AD1239*AD1241))</f>
        <v>54.855843493018718</v>
      </c>
      <c r="AE1246" s="133"/>
      <c r="AF1246" s="155"/>
      <c r="AG1246" s="143">
        <f>AG1237/((N_6*AG$27*0.667)*SQRT(AG1247*AG1239*AG1241))</f>
        <v>136.87680762906399</v>
      </c>
      <c r="AH1246" s="133"/>
      <c r="AI1246" s="155"/>
      <c r="AJ1246" s="143">
        <f>AJ1237/((N_6*AJ$27*0.667)*SQRT(AJ1247*AJ1239*AJ1241))</f>
        <v>1365.901774305154</v>
      </c>
      <c r="AK1246" s="133"/>
      <c r="AL1246" s="155"/>
      <c r="AM1246" s="143">
        <f>AM1237/((N_6*AM$27*0.667)*SQRT(AM1247*AM1239*AM1241))</f>
        <v>337.26527980825097</v>
      </c>
      <c r="AN1246" s="133"/>
      <c r="AO1246" s="155"/>
      <c r="AP1246" s="143">
        <f>AP1237/((N_6*AP$27*0.667)*SQRT(AP1247*AP1239*AP1241))</f>
        <v>187.91532048928173</v>
      </c>
      <c r="AQ1246" s="133"/>
      <c r="AR1246" s="155"/>
      <c r="AS1246" s="143">
        <f>AS1237/((N_6*AS$27*0.667)*SQRT(AS1247*AS1239*AS1241))</f>
        <v>206.61602701273861</v>
      </c>
      <c r="AT1246" s="133"/>
      <c r="AU1246" s="155"/>
    </row>
    <row r="1247" spans="13:47" ht="15.5" x14ac:dyDescent="0.4">
      <c r="M1247" s="27"/>
      <c r="N1247" s="27"/>
      <c r="O1247" s="2" t="s">
        <v>192</v>
      </c>
      <c r="P1247" s="85">
        <v>10</v>
      </c>
      <c r="Q1247" s="2"/>
      <c r="R1247" s="181">
        <f>F_GAMMA*R$29</f>
        <v>0.64002688015162901</v>
      </c>
      <c r="S1247" s="133"/>
      <c r="T1247" s="155"/>
      <c r="U1247" s="138">
        <f>F_GAMMA*U$29</f>
        <v>0.64016782916606918</v>
      </c>
      <c r="V1247" s="133"/>
      <c r="W1247" s="155"/>
      <c r="X1247" s="138">
        <f>F_GAMMA*X$29</f>
        <v>0.6307062319203669</v>
      </c>
      <c r="Y1247" s="133"/>
      <c r="Z1247" s="155"/>
      <c r="AA1247" s="138">
        <f>F_GAMMA*AA$29</f>
        <v>0.62217534213893466</v>
      </c>
      <c r="AB1247" s="133"/>
      <c r="AC1247" s="155"/>
      <c r="AD1247" s="138">
        <f>F_GAMMA*AD$29</f>
        <v>0.60557184969146072</v>
      </c>
      <c r="AE1247" s="133"/>
      <c r="AF1247" s="155"/>
      <c r="AG1247" s="138">
        <f>F_GAMMA*AG$29</f>
        <v>0.57289312142622573</v>
      </c>
      <c r="AH1247" s="133"/>
      <c r="AI1247" s="155"/>
      <c r="AJ1247" s="138">
        <f>F_GAMMA*AJ$29</f>
        <v>0.53590819116049981</v>
      </c>
      <c r="AK1247" s="133"/>
      <c r="AL1247" s="155"/>
      <c r="AM1247" s="138">
        <f>F_GAMMA*AM$29</f>
        <v>0.49048815926850342</v>
      </c>
      <c r="AN1247" s="133"/>
      <c r="AO1247" s="155"/>
      <c r="AP1247" s="138">
        <f>F_GAMMA*AP$29</f>
        <v>0.59352979016280105</v>
      </c>
      <c r="AQ1247" s="133"/>
      <c r="AR1247" s="155"/>
      <c r="AS1247" s="138">
        <f>F_GAMMA*AS$29</f>
        <v>0.39097221161068291</v>
      </c>
      <c r="AT1247" s="133"/>
      <c r="AU1247" s="155"/>
    </row>
    <row r="1248" spans="13:47" x14ac:dyDescent="0.25">
      <c r="M1248" s="27"/>
      <c r="N1248" s="27"/>
      <c r="O1248" s="2" t="s">
        <v>193</v>
      </c>
      <c r="P1248" s="134"/>
      <c r="Q1248" s="2"/>
      <c r="R1248" s="181">
        <f>IF(R1243&lt;R1247,R1245,R1246)</f>
        <v>0.27183582384925492</v>
      </c>
      <c r="S1248" s="133"/>
      <c r="T1248" s="155"/>
      <c r="U1248" s="138">
        <f>IF(U1243&lt;U1247,U1245,U1246)</f>
        <v>4.7550484860358537</v>
      </c>
      <c r="V1248" s="133"/>
      <c r="W1248" s="155"/>
      <c r="X1248" s="138">
        <f>IF(X1243&lt;X1247,X1245,X1246)</f>
        <v>12.189505309867409</v>
      </c>
      <c r="Y1248" s="133"/>
      <c r="Z1248" s="155"/>
      <c r="AA1248" s="138">
        <f>IF(AA1243&lt;AA1247,AA1245,AA1246)</f>
        <v>26.624586712012647</v>
      </c>
      <c r="AB1248" s="133"/>
      <c r="AC1248" s="155"/>
      <c r="AD1248" s="138">
        <f>IF(AD1243&lt;AD1247,AD1245,AD1246)</f>
        <v>62.785482694604944</v>
      </c>
      <c r="AE1248" s="133"/>
      <c r="AF1248" s="155"/>
      <c r="AG1248" s="138" t="e">
        <f>IF(AG1243&lt;AG1247,AG1245,AG1246)</f>
        <v>#NUM!</v>
      </c>
      <c r="AH1248" s="133"/>
      <c r="AI1248" s="155"/>
      <c r="AJ1248" s="138" t="e">
        <f>IF(AJ1243&lt;AJ1247,AJ1245,AJ1246)</f>
        <v>#NUM!</v>
      </c>
      <c r="AK1248" s="133"/>
      <c r="AL1248" s="155"/>
      <c r="AM1248" s="138">
        <f>IF(AM1243&lt;AM1247,AM1245,AM1246)</f>
        <v>337.26527980825097</v>
      </c>
      <c r="AN1248" s="133"/>
      <c r="AO1248" s="155"/>
      <c r="AP1248" s="138">
        <f>IF(AP1243&lt;AP1247,AP1245,AP1246)</f>
        <v>187.91532048928173</v>
      </c>
      <c r="AQ1248" s="133"/>
      <c r="AR1248" s="155"/>
      <c r="AS1248" s="138">
        <f>IF(AS1243&lt;AS1247,AS1245,AS1246)</f>
        <v>206.61602701273861</v>
      </c>
      <c r="AT1248" s="133"/>
      <c r="AU1248" s="155"/>
    </row>
    <row r="1249" spans="13:47" ht="13" x14ac:dyDescent="0.3">
      <c r="M1249" s="28"/>
      <c r="N1249" s="28"/>
      <c r="O1249" s="9" t="s">
        <v>194</v>
      </c>
      <c r="P1249" s="1"/>
      <c r="Q1249" s="1"/>
      <c r="R1249" s="135"/>
      <c r="S1249" s="132">
        <f>IF(R1242&lt;=0,W_max,ABS(R$23-R1248))</f>
        <v>1.7281641761507451</v>
      </c>
      <c r="T1249" s="151">
        <f>R1237</f>
        <v>62.866641264795263</v>
      </c>
      <c r="U1249" s="135"/>
      <c r="V1249" s="132">
        <f>IF(U1242&lt;=0,W_max,ABS(U$23-U1248))</f>
        <v>0.24495151396414627</v>
      </c>
      <c r="W1249" s="151">
        <f>U1237</f>
        <v>1093.1399124970615</v>
      </c>
      <c r="X1249" s="135"/>
      <c r="Y1249" s="132">
        <f>IF(X1242&lt;=0,W_max,ABS(X$23-X1248))</f>
        <v>2.1895053098674087</v>
      </c>
      <c r="Z1249" s="151">
        <f>X1237</f>
        <v>2703.4650887797138</v>
      </c>
      <c r="AA1249" s="135"/>
      <c r="AB1249" s="132">
        <f>IF(AA1242&lt;=0,W_max,ABS(AA$23-AA1248))</f>
        <v>9.4245867120126476</v>
      </c>
      <c r="AC1249" s="151">
        <f>AA1237</f>
        <v>5265.6599458788351</v>
      </c>
      <c r="AD1249" s="135"/>
      <c r="AE1249" s="132">
        <f>IF(AD1242&lt;=0,W_max,ABS(AD$23-AD1248))</f>
        <v>36.185482694604943</v>
      </c>
      <c r="AF1249" s="151">
        <f>AD1237</f>
        <v>8660.0719100010647</v>
      </c>
      <c r="AG1249" s="135"/>
      <c r="AH1249" s="132">
        <f>IF(AG1242&lt;=0,W_max,ABS(AG$23-AG1248))</f>
        <v>7174</v>
      </c>
      <c r="AI1249" s="151">
        <f>AG1237</f>
        <v>12146.417559541067</v>
      </c>
      <c r="AJ1249" s="135"/>
      <c r="AK1249" s="132">
        <f>IF(AJ1242&lt;=0,W_max,ABS(AJ$23-AJ1248))</f>
        <v>7174</v>
      </c>
      <c r="AL1249" s="151">
        <f>AJ1237</f>
        <v>15422.727230885752</v>
      </c>
      <c r="AM1249" s="135"/>
      <c r="AN1249" s="132">
        <f>IF(AM1242&lt;=0,W_max,ABS(AM$23-AM1248))</f>
        <v>7174</v>
      </c>
      <c r="AO1249" s="151">
        <f>AM1237</f>
        <v>18084.36059741984</v>
      </c>
      <c r="AP1249" s="135"/>
      <c r="AQ1249" s="132">
        <f>IF(AP1242&lt;=0,W_max,ABS(AP$23-AP1248))</f>
        <v>7174</v>
      </c>
      <c r="AR1249" s="151">
        <f>AP1237</f>
        <v>20176.148688222791</v>
      </c>
      <c r="AS1249" s="135"/>
      <c r="AT1249" s="132">
        <f>IF(AS1242&lt;=0,W_max,ABS(AS$23-AS1248))</f>
        <v>7174</v>
      </c>
      <c r="AU1249" s="151">
        <f>AS1237</f>
        <v>22509.890449063121</v>
      </c>
    </row>
    <row r="1250" spans="13:47" ht="13" x14ac:dyDescent="0.25">
      <c r="M1250" s="12"/>
      <c r="N1250" s="12"/>
      <c r="O1250" s="2"/>
      <c r="P1250" s="85"/>
      <c r="Q1250" s="2"/>
      <c r="R1250" s="18"/>
      <c r="S1250" s="150"/>
      <c r="T1250" s="148"/>
      <c r="U1250" s="157"/>
      <c r="V1250" s="1"/>
      <c r="W1250" s="147"/>
      <c r="X1250" s="157"/>
      <c r="Y1250" s="1"/>
      <c r="Z1250" s="147"/>
      <c r="AA1250" s="157"/>
      <c r="AB1250" s="1"/>
      <c r="AC1250" s="147"/>
      <c r="AD1250" s="157"/>
      <c r="AE1250" s="1"/>
      <c r="AF1250" s="147"/>
      <c r="AG1250" s="157"/>
      <c r="AH1250" s="1"/>
      <c r="AI1250" s="147"/>
      <c r="AJ1250" s="157"/>
      <c r="AK1250" s="1"/>
      <c r="AL1250" s="147"/>
      <c r="AM1250" s="157"/>
      <c r="AN1250" s="1"/>
      <c r="AO1250" s="147"/>
      <c r="AP1250" s="157"/>
      <c r="AQ1250" s="1"/>
      <c r="AR1250" s="147"/>
      <c r="AS1250" s="157"/>
      <c r="AT1250" s="1"/>
      <c r="AU1250" s="147"/>
    </row>
    <row r="1251" spans="13:47" ht="14" x14ac:dyDescent="0.3">
      <c r="M1251" s="23"/>
      <c r="N1251" s="23"/>
      <c r="O1251" s="23" t="s">
        <v>238</v>
      </c>
      <c r="P1251" s="20"/>
      <c r="Q1251" s="20"/>
      <c r="R1251" s="181">
        <f>R1237*1.02</f>
        <v>64.123974090091167</v>
      </c>
      <c r="S1251" s="128" t="s">
        <v>185</v>
      </c>
      <c r="T1251" s="149" t="s">
        <v>186</v>
      </c>
      <c r="U1251" s="143">
        <f>U1237*1.01</f>
        <v>1104.071311622032</v>
      </c>
      <c r="V1251" s="128" t="s">
        <v>185</v>
      </c>
      <c r="W1251" s="153" t="s">
        <v>186</v>
      </c>
      <c r="X1251" s="143">
        <f>X1237*1.01</f>
        <v>2730.4997396675108</v>
      </c>
      <c r="Y1251" s="128" t="s">
        <v>185</v>
      </c>
      <c r="Z1251" s="153" t="s">
        <v>186</v>
      </c>
      <c r="AA1251" s="143">
        <f>AA1237*1.01</f>
        <v>5318.3165453376232</v>
      </c>
      <c r="AB1251" s="128" t="s">
        <v>185</v>
      </c>
      <c r="AC1251" s="153" t="s">
        <v>186</v>
      </c>
      <c r="AD1251" s="143">
        <f>AD1237*1.01</f>
        <v>8746.6726291010746</v>
      </c>
      <c r="AE1251" s="128" t="s">
        <v>185</v>
      </c>
      <c r="AF1251" s="153" t="s">
        <v>186</v>
      </c>
      <c r="AG1251" s="143">
        <f>AG1237*1.01</f>
        <v>12267.881735136478</v>
      </c>
      <c r="AH1251" s="128" t="s">
        <v>185</v>
      </c>
      <c r="AI1251" s="153" t="s">
        <v>186</v>
      </c>
      <c r="AJ1251" s="143">
        <f>AJ1237*1.01</f>
        <v>15576.954503194609</v>
      </c>
      <c r="AK1251" s="128" t="s">
        <v>185</v>
      </c>
      <c r="AL1251" s="153" t="s">
        <v>186</v>
      </c>
      <c r="AM1251" s="143">
        <f>AM1237*1.01</f>
        <v>18265.204203394038</v>
      </c>
      <c r="AN1251" s="128" t="s">
        <v>185</v>
      </c>
      <c r="AO1251" s="153" t="s">
        <v>186</v>
      </c>
      <c r="AP1251" s="143">
        <f>AP1237*1.01</f>
        <v>20377.910175105018</v>
      </c>
      <c r="AQ1251" s="128" t="s">
        <v>185</v>
      </c>
      <c r="AR1251" s="153" t="s">
        <v>186</v>
      </c>
      <c r="AS1251" s="143">
        <f>AS1237*1.01</f>
        <v>22734.989353553752</v>
      </c>
      <c r="AT1251" s="128" t="s">
        <v>185</v>
      </c>
      <c r="AU1251" s="153" t="s">
        <v>186</v>
      </c>
    </row>
    <row r="1252" spans="13:47" ht="14" x14ac:dyDescent="0.3">
      <c r="M1252" s="12"/>
      <c r="N1252" s="12"/>
      <c r="O1252" s="20"/>
      <c r="P1252" s="20"/>
      <c r="Q1252" s="23"/>
      <c r="R1252" s="139"/>
      <c r="S1252" s="130" t="s">
        <v>228</v>
      </c>
      <c r="T1252" s="131" t="s">
        <v>187</v>
      </c>
      <c r="U1252" s="144"/>
      <c r="V1252" s="130" t="s">
        <v>228</v>
      </c>
      <c r="W1252" s="154" t="s">
        <v>187</v>
      </c>
      <c r="X1252" s="144"/>
      <c r="Y1252" s="130" t="s">
        <v>228</v>
      </c>
      <c r="Z1252" s="154" t="s">
        <v>187</v>
      </c>
      <c r="AA1252" s="144"/>
      <c r="AB1252" s="130" t="s">
        <v>228</v>
      </c>
      <c r="AC1252" s="154" t="s">
        <v>187</v>
      </c>
      <c r="AD1252" s="144"/>
      <c r="AE1252" s="130" t="s">
        <v>228</v>
      </c>
      <c r="AF1252" s="154" t="s">
        <v>187</v>
      </c>
      <c r="AG1252" s="144"/>
      <c r="AH1252" s="130" t="s">
        <v>228</v>
      </c>
      <c r="AI1252" s="154" t="s">
        <v>187</v>
      </c>
      <c r="AJ1252" s="144"/>
      <c r="AK1252" s="130" t="s">
        <v>228</v>
      </c>
      <c r="AL1252" s="154" t="s">
        <v>187</v>
      </c>
      <c r="AM1252" s="144"/>
      <c r="AN1252" s="130" t="s">
        <v>228</v>
      </c>
      <c r="AO1252" s="154" t="s">
        <v>187</v>
      </c>
      <c r="AP1252" s="144"/>
      <c r="AQ1252" s="130" t="s">
        <v>228</v>
      </c>
      <c r="AR1252" s="154" t="s">
        <v>187</v>
      </c>
      <c r="AS1252" s="144"/>
      <c r="AT1252" s="130" t="s">
        <v>228</v>
      </c>
      <c r="AU1252" s="154" t="s">
        <v>187</v>
      </c>
    </row>
    <row r="1253" spans="13:47" x14ac:dyDescent="0.25">
      <c r="M1253" s="20"/>
      <c r="N1253" s="20"/>
      <c r="O1253" s="7" t="s">
        <v>188</v>
      </c>
      <c r="P1253" s="7"/>
      <c r="Q1253" s="7"/>
      <c r="R1253" s="181">
        <f>P_1_minW-(R1251^2*R_up)+dpup_minQ</f>
        <v>100.52114707429014</v>
      </c>
      <c r="S1253" s="132"/>
      <c r="T1253" s="145"/>
      <c r="U1253" s="138">
        <f>P_1_minW-(U1251^2*R_up)+dpup_minQ</f>
        <v>100.03670664068781</v>
      </c>
      <c r="V1253" s="132"/>
      <c r="W1253" s="145"/>
      <c r="X1253" s="138">
        <f>P_1_minW-(X1251^2*R_up)+dpup_minQ</f>
        <v>97.549766492715051</v>
      </c>
      <c r="Y1253" s="132"/>
      <c r="Z1253" s="145"/>
      <c r="AA1253" s="138">
        <f>P_1_minW-(AA1251^2*R_up)+dpup_minQ</f>
        <v>89.244011209748734</v>
      </c>
      <c r="AB1253" s="132"/>
      <c r="AC1253" s="145"/>
      <c r="AD1253" s="138">
        <f>P_1_minW-(AD1251^2*R_up)+dpup_minQ</f>
        <v>70.015798712415616</v>
      </c>
      <c r="AE1253" s="132"/>
      <c r="AF1253" s="145"/>
      <c r="AG1253" s="138">
        <f>P_1_minW-(AG1251^2*R_up)+dpup_minQ</f>
        <v>40.508762575110943</v>
      </c>
      <c r="AH1253" s="132"/>
      <c r="AI1253" s="145"/>
      <c r="AJ1253" s="138">
        <f>P_1_minW-(AJ1251^2*R_up)+dpup_minQ</f>
        <v>3.7666119567042666</v>
      </c>
      <c r="AK1253" s="132"/>
      <c r="AL1253" s="145"/>
      <c r="AM1253" s="138">
        <f>P_1_minW-(AM1251^2*R_up)+dpup_minQ</f>
        <v>-32.511213867390765</v>
      </c>
      <c r="AN1253" s="132"/>
      <c r="AO1253" s="145"/>
      <c r="AP1253" s="138">
        <f>P_1_minW-(AP1251^2*R_up)+dpup_minQ</f>
        <v>-65.066743701331959</v>
      </c>
      <c r="AQ1253" s="132"/>
      <c r="AR1253" s="145"/>
      <c r="AS1253" s="138">
        <f>P_1_minW-(AS1251^2*R_up)+dpup_minQ</f>
        <v>-105.58912800823286</v>
      </c>
      <c r="AT1253" s="132"/>
      <c r="AU1253" s="145"/>
    </row>
    <row r="1254" spans="13:47" x14ac:dyDescent="0.25">
      <c r="M1254" s="20"/>
      <c r="N1254" s="20"/>
      <c r="O1254" s="7" t="s">
        <v>189</v>
      </c>
      <c r="P1254" s="1"/>
      <c r="Q1254" s="7"/>
      <c r="R1254" s="181">
        <f>P_2_minW+(R1251^2*R_dn)-dpdn_minQ</f>
        <v>50</v>
      </c>
      <c r="S1254" s="132"/>
      <c r="T1254" s="146"/>
      <c r="U1254" s="138">
        <f>P_2_minW+(U1251^2*R_dn)-dpdn_minQ</f>
        <v>50</v>
      </c>
      <c r="V1254" s="132"/>
      <c r="W1254" s="146"/>
      <c r="X1254" s="138">
        <f>P_2_minW+(X1251^2*R_dn)-dpdn_minQ</f>
        <v>50</v>
      </c>
      <c r="Y1254" s="132"/>
      <c r="Z1254" s="146"/>
      <c r="AA1254" s="138">
        <f>P_2_minW+(AA1251^2*R_dn)-dpdn_minQ</f>
        <v>50</v>
      </c>
      <c r="AB1254" s="132"/>
      <c r="AC1254" s="146"/>
      <c r="AD1254" s="138">
        <f>P_2_minW+(AD1251^2*R_dn)-dpdn_minQ</f>
        <v>50</v>
      </c>
      <c r="AE1254" s="132"/>
      <c r="AF1254" s="146"/>
      <c r="AG1254" s="138">
        <f>P_2_minW+(AG1251^2*R_dn)-dpdn_minQ</f>
        <v>50</v>
      </c>
      <c r="AH1254" s="132"/>
      <c r="AI1254" s="146"/>
      <c r="AJ1254" s="138">
        <f>P_2_minW+(AJ1251^2*R_dn)-dpdn_minQ</f>
        <v>50</v>
      </c>
      <c r="AK1254" s="132"/>
      <c r="AL1254" s="146"/>
      <c r="AM1254" s="138">
        <f>P_2_minW+(AM1251^2*R_dn)-dpdn_minQ</f>
        <v>50</v>
      </c>
      <c r="AN1254" s="132"/>
      <c r="AO1254" s="146"/>
      <c r="AP1254" s="138">
        <f>P_2_minW+(AP1251^2*R_dn)-dpdn_minQ</f>
        <v>50</v>
      </c>
      <c r="AQ1254" s="132"/>
      <c r="AR1254" s="146"/>
      <c r="AS1254" s="138">
        <f>P_2_minW+(AS1251^2*R_dn)-dpdn_minQ</f>
        <v>50</v>
      </c>
      <c r="AT1254" s="132"/>
      <c r="AU1254" s="146"/>
    </row>
    <row r="1255" spans="13:47" x14ac:dyDescent="0.25">
      <c r="M1255" s="20"/>
      <c r="N1255" s="20"/>
      <c r="O1255" s="7" t="s">
        <v>234</v>
      </c>
      <c r="P1255" s="1"/>
      <c r="Q1255" s="7"/>
      <c r="R1255" s="179">
        <f>'Valve Sizing'!G$8*R1253/P_1_maxW</f>
        <v>0.48489611679922079</v>
      </c>
      <c r="S1255" s="132"/>
      <c r="T1255" s="146"/>
      <c r="U1255" s="143">
        <f>'Valve Sizing'!$G$8*U1253/P_1_maxW</f>
        <v>0.48255926239682634</v>
      </c>
      <c r="V1255" s="132"/>
      <c r="W1255" s="146"/>
      <c r="X1255" s="143">
        <f>'Valve Sizing'!$G$8*X1253/P_1_maxW</f>
        <v>0.47056270589540833</v>
      </c>
      <c r="Y1255" s="132"/>
      <c r="Z1255" s="146"/>
      <c r="AA1255" s="143">
        <f>'Valve Sizing'!$G$8*AA1253/P_1_maxW</f>
        <v>0.43049722115896272</v>
      </c>
      <c r="AB1255" s="132"/>
      <c r="AC1255" s="146"/>
      <c r="AD1255" s="143">
        <f>'Valve Sizing'!$G$8*AD1253/P_1_maxW</f>
        <v>0.33774374744405955</v>
      </c>
      <c r="AE1255" s="132"/>
      <c r="AF1255" s="146"/>
      <c r="AG1255" s="143">
        <f>'Valve Sizing'!$G$8*AG1253/P_1_maxW</f>
        <v>0.1954070585216868</v>
      </c>
      <c r="AH1255" s="132"/>
      <c r="AI1255" s="146"/>
      <c r="AJ1255" s="143">
        <f>'Valve Sizing'!$G$8*AJ1253/P_1_maxW</f>
        <v>1.8169465475215894E-2</v>
      </c>
      <c r="AK1255" s="132"/>
      <c r="AL1255" s="146"/>
      <c r="AM1255" s="143">
        <f>'Valve Sizing'!$G$8*AM1253/P_1_maxW</f>
        <v>-0.15682830743142995</v>
      </c>
      <c r="AN1255" s="132"/>
      <c r="AO1255" s="146"/>
      <c r="AP1255" s="143">
        <f>'Valve Sizing'!$G$8*AP1253/P_1_maxW</f>
        <v>-0.31387038719552762</v>
      </c>
      <c r="AQ1255" s="132"/>
      <c r="AR1255" s="146"/>
      <c r="AS1255" s="143">
        <f>'Valve Sizing'!$G$8*AS1253/P_1_maxW</f>
        <v>-0.50934315452616929</v>
      </c>
      <c r="AT1255" s="132"/>
      <c r="AU1255" s="146"/>
    </row>
    <row r="1256" spans="13:47" x14ac:dyDescent="0.25">
      <c r="M1256" s="20"/>
      <c r="N1256" s="20"/>
      <c r="O1256" s="7" t="s">
        <v>190</v>
      </c>
      <c r="P1256" s="1"/>
      <c r="Q1256" s="7"/>
      <c r="R1256" s="181">
        <f>R1253-R1254</f>
        <v>50.521147074290141</v>
      </c>
      <c r="S1256" s="132"/>
      <c r="T1256" s="146"/>
      <c r="U1256" s="138">
        <f>U1253-U1254</f>
        <v>50.036706640687811</v>
      </c>
      <c r="V1256" s="132"/>
      <c r="W1256" s="146"/>
      <c r="X1256" s="138">
        <f>X1253-X1254</f>
        <v>47.549766492715051</v>
      </c>
      <c r="Y1256" s="132"/>
      <c r="Z1256" s="146"/>
      <c r="AA1256" s="138">
        <f>AA1253-AA1254</f>
        <v>39.244011209748734</v>
      </c>
      <c r="AB1256" s="132"/>
      <c r="AC1256" s="146"/>
      <c r="AD1256" s="138">
        <f>AD1253-AD1254</f>
        <v>20.015798712415616</v>
      </c>
      <c r="AE1256" s="132"/>
      <c r="AF1256" s="146"/>
      <c r="AG1256" s="138">
        <f>AG1253-AG1254</f>
        <v>-9.4912374248890572</v>
      </c>
      <c r="AH1256" s="132"/>
      <c r="AI1256" s="146"/>
      <c r="AJ1256" s="138">
        <f>AJ1253-AJ1254</f>
        <v>-46.233388043295733</v>
      </c>
      <c r="AK1256" s="132"/>
      <c r="AL1256" s="146"/>
      <c r="AM1256" s="138">
        <f>AM1253-AM1254</f>
        <v>-82.511213867390765</v>
      </c>
      <c r="AN1256" s="132"/>
      <c r="AO1256" s="146"/>
      <c r="AP1256" s="138">
        <f>AP1253-AP1254</f>
        <v>-115.06674370133196</v>
      </c>
      <c r="AQ1256" s="132"/>
      <c r="AR1256" s="146"/>
      <c r="AS1256" s="138">
        <f>AS1253-AS1254</f>
        <v>-155.58912800823288</v>
      </c>
      <c r="AT1256" s="132"/>
      <c r="AU1256" s="146"/>
    </row>
    <row r="1257" spans="13:47" ht="14.5" x14ac:dyDescent="0.35">
      <c r="M1257" s="27"/>
      <c r="N1257" s="27"/>
      <c r="O1257" s="2" t="s">
        <v>191</v>
      </c>
      <c r="P1257" s="10"/>
      <c r="Q1257" s="2"/>
      <c r="R1257" s="181">
        <f>R1256/R1253</f>
        <v>0.50259222606117393</v>
      </c>
      <c r="S1257" s="132"/>
      <c r="T1257" s="146"/>
      <c r="U1257" s="138">
        <f>U1256/U1253</f>
        <v>0.5001834658592853</v>
      </c>
      <c r="V1257" s="132"/>
      <c r="W1257" s="146"/>
      <c r="X1257" s="138">
        <f>X1256/X1253</f>
        <v>0.48744111034100768</v>
      </c>
      <c r="Y1257" s="132"/>
      <c r="Z1257" s="146"/>
      <c r="AA1257" s="138">
        <f>AA1256/AA1253</f>
        <v>0.43973831608167163</v>
      </c>
      <c r="AB1257" s="132"/>
      <c r="AC1257" s="146"/>
      <c r="AD1257" s="138">
        <f>AD1256/AD1253</f>
        <v>0.28587546068893588</v>
      </c>
      <c r="AE1257" s="132"/>
      <c r="AF1257" s="146"/>
      <c r="AG1257" s="138">
        <f>AG1256/AG1253</f>
        <v>-0.23430084805208501</v>
      </c>
      <c r="AH1257" s="132"/>
      <c r="AI1257" s="146"/>
      <c r="AJ1257" s="138">
        <f>AJ1256/AJ1253</f>
        <v>-12.274529092651559</v>
      </c>
      <c r="AK1257" s="132"/>
      <c r="AL1257" s="146"/>
      <c r="AM1257" s="138">
        <f>AM1256/AM1253</f>
        <v>2.537930887599086</v>
      </c>
      <c r="AN1257" s="132"/>
      <c r="AO1257" s="146"/>
      <c r="AP1257" s="138">
        <f>AP1256/AP1253</f>
        <v>1.7684417131662371</v>
      </c>
      <c r="AQ1257" s="132"/>
      <c r="AR1257" s="146"/>
      <c r="AS1257" s="138">
        <f>AS1256/AS1253</f>
        <v>1.4735336008845672</v>
      </c>
      <c r="AT1257" s="132"/>
      <c r="AU1257" s="146"/>
    </row>
    <row r="1258" spans="13:47" x14ac:dyDescent="0.25">
      <c r="M1258" s="27"/>
      <c r="N1258" s="27"/>
      <c r="O1258" s="2" t="s">
        <v>26</v>
      </c>
      <c r="P1258" s="7">
        <v>12</v>
      </c>
      <c r="Q1258" s="2"/>
      <c r="R1258" s="181">
        <f>1-R1257/(3*F_GAMMA*R$29)</f>
        <v>0.73824420939835911</v>
      </c>
      <c r="S1258" s="133"/>
      <c r="T1258" s="146"/>
      <c r="U1258" s="138">
        <f>1-U1257/(3*F_GAMMA*U$29)</f>
        <v>0.73955607520876621</v>
      </c>
      <c r="V1258" s="133"/>
      <c r="W1258" s="146"/>
      <c r="X1258" s="138">
        <f>1-X1257/(3*F_GAMMA*X$29)</f>
        <v>0.74238343956274078</v>
      </c>
      <c r="Y1258" s="133"/>
      <c r="Z1258" s="146"/>
      <c r="AA1258" s="138">
        <f>1-AA1257/(3*F_GAMMA*AA$29)</f>
        <v>0.7644081519046142</v>
      </c>
      <c r="AB1258" s="133"/>
      <c r="AC1258" s="146"/>
      <c r="AD1258" s="138">
        <f>1-AD1257/(3*F_GAMMA*AD$29)</f>
        <v>0.84264159524886018</v>
      </c>
      <c r="AE1258" s="133"/>
      <c r="AF1258" s="146"/>
      <c r="AG1258" s="138">
        <f>1-AG1257/(3*F_GAMMA*AG$29)</f>
        <v>1.1363260960257238</v>
      </c>
      <c r="AH1258" s="133"/>
      <c r="AI1258" s="146"/>
      <c r="AJ1258" s="138">
        <f>1-AJ1257/(3*F_GAMMA*AJ$29)</f>
        <v>8.6347213292083254</v>
      </c>
      <c r="AK1258" s="133"/>
      <c r="AL1258" s="146"/>
      <c r="AM1258" s="138">
        <f>1-AM1257/(3*F_GAMMA*AM$29)</f>
        <v>-0.72476531093979624</v>
      </c>
      <c r="AN1258" s="133"/>
      <c r="AO1258" s="146"/>
      <c r="AP1258" s="138">
        <f>1-AP1257/(3*F_GAMMA*AP$29)</f>
        <v>6.8222676847913277E-3</v>
      </c>
      <c r="AQ1258" s="133"/>
      <c r="AR1258" s="146"/>
      <c r="AS1258" s="138">
        <f>1-AS1257/(3*F_GAMMA*AS$29)</f>
        <v>-0.25629866362630627</v>
      </c>
      <c r="AT1258" s="133"/>
      <c r="AU1258" s="146"/>
    </row>
    <row r="1259" spans="13:47" x14ac:dyDescent="0.25">
      <c r="M1259" s="27"/>
      <c r="N1259" s="27"/>
      <c r="O1259" s="2" t="s">
        <v>71</v>
      </c>
      <c r="P1259" s="85">
        <v>5</v>
      </c>
      <c r="Q1259" s="2"/>
      <c r="R1259" s="179">
        <f>R1251/((N_6*R$27*R1258)*SQRT(R1257*R1253*R1255))</f>
        <v>0.27727274122903001</v>
      </c>
      <c r="S1259" s="133"/>
      <c r="T1259" s="146"/>
      <c r="U1259" s="143">
        <f>U1251/((N_6*U$27*U1258)*SQRT(U1257*U1253*U1255))</f>
        <v>4.8031266945541153</v>
      </c>
      <c r="V1259" s="133"/>
      <c r="W1259" s="146"/>
      <c r="X1259" s="143">
        <f>X1251/((N_6*X$27*X1258)*SQRT(X1257*X1253*X1255))</f>
        <v>12.319981446189775</v>
      </c>
      <c r="Y1259" s="133"/>
      <c r="Z1259" s="146"/>
      <c r="AA1259" s="143">
        <f>AA1251/((N_6*AA$27*AA1258)*SQRT(AA1257*AA1253*AA1255))</f>
        <v>26.97408487162982</v>
      </c>
      <c r="AB1259" s="133"/>
      <c r="AC1259" s="146"/>
      <c r="AD1259" s="143">
        <f>AD1251/((N_6*AD$27*AD1258)*SQRT(AD1257*AD1253*AD1255))</f>
        <v>64.377521990103659</v>
      </c>
      <c r="AE1259" s="133"/>
      <c r="AF1259" s="146"/>
      <c r="AG1259" s="143" t="e">
        <f>AG1251/((N_6*AG$27*AG1258)*SQRT(AG1257*AG1253*AG1255))</f>
        <v>#NUM!</v>
      </c>
      <c r="AH1259" s="133"/>
      <c r="AI1259" s="146"/>
      <c r="AJ1259" s="143" t="e">
        <f>AJ1251/((N_6*AJ$27*AJ1258)*SQRT(AJ1257*AJ1253*AJ1255))</f>
        <v>#NUM!</v>
      </c>
      <c r="AK1259" s="133"/>
      <c r="AL1259" s="146"/>
      <c r="AM1259" s="143">
        <f>AM1251/((N_6*AM$27*AM1258)*SQRT(AM1257*AM1253*AM1255))</f>
        <v>-126.70313402780431</v>
      </c>
      <c r="AN1259" s="133"/>
      <c r="AO1259" s="146"/>
      <c r="AP1259" s="143">
        <f>AP1251/((N_6*AP$27*AP1258)*SQRT(AP1257*AP1253*AP1255))</f>
        <v>10210.896344238712</v>
      </c>
      <c r="AQ1259" s="133"/>
      <c r="AR1259" s="146"/>
      <c r="AS1259" s="143">
        <f>AS1251/((N_6*AS$27*AS1258)*SQRT(AS1257*AS1253*AS1255))</f>
        <v>-268.982505514509</v>
      </c>
      <c r="AT1259" s="133"/>
      <c r="AU1259" s="146"/>
    </row>
    <row r="1260" spans="13:47" x14ac:dyDescent="0.25">
      <c r="M1260" s="27"/>
      <c r="N1260" s="27"/>
      <c r="O1260" s="2" t="s">
        <v>73</v>
      </c>
      <c r="P1260" s="85">
        <v>5</v>
      </c>
      <c r="Q1260" s="2"/>
      <c r="R1260" s="179">
        <f>R1251/((N_6*R$27*0.667)*SQRT(R1261*R1253*R1255))</f>
        <v>0.27195069161772911</v>
      </c>
      <c r="S1260" s="133"/>
      <c r="T1260" s="147"/>
      <c r="U1260" s="143">
        <f>U1251/((N_6*U$27*0.667)*SQRT(U1261*U1253*U1255))</f>
        <v>4.7074645752431312</v>
      </c>
      <c r="V1260" s="133"/>
      <c r="W1260" s="155"/>
      <c r="X1260" s="143">
        <f>X1251/((N_6*X$27*0.667)*SQRT(X1261*X1253*X1255))</f>
        <v>12.05480005495563</v>
      </c>
      <c r="Y1260" s="133"/>
      <c r="Z1260" s="155"/>
      <c r="AA1260" s="143">
        <f>AA1251/((N_6*AA$27*0.667)*SQRT(AA1261*AA1253*AA1255))</f>
        <v>25.988843414278893</v>
      </c>
      <c r="AB1260" s="133"/>
      <c r="AC1260" s="155"/>
      <c r="AD1260" s="143">
        <f>AD1251/((N_6*AD$27*0.667)*SQRT(AD1261*AD1253*AD1255))</f>
        <v>55.880066564843645</v>
      </c>
      <c r="AE1260" s="133"/>
      <c r="AF1260" s="155"/>
      <c r="AG1260" s="143">
        <f>AG1251/((N_6*AG$27*0.667)*SQRT(AG1261*AG1253*AG1255))</f>
        <v>142.28117765427251</v>
      </c>
      <c r="AH1260" s="133"/>
      <c r="AI1260" s="155"/>
      <c r="AJ1260" s="143">
        <f>AJ1251/((N_6*AJ$27*0.667)*SQRT(AJ1261*AJ1253*AJ1255))</f>
        <v>2077.8285069636627</v>
      </c>
      <c r="AK1260" s="133"/>
      <c r="AL1260" s="155"/>
      <c r="AM1260" s="143">
        <f>AM1251/((N_6*AM$27*0.667)*SQRT(AM1261*AM1253*AM1255))</f>
        <v>313.17317410891889</v>
      </c>
      <c r="AN1260" s="133"/>
      <c r="AO1260" s="155"/>
      <c r="AP1260" s="143">
        <f>AP1251/((N_6*AP$27*0.667)*SQRT(AP1261*AP1253*AP1255))</f>
        <v>180.27724129300339</v>
      </c>
      <c r="AQ1260" s="133"/>
      <c r="AR1260" s="155"/>
      <c r="AS1260" s="143">
        <f>AS1251/((N_6*AS$27*0.667)*SQRT(AS1261*AS1253*AS1255))</f>
        <v>200.65575428957121</v>
      </c>
      <c r="AT1260" s="133"/>
      <c r="AU1260" s="155"/>
    </row>
    <row r="1261" spans="13:47" ht="15.5" x14ac:dyDescent="0.4">
      <c r="M1261" s="27"/>
      <c r="N1261" s="27"/>
      <c r="O1261" s="2" t="s">
        <v>192</v>
      </c>
      <c r="P1261" s="85">
        <v>10</v>
      </c>
      <c r="Q1261" s="2"/>
      <c r="R1261" s="181">
        <f>F_GAMMA*R$29</f>
        <v>0.64002688015162901</v>
      </c>
      <c r="S1261" s="133"/>
      <c r="T1261" s="147"/>
      <c r="U1261" s="138">
        <f>F_GAMMA*U$29</f>
        <v>0.64016782916606918</v>
      </c>
      <c r="V1261" s="133"/>
      <c r="W1261" s="155"/>
      <c r="X1261" s="138">
        <f>F_GAMMA*X$29</f>
        <v>0.6307062319203669</v>
      </c>
      <c r="Y1261" s="133"/>
      <c r="Z1261" s="155"/>
      <c r="AA1261" s="138">
        <f>F_GAMMA*AA$29</f>
        <v>0.62217534213893466</v>
      </c>
      <c r="AB1261" s="133"/>
      <c r="AC1261" s="155"/>
      <c r="AD1261" s="138">
        <f>F_GAMMA*AD$29</f>
        <v>0.60557184969146072</v>
      </c>
      <c r="AE1261" s="133"/>
      <c r="AF1261" s="155"/>
      <c r="AG1261" s="138">
        <f>F_GAMMA*AG$29</f>
        <v>0.57289312142622573</v>
      </c>
      <c r="AH1261" s="133"/>
      <c r="AI1261" s="155"/>
      <c r="AJ1261" s="138">
        <f>F_GAMMA*AJ$29</f>
        <v>0.53590819116049981</v>
      </c>
      <c r="AK1261" s="133"/>
      <c r="AL1261" s="155"/>
      <c r="AM1261" s="138">
        <f>F_GAMMA*AM$29</f>
        <v>0.49048815926850342</v>
      </c>
      <c r="AN1261" s="133"/>
      <c r="AO1261" s="155"/>
      <c r="AP1261" s="138">
        <f>F_GAMMA*AP$29</f>
        <v>0.59352979016280105</v>
      </c>
      <c r="AQ1261" s="133"/>
      <c r="AR1261" s="155"/>
      <c r="AS1261" s="138">
        <f>F_GAMMA*AS$29</f>
        <v>0.39097221161068291</v>
      </c>
      <c r="AT1261" s="133"/>
      <c r="AU1261" s="155"/>
    </row>
    <row r="1262" spans="13:47" x14ac:dyDescent="0.25">
      <c r="M1262" s="27"/>
      <c r="N1262" s="27"/>
      <c r="O1262" s="2" t="s">
        <v>193</v>
      </c>
      <c r="P1262" s="134"/>
      <c r="Q1262" s="2"/>
      <c r="R1262" s="181">
        <f>IF(R1257&lt;R1261,R1259,R1260)</f>
        <v>0.27727274122903001</v>
      </c>
      <c r="S1262" s="133"/>
      <c r="T1262" s="147"/>
      <c r="U1262" s="138">
        <f>IF(U1257&lt;U1261,U1259,U1260)</f>
        <v>4.8031266945541153</v>
      </c>
      <c r="V1262" s="133"/>
      <c r="W1262" s="155"/>
      <c r="X1262" s="138">
        <f>IF(X1257&lt;X1261,X1259,X1260)</f>
        <v>12.319981446189775</v>
      </c>
      <c r="Y1262" s="133"/>
      <c r="Z1262" s="155"/>
      <c r="AA1262" s="138">
        <f>IF(AA1257&lt;AA1261,AA1259,AA1260)</f>
        <v>26.97408487162982</v>
      </c>
      <c r="AB1262" s="133"/>
      <c r="AC1262" s="155"/>
      <c r="AD1262" s="138">
        <f>IF(AD1257&lt;AD1261,AD1259,AD1260)</f>
        <v>64.377521990103659</v>
      </c>
      <c r="AE1262" s="133"/>
      <c r="AF1262" s="155"/>
      <c r="AG1262" s="138" t="e">
        <f>IF(AG1257&lt;AG1261,AG1259,AG1260)</f>
        <v>#NUM!</v>
      </c>
      <c r="AH1262" s="133"/>
      <c r="AI1262" s="155"/>
      <c r="AJ1262" s="138" t="e">
        <f>IF(AJ1257&lt;AJ1261,AJ1259,AJ1260)</f>
        <v>#NUM!</v>
      </c>
      <c r="AK1262" s="133"/>
      <c r="AL1262" s="155"/>
      <c r="AM1262" s="138">
        <f>IF(AM1257&lt;AM1261,AM1259,AM1260)</f>
        <v>313.17317410891889</v>
      </c>
      <c r="AN1262" s="133"/>
      <c r="AO1262" s="155"/>
      <c r="AP1262" s="138">
        <f>IF(AP1257&lt;AP1261,AP1259,AP1260)</f>
        <v>180.27724129300339</v>
      </c>
      <c r="AQ1262" s="133"/>
      <c r="AR1262" s="155"/>
      <c r="AS1262" s="138">
        <f>IF(AS1257&lt;AS1261,AS1259,AS1260)</f>
        <v>200.65575428957121</v>
      </c>
      <c r="AT1262" s="133"/>
      <c r="AU1262" s="155"/>
    </row>
    <row r="1263" spans="13:47" ht="13" x14ac:dyDescent="0.3">
      <c r="M1263" s="28"/>
      <c r="N1263" s="28"/>
      <c r="O1263" s="9" t="s">
        <v>194</v>
      </c>
      <c r="P1263" s="1"/>
      <c r="Q1263" s="1"/>
      <c r="R1263" s="135"/>
      <c r="S1263" s="132">
        <f>IF(R1256&lt;=0,W_max,ABS(R$23-R1262))</f>
        <v>1.7227272587709699</v>
      </c>
      <c r="T1263" s="151">
        <f>R1251</f>
        <v>64.123974090091167</v>
      </c>
      <c r="U1263" s="135"/>
      <c r="V1263" s="132">
        <f>IF(U1256&lt;=0,W_max,ABS(U$23-U1262))</f>
        <v>0.19687330544588466</v>
      </c>
      <c r="W1263" s="151">
        <f>U1251</f>
        <v>1104.071311622032</v>
      </c>
      <c r="X1263" s="135"/>
      <c r="Y1263" s="132">
        <f>IF(X1256&lt;=0,W_max,ABS(X$23-X1262))</f>
        <v>2.3199814461897752</v>
      </c>
      <c r="Z1263" s="151">
        <f>X1251</f>
        <v>2730.4997396675108</v>
      </c>
      <c r="AA1263" s="135"/>
      <c r="AB1263" s="132">
        <f>IF(AA1256&lt;=0,W_max,ABS(AA$23-AA1262))</f>
        <v>9.774084871629821</v>
      </c>
      <c r="AC1263" s="151">
        <f>AA1251</f>
        <v>5318.3165453376232</v>
      </c>
      <c r="AD1263" s="135"/>
      <c r="AE1263" s="132">
        <f>IF(AD1256&lt;=0,W_max,ABS(AD$23-AD1262))</f>
        <v>37.777521990103658</v>
      </c>
      <c r="AF1263" s="151">
        <f>AD1251</f>
        <v>8746.6726291010746</v>
      </c>
      <c r="AG1263" s="135"/>
      <c r="AH1263" s="132">
        <f>IF(AG1256&lt;=0,W_max,ABS(AG$23-AG1262))</f>
        <v>7174</v>
      </c>
      <c r="AI1263" s="151">
        <f>AG1251</f>
        <v>12267.881735136478</v>
      </c>
      <c r="AJ1263" s="135"/>
      <c r="AK1263" s="132">
        <f>IF(AJ1256&lt;=0,W_max,ABS(AJ$23-AJ1262))</f>
        <v>7174</v>
      </c>
      <c r="AL1263" s="151">
        <f>AJ1251</f>
        <v>15576.954503194609</v>
      </c>
      <c r="AM1263" s="135"/>
      <c r="AN1263" s="132">
        <f>IF(AM1256&lt;=0,W_max,ABS(AM$23-AM1262))</f>
        <v>7174</v>
      </c>
      <c r="AO1263" s="151">
        <f>AM1251</f>
        <v>18265.204203394038</v>
      </c>
      <c r="AP1263" s="135"/>
      <c r="AQ1263" s="132">
        <f>IF(AP1256&lt;=0,W_max,ABS(AP$23-AP1262))</f>
        <v>7174</v>
      </c>
      <c r="AR1263" s="151">
        <f>AP1251</f>
        <v>20377.910175105018</v>
      </c>
      <c r="AS1263" s="135"/>
      <c r="AT1263" s="132">
        <f>IF(AS1256&lt;=0,W_max,ABS(AS$23-AS1262))</f>
        <v>7174</v>
      </c>
      <c r="AU1263" s="151">
        <f>AS1251</f>
        <v>22734.989353553752</v>
      </c>
    </row>
    <row r="1264" spans="13:47" ht="13" x14ac:dyDescent="0.25">
      <c r="M1264" s="12"/>
      <c r="N1264" s="12"/>
      <c r="O1264" s="12"/>
      <c r="P1264" s="12"/>
      <c r="Q1264" s="12"/>
      <c r="R1264" s="182"/>
      <c r="S1264" s="22"/>
      <c r="T1264" s="152"/>
      <c r="U1264" s="157"/>
      <c r="V1264" s="1"/>
      <c r="W1264" s="147"/>
      <c r="X1264" s="157"/>
      <c r="Y1264" s="1"/>
      <c r="Z1264" s="147"/>
      <c r="AA1264" s="157"/>
      <c r="AB1264" s="1"/>
      <c r="AC1264" s="147"/>
      <c r="AD1264" s="157"/>
      <c r="AE1264" s="1"/>
      <c r="AF1264" s="147"/>
      <c r="AG1264" s="157"/>
      <c r="AH1264" s="1"/>
      <c r="AI1264" s="147"/>
      <c r="AJ1264" s="157"/>
      <c r="AK1264" s="1"/>
      <c r="AL1264" s="147"/>
      <c r="AM1264" s="157"/>
      <c r="AN1264" s="1"/>
      <c r="AO1264" s="147"/>
      <c r="AP1264" s="157"/>
      <c r="AQ1264" s="1"/>
      <c r="AR1264" s="147"/>
      <c r="AS1264" s="157"/>
      <c r="AT1264" s="1"/>
      <c r="AU1264" s="147"/>
    </row>
    <row r="1265" spans="13:47" ht="14" x14ac:dyDescent="0.3">
      <c r="M1265" s="23"/>
      <c r="N1265" s="23"/>
      <c r="O1265" s="23" t="s">
        <v>238</v>
      </c>
      <c r="P1265" s="20"/>
      <c r="Q1265" s="20"/>
      <c r="R1265" s="18">
        <f>R1251*1.02</f>
        <v>65.406453571892996</v>
      </c>
      <c r="S1265" s="128" t="s">
        <v>185</v>
      </c>
      <c r="T1265" s="153" t="s">
        <v>186</v>
      </c>
      <c r="U1265" s="143">
        <f>U1251*1.01</f>
        <v>1115.1120247382523</v>
      </c>
      <c r="V1265" s="128" t="s">
        <v>185</v>
      </c>
      <c r="W1265" s="153" t="s">
        <v>186</v>
      </c>
      <c r="X1265" s="143">
        <f>X1251*1.01</f>
        <v>2757.8047370641857</v>
      </c>
      <c r="Y1265" s="128" t="s">
        <v>185</v>
      </c>
      <c r="Z1265" s="153" t="s">
        <v>186</v>
      </c>
      <c r="AA1265" s="143">
        <f>AA1251*1.01</f>
        <v>5371.4997107909994</v>
      </c>
      <c r="AB1265" s="128" t="s">
        <v>185</v>
      </c>
      <c r="AC1265" s="153" t="s">
        <v>186</v>
      </c>
      <c r="AD1265" s="143">
        <f>AD1251*1.01</f>
        <v>8834.1393553920861</v>
      </c>
      <c r="AE1265" s="128" t="s">
        <v>185</v>
      </c>
      <c r="AF1265" s="153" t="s">
        <v>186</v>
      </c>
      <c r="AG1265" s="143">
        <f>AG1251*1.01</f>
        <v>12390.560552487843</v>
      </c>
      <c r="AH1265" s="128" t="s">
        <v>185</v>
      </c>
      <c r="AI1265" s="153" t="s">
        <v>186</v>
      </c>
      <c r="AJ1265" s="143">
        <f>AJ1251*1.01</f>
        <v>15732.724048226555</v>
      </c>
      <c r="AK1265" s="128" t="s">
        <v>185</v>
      </c>
      <c r="AL1265" s="153" t="s">
        <v>186</v>
      </c>
      <c r="AM1265" s="143">
        <f>AM1251*1.01</f>
        <v>18447.856245427978</v>
      </c>
      <c r="AN1265" s="128" t="s">
        <v>185</v>
      </c>
      <c r="AO1265" s="153" t="s">
        <v>186</v>
      </c>
      <c r="AP1265" s="143">
        <f>AP1251*1.01</f>
        <v>20581.689276856068</v>
      </c>
      <c r="AQ1265" s="128" t="s">
        <v>185</v>
      </c>
      <c r="AR1265" s="153" t="s">
        <v>186</v>
      </c>
      <c r="AS1265" s="143">
        <f>AS1251*1.01</f>
        <v>22962.33924708929</v>
      </c>
      <c r="AT1265" s="128" t="s">
        <v>185</v>
      </c>
      <c r="AU1265" s="153" t="s">
        <v>186</v>
      </c>
    </row>
    <row r="1266" spans="13:47" ht="14" x14ac:dyDescent="0.3">
      <c r="M1266" s="12"/>
      <c r="N1266" s="12"/>
      <c r="O1266" s="20"/>
      <c r="P1266" s="20"/>
      <c r="Q1266" s="23"/>
      <c r="R1266" s="139"/>
      <c r="S1266" s="130" t="s">
        <v>228</v>
      </c>
      <c r="T1266" s="154" t="s">
        <v>187</v>
      </c>
      <c r="U1266" s="144"/>
      <c r="V1266" s="130" t="s">
        <v>228</v>
      </c>
      <c r="W1266" s="154" t="s">
        <v>187</v>
      </c>
      <c r="X1266" s="144"/>
      <c r="Y1266" s="130" t="s">
        <v>228</v>
      </c>
      <c r="Z1266" s="154" t="s">
        <v>187</v>
      </c>
      <c r="AA1266" s="144"/>
      <c r="AB1266" s="130" t="s">
        <v>228</v>
      </c>
      <c r="AC1266" s="154" t="s">
        <v>187</v>
      </c>
      <c r="AD1266" s="144"/>
      <c r="AE1266" s="130" t="s">
        <v>228</v>
      </c>
      <c r="AF1266" s="154" t="s">
        <v>187</v>
      </c>
      <c r="AG1266" s="144"/>
      <c r="AH1266" s="130" t="s">
        <v>228</v>
      </c>
      <c r="AI1266" s="154" t="s">
        <v>187</v>
      </c>
      <c r="AJ1266" s="144"/>
      <c r="AK1266" s="130" t="s">
        <v>228</v>
      </c>
      <c r="AL1266" s="154" t="s">
        <v>187</v>
      </c>
      <c r="AM1266" s="144"/>
      <c r="AN1266" s="130" t="s">
        <v>228</v>
      </c>
      <c r="AO1266" s="154" t="s">
        <v>187</v>
      </c>
      <c r="AP1266" s="144"/>
      <c r="AQ1266" s="130" t="s">
        <v>228</v>
      </c>
      <c r="AR1266" s="154" t="s">
        <v>187</v>
      </c>
      <c r="AS1266" s="144"/>
      <c r="AT1266" s="130" t="s">
        <v>228</v>
      </c>
      <c r="AU1266" s="154" t="s">
        <v>187</v>
      </c>
    </row>
    <row r="1267" spans="13:47" x14ac:dyDescent="0.25">
      <c r="M1267" s="20"/>
      <c r="N1267" s="20"/>
      <c r="O1267" s="7" t="s">
        <v>188</v>
      </c>
      <c r="P1267" s="7"/>
      <c r="Q1267" s="7"/>
      <c r="R1267" s="181">
        <f>P_1_minW-(R1265^2*R_up)+dpup_minQ</f>
        <v>100.5210808319277</v>
      </c>
      <c r="S1267" s="132"/>
      <c r="T1267" s="145"/>
      <c r="U1267" s="138">
        <f>P_1_minW-(U1265^2*R_up)+dpup_minQ</f>
        <v>100.02693643075743</v>
      </c>
      <c r="V1267" s="132"/>
      <c r="W1267" s="145"/>
      <c r="X1267" s="138">
        <f>P_1_minW-(X1265^2*R_up)+dpup_minQ</f>
        <v>97.490008785810417</v>
      </c>
      <c r="Y1267" s="132"/>
      <c r="Z1267" s="145"/>
      <c r="AA1267" s="138">
        <f>P_1_minW-(AA1265^2*R_up)+dpup_minQ</f>
        <v>89.017307821656487</v>
      </c>
      <c r="AB1267" s="132"/>
      <c r="AC1267" s="145"/>
      <c r="AD1267" s="138">
        <f>P_1_minW-(AD1265^2*R_up)+dpup_minQ</f>
        <v>69.402608253126957</v>
      </c>
      <c r="AE1267" s="132"/>
      <c r="AF1267" s="145"/>
      <c r="AG1267" s="138">
        <f>P_1_minW-(AG1265^2*R_up)+dpup_minQ</f>
        <v>39.30248068946247</v>
      </c>
      <c r="AH1267" s="132"/>
      <c r="AI1267" s="145"/>
      <c r="AJ1267" s="138">
        <f>P_1_minW-(AJ1265^2*R_up)+dpup_minQ</f>
        <v>1.8218128436258065</v>
      </c>
      <c r="AK1267" s="132"/>
      <c r="AL1267" s="145"/>
      <c r="AM1267" s="138">
        <f>P_1_minW-(AM1265^2*R_up)+dpup_minQ</f>
        <v>-35.18519727953354</v>
      </c>
      <c r="AN1267" s="132"/>
      <c r="AO1267" s="145"/>
      <c r="AP1267" s="138">
        <f>P_1_minW-(AP1265^2*R_up)+dpup_minQ</f>
        <v>-68.395093263136928</v>
      </c>
      <c r="AQ1267" s="132"/>
      <c r="AR1267" s="145"/>
      <c r="AS1267" s="138">
        <f>P_1_minW-(AS1265^2*R_up)+dpup_minQ</f>
        <v>-109.73197749460657</v>
      </c>
      <c r="AT1267" s="132"/>
      <c r="AU1267" s="145"/>
    </row>
    <row r="1268" spans="13:47" x14ac:dyDescent="0.25">
      <c r="M1268" s="20"/>
      <c r="N1268" s="20"/>
      <c r="O1268" s="7" t="s">
        <v>189</v>
      </c>
      <c r="P1268" s="1"/>
      <c r="Q1268" s="7"/>
      <c r="R1268" s="181">
        <f>P_2_minW+(R1265^2*R_dn)-dpdn_minQ</f>
        <v>50</v>
      </c>
      <c r="S1268" s="132"/>
      <c r="T1268" s="146"/>
      <c r="U1268" s="138">
        <f>P_2_minW+(U1265^2*R_dn)-dpdn_minQ</f>
        <v>50</v>
      </c>
      <c r="V1268" s="132"/>
      <c r="W1268" s="146"/>
      <c r="X1268" s="138">
        <f>P_2_minW+(X1265^2*R_dn)-dpdn_minQ</f>
        <v>50</v>
      </c>
      <c r="Y1268" s="132"/>
      <c r="Z1268" s="146"/>
      <c r="AA1268" s="138">
        <f>P_2_minW+(AA1265^2*R_dn)-dpdn_minQ</f>
        <v>50</v>
      </c>
      <c r="AB1268" s="132"/>
      <c r="AC1268" s="146"/>
      <c r="AD1268" s="138">
        <f>P_2_minW+(AD1265^2*R_dn)-dpdn_minQ</f>
        <v>50</v>
      </c>
      <c r="AE1268" s="132"/>
      <c r="AF1268" s="146"/>
      <c r="AG1268" s="138">
        <f>P_2_minW+(AG1265^2*R_dn)-dpdn_minQ</f>
        <v>50</v>
      </c>
      <c r="AH1268" s="132"/>
      <c r="AI1268" s="146"/>
      <c r="AJ1268" s="138">
        <f>P_2_minW+(AJ1265^2*R_dn)-dpdn_minQ</f>
        <v>50</v>
      </c>
      <c r="AK1268" s="132"/>
      <c r="AL1268" s="146"/>
      <c r="AM1268" s="138">
        <f>P_2_minW+(AM1265^2*R_dn)-dpdn_minQ</f>
        <v>50</v>
      </c>
      <c r="AN1268" s="132"/>
      <c r="AO1268" s="146"/>
      <c r="AP1268" s="138">
        <f>P_2_minW+(AP1265^2*R_dn)-dpdn_minQ</f>
        <v>50</v>
      </c>
      <c r="AQ1268" s="132"/>
      <c r="AR1268" s="146"/>
      <c r="AS1268" s="138">
        <f>P_2_minW+(AS1265^2*R_dn)-dpdn_minQ</f>
        <v>50</v>
      </c>
      <c r="AT1268" s="132"/>
      <c r="AU1268" s="146"/>
    </row>
    <row r="1269" spans="13:47" x14ac:dyDescent="0.25">
      <c r="M1269" s="20"/>
      <c r="N1269" s="20"/>
      <c r="O1269" s="7" t="s">
        <v>234</v>
      </c>
      <c r="P1269" s="1"/>
      <c r="Q1269" s="7"/>
      <c r="R1269" s="179">
        <f>'Valve Sizing'!G$8*R1267/P_1_maxW</f>
        <v>0.48489579725785814</v>
      </c>
      <c r="S1269" s="132"/>
      <c r="T1269" s="146"/>
      <c r="U1269" s="143">
        <f>'Valve Sizing'!$G$8*U1267/P_1_maxW</f>
        <v>0.48251213264360082</v>
      </c>
      <c r="V1269" s="132"/>
      <c r="W1269" s="146"/>
      <c r="X1269" s="143">
        <f>'Valve Sizing'!$G$8*X1267/P_1_maxW</f>
        <v>0.47027444535650431</v>
      </c>
      <c r="Y1269" s="132"/>
      <c r="Z1269" s="146"/>
      <c r="AA1269" s="143">
        <f>'Valve Sizing'!$G$8*AA1267/P_1_maxW</f>
        <v>0.42940364437685619</v>
      </c>
      <c r="AB1269" s="132"/>
      <c r="AC1269" s="146"/>
      <c r="AD1269" s="143">
        <f>'Valve Sizing'!$G$8*AD1267/P_1_maxW</f>
        <v>0.33478582584028344</v>
      </c>
      <c r="AE1269" s="132"/>
      <c r="AF1269" s="146"/>
      <c r="AG1269" s="143">
        <f>'Valve Sizing'!$G$8*AG1267/P_1_maxW</f>
        <v>0.18958816947057103</v>
      </c>
      <c r="AH1269" s="132"/>
      <c r="AI1269" s="146"/>
      <c r="AJ1269" s="143">
        <f>'Valve Sizing'!$G$8*AJ1267/P_1_maxW</f>
        <v>8.7881008038659808E-3</v>
      </c>
      <c r="AK1269" s="132"/>
      <c r="AL1269" s="146"/>
      <c r="AM1269" s="143">
        <f>'Valve Sizing'!$G$8*AM1267/P_1_maxW</f>
        <v>-0.16972712733820347</v>
      </c>
      <c r="AN1269" s="132"/>
      <c r="AO1269" s="146"/>
      <c r="AP1269" s="143">
        <f>'Valve Sizing'!$G$8*AP1267/P_1_maxW</f>
        <v>-0.32992575290555937</v>
      </c>
      <c r="AQ1269" s="132"/>
      <c r="AR1269" s="146"/>
      <c r="AS1269" s="143">
        <f>'Valve Sizing'!$G$8*AS1267/P_1_maxW</f>
        <v>-0.52932752285954721</v>
      </c>
      <c r="AT1269" s="132"/>
      <c r="AU1269" s="146"/>
    </row>
    <row r="1270" spans="13:47" x14ac:dyDescent="0.25">
      <c r="M1270" s="20"/>
      <c r="N1270" s="20"/>
      <c r="O1270" s="7" t="s">
        <v>190</v>
      </c>
      <c r="P1270" s="1"/>
      <c r="Q1270" s="7"/>
      <c r="R1270" s="181">
        <f>R1267-R1268</f>
        <v>50.521080831927705</v>
      </c>
      <c r="S1270" s="132"/>
      <c r="T1270" s="146"/>
      <c r="U1270" s="138">
        <f>U1267-U1268</f>
        <v>50.026936430757431</v>
      </c>
      <c r="V1270" s="132"/>
      <c r="W1270" s="146"/>
      <c r="X1270" s="138">
        <f>X1267-X1268</f>
        <v>47.490008785810417</v>
      </c>
      <c r="Y1270" s="132"/>
      <c r="Z1270" s="146"/>
      <c r="AA1270" s="138">
        <f>AA1267-AA1268</f>
        <v>39.017307821656487</v>
      </c>
      <c r="AB1270" s="132"/>
      <c r="AC1270" s="146"/>
      <c r="AD1270" s="138">
        <f>AD1267-AD1268</f>
        <v>19.402608253126957</v>
      </c>
      <c r="AE1270" s="132"/>
      <c r="AF1270" s="146"/>
      <c r="AG1270" s="138">
        <f>AG1267-AG1268</f>
        <v>-10.69751931053753</v>
      </c>
      <c r="AH1270" s="132"/>
      <c r="AI1270" s="146"/>
      <c r="AJ1270" s="138">
        <f>AJ1267-AJ1268</f>
        <v>-48.178187156374193</v>
      </c>
      <c r="AK1270" s="132"/>
      <c r="AL1270" s="146"/>
      <c r="AM1270" s="138">
        <f>AM1267-AM1268</f>
        <v>-85.18519727953354</v>
      </c>
      <c r="AN1270" s="132"/>
      <c r="AO1270" s="146"/>
      <c r="AP1270" s="138">
        <f>AP1267-AP1268</f>
        <v>-118.39509326313693</v>
      </c>
      <c r="AQ1270" s="132"/>
      <c r="AR1270" s="146"/>
      <c r="AS1270" s="138">
        <f>AS1267-AS1268</f>
        <v>-159.73197749460655</v>
      </c>
      <c r="AT1270" s="132"/>
      <c r="AU1270" s="146"/>
    </row>
    <row r="1271" spans="13:47" ht="14.5" x14ac:dyDescent="0.35">
      <c r="M1271" s="27"/>
      <c r="N1271" s="27"/>
      <c r="O1271" s="2" t="s">
        <v>191</v>
      </c>
      <c r="P1271" s="10"/>
      <c r="Q1271" s="2"/>
      <c r="R1271" s="181">
        <f>R1270/R1267</f>
        <v>0.50259189827454676</v>
      </c>
      <c r="S1271" s="132"/>
      <c r="T1271" s="146"/>
      <c r="U1271" s="138">
        <f>U1270/U1267</f>
        <v>0.50013464588499157</v>
      </c>
      <c r="V1271" s="132"/>
      <c r="W1271" s="146"/>
      <c r="X1271" s="138">
        <f>X1270/X1267</f>
        <v>0.48712693102888044</v>
      </c>
      <c r="Y1271" s="132"/>
      <c r="Z1271" s="146"/>
      <c r="AA1271" s="138">
        <f>AA1270/AA1267</f>
        <v>0.43831147870509063</v>
      </c>
      <c r="AB1271" s="132"/>
      <c r="AC1271" s="146"/>
      <c r="AD1271" s="138">
        <f>AD1270/AD1267</f>
        <v>0.27956598089745088</v>
      </c>
      <c r="AE1271" s="132"/>
      <c r="AF1271" s="146"/>
      <c r="AG1271" s="138">
        <f>AG1270/AG1267</f>
        <v>-0.27218432839038786</v>
      </c>
      <c r="AH1271" s="132"/>
      <c r="AI1271" s="146"/>
      <c r="AJ1271" s="138">
        <f>AJ1270/AJ1267</f>
        <v>-26.445190198840102</v>
      </c>
      <c r="AK1271" s="132"/>
      <c r="AL1271" s="146"/>
      <c r="AM1271" s="138">
        <f>AM1270/AM1267</f>
        <v>2.421052143114852</v>
      </c>
      <c r="AN1271" s="132"/>
      <c r="AO1271" s="146"/>
      <c r="AP1271" s="138">
        <f>AP1270/AP1267</f>
        <v>1.731046594346098</v>
      </c>
      <c r="AQ1271" s="132"/>
      <c r="AR1271" s="146"/>
      <c r="AS1271" s="138">
        <f>AS1270/AS1267</f>
        <v>1.4556556907256823</v>
      </c>
      <c r="AT1271" s="132"/>
      <c r="AU1271" s="146"/>
    </row>
    <row r="1272" spans="13:47" x14ac:dyDescent="0.25">
      <c r="M1272" s="27"/>
      <c r="N1272" s="27"/>
      <c r="O1272" s="2" t="s">
        <v>26</v>
      </c>
      <c r="P1272" s="7">
        <v>12</v>
      </c>
      <c r="Q1272" s="2"/>
      <c r="R1272" s="181">
        <f>1-R1271/(3*F_GAMMA*R$29)</f>
        <v>0.73824438011339066</v>
      </c>
      <c r="S1272" s="133"/>
      <c r="T1272" s="146"/>
      <c r="U1272" s="138">
        <f>1-U1271/(3*F_GAMMA*U$29)</f>
        <v>0.73958149561264031</v>
      </c>
      <c r="V1272" s="133"/>
      <c r="W1272" s="146"/>
      <c r="X1272" s="138">
        <f>1-X1271/(3*F_GAMMA*X$29)</f>
        <v>0.74254948586460923</v>
      </c>
      <c r="Y1272" s="133"/>
      <c r="Z1272" s="146"/>
      <c r="AA1272" s="138">
        <f>1-AA1271/(3*F_GAMMA*AA$29)</f>
        <v>0.76517258666544108</v>
      </c>
      <c r="AB1272" s="133"/>
      <c r="AC1272" s="146"/>
      <c r="AD1272" s="138">
        <f>1-AD1271/(3*F_GAMMA*AD$29)</f>
        <v>0.84611460993996013</v>
      </c>
      <c r="AE1272" s="133"/>
      <c r="AF1272" s="146"/>
      <c r="AG1272" s="138">
        <f>1-AG1271/(3*F_GAMMA*AG$29)</f>
        <v>1.1583682995487774</v>
      </c>
      <c r="AH1272" s="133"/>
      <c r="AI1272" s="146"/>
      <c r="AJ1272" s="138">
        <f>1-AJ1271/(3*F_GAMMA*AJ$29)</f>
        <v>17.448831245748458</v>
      </c>
      <c r="AK1272" s="133"/>
      <c r="AL1272" s="146"/>
      <c r="AM1272" s="138">
        <f>1-AM1271/(3*F_GAMMA*AM$29)</f>
        <v>-0.64533509278152801</v>
      </c>
      <c r="AN1272" s="133"/>
      <c r="AO1272" s="146"/>
      <c r="AP1272" s="138">
        <f>1-AP1271/(3*F_GAMMA*AP$29)</f>
        <v>2.7823807646743304E-2</v>
      </c>
      <c r="AQ1272" s="133"/>
      <c r="AR1272" s="146"/>
      <c r="AS1272" s="138">
        <f>1-AS1271/(3*F_GAMMA*AS$29)</f>
        <v>-0.24105639522634892</v>
      </c>
      <c r="AT1272" s="133"/>
      <c r="AU1272" s="146"/>
    </row>
    <row r="1273" spans="13:47" x14ac:dyDescent="0.25">
      <c r="M1273" s="27"/>
      <c r="N1273" s="27"/>
      <c r="O1273" s="2" t="s">
        <v>71</v>
      </c>
      <c r="P1273" s="85">
        <v>5</v>
      </c>
      <c r="Q1273" s="2"/>
      <c r="R1273" s="179">
        <f>R1265/((N_6*R$27*R1272)*SQRT(R1271*R1267*R1269))</f>
        <v>0.28281840925364521</v>
      </c>
      <c r="S1273" s="133"/>
      <c r="T1273" s="146"/>
      <c r="U1273" s="143">
        <f>U1265/((N_6*U$27*U1272)*SQRT(U1271*U1267*U1269))</f>
        <v>4.8517018239719087</v>
      </c>
      <c r="V1273" s="133"/>
      <c r="W1273" s="146"/>
      <c r="X1273" s="143">
        <f>X1265/((N_6*X$27*X1272)*SQRT(X1271*X1267*X1269))</f>
        <v>12.452037873005539</v>
      </c>
      <c r="Y1273" s="133"/>
      <c r="Z1273" s="146"/>
      <c r="AA1273" s="143">
        <f>AA1265/((N_6*AA$27*AA1272)*SQRT(AA1271*AA1267*AA1269))</f>
        <v>27.330297529430513</v>
      </c>
      <c r="AB1273" s="133"/>
      <c r="AC1273" s="146"/>
      <c r="AD1273" s="143">
        <f>AD1265/((N_6*AD$27*AD1272)*SQRT(AD1271*AD1267*AD1269))</f>
        <v>66.05958809619942</v>
      </c>
      <c r="AE1273" s="133"/>
      <c r="AF1273" s="146"/>
      <c r="AG1273" s="143" t="e">
        <f>AG1265/((N_6*AG$27*AG1272)*SQRT(AG1271*AG1267*AG1269))</f>
        <v>#NUM!</v>
      </c>
      <c r="AH1273" s="133"/>
      <c r="AI1273" s="146"/>
      <c r="AJ1273" s="143" t="e">
        <f>AJ1265/((N_6*AJ$27*AJ1272)*SQRT(AJ1271*AJ1267*AJ1269))</f>
        <v>#NUM!</v>
      </c>
      <c r="AK1273" s="133"/>
      <c r="AL1273" s="146"/>
      <c r="AM1273" s="143">
        <f>AM1265/((N_6*AM$27*AM1272)*SQRT(AM1271*AM1267*AM1269))</f>
        <v>-135.96648373427394</v>
      </c>
      <c r="AN1273" s="133"/>
      <c r="AO1273" s="146"/>
      <c r="AP1273" s="143">
        <f>AP1265/((N_6*AP$27*AP1272)*SQRT(AP1271*AP1267*AP1269))</f>
        <v>2431.4903912941768</v>
      </c>
      <c r="AQ1273" s="133"/>
      <c r="AR1273" s="146"/>
      <c r="AS1273" s="143">
        <f>AS1265/((N_6*AS$27*AS1272)*SQRT(AS1271*AS1267*AS1269))</f>
        <v>-279.64675256433327</v>
      </c>
      <c r="AT1273" s="133"/>
      <c r="AU1273" s="146"/>
    </row>
    <row r="1274" spans="13:47" x14ac:dyDescent="0.25">
      <c r="M1274" s="27"/>
      <c r="N1274" s="27"/>
      <c r="O1274" s="2" t="s">
        <v>73</v>
      </c>
      <c r="P1274" s="85">
        <v>5</v>
      </c>
      <c r="Q1274" s="2"/>
      <c r="R1274" s="179">
        <f>R1265/((N_6*R$27*0.667)*SQRT(R1275*R1267*R1269))</f>
        <v>0.27738988824705779</v>
      </c>
      <c r="S1274" s="133"/>
      <c r="T1274" s="155"/>
      <c r="U1274" s="143">
        <f>U1265/((N_6*U$27*0.667)*SQRT(U1275*U1267*U1269))</f>
        <v>4.7550036243649849</v>
      </c>
      <c r="V1274" s="133"/>
      <c r="W1274" s="155"/>
      <c r="X1274" s="143">
        <f>X1265/((N_6*X$27*0.667)*SQRT(X1275*X1267*X1269))</f>
        <v>12.18281108571335</v>
      </c>
      <c r="Y1274" s="133"/>
      <c r="Z1274" s="155"/>
      <c r="AA1274" s="143">
        <f>AA1265/((N_6*AA$27*0.667)*SQRT(AA1275*AA1267*AA1269))</f>
        <v>26.315580381462965</v>
      </c>
      <c r="AB1274" s="133"/>
      <c r="AC1274" s="155"/>
      <c r="AD1274" s="143">
        <f>AD1265/((N_6*AD$27*0.667)*SQRT(AD1275*AD1267*AD1269))</f>
        <v>56.937519598030988</v>
      </c>
      <c r="AE1274" s="133"/>
      <c r="AF1274" s="155"/>
      <c r="AG1274" s="143">
        <f>AG1265/((N_6*AG$27*0.667)*SQRT(AG1275*AG1267*AG1269))</f>
        <v>148.11458938035707</v>
      </c>
      <c r="AH1274" s="133"/>
      <c r="AI1274" s="155"/>
      <c r="AJ1274" s="143">
        <f>AJ1265/((N_6*AJ$27*0.667)*SQRT(AJ1275*AJ1267*AJ1269))</f>
        <v>4338.8855572899838</v>
      </c>
      <c r="AK1274" s="133"/>
      <c r="AL1274" s="155"/>
      <c r="AM1274" s="143">
        <f>AM1265/((N_6*AM$27*0.667)*SQRT(AM1275*AM1267*AM1269))</f>
        <v>292.26655629343804</v>
      </c>
      <c r="AN1274" s="133"/>
      <c r="AO1274" s="155"/>
      <c r="AP1274" s="143">
        <f>AP1265/((N_6*AP$27*0.667)*SQRT(AP1275*AP1267*AP1269))</f>
        <v>173.21934980567352</v>
      </c>
      <c r="AQ1274" s="133"/>
      <c r="AR1274" s="155"/>
      <c r="AS1274" s="143">
        <f>AS1265/((N_6*AS$27*0.667)*SQRT(AS1275*AS1267*AS1269))</f>
        <v>195.01094644516482</v>
      </c>
      <c r="AT1274" s="133"/>
      <c r="AU1274" s="155"/>
    </row>
    <row r="1275" spans="13:47" ht="15.5" x14ac:dyDescent="0.4">
      <c r="M1275" s="27"/>
      <c r="N1275" s="27"/>
      <c r="O1275" s="2" t="s">
        <v>192</v>
      </c>
      <c r="P1275" s="85">
        <v>10</v>
      </c>
      <c r="Q1275" s="2"/>
      <c r="R1275" s="181">
        <f>F_GAMMA*R$29</f>
        <v>0.64002688015162901</v>
      </c>
      <c r="S1275" s="133"/>
      <c r="T1275" s="155"/>
      <c r="U1275" s="138">
        <f>F_GAMMA*U$29</f>
        <v>0.64016782916606918</v>
      </c>
      <c r="V1275" s="133"/>
      <c r="W1275" s="155"/>
      <c r="X1275" s="138">
        <f>F_GAMMA*X$29</f>
        <v>0.6307062319203669</v>
      </c>
      <c r="Y1275" s="133"/>
      <c r="Z1275" s="155"/>
      <c r="AA1275" s="138">
        <f>F_GAMMA*AA$29</f>
        <v>0.62217534213893466</v>
      </c>
      <c r="AB1275" s="133"/>
      <c r="AC1275" s="155"/>
      <c r="AD1275" s="138">
        <f>F_GAMMA*AD$29</f>
        <v>0.60557184969146072</v>
      </c>
      <c r="AE1275" s="133"/>
      <c r="AF1275" s="155"/>
      <c r="AG1275" s="138">
        <f>F_GAMMA*AG$29</f>
        <v>0.57289312142622573</v>
      </c>
      <c r="AH1275" s="133"/>
      <c r="AI1275" s="155"/>
      <c r="AJ1275" s="138">
        <f>F_GAMMA*AJ$29</f>
        <v>0.53590819116049981</v>
      </c>
      <c r="AK1275" s="133"/>
      <c r="AL1275" s="155"/>
      <c r="AM1275" s="138">
        <f>F_GAMMA*AM$29</f>
        <v>0.49048815926850342</v>
      </c>
      <c r="AN1275" s="133"/>
      <c r="AO1275" s="155"/>
      <c r="AP1275" s="138">
        <f>F_GAMMA*AP$29</f>
        <v>0.59352979016280105</v>
      </c>
      <c r="AQ1275" s="133"/>
      <c r="AR1275" s="155"/>
      <c r="AS1275" s="138">
        <f>F_GAMMA*AS$29</f>
        <v>0.39097221161068291</v>
      </c>
      <c r="AT1275" s="133"/>
      <c r="AU1275" s="155"/>
    </row>
    <row r="1276" spans="13:47" x14ac:dyDescent="0.25">
      <c r="M1276" s="27"/>
      <c r="N1276" s="27"/>
      <c r="O1276" s="2" t="s">
        <v>193</v>
      </c>
      <c r="P1276" s="134"/>
      <c r="Q1276" s="2"/>
      <c r="R1276" s="181">
        <f>IF(R1271&lt;R1275,R1273,R1274)</f>
        <v>0.28281840925364521</v>
      </c>
      <c r="S1276" s="133"/>
      <c r="T1276" s="155"/>
      <c r="U1276" s="138">
        <f>IF(U1271&lt;U1275,U1273,U1274)</f>
        <v>4.8517018239719087</v>
      </c>
      <c r="V1276" s="133"/>
      <c r="W1276" s="155"/>
      <c r="X1276" s="138">
        <f>IF(X1271&lt;X1275,X1273,X1274)</f>
        <v>12.452037873005539</v>
      </c>
      <c r="Y1276" s="133"/>
      <c r="Z1276" s="155"/>
      <c r="AA1276" s="138">
        <f>IF(AA1271&lt;AA1275,AA1273,AA1274)</f>
        <v>27.330297529430513</v>
      </c>
      <c r="AB1276" s="133"/>
      <c r="AC1276" s="155"/>
      <c r="AD1276" s="138">
        <f>IF(AD1271&lt;AD1275,AD1273,AD1274)</f>
        <v>66.05958809619942</v>
      </c>
      <c r="AE1276" s="133"/>
      <c r="AF1276" s="155"/>
      <c r="AG1276" s="138" t="e">
        <f>IF(AG1271&lt;AG1275,AG1273,AG1274)</f>
        <v>#NUM!</v>
      </c>
      <c r="AH1276" s="133"/>
      <c r="AI1276" s="155"/>
      <c r="AJ1276" s="138" t="e">
        <f>IF(AJ1271&lt;AJ1275,AJ1273,AJ1274)</f>
        <v>#NUM!</v>
      </c>
      <c r="AK1276" s="133"/>
      <c r="AL1276" s="155"/>
      <c r="AM1276" s="138">
        <f>IF(AM1271&lt;AM1275,AM1273,AM1274)</f>
        <v>292.26655629343804</v>
      </c>
      <c r="AN1276" s="133"/>
      <c r="AO1276" s="155"/>
      <c r="AP1276" s="138">
        <f>IF(AP1271&lt;AP1275,AP1273,AP1274)</f>
        <v>173.21934980567352</v>
      </c>
      <c r="AQ1276" s="133"/>
      <c r="AR1276" s="155"/>
      <c r="AS1276" s="138">
        <f>IF(AS1271&lt;AS1275,AS1273,AS1274)</f>
        <v>195.01094644516482</v>
      </c>
      <c r="AT1276" s="133"/>
      <c r="AU1276" s="155"/>
    </row>
    <row r="1277" spans="13:47" ht="13" x14ac:dyDescent="0.3">
      <c r="M1277" s="28"/>
      <c r="N1277" s="28"/>
      <c r="O1277" s="9" t="s">
        <v>194</v>
      </c>
      <c r="P1277" s="1"/>
      <c r="Q1277" s="1"/>
      <c r="R1277" s="135"/>
      <c r="S1277" s="132">
        <f>IF(R1270&lt;=0,W_max,ABS(R$23-R1276))</f>
        <v>1.7171815907463548</v>
      </c>
      <c r="T1277" s="151">
        <f>R1265</f>
        <v>65.406453571892996</v>
      </c>
      <c r="U1277" s="135"/>
      <c r="V1277" s="132">
        <f>IF(U1270&lt;=0,W_max,ABS(U$23-U1276))</f>
        <v>0.14829817602809126</v>
      </c>
      <c r="W1277" s="151">
        <f>U1265</f>
        <v>1115.1120247382523</v>
      </c>
      <c r="X1277" s="135"/>
      <c r="Y1277" s="132">
        <f>IF(X1270&lt;=0,W_max,ABS(X$23-X1276))</f>
        <v>2.4520378730055388</v>
      </c>
      <c r="Z1277" s="151">
        <f>X1265</f>
        <v>2757.8047370641857</v>
      </c>
      <c r="AA1277" s="135"/>
      <c r="AB1277" s="132">
        <f>IF(AA1270&lt;=0,W_max,ABS(AA$23-AA1276))</f>
        <v>10.130297529430514</v>
      </c>
      <c r="AC1277" s="151">
        <f>AA1265</f>
        <v>5371.4997107909994</v>
      </c>
      <c r="AD1277" s="135"/>
      <c r="AE1277" s="132">
        <f>IF(AD1270&lt;=0,W_max,ABS(AD$23-AD1276))</f>
        <v>39.459588096199418</v>
      </c>
      <c r="AF1277" s="151">
        <f>AD1265</f>
        <v>8834.1393553920861</v>
      </c>
      <c r="AG1277" s="135"/>
      <c r="AH1277" s="132">
        <f>IF(AG1270&lt;=0,W_max,ABS(AG$23-AG1276))</f>
        <v>7174</v>
      </c>
      <c r="AI1277" s="151">
        <f>AG1265</f>
        <v>12390.560552487843</v>
      </c>
      <c r="AJ1277" s="135"/>
      <c r="AK1277" s="132">
        <f>IF(AJ1270&lt;=0,W_max,ABS(AJ$23-AJ1276))</f>
        <v>7174</v>
      </c>
      <c r="AL1277" s="151">
        <f>AJ1265</f>
        <v>15732.724048226555</v>
      </c>
      <c r="AM1277" s="135"/>
      <c r="AN1277" s="132">
        <f>IF(AM1270&lt;=0,W_max,ABS(AM$23-AM1276))</f>
        <v>7174</v>
      </c>
      <c r="AO1277" s="151">
        <f>AM1265</f>
        <v>18447.856245427978</v>
      </c>
      <c r="AP1277" s="135"/>
      <c r="AQ1277" s="132">
        <f>IF(AP1270&lt;=0,W_max,ABS(AP$23-AP1276))</f>
        <v>7174</v>
      </c>
      <c r="AR1277" s="151">
        <f>AP1265</f>
        <v>20581.689276856068</v>
      </c>
      <c r="AS1277" s="135"/>
      <c r="AT1277" s="132">
        <f>IF(AS1270&lt;=0,W_max,ABS(AS$23-AS1276))</f>
        <v>7174</v>
      </c>
      <c r="AU1277" s="151">
        <f>AS1265</f>
        <v>22962.33924708929</v>
      </c>
    </row>
    <row r="1278" spans="13:47" ht="13" x14ac:dyDescent="0.25">
      <c r="M1278" s="12"/>
      <c r="N1278" s="12"/>
      <c r="O1278" s="2"/>
      <c r="P1278" s="85"/>
      <c r="Q1278" s="2"/>
      <c r="R1278" s="18"/>
      <c r="S1278" s="150"/>
      <c r="T1278" s="152"/>
      <c r="U1278" s="157"/>
      <c r="V1278" s="1"/>
      <c r="W1278" s="147"/>
      <c r="X1278" s="157"/>
      <c r="Y1278" s="1"/>
      <c r="Z1278" s="147"/>
      <c r="AA1278" s="157"/>
      <c r="AB1278" s="1"/>
      <c r="AC1278" s="147"/>
      <c r="AD1278" s="157"/>
      <c r="AE1278" s="1"/>
      <c r="AF1278" s="147"/>
      <c r="AG1278" s="157"/>
      <c r="AH1278" s="1"/>
      <c r="AI1278" s="147"/>
      <c r="AJ1278" s="157"/>
      <c r="AK1278" s="1"/>
      <c r="AL1278" s="147"/>
      <c r="AM1278" s="157"/>
      <c r="AN1278" s="1"/>
      <c r="AO1278" s="147"/>
      <c r="AP1278" s="157"/>
      <c r="AQ1278" s="1"/>
      <c r="AR1278" s="147"/>
      <c r="AS1278" s="157"/>
      <c r="AT1278" s="1"/>
      <c r="AU1278" s="147"/>
    </row>
    <row r="1279" spans="13:47" ht="14" x14ac:dyDescent="0.3">
      <c r="M1279" s="23"/>
      <c r="N1279" s="23"/>
      <c r="O1279" s="23" t="s">
        <v>238</v>
      </c>
      <c r="P1279" s="20"/>
      <c r="Q1279" s="20"/>
      <c r="R1279" s="181">
        <f>R1265*1.02</f>
        <v>66.714582643330857</v>
      </c>
      <c r="S1279" s="128" t="s">
        <v>185</v>
      </c>
      <c r="T1279" s="153" t="s">
        <v>186</v>
      </c>
      <c r="U1279" s="143">
        <f>U1265*1.01</f>
        <v>1126.2631449856349</v>
      </c>
      <c r="V1279" s="128" t="s">
        <v>185</v>
      </c>
      <c r="W1279" s="153" t="s">
        <v>186</v>
      </c>
      <c r="X1279" s="143">
        <f>X1265*1.01</f>
        <v>2785.3827844348275</v>
      </c>
      <c r="Y1279" s="128" t="s">
        <v>185</v>
      </c>
      <c r="Z1279" s="153" t="s">
        <v>186</v>
      </c>
      <c r="AA1279" s="143">
        <f>AA1265*1.01</f>
        <v>5425.2147078989092</v>
      </c>
      <c r="AB1279" s="128" t="s">
        <v>185</v>
      </c>
      <c r="AC1279" s="153" t="s">
        <v>186</v>
      </c>
      <c r="AD1279" s="143">
        <f>AD1265*1.01</f>
        <v>8922.4807489460072</v>
      </c>
      <c r="AE1279" s="128" t="s">
        <v>185</v>
      </c>
      <c r="AF1279" s="153" t="s">
        <v>186</v>
      </c>
      <c r="AG1279" s="143">
        <f>AG1265*1.01</f>
        <v>12514.466158012721</v>
      </c>
      <c r="AH1279" s="128" t="s">
        <v>185</v>
      </c>
      <c r="AI1279" s="153" t="s">
        <v>186</v>
      </c>
      <c r="AJ1279" s="143">
        <f>AJ1265*1.01</f>
        <v>15890.051288708821</v>
      </c>
      <c r="AK1279" s="128" t="s">
        <v>185</v>
      </c>
      <c r="AL1279" s="153" t="s">
        <v>186</v>
      </c>
      <c r="AM1279" s="143">
        <f>AM1265*1.01</f>
        <v>18632.334807882256</v>
      </c>
      <c r="AN1279" s="128" t="s">
        <v>185</v>
      </c>
      <c r="AO1279" s="153" t="s">
        <v>186</v>
      </c>
      <c r="AP1279" s="143">
        <f>AP1265*1.01</f>
        <v>20787.50616962463</v>
      </c>
      <c r="AQ1279" s="128" t="s">
        <v>185</v>
      </c>
      <c r="AR1279" s="153" t="s">
        <v>186</v>
      </c>
      <c r="AS1279" s="143">
        <f>AS1265*1.01</f>
        <v>23191.962639560184</v>
      </c>
      <c r="AT1279" s="128" t="s">
        <v>185</v>
      </c>
      <c r="AU1279" s="153" t="s">
        <v>186</v>
      </c>
    </row>
    <row r="1280" spans="13:47" ht="14" x14ac:dyDescent="0.3">
      <c r="M1280" s="12"/>
      <c r="N1280" s="12"/>
      <c r="O1280" s="20"/>
      <c r="P1280" s="20"/>
      <c r="Q1280" s="23"/>
      <c r="R1280" s="139"/>
      <c r="S1280" s="130" t="s">
        <v>228</v>
      </c>
      <c r="T1280" s="154" t="s">
        <v>187</v>
      </c>
      <c r="U1280" s="144"/>
      <c r="V1280" s="130" t="s">
        <v>228</v>
      </c>
      <c r="W1280" s="154" t="s">
        <v>187</v>
      </c>
      <c r="X1280" s="144"/>
      <c r="Y1280" s="130" t="s">
        <v>228</v>
      </c>
      <c r="Z1280" s="154" t="s">
        <v>187</v>
      </c>
      <c r="AA1280" s="144"/>
      <c r="AB1280" s="130" t="s">
        <v>228</v>
      </c>
      <c r="AC1280" s="154" t="s">
        <v>187</v>
      </c>
      <c r="AD1280" s="144"/>
      <c r="AE1280" s="130" t="s">
        <v>228</v>
      </c>
      <c r="AF1280" s="154" t="s">
        <v>187</v>
      </c>
      <c r="AG1280" s="144"/>
      <c r="AH1280" s="130" t="s">
        <v>228</v>
      </c>
      <c r="AI1280" s="154" t="s">
        <v>187</v>
      </c>
      <c r="AJ1280" s="144"/>
      <c r="AK1280" s="130" t="s">
        <v>228</v>
      </c>
      <c r="AL1280" s="154" t="s">
        <v>187</v>
      </c>
      <c r="AM1280" s="144"/>
      <c r="AN1280" s="130" t="s">
        <v>228</v>
      </c>
      <c r="AO1280" s="154" t="s">
        <v>187</v>
      </c>
      <c r="AP1280" s="144"/>
      <c r="AQ1280" s="130" t="s">
        <v>228</v>
      </c>
      <c r="AR1280" s="154" t="s">
        <v>187</v>
      </c>
      <c r="AS1280" s="144"/>
      <c r="AT1280" s="130" t="s">
        <v>228</v>
      </c>
      <c r="AU1280" s="154" t="s">
        <v>187</v>
      </c>
    </row>
    <row r="1281" spans="13:47" x14ac:dyDescent="0.25">
      <c r="M1281" s="20"/>
      <c r="N1281" s="20"/>
      <c r="O1281" s="7" t="s">
        <v>188</v>
      </c>
      <c r="P1281" s="7"/>
      <c r="Q1281" s="7"/>
      <c r="R1281" s="181">
        <f>P_1_minW-(R1279^2*R_up)+dpup_minQ</f>
        <v>100.52101191337383</v>
      </c>
      <c r="S1281" s="132"/>
      <c r="T1281" s="145"/>
      <c r="U1281" s="138">
        <f>P_1_minW-(U1279^2*R_up)+dpup_minQ</f>
        <v>100.01696983960746</v>
      </c>
      <c r="V1281" s="132"/>
      <c r="W1281" s="145"/>
      <c r="X1281" s="138">
        <f>P_1_minW-(X1279^2*R_up)+dpup_minQ</f>
        <v>97.429049948997005</v>
      </c>
      <c r="Y1281" s="132"/>
      <c r="Z1281" s="145"/>
      <c r="AA1281" s="138">
        <f>P_1_minW-(AA1279^2*R_up)+dpup_minQ</f>
        <v>88.78604769546358</v>
      </c>
      <c r="AB1281" s="132"/>
      <c r="AC1281" s="145"/>
      <c r="AD1281" s="138">
        <f>P_1_minW-(AD1279^2*R_up)+dpup_minQ</f>
        <v>68.777092665606588</v>
      </c>
      <c r="AE1281" s="132"/>
      <c r="AF1281" s="145"/>
      <c r="AG1281" s="138">
        <f>P_1_minW-(AG1279^2*R_up)+dpup_minQ</f>
        <v>38.071952537912459</v>
      </c>
      <c r="AH1281" s="132"/>
      <c r="AI1281" s="145"/>
      <c r="AJ1281" s="138">
        <f>P_1_minW-(AJ1279^2*R_up)+dpup_minQ</f>
        <v>-0.16207673162550462</v>
      </c>
      <c r="AK1281" s="132"/>
      <c r="AL1281" s="145"/>
      <c r="AM1281" s="138">
        <f>P_1_minW-(AM1279^2*R_up)+dpup_minQ</f>
        <v>-37.912927758260352</v>
      </c>
      <c r="AN1281" s="132"/>
      <c r="AO1281" s="145"/>
      <c r="AP1281" s="138">
        <f>P_1_minW-(AP1279^2*R_up)+dpup_minQ</f>
        <v>-71.790342651134196</v>
      </c>
      <c r="AQ1281" s="132"/>
      <c r="AR1281" s="145"/>
      <c r="AS1281" s="138">
        <f>P_1_minW-(AS1279^2*R_up)+dpup_minQ</f>
        <v>-113.9580982556564</v>
      </c>
      <c r="AT1281" s="132"/>
      <c r="AU1281" s="145"/>
    </row>
    <row r="1282" spans="13:47" x14ac:dyDescent="0.25">
      <c r="M1282" s="20"/>
      <c r="N1282" s="20"/>
      <c r="O1282" s="7" t="s">
        <v>189</v>
      </c>
      <c r="P1282" s="1"/>
      <c r="Q1282" s="7"/>
      <c r="R1282" s="181">
        <f>P_2_minW+(R1279^2*R_dn)-dpdn_minQ</f>
        <v>50</v>
      </c>
      <c r="S1282" s="132"/>
      <c r="T1282" s="146"/>
      <c r="U1282" s="138">
        <f>P_2_minW+(U1279^2*R_dn)-dpdn_minQ</f>
        <v>50</v>
      </c>
      <c r="V1282" s="132"/>
      <c r="W1282" s="146"/>
      <c r="X1282" s="138">
        <f>P_2_minW+(X1279^2*R_dn)-dpdn_minQ</f>
        <v>50</v>
      </c>
      <c r="Y1282" s="132"/>
      <c r="Z1282" s="146"/>
      <c r="AA1282" s="138">
        <f>P_2_minW+(AA1279^2*R_dn)-dpdn_minQ</f>
        <v>50</v>
      </c>
      <c r="AB1282" s="132"/>
      <c r="AC1282" s="146"/>
      <c r="AD1282" s="138">
        <f>P_2_minW+(AD1279^2*R_dn)-dpdn_minQ</f>
        <v>50</v>
      </c>
      <c r="AE1282" s="132"/>
      <c r="AF1282" s="146"/>
      <c r="AG1282" s="138">
        <f>P_2_minW+(AG1279^2*R_dn)-dpdn_minQ</f>
        <v>50</v>
      </c>
      <c r="AH1282" s="132"/>
      <c r="AI1282" s="146"/>
      <c r="AJ1282" s="138">
        <f>P_2_minW+(AJ1279^2*R_dn)-dpdn_minQ</f>
        <v>50</v>
      </c>
      <c r="AK1282" s="132"/>
      <c r="AL1282" s="146"/>
      <c r="AM1282" s="138">
        <f>P_2_minW+(AM1279^2*R_dn)-dpdn_minQ</f>
        <v>50</v>
      </c>
      <c r="AN1282" s="132"/>
      <c r="AO1282" s="146"/>
      <c r="AP1282" s="138">
        <f>P_2_minW+(AP1279^2*R_dn)-dpdn_minQ</f>
        <v>50</v>
      </c>
      <c r="AQ1282" s="132"/>
      <c r="AR1282" s="146"/>
      <c r="AS1282" s="138">
        <f>P_2_minW+(AS1279^2*R_dn)-dpdn_minQ</f>
        <v>50</v>
      </c>
      <c r="AT1282" s="132"/>
      <c r="AU1282" s="146"/>
    </row>
    <row r="1283" spans="13:47" x14ac:dyDescent="0.25">
      <c r="M1283" s="20"/>
      <c r="N1283" s="20"/>
      <c r="O1283" s="7" t="s">
        <v>234</v>
      </c>
      <c r="P1283" s="1"/>
      <c r="Q1283" s="7"/>
      <c r="R1283" s="179">
        <f>'Valve Sizing'!G$8*R1281/P_1_maxW</f>
        <v>0.48489546480702445</v>
      </c>
      <c r="S1283" s="132"/>
      <c r="T1283" s="146"/>
      <c r="U1283" s="143">
        <f>'Valve Sizing'!$G$8*U1281/P_1_maxW</f>
        <v>0.48246405558233552</v>
      </c>
      <c r="V1283" s="132"/>
      <c r="W1283" s="146"/>
      <c r="X1283" s="143">
        <f>'Valve Sizing'!$G$8*X1281/P_1_maxW</f>
        <v>0.46998039078076836</v>
      </c>
      <c r="Y1283" s="132"/>
      <c r="Z1283" s="146"/>
      <c r="AA1283" s="143">
        <f>'Valve Sizing'!$G$8*AA1281/P_1_maxW</f>
        <v>0.42828808670142926</v>
      </c>
      <c r="AB1283" s="132"/>
      <c r="AC1283" s="146"/>
      <c r="AD1283" s="143">
        <f>'Valve Sizing'!$G$8*AD1281/P_1_maxW</f>
        <v>0.3317684500122714</v>
      </c>
      <c r="AE1283" s="132"/>
      <c r="AF1283" s="146"/>
      <c r="AG1283" s="143">
        <f>'Valve Sizing'!$G$8*AG1281/P_1_maxW</f>
        <v>0.18365232074952781</v>
      </c>
      <c r="AH1283" s="132"/>
      <c r="AI1283" s="146"/>
      <c r="AJ1283" s="143">
        <f>'Valve Sizing'!$G$8*AJ1281/P_1_maxW</f>
        <v>-7.818292973779383E-4</v>
      </c>
      <c r="AK1283" s="132"/>
      <c r="AL1283" s="146"/>
      <c r="AM1283" s="143">
        <f>'Valve Sizing'!$G$8*AM1281/P_1_maxW</f>
        <v>-0.18288521352510298</v>
      </c>
      <c r="AN1283" s="132"/>
      <c r="AO1283" s="146"/>
      <c r="AP1283" s="143">
        <f>'Valve Sizing'!$G$8*AP1281/P_1_maxW</f>
        <v>-0.3463038314663629</v>
      </c>
      <c r="AQ1283" s="132"/>
      <c r="AR1283" s="146"/>
      <c r="AS1283" s="143">
        <f>'Valve Sizing'!$G$8*AS1281/P_1_maxW</f>
        <v>-0.54971357699642587</v>
      </c>
      <c r="AT1283" s="132"/>
      <c r="AU1283" s="146"/>
    </row>
    <row r="1284" spans="13:47" x14ac:dyDescent="0.25">
      <c r="M1284" s="20"/>
      <c r="N1284" s="20"/>
      <c r="O1284" s="7" t="s">
        <v>190</v>
      </c>
      <c r="P1284" s="1"/>
      <c r="Q1284" s="7"/>
      <c r="R1284" s="181">
        <f>R1281-R1282</f>
        <v>50.521011913373826</v>
      </c>
      <c r="S1284" s="132"/>
      <c r="T1284" s="146"/>
      <c r="U1284" s="138">
        <f>U1281-U1282</f>
        <v>50.016969839607455</v>
      </c>
      <c r="V1284" s="132"/>
      <c r="W1284" s="146"/>
      <c r="X1284" s="138">
        <f>X1281-X1282</f>
        <v>47.429049948997005</v>
      </c>
      <c r="Y1284" s="132"/>
      <c r="Z1284" s="146"/>
      <c r="AA1284" s="138">
        <f>AA1281-AA1282</f>
        <v>38.78604769546358</v>
      </c>
      <c r="AB1284" s="132"/>
      <c r="AC1284" s="146"/>
      <c r="AD1284" s="138">
        <f>AD1281-AD1282</f>
        <v>18.777092665606588</v>
      </c>
      <c r="AE1284" s="132"/>
      <c r="AF1284" s="146"/>
      <c r="AG1284" s="138">
        <f>AG1281-AG1282</f>
        <v>-11.928047462087541</v>
      </c>
      <c r="AH1284" s="132"/>
      <c r="AI1284" s="146"/>
      <c r="AJ1284" s="138">
        <f>AJ1281-AJ1282</f>
        <v>-50.162076731625504</v>
      </c>
      <c r="AK1284" s="132"/>
      <c r="AL1284" s="146"/>
      <c r="AM1284" s="138">
        <f>AM1281-AM1282</f>
        <v>-87.912927758260352</v>
      </c>
      <c r="AN1284" s="132"/>
      <c r="AO1284" s="146"/>
      <c r="AP1284" s="138">
        <f>AP1281-AP1282</f>
        <v>-121.7903426511342</v>
      </c>
      <c r="AQ1284" s="132"/>
      <c r="AR1284" s="146"/>
      <c r="AS1284" s="138">
        <f>AS1281-AS1282</f>
        <v>-163.95809825565641</v>
      </c>
      <c r="AT1284" s="132"/>
      <c r="AU1284" s="146"/>
    </row>
    <row r="1285" spans="13:47" ht="14.5" x14ac:dyDescent="0.35">
      <c r="M1285" s="27"/>
      <c r="N1285" s="27"/>
      <c r="O1285" s="2" t="s">
        <v>191</v>
      </c>
      <c r="P1285" s="10"/>
      <c r="Q1285" s="2"/>
      <c r="R1285" s="181">
        <f>R1284/R1281</f>
        <v>0.50259155724488136</v>
      </c>
      <c r="S1285" s="132"/>
      <c r="T1285" s="146"/>
      <c r="U1285" s="138">
        <f>U1284/U1281</f>
        <v>0.50008483480170751</v>
      </c>
      <c r="V1285" s="132"/>
      <c r="W1285" s="146"/>
      <c r="X1285" s="138">
        <f>X1284/X1281</f>
        <v>0.48680603961370422</v>
      </c>
      <c r="Y1285" s="132"/>
      <c r="Z1285" s="146"/>
      <c r="AA1285" s="138">
        <f>AA1284/AA1281</f>
        <v>0.43684845425826191</v>
      </c>
      <c r="AB1285" s="132"/>
      <c r="AC1285" s="146"/>
      <c r="AD1285" s="138">
        <f>AD1284/AD1281</f>
        <v>0.27301375992876858</v>
      </c>
      <c r="AE1285" s="132"/>
      <c r="AF1285" s="146"/>
      <c r="AG1285" s="138">
        <f>AG1284/AG1281</f>
        <v>-0.31330275089541215</v>
      </c>
      <c r="AH1285" s="132"/>
      <c r="AI1285" s="146"/>
      <c r="AJ1285" s="138">
        <f>AJ1284/AJ1281</f>
        <v>309.49585562676742</v>
      </c>
      <c r="AK1285" s="132"/>
      <c r="AL1285" s="146"/>
      <c r="AM1285" s="138">
        <f>AM1284/AM1281</f>
        <v>2.3188113647885227</v>
      </c>
      <c r="AN1285" s="132"/>
      <c r="AO1285" s="146"/>
      <c r="AP1285" s="138">
        <f>AP1284/AP1281</f>
        <v>1.6964725080499399</v>
      </c>
      <c r="AQ1285" s="132"/>
      <c r="AR1285" s="146"/>
      <c r="AS1285" s="138">
        <f>AS1284/AS1281</f>
        <v>1.4387577606624216</v>
      </c>
      <c r="AT1285" s="132"/>
      <c r="AU1285" s="146"/>
    </row>
    <row r="1286" spans="13:47" x14ac:dyDescent="0.25">
      <c r="M1286" s="27"/>
      <c r="N1286" s="27"/>
      <c r="O1286" s="2" t="s">
        <v>26</v>
      </c>
      <c r="P1286" s="7">
        <v>12</v>
      </c>
      <c r="Q1286" s="2"/>
      <c r="R1286" s="181">
        <f>1-R1285/(3*F_GAMMA*R$29)</f>
        <v>0.73824455772554831</v>
      </c>
      <c r="S1286" s="133"/>
      <c r="T1286" s="146"/>
      <c r="U1286" s="138">
        <f>1-U1285/(3*F_GAMMA*U$29)</f>
        <v>0.73960743208378354</v>
      </c>
      <c r="V1286" s="133"/>
      <c r="W1286" s="146"/>
      <c r="X1286" s="138">
        <f>1-X1285/(3*F_GAMMA*X$29)</f>
        <v>0.74271907956710526</v>
      </c>
      <c r="Y1286" s="133"/>
      <c r="Z1286" s="146"/>
      <c r="AA1286" s="138">
        <f>1-AA1285/(3*F_GAMMA*AA$29)</f>
        <v>0.76595640881746185</v>
      </c>
      <c r="AB1286" s="133"/>
      <c r="AC1286" s="146"/>
      <c r="AD1286" s="138">
        <f>1-AD1285/(3*F_GAMMA*AD$29)</f>
        <v>0.84972124003239291</v>
      </c>
      <c r="AE1286" s="133"/>
      <c r="AF1286" s="146"/>
      <c r="AG1286" s="138">
        <f>1-AG1285/(3*F_GAMMA*AG$29)</f>
        <v>1.1822927285956588</v>
      </c>
      <c r="AH1286" s="133"/>
      <c r="AI1286" s="146"/>
      <c r="AJ1286" s="138">
        <f>1-AJ1285/(3*F_GAMMA*AJ$29)</f>
        <v>-191.50552036818073</v>
      </c>
      <c r="AK1286" s="133"/>
      <c r="AL1286" s="146"/>
      <c r="AM1286" s="138">
        <f>1-AM1285/(3*F_GAMMA*AM$29)</f>
        <v>-0.57585276421128095</v>
      </c>
      <c r="AN1286" s="133"/>
      <c r="AO1286" s="146"/>
      <c r="AP1286" s="138">
        <f>1-AP1285/(3*F_GAMMA*AP$29)</f>
        <v>4.724102245729489E-2</v>
      </c>
      <c r="AQ1286" s="133"/>
      <c r="AR1286" s="146"/>
      <c r="AS1286" s="138">
        <f>1-AS1285/(3*F_GAMMA*AS$29)</f>
        <v>-0.22664963385777104</v>
      </c>
      <c r="AT1286" s="133"/>
      <c r="AU1286" s="146"/>
    </row>
    <row r="1287" spans="13:47" x14ac:dyDescent="0.25">
      <c r="M1287" s="27"/>
      <c r="N1287" s="27"/>
      <c r="O1287" s="2" t="s">
        <v>71</v>
      </c>
      <c r="P1287" s="85">
        <v>5</v>
      </c>
      <c r="Q1287" s="2"/>
      <c r="R1287" s="179">
        <f>R1279/((N_6*R$27*R1286)*SQRT(R1285*R1281*R1283))</f>
        <v>0.28847500368872708</v>
      </c>
      <c r="S1287" s="133"/>
      <c r="T1287" s="146"/>
      <c r="U1287" s="143">
        <f>U1279/((N_6*U$27*U1286)*SQRT(U1285*U1281*U1283))</f>
        <v>4.9007793401568431</v>
      </c>
      <c r="V1287" s="133"/>
      <c r="W1287" s="146"/>
      <c r="X1287" s="143">
        <f>X1279/((N_6*X$27*X1286)*SQRT(X1285*X1281*X1283))</f>
        <v>12.585699583223185</v>
      </c>
      <c r="Y1287" s="133"/>
      <c r="Z1287" s="146"/>
      <c r="AA1287" s="143">
        <f>AA1279/((N_6*AA$27*AA1286)*SQRT(AA1285*AA1281*AA1283))</f>
        <v>27.693435405653972</v>
      </c>
      <c r="AB1287" s="133"/>
      <c r="AC1287" s="146"/>
      <c r="AD1287" s="143">
        <f>AD1279/((N_6*AD$27*AD1286)*SQRT(AD1285*AD1281*AD1283))</f>
        <v>67.840935379276374</v>
      </c>
      <c r="AE1287" s="133"/>
      <c r="AF1287" s="146"/>
      <c r="AG1287" s="143" t="e">
        <f>AG1279/((N_6*AG$27*AG1286)*SQRT(AG1285*AG1281*AG1283))</f>
        <v>#NUM!</v>
      </c>
      <c r="AH1287" s="133"/>
      <c r="AI1287" s="146"/>
      <c r="AJ1287" s="143">
        <f>AJ1279/((N_6*AJ$27*AJ1286)*SQRT(AJ1285*AJ1281*AJ1283))</f>
        <v>-7.1391247886266154</v>
      </c>
      <c r="AK1287" s="133"/>
      <c r="AL1287" s="146"/>
      <c r="AM1287" s="143">
        <f>AM1279/((N_6*AM$27*AM1286)*SQRT(AM1285*AM1281*AM1283))</f>
        <v>-145.93823684659367</v>
      </c>
      <c r="AN1287" s="133"/>
      <c r="AO1287" s="146"/>
      <c r="AP1287" s="143">
        <f>AP1279/((N_6*AP$27*AP1286)*SQRT(AP1285*AP1281*AP1283))</f>
        <v>1391.9738956846115</v>
      </c>
      <c r="AQ1287" s="133"/>
      <c r="AR1287" s="146"/>
      <c r="AS1287" s="143">
        <f>AS1279/((N_6*AS$27*AS1286)*SQRT(AS1285*AS1281*AS1283))</f>
        <v>-290.9499550910806</v>
      </c>
      <c r="AT1287" s="133"/>
      <c r="AU1287" s="146"/>
    </row>
    <row r="1288" spans="13:47" x14ac:dyDescent="0.25">
      <c r="M1288" s="27"/>
      <c r="N1288" s="27"/>
      <c r="O1288" s="2" t="s">
        <v>73</v>
      </c>
      <c r="P1288" s="85">
        <v>5</v>
      </c>
      <c r="Q1288" s="2"/>
      <c r="R1288" s="179">
        <f>R1279/((N_6*R$27*0.667)*SQRT(R1289*R1281*R1283))</f>
        <v>0.28293787999787101</v>
      </c>
      <c r="S1288" s="133"/>
      <c r="T1288" s="155"/>
      <c r="U1288" s="143">
        <f>U1279/((N_6*U$27*0.667)*SQRT(U1289*U1281*U1283))</f>
        <v>4.8030322302842388</v>
      </c>
      <c r="V1288" s="133"/>
      <c r="W1288" s="155"/>
      <c r="X1288" s="143">
        <f>X1279/((N_6*X$27*0.667)*SQRT(X1289*X1281*X1283))</f>
        <v>12.312337891089463</v>
      </c>
      <c r="Y1288" s="133"/>
      <c r="Z1288" s="155"/>
      <c r="AA1288" s="143">
        <f>AA1279/((N_6*AA$27*0.667)*SQRT(AA1289*AA1281*AA1283))</f>
        <v>26.647965552321146</v>
      </c>
      <c r="AB1288" s="133"/>
      <c r="AC1288" s="155"/>
      <c r="AD1288" s="143">
        <f>AD1279/((N_6*AD$27*0.667)*SQRT(AD1289*AD1281*AD1283))</f>
        <v>58.02990990979179</v>
      </c>
      <c r="AE1288" s="133"/>
      <c r="AF1288" s="155"/>
      <c r="AG1288" s="143">
        <f>AG1279/((N_6*AG$27*0.667)*SQRT(AG1289*AG1281*AG1283))</f>
        <v>154.43083700484721</v>
      </c>
      <c r="AH1288" s="133"/>
      <c r="AI1288" s="155"/>
      <c r="AJ1288" s="143">
        <f>AJ1279/((N_6*AJ$27*0.667)*SQRT(AJ1289*AJ1281*AJ1283))</f>
        <v>49258.667358208375</v>
      </c>
      <c r="AK1288" s="133"/>
      <c r="AL1288" s="155"/>
      <c r="AM1288" s="143">
        <f>AM1279/((N_6*AM$27*0.667)*SQRT(AM1289*AM1281*AM1283))</f>
        <v>273.95117232922019</v>
      </c>
      <c r="AN1288" s="133"/>
      <c r="AO1288" s="155"/>
      <c r="AP1288" s="143">
        <f>AP1279/((N_6*AP$27*0.667)*SQRT(AP1289*AP1281*AP1283))</f>
        <v>166.67739251414929</v>
      </c>
      <c r="AQ1288" s="133"/>
      <c r="AR1288" s="155"/>
      <c r="AS1288" s="143">
        <f>AS1279/((N_6*AS$27*0.667)*SQRT(AS1289*AS1281*AS1283))</f>
        <v>189.65678161723108</v>
      </c>
      <c r="AT1288" s="133"/>
      <c r="AU1288" s="155"/>
    </row>
    <row r="1289" spans="13:47" ht="15.5" x14ac:dyDescent="0.4">
      <c r="M1289" s="27"/>
      <c r="N1289" s="27"/>
      <c r="O1289" s="2" t="s">
        <v>192</v>
      </c>
      <c r="P1289" s="85">
        <v>10</v>
      </c>
      <c r="Q1289" s="2"/>
      <c r="R1289" s="181">
        <f>F_GAMMA*R$29</f>
        <v>0.64002688015162901</v>
      </c>
      <c r="S1289" s="133"/>
      <c r="T1289" s="155"/>
      <c r="U1289" s="138">
        <f>F_GAMMA*U$29</f>
        <v>0.64016782916606918</v>
      </c>
      <c r="V1289" s="133"/>
      <c r="W1289" s="155"/>
      <c r="X1289" s="138">
        <f>F_GAMMA*X$29</f>
        <v>0.6307062319203669</v>
      </c>
      <c r="Y1289" s="133"/>
      <c r="Z1289" s="155"/>
      <c r="AA1289" s="138">
        <f>F_GAMMA*AA$29</f>
        <v>0.62217534213893466</v>
      </c>
      <c r="AB1289" s="133"/>
      <c r="AC1289" s="155"/>
      <c r="AD1289" s="138">
        <f>F_GAMMA*AD$29</f>
        <v>0.60557184969146072</v>
      </c>
      <c r="AE1289" s="133"/>
      <c r="AF1289" s="155"/>
      <c r="AG1289" s="138">
        <f>F_GAMMA*AG$29</f>
        <v>0.57289312142622573</v>
      </c>
      <c r="AH1289" s="133"/>
      <c r="AI1289" s="155"/>
      <c r="AJ1289" s="138">
        <f>F_GAMMA*AJ$29</f>
        <v>0.53590819116049981</v>
      </c>
      <c r="AK1289" s="133"/>
      <c r="AL1289" s="155"/>
      <c r="AM1289" s="138">
        <f>F_GAMMA*AM$29</f>
        <v>0.49048815926850342</v>
      </c>
      <c r="AN1289" s="133"/>
      <c r="AO1289" s="155"/>
      <c r="AP1289" s="138">
        <f>F_GAMMA*AP$29</f>
        <v>0.59352979016280105</v>
      </c>
      <c r="AQ1289" s="133"/>
      <c r="AR1289" s="155"/>
      <c r="AS1289" s="138">
        <f>F_GAMMA*AS$29</f>
        <v>0.39097221161068291</v>
      </c>
      <c r="AT1289" s="133"/>
      <c r="AU1289" s="155"/>
    </row>
    <row r="1290" spans="13:47" x14ac:dyDescent="0.25">
      <c r="M1290" s="27"/>
      <c r="N1290" s="27"/>
      <c r="O1290" s="2" t="s">
        <v>193</v>
      </c>
      <c r="P1290" s="134"/>
      <c r="Q1290" s="2"/>
      <c r="R1290" s="181">
        <f>IF(R1285&lt;R1289,R1287,R1288)</f>
        <v>0.28847500368872708</v>
      </c>
      <c r="S1290" s="133"/>
      <c r="T1290" s="155"/>
      <c r="U1290" s="138">
        <f>IF(U1285&lt;U1289,U1287,U1288)</f>
        <v>4.9007793401568431</v>
      </c>
      <c r="V1290" s="133"/>
      <c r="W1290" s="155"/>
      <c r="X1290" s="138">
        <f>IF(X1285&lt;X1289,X1287,X1288)</f>
        <v>12.585699583223185</v>
      </c>
      <c r="Y1290" s="133"/>
      <c r="Z1290" s="155"/>
      <c r="AA1290" s="138">
        <f>IF(AA1285&lt;AA1289,AA1287,AA1288)</f>
        <v>27.693435405653972</v>
      </c>
      <c r="AB1290" s="133"/>
      <c r="AC1290" s="155"/>
      <c r="AD1290" s="138">
        <f>IF(AD1285&lt;AD1289,AD1287,AD1288)</f>
        <v>67.840935379276374</v>
      </c>
      <c r="AE1290" s="133"/>
      <c r="AF1290" s="155"/>
      <c r="AG1290" s="138" t="e">
        <f>IF(AG1285&lt;AG1289,AG1287,AG1288)</f>
        <v>#NUM!</v>
      </c>
      <c r="AH1290" s="133"/>
      <c r="AI1290" s="155"/>
      <c r="AJ1290" s="138">
        <f>IF(AJ1285&lt;AJ1289,AJ1287,AJ1288)</f>
        <v>49258.667358208375</v>
      </c>
      <c r="AK1290" s="133"/>
      <c r="AL1290" s="155"/>
      <c r="AM1290" s="138">
        <f>IF(AM1285&lt;AM1289,AM1287,AM1288)</f>
        <v>273.95117232922019</v>
      </c>
      <c r="AN1290" s="133"/>
      <c r="AO1290" s="155"/>
      <c r="AP1290" s="138">
        <f>IF(AP1285&lt;AP1289,AP1287,AP1288)</f>
        <v>166.67739251414929</v>
      </c>
      <c r="AQ1290" s="133"/>
      <c r="AR1290" s="155"/>
      <c r="AS1290" s="138">
        <f>IF(AS1285&lt;AS1289,AS1287,AS1288)</f>
        <v>189.65678161723108</v>
      </c>
      <c r="AT1290" s="133"/>
      <c r="AU1290" s="155"/>
    </row>
    <row r="1291" spans="13:47" ht="13" x14ac:dyDescent="0.3">
      <c r="M1291" s="28"/>
      <c r="N1291" s="28"/>
      <c r="O1291" s="9" t="s">
        <v>194</v>
      </c>
      <c r="P1291" s="1"/>
      <c r="Q1291" s="1"/>
      <c r="R1291" s="135"/>
      <c r="S1291" s="132">
        <f>IF(R1284&lt;=0,W_max,ABS(R$23-R1290))</f>
        <v>1.7115249963112729</v>
      </c>
      <c r="T1291" s="151">
        <f>R1279</f>
        <v>66.714582643330857</v>
      </c>
      <c r="U1291" s="135"/>
      <c r="V1291" s="132">
        <f>IF(U1284&lt;=0,W_max,ABS(U$23-U1290))</f>
        <v>9.9220659843156866E-2</v>
      </c>
      <c r="W1291" s="151">
        <f>U1279</f>
        <v>1126.2631449856349</v>
      </c>
      <c r="X1291" s="135"/>
      <c r="Y1291" s="132">
        <f>IF(X1284&lt;=0,W_max,ABS(X$23-X1290))</f>
        <v>2.5856995832231853</v>
      </c>
      <c r="Z1291" s="151">
        <f>X1279</f>
        <v>2785.3827844348275</v>
      </c>
      <c r="AA1291" s="135"/>
      <c r="AB1291" s="132">
        <f>IF(AA1284&lt;=0,W_max,ABS(AA$23-AA1290))</f>
        <v>10.493435405653972</v>
      </c>
      <c r="AC1291" s="151">
        <f>AA1279</f>
        <v>5425.2147078989092</v>
      </c>
      <c r="AD1291" s="135"/>
      <c r="AE1291" s="132">
        <f>IF(AD1284&lt;=0,W_max,ABS(AD$23-AD1290))</f>
        <v>41.240935379276372</v>
      </c>
      <c r="AF1291" s="151">
        <f>AD1279</f>
        <v>8922.4807489460072</v>
      </c>
      <c r="AG1291" s="135"/>
      <c r="AH1291" s="132">
        <f>IF(AG1284&lt;=0,W_max,ABS(AG$23-AG1290))</f>
        <v>7174</v>
      </c>
      <c r="AI1291" s="151">
        <f>AG1279</f>
        <v>12514.466158012721</v>
      </c>
      <c r="AJ1291" s="135"/>
      <c r="AK1291" s="132">
        <f>IF(AJ1284&lt;=0,W_max,ABS(AJ$23-AJ1290))</f>
        <v>7174</v>
      </c>
      <c r="AL1291" s="151">
        <f>AJ1279</f>
        <v>15890.051288708821</v>
      </c>
      <c r="AM1291" s="135"/>
      <c r="AN1291" s="132">
        <f>IF(AM1284&lt;=0,W_max,ABS(AM$23-AM1290))</f>
        <v>7174</v>
      </c>
      <c r="AO1291" s="151">
        <f>AM1279</f>
        <v>18632.334807882256</v>
      </c>
      <c r="AP1291" s="135"/>
      <c r="AQ1291" s="132">
        <f>IF(AP1284&lt;=0,W_max,ABS(AP$23-AP1290))</f>
        <v>7174</v>
      </c>
      <c r="AR1291" s="151">
        <f>AP1279</f>
        <v>20787.50616962463</v>
      </c>
      <c r="AS1291" s="135"/>
      <c r="AT1291" s="132">
        <f>IF(AS1284&lt;=0,W_max,ABS(AS$23-AS1290))</f>
        <v>7174</v>
      </c>
      <c r="AU1291" s="151">
        <f>AS1279</f>
        <v>23191.962639560184</v>
      </c>
    </row>
    <row r="1292" spans="13:47" ht="13" x14ac:dyDescent="0.25">
      <c r="M1292" s="12"/>
      <c r="N1292" s="12"/>
      <c r="O1292" s="2"/>
      <c r="P1292" s="85"/>
      <c r="Q1292" s="2"/>
      <c r="R1292" s="18"/>
      <c r="S1292" s="150"/>
      <c r="T1292" s="148"/>
      <c r="U1292" s="157"/>
      <c r="V1292" s="1"/>
      <c r="W1292" s="147"/>
      <c r="X1292" s="157"/>
      <c r="Y1292" s="1"/>
      <c r="Z1292" s="147"/>
      <c r="AA1292" s="157"/>
      <c r="AB1292" s="1"/>
      <c r="AC1292" s="147"/>
      <c r="AD1292" s="157"/>
      <c r="AE1292" s="1"/>
      <c r="AF1292" s="147"/>
      <c r="AG1292" s="157"/>
      <c r="AH1292" s="1"/>
      <c r="AI1292" s="147"/>
      <c r="AJ1292" s="157"/>
      <c r="AK1292" s="1"/>
      <c r="AL1292" s="147"/>
      <c r="AM1292" s="157"/>
      <c r="AN1292" s="1"/>
      <c r="AO1292" s="147"/>
      <c r="AP1292" s="157"/>
      <c r="AQ1292" s="1"/>
      <c r="AR1292" s="147"/>
      <c r="AS1292" s="157"/>
      <c r="AT1292" s="1"/>
      <c r="AU1292" s="147"/>
    </row>
    <row r="1293" spans="13:47" ht="14" x14ac:dyDescent="0.3">
      <c r="M1293" s="23"/>
      <c r="N1293" s="23"/>
      <c r="O1293" s="23" t="s">
        <v>238</v>
      </c>
      <c r="P1293" s="20"/>
      <c r="Q1293" s="20"/>
      <c r="R1293" s="181">
        <f>R1279*1.02</f>
        <v>68.048874296197482</v>
      </c>
      <c r="S1293" s="128" t="s">
        <v>185</v>
      </c>
      <c r="T1293" s="149" t="s">
        <v>186</v>
      </c>
      <c r="U1293" s="143">
        <f>U1279*1.01</f>
        <v>1137.5257764354913</v>
      </c>
      <c r="V1293" s="128" t="s">
        <v>185</v>
      </c>
      <c r="W1293" s="153" t="s">
        <v>186</v>
      </c>
      <c r="X1293" s="143">
        <f>X1279*1.01</f>
        <v>2813.2366122791759</v>
      </c>
      <c r="Y1293" s="128" t="s">
        <v>185</v>
      </c>
      <c r="Z1293" s="153" t="s">
        <v>186</v>
      </c>
      <c r="AA1293" s="143">
        <f>AA1279*1.01</f>
        <v>5479.466854977898</v>
      </c>
      <c r="AB1293" s="128" t="s">
        <v>185</v>
      </c>
      <c r="AC1293" s="153" t="s">
        <v>186</v>
      </c>
      <c r="AD1293" s="143">
        <f>AD1279*1.01</f>
        <v>9011.7055564354669</v>
      </c>
      <c r="AE1293" s="128" t="s">
        <v>185</v>
      </c>
      <c r="AF1293" s="153" t="s">
        <v>186</v>
      </c>
      <c r="AG1293" s="143">
        <f>AG1279*1.01</f>
        <v>12639.610819592848</v>
      </c>
      <c r="AH1293" s="128" t="s">
        <v>185</v>
      </c>
      <c r="AI1293" s="153" t="s">
        <v>186</v>
      </c>
      <c r="AJ1293" s="143">
        <f>AJ1279*1.01</f>
        <v>16048.951801595909</v>
      </c>
      <c r="AK1293" s="128" t="s">
        <v>185</v>
      </c>
      <c r="AL1293" s="153" t="s">
        <v>186</v>
      </c>
      <c r="AM1293" s="143">
        <f>AM1279*1.01</f>
        <v>18818.658155961079</v>
      </c>
      <c r="AN1293" s="128" t="s">
        <v>185</v>
      </c>
      <c r="AO1293" s="153" t="s">
        <v>186</v>
      </c>
      <c r="AP1293" s="143">
        <f>AP1279*1.01</f>
        <v>20995.381231320876</v>
      </c>
      <c r="AQ1293" s="128" t="s">
        <v>185</v>
      </c>
      <c r="AR1293" s="153" t="s">
        <v>186</v>
      </c>
      <c r="AS1293" s="143">
        <f>AS1279*1.01</f>
        <v>23423.882265955788</v>
      </c>
      <c r="AT1293" s="128" t="s">
        <v>185</v>
      </c>
      <c r="AU1293" s="153" t="s">
        <v>186</v>
      </c>
    </row>
    <row r="1294" spans="13:47" ht="14" x14ac:dyDescent="0.3">
      <c r="M1294" s="12"/>
      <c r="N1294" s="12"/>
      <c r="O1294" s="20"/>
      <c r="P1294" s="20"/>
      <c r="Q1294" s="23"/>
      <c r="R1294" s="139"/>
      <c r="S1294" s="130" t="s">
        <v>228</v>
      </c>
      <c r="T1294" s="131" t="s">
        <v>187</v>
      </c>
      <c r="U1294" s="144"/>
      <c r="V1294" s="130" t="s">
        <v>228</v>
      </c>
      <c r="W1294" s="154" t="s">
        <v>187</v>
      </c>
      <c r="X1294" s="144"/>
      <c r="Y1294" s="130" t="s">
        <v>228</v>
      </c>
      <c r="Z1294" s="154" t="s">
        <v>187</v>
      </c>
      <c r="AA1294" s="144"/>
      <c r="AB1294" s="130" t="s">
        <v>228</v>
      </c>
      <c r="AC1294" s="154" t="s">
        <v>187</v>
      </c>
      <c r="AD1294" s="144"/>
      <c r="AE1294" s="130" t="s">
        <v>228</v>
      </c>
      <c r="AF1294" s="154" t="s">
        <v>187</v>
      </c>
      <c r="AG1294" s="144"/>
      <c r="AH1294" s="130" t="s">
        <v>228</v>
      </c>
      <c r="AI1294" s="154" t="s">
        <v>187</v>
      </c>
      <c r="AJ1294" s="144"/>
      <c r="AK1294" s="130" t="s">
        <v>228</v>
      </c>
      <c r="AL1294" s="154" t="s">
        <v>187</v>
      </c>
      <c r="AM1294" s="144"/>
      <c r="AN1294" s="130" t="s">
        <v>228</v>
      </c>
      <c r="AO1294" s="154" t="s">
        <v>187</v>
      </c>
      <c r="AP1294" s="144"/>
      <c r="AQ1294" s="130" t="s">
        <v>228</v>
      </c>
      <c r="AR1294" s="154" t="s">
        <v>187</v>
      </c>
      <c r="AS1294" s="144"/>
      <c r="AT1294" s="130" t="s">
        <v>228</v>
      </c>
      <c r="AU1294" s="154" t="s">
        <v>187</v>
      </c>
    </row>
    <row r="1295" spans="13:47" x14ac:dyDescent="0.25">
      <c r="M1295" s="20"/>
      <c r="N1295" s="20"/>
      <c r="O1295" s="7" t="s">
        <v>188</v>
      </c>
      <c r="P1295" s="7"/>
      <c r="Q1295" s="7"/>
      <c r="R1295" s="181">
        <f>P_1_minW-(R1293^2*R_up)+dpup_minQ</f>
        <v>100.52094021051037</v>
      </c>
      <c r="S1295" s="132"/>
      <c r="T1295" s="145"/>
      <c r="U1295" s="138">
        <f>P_1_minW-(U1293^2*R_up)+dpup_minQ</f>
        <v>100.00680291997536</v>
      </c>
      <c r="V1295" s="132"/>
      <c r="W1295" s="145"/>
      <c r="X1295" s="138">
        <f>P_1_minW-(X1293^2*R_up)+dpup_minQ</f>
        <v>97.36686583956363</v>
      </c>
      <c r="Y1295" s="132"/>
      <c r="Z1295" s="145"/>
      <c r="AA1295" s="138">
        <f>P_1_minW-(AA1293^2*R_up)+dpup_minQ</f>
        <v>88.550139240734183</v>
      </c>
      <c r="AB1295" s="132"/>
      <c r="AC1295" s="145"/>
      <c r="AD1295" s="138">
        <f>P_1_minW-(AD1293^2*R_up)+dpup_minQ</f>
        <v>68.139004214777088</v>
      </c>
      <c r="AE1295" s="132"/>
      <c r="AF1295" s="145"/>
      <c r="AG1295" s="138">
        <f>P_1_minW-(AG1293^2*R_up)+dpup_minQ</f>
        <v>36.816690770516296</v>
      </c>
      <c r="AH1295" s="132"/>
      <c r="AI1295" s="145"/>
      <c r="AJ1295" s="138">
        <f>P_1_minW-(AJ1293^2*R_up)+dpup_minQ</f>
        <v>-2.1858424873393862</v>
      </c>
      <c r="AK1295" s="132"/>
      <c r="AL1295" s="145"/>
      <c r="AM1295" s="138">
        <f>P_1_minW-(AM1293^2*R_up)+dpup_minQ</f>
        <v>-40.695485619609585</v>
      </c>
      <c r="AN1295" s="132"/>
      <c r="AO1295" s="145"/>
      <c r="AP1295" s="138">
        <f>P_1_minW-(AP1293^2*R_up)+dpup_minQ</f>
        <v>-75.25383655183019</v>
      </c>
      <c r="AQ1295" s="132"/>
      <c r="AR1295" s="145"/>
      <c r="AS1295" s="138">
        <f>P_1_minW-(AS1293^2*R_up)+dpup_minQ</f>
        <v>-118.26916404400332</v>
      </c>
      <c r="AT1295" s="132"/>
      <c r="AU1295" s="145"/>
    </row>
    <row r="1296" spans="13:47" x14ac:dyDescent="0.25">
      <c r="M1296" s="20"/>
      <c r="N1296" s="20"/>
      <c r="O1296" s="7" t="s">
        <v>189</v>
      </c>
      <c r="P1296" s="1"/>
      <c r="Q1296" s="7"/>
      <c r="R1296" s="181">
        <f>P_2_minW+(R1293^2*R_dn)-dpdn_minQ</f>
        <v>50</v>
      </c>
      <c r="S1296" s="132"/>
      <c r="T1296" s="146"/>
      <c r="U1296" s="138">
        <f>P_2_minW+(U1293^2*R_dn)-dpdn_minQ</f>
        <v>50</v>
      </c>
      <c r="V1296" s="132"/>
      <c r="W1296" s="146"/>
      <c r="X1296" s="138">
        <f>P_2_minW+(X1293^2*R_dn)-dpdn_minQ</f>
        <v>50</v>
      </c>
      <c r="Y1296" s="132"/>
      <c r="Z1296" s="146"/>
      <c r="AA1296" s="138">
        <f>P_2_minW+(AA1293^2*R_dn)-dpdn_minQ</f>
        <v>50</v>
      </c>
      <c r="AB1296" s="132"/>
      <c r="AC1296" s="146"/>
      <c r="AD1296" s="138">
        <f>P_2_minW+(AD1293^2*R_dn)-dpdn_minQ</f>
        <v>50</v>
      </c>
      <c r="AE1296" s="132"/>
      <c r="AF1296" s="146"/>
      <c r="AG1296" s="138">
        <f>P_2_minW+(AG1293^2*R_dn)-dpdn_minQ</f>
        <v>50</v>
      </c>
      <c r="AH1296" s="132"/>
      <c r="AI1296" s="146"/>
      <c r="AJ1296" s="138">
        <f>P_2_minW+(AJ1293^2*R_dn)-dpdn_minQ</f>
        <v>50</v>
      </c>
      <c r="AK1296" s="132"/>
      <c r="AL1296" s="146"/>
      <c r="AM1296" s="138">
        <f>P_2_minW+(AM1293^2*R_dn)-dpdn_minQ</f>
        <v>50</v>
      </c>
      <c r="AN1296" s="132"/>
      <c r="AO1296" s="146"/>
      <c r="AP1296" s="138">
        <f>P_2_minW+(AP1293^2*R_dn)-dpdn_minQ</f>
        <v>50</v>
      </c>
      <c r="AQ1296" s="132"/>
      <c r="AR1296" s="146"/>
      <c r="AS1296" s="138">
        <f>P_2_minW+(AS1293^2*R_dn)-dpdn_minQ</f>
        <v>50</v>
      </c>
      <c r="AT1296" s="132"/>
      <c r="AU1296" s="146"/>
    </row>
    <row r="1297" spans="13:47" x14ac:dyDescent="0.25">
      <c r="M1297" s="20"/>
      <c r="N1297" s="20"/>
      <c r="O1297" s="7" t="s">
        <v>234</v>
      </c>
      <c r="P1297" s="1"/>
      <c r="Q1297" s="7"/>
      <c r="R1297" s="179">
        <f>'Valve Sizing'!G$8*R1295/P_1_maxW</f>
        <v>0.484895118925177</v>
      </c>
      <c r="S1297" s="132"/>
      <c r="T1297" s="146"/>
      <c r="U1297" s="143">
        <f>'Valve Sizing'!$G$8*U1295/P_1_maxW</f>
        <v>0.48241501217213872</v>
      </c>
      <c r="V1297" s="132"/>
      <c r="W1297" s="146"/>
      <c r="X1297" s="143">
        <f>'Valve Sizing'!$G$8*X1295/P_1_maxW</f>
        <v>0.46968042570806007</v>
      </c>
      <c r="Y1297" s="132"/>
      <c r="Z1297" s="146"/>
      <c r="AA1297" s="143">
        <f>'Valve Sizing'!$G$8*AA1295/P_1_maxW</f>
        <v>0.42715010631672623</v>
      </c>
      <c r="AB1297" s="132"/>
      <c r="AC1297" s="146"/>
      <c r="AD1297" s="143">
        <f>'Valve Sizing'!$G$8*AD1295/P_1_maxW</f>
        <v>0.32869042493011635</v>
      </c>
      <c r="AE1297" s="132"/>
      <c r="AF1297" s="146"/>
      <c r="AG1297" s="143">
        <f>'Valve Sizing'!$G$8*AG1295/P_1_maxW</f>
        <v>0.17759716146919163</v>
      </c>
      <c r="AH1297" s="132"/>
      <c r="AI1297" s="146"/>
      <c r="AJ1297" s="143">
        <f>'Valve Sizing'!$G$8*AJ1295/P_1_maxW</f>
        <v>-1.0544114993656952E-2</v>
      </c>
      <c r="AK1297" s="132"/>
      <c r="AL1297" s="146"/>
      <c r="AM1297" s="143">
        <f>'Valve Sizing'!$G$8*AM1295/P_1_maxW</f>
        <v>-0.19630777724435922</v>
      </c>
      <c r="AN1297" s="132"/>
      <c r="AO1297" s="146"/>
      <c r="AP1297" s="143">
        <f>'Valve Sizing'!$G$8*AP1295/P_1_maxW</f>
        <v>-0.36301110940623843</v>
      </c>
      <c r="AQ1297" s="132"/>
      <c r="AR1297" s="146"/>
      <c r="AS1297" s="143">
        <f>'Valve Sizing'!$G$8*AS1295/P_1_maxW</f>
        <v>-0.5705093908214558</v>
      </c>
      <c r="AT1297" s="132"/>
      <c r="AU1297" s="146"/>
    </row>
    <row r="1298" spans="13:47" x14ac:dyDescent="0.25">
      <c r="M1298" s="20"/>
      <c r="N1298" s="20"/>
      <c r="O1298" s="7" t="s">
        <v>190</v>
      </c>
      <c r="P1298" s="1"/>
      <c r="Q1298" s="7"/>
      <c r="R1298" s="181">
        <f>R1295-R1296</f>
        <v>50.520940210510375</v>
      </c>
      <c r="S1298" s="132"/>
      <c r="T1298" s="146"/>
      <c r="U1298" s="138">
        <f>U1295-U1296</f>
        <v>50.006802919975357</v>
      </c>
      <c r="V1298" s="132"/>
      <c r="W1298" s="146"/>
      <c r="X1298" s="138">
        <f>X1295-X1296</f>
        <v>47.36686583956363</v>
      </c>
      <c r="Y1298" s="132"/>
      <c r="Z1298" s="146"/>
      <c r="AA1298" s="138">
        <f>AA1295-AA1296</f>
        <v>38.550139240734183</v>
      </c>
      <c r="AB1298" s="132"/>
      <c r="AC1298" s="146"/>
      <c r="AD1298" s="138">
        <f>AD1295-AD1296</f>
        <v>18.139004214777088</v>
      </c>
      <c r="AE1298" s="132"/>
      <c r="AF1298" s="146"/>
      <c r="AG1298" s="138">
        <f>AG1295-AG1296</f>
        <v>-13.183309229483704</v>
      </c>
      <c r="AH1298" s="132"/>
      <c r="AI1298" s="146"/>
      <c r="AJ1298" s="138">
        <f>AJ1295-AJ1296</f>
        <v>-52.185842487339386</v>
      </c>
      <c r="AK1298" s="132"/>
      <c r="AL1298" s="146"/>
      <c r="AM1298" s="138">
        <f>AM1295-AM1296</f>
        <v>-90.695485619609585</v>
      </c>
      <c r="AN1298" s="132"/>
      <c r="AO1298" s="146"/>
      <c r="AP1298" s="138">
        <f>AP1295-AP1296</f>
        <v>-125.25383655183019</v>
      </c>
      <c r="AQ1298" s="132"/>
      <c r="AR1298" s="146"/>
      <c r="AS1298" s="138">
        <f>AS1295-AS1296</f>
        <v>-168.26916404400333</v>
      </c>
      <c r="AT1298" s="132"/>
      <c r="AU1298" s="146"/>
    </row>
    <row r="1299" spans="13:47" ht="14.5" x14ac:dyDescent="0.35">
      <c r="M1299" s="27"/>
      <c r="N1299" s="27"/>
      <c r="O1299" s="2" t="s">
        <v>191</v>
      </c>
      <c r="P1299" s="10"/>
      <c r="Q1299" s="2"/>
      <c r="R1299" s="181">
        <f>R1298/R1295</f>
        <v>0.50259120243712119</v>
      </c>
      <c r="S1299" s="132"/>
      <c r="T1299" s="146"/>
      <c r="U1299" s="138">
        <f>U1298/U1295</f>
        <v>0.50003401228604816</v>
      </c>
      <c r="V1299" s="132"/>
      <c r="W1299" s="146"/>
      <c r="X1299" s="138">
        <f>X1298/X1295</f>
        <v>0.48647828428217499</v>
      </c>
      <c r="Y1299" s="132"/>
      <c r="Z1299" s="146"/>
      <c r="AA1299" s="138">
        <f>AA1298/AA1295</f>
        <v>0.4353481493228486</v>
      </c>
      <c r="AB1299" s="132"/>
      <c r="AC1299" s="146"/>
      <c r="AD1299" s="138">
        <f>AD1298/AD1295</f>
        <v>0.26620588932591621</v>
      </c>
      <c r="AE1299" s="132"/>
      <c r="AF1299" s="146"/>
      <c r="AG1299" s="138">
        <f>AG1298/AG1295</f>
        <v>-0.35807969031375358</v>
      </c>
      <c r="AH1299" s="132"/>
      <c r="AI1299" s="146"/>
      <c r="AJ1299" s="138">
        <f>AJ1298/AJ1295</f>
        <v>23.874475306251433</v>
      </c>
      <c r="AK1299" s="132"/>
      <c r="AL1299" s="146"/>
      <c r="AM1299" s="138">
        <f>AM1298/AM1295</f>
        <v>2.2286375070532869</v>
      </c>
      <c r="AN1299" s="132"/>
      <c r="AO1299" s="146"/>
      <c r="AP1299" s="138">
        <f>AP1298/AP1295</f>
        <v>1.6644179525061569</v>
      </c>
      <c r="AQ1299" s="132"/>
      <c r="AR1299" s="146"/>
      <c r="AS1299" s="138">
        <f>AS1298/AS1295</f>
        <v>1.4227644661578649</v>
      </c>
      <c r="AT1299" s="132"/>
      <c r="AU1299" s="146"/>
    </row>
    <row r="1300" spans="13:47" x14ac:dyDescent="0.25">
      <c r="M1300" s="27"/>
      <c r="N1300" s="27"/>
      <c r="O1300" s="2" t="s">
        <v>26</v>
      </c>
      <c r="P1300" s="7">
        <v>12</v>
      </c>
      <c r="Q1300" s="2"/>
      <c r="R1300" s="181">
        <f>1-R1299/(3*F_GAMMA*R$29)</f>
        <v>0.73824474251349559</v>
      </c>
      <c r="S1300" s="133"/>
      <c r="T1300" s="146"/>
      <c r="U1300" s="138">
        <f>1-U1299/(3*F_GAMMA*U$29)</f>
        <v>0.73963389520451739</v>
      </c>
      <c r="V1300" s="133"/>
      <c r="W1300" s="146"/>
      <c r="X1300" s="138">
        <f>1-X1299/(3*F_GAMMA*X$29)</f>
        <v>0.74289230090478542</v>
      </c>
      <c r="Y1300" s="133"/>
      <c r="Z1300" s="146"/>
      <c r="AA1300" s="138">
        <f>1-AA1299/(3*F_GAMMA*AA$29)</f>
        <v>0.76676020416463597</v>
      </c>
      <c r="AB1300" s="133"/>
      <c r="AC1300" s="146"/>
      <c r="AD1300" s="138">
        <f>1-AD1299/(3*F_GAMMA*AD$29)</f>
        <v>0.8534685909076144</v>
      </c>
      <c r="AE1300" s="133"/>
      <c r="AF1300" s="146"/>
      <c r="AG1300" s="138">
        <f>1-AG1299/(3*F_GAMMA*AG$29)</f>
        <v>1.2083458367838367</v>
      </c>
      <c r="AH1300" s="133"/>
      <c r="AI1300" s="146"/>
      <c r="AJ1300" s="138">
        <f>1-AJ1299/(3*F_GAMMA*AJ$29)</f>
        <v>-13.84985407329545</v>
      </c>
      <c r="AK1300" s="133"/>
      <c r="AL1300" s="146"/>
      <c r="AM1300" s="138">
        <f>1-AM1299/(3*F_GAMMA*AM$29)</f>
        <v>-0.51457105534548631</v>
      </c>
      <c r="AN1300" s="133"/>
      <c r="AO1300" s="146"/>
      <c r="AP1300" s="138">
        <f>1-AP1299/(3*F_GAMMA*AP$29)</f>
        <v>6.5243239068860204E-2</v>
      </c>
      <c r="AQ1300" s="133"/>
      <c r="AR1300" s="146"/>
      <c r="AS1300" s="138">
        <f>1-AS1299/(3*F_GAMMA*AS$29)</f>
        <v>-0.21301414261346219</v>
      </c>
      <c r="AT1300" s="133"/>
      <c r="AU1300" s="146"/>
    </row>
    <row r="1301" spans="13:47" x14ac:dyDescent="0.25">
      <c r="M1301" s="27"/>
      <c r="N1301" s="27"/>
      <c r="O1301" s="2" t="s">
        <v>71</v>
      </c>
      <c r="P1301" s="85">
        <v>5</v>
      </c>
      <c r="Q1301" s="2"/>
      <c r="R1301" s="179">
        <f>R1293/((N_6*R$27*R1300)*SQRT(R1299*R1295*R1297))</f>
        <v>0.29424474386129235</v>
      </c>
      <c r="S1301" s="133"/>
      <c r="T1301" s="146"/>
      <c r="U1301" s="143">
        <f>U1293/((N_6*U$27*U1300)*SQRT(U1299*U1295*U1297))</f>
        <v>4.9503647790793472</v>
      </c>
      <c r="V1301" s="133"/>
      <c r="W1301" s="146"/>
      <c r="X1301" s="143">
        <f>X1293/((N_6*X$27*X1300)*SQRT(X1299*X1295*X1297))</f>
        <v>12.720992144887793</v>
      </c>
      <c r="Y1301" s="133"/>
      <c r="Z1301" s="146"/>
      <c r="AA1301" s="143">
        <f>AA1293/((N_6*AA$27*AA1300)*SQRT(AA1299*AA1295*AA1297))</f>
        <v>28.063719013818041</v>
      </c>
      <c r="AB1301" s="133"/>
      <c r="AC1301" s="146"/>
      <c r="AD1301" s="143">
        <f>AD1293/((N_6*AD$27*AD1300)*SQRT(AD1299*AD1295*AD1297))</f>
        <v>69.732237667371592</v>
      </c>
      <c r="AE1301" s="133"/>
      <c r="AF1301" s="146"/>
      <c r="AG1301" s="143" t="e">
        <f>AG1293/((N_6*AG$27*AG1300)*SQRT(AG1299*AG1295*AG1297))</f>
        <v>#NUM!</v>
      </c>
      <c r="AH1301" s="133"/>
      <c r="AI1301" s="146"/>
      <c r="AJ1301" s="143">
        <f>AJ1293/((N_6*AJ$27*AJ1300)*SQRT(AJ1299*AJ1295*AJ1297))</f>
        <v>-26.61734630819711</v>
      </c>
      <c r="AK1301" s="133"/>
      <c r="AL1301" s="146"/>
      <c r="AM1301" s="143">
        <f>AM1293/((N_6*AM$27*AM1300)*SQRT(AM1299*AM1295*AM1297))</f>
        <v>-156.75111970217048</v>
      </c>
      <c r="AN1301" s="133"/>
      <c r="AO1301" s="146"/>
      <c r="AP1301" s="143">
        <f>AP1293/((N_6*AP$27*AP1300)*SQRT(AP1299*AP1295*AP1297))</f>
        <v>980.42829650714782</v>
      </c>
      <c r="AQ1301" s="133"/>
      <c r="AR1301" s="146"/>
      <c r="AS1301" s="143">
        <f>AS1293/((N_6*AS$27*AS1300)*SQRT(AS1299*AS1295*AS1297))</f>
        <v>-302.96136734003892</v>
      </c>
      <c r="AT1301" s="133"/>
      <c r="AU1301" s="146"/>
    </row>
    <row r="1302" spans="13:47" x14ac:dyDescent="0.25">
      <c r="M1302" s="27"/>
      <c r="N1302" s="27"/>
      <c r="O1302" s="2" t="s">
        <v>73</v>
      </c>
      <c r="P1302" s="85">
        <v>5</v>
      </c>
      <c r="Q1302" s="2"/>
      <c r="R1302" s="179">
        <f>R1293/((N_6*R$27*0.667)*SQRT(R1303*R1295*R1297))</f>
        <v>0.28859684345747583</v>
      </c>
      <c r="S1302" s="133"/>
      <c r="T1302" s="147"/>
      <c r="U1302" s="143">
        <f>U1293/((N_6*U$27*0.667)*SQRT(U1303*U1295*U1297))</f>
        <v>4.8515557226681407</v>
      </c>
      <c r="V1302" s="133"/>
      <c r="W1302" s="155"/>
      <c r="X1302" s="143">
        <f>X1293/((N_6*X$27*0.667)*SQRT(X1303*X1295*X1297))</f>
        <v>12.443403274477962</v>
      </c>
      <c r="Y1302" s="133"/>
      <c r="Z1302" s="155"/>
      <c r="AA1302" s="143">
        <f>AA1293/((N_6*AA$27*0.667)*SQRT(AA1303*AA1295*AA1297))</f>
        <v>26.986148597961225</v>
      </c>
      <c r="AB1302" s="133"/>
      <c r="AC1302" s="155"/>
      <c r="AD1302" s="143">
        <f>AD1293/((N_6*AD$27*0.667)*SQRT(AD1303*AD1295*AD1297))</f>
        <v>59.159064952709997</v>
      </c>
      <c r="AE1302" s="133"/>
      <c r="AF1302" s="155"/>
      <c r="AG1302" s="143">
        <f>AG1293/((N_6*AG$27*0.667)*SQRT(AG1303*AG1295*AG1297))</f>
        <v>161.29310395714717</v>
      </c>
      <c r="AH1302" s="133"/>
      <c r="AI1302" s="155"/>
      <c r="AJ1302" s="143">
        <f>AJ1293/((N_6*AJ$27*0.667)*SQRT(AJ1303*AJ1295*AJ1297))</f>
        <v>3688.9760787648274</v>
      </c>
      <c r="AK1302" s="133"/>
      <c r="AL1302" s="155"/>
      <c r="AM1302" s="143">
        <f>AM1293/((N_6*AM$27*0.667)*SQRT(AM1303*AM1295*AM1297))</f>
        <v>257.77193111591083</v>
      </c>
      <c r="AN1302" s="133"/>
      <c r="AO1302" s="155"/>
      <c r="AP1302" s="143">
        <f>AP1293/((N_6*AP$27*0.667)*SQRT(AP1303*AP1295*AP1297))</f>
        <v>160.59626918386439</v>
      </c>
      <c r="AQ1302" s="133"/>
      <c r="AR1302" s="155"/>
      <c r="AS1302" s="143">
        <f>AS1293/((N_6*AS$27*0.667)*SQRT(AS1303*AS1295*AS1297))</f>
        <v>184.57097919293767</v>
      </c>
      <c r="AT1302" s="133"/>
      <c r="AU1302" s="155"/>
    </row>
    <row r="1303" spans="13:47" ht="15.5" x14ac:dyDescent="0.4">
      <c r="M1303" s="27"/>
      <c r="N1303" s="27"/>
      <c r="O1303" s="2" t="s">
        <v>192</v>
      </c>
      <c r="P1303" s="85">
        <v>10</v>
      </c>
      <c r="Q1303" s="2"/>
      <c r="R1303" s="181">
        <f>F_GAMMA*R$29</f>
        <v>0.64002688015162901</v>
      </c>
      <c r="S1303" s="133"/>
      <c r="T1303" s="147"/>
      <c r="U1303" s="138">
        <f>F_GAMMA*U$29</f>
        <v>0.64016782916606918</v>
      </c>
      <c r="V1303" s="133"/>
      <c r="W1303" s="155"/>
      <c r="X1303" s="138">
        <f>F_GAMMA*X$29</f>
        <v>0.6307062319203669</v>
      </c>
      <c r="Y1303" s="133"/>
      <c r="Z1303" s="155"/>
      <c r="AA1303" s="138">
        <f>F_GAMMA*AA$29</f>
        <v>0.62217534213893466</v>
      </c>
      <c r="AB1303" s="133"/>
      <c r="AC1303" s="155"/>
      <c r="AD1303" s="138">
        <f>F_GAMMA*AD$29</f>
        <v>0.60557184969146072</v>
      </c>
      <c r="AE1303" s="133"/>
      <c r="AF1303" s="155"/>
      <c r="AG1303" s="138">
        <f>F_GAMMA*AG$29</f>
        <v>0.57289312142622573</v>
      </c>
      <c r="AH1303" s="133"/>
      <c r="AI1303" s="155"/>
      <c r="AJ1303" s="138">
        <f>F_GAMMA*AJ$29</f>
        <v>0.53590819116049981</v>
      </c>
      <c r="AK1303" s="133"/>
      <c r="AL1303" s="155"/>
      <c r="AM1303" s="138">
        <f>F_GAMMA*AM$29</f>
        <v>0.49048815926850342</v>
      </c>
      <c r="AN1303" s="133"/>
      <c r="AO1303" s="155"/>
      <c r="AP1303" s="138">
        <f>F_GAMMA*AP$29</f>
        <v>0.59352979016280105</v>
      </c>
      <c r="AQ1303" s="133"/>
      <c r="AR1303" s="155"/>
      <c r="AS1303" s="138">
        <f>F_GAMMA*AS$29</f>
        <v>0.39097221161068291</v>
      </c>
      <c r="AT1303" s="133"/>
      <c r="AU1303" s="155"/>
    </row>
    <row r="1304" spans="13:47" x14ac:dyDescent="0.25">
      <c r="M1304" s="27"/>
      <c r="N1304" s="27"/>
      <c r="O1304" s="2" t="s">
        <v>193</v>
      </c>
      <c r="P1304" s="134"/>
      <c r="Q1304" s="2"/>
      <c r="R1304" s="181">
        <f>IF(R1299&lt;R1303,R1301,R1302)</f>
        <v>0.29424474386129235</v>
      </c>
      <c r="S1304" s="133"/>
      <c r="T1304" s="147"/>
      <c r="U1304" s="138">
        <f>IF(U1299&lt;U1303,U1301,U1302)</f>
        <v>4.9503647790793472</v>
      </c>
      <c r="V1304" s="133"/>
      <c r="W1304" s="155"/>
      <c r="X1304" s="138">
        <f>IF(X1299&lt;X1303,X1301,X1302)</f>
        <v>12.720992144887793</v>
      </c>
      <c r="Y1304" s="133"/>
      <c r="Z1304" s="155"/>
      <c r="AA1304" s="138">
        <f>IF(AA1299&lt;AA1303,AA1301,AA1302)</f>
        <v>28.063719013818041</v>
      </c>
      <c r="AB1304" s="133"/>
      <c r="AC1304" s="155"/>
      <c r="AD1304" s="138">
        <f>IF(AD1299&lt;AD1303,AD1301,AD1302)</f>
        <v>69.732237667371592</v>
      </c>
      <c r="AE1304" s="133"/>
      <c r="AF1304" s="155"/>
      <c r="AG1304" s="138" t="e">
        <f>IF(AG1299&lt;AG1303,AG1301,AG1302)</f>
        <v>#NUM!</v>
      </c>
      <c r="AH1304" s="133"/>
      <c r="AI1304" s="155"/>
      <c r="AJ1304" s="138">
        <f>IF(AJ1299&lt;AJ1303,AJ1301,AJ1302)</f>
        <v>3688.9760787648274</v>
      </c>
      <c r="AK1304" s="133"/>
      <c r="AL1304" s="155"/>
      <c r="AM1304" s="138">
        <f>IF(AM1299&lt;AM1303,AM1301,AM1302)</f>
        <v>257.77193111591083</v>
      </c>
      <c r="AN1304" s="133"/>
      <c r="AO1304" s="155"/>
      <c r="AP1304" s="138">
        <f>IF(AP1299&lt;AP1303,AP1301,AP1302)</f>
        <v>160.59626918386439</v>
      </c>
      <c r="AQ1304" s="133"/>
      <c r="AR1304" s="155"/>
      <c r="AS1304" s="138">
        <f>IF(AS1299&lt;AS1303,AS1301,AS1302)</f>
        <v>184.57097919293767</v>
      </c>
      <c r="AT1304" s="133"/>
      <c r="AU1304" s="155"/>
    </row>
    <row r="1305" spans="13:47" ht="13" x14ac:dyDescent="0.3">
      <c r="M1305" s="28"/>
      <c r="N1305" s="28"/>
      <c r="O1305" s="9" t="s">
        <v>194</v>
      </c>
      <c r="P1305" s="1"/>
      <c r="Q1305" s="1"/>
      <c r="R1305" s="135"/>
      <c r="S1305" s="132">
        <f>IF(R1298&lt;=0,W_max,ABS(R$23-R1304))</f>
        <v>1.7057552561387077</v>
      </c>
      <c r="T1305" s="151">
        <f>R1293</f>
        <v>68.048874296197482</v>
      </c>
      <c r="U1305" s="135"/>
      <c r="V1305" s="132">
        <f>IF(U1298&lt;=0,W_max,ABS(U$23-U1304))</f>
        <v>4.9635220920652756E-2</v>
      </c>
      <c r="W1305" s="151">
        <f>U1293</f>
        <v>1137.5257764354913</v>
      </c>
      <c r="X1305" s="135"/>
      <c r="Y1305" s="132">
        <f>IF(X1298&lt;=0,W_max,ABS(X$23-X1304))</f>
        <v>2.7209921448877932</v>
      </c>
      <c r="Z1305" s="151">
        <f>X1293</f>
        <v>2813.2366122791759</v>
      </c>
      <c r="AA1305" s="135"/>
      <c r="AB1305" s="132">
        <f>IF(AA1298&lt;=0,W_max,ABS(AA$23-AA1304))</f>
        <v>10.863719013818042</v>
      </c>
      <c r="AC1305" s="151">
        <f>AA1293</f>
        <v>5479.466854977898</v>
      </c>
      <c r="AD1305" s="135"/>
      <c r="AE1305" s="132">
        <f>IF(AD1298&lt;=0,W_max,ABS(AD$23-AD1304))</f>
        <v>43.132237667371591</v>
      </c>
      <c r="AF1305" s="151">
        <f>AD1293</f>
        <v>9011.7055564354669</v>
      </c>
      <c r="AG1305" s="135"/>
      <c r="AH1305" s="132">
        <f>IF(AG1298&lt;=0,W_max,ABS(AG$23-AG1304))</f>
        <v>7174</v>
      </c>
      <c r="AI1305" s="151">
        <f>AG1293</f>
        <v>12639.610819592848</v>
      </c>
      <c r="AJ1305" s="135"/>
      <c r="AK1305" s="132">
        <f>IF(AJ1298&lt;=0,W_max,ABS(AJ$23-AJ1304))</f>
        <v>7174</v>
      </c>
      <c r="AL1305" s="151">
        <f>AJ1293</f>
        <v>16048.951801595909</v>
      </c>
      <c r="AM1305" s="135"/>
      <c r="AN1305" s="132">
        <f>IF(AM1298&lt;=0,W_max,ABS(AM$23-AM1304))</f>
        <v>7174</v>
      </c>
      <c r="AO1305" s="151">
        <f>AM1293</f>
        <v>18818.658155961079</v>
      </c>
      <c r="AP1305" s="135"/>
      <c r="AQ1305" s="132">
        <f>IF(AP1298&lt;=0,W_max,ABS(AP$23-AP1304))</f>
        <v>7174</v>
      </c>
      <c r="AR1305" s="151">
        <f>AP1293</f>
        <v>20995.381231320876</v>
      </c>
      <c r="AS1305" s="135"/>
      <c r="AT1305" s="132">
        <f>IF(AS1298&lt;=0,W_max,ABS(AS$23-AS1304))</f>
        <v>7174</v>
      </c>
      <c r="AU1305" s="151">
        <f>AS1293</f>
        <v>23423.882265955788</v>
      </c>
    </row>
    <row r="1306" spans="13:47" ht="13" x14ac:dyDescent="0.25">
      <c r="M1306" s="12"/>
      <c r="N1306" s="12"/>
      <c r="O1306" s="12"/>
      <c r="P1306" s="12"/>
      <c r="Q1306" s="12"/>
      <c r="R1306" s="182"/>
      <c r="S1306" s="22"/>
      <c r="T1306" s="152"/>
      <c r="U1306" s="157"/>
      <c r="V1306" s="1"/>
      <c r="W1306" s="147"/>
      <c r="X1306" s="157"/>
      <c r="Y1306" s="1"/>
      <c r="Z1306" s="147"/>
      <c r="AA1306" s="157"/>
      <c r="AB1306" s="1"/>
      <c r="AC1306" s="147"/>
      <c r="AD1306" s="157"/>
      <c r="AE1306" s="1"/>
      <c r="AF1306" s="147"/>
      <c r="AG1306" s="157"/>
      <c r="AH1306" s="1"/>
      <c r="AI1306" s="147"/>
      <c r="AJ1306" s="157"/>
      <c r="AK1306" s="1"/>
      <c r="AL1306" s="147"/>
      <c r="AM1306" s="157"/>
      <c r="AN1306" s="1"/>
      <c r="AO1306" s="147"/>
      <c r="AP1306" s="157"/>
      <c r="AQ1306" s="1"/>
      <c r="AR1306" s="147"/>
      <c r="AS1306" s="157"/>
      <c r="AT1306" s="1"/>
      <c r="AU1306" s="147"/>
    </row>
    <row r="1307" spans="13:47" ht="14" x14ac:dyDescent="0.3">
      <c r="M1307" s="23"/>
      <c r="N1307" s="23"/>
      <c r="O1307" s="23" t="s">
        <v>238</v>
      </c>
      <c r="P1307" s="20"/>
      <c r="Q1307" s="20"/>
      <c r="R1307" s="18">
        <f>R1293*1.02</f>
        <v>69.409851782121436</v>
      </c>
      <c r="S1307" s="128" t="s">
        <v>185</v>
      </c>
      <c r="T1307" s="153" t="s">
        <v>186</v>
      </c>
      <c r="U1307" s="143">
        <f>U1293*1.01</f>
        <v>1148.9010341998462</v>
      </c>
      <c r="V1307" s="128" t="s">
        <v>185</v>
      </c>
      <c r="W1307" s="153" t="s">
        <v>186</v>
      </c>
      <c r="X1307" s="143">
        <f>X1293*1.01</f>
        <v>2841.3689784019675</v>
      </c>
      <c r="Y1307" s="128" t="s">
        <v>185</v>
      </c>
      <c r="Z1307" s="153" t="s">
        <v>186</v>
      </c>
      <c r="AA1307" s="143">
        <f>AA1293*1.01</f>
        <v>5534.2615235276771</v>
      </c>
      <c r="AB1307" s="128" t="s">
        <v>185</v>
      </c>
      <c r="AC1307" s="153" t="s">
        <v>186</v>
      </c>
      <c r="AD1307" s="143">
        <f>AD1293*1.01</f>
        <v>9101.8226119998217</v>
      </c>
      <c r="AE1307" s="128" t="s">
        <v>185</v>
      </c>
      <c r="AF1307" s="153" t="s">
        <v>186</v>
      </c>
      <c r="AG1307" s="143">
        <f>AG1293*1.01</f>
        <v>12766.006927788776</v>
      </c>
      <c r="AH1307" s="128" t="s">
        <v>185</v>
      </c>
      <c r="AI1307" s="153" t="s">
        <v>186</v>
      </c>
      <c r="AJ1307" s="143">
        <f>AJ1293*1.01</f>
        <v>16209.441319611869</v>
      </c>
      <c r="AK1307" s="128" t="s">
        <v>185</v>
      </c>
      <c r="AL1307" s="153" t="s">
        <v>186</v>
      </c>
      <c r="AM1307" s="143">
        <f>AM1293*1.01</f>
        <v>19006.844737520689</v>
      </c>
      <c r="AN1307" s="128" t="s">
        <v>185</v>
      </c>
      <c r="AO1307" s="153" t="s">
        <v>186</v>
      </c>
      <c r="AP1307" s="143">
        <f>AP1293*1.01</f>
        <v>21205.335043634084</v>
      </c>
      <c r="AQ1307" s="128" t="s">
        <v>185</v>
      </c>
      <c r="AR1307" s="153" t="s">
        <v>186</v>
      </c>
      <c r="AS1307" s="143">
        <f>AS1293*1.01</f>
        <v>23658.121088615346</v>
      </c>
      <c r="AT1307" s="128" t="s">
        <v>185</v>
      </c>
      <c r="AU1307" s="153" t="s">
        <v>186</v>
      </c>
    </row>
    <row r="1308" spans="13:47" ht="14" x14ac:dyDescent="0.3">
      <c r="M1308" s="12"/>
      <c r="N1308" s="12"/>
      <c r="O1308" s="20"/>
      <c r="P1308" s="20"/>
      <c r="Q1308" s="23"/>
      <c r="R1308" s="139"/>
      <c r="S1308" s="130" t="s">
        <v>228</v>
      </c>
      <c r="T1308" s="154" t="s">
        <v>187</v>
      </c>
      <c r="U1308" s="144"/>
      <c r="V1308" s="130" t="s">
        <v>228</v>
      </c>
      <c r="W1308" s="154" t="s">
        <v>187</v>
      </c>
      <c r="X1308" s="144"/>
      <c r="Y1308" s="130" t="s">
        <v>228</v>
      </c>
      <c r="Z1308" s="154" t="s">
        <v>187</v>
      </c>
      <c r="AA1308" s="144"/>
      <c r="AB1308" s="130" t="s">
        <v>228</v>
      </c>
      <c r="AC1308" s="154" t="s">
        <v>187</v>
      </c>
      <c r="AD1308" s="144"/>
      <c r="AE1308" s="130" t="s">
        <v>228</v>
      </c>
      <c r="AF1308" s="154" t="s">
        <v>187</v>
      </c>
      <c r="AG1308" s="144"/>
      <c r="AH1308" s="130" t="s">
        <v>228</v>
      </c>
      <c r="AI1308" s="154" t="s">
        <v>187</v>
      </c>
      <c r="AJ1308" s="144"/>
      <c r="AK1308" s="130" t="s">
        <v>228</v>
      </c>
      <c r="AL1308" s="154" t="s">
        <v>187</v>
      </c>
      <c r="AM1308" s="144"/>
      <c r="AN1308" s="130" t="s">
        <v>228</v>
      </c>
      <c r="AO1308" s="154" t="s">
        <v>187</v>
      </c>
      <c r="AP1308" s="144"/>
      <c r="AQ1308" s="130" t="s">
        <v>228</v>
      </c>
      <c r="AR1308" s="154" t="s">
        <v>187</v>
      </c>
      <c r="AS1308" s="144"/>
      <c r="AT1308" s="130" t="s">
        <v>228</v>
      </c>
      <c r="AU1308" s="154" t="s">
        <v>187</v>
      </c>
    </row>
    <row r="1309" spans="13:47" x14ac:dyDescent="0.25">
      <c r="M1309" s="20"/>
      <c r="N1309" s="20"/>
      <c r="O1309" s="7" t="s">
        <v>188</v>
      </c>
      <c r="P1309" s="7"/>
      <c r="Q1309" s="7"/>
      <c r="R1309" s="181">
        <f>P_1_minW-(R1307^2*R_up)+dpup_minQ</f>
        <v>100.52086561085123</v>
      </c>
      <c r="S1309" s="132"/>
      <c r="T1309" s="145"/>
      <c r="U1309" s="138">
        <f>P_1_minW-(U1307^2*R_up)+dpup_minQ</f>
        <v>99.996431645258653</v>
      </c>
      <c r="V1309" s="132"/>
      <c r="W1309" s="145"/>
      <c r="X1309" s="138">
        <f>P_1_minW-(X1307^2*R_up)+dpup_minQ</f>
        <v>97.303431829530652</v>
      </c>
      <c r="Y1309" s="132"/>
      <c r="Z1309" s="145"/>
      <c r="AA1309" s="138">
        <f>P_1_minW-(AA1307^2*R_up)+dpup_minQ</f>
        <v>88.309489026064739</v>
      </c>
      <c r="AB1309" s="132"/>
      <c r="AC1309" s="145"/>
      <c r="AD1309" s="138">
        <f>P_1_minW-(AD1307^2*R_up)+dpup_minQ</f>
        <v>67.488090186085898</v>
      </c>
      <c r="AE1309" s="132"/>
      <c r="AF1309" s="145"/>
      <c r="AG1309" s="138">
        <f>P_1_minW-(AG1307^2*R_up)+dpup_minQ</f>
        <v>35.536198241595471</v>
      </c>
      <c r="AH1309" s="132"/>
      <c r="AI1309" s="145"/>
      <c r="AJ1309" s="138">
        <f>P_1_minW-(AJ1307^2*R_up)+dpup_minQ</f>
        <v>-4.2502859347431334</v>
      </c>
      <c r="AK1309" s="132"/>
      <c r="AL1309" s="145"/>
      <c r="AM1309" s="138">
        <f>P_1_minW-(AM1307^2*R_up)+dpup_minQ</f>
        <v>-43.533972893971921</v>
      </c>
      <c r="AN1309" s="132"/>
      <c r="AO1309" s="145"/>
      <c r="AP1309" s="138">
        <f>P_1_minW-(AP1307^2*R_up)+dpup_minQ</f>
        <v>-78.786946679930182</v>
      </c>
      <c r="AQ1309" s="132"/>
      <c r="AR1309" s="145"/>
      <c r="AS1309" s="138">
        <f>P_1_minW-(AS1307^2*R_up)+dpup_minQ</f>
        <v>-122.66688225469598</v>
      </c>
      <c r="AT1309" s="132"/>
      <c r="AU1309" s="145"/>
    </row>
    <row r="1310" spans="13:47" x14ac:dyDescent="0.25">
      <c r="M1310" s="20"/>
      <c r="N1310" s="20"/>
      <c r="O1310" s="7" t="s">
        <v>189</v>
      </c>
      <c r="P1310" s="1"/>
      <c r="Q1310" s="7"/>
      <c r="R1310" s="181">
        <f>P_2_minW+(R1307^2*R_dn)-dpdn_minQ</f>
        <v>50</v>
      </c>
      <c r="S1310" s="132"/>
      <c r="T1310" s="146"/>
      <c r="U1310" s="138">
        <f>P_2_minW+(U1307^2*R_dn)-dpdn_minQ</f>
        <v>50</v>
      </c>
      <c r="V1310" s="132"/>
      <c r="W1310" s="146"/>
      <c r="X1310" s="138">
        <f>P_2_minW+(X1307^2*R_dn)-dpdn_minQ</f>
        <v>50</v>
      </c>
      <c r="Y1310" s="132"/>
      <c r="Z1310" s="146"/>
      <c r="AA1310" s="138">
        <f>P_2_minW+(AA1307^2*R_dn)-dpdn_minQ</f>
        <v>50</v>
      </c>
      <c r="AB1310" s="132"/>
      <c r="AC1310" s="146"/>
      <c r="AD1310" s="138">
        <f>P_2_minW+(AD1307^2*R_dn)-dpdn_minQ</f>
        <v>50</v>
      </c>
      <c r="AE1310" s="132"/>
      <c r="AF1310" s="146"/>
      <c r="AG1310" s="138">
        <f>P_2_minW+(AG1307^2*R_dn)-dpdn_minQ</f>
        <v>50</v>
      </c>
      <c r="AH1310" s="132"/>
      <c r="AI1310" s="146"/>
      <c r="AJ1310" s="138">
        <f>P_2_minW+(AJ1307^2*R_dn)-dpdn_minQ</f>
        <v>50</v>
      </c>
      <c r="AK1310" s="132"/>
      <c r="AL1310" s="146"/>
      <c r="AM1310" s="138">
        <f>P_2_minW+(AM1307^2*R_dn)-dpdn_minQ</f>
        <v>50</v>
      </c>
      <c r="AN1310" s="132"/>
      <c r="AO1310" s="146"/>
      <c r="AP1310" s="138">
        <f>P_2_minW+(AP1307^2*R_dn)-dpdn_minQ</f>
        <v>50</v>
      </c>
      <c r="AQ1310" s="132"/>
      <c r="AR1310" s="146"/>
      <c r="AS1310" s="138">
        <f>P_2_minW+(AS1307^2*R_dn)-dpdn_minQ</f>
        <v>50</v>
      </c>
      <c r="AT1310" s="132"/>
      <c r="AU1310" s="146"/>
    </row>
    <row r="1311" spans="13:47" x14ac:dyDescent="0.25">
      <c r="M1311" s="20"/>
      <c r="N1311" s="20"/>
      <c r="O1311" s="7" t="s">
        <v>234</v>
      </c>
      <c r="P1311" s="1"/>
      <c r="Q1311" s="7"/>
      <c r="R1311" s="179">
        <f>'Valve Sizing'!G$8*R1309/P_1_maxW</f>
        <v>0.48489475906970297</v>
      </c>
      <c r="S1311" s="132"/>
      <c r="T1311" s="146"/>
      <c r="U1311" s="143">
        <f>'Valve Sizing'!$G$8*U1309/P_1_maxW</f>
        <v>0.48236498298939701</v>
      </c>
      <c r="V1311" s="132"/>
      <c r="W1311" s="146"/>
      <c r="X1311" s="143">
        <f>'Valve Sizing'!$G$8*X1309/P_1_maxW</f>
        <v>0.46937443133739032</v>
      </c>
      <c r="Y1311" s="132"/>
      <c r="Z1311" s="146"/>
      <c r="AA1311" s="143">
        <f>'Valve Sizing'!$G$8*AA1309/P_1_maxW</f>
        <v>0.42598925252629077</v>
      </c>
      <c r="AB1311" s="132"/>
      <c r="AC1311" s="146"/>
      <c r="AD1311" s="143">
        <f>'Valve Sizing'!$G$8*AD1309/P_1_maxW</f>
        <v>0.32555053154380997</v>
      </c>
      <c r="AE1311" s="132"/>
      <c r="AF1311" s="146"/>
      <c r="AG1311" s="143">
        <f>'Valve Sizing'!$G$8*AG1309/P_1_maxW</f>
        <v>0.17142029348732069</v>
      </c>
      <c r="AH1311" s="132"/>
      <c r="AI1311" s="146"/>
      <c r="AJ1311" s="143">
        <f>'Valve Sizing'!$G$8*AJ1309/P_1_maxW</f>
        <v>-2.0502622632431255E-2</v>
      </c>
      <c r="AK1311" s="132"/>
      <c r="AL1311" s="146"/>
      <c r="AM1311" s="143">
        <f>'Valve Sizing'!$G$8*AM1309/P_1_maxW</f>
        <v>-0.21000013449437244</v>
      </c>
      <c r="AN1311" s="132"/>
      <c r="AO1311" s="146"/>
      <c r="AP1311" s="143">
        <f>'Valve Sizing'!$G$8*AP1309/P_1_maxW</f>
        <v>-0.38005420363270553</v>
      </c>
      <c r="AQ1311" s="132"/>
      <c r="AR1311" s="146"/>
      <c r="AS1311" s="143">
        <f>'Valve Sizing'!$G$8*AS1309/P_1_maxW</f>
        <v>-0.59172320050436877</v>
      </c>
      <c r="AT1311" s="132"/>
      <c r="AU1311" s="146"/>
    </row>
    <row r="1312" spans="13:47" x14ac:dyDescent="0.25">
      <c r="M1312" s="20"/>
      <c r="N1312" s="20"/>
      <c r="O1312" s="7" t="s">
        <v>190</v>
      </c>
      <c r="P1312" s="1"/>
      <c r="Q1312" s="7"/>
      <c r="R1312" s="181">
        <f>R1309-R1310</f>
        <v>50.520865610851232</v>
      </c>
      <c r="S1312" s="132"/>
      <c r="T1312" s="146"/>
      <c r="U1312" s="138">
        <f>U1309-U1310</f>
        <v>49.996431645258653</v>
      </c>
      <c r="V1312" s="132"/>
      <c r="W1312" s="146"/>
      <c r="X1312" s="138">
        <f>X1309-X1310</f>
        <v>47.303431829530652</v>
      </c>
      <c r="Y1312" s="132"/>
      <c r="Z1312" s="146"/>
      <c r="AA1312" s="138">
        <f>AA1309-AA1310</f>
        <v>38.309489026064739</v>
      </c>
      <c r="AB1312" s="132"/>
      <c r="AC1312" s="146"/>
      <c r="AD1312" s="138">
        <f>AD1309-AD1310</f>
        <v>17.488090186085898</v>
      </c>
      <c r="AE1312" s="132"/>
      <c r="AF1312" s="146"/>
      <c r="AG1312" s="138">
        <f>AG1309-AG1310</f>
        <v>-14.463801758404529</v>
      </c>
      <c r="AH1312" s="132"/>
      <c r="AI1312" s="146"/>
      <c r="AJ1312" s="138">
        <f>AJ1309-AJ1310</f>
        <v>-54.250285934743133</v>
      </c>
      <c r="AK1312" s="132"/>
      <c r="AL1312" s="146"/>
      <c r="AM1312" s="138">
        <f>AM1309-AM1310</f>
        <v>-93.533972893971921</v>
      </c>
      <c r="AN1312" s="132"/>
      <c r="AO1312" s="146"/>
      <c r="AP1312" s="138">
        <f>AP1309-AP1310</f>
        <v>-128.78694667993017</v>
      </c>
      <c r="AQ1312" s="132"/>
      <c r="AR1312" s="146"/>
      <c r="AS1312" s="138">
        <f>AS1309-AS1310</f>
        <v>-172.66688225469596</v>
      </c>
      <c r="AT1312" s="132"/>
      <c r="AU1312" s="146"/>
    </row>
    <row r="1313" spans="13:47" ht="14.5" x14ac:dyDescent="0.35">
      <c r="M1313" s="27"/>
      <c r="N1313" s="27"/>
      <c r="O1313" s="2" t="s">
        <v>191</v>
      </c>
      <c r="P1313" s="10"/>
      <c r="Q1313" s="2"/>
      <c r="R1313" s="181">
        <f>R1312/R1309</f>
        <v>0.5025908332945902</v>
      </c>
      <c r="S1313" s="132"/>
      <c r="T1313" s="146"/>
      <c r="U1313" s="138">
        <f>U1312/U1309</f>
        <v>0.49998215758961279</v>
      </c>
      <c r="V1313" s="132"/>
      <c r="W1313" s="146"/>
      <c r="X1313" s="138">
        <f>X1312/X1309</f>
        <v>0.48614350943349272</v>
      </c>
      <c r="Y1313" s="132"/>
      <c r="Z1313" s="146"/>
      <c r="AA1313" s="138">
        <f>AA1312/AA1309</f>
        <v>0.43380942918555004</v>
      </c>
      <c r="AB1313" s="132"/>
      <c r="AC1313" s="146"/>
      <c r="AD1313" s="138">
        <f>AD1312/AD1309</f>
        <v>0.25912853864831159</v>
      </c>
      <c r="AE1313" s="132"/>
      <c r="AF1313" s="146"/>
      <c r="AG1313" s="138">
        <f>AG1312/AG1309</f>
        <v>-0.40701601392673753</v>
      </c>
      <c r="AH1313" s="132"/>
      <c r="AI1313" s="146"/>
      <c r="AJ1313" s="138">
        <f>AJ1312/AJ1309</f>
        <v>12.763914420741614</v>
      </c>
      <c r="AK1313" s="132"/>
      <c r="AL1313" s="146"/>
      <c r="AM1313" s="138">
        <f>AM1312/AM1309</f>
        <v>2.1485283027528008</v>
      </c>
      <c r="AN1313" s="132"/>
      <c r="AO1313" s="146"/>
      <c r="AP1313" s="138">
        <f>AP1312/AP1309</f>
        <v>1.6346228925855397</v>
      </c>
      <c r="AQ1313" s="132"/>
      <c r="AR1313" s="146"/>
      <c r="AS1313" s="138">
        <f>AS1312/AS1309</f>
        <v>1.4076079792766223</v>
      </c>
      <c r="AT1313" s="132"/>
      <c r="AU1313" s="146"/>
    </row>
    <row r="1314" spans="13:47" x14ac:dyDescent="0.25">
      <c r="M1314" s="27"/>
      <c r="N1314" s="27"/>
      <c r="O1314" s="2" t="s">
        <v>26</v>
      </c>
      <c r="P1314" s="7">
        <v>12</v>
      </c>
      <c r="Q1314" s="2"/>
      <c r="R1314" s="181">
        <f>1-R1313/(3*F_GAMMA*R$29)</f>
        <v>0.7382449347671558</v>
      </c>
      <c r="S1314" s="133"/>
      <c r="T1314" s="146"/>
      <c r="U1314" s="138">
        <f>1-U1313/(3*F_GAMMA*U$29)</f>
        <v>0.73966089577846739</v>
      </c>
      <c r="V1314" s="133"/>
      <c r="W1314" s="146"/>
      <c r="X1314" s="138">
        <f>1-X1313/(3*F_GAMMA*X$29)</f>
        <v>0.74306923211392795</v>
      </c>
      <c r="Y1314" s="133"/>
      <c r="Z1314" s="146"/>
      <c r="AA1314" s="138">
        <f>1-AA1313/(3*F_GAMMA*AA$29)</f>
        <v>0.76758458063489199</v>
      </c>
      <c r="AB1314" s="133"/>
      <c r="AC1314" s="146"/>
      <c r="AD1314" s="138">
        <f>1-AD1313/(3*F_GAMMA*AD$29)</f>
        <v>0.85736427544733806</v>
      </c>
      <c r="AE1314" s="133"/>
      <c r="AF1314" s="146"/>
      <c r="AG1314" s="138">
        <f>1-AG1313/(3*F_GAMMA*AG$29)</f>
        <v>1.2368190497810279</v>
      </c>
      <c r="AH1314" s="133"/>
      <c r="AI1314" s="146"/>
      <c r="AJ1314" s="138">
        <f>1-AJ1313/(3*F_GAMMA*AJ$29)</f>
        <v>-6.9391175772735636</v>
      </c>
      <c r="AK1314" s="133"/>
      <c r="AL1314" s="146"/>
      <c r="AM1314" s="138">
        <f>1-AM1313/(3*F_GAMMA*AM$29)</f>
        <v>-0.46012923530239713</v>
      </c>
      <c r="AN1314" s="133"/>
      <c r="AO1314" s="146"/>
      <c r="AP1314" s="138">
        <f>1-AP1313/(3*F_GAMMA*AP$29)</f>
        <v>8.1976496278210242E-2</v>
      </c>
      <c r="AQ1314" s="133"/>
      <c r="AR1314" s="146"/>
      <c r="AS1314" s="138">
        <f>1-AS1313/(3*F_GAMMA*AS$29)</f>
        <v>-0.20009209305670672</v>
      </c>
      <c r="AT1314" s="133"/>
      <c r="AU1314" s="146"/>
    </row>
    <row r="1315" spans="13:47" x14ac:dyDescent="0.25">
      <c r="M1315" s="27"/>
      <c r="N1315" s="27"/>
      <c r="O1315" s="2" t="s">
        <v>71</v>
      </c>
      <c r="P1315" s="85">
        <v>5</v>
      </c>
      <c r="Q1315" s="2"/>
      <c r="R1315" s="179">
        <f>R1307/((N_6*R$27*R1314)*SQRT(R1313*R1309*R1311))</f>
        <v>0.30012989353379582</v>
      </c>
      <c r="S1315" s="133"/>
      <c r="T1315" s="146"/>
      <c r="U1315" s="143">
        <f>U1307/((N_6*U$27*U1314)*SQRT(U1313*U1309*U1311))</f>
        <v>5.0004637480022218</v>
      </c>
      <c r="V1315" s="133"/>
      <c r="W1315" s="146"/>
      <c r="X1315" s="143">
        <f>X1307/((N_6*X$27*X1314)*SQRT(X1313*X1309*X1311))</f>
        <v>12.857941719470846</v>
      </c>
      <c r="Y1315" s="133"/>
      <c r="Z1315" s="146"/>
      <c r="AA1315" s="143">
        <f>AA1307/((N_6*AA$27*AA1314)*SQRT(AA1313*AA1309*AA1311))</f>
        <v>28.44137926169082</v>
      </c>
      <c r="AB1315" s="133"/>
      <c r="AC1315" s="146"/>
      <c r="AD1315" s="143">
        <f>AD1307/((N_6*AD$27*AD1314)*SQRT(AD1313*AD1309*AD1311))</f>
        <v>71.745883134570846</v>
      </c>
      <c r="AE1315" s="133"/>
      <c r="AF1315" s="146"/>
      <c r="AG1315" s="143" t="e">
        <f>AG1307/((N_6*AG$27*AG1314)*SQRT(AG1313*AG1309*AG1311))</f>
        <v>#NUM!</v>
      </c>
      <c r="AH1315" s="133"/>
      <c r="AI1315" s="146"/>
      <c r="AJ1315" s="143">
        <f>AJ1307/((N_6*AJ$27*AJ1314)*SQRT(AJ1313*AJ1309*AJ1311))</f>
        <v>-37.740076106204533</v>
      </c>
      <c r="AK1315" s="133"/>
      <c r="AL1315" s="146"/>
      <c r="AM1315" s="143">
        <f>AM1307/((N_6*AM$27*AM1314)*SQRT(AM1313*AM1309*AM1311))</f>
        <v>-168.56393534817232</v>
      </c>
      <c r="AN1315" s="133"/>
      <c r="AO1315" s="146"/>
      <c r="AP1315" s="143">
        <f>AP1307/((N_6*AP$27*AP1314)*SQRT(AP1313*AP1309*AP1311))</f>
        <v>759.59160351653452</v>
      </c>
      <c r="AQ1315" s="133"/>
      <c r="AR1315" s="146"/>
      <c r="AS1315" s="143">
        <f>AS1307/((N_6*AS$27*AS1314)*SQRT(AS1313*AS1309*AS1311))</f>
        <v>-315.75990457654558</v>
      </c>
      <c r="AT1315" s="133"/>
      <c r="AU1315" s="146"/>
    </row>
    <row r="1316" spans="13:47" x14ac:dyDescent="0.25">
      <c r="M1316" s="27"/>
      <c r="N1316" s="27"/>
      <c r="O1316" s="2" t="s">
        <v>73</v>
      </c>
      <c r="P1316" s="85">
        <v>5</v>
      </c>
      <c r="Q1316" s="2"/>
      <c r="R1316" s="179">
        <f>R1307/((N_6*R$27*0.667)*SQRT(R1317*R1309*R1311))</f>
        <v>0.29436899878684791</v>
      </c>
      <c r="S1316" s="133"/>
      <c r="T1316" s="155"/>
      <c r="U1316" s="143">
        <f>U1307/((N_6*U$27*0.667)*SQRT(U1317*U1309*U1311))</f>
        <v>4.9005794978835944</v>
      </c>
      <c r="V1316" s="133"/>
      <c r="W1316" s="155"/>
      <c r="X1316" s="143">
        <f>X1307/((N_6*X$27*0.667)*SQRT(X1317*X1309*X1311))</f>
        <v>12.576030526134444</v>
      </c>
      <c r="Y1316" s="133"/>
      <c r="Z1316" s="155"/>
      <c r="AA1316" s="143">
        <f>AA1307/((N_6*AA$27*0.667)*SQRT(AA1317*AA1309*AA1311))</f>
        <v>27.330284827799868</v>
      </c>
      <c r="AB1316" s="133"/>
      <c r="AC1316" s="155"/>
      <c r="AD1316" s="143">
        <f>AD1307/((N_6*AD$27*0.667)*SQRT(AD1317*AD1309*AD1311))</f>
        <v>60.326943060479771</v>
      </c>
      <c r="AE1316" s="133"/>
      <c r="AF1316" s="155"/>
      <c r="AG1316" s="143">
        <f>AG1307/((N_6*AG$27*0.667)*SQRT(AG1317*AG1309*AG1311))</f>
        <v>168.77610470173406</v>
      </c>
      <c r="AH1316" s="133"/>
      <c r="AI1316" s="155"/>
      <c r="AJ1316" s="143">
        <f>AJ1307/((N_6*AJ$27*0.667)*SQRT(AJ1317*AJ1309*AJ1311))</f>
        <v>1916.1430499645733</v>
      </c>
      <c r="AK1316" s="133"/>
      <c r="AL1316" s="155"/>
      <c r="AM1316" s="143">
        <f>AM1307/((N_6*AM$27*0.667)*SQRT(AM1317*AM1309*AM1311))</f>
        <v>243.37442118663805</v>
      </c>
      <c r="AN1316" s="133"/>
      <c r="AO1316" s="155"/>
      <c r="AP1316" s="143">
        <f>AP1307/((N_6*AP$27*0.667)*SQRT(AP1317*AP1309*AP1311))</f>
        <v>154.9284590949328</v>
      </c>
      <c r="AQ1316" s="133"/>
      <c r="AR1316" s="155"/>
      <c r="AS1316" s="143">
        <f>AS1307/((N_6*AS$27*0.667)*SQRT(AS1317*AS1309*AS1311))</f>
        <v>179.73348278562904</v>
      </c>
      <c r="AT1316" s="133"/>
      <c r="AU1316" s="155"/>
    </row>
    <row r="1317" spans="13:47" ht="15.5" x14ac:dyDescent="0.4">
      <c r="M1317" s="27"/>
      <c r="N1317" s="27"/>
      <c r="O1317" s="2" t="s">
        <v>192</v>
      </c>
      <c r="P1317" s="85">
        <v>10</v>
      </c>
      <c r="Q1317" s="2"/>
      <c r="R1317" s="181">
        <f>F_GAMMA*R$29</f>
        <v>0.64002688015162901</v>
      </c>
      <c r="S1317" s="133"/>
      <c r="T1317" s="155"/>
      <c r="U1317" s="138">
        <f>F_GAMMA*U$29</f>
        <v>0.64016782916606918</v>
      </c>
      <c r="V1317" s="133"/>
      <c r="W1317" s="155"/>
      <c r="X1317" s="138">
        <f>F_GAMMA*X$29</f>
        <v>0.6307062319203669</v>
      </c>
      <c r="Y1317" s="133"/>
      <c r="Z1317" s="155"/>
      <c r="AA1317" s="138">
        <f>F_GAMMA*AA$29</f>
        <v>0.62217534213893466</v>
      </c>
      <c r="AB1317" s="133"/>
      <c r="AC1317" s="155"/>
      <c r="AD1317" s="138">
        <f>F_GAMMA*AD$29</f>
        <v>0.60557184969146072</v>
      </c>
      <c r="AE1317" s="133"/>
      <c r="AF1317" s="155"/>
      <c r="AG1317" s="138">
        <f>F_GAMMA*AG$29</f>
        <v>0.57289312142622573</v>
      </c>
      <c r="AH1317" s="133"/>
      <c r="AI1317" s="155"/>
      <c r="AJ1317" s="138">
        <f>F_GAMMA*AJ$29</f>
        <v>0.53590819116049981</v>
      </c>
      <c r="AK1317" s="133"/>
      <c r="AL1317" s="155"/>
      <c r="AM1317" s="138">
        <f>F_GAMMA*AM$29</f>
        <v>0.49048815926850342</v>
      </c>
      <c r="AN1317" s="133"/>
      <c r="AO1317" s="155"/>
      <c r="AP1317" s="138">
        <f>F_GAMMA*AP$29</f>
        <v>0.59352979016280105</v>
      </c>
      <c r="AQ1317" s="133"/>
      <c r="AR1317" s="155"/>
      <c r="AS1317" s="138">
        <f>F_GAMMA*AS$29</f>
        <v>0.39097221161068291</v>
      </c>
      <c r="AT1317" s="133"/>
      <c r="AU1317" s="155"/>
    </row>
    <row r="1318" spans="13:47" x14ac:dyDescent="0.25">
      <c r="M1318" s="27"/>
      <c r="N1318" s="27"/>
      <c r="O1318" s="2" t="s">
        <v>193</v>
      </c>
      <c r="P1318" s="134"/>
      <c r="Q1318" s="2"/>
      <c r="R1318" s="181">
        <f>IF(R1313&lt;R1317,R1315,R1316)</f>
        <v>0.30012989353379582</v>
      </c>
      <c r="S1318" s="133"/>
      <c r="T1318" s="155"/>
      <c r="U1318" s="138">
        <f>IF(U1313&lt;U1317,U1315,U1316)</f>
        <v>5.0004637480022218</v>
      </c>
      <c r="V1318" s="133"/>
      <c r="W1318" s="155"/>
      <c r="X1318" s="138">
        <f>IF(X1313&lt;X1317,X1315,X1316)</f>
        <v>12.857941719470846</v>
      </c>
      <c r="Y1318" s="133"/>
      <c r="Z1318" s="155"/>
      <c r="AA1318" s="138">
        <f>IF(AA1313&lt;AA1317,AA1315,AA1316)</f>
        <v>28.44137926169082</v>
      </c>
      <c r="AB1318" s="133"/>
      <c r="AC1318" s="155"/>
      <c r="AD1318" s="138">
        <f>IF(AD1313&lt;AD1317,AD1315,AD1316)</f>
        <v>71.745883134570846</v>
      </c>
      <c r="AE1318" s="133"/>
      <c r="AF1318" s="155"/>
      <c r="AG1318" s="138" t="e">
        <f>IF(AG1313&lt;AG1317,AG1315,AG1316)</f>
        <v>#NUM!</v>
      </c>
      <c r="AH1318" s="133"/>
      <c r="AI1318" s="155"/>
      <c r="AJ1318" s="138">
        <f>IF(AJ1313&lt;AJ1317,AJ1315,AJ1316)</f>
        <v>1916.1430499645733</v>
      </c>
      <c r="AK1318" s="133"/>
      <c r="AL1318" s="155"/>
      <c r="AM1318" s="138">
        <f>IF(AM1313&lt;AM1317,AM1315,AM1316)</f>
        <v>243.37442118663805</v>
      </c>
      <c r="AN1318" s="133"/>
      <c r="AO1318" s="155"/>
      <c r="AP1318" s="138">
        <f>IF(AP1313&lt;AP1317,AP1315,AP1316)</f>
        <v>154.9284590949328</v>
      </c>
      <c r="AQ1318" s="133"/>
      <c r="AR1318" s="155"/>
      <c r="AS1318" s="138">
        <f>IF(AS1313&lt;AS1317,AS1315,AS1316)</f>
        <v>179.73348278562904</v>
      </c>
      <c r="AT1318" s="133"/>
      <c r="AU1318" s="155"/>
    </row>
    <row r="1319" spans="13:47" ht="13" x14ac:dyDescent="0.3">
      <c r="M1319" s="28"/>
      <c r="N1319" s="28"/>
      <c r="O1319" s="9" t="s">
        <v>194</v>
      </c>
      <c r="P1319" s="1"/>
      <c r="Q1319" s="1"/>
      <c r="R1319" s="135"/>
      <c r="S1319" s="132">
        <f>IF(R1312&lt;=0,W_max,ABS(R$23-R1318))</f>
        <v>1.6998701064662041</v>
      </c>
      <c r="T1319" s="151">
        <f>R1307</f>
        <v>69.409851782121436</v>
      </c>
      <c r="U1319" s="135"/>
      <c r="V1319" s="132">
        <f>IF(U1312&lt;=0,W_max,ABS(U$23-U1318))</f>
        <v>4.6374800222181989E-4</v>
      </c>
      <c r="W1319" s="151">
        <f>U1307</f>
        <v>1148.9010341998462</v>
      </c>
      <c r="X1319" s="135"/>
      <c r="Y1319" s="132">
        <f>IF(X1312&lt;=0,W_max,ABS(X$23-X1318))</f>
        <v>2.8579417194708459</v>
      </c>
      <c r="Z1319" s="151">
        <f>X1307</f>
        <v>2841.3689784019675</v>
      </c>
      <c r="AA1319" s="135"/>
      <c r="AB1319" s="132">
        <f>IF(AA1312&lt;=0,W_max,ABS(AA$23-AA1318))</f>
        <v>11.24137926169082</v>
      </c>
      <c r="AC1319" s="151">
        <f>AA1307</f>
        <v>5534.2615235276771</v>
      </c>
      <c r="AD1319" s="135"/>
      <c r="AE1319" s="132">
        <f>IF(AD1312&lt;=0,W_max,ABS(AD$23-AD1318))</f>
        <v>45.145883134570845</v>
      </c>
      <c r="AF1319" s="151">
        <f>AD1307</f>
        <v>9101.8226119998217</v>
      </c>
      <c r="AG1319" s="135"/>
      <c r="AH1319" s="132">
        <f>IF(AG1312&lt;=0,W_max,ABS(AG$23-AG1318))</f>
        <v>7174</v>
      </c>
      <c r="AI1319" s="151">
        <f>AG1307</f>
        <v>12766.006927788776</v>
      </c>
      <c r="AJ1319" s="135"/>
      <c r="AK1319" s="132">
        <f>IF(AJ1312&lt;=0,W_max,ABS(AJ$23-AJ1318))</f>
        <v>7174</v>
      </c>
      <c r="AL1319" s="151">
        <f>AJ1307</f>
        <v>16209.441319611869</v>
      </c>
      <c r="AM1319" s="135"/>
      <c r="AN1319" s="132">
        <f>IF(AM1312&lt;=0,W_max,ABS(AM$23-AM1318))</f>
        <v>7174</v>
      </c>
      <c r="AO1319" s="151">
        <f>AM1307</f>
        <v>19006.844737520689</v>
      </c>
      <c r="AP1319" s="135"/>
      <c r="AQ1319" s="132">
        <f>IF(AP1312&lt;=0,W_max,ABS(AP$23-AP1318))</f>
        <v>7174</v>
      </c>
      <c r="AR1319" s="151">
        <f>AP1307</f>
        <v>21205.335043634084</v>
      </c>
      <c r="AS1319" s="135"/>
      <c r="AT1319" s="132">
        <f>IF(AS1312&lt;=0,W_max,ABS(AS$23-AS1318))</f>
        <v>7174</v>
      </c>
      <c r="AU1319" s="151">
        <f>AS1307</f>
        <v>23658.121088615346</v>
      </c>
    </row>
    <row r="1320" spans="13:47" ht="13" x14ac:dyDescent="0.25">
      <c r="M1320" s="12"/>
      <c r="N1320" s="12"/>
      <c r="O1320" s="2"/>
      <c r="P1320" s="85"/>
      <c r="Q1320" s="2"/>
      <c r="R1320" s="18"/>
      <c r="S1320" s="150"/>
      <c r="T1320" s="152"/>
      <c r="U1320" s="157"/>
      <c r="V1320" s="1"/>
      <c r="W1320" s="147"/>
      <c r="X1320" s="157"/>
      <c r="Y1320" s="1"/>
      <c r="Z1320" s="147"/>
      <c r="AA1320" s="157"/>
      <c r="AB1320" s="1"/>
      <c r="AC1320" s="147"/>
      <c r="AD1320" s="157"/>
      <c r="AE1320" s="1"/>
      <c r="AF1320" s="147"/>
      <c r="AG1320" s="157"/>
      <c r="AH1320" s="1"/>
      <c r="AI1320" s="147"/>
      <c r="AJ1320" s="157"/>
      <c r="AK1320" s="1"/>
      <c r="AL1320" s="147"/>
      <c r="AM1320" s="157"/>
      <c r="AN1320" s="1"/>
      <c r="AO1320" s="147"/>
      <c r="AP1320" s="157"/>
      <c r="AQ1320" s="1"/>
      <c r="AR1320" s="147"/>
      <c r="AS1320" s="157"/>
      <c r="AT1320" s="1"/>
      <c r="AU1320" s="147"/>
    </row>
    <row r="1321" spans="13:47" ht="14" x14ac:dyDescent="0.3">
      <c r="M1321" s="23"/>
      <c r="N1321" s="23"/>
      <c r="O1321" s="23" t="s">
        <v>238</v>
      </c>
      <c r="P1321" s="20"/>
      <c r="Q1321" s="20"/>
      <c r="R1321" s="181">
        <f>R1307*1.02</f>
        <v>70.79804881776387</v>
      </c>
      <c r="S1321" s="128" t="s">
        <v>185</v>
      </c>
      <c r="T1321" s="153" t="s">
        <v>186</v>
      </c>
      <c r="U1321" s="143">
        <f>U1307*1.01</f>
        <v>1160.3900445418446</v>
      </c>
      <c r="V1321" s="128" t="s">
        <v>185</v>
      </c>
      <c r="W1321" s="153" t="s">
        <v>186</v>
      </c>
      <c r="X1321" s="143">
        <f>X1307*1.01</f>
        <v>2869.7826681859874</v>
      </c>
      <c r="Y1321" s="128" t="s">
        <v>185</v>
      </c>
      <c r="Z1321" s="153" t="s">
        <v>186</v>
      </c>
      <c r="AA1321" s="143">
        <f>AA1307*1.01</f>
        <v>5589.6041387629539</v>
      </c>
      <c r="AB1321" s="128" t="s">
        <v>185</v>
      </c>
      <c r="AC1321" s="153" t="s">
        <v>186</v>
      </c>
      <c r="AD1321" s="143">
        <f>AD1307*1.01</f>
        <v>9192.8408381198205</v>
      </c>
      <c r="AE1321" s="128" t="s">
        <v>185</v>
      </c>
      <c r="AF1321" s="153" t="s">
        <v>186</v>
      </c>
      <c r="AG1321" s="143">
        <f>AG1307*1.01</f>
        <v>12893.666997066664</v>
      </c>
      <c r="AH1321" s="128" t="s">
        <v>185</v>
      </c>
      <c r="AI1321" s="153" t="s">
        <v>186</v>
      </c>
      <c r="AJ1321" s="143">
        <f>AJ1307*1.01</f>
        <v>16371.535732807988</v>
      </c>
      <c r="AK1321" s="128" t="s">
        <v>185</v>
      </c>
      <c r="AL1321" s="153" t="s">
        <v>186</v>
      </c>
      <c r="AM1321" s="143">
        <f>AM1307*1.01</f>
        <v>19196.913184895897</v>
      </c>
      <c r="AN1321" s="128" t="s">
        <v>185</v>
      </c>
      <c r="AO1321" s="153" t="s">
        <v>186</v>
      </c>
      <c r="AP1321" s="143">
        <f>AP1307*1.01</f>
        <v>21417.388394070425</v>
      </c>
      <c r="AQ1321" s="128" t="s">
        <v>185</v>
      </c>
      <c r="AR1321" s="153" t="s">
        <v>186</v>
      </c>
      <c r="AS1321" s="143">
        <f>AS1307*1.01</f>
        <v>23894.7022995015</v>
      </c>
      <c r="AT1321" s="128" t="s">
        <v>185</v>
      </c>
      <c r="AU1321" s="153" t="s">
        <v>186</v>
      </c>
    </row>
    <row r="1322" spans="13:47" ht="14" x14ac:dyDescent="0.3">
      <c r="M1322" s="12"/>
      <c r="N1322" s="12"/>
      <c r="O1322" s="20"/>
      <c r="P1322" s="20"/>
      <c r="Q1322" s="23"/>
      <c r="R1322" s="139"/>
      <c r="S1322" s="130" t="s">
        <v>228</v>
      </c>
      <c r="T1322" s="154" t="s">
        <v>187</v>
      </c>
      <c r="U1322" s="144"/>
      <c r="V1322" s="130" t="s">
        <v>228</v>
      </c>
      <c r="W1322" s="154" t="s">
        <v>187</v>
      </c>
      <c r="X1322" s="144"/>
      <c r="Y1322" s="130" t="s">
        <v>228</v>
      </c>
      <c r="Z1322" s="154" t="s">
        <v>187</v>
      </c>
      <c r="AA1322" s="144"/>
      <c r="AB1322" s="130" t="s">
        <v>228</v>
      </c>
      <c r="AC1322" s="154" t="s">
        <v>187</v>
      </c>
      <c r="AD1322" s="144"/>
      <c r="AE1322" s="130" t="s">
        <v>228</v>
      </c>
      <c r="AF1322" s="154" t="s">
        <v>187</v>
      </c>
      <c r="AG1322" s="144"/>
      <c r="AH1322" s="130" t="s">
        <v>228</v>
      </c>
      <c r="AI1322" s="154" t="s">
        <v>187</v>
      </c>
      <c r="AJ1322" s="144"/>
      <c r="AK1322" s="130" t="s">
        <v>228</v>
      </c>
      <c r="AL1322" s="154" t="s">
        <v>187</v>
      </c>
      <c r="AM1322" s="144"/>
      <c r="AN1322" s="130" t="s">
        <v>228</v>
      </c>
      <c r="AO1322" s="154" t="s">
        <v>187</v>
      </c>
      <c r="AP1322" s="144"/>
      <c r="AQ1322" s="130" t="s">
        <v>228</v>
      </c>
      <c r="AR1322" s="154" t="s">
        <v>187</v>
      </c>
      <c r="AS1322" s="144"/>
      <c r="AT1322" s="130" t="s">
        <v>228</v>
      </c>
      <c r="AU1322" s="154" t="s">
        <v>187</v>
      </c>
    </row>
    <row r="1323" spans="13:47" x14ac:dyDescent="0.25">
      <c r="M1323" s="20"/>
      <c r="N1323" s="20"/>
      <c r="O1323" s="7" t="s">
        <v>188</v>
      </c>
      <c r="P1323" s="7"/>
      <c r="Q1323" s="7"/>
      <c r="R1323" s="181">
        <f>P_1_minW-(R1321^2*R_up)+dpup_minQ</f>
        <v>100.52078799736586</v>
      </c>
      <c r="S1323" s="132"/>
      <c r="T1323" s="145"/>
      <c r="U1323" s="138">
        <f>P_1_minW-(U1321^2*R_up)+dpup_minQ</f>
        <v>99.985851907920136</v>
      </c>
      <c r="V1323" s="132"/>
      <c r="W1323" s="145"/>
      <c r="X1323" s="138">
        <f>P_1_minW-(X1321^2*R_up)+dpup_minQ</f>
        <v>97.23872279589601</v>
      </c>
      <c r="Y1323" s="132"/>
      <c r="Z1323" s="145"/>
      <c r="AA1323" s="138">
        <f>P_1_minW-(AA1321^2*R_up)+dpup_minQ</f>
        <v>88.064001742080436</v>
      </c>
      <c r="AB1323" s="132"/>
      <c r="AC1323" s="145"/>
      <c r="AD1323" s="138">
        <f>P_1_minW-(AD1321^2*R_up)+dpup_minQ</f>
        <v>66.824092785418017</v>
      </c>
      <c r="AE1323" s="132"/>
      <c r="AF1323" s="145"/>
      <c r="AG1323" s="138">
        <f>P_1_minW-(AG1321^2*R_up)+dpup_minQ</f>
        <v>34.229967812843327</v>
      </c>
      <c r="AH1323" s="132"/>
      <c r="AI1323" s="145"/>
      <c r="AJ1323" s="138">
        <f>P_1_minW-(AJ1321^2*R_up)+dpup_minQ</f>
        <v>-6.3562246954396935</v>
      </c>
      <c r="AK1323" s="132"/>
      <c r="AL1323" s="145"/>
      <c r="AM1323" s="138">
        <f>P_1_minW-(AM1321^2*R_up)+dpup_minQ</f>
        <v>-46.429513762548979</v>
      </c>
      <c r="AN1323" s="132"/>
      <c r="AO1323" s="145"/>
      <c r="AP1323" s="138">
        <f>P_1_minW-(AP1321^2*R_up)+dpup_minQ</f>
        <v>-82.391072321604994</v>
      </c>
      <c r="AQ1323" s="132"/>
      <c r="AR1323" s="145"/>
      <c r="AS1323" s="138">
        <f>P_1_minW-(AS1321^2*R_up)+dpup_minQ</f>
        <v>-127.15299460142357</v>
      </c>
      <c r="AT1323" s="132"/>
      <c r="AU1323" s="145"/>
    </row>
    <row r="1324" spans="13:47" x14ac:dyDescent="0.25">
      <c r="M1324" s="20"/>
      <c r="N1324" s="20"/>
      <c r="O1324" s="7" t="s">
        <v>189</v>
      </c>
      <c r="P1324" s="1"/>
      <c r="Q1324" s="7"/>
      <c r="R1324" s="181">
        <f>P_2_minW+(R1321^2*R_dn)-dpdn_minQ</f>
        <v>50</v>
      </c>
      <c r="S1324" s="132"/>
      <c r="T1324" s="146"/>
      <c r="U1324" s="138">
        <f>P_2_minW+(U1321^2*R_dn)-dpdn_minQ</f>
        <v>50</v>
      </c>
      <c r="V1324" s="132"/>
      <c r="W1324" s="146"/>
      <c r="X1324" s="138">
        <f>P_2_minW+(X1321^2*R_dn)-dpdn_minQ</f>
        <v>50</v>
      </c>
      <c r="Y1324" s="132"/>
      <c r="Z1324" s="146"/>
      <c r="AA1324" s="138">
        <f>P_2_minW+(AA1321^2*R_dn)-dpdn_minQ</f>
        <v>50</v>
      </c>
      <c r="AB1324" s="132"/>
      <c r="AC1324" s="146"/>
      <c r="AD1324" s="138">
        <f>P_2_minW+(AD1321^2*R_dn)-dpdn_minQ</f>
        <v>50</v>
      </c>
      <c r="AE1324" s="132"/>
      <c r="AF1324" s="146"/>
      <c r="AG1324" s="138">
        <f>P_2_minW+(AG1321^2*R_dn)-dpdn_minQ</f>
        <v>50</v>
      </c>
      <c r="AH1324" s="132"/>
      <c r="AI1324" s="146"/>
      <c r="AJ1324" s="138">
        <f>P_2_minW+(AJ1321^2*R_dn)-dpdn_minQ</f>
        <v>50</v>
      </c>
      <c r="AK1324" s="132"/>
      <c r="AL1324" s="146"/>
      <c r="AM1324" s="138">
        <f>P_2_minW+(AM1321^2*R_dn)-dpdn_minQ</f>
        <v>50</v>
      </c>
      <c r="AN1324" s="132"/>
      <c r="AO1324" s="146"/>
      <c r="AP1324" s="138">
        <f>P_2_minW+(AP1321^2*R_dn)-dpdn_minQ</f>
        <v>50</v>
      </c>
      <c r="AQ1324" s="132"/>
      <c r="AR1324" s="146"/>
      <c r="AS1324" s="138">
        <f>P_2_minW+(AS1321^2*R_dn)-dpdn_minQ</f>
        <v>50</v>
      </c>
      <c r="AT1324" s="132"/>
      <c r="AU1324" s="146"/>
    </row>
    <row r="1325" spans="13:47" x14ac:dyDescent="0.25">
      <c r="M1325" s="20"/>
      <c r="N1325" s="20"/>
      <c r="O1325" s="7" t="s">
        <v>234</v>
      </c>
      <c r="P1325" s="1"/>
      <c r="Q1325" s="7"/>
      <c r="R1325" s="179">
        <f>'Valve Sizing'!G$8*R1323/P_1_maxW</f>
        <v>0.48489438467606777</v>
      </c>
      <c r="S1325" s="132"/>
      <c r="T1325" s="146"/>
      <c r="U1325" s="143">
        <f>'Valve Sizing'!$G$8*U1323/P_1_maxW</f>
        <v>0.48231394822008217</v>
      </c>
      <c r="V1325" s="132"/>
      <c r="W1325" s="146"/>
      <c r="X1325" s="143">
        <f>'Valve Sizing'!$G$8*X1323/P_1_maxW</f>
        <v>0.46906228647987025</v>
      </c>
      <c r="Y1325" s="132"/>
      <c r="Z1325" s="146"/>
      <c r="AA1325" s="143">
        <f>'Valve Sizing'!$G$8*AA1323/P_1_maxW</f>
        <v>0.42480506557466746</v>
      </c>
      <c r="AB1325" s="132"/>
      <c r="AC1325" s="146"/>
      <c r="AD1325" s="143">
        <f>'Valve Sizing'!$G$8*AD1323/P_1_maxW</f>
        <v>0.32234752630043884</v>
      </c>
      <c r="AE1325" s="132"/>
      <c r="AF1325" s="146"/>
      <c r="AG1325" s="143">
        <f>'Valve Sizing'!$G$8*AG1323/P_1_maxW</f>
        <v>0.16511927045901409</v>
      </c>
      <c r="AH1325" s="132"/>
      <c r="AI1325" s="146"/>
      <c r="AJ1325" s="143">
        <f>'Valve Sizing'!$G$8*AJ1323/P_1_maxW</f>
        <v>-3.0661296274744908E-2</v>
      </c>
      <c r="AK1325" s="132"/>
      <c r="AL1325" s="146"/>
      <c r="AM1325" s="143">
        <f>'Valve Sizing'!$G$8*AM1323/P_1_maxW</f>
        <v>-0.2239677081251111</v>
      </c>
      <c r="AN1325" s="132"/>
      <c r="AO1325" s="146"/>
      <c r="AP1325" s="143">
        <f>'Valve Sizing'!$G$8*AP1323/P_1_maxW</f>
        <v>-0.39743986405312465</v>
      </c>
      <c r="AQ1325" s="132"/>
      <c r="AR1325" s="146"/>
      <c r="AS1325" s="143">
        <f>'Valve Sizing'!$G$8*AS1323/P_1_maxW</f>
        <v>-0.61336340776190823</v>
      </c>
      <c r="AT1325" s="132"/>
      <c r="AU1325" s="146"/>
    </row>
    <row r="1326" spans="13:47" x14ac:dyDescent="0.25">
      <c r="M1326" s="20"/>
      <c r="N1326" s="20"/>
      <c r="O1326" s="7" t="s">
        <v>190</v>
      </c>
      <c r="P1326" s="1"/>
      <c r="Q1326" s="7"/>
      <c r="R1326" s="181">
        <f>R1323-R1324</f>
        <v>50.520787997365858</v>
      </c>
      <c r="S1326" s="132"/>
      <c r="T1326" s="146"/>
      <c r="U1326" s="138">
        <f>U1323-U1324</f>
        <v>49.985851907920136</v>
      </c>
      <c r="V1326" s="132"/>
      <c r="W1326" s="146"/>
      <c r="X1326" s="138">
        <f>X1323-X1324</f>
        <v>47.23872279589601</v>
      </c>
      <c r="Y1326" s="132"/>
      <c r="Z1326" s="146"/>
      <c r="AA1326" s="138">
        <f>AA1323-AA1324</f>
        <v>38.064001742080436</v>
      </c>
      <c r="AB1326" s="132"/>
      <c r="AC1326" s="146"/>
      <c r="AD1326" s="138">
        <f>AD1323-AD1324</f>
        <v>16.824092785418017</v>
      </c>
      <c r="AE1326" s="132"/>
      <c r="AF1326" s="146"/>
      <c r="AG1326" s="138">
        <f>AG1323-AG1324</f>
        <v>-15.770032187156673</v>
      </c>
      <c r="AH1326" s="132"/>
      <c r="AI1326" s="146"/>
      <c r="AJ1326" s="138">
        <f>AJ1323-AJ1324</f>
        <v>-56.356224695439693</v>
      </c>
      <c r="AK1326" s="132"/>
      <c r="AL1326" s="146"/>
      <c r="AM1326" s="138">
        <f>AM1323-AM1324</f>
        <v>-96.429513762548979</v>
      </c>
      <c r="AN1326" s="132"/>
      <c r="AO1326" s="146"/>
      <c r="AP1326" s="138">
        <f>AP1323-AP1324</f>
        <v>-132.39107232160501</v>
      </c>
      <c r="AQ1326" s="132"/>
      <c r="AR1326" s="146"/>
      <c r="AS1326" s="138">
        <f>AS1323-AS1324</f>
        <v>-177.15299460142359</v>
      </c>
      <c r="AT1326" s="132"/>
      <c r="AU1326" s="146"/>
    </row>
    <row r="1327" spans="13:47" ht="14.5" x14ac:dyDescent="0.35">
      <c r="M1327" s="27"/>
      <c r="N1327" s="27"/>
      <c r="O1327" s="2" t="s">
        <v>191</v>
      </c>
      <c r="P1327" s="10"/>
      <c r="Q1327" s="2"/>
      <c r="R1327" s="181">
        <f>R1326/R1323</f>
        <v>0.50259044923811935</v>
      </c>
      <c r="S1327" s="132"/>
      <c r="T1327" s="146"/>
      <c r="U1327" s="138">
        <f>U1326/U1323</f>
        <v>0.49992924952975898</v>
      </c>
      <c r="V1327" s="132"/>
      <c r="W1327" s="146"/>
      <c r="X1327" s="138">
        <f>X1326/X1323</f>
        <v>0.48580155557009985</v>
      </c>
      <c r="Y1327" s="132"/>
      <c r="Z1327" s="146"/>
      <c r="AA1327" s="138">
        <f>AA1326/AA1323</f>
        <v>0.43223111588275648</v>
      </c>
      <c r="AB1327" s="132"/>
      <c r="AC1327" s="146"/>
      <c r="AD1327" s="138">
        <f>AD1326/AD1323</f>
        <v>0.2517668715599724</v>
      </c>
      <c r="AE1327" s="132"/>
      <c r="AF1327" s="146"/>
      <c r="AG1327" s="138">
        <f>AG1326/AG1323</f>
        <v>-0.46070835571278701</v>
      </c>
      <c r="AH1327" s="132"/>
      <c r="AI1327" s="146"/>
      <c r="AJ1327" s="138">
        <f>AJ1326/AJ1323</f>
        <v>8.8663046691651353</v>
      </c>
      <c r="AK1327" s="132"/>
      <c r="AL1327" s="146"/>
      <c r="AM1327" s="138">
        <f>AM1326/AM1323</f>
        <v>2.0769012196791743</v>
      </c>
      <c r="AN1327" s="132"/>
      <c r="AO1327" s="146"/>
      <c r="AP1327" s="138">
        <f>AP1326/AP1323</f>
        <v>1.6068618673250203</v>
      </c>
      <c r="AQ1327" s="132"/>
      <c r="AR1327" s="146"/>
      <c r="AS1327" s="138">
        <f>AS1326/AS1323</f>
        <v>1.3932270738627199</v>
      </c>
      <c r="AT1327" s="132"/>
      <c r="AU1327" s="146"/>
    </row>
    <row r="1328" spans="13:47" x14ac:dyDescent="0.25">
      <c r="M1328" s="27"/>
      <c r="N1328" s="27"/>
      <c r="O1328" s="2" t="s">
        <v>26</v>
      </c>
      <c r="P1328" s="7">
        <v>12</v>
      </c>
      <c r="Q1328" s="2"/>
      <c r="R1328" s="181">
        <f>1-R1327/(3*F_GAMMA*R$29)</f>
        <v>0.73824513478816678</v>
      </c>
      <c r="S1328" s="133"/>
      <c r="T1328" s="146"/>
      <c r="U1328" s="138">
        <f>1-U1327/(3*F_GAMMA*U$29)</f>
        <v>0.73968844483536733</v>
      </c>
      <c r="V1328" s="133"/>
      <c r="W1328" s="146"/>
      <c r="X1328" s="138">
        <f>1-X1327/(3*F_GAMMA*X$29)</f>
        <v>0.74324995749027933</v>
      </c>
      <c r="Y1328" s="133"/>
      <c r="Z1328" s="146"/>
      <c r="AA1328" s="138">
        <f>1-AA1327/(3*F_GAMMA*AA$29)</f>
        <v>0.76843016932771269</v>
      </c>
      <c r="AB1328" s="133"/>
      <c r="AC1328" s="146"/>
      <c r="AD1328" s="138">
        <f>1-AD1327/(3*F_GAMMA*AD$29)</f>
        <v>0.86141646022226881</v>
      </c>
      <c r="AE1328" s="133"/>
      <c r="AF1328" s="146"/>
      <c r="AG1328" s="138">
        <f>1-AG1327/(3*F_GAMMA*AG$29)</f>
        <v>1.2680595143505109</v>
      </c>
      <c r="AH1328" s="133"/>
      <c r="AI1328" s="146"/>
      <c r="AJ1328" s="138">
        <f>1-AJ1327/(3*F_GAMMA*AJ$29)</f>
        <v>-4.5148156689334593</v>
      </c>
      <c r="AK1328" s="133"/>
      <c r="AL1328" s="146"/>
      <c r="AM1328" s="138">
        <f>1-AM1327/(3*F_GAMMA*AM$29)</f>
        <v>-0.41145182300057326</v>
      </c>
      <c r="AN1328" s="133"/>
      <c r="AO1328" s="146"/>
      <c r="AP1328" s="138">
        <f>1-AP1327/(3*F_GAMMA*AP$29)</f>
        <v>9.7567415622463516E-2</v>
      </c>
      <c r="AQ1328" s="133"/>
      <c r="AR1328" s="146"/>
      <c r="AS1328" s="138">
        <f>1-AS1327/(3*F_GAMMA*AS$29)</f>
        <v>-0.18783128526625226</v>
      </c>
      <c r="AT1328" s="133"/>
      <c r="AU1328" s="146"/>
    </row>
    <row r="1329" spans="13:47" x14ac:dyDescent="0.25">
      <c r="M1329" s="27"/>
      <c r="N1329" s="27"/>
      <c r="O1329" s="2" t="s">
        <v>71</v>
      </c>
      <c r="P1329" s="85">
        <v>5</v>
      </c>
      <c r="Q1329" s="2"/>
      <c r="R1329" s="179">
        <f>R1321/((N_6*R$27*R1328)*SQRT(R1327*R1323*R1325))</f>
        <v>0.30613276179583315</v>
      </c>
      <c r="S1329" s="133"/>
      <c r="T1329" s="146"/>
      <c r="U1329" s="143">
        <f>U1321/((N_6*U$27*U1328)*SQRT(U1327*U1323*U1325))</f>
        <v>5.0510819266979441</v>
      </c>
      <c r="V1329" s="133"/>
      <c r="W1329" s="146"/>
      <c r="X1329" s="143">
        <f>X1321/((N_6*X$27*X1328)*SQRT(X1327*X1323*X1325))</f>
        <v>12.99657508088389</v>
      </c>
      <c r="Y1329" s="133"/>
      <c r="Z1329" s="146"/>
      <c r="AA1329" s="143">
        <f>AA1321/((N_6*AA$27*AA1328)*SQRT(AA1327*AA1323*AA1325))</f>
        <v>28.826658098259884</v>
      </c>
      <c r="AB1329" s="133"/>
      <c r="AC1329" s="146"/>
      <c r="AD1329" s="143">
        <f>AD1321/((N_6*AD$27*AD1328)*SQRT(AD1327*AD1323*AD1325))</f>
        <v>73.896347866328981</v>
      </c>
      <c r="AE1329" s="133"/>
      <c r="AF1329" s="146"/>
      <c r="AG1329" s="143" t="e">
        <f>AG1321/((N_6*AG$27*AG1328)*SQRT(AG1327*AG1323*AG1325))</f>
        <v>#NUM!</v>
      </c>
      <c r="AH1329" s="133"/>
      <c r="AI1329" s="146"/>
      <c r="AJ1329" s="143">
        <f>AJ1321/((N_6*AJ$27*AJ1328)*SQRT(AJ1327*AJ1323*AJ1325))</f>
        <v>-47.003250348277312</v>
      </c>
      <c r="AK1329" s="133"/>
      <c r="AL1329" s="146"/>
      <c r="AM1329" s="143">
        <f>AM1321/((N_6*AM$27*AM1328)*SQRT(AM1327*AM1323*AM1325))</f>
        <v>-181.56981816331327</v>
      </c>
      <c r="AN1329" s="133"/>
      <c r="AO1329" s="146"/>
      <c r="AP1329" s="143">
        <f>AP1321/((N_6*AP$27*AP1328)*SQRT(AP1327*AP1323*AP1325))</f>
        <v>621.69834475718517</v>
      </c>
      <c r="AQ1329" s="133"/>
      <c r="AR1329" s="146"/>
      <c r="AS1329" s="143">
        <f>AS1321/((N_6*AS$27*AS1328)*SQRT(AS1327*AS1323*AS1325))</f>
        <v>-329.43595339802499</v>
      </c>
      <c r="AT1329" s="133"/>
      <c r="AU1329" s="146"/>
    </row>
    <row r="1330" spans="13:47" x14ac:dyDescent="0.25">
      <c r="M1330" s="27"/>
      <c r="N1330" s="27"/>
      <c r="O1330" s="2" t="s">
        <v>73</v>
      </c>
      <c r="P1330" s="85">
        <v>5</v>
      </c>
      <c r="Q1330" s="2"/>
      <c r="R1330" s="179">
        <f>R1321/((N_6*R$27*0.667)*SQRT(R1331*R1323*R1325))</f>
        <v>0.30025661059467179</v>
      </c>
      <c r="S1330" s="133"/>
      <c r="T1330" s="155"/>
      <c r="U1330" s="143">
        <f>U1321/((N_6*U$27*0.667)*SQRT(U1331*U1323*U1325))</f>
        <v>4.9501090200831701</v>
      </c>
      <c r="V1330" s="133"/>
      <c r="W1330" s="155"/>
      <c r="X1330" s="143">
        <f>X1321/((N_6*X$27*0.667)*SQRT(X1331*X1323*X1325))</f>
        <v>12.710243437379255</v>
      </c>
      <c r="Y1330" s="133"/>
      <c r="Z1330" s="155"/>
      <c r="AA1330" s="143">
        <f>AA1321/((N_6*AA$27*0.667)*SQRT(AA1331*AA1323*AA1325))</f>
        <v>27.680535459880261</v>
      </c>
      <c r="AB1330" s="133"/>
      <c r="AC1330" s="155"/>
      <c r="AD1330" s="143">
        <f>AD1321/((N_6*AD$27*0.667)*SQRT(AD1331*AD1323*AD1325))</f>
        <v>61.53564536760917</v>
      </c>
      <c r="AE1330" s="133"/>
      <c r="AF1330" s="155"/>
      <c r="AG1330" s="143">
        <f>AG1321/((N_6*AG$27*0.667)*SQRT(AG1331*AG1323*AG1325))</f>
        <v>176.96884085305734</v>
      </c>
      <c r="AH1330" s="133"/>
      <c r="AI1330" s="155"/>
      <c r="AJ1330" s="143">
        <f>AJ1321/((N_6*AJ$27*0.667)*SQRT(AJ1331*AJ1323*AJ1325))</f>
        <v>1294.1011066937162</v>
      </c>
      <c r="AK1330" s="133"/>
      <c r="AL1330" s="155"/>
      <c r="AM1330" s="143">
        <f>AM1321/((N_6*AM$27*0.667)*SQRT(AM1331*AM1323*AM1325))</f>
        <v>230.47852847011973</v>
      </c>
      <c r="AN1330" s="133"/>
      <c r="AO1330" s="155"/>
      <c r="AP1330" s="143">
        <f>AP1321/((N_6*AP$27*0.667)*SQRT(AP1331*AP1323*AP1325))</f>
        <v>149.63276118379349</v>
      </c>
      <c r="AQ1330" s="133"/>
      <c r="AR1330" s="155"/>
      <c r="AS1330" s="143">
        <f>AS1321/((N_6*AS$27*0.667)*SQRT(AS1331*AS1323*AS1325))</f>
        <v>175.12618951361131</v>
      </c>
      <c r="AT1330" s="133"/>
      <c r="AU1330" s="155"/>
    </row>
    <row r="1331" spans="13:47" ht="15.5" x14ac:dyDescent="0.4">
      <c r="M1331" s="27"/>
      <c r="N1331" s="27"/>
      <c r="O1331" s="2" t="s">
        <v>192</v>
      </c>
      <c r="P1331" s="85">
        <v>10</v>
      </c>
      <c r="Q1331" s="2"/>
      <c r="R1331" s="181">
        <f>F_GAMMA*R$29</f>
        <v>0.64002688015162901</v>
      </c>
      <c r="S1331" s="133"/>
      <c r="T1331" s="155"/>
      <c r="U1331" s="138">
        <f>F_GAMMA*U$29</f>
        <v>0.64016782916606918</v>
      </c>
      <c r="V1331" s="133"/>
      <c r="W1331" s="155"/>
      <c r="X1331" s="138">
        <f>F_GAMMA*X$29</f>
        <v>0.6307062319203669</v>
      </c>
      <c r="Y1331" s="133"/>
      <c r="Z1331" s="155"/>
      <c r="AA1331" s="138">
        <f>F_GAMMA*AA$29</f>
        <v>0.62217534213893466</v>
      </c>
      <c r="AB1331" s="133"/>
      <c r="AC1331" s="155"/>
      <c r="AD1331" s="138">
        <f>F_GAMMA*AD$29</f>
        <v>0.60557184969146072</v>
      </c>
      <c r="AE1331" s="133"/>
      <c r="AF1331" s="155"/>
      <c r="AG1331" s="138">
        <f>F_GAMMA*AG$29</f>
        <v>0.57289312142622573</v>
      </c>
      <c r="AH1331" s="133"/>
      <c r="AI1331" s="155"/>
      <c r="AJ1331" s="138">
        <f>F_GAMMA*AJ$29</f>
        <v>0.53590819116049981</v>
      </c>
      <c r="AK1331" s="133"/>
      <c r="AL1331" s="155"/>
      <c r="AM1331" s="138">
        <f>F_GAMMA*AM$29</f>
        <v>0.49048815926850342</v>
      </c>
      <c r="AN1331" s="133"/>
      <c r="AO1331" s="155"/>
      <c r="AP1331" s="138">
        <f>F_GAMMA*AP$29</f>
        <v>0.59352979016280105</v>
      </c>
      <c r="AQ1331" s="133"/>
      <c r="AR1331" s="155"/>
      <c r="AS1331" s="138">
        <f>F_GAMMA*AS$29</f>
        <v>0.39097221161068291</v>
      </c>
      <c r="AT1331" s="133"/>
      <c r="AU1331" s="155"/>
    </row>
    <row r="1332" spans="13:47" x14ac:dyDescent="0.25">
      <c r="M1332" s="27"/>
      <c r="N1332" s="27"/>
      <c r="O1332" s="2" t="s">
        <v>193</v>
      </c>
      <c r="P1332" s="134"/>
      <c r="Q1332" s="2"/>
      <c r="R1332" s="181">
        <f>IF(R1327&lt;R1331,R1329,R1330)</f>
        <v>0.30613276179583315</v>
      </c>
      <c r="S1332" s="133"/>
      <c r="T1332" s="155"/>
      <c r="U1332" s="138">
        <f>IF(U1327&lt;U1331,U1329,U1330)</f>
        <v>5.0510819266979441</v>
      </c>
      <c r="V1332" s="133"/>
      <c r="W1332" s="155"/>
      <c r="X1332" s="138">
        <f>IF(X1327&lt;X1331,X1329,X1330)</f>
        <v>12.99657508088389</v>
      </c>
      <c r="Y1332" s="133"/>
      <c r="Z1332" s="155"/>
      <c r="AA1332" s="138">
        <f>IF(AA1327&lt;AA1331,AA1329,AA1330)</f>
        <v>28.826658098259884</v>
      </c>
      <c r="AB1332" s="133"/>
      <c r="AC1332" s="155"/>
      <c r="AD1332" s="138">
        <f>IF(AD1327&lt;AD1331,AD1329,AD1330)</f>
        <v>73.896347866328981</v>
      </c>
      <c r="AE1332" s="133"/>
      <c r="AF1332" s="155"/>
      <c r="AG1332" s="138" t="e">
        <f>IF(AG1327&lt;AG1331,AG1329,AG1330)</f>
        <v>#NUM!</v>
      </c>
      <c r="AH1332" s="133"/>
      <c r="AI1332" s="155"/>
      <c r="AJ1332" s="138">
        <f>IF(AJ1327&lt;AJ1331,AJ1329,AJ1330)</f>
        <v>1294.1011066937162</v>
      </c>
      <c r="AK1332" s="133"/>
      <c r="AL1332" s="155"/>
      <c r="AM1332" s="138">
        <f>IF(AM1327&lt;AM1331,AM1329,AM1330)</f>
        <v>230.47852847011973</v>
      </c>
      <c r="AN1332" s="133"/>
      <c r="AO1332" s="155"/>
      <c r="AP1332" s="138">
        <f>IF(AP1327&lt;AP1331,AP1329,AP1330)</f>
        <v>149.63276118379349</v>
      </c>
      <c r="AQ1332" s="133"/>
      <c r="AR1332" s="155"/>
      <c r="AS1332" s="138">
        <f>IF(AS1327&lt;AS1331,AS1329,AS1330)</f>
        <v>175.12618951361131</v>
      </c>
      <c r="AT1332" s="133"/>
      <c r="AU1332" s="155"/>
    </row>
    <row r="1333" spans="13:47" ht="13" x14ac:dyDescent="0.3">
      <c r="M1333" s="28"/>
      <c r="N1333" s="28"/>
      <c r="O1333" s="9" t="s">
        <v>194</v>
      </c>
      <c r="P1333" s="1"/>
      <c r="Q1333" s="1"/>
      <c r="R1333" s="135"/>
      <c r="S1333" s="132">
        <f>IF(R1326&lt;=0,W_max,ABS(R$23-R1332))</f>
        <v>1.6938672382041668</v>
      </c>
      <c r="T1333" s="151">
        <f>R1321</f>
        <v>70.79804881776387</v>
      </c>
      <c r="U1333" s="135"/>
      <c r="V1333" s="132">
        <f>IF(U1326&lt;=0,W_max,ABS(U$23-U1332))</f>
        <v>5.1081926697944091E-2</v>
      </c>
      <c r="W1333" s="151">
        <f>U1321</f>
        <v>1160.3900445418446</v>
      </c>
      <c r="X1333" s="135"/>
      <c r="Y1333" s="132">
        <f>IF(X1326&lt;=0,W_max,ABS(X$23-X1332))</f>
        <v>2.9965750808838898</v>
      </c>
      <c r="Z1333" s="151">
        <f>X1321</f>
        <v>2869.7826681859874</v>
      </c>
      <c r="AA1333" s="135"/>
      <c r="AB1333" s="132">
        <f>IF(AA1326&lt;=0,W_max,ABS(AA$23-AA1332))</f>
        <v>11.626658098259885</v>
      </c>
      <c r="AC1333" s="151">
        <f>AA1321</f>
        <v>5589.6041387629539</v>
      </c>
      <c r="AD1333" s="135"/>
      <c r="AE1333" s="132">
        <f>IF(AD1326&lt;=0,W_max,ABS(AD$23-AD1332))</f>
        <v>47.296347866328979</v>
      </c>
      <c r="AF1333" s="151">
        <f>AD1321</f>
        <v>9192.8408381198205</v>
      </c>
      <c r="AG1333" s="135"/>
      <c r="AH1333" s="132">
        <f>IF(AG1326&lt;=0,W_max,ABS(AG$23-AG1332))</f>
        <v>7174</v>
      </c>
      <c r="AI1333" s="151">
        <f>AG1321</f>
        <v>12893.666997066664</v>
      </c>
      <c r="AJ1333" s="135"/>
      <c r="AK1333" s="132">
        <f>IF(AJ1326&lt;=0,W_max,ABS(AJ$23-AJ1332))</f>
        <v>7174</v>
      </c>
      <c r="AL1333" s="151">
        <f>AJ1321</f>
        <v>16371.535732807988</v>
      </c>
      <c r="AM1333" s="135"/>
      <c r="AN1333" s="132">
        <f>IF(AM1326&lt;=0,W_max,ABS(AM$23-AM1332))</f>
        <v>7174</v>
      </c>
      <c r="AO1333" s="151">
        <f>AM1321</f>
        <v>19196.913184895897</v>
      </c>
      <c r="AP1333" s="135"/>
      <c r="AQ1333" s="132">
        <f>IF(AP1326&lt;=0,W_max,ABS(AP$23-AP1332))</f>
        <v>7174</v>
      </c>
      <c r="AR1333" s="151">
        <f>AP1321</f>
        <v>21417.388394070425</v>
      </c>
      <c r="AS1333" s="135"/>
      <c r="AT1333" s="132">
        <f>IF(AS1326&lt;=0,W_max,ABS(AS$23-AS1332))</f>
        <v>7174</v>
      </c>
      <c r="AU1333" s="151">
        <f>AS1321</f>
        <v>23894.7022995015</v>
      </c>
    </row>
    <row r="1334" spans="13:47" ht="13" x14ac:dyDescent="0.25">
      <c r="M1334" s="12"/>
      <c r="N1334" s="12"/>
      <c r="O1334" s="2"/>
      <c r="P1334" s="85"/>
      <c r="Q1334" s="2"/>
      <c r="R1334" s="18"/>
      <c r="S1334" s="150"/>
      <c r="T1334" s="148"/>
      <c r="U1334" s="157"/>
      <c r="V1334" s="1"/>
      <c r="W1334" s="147"/>
      <c r="X1334" s="157"/>
      <c r="Y1334" s="1"/>
      <c r="Z1334" s="147"/>
      <c r="AA1334" s="157"/>
      <c r="AB1334" s="1"/>
      <c r="AC1334" s="147"/>
      <c r="AD1334" s="157"/>
      <c r="AE1334" s="1"/>
      <c r="AF1334" s="147"/>
      <c r="AG1334" s="157"/>
      <c r="AH1334" s="1"/>
      <c r="AI1334" s="147"/>
      <c r="AJ1334" s="157"/>
      <c r="AK1334" s="1"/>
      <c r="AL1334" s="147"/>
      <c r="AM1334" s="157"/>
      <c r="AN1334" s="1"/>
      <c r="AO1334" s="147"/>
      <c r="AP1334" s="157"/>
      <c r="AQ1334" s="1"/>
      <c r="AR1334" s="147"/>
      <c r="AS1334" s="157"/>
      <c r="AT1334" s="1"/>
      <c r="AU1334" s="147"/>
    </row>
    <row r="1335" spans="13:47" ht="14" x14ac:dyDescent="0.3">
      <c r="M1335" s="23"/>
      <c r="N1335" s="23"/>
      <c r="O1335" s="23" t="s">
        <v>238</v>
      </c>
      <c r="P1335" s="20"/>
      <c r="Q1335" s="20"/>
      <c r="R1335" s="181">
        <f>R1321*1.02</f>
        <v>72.21400979411915</v>
      </c>
      <c r="S1335" s="128" t="s">
        <v>185</v>
      </c>
      <c r="T1335" s="149" t="s">
        <v>186</v>
      </c>
      <c r="U1335" s="143">
        <f>U1321*1.01</f>
        <v>1171.9939449872631</v>
      </c>
      <c r="V1335" s="128" t="s">
        <v>185</v>
      </c>
      <c r="W1335" s="153" t="s">
        <v>186</v>
      </c>
      <c r="X1335" s="143">
        <f>X1321*1.01</f>
        <v>2898.4804948678475</v>
      </c>
      <c r="Y1335" s="128" t="s">
        <v>185</v>
      </c>
      <c r="Z1335" s="153" t="s">
        <v>186</v>
      </c>
      <c r="AA1335" s="143">
        <f>AA1321*1.01</f>
        <v>5645.5001801505832</v>
      </c>
      <c r="AB1335" s="128" t="s">
        <v>185</v>
      </c>
      <c r="AC1335" s="153" t="s">
        <v>186</v>
      </c>
      <c r="AD1335" s="143">
        <f>AD1321*1.01</f>
        <v>9284.7692465010186</v>
      </c>
      <c r="AE1335" s="128" t="s">
        <v>185</v>
      </c>
      <c r="AF1335" s="153" t="s">
        <v>186</v>
      </c>
      <c r="AG1335" s="143">
        <f>AG1321*1.01</f>
        <v>13022.603667037331</v>
      </c>
      <c r="AH1335" s="128" t="s">
        <v>185</v>
      </c>
      <c r="AI1335" s="153" t="s">
        <v>186</v>
      </c>
      <c r="AJ1335" s="143">
        <f>AJ1321*1.01</f>
        <v>16535.251090136069</v>
      </c>
      <c r="AK1335" s="128" t="s">
        <v>185</v>
      </c>
      <c r="AL1335" s="153" t="s">
        <v>186</v>
      </c>
      <c r="AM1335" s="143">
        <f>AM1321*1.01</f>
        <v>19388.882316744857</v>
      </c>
      <c r="AN1335" s="128" t="s">
        <v>185</v>
      </c>
      <c r="AO1335" s="153" t="s">
        <v>186</v>
      </c>
      <c r="AP1335" s="143">
        <f>AP1321*1.01</f>
        <v>21631.56227801113</v>
      </c>
      <c r="AQ1335" s="128" t="s">
        <v>185</v>
      </c>
      <c r="AR1335" s="153" t="s">
        <v>186</v>
      </c>
      <c r="AS1335" s="143">
        <f>AS1321*1.01</f>
        <v>24133.649322496516</v>
      </c>
      <c r="AT1335" s="128" t="s">
        <v>185</v>
      </c>
      <c r="AU1335" s="153" t="s">
        <v>186</v>
      </c>
    </row>
    <row r="1336" spans="13:47" ht="14" x14ac:dyDescent="0.3">
      <c r="M1336" s="12"/>
      <c r="N1336" s="12"/>
      <c r="O1336" s="20"/>
      <c r="P1336" s="20"/>
      <c r="Q1336" s="23"/>
      <c r="R1336" s="139"/>
      <c r="S1336" s="130" t="s">
        <v>228</v>
      </c>
      <c r="T1336" s="131" t="s">
        <v>187</v>
      </c>
      <c r="U1336" s="144"/>
      <c r="V1336" s="130" t="s">
        <v>228</v>
      </c>
      <c r="W1336" s="154" t="s">
        <v>187</v>
      </c>
      <c r="X1336" s="144"/>
      <c r="Y1336" s="130" t="s">
        <v>228</v>
      </c>
      <c r="Z1336" s="154" t="s">
        <v>187</v>
      </c>
      <c r="AA1336" s="144"/>
      <c r="AB1336" s="130" t="s">
        <v>228</v>
      </c>
      <c r="AC1336" s="154" t="s">
        <v>187</v>
      </c>
      <c r="AD1336" s="144"/>
      <c r="AE1336" s="130" t="s">
        <v>228</v>
      </c>
      <c r="AF1336" s="154" t="s">
        <v>187</v>
      </c>
      <c r="AG1336" s="144"/>
      <c r="AH1336" s="130" t="s">
        <v>228</v>
      </c>
      <c r="AI1336" s="154" t="s">
        <v>187</v>
      </c>
      <c r="AJ1336" s="144"/>
      <c r="AK1336" s="130" t="s">
        <v>228</v>
      </c>
      <c r="AL1336" s="154" t="s">
        <v>187</v>
      </c>
      <c r="AM1336" s="144"/>
      <c r="AN1336" s="130" t="s">
        <v>228</v>
      </c>
      <c r="AO1336" s="154" t="s">
        <v>187</v>
      </c>
      <c r="AP1336" s="144"/>
      <c r="AQ1336" s="130" t="s">
        <v>228</v>
      </c>
      <c r="AR1336" s="154" t="s">
        <v>187</v>
      </c>
      <c r="AS1336" s="144"/>
      <c r="AT1336" s="130" t="s">
        <v>228</v>
      </c>
      <c r="AU1336" s="154" t="s">
        <v>187</v>
      </c>
    </row>
    <row r="1337" spans="13:47" x14ac:dyDescent="0.25">
      <c r="M1337" s="20"/>
      <c r="N1337" s="20"/>
      <c r="O1337" s="7" t="s">
        <v>188</v>
      </c>
      <c r="P1337" s="7"/>
      <c r="Q1337" s="7"/>
      <c r="R1337" s="181">
        <f>P_1_minW-(R1335^2*R_up)+dpup_minQ</f>
        <v>100.52070724829568</v>
      </c>
      <c r="S1337" s="132"/>
      <c r="T1337" s="145"/>
      <c r="U1337" s="138">
        <f>P_1_minW-(U1335^2*R_up)+dpup_minQ</f>
        <v>99.975059517861126</v>
      </c>
      <c r="V1337" s="132"/>
      <c r="W1337" s="145"/>
      <c r="X1337" s="138">
        <f>P_1_minW-(X1335^2*R_up)+dpup_minQ</f>
        <v>97.172713110685322</v>
      </c>
      <c r="Y1337" s="132"/>
      <c r="Z1337" s="145"/>
      <c r="AA1337" s="138">
        <f>P_1_minW-(AA1335^2*R_up)+dpup_minQ</f>
        <v>87.813580163688044</v>
      </c>
      <c r="AB1337" s="132"/>
      <c r="AC1337" s="145"/>
      <c r="AD1337" s="138">
        <f>P_1_minW-(AD1335^2*R_up)+dpup_minQ</f>
        <v>66.146749036996695</v>
      </c>
      <c r="AE1337" s="132"/>
      <c r="AF1337" s="145"/>
      <c r="AG1337" s="138">
        <f>P_1_minW-(AG1335^2*R_up)+dpup_minQ</f>
        <v>32.897482152473273</v>
      </c>
      <c r="AH1337" s="132"/>
      <c r="AI1337" s="145"/>
      <c r="AJ1337" s="138">
        <f>P_1_minW-(AJ1335^2*R_up)+dpup_minQ</f>
        <v>-8.5044928252262508</v>
      </c>
      <c r="AK1337" s="132"/>
      <c r="AL1337" s="145"/>
      <c r="AM1337" s="138">
        <f>P_1_minW-(AM1335^2*R_up)+dpup_minQ</f>
        <v>-49.383255002584448</v>
      </c>
      <c r="AN1337" s="132"/>
      <c r="AO1337" s="145"/>
      <c r="AP1337" s="138">
        <f>P_1_minW-(AP1335^2*R_up)+dpup_minQ</f>
        <v>-86.067640888677474</v>
      </c>
      <c r="AQ1337" s="132"/>
      <c r="AR1337" s="145"/>
      <c r="AS1337" s="138">
        <f>P_1_minW-(AS1335^2*R_up)+dpup_minQ</f>
        <v>-131.72927780632045</v>
      </c>
      <c r="AT1337" s="132"/>
      <c r="AU1337" s="145"/>
    </row>
    <row r="1338" spans="13:47" x14ac:dyDescent="0.25">
      <c r="M1338" s="20"/>
      <c r="N1338" s="20"/>
      <c r="O1338" s="7" t="s">
        <v>189</v>
      </c>
      <c r="P1338" s="1"/>
      <c r="Q1338" s="7"/>
      <c r="R1338" s="181">
        <f>P_2_minW+(R1335^2*R_dn)-dpdn_minQ</f>
        <v>50</v>
      </c>
      <c r="S1338" s="132"/>
      <c r="T1338" s="146"/>
      <c r="U1338" s="138">
        <f>P_2_minW+(U1335^2*R_dn)-dpdn_minQ</f>
        <v>50</v>
      </c>
      <c r="V1338" s="132"/>
      <c r="W1338" s="146"/>
      <c r="X1338" s="138">
        <f>P_2_minW+(X1335^2*R_dn)-dpdn_minQ</f>
        <v>50</v>
      </c>
      <c r="Y1338" s="132"/>
      <c r="Z1338" s="146"/>
      <c r="AA1338" s="138">
        <f>P_2_minW+(AA1335^2*R_dn)-dpdn_minQ</f>
        <v>50</v>
      </c>
      <c r="AB1338" s="132"/>
      <c r="AC1338" s="146"/>
      <c r="AD1338" s="138">
        <f>P_2_minW+(AD1335^2*R_dn)-dpdn_minQ</f>
        <v>50</v>
      </c>
      <c r="AE1338" s="132"/>
      <c r="AF1338" s="146"/>
      <c r="AG1338" s="138">
        <f>P_2_minW+(AG1335^2*R_dn)-dpdn_minQ</f>
        <v>50</v>
      </c>
      <c r="AH1338" s="132"/>
      <c r="AI1338" s="146"/>
      <c r="AJ1338" s="138">
        <f>P_2_minW+(AJ1335^2*R_dn)-dpdn_minQ</f>
        <v>50</v>
      </c>
      <c r="AK1338" s="132"/>
      <c r="AL1338" s="146"/>
      <c r="AM1338" s="138">
        <f>P_2_minW+(AM1335^2*R_dn)-dpdn_minQ</f>
        <v>50</v>
      </c>
      <c r="AN1338" s="132"/>
      <c r="AO1338" s="146"/>
      <c r="AP1338" s="138">
        <f>P_2_minW+(AP1335^2*R_dn)-dpdn_minQ</f>
        <v>50</v>
      </c>
      <c r="AQ1338" s="132"/>
      <c r="AR1338" s="146"/>
      <c r="AS1338" s="138">
        <f>P_2_minW+(AS1335^2*R_dn)-dpdn_minQ</f>
        <v>50</v>
      </c>
      <c r="AT1338" s="132"/>
      <c r="AU1338" s="146"/>
    </row>
    <row r="1339" spans="13:47" x14ac:dyDescent="0.25">
      <c r="M1339" s="20"/>
      <c r="N1339" s="20"/>
      <c r="O1339" s="7" t="s">
        <v>234</v>
      </c>
      <c r="P1339" s="1"/>
      <c r="Q1339" s="7"/>
      <c r="R1339" s="179">
        <f>'Valve Sizing'!G$8*R1337/P_1_maxW</f>
        <v>0.48489399515692977</v>
      </c>
      <c r="S1339" s="132"/>
      <c r="T1339" s="146"/>
      <c r="U1339" s="143">
        <f>'Valve Sizing'!$G$8*U1337/P_1_maxW</f>
        <v>0.48226188765190409</v>
      </c>
      <c r="V1339" s="132"/>
      <c r="W1339" s="146"/>
      <c r="X1339" s="143">
        <f>'Valve Sizing'!$G$8*X1337/P_1_maxW</f>
        <v>0.46874386751071395</v>
      </c>
      <c r="Y1339" s="132"/>
      <c r="Z1339" s="146"/>
      <c r="AA1339" s="143">
        <f>'Valve Sizing'!$G$8*AA1337/P_1_maxW</f>
        <v>0.42359707646531664</v>
      </c>
      <c r="AB1339" s="132"/>
      <c r="AC1339" s="146"/>
      <c r="AD1339" s="143">
        <f>'Valve Sizing'!$G$8*AD1337/P_1_maxW</f>
        <v>0.31908014065167589</v>
      </c>
      <c r="AE1339" s="132"/>
      <c r="AF1339" s="146"/>
      <c r="AG1339" s="143">
        <f>'Valve Sizing'!$G$8*AG1337/P_1_maxW</f>
        <v>0.15869159686783857</v>
      </c>
      <c r="AH1339" s="132"/>
      <c r="AI1339" s="146"/>
      <c r="AJ1339" s="143">
        <f>'Valve Sizing'!$G$8*AJ1337/P_1_maxW</f>
        <v>-4.1024159257269051E-2</v>
      </c>
      <c r="AK1339" s="132"/>
      <c r="AL1339" s="146"/>
      <c r="AM1339" s="143">
        <f>'Valve Sizing'!$G$8*AM1337/P_1_maxW</f>
        <v>-0.23821602998582767</v>
      </c>
      <c r="AN1339" s="132"/>
      <c r="AO1339" s="146"/>
      <c r="AP1339" s="143">
        <f>'Valve Sizing'!$G$8*AP1337/P_1_maxW</f>
        <v>-0.41517497624799427</v>
      </c>
      <c r="AQ1339" s="132"/>
      <c r="AR1339" s="146"/>
      <c r="AS1339" s="143">
        <f>'Valve Sizing'!$G$8*AS1337/P_1_maxW</f>
        <v>-0.63543858318532465</v>
      </c>
      <c r="AT1339" s="132"/>
      <c r="AU1339" s="146"/>
    </row>
    <row r="1340" spans="13:47" x14ac:dyDescent="0.25">
      <c r="M1340" s="20"/>
      <c r="N1340" s="20"/>
      <c r="O1340" s="7" t="s">
        <v>190</v>
      </c>
      <c r="P1340" s="1"/>
      <c r="Q1340" s="7"/>
      <c r="R1340" s="181">
        <f>R1337-R1338</f>
        <v>50.520707248295679</v>
      </c>
      <c r="S1340" s="132"/>
      <c r="T1340" s="146"/>
      <c r="U1340" s="138">
        <f>U1337-U1338</f>
        <v>49.975059517861126</v>
      </c>
      <c r="V1340" s="132"/>
      <c r="W1340" s="146"/>
      <c r="X1340" s="138">
        <f>X1337-X1338</f>
        <v>47.172713110685322</v>
      </c>
      <c r="Y1340" s="132"/>
      <c r="Z1340" s="146"/>
      <c r="AA1340" s="138">
        <f>AA1337-AA1338</f>
        <v>37.813580163688044</v>
      </c>
      <c r="AB1340" s="132"/>
      <c r="AC1340" s="146"/>
      <c r="AD1340" s="138">
        <f>AD1337-AD1338</f>
        <v>16.146749036996695</v>
      </c>
      <c r="AE1340" s="132"/>
      <c r="AF1340" s="146"/>
      <c r="AG1340" s="138">
        <f>AG1337-AG1338</f>
        <v>-17.102517847526727</v>
      </c>
      <c r="AH1340" s="132"/>
      <c r="AI1340" s="146"/>
      <c r="AJ1340" s="138">
        <f>AJ1337-AJ1338</f>
        <v>-58.504492825226251</v>
      </c>
      <c r="AK1340" s="132"/>
      <c r="AL1340" s="146"/>
      <c r="AM1340" s="138">
        <f>AM1337-AM1338</f>
        <v>-99.383255002584448</v>
      </c>
      <c r="AN1340" s="132"/>
      <c r="AO1340" s="146"/>
      <c r="AP1340" s="138">
        <f>AP1337-AP1338</f>
        <v>-136.06764088867749</v>
      </c>
      <c r="AQ1340" s="132"/>
      <c r="AR1340" s="146"/>
      <c r="AS1340" s="138">
        <f>AS1337-AS1338</f>
        <v>-181.72927780632045</v>
      </c>
      <c r="AT1340" s="132"/>
      <c r="AU1340" s="146"/>
    </row>
    <row r="1341" spans="13:47" ht="14.5" x14ac:dyDescent="0.35">
      <c r="M1341" s="27"/>
      <c r="N1341" s="27"/>
      <c r="O1341" s="2" t="s">
        <v>191</v>
      </c>
      <c r="P1341" s="10"/>
      <c r="Q1341" s="2"/>
      <c r="R1341" s="181">
        <f>R1340/R1337</f>
        <v>0.50259004966513754</v>
      </c>
      <c r="S1341" s="132"/>
      <c r="T1341" s="146"/>
      <c r="U1341" s="138">
        <f>U1340/U1337</f>
        <v>0.49987526648016439</v>
      </c>
      <c r="V1341" s="132"/>
      <c r="W1341" s="146"/>
      <c r="X1341" s="138">
        <f>X1340/X1337</f>
        <v>0.48545225918466312</v>
      </c>
      <c r="Y1341" s="132"/>
      <c r="Z1341" s="146"/>
      <c r="AA1341" s="138">
        <f>AA1340/AA1337</f>
        <v>0.43061198613246393</v>
      </c>
      <c r="AB1341" s="132"/>
      <c r="AC1341" s="146"/>
      <c r="AD1341" s="138">
        <f>AD1340/AD1337</f>
        <v>0.24410495257999179</v>
      </c>
      <c r="AE1341" s="132"/>
      <c r="AF1341" s="146"/>
      <c r="AG1341" s="138">
        <f>AG1340/AG1337</f>
        <v>-0.51987315528464961</v>
      </c>
      <c r="AH1341" s="132"/>
      <c r="AI1341" s="146"/>
      <c r="AJ1341" s="138">
        <f>AJ1340/AJ1337</f>
        <v>6.8792453621324343</v>
      </c>
      <c r="AK1341" s="132"/>
      <c r="AL1341" s="146"/>
      <c r="AM1341" s="138">
        <f>AM1340/AM1337</f>
        <v>2.0124889498957343</v>
      </c>
      <c r="AN1341" s="132"/>
      <c r="AO1341" s="146"/>
      <c r="AP1341" s="138">
        <f>AP1340/AP1337</f>
        <v>1.5809384280053818</v>
      </c>
      <c r="AQ1341" s="132"/>
      <c r="AR1341" s="146"/>
      <c r="AS1341" s="138">
        <f>AS1340/AS1337</f>
        <v>1.3795663411554888</v>
      </c>
      <c r="AT1341" s="132"/>
      <c r="AU1341" s="146"/>
    </row>
    <row r="1342" spans="13:47" x14ac:dyDescent="0.25">
      <c r="M1342" s="27"/>
      <c r="N1342" s="27"/>
      <c r="O1342" s="2" t="s">
        <v>26</v>
      </c>
      <c r="P1342" s="7">
        <v>12</v>
      </c>
      <c r="Q1342" s="2"/>
      <c r="R1342" s="181">
        <f>1-R1341/(3*F_GAMMA*R$29)</f>
        <v>0.73824534289035437</v>
      </c>
      <c r="S1342" s="133"/>
      <c r="T1342" s="146"/>
      <c r="U1342" s="138">
        <f>1-U1341/(3*F_GAMMA*U$29)</f>
        <v>0.73971655363597411</v>
      </c>
      <c r="V1342" s="133"/>
      <c r="W1342" s="146"/>
      <c r="X1342" s="138">
        <f>1-X1341/(3*F_GAMMA*X$29)</f>
        <v>0.74343456344878467</v>
      </c>
      <c r="Y1342" s="133"/>
      <c r="Z1342" s="146"/>
      <c r="AA1342" s="138">
        <f>1-AA1341/(3*F_GAMMA*AA$29)</f>
        <v>0.76929762562212123</v>
      </c>
      <c r="AB1342" s="133"/>
      <c r="AC1342" s="146"/>
      <c r="AD1342" s="138">
        <f>1-AD1341/(3*F_GAMMA*AD$29)</f>
        <v>0.86563391682073543</v>
      </c>
      <c r="AE1342" s="133"/>
      <c r="AF1342" s="146"/>
      <c r="AG1342" s="138">
        <f>1-AG1341/(3*F_GAMMA*AG$29)</f>
        <v>1.3024840852166968</v>
      </c>
      <c r="AH1342" s="133"/>
      <c r="AI1342" s="146"/>
      <c r="AJ1342" s="138">
        <f>1-AJ1341/(3*F_GAMMA*AJ$29)</f>
        <v>-3.2788705699979133</v>
      </c>
      <c r="AK1342" s="133"/>
      <c r="AL1342" s="146"/>
      <c r="AM1342" s="138">
        <f>1-AM1341/(3*F_GAMMA*AM$29)</f>
        <v>-0.3676775622182118</v>
      </c>
      <c r="AN1342" s="133"/>
      <c r="AO1342" s="146"/>
      <c r="AP1342" s="138">
        <f>1-AP1341/(3*F_GAMMA*AP$29)</f>
        <v>0.11212632502027031</v>
      </c>
      <c r="AQ1342" s="133"/>
      <c r="AR1342" s="146"/>
      <c r="AS1342" s="138">
        <f>1-AS1341/(3*F_GAMMA*AS$29)</f>
        <v>-0.17618447908962476</v>
      </c>
      <c r="AT1342" s="133"/>
      <c r="AU1342" s="146"/>
    </row>
    <row r="1343" spans="13:47" x14ac:dyDescent="0.25">
      <c r="M1343" s="27"/>
      <c r="N1343" s="27"/>
      <c r="O1343" s="2" t="s">
        <v>71</v>
      </c>
      <c r="P1343" s="85">
        <v>5</v>
      </c>
      <c r="Q1343" s="2"/>
      <c r="R1343" s="179">
        <f>R1335/((N_6*R$27*R1342)*SQRT(R1341*R1337*R1339))</f>
        <v>0.31225570397385971</v>
      </c>
      <c r="S1343" s="133"/>
      <c r="T1343" s="146"/>
      <c r="U1343" s="143">
        <f>U1335/((N_6*U$27*U1342)*SQRT(U1341*U1337*U1339))</f>
        <v>5.1022250686945707</v>
      </c>
      <c r="V1343" s="133"/>
      <c r="W1343" s="146"/>
      <c r="X1343" s="143">
        <f>X1335/((N_6*X$27*X1342)*SQRT(X1341*X1337*X1339))</f>
        <v>13.136919635249765</v>
      </c>
      <c r="Y1343" s="133"/>
      <c r="Z1343" s="146"/>
      <c r="AA1343" s="143">
        <f>AA1335/((N_6*AA$27*AA1342)*SQRT(AA1341*AA1337*AA1339))</f>
        <v>29.219809210946213</v>
      </c>
      <c r="AB1343" s="133"/>
      <c r="AC1343" s="146"/>
      <c r="AD1343" s="143">
        <f>AD1335/((N_6*AD$27*AD1342)*SQRT(AD1341*AD1337*AD1339))</f>
        <v>76.20067419969736</v>
      </c>
      <c r="AE1343" s="133"/>
      <c r="AF1343" s="146"/>
      <c r="AG1343" s="143" t="e">
        <f>AG1335/((N_6*AG$27*AG1342)*SQRT(AG1341*AG1337*AG1339))</f>
        <v>#NUM!</v>
      </c>
      <c r="AH1343" s="133"/>
      <c r="AI1343" s="146"/>
      <c r="AJ1343" s="143">
        <f>AJ1335/((N_6*AJ$27*AJ1342)*SQRT(AJ1341*AJ1337*AJ1339))</f>
        <v>-55.464712037047605</v>
      </c>
      <c r="AK1343" s="133"/>
      <c r="AL1343" s="146"/>
      <c r="AM1343" s="143">
        <f>AM1335/((N_6*AM$27*AM1342)*SQRT(AM1341*AM1337*AM1339))</f>
        <v>-196.0074088498352</v>
      </c>
      <c r="AN1343" s="133"/>
      <c r="AO1343" s="146"/>
      <c r="AP1343" s="143">
        <f>AP1335/((N_6*AP$27*AP1342)*SQRT(AP1341*AP1337*AP1339))</f>
        <v>527.31527085474647</v>
      </c>
      <c r="AQ1343" s="133"/>
      <c r="AR1343" s="146"/>
      <c r="AS1343" s="143">
        <f>AS1335/((N_6*AS$27*AS1342)*SQRT(AS1341*AS1337*AS1339))</f>
        <v>-344.09359732009671</v>
      </c>
      <c r="AT1343" s="133"/>
      <c r="AU1343" s="146"/>
    </row>
    <row r="1344" spans="13:47" x14ac:dyDescent="0.25">
      <c r="M1344" s="27"/>
      <c r="N1344" s="27"/>
      <c r="O1344" s="2" t="s">
        <v>73</v>
      </c>
      <c r="P1344" s="85">
        <v>5</v>
      </c>
      <c r="Q1344" s="2"/>
      <c r="R1344" s="179">
        <f>R1335/((N_6*R$27*0.667)*SQRT(R1345*R1337*R1339))</f>
        <v>0.30626198882901812</v>
      </c>
      <c r="S1344" s="133"/>
      <c r="T1344" s="147"/>
      <c r="U1344" s="143">
        <f>U1335/((N_6*U$27*0.667)*SQRT(U1345*U1337*U1339))</f>
        <v>5.0001498223153167</v>
      </c>
      <c r="V1344" s="133"/>
      <c r="W1344" s="155"/>
      <c r="X1344" s="143">
        <f>X1335/((N_6*X$27*0.667)*SQRT(X1345*X1337*X1339))</f>
        <v>12.846066315309766</v>
      </c>
      <c r="Y1344" s="133"/>
      <c r="Z1344" s="155"/>
      <c r="AA1344" s="143">
        <f>AA1335/((N_6*AA$27*0.667)*SQRT(AA1345*AA1337*AA1339))</f>
        <v>28.037067906819054</v>
      </c>
      <c r="AB1344" s="133"/>
      <c r="AC1344" s="155"/>
      <c r="AD1344" s="143">
        <f>AD1335/((N_6*AD$27*0.667)*SQRT(AD1345*AD1337*AD1339))</f>
        <v>62.787429055497832</v>
      </c>
      <c r="AE1344" s="133"/>
      <c r="AF1344" s="155"/>
      <c r="AG1344" s="143">
        <f>AG1335/((N_6*AG$27*0.667)*SQRT(AG1345*AG1337*AG1339))</f>
        <v>185.97818748506057</v>
      </c>
      <c r="AH1344" s="133"/>
      <c r="AI1344" s="155"/>
      <c r="AJ1344" s="143">
        <f>AJ1335/((N_6*AJ$27*0.667)*SQRT(AJ1345*AJ1337*AJ1339))</f>
        <v>976.87816988299267</v>
      </c>
      <c r="AK1344" s="133"/>
      <c r="AL1344" s="155"/>
      <c r="AM1344" s="143">
        <f>AM1335/((N_6*AM$27*0.667)*SQRT(AM1345*AM1337*AM1339))</f>
        <v>218.85993681675259</v>
      </c>
      <c r="AN1344" s="133"/>
      <c r="AO1344" s="155"/>
      <c r="AP1344" s="143">
        <f>AP1335/((N_6*AP$27*0.667)*SQRT(AP1345*AP1337*AP1339))</f>
        <v>144.67327739312069</v>
      </c>
      <c r="AQ1344" s="133"/>
      <c r="AR1344" s="155"/>
      <c r="AS1344" s="143">
        <f>AS1335/((N_6*AS$27*0.667)*SQRT(AS1345*AS1337*AS1339))</f>
        <v>170.7327178788413</v>
      </c>
      <c r="AT1344" s="133"/>
      <c r="AU1344" s="155"/>
    </row>
    <row r="1345" spans="13:47" ht="15.5" x14ac:dyDescent="0.4">
      <c r="M1345" s="27"/>
      <c r="N1345" s="27"/>
      <c r="O1345" s="2" t="s">
        <v>192</v>
      </c>
      <c r="P1345" s="85">
        <v>10</v>
      </c>
      <c r="Q1345" s="2"/>
      <c r="R1345" s="181">
        <f>F_GAMMA*R$29</f>
        <v>0.64002688015162901</v>
      </c>
      <c r="S1345" s="133"/>
      <c r="T1345" s="147"/>
      <c r="U1345" s="138">
        <f>F_GAMMA*U$29</f>
        <v>0.64016782916606918</v>
      </c>
      <c r="V1345" s="133"/>
      <c r="W1345" s="155"/>
      <c r="X1345" s="138">
        <f>F_GAMMA*X$29</f>
        <v>0.6307062319203669</v>
      </c>
      <c r="Y1345" s="133"/>
      <c r="Z1345" s="155"/>
      <c r="AA1345" s="138">
        <f>F_GAMMA*AA$29</f>
        <v>0.62217534213893466</v>
      </c>
      <c r="AB1345" s="133"/>
      <c r="AC1345" s="155"/>
      <c r="AD1345" s="138">
        <f>F_GAMMA*AD$29</f>
        <v>0.60557184969146072</v>
      </c>
      <c r="AE1345" s="133"/>
      <c r="AF1345" s="155"/>
      <c r="AG1345" s="138">
        <f>F_GAMMA*AG$29</f>
        <v>0.57289312142622573</v>
      </c>
      <c r="AH1345" s="133"/>
      <c r="AI1345" s="155"/>
      <c r="AJ1345" s="138">
        <f>F_GAMMA*AJ$29</f>
        <v>0.53590819116049981</v>
      </c>
      <c r="AK1345" s="133"/>
      <c r="AL1345" s="155"/>
      <c r="AM1345" s="138">
        <f>F_GAMMA*AM$29</f>
        <v>0.49048815926850342</v>
      </c>
      <c r="AN1345" s="133"/>
      <c r="AO1345" s="155"/>
      <c r="AP1345" s="138">
        <f>F_GAMMA*AP$29</f>
        <v>0.59352979016280105</v>
      </c>
      <c r="AQ1345" s="133"/>
      <c r="AR1345" s="155"/>
      <c r="AS1345" s="138">
        <f>F_GAMMA*AS$29</f>
        <v>0.39097221161068291</v>
      </c>
      <c r="AT1345" s="133"/>
      <c r="AU1345" s="155"/>
    </row>
    <row r="1346" spans="13:47" x14ac:dyDescent="0.25">
      <c r="M1346" s="27"/>
      <c r="N1346" s="27"/>
      <c r="O1346" s="2" t="s">
        <v>193</v>
      </c>
      <c r="P1346" s="134"/>
      <c r="Q1346" s="2"/>
      <c r="R1346" s="181">
        <f>IF(R1341&lt;R1345,R1343,R1344)</f>
        <v>0.31225570397385971</v>
      </c>
      <c r="S1346" s="133"/>
      <c r="T1346" s="147"/>
      <c r="U1346" s="138">
        <f>IF(U1341&lt;U1345,U1343,U1344)</f>
        <v>5.1022250686945707</v>
      </c>
      <c r="V1346" s="133"/>
      <c r="W1346" s="155"/>
      <c r="X1346" s="138">
        <f>IF(X1341&lt;X1345,X1343,X1344)</f>
        <v>13.136919635249765</v>
      </c>
      <c r="Y1346" s="133"/>
      <c r="Z1346" s="155"/>
      <c r="AA1346" s="138">
        <f>IF(AA1341&lt;AA1345,AA1343,AA1344)</f>
        <v>29.219809210946213</v>
      </c>
      <c r="AB1346" s="133"/>
      <c r="AC1346" s="155"/>
      <c r="AD1346" s="138">
        <f>IF(AD1341&lt;AD1345,AD1343,AD1344)</f>
        <v>76.20067419969736</v>
      </c>
      <c r="AE1346" s="133"/>
      <c r="AF1346" s="155"/>
      <c r="AG1346" s="138" t="e">
        <f>IF(AG1341&lt;AG1345,AG1343,AG1344)</f>
        <v>#NUM!</v>
      </c>
      <c r="AH1346" s="133"/>
      <c r="AI1346" s="155"/>
      <c r="AJ1346" s="138">
        <f>IF(AJ1341&lt;AJ1345,AJ1343,AJ1344)</f>
        <v>976.87816988299267</v>
      </c>
      <c r="AK1346" s="133"/>
      <c r="AL1346" s="155"/>
      <c r="AM1346" s="138">
        <f>IF(AM1341&lt;AM1345,AM1343,AM1344)</f>
        <v>218.85993681675259</v>
      </c>
      <c r="AN1346" s="133"/>
      <c r="AO1346" s="155"/>
      <c r="AP1346" s="138">
        <f>IF(AP1341&lt;AP1345,AP1343,AP1344)</f>
        <v>144.67327739312069</v>
      </c>
      <c r="AQ1346" s="133"/>
      <c r="AR1346" s="155"/>
      <c r="AS1346" s="138">
        <f>IF(AS1341&lt;AS1345,AS1343,AS1344)</f>
        <v>170.7327178788413</v>
      </c>
      <c r="AT1346" s="133"/>
      <c r="AU1346" s="155"/>
    </row>
    <row r="1347" spans="13:47" ht="13" x14ac:dyDescent="0.3">
      <c r="M1347" s="28"/>
      <c r="N1347" s="28"/>
      <c r="O1347" s="9" t="s">
        <v>194</v>
      </c>
      <c r="P1347" s="1"/>
      <c r="Q1347" s="1"/>
      <c r="R1347" s="135"/>
      <c r="S1347" s="132">
        <f>IF(R1340&lt;=0,W_max,ABS(R$23-R1346))</f>
        <v>1.6877442960261404</v>
      </c>
      <c r="T1347" s="151">
        <f>R1335</f>
        <v>72.21400979411915</v>
      </c>
      <c r="U1347" s="135"/>
      <c r="V1347" s="132">
        <f>IF(U1340&lt;=0,W_max,ABS(U$23-U1346))</f>
        <v>0.10222506869457071</v>
      </c>
      <c r="W1347" s="151">
        <f>U1335</f>
        <v>1171.9939449872631</v>
      </c>
      <c r="X1347" s="135"/>
      <c r="Y1347" s="132">
        <f>IF(X1340&lt;=0,W_max,ABS(X$23-X1346))</f>
        <v>3.1369196352497646</v>
      </c>
      <c r="Z1347" s="151">
        <f>X1335</f>
        <v>2898.4804948678475</v>
      </c>
      <c r="AA1347" s="135"/>
      <c r="AB1347" s="132">
        <f>IF(AA1340&lt;=0,W_max,ABS(AA$23-AA1346))</f>
        <v>12.019809210946214</v>
      </c>
      <c r="AC1347" s="151">
        <f>AA1335</f>
        <v>5645.5001801505832</v>
      </c>
      <c r="AD1347" s="135"/>
      <c r="AE1347" s="132">
        <f>IF(AD1340&lt;=0,W_max,ABS(AD$23-AD1346))</f>
        <v>49.600674199697359</v>
      </c>
      <c r="AF1347" s="151">
        <f>AD1335</f>
        <v>9284.7692465010186</v>
      </c>
      <c r="AG1347" s="135"/>
      <c r="AH1347" s="132">
        <f>IF(AG1340&lt;=0,W_max,ABS(AG$23-AG1346))</f>
        <v>7174</v>
      </c>
      <c r="AI1347" s="151">
        <f>AG1335</f>
        <v>13022.603667037331</v>
      </c>
      <c r="AJ1347" s="135"/>
      <c r="AK1347" s="132">
        <f>IF(AJ1340&lt;=0,W_max,ABS(AJ$23-AJ1346))</f>
        <v>7174</v>
      </c>
      <c r="AL1347" s="151">
        <f>AJ1335</f>
        <v>16535.251090136069</v>
      </c>
      <c r="AM1347" s="135"/>
      <c r="AN1347" s="132">
        <f>IF(AM1340&lt;=0,W_max,ABS(AM$23-AM1346))</f>
        <v>7174</v>
      </c>
      <c r="AO1347" s="151">
        <f>AM1335</f>
        <v>19388.882316744857</v>
      </c>
      <c r="AP1347" s="135"/>
      <c r="AQ1347" s="132">
        <f>IF(AP1340&lt;=0,W_max,ABS(AP$23-AP1346))</f>
        <v>7174</v>
      </c>
      <c r="AR1347" s="151">
        <f>AP1335</f>
        <v>21631.56227801113</v>
      </c>
      <c r="AS1347" s="135"/>
      <c r="AT1347" s="132">
        <f>IF(AS1340&lt;=0,W_max,ABS(AS$23-AS1346))</f>
        <v>7174</v>
      </c>
      <c r="AU1347" s="151">
        <f>AS1335</f>
        <v>24133.649322496516</v>
      </c>
    </row>
    <row r="1348" spans="13:47" ht="13" x14ac:dyDescent="0.25">
      <c r="M1348" s="12"/>
      <c r="N1348" s="12"/>
      <c r="O1348" s="12"/>
      <c r="P1348" s="12"/>
      <c r="Q1348" s="12"/>
      <c r="R1348" s="182"/>
      <c r="S1348" s="22"/>
      <c r="T1348" s="152"/>
      <c r="U1348" s="157"/>
      <c r="V1348" s="1"/>
      <c r="W1348" s="147"/>
      <c r="X1348" s="157"/>
      <c r="Y1348" s="1"/>
      <c r="Z1348" s="147"/>
      <c r="AA1348" s="157"/>
      <c r="AB1348" s="1"/>
      <c r="AC1348" s="147"/>
      <c r="AD1348" s="157"/>
      <c r="AE1348" s="1"/>
      <c r="AF1348" s="147"/>
      <c r="AG1348" s="157"/>
      <c r="AH1348" s="1"/>
      <c r="AI1348" s="147"/>
      <c r="AJ1348" s="157"/>
      <c r="AK1348" s="1"/>
      <c r="AL1348" s="147"/>
      <c r="AM1348" s="157"/>
      <c r="AN1348" s="1"/>
      <c r="AO1348" s="147"/>
      <c r="AP1348" s="157"/>
      <c r="AQ1348" s="1"/>
      <c r="AR1348" s="147"/>
      <c r="AS1348" s="157"/>
      <c r="AT1348" s="1"/>
      <c r="AU1348" s="147"/>
    </row>
    <row r="1349" spans="13:47" ht="14" x14ac:dyDescent="0.3">
      <c r="M1349" s="23"/>
      <c r="N1349" s="23"/>
      <c r="O1349" s="23" t="s">
        <v>238</v>
      </c>
      <c r="P1349" s="20"/>
      <c r="Q1349" s="20"/>
      <c r="R1349" s="18">
        <f>R1335*1.02</f>
        <v>73.658289990001535</v>
      </c>
      <c r="S1349" s="128" t="s">
        <v>185</v>
      </c>
      <c r="T1349" s="153" t="s">
        <v>186</v>
      </c>
      <c r="U1349" s="143">
        <f>U1335*1.01</f>
        <v>1183.7138844371359</v>
      </c>
      <c r="V1349" s="128" t="s">
        <v>185</v>
      </c>
      <c r="W1349" s="153" t="s">
        <v>186</v>
      </c>
      <c r="X1349" s="143">
        <f>X1335*1.01</f>
        <v>2927.4652998165261</v>
      </c>
      <c r="Y1349" s="128" t="s">
        <v>185</v>
      </c>
      <c r="Z1349" s="153" t="s">
        <v>186</v>
      </c>
      <c r="AA1349" s="143">
        <f>AA1335*1.01</f>
        <v>5701.9551819520893</v>
      </c>
      <c r="AB1349" s="128" t="s">
        <v>185</v>
      </c>
      <c r="AC1349" s="153" t="s">
        <v>186</v>
      </c>
      <c r="AD1349" s="143">
        <f>AD1335*1.01</f>
        <v>9377.6169389660281</v>
      </c>
      <c r="AE1349" s="128" t="s">
        <v>185</v>
      </c>
      <c r="AF1349" s="153" t="s">
        <v>186</v>
      </c>
      <c r="AG1349" s="143">
        <f>AG1335*1.01</f>
        <v>13152.829703707705</v>
      </c>
      <c r="AH1349" s="128" t="s">
        <v>185</v>
      </c>
      <c r="AI1349" s="153" t="s">
        <v>186</v>
      </c>
      <c r="AJ1349" s="143">
        <f>AJ1335*1.01</f>
        <v>16700.60360103743</v>
      </c>
      <c r="AK1349" s="128" t="s">
        <v>185</v>
      </c>
      <c r="AL1349" s="153" t="s">
        <v>186</v>
      </c>
      <c r="AM1349" s="143">
        <f>AM1335*1.01</f>
        <v>19582.771139912307</v>
      </c>
      <c r="AN1349" s="128" t="s">
        <v>185</v>
      </c>
      <c r="AO1349" s="153" t="s">
        <v>186</v>
      </c>
      <c r="AP1349" s="143">
        <f>AP1335*1.01</f>
        <v>21847.877900791242</v>
      </c>
      <c r="AQ1349" s="128" t="s">
        <v>185</v>
      </c>
      <c r="AR1349" s="153" t="s">
        <v>186</v>
      </c>
      <c r="AS1349" s="143">
        <f>AS1335*1.01</f>
        <v>24374.98581572148</v>
      </c>
      <c r="AT1349" s="128" t="s">
        <v>185</v>
      </c>
      <c r="AU1349" s="153" t="s">
        <v>186</v>
      </c>
    </row>
    <row r="1350" spans="13:47" ht="14" x14ac:dyDescent="0.3">
      <c r="M1350" s="12"/>
      <c r="N1350" s="12"/>
      <c r="O1350" s="20"/>
      <c r="P1350" s="20"/>
      <c r="Q1350" s="23"/>
      <c r="R1350" s="139"/>
      <c r="S1350" s="130" t="s">
        <v>228</v>
      </c>
      <c r="T1350" s="154" t="s">
        <v>187</v>
      </c>
      <c r="U1350" s="144"/>
      <c r="V1350" s="130" t="s">
        <v>228</v>
      </c>
      <c r="W1350" s="154" t="s">
        <v>187</v>
      </c>
      <c r="X1350" s="144"/>
      <c r="Y1350" s="130" t="s">
        <v>228</v>
      </c>
      <c r="Z1350" s="154" t="s">
        <v>187</v>
      </c>
      <c r="AA1350" s="144"/>
      <c r="AB1350" s="130" t="s">
        <v>228</v>
      </c>
      <c r="AC1350" s="154" t="s">
        <v>187</v>
      </c>
      <c r="AD1350" s="144"/>
      <c r="AE1350" s="130" t="s">
        <v>228</v>
      </c>
      <c r="AF1350" s="154" t="s">
        <v>187</v>
      </c>
      <c r="AG1350" s="144"/>
      <c r="AH1350" s="130" t="s">
        <v>228</v>
      </c>
      <c r="AI1350" s="154" t="s">
        <v>187</v>
      </c>
      <c r="AJ1350" s="144"/>
      <c r="AK1350" s="130" t="s">
        <v>228</v>
      </c>
      <c r="AL1350" s="154" t="s">
        <v>187</v>
      </c>
      <c r="AM1350" s="144"/>
      <c r="AN1350" s="130" t="s">
        <v>228</v>
      </c>
      <c r="AO1350" s="154" t="s">
        <v>187</v>
      </c>
      <c r="AP1350" s="144"/>
      <c r="AQ1350" s="130" t="s">
        <v>228</v>
      </c>
      <c r="AR1350" s="154" t="s">
        <v>187</v>
      </c>
      <c r="AS1350" s="144"/>
      <c r="AT1350" s="130" t="s">
        <v>228</v>
      </c>
      <c r="AU1350" s="154" t="s">
        <v>187</v>
      </c>
    </row>
    <row r="1351" spans="13:47" x14ac:dyDescent="0.25">
      <c r="M1351" s="20"/>
      <c r="N1351" s="20"/>
      <c r="O1351" s="7" t="s">
        <v>188</v>
      </c>
      <c r="P1351" s="7"/>
      <c r="Q1351" s="7"/>
      <c r="R1351" s="181">
        <f>P_1_minW-(R1349^2*R_up)+dpup_minQ</f>
        <v>100.52062323696306</v>
      </c>
      <c r="S1351" s="132"/>
      <c r="T1351" s="145"/>
      <c r="U1351" s="138">
        <f>P_1_minW-(U1349^2*R_up)+dpup_minQ</f>
        <v>99.964050200761932</v>
      </c>
      <c r="V1351" s="132"/>
      <c r="W1351" s="145"/>
      <c r="X1351" s="138">
        <f>P_1_minW-(X1349^2*R_up)+dpup_minQ</f>
        <v>97.105376630801885</v>
      </c>
      <c r="Y1351" s="132"/>
      <c r="Z1351" s="145"/>
      <c r="AA1351" s="138">
        <f>P_1_minW-(AA1349^2*R_up)+dpup_minQ</f>
        <v>87.558125111569964</v>
      </c>
      <c r="AB1351" s="132"/>
      <c r="AC1351" s="145"/>
      <c r="AD1351" s="138">
        <f>P_1_minW-(AD1349^2*R_up)+dpup_minQ</f>
        <v>65.455790679232138</v>
      </c>
      <c r="AE1351" s="132"/>
      <c r="AF1351" s="145"/>
      <c r="AG1351" s="138">
        <f>P_1_minW-(AG1349^2*R_up)+dpup_minQ</f>
        <v>31.53821353032977</v>
      </c>
      <c r="AH1351" s="132"/>
      <c r="AI1351" s="145"/>
      <c r="AJ1351" s="138">
        <f>P_1_minW-(AJ1349^2*R_up)+dpup_minQ</f>
        <v>-10.695941144421511</v>
      </c>
      <c r="AK1351" s="132"/>
      <c r="AL1351" s="145"/>
      <c r="AM1351" s="138">
        <f>P_1_minW-(AM1349^2*R_up)+dpup_minQ</f>
        <v>-52.3963664415446</v>
      </c>
      <c r="AN1351" s="132"/>
      <c r="AO1351" s="145"/>
      <c r="AP1351" s="138">
        <f>P_1_minW-(AP1349^2*R_up)+dpup_minQ</f>
        <v>-89.81810848394808</v>
      </c>
      <c r="AQ1351" s="132"/>
      <c r="AR1351" s="145"/>
      <c r="AS1351" s="138">
        <f>P_1_minW-(AS1349^2*R_up)+dpup_minQ</f>
        <v>-136.3975443036357</v>
      </c>
      <c r="AT1351" s="132"/>
      <c r="AU1351" s="145"/>
    </row>
    <row r="1352" spans="13:47" x14ac:dyDescent="0.25">
      <c r="M1352" s="20"/>
      <c r="N1352" s="20"/>
      <c r="O1352" s="7" t="s">
        <v>189</v>
      </c>
      <c r="P1352" s="1"/>
      <c r="Q1352" s="7"/>
      <c r="R1352" s="181">
        <f>P_2_minW+(R1349^2*R_dn)-dpdn_minQ</f>
        <v>50</v>
      </c>
      <c r="S1352" s="132"/>
      <c r="T1352" s="146"/>
      <c r="U1352" s="138">
        <f>P_2_minW+(U1349^2*R_dn)-dpdn_minQ</f>
        <v>50</v>
      </c>
      <c r="V1352" s="132"/>
      <c r="W1352" s="146"/>
      <c r="X1352" s="138">
        <f>P_2_minW+(X1349^2*R_dn)-dpdn_minQ</f>
        <v>50</v>
      </c>
      <c r="Y1352" s="132"/>
      <c r="Z1352" s="146"/>
      <c r="AA1352" s="138">
        <f>P_2_minW+(AA1349^2*R_dn)-dpdn_minQ</f>
        <v>50</v>
      </c>
      <c r="AB1352" s="132"/>
      <c r="AC1352" s="146"/>
      <c r="AD1352" s="138">
        <f>P_2_minW+(AD1349^2*R_dn)-dpdn_minQ</f>
        <v>50</v>
      </c>
      <c r="AE1352" s="132"/>
      <c r="AF1352" s="146"/>
      <c r="AG1352" s="138">
        <f>P_2_minW+(AG1349^2*R_dn)-dpdn_minQ</f>
        <v>50</v>
      </c>
      <c r="AH1352" s="132"/>
      <c r="AI1352" s="146"/>
      <c r="AJ1352" s="138">
        <f>P_2_minW+(AJ1349^2*R_dn)-dpdn_minQ</f>
        <v>50</v>
      </c>
      <c r="AK1352" s="132"/>
      <c r="AL1352" s="146"/>
      <c r="AM1352" s="138">
        <f>P_2_minW+(AM1349^2*R_dn)-dpdn_minQ</f>
        <v>50</v>
      </c>
      <c r="AN1352" s="132"/>
      <c r="AO1352" s="146"/>
      <c r="AP1352" s="138">
        <f>P_2_minW+(AP1349^2*R_dn)-dpdn_minQ</f>
        <v>50</v>
      </c>
      <c r="AQ1352" s="132"/>
      <c r="AR1352" s="146"/>
      <c r="AS1352" s="138">
        <f>P_2_minW+(AS1349^2*R_dn)-dpdn_minQ</f>
        <v>50</v>
      </c>
      <c r="AT1352" s="132"/>
      <c r="AU1352" s="146"/>
    </row>
    <row r="1353" spans="13:47" x14ac:dyDescent="0.25">
      <c r="M1353" s="20"/>
      <c r="N1353" s="20"/>
      <c r="O1353" s="7" t="s">
        <v>234</v>
      </c>
      <c r="P1353" s="1"/>
      <c r="Q1353" s="7"/>
      <c r="R1353" s="179">
        <f>'Valve Sizing'!G$8*R1351/P_1_maxW</f>
        <v>0.48489358990121845</v>
      </c>
      <c r="S1353" s="132"/>
      <c r="T1353" s="146"/>
      <c r="U1353" s="143">
        <f>'Valve Sizing'!$G$8*U1351/P_1_maxW</f>
        <v>0.48220878066630568</v>
      </c>
      <c r="V1353" s="132"/>
      <c r="W1353" s="146"/>
      <c r="X1353" s="143">
        <f>'Valve Sizing'!$G$8*X1351/P_1_maxW</f>
        <v>0.46841904832027759</v>
      </c>
      <c r="Y1353" s="132"/>
      <c r="Z1353" s="146"/>
      <c r="AA1353" s="143">
        <f>'Valve Sizing'!$G$8*AA1351/P_1_maxW</f>
        <v>0.42236480677486776</v>
      </c>
      <c r="AB1353" s="132"/>
      <c r="AC1353" s="146"/>
      <c r="AD1353" s="143">
        <f>'Valve Sizing'!$G$8*AD1351/P_1_maxW</f>
        <v>0.31574708055137296</v>
      </c>
      <c r="AE1353" s="132"/>
      <c r="AF1353" s="146"/>
      <c r="AG1353" s="143">
        <f>'Valve Sizing'!$G$8*AG1351/P_1_maxW</f>
        <v>0.15213472703748038</v>
      </c>
      <c r="AH1353" s="132"/>
      <c r="AI1353" s="146"/>
      <c r="AJ1353" s="143">
        <f>'Valve Sizing'!$G$8*AJ1351/P_1_maxW</f>
        <v>-5.1595315785741891E-2</v>
      </c>
      <c r="AK1353" s="132"/>
      <c r="AL1353" s="146"/>
      <c r="AM1353" s="143">
        <f>'Valve Sizing'!$G$8*AM1351/P_1_maxW</f>
        <v>-0.25275074311594448</v>
      </c>
      <c r="AN1353" s="132"/>
      <c r="AO1353" s="146"/>
      <c r="AP1353" s="143">
        <f>'Valve Sizing'!$G$8*AP1351/P_1_maxW</f>
        <v>-0.4332665641979806</v>
      </c>
      <c r="AQ1353" s="132"/>
      <c r="AR1353" s="146"/>
      <c r="AS1353" s="143">
        <f>'Valve Sizing'!$G$8*AS1351/P_1_maxW</f>
        <v>-0.65795746963475144</v>
      </c>
      <c r="AT1353" s="132"/>
      <c r="AU1353" s="146"/>
    </row>
    <row r="1354" spans="13:47" x14ac:dyDescent="0.25">
      <c r="M1354" s="20"/>
      <c r="N1354" s="20"/>
      <c r="O1354" s="7" t="s">
        <v>190</v>
      </c>
      <c r="P1354" s="1"/>
      <c r="Q1354" s="7"/>
      <c r="R1354" s="181">
        <f>R1351-R1352</f>
        <v>50.520623236963061</v>
      </c>
      <c r="S1354" s="132"/>
      <c r="T1354" s="146"/>
      <c r="U1354" s="138">
        <f>U1351-U1352</f>
        <v>49.964050200761932</v>
      </c>
      <c r="V1354" s="132"/>
      <c r="W1354" s="146"/>
      <c r="X1354" s="138">
        <f>X1351-X1352</f>
        <v>47.105376630801885</v>
      </c>
      <c r="Y1354" s="132"/>
      <c r="Z1354" s="146"/>
      <c r="AA1354" s="138">
        <f>AA1351-AA1352</f>
        <v>37.558125111569964</v>
      </c>
      <c r="AB1354" s="132"/>
      <c r="AC1354" s="146"/>
      <c r="AD1354" s="138">
        <f>AD1351-AD1352</f>
        <v>15.455790679232138</v>
      </c>
      <c r="AE1354" s="132"/>
      <c r="AF1354" s="146"/>
      <c r="AG1354" s="138">
        <f>AG1351-AG1352</f>
        <v>-18.46178646967023</v>
      </c>
      <c r="AH1354" s="132"/>
      <c r="AI1354" s="146"/>
      <c r="AJ1354" s="138">
        <f>AJ1351-AJ1352</f>
        <v>-60.695941144421511</v>
      </c>
      <c r="AK1354" s="132"/>
      <c r="AL1354" s="146"/>
      <c r="AM1354" s="138">
        <f>AM1351-AM1352</f>
        <v>-102.3963664415446</v>
      </c>
      <c r="AN1354" s="132"/>
      <c r="AO1354" s="146"/>
      <c r="AP1354" s="138">
        <f>AP1351-AP1352</f>
        <v>-139.81810848394809</v>
      </c>
      <c r="AQ1354" s="132"/>
      <c r="AR1354" s="146"/>
      <c r="AS1354" s="138">
        <f>AS1351-AS1352</f>
        <v>-186.3975443036357</v>
      </c>
      <c r="AT1354" s="132"/>
      <c r="AU1354" s="146"/>
    </row>
    <row r="1355" spans="13:47" ht="14.5" x14ac:dyDescent="0.35">
      <c r="M1355" s="27"/>
      <c r="N1355" s="27"/>
      <c r="O1355" s="2" t="s">
        <v>191</v>
      </c>
      <c r="P1355" s="10"/>
      <c r="Q1355" s="2"/>
      <c r="R1355" s="181">
        <f>R1354/R1351</f>
        <v>0.50258963394872591</v>
      </c>
      <c r="S1355" s="132"/>
      <c r="T1355" s="146"/>
      <c r="U1355" s="138">
        <f>U1354/U1351</f>
        <v>0.49982018636116748</v>
      </c>
      <c r="V1355" s="132"/>
      <c r="W1355" s="146"/>
      <c r="X1355" s="138">
        <f>X1354/X1351</f>
        <v>0.48509545264314469</v>
      </c>
      <c r="Y1355" s="132"/>
      <c r="Z1355" s="146"/>
      <c r="AA1355" s="138">
        <f>AA1354/AA1351</f>
        <v>0.42895076914577535</v>
      </c>
      <c r="AB1355" s="132"/>
      <c r="AC1355" s="146"/>
      <c r="AD1355" s="138">
        <f>AD1354/AD1351</f>
        <v>0.23612564326009985</v>
      </c>
      <c r="AE1355" s="132"/>
      <c r="AF1355" s="146"/>
      <c r="AG1355" s="138">
        <f>AG1354/AG1351</f>
        <v>-0.58537832055439154</v>
      </c>
      <c r="AH1355" s="132"/>
      <c r="AI1355" s="146"/>
      <c r="AJ1355" s="138">
        <f>AJ1354/AJ1351</f>
        <v>5.6746704497413578</v>
      </c>
      <c r="AK1355" s="132"/>
      <c r="AL1355" s="146"/>
      <c r="AM1355" s="138">
        <f>AM1354/AM1351</f>
        <v>1.9542646445871761</v>
      </c>
      <c r="AN1355" s="132"/>
      <c r="AO1355" s="146"/>
      <c r="AP1355" s="138">
        <f>AP1354/AP1351</f>
        <v>1.5566806164587157</v>
      </c>
      <c r="AQ1355" s="132"/>
      <c r="AR1355" s="146"/>
      <c r="AS1355" s="138">
        <f>AS1354/AS1351</f>
        <v>1.3665755146492564</v>
      </c>
      <c r="AT1355" s="132"/>
      <c r="AU1355" s="146"/>
    </row>
    <row r="1356" spans="13:47" x14ac:dyDescent="0.25">
      <c r="M1356" s="27"/>
      <c r="N1356" s="27"/>
      <c r="O1356" s="2" t="s">
        <v>26</v>
      </c>
      <c r="P1356" s="7">
        <v>12</v>
      </c>
      <c r="Q1356" s="2"/>
      <c r="R1356" s="181">
        <f>1-R1355/(3*F_GAMMA*R$29)</f>
        <v>0.7382455594002254</v>
      </c>
      <c r="S1356" s="133"/>
      <c r="T1356" s="146"/>
      <c r="U1356" s="138">
        <f>1-U1355/(3*F_GAMMA*U$29)</f>
        <v>0.73974523367709644</v>
      </c>
      <c r="V1356" s="133"/>
      <c r="W1356" s="146"/>
      <c r="X1356" s="138">
        <f>1-X1355/(3*F_GAMMA*X$29)</f>
        <v>0.74362313858538553</v>
      </c>
      <c r="Y1356" s="133"/>
      <c r="Z1356" s="146"/>
      <c r="AA1356" s="138">
        <f>1-AA1355/(3*F_GAMMA*AA$29)</f>
        <v>0.7701876303491797</v>
      </c>
      <c r="AB1356" s="133"/>
      <c r="AC1356" s="146"/>
      <c r="AD1356" s="138">
        <f>1-AD1355/(3*F_GAMMA*AD$29)</f>
        <v>0.8700260789971187</v>
      </c>
      <c r="AE1356" s="133"/>
      <c r="AF1356" s="146"/>
      <c r="AG1356" s="138">
        <f>1-AG1355/(3*F_GAMMA*AG$29)</f>
        <v>1.3405977477364268</v>
      </c>
      <c r="AH1356" s="133"/>
      <c r="AI1356" s="146"/>
      <c r="AJ1356" s="138">
        <f>1-AJ1355/(3*F_GAMMA*AJ$29)</f>
        <v>-2.5296284844691765</v>
      </c>
      <c r="AK1356" s="133"/>
      <c r="AL1356" s="146"/>
      <c r="AM1356" s="138">
        <f>1-AM1355/(3*F_GAMMA*AM$29)</f>
        <v>-0.32810861156614313</v>
      </c>
      <c r="AN1356" s="133"/>
      <c r="AO1356" s="146"/>
      <c r="AP1356" s="138">
        <f>1-AP1355/(3*F_GAMMA*AP$29)</f>
        <v>0.12574979820769727</v>
      </c>
      <c r="AQ1356" s="133"/>
      <c r="AR1356" s="146"/>
      <c r="AS1356" s="138">
        <f>1-AS1355/(3*F_GAMMA*AS$29)</f>
        <v>-0.16510881853503423</v>
      </c>
      <c r="AT1356" s="133"/>
      <c r="AU1356" s="146"/>
    </row>
    <row r="1357" spans="13:47" x14ac:dyDescent="0.25">
      <c r="M1357" s="27"/>
      <c r="N1357" s="27"/>
      <c r="O1357" s="2" t="s">
        <v>71</v>
      </c>
      <c r="P1357" s="85">
        <v>5</v>
      </c>
      <c r="Q1357" s="2"/>
      <c r="R1357" s="179">
        <f>R1349/((N_6*R$27*R1356)*SQRT(R1355*R1351*R1353))</f>
        <v>0.31850112255929969</v>
      </c>
      <c r="S1357" s="133"/>
      <c r="T1357" s="146"/>
      <c r="U1357" s="143">
        <f>U1349/((N_6*U$27*U1356)*SQRT(U1355*U1351*U1353))</f>
        <v>5.1538990025510714</v>
      </c>
      <c r="V1357" s="133"/>
      <c r="W1357" s="146"/>
      <c r="X1357" s="143">
        <f>X1349/((N_6*X$27*X1356)*SQRT(X1355*X1351*X1353))</f>
        <v>13.279003441467168</v>
      </c>
      <c r="Y1357" s="133"/>
      <c r="Z1357" s="146"/>
      <c r="AA1357" s="143">
        <f>AA1349/((N_6*AA$27*AA1356)*SQRT(AA1355*AA1351*AA1353))</f>
        <v>29.621098777771412</v>
      </c>
      <c r="AB1357" s="133"/>
      <c r="AC1357" s="146"/>
      <c r="AD1357" s="143">
        <f>AD1349/((N_6*AD$27*AD1356)*SQRT(AD1355*AD1351*AD1353))</f>
        <v>78.679090457580273</v>
      </c>
      <c r="AE1357" s="133"/>
      <c r="AF1357" s="146"/>
      <c r="AG1357" s="143" t="e">
        <f>AG1349/((N_6*AG$27*AG1356)*SQRT(AG1355*AG1351*AG1353))</f>
        <v>#NUM!</v>
      </c>
      <c r="AH1357" s="133"/>
      <c r="AI1357" s="146"/>
      <c r="AJ1357" s="143">
        <f>AJ1349/((N_6*AJ$27*AJ1356)*SQRT(AJ1355*AJ1351*AJ1353))</f>
        <v>-63.567503968976119</v>
      </c>
      <c r="AK1357" s="133"/>
      <c r="AL1357" s="146"/>
      <c r="AM1357" s="143">
        <f>AM1349/((N_6*AM$27*AM1356)*SQRT(AM1355*AM1351*AM1353))</f>
        <v>-212.17634597578817</v>
      </c>
      <c r="AN1357" s="133"/>
      <c r="AO1357" s="146"/>
      <c r="AP1357" s="143">
        <f>AP1349/((N_6*AP$27*AP1356)*SQRT(AP1355*AP1351*AP1353))</f>
        <v>458.59121106144238</v>
      </c>
      <c r="AQ1357" s="133"/>
      <c r="AR1357" s="146"/>
      <c r="AS1357" s="143">
        <f>AS1349/((N_6*AS$27*AS1356)*SQRT(AS1355*AS1351*AS1353))</f>
        <v>-359.85337421588974</v>
      </c>
      <c r="AT1357" s="133"/>
      <c r="AU1357" s="146"/>
    </row>
    <row r="1358" spans="13:47" x14ac:dyDescent="0.25">
      <c r="M1358" s="27"/>
      <c r="N1358" s="27"/>
      <c r="O1358" s="2" t="s">
        <v>73</v>
      </c>
      <c r="P1358" s="85">
        <v>5</v>
      </c>
      <c r="Q1358" s="2"/>
      <c r="R1358" s="179">
        <f>R1349/((N_6*R$27*0.667)*SQRT(R1359*R1351*R1353))</f>
        <v>0.31238748968702162</v>
      </c>
      <c r="S1358" s="133"/>
      <c r="T1358" s="155"/>
      <c r="U1358" s="143">
        <f>U1349/((N_6*U$27*0.667)*SQRT(U1359*U1351*U1353))</f>
        <v>5.0507075076594923</v>
      </c>
      <c r="V1358" s="133"/>
      <c r="W1358" s="155"/>
      <c r="X1358" s="143">
        <f>X1349/((N_6*X$27*0.667)*SQRT(X1359*X1351*X1353))</f>
        <v>12.983523998042985</v>
      </c>
      <c r="Y1358" s="133"/>
      <c r="Z1358" s="155"/>
      <c r="AA1358" s="143">
        <f>AA1349/((N_6*AA$27*0.667)*SQRT(AA1359*AA1351*AA1353))</f>
        <v>28.400056078445367</v>
      </c>
      <c r="AB1358" s="133"/>
      <c r="AC1358" s="155"/>
      <c r="AD1358" s="143">
        <f>AD1349/((N_6*AD$27*0.667)*SQRT(AD1359*AD1351*AD1353))</f>
        <v>64.084722100336265</v>
      </c>
      <c r="AE1358" s="133"/>
      <c r="AF1358" s="155"/>
      <c r="AG1358" s="143">
        <f>AG1349/((N_6*AG$27*0.667)*SQRT(AG1359*AG1351*AG1353))</f>
        <v>195.93361680527272</v>
      </c>
      <c r="AH1358" s="133"/>
      <c r="AI1358" s="155"/>
      <c r="AJ1358" s="143">
        <f>AJ1349/((N_6*AJ$27*0.667)*SQRT(AJ1359*AJ1351*AJ1353))</f>
        <v>784.49682991526845</v>
      </c>
      <c r="AK1358" s="133"/>
      <c r="AL1358" s="155"/>
      <c r="AM1358" s="143">
        <f>AM1349/((N_6*AM$27*0.667)*SQRT(AM1359*AM1351*AM1353))</f>
        <v>208.33689379102927</v>
      </c>
      <c r="AN1358" s="133"/>
      <c r="AO1358" s="155"/>
      <c r="AP1358" s="143">
        <f>AP1349/((N_6*AP$27*0.667)*SQRT(AP1359*AP1351*AP1353))</f>
        <v>140.01858616244726</v>
      </c>
      <c r="AQ1358" s="133"/>
      <c r="AR1358" s="155"/>
      <c r="AS1358" s="143">
        <f>AS1349/((N_6*AS$27*0.667)*SQRT(AS1359*AS1351*AS1353))</f>
        <v>166.53820797362727</v>
      </c>
      <c r="AT1358" s="133"/>
      <c r="AU1358" s="155"/>
    </row>
    <row r="1359" spans="13:47" ht="15.5" x14ac:dyDescent="0.4">
      <c r="M1359" s="27"/>
      <c r="N1359" s="27"/>
      <c r="O1359" s="2" t="s">
        <v>192</v>
      </c>
      <c r="P1359" s="85">
        <v>10</v>
      </c>
      <c r="Q1359" s="2"/>
      <c r="R1359" s="181">
        <f>F_GAMMA*R$29</f>
        <v>0.64002688015162901</v>
      </c>
      <c r="S1359" s="133"/>
      <c r="T1359" s="155"/>
      <c r="U1359" s="138">
        <f>F_GAMMA*U$29</f>
        <v>0.64016782916606918</v>
      </c>
      <c r="V1359" s="133"/>
      <c r="W1359" s="155"/>
      <c r="X1359" s="138">
        <f>F_GAMMA*X$29</f>
        <v>0.6307062319203669</v>
      </c>
      <c r="Y1359" s="133"/>
      <c r="Z1359" s="155"/>
      <c r="AA1359" s="138">
        <f>F_GAMMA*AA$29</f>
        <v>0.62217534213893466</v>
      </c>
      <c r="AB1359" s="133"/>
      <c r="AC1359" s="155"/>
      <c r="AD1359" s="138">
        <f>F_GAMMA*AD$29</f>
        <v>0.60557184969146072</v>
      </c>
      <c r="AE1359" s="133"/>
      <c r="AF1359" s="155"/>
      <c r="AG1359" s="138">
        <f>F_GAMMA*AG$29</f>
        <v>0.57289312142622573</v>
      </c>
      <c r="AH1359" s="133"/>
      <c r="AI1359" s="155"/>
      <c r="AJ1359" s="138">
        <f>F_GAMMA*AJ$29</f>
        <v>0.53590819116049981</v>
      </c>
      <c r="AK1359" s="133"/>
      <c r="AL1359" s="155"/>
      <c r="AM1359" s="138">
        <f>F_GAMMA*AM$29</f>
        <v>0.49048815926850342</v>
      </c>
      <c r="AN1359" s="133"/>
      <c r="AO1359" s="155"/>
      <c r="AP1359" s="138">
        <f>F_GAMMA*AP$29</f>
        <v>0.59352979016280105</v>
      </c>
      <c r="AQ1359" s="133"/>
      <c r="AR1359" s="155"/>
      <c r="AS1359" s="138">
        <f>F_GAMMA*AS$29</f>
        <v>0.39097221161068291</v>
      </c>
      <c r="AT1359" s="133"/>
      <c r="AU1359" s="155"/>
    </row>
    <row r="1360" spans="13:47" x14ac:dyDescent="0.25">
      <c r="M1360" s="27"/>
      <c r="N1360" s="27"/>
      <c r="O1360" s="2" t="s">
        <v>193</v>
      </c>
      <c r="P1360" s="134"/>
      <c r="Q1360" s="2"/>
      <c r="R1360" s="181">
        <f>IF(R1355&lt;R1359,R1357,R1358)</f>
        <v>0.31850112255929969</v>
      </c>
      <c r="S1360" s="133"/>
      <c r="T1360" s="155"/>
      <c r="U1360" s="138">
        <f>IF(U1355&lt;U1359,U1357,U1358)</f>
        <v>5.1538990025510714</v>
      </c>
      <c r="V1360" s="133"/>
      <c r="W1360" s="155"/>
      <c r="X1360" s="138">
        <f>IF(X1355&lt;X1359,X1357,X1358)</f>
        <v>13.279003441467168</v>
      </c>
      <c r="Y1360" s="133"/>
      <c r="Z1360" s="155"/>
      <c r="AA1360" s="138">
        <f>IF(AA1355&lt;AA1359,AA1357,AA1358)</f>
        <v>29.621098777771412</v>
      </c>
      <c r="AB1360" s="133"/>
      <c r="AC1360" s="155"/>
      <c r="AD1360" s="138">
        <f>IF(AD1355&lt;AD1359,AD1357,AD1358)</f>
        <v>78.679090457580273</v>
      </c>
      <c r="AE1360" s="133"/>
      <c r="AF1360" s="155"/>
      <c r="AG1360" s="138" t="e">
        <f>IF(AG1355&lt;AG1359,AG1357,AG1358)</f>
        <v>#NUM!</v>
      </c>
      <c r="AH1360" s="133"/>
      <c r="AI1360" s="155"/>
      <c r="AJ1360" s="138">
        <f>IF(AJ1355&lt;AJ1359,AJ1357,AJ1358)</f>
        <v>784.49682991526845</v>
      </c>
      <c r="AK1360" s="133"/>
      <c r="AL1360" s="155"/>
      <c r="AM1360" s="138">
        <f>IF(AM1355&lt;AM1359,AM1357,AM1358)</f>
        <v>208.33689379102927</v>
      </c>
      <c r="AN1360" s="133"/>
      <c r="AO1360" s="155"/>
      <c r="AP1360" s="138">
        <f>IF(AP1355&lt;AP1359,AP1357,AP1358)</f>
        <v>140.01858616244726</v>
      </c>
      <c r="AQ1360" s="133"/>
      <c r="AR1360" s="155"/>
      <c r="AS1360" s="138">
        <f>IF(AS1355&lt;AS1359,AS1357,AS1358)</f>
        <v>166.53820797362727</v>
      </c>
      <c r="AT1360" s="133"/>
      <c r="AU1360" s="155"/>
    </row>
    <row r="1361" spans="13:47" ht="13" x14ac:dyDescent="0.3">
      <c r="M1361" s="28"/>
      <c r="N1361" s="28"/>
      <c r="O1361" s="9" t="s">
        <v>194</v>
      </c>
      <c r="P1361" s="1"/>
      <c r="Q1361" s="1"/>
      <c r="R1361" s="135"/>
      <c r="S1361" s="132">
        <f>IF(R1354&lt;=0,W_max,ABS(R$23-R1360))</f>
        <v>1.6814988774407003</v>
      </c>
      <c r="T1361" s="151">
        <f>R1349</f>
        <v>73.658289990001535</v>
      </c>
      <c r="U1361" s="135"/>
      <c r="V1361" s="132">
        <f>IF(U1354&lt;=0,W_max,ABS(U$23-U1360))</f>
        <v>0.15389900255107136</v>
      </c>
      <c r="W1361" s="151">
        <f>U1349</f>
        <v>1183.7138844371359</v>
      </c>
      <c r="X1361" s="135"/>
      <c r="Y1361" s="132">
        <f>IF(X1354&lt;=0,W_max,ABS(X$23-X1360))</f>
        <v>3.279003441467168</v>
      </c>
      <c r="Z1361" s="151">
        <f>X1349</f>
        <v>2927.4652998165261</v>
      </c>
      <c r="AA1361" s="135"/>
      <c r="AB1361" s="132">
        <f>IF(AA1354&lt;=0,W_max,ABS(AA$23-AA1360))</f>
        <v>12.421098777771412</v>
      </c>
      <c r="AC1361" s="151">
        <f>AA1349</f>
        <v>5701.9551819520893</v>
      </c>
      <c r="AD1361" s="135"/>
      <c r="AE1361" s="132">
        <f>IF(AD1354&lt;=0,W_max,ABS(AD$23-AD1360))</f>
        <v>52.079090457580271</v>
      </c>
      <c r="AF1361" s="151">
        <f>AD1349</f>
        <v>9377.6169389660281</v>
      </c>
      <c r="AG1361" s="135"/>
      <c r="AH1361" s="132">
        <f>IF(AG1354&lt;=0,W_max,ABS(AG$23-AG1360))</f>
        <v>7174</v>
      </c>
      <c r="AI1361" s="151">
        <f>AG1349</f>
        <v>13152.829703707705</v>
      </c>
      <c r="AJ1361" s="135"/>
      <c r="AK1361" s="132">
        <f>IF(AJ1354&lt;=0,W_max,ABS(AJ$23-AJ1360))</f>
        <v>7174</v>
      </c>
      <c r="AL1361" s="151">
        <f>AJ1349</f>
        <v>16700.60360103743</v>
      </c>
      <c r="AM1361" s="135"/>
      <c r="AN1361" s="132">
        <f>IF(AM1354&lt;=0,W_max,ABS(AM$23-AM1360))</f>
        <v>7174</v>
      </c>
      <c r="AO1361" s="151">
        <f>AM1349</f>
        <v>19582.771139912307</v>
      </c>
      <c r="AP1361" s="135"/>
      <c r="AQ1361" s="132">
        <f>IF(AP1354&lt;=0,W_max,ABS(AP$23-AP1360))</f>
        <v>7174</v>
      </c>
      <c r="AR1361" s="151">
        <f>AP1349</f>
        <v>21847.877900791242</v>
      </c>
      <c r="AS1361" s="135"/>
      <c r="AT1361" s="132">
        <f>IF(AS1354&lt;=0,W_max,ABS(AS$23-AS1360))</f>
        <v>7174</v>
      </c>
      <c r="AU1361" s="151">
        <f>AS1349</f>
        <v>24374.98581572148</v>
      </c>
    </row>
    <row r="1362" spans="13:47" ht="13" x14ac:dyDescent="0.25">
      <c r="M1362" s="12"/>
      <c r="N1362" s="12"/>
      <c r="O1362" s="2"/>
      <c r="P1362" s="85"/>
      <c r="Q1362" s="2"/>
      <c r="R1362" s="18"/>
      <c r="S1362" s="150"/>
      <c r="T1362" s="152"/>
      <c r="U1362" s="157"/>
      <c r="V1362" s="1"/>
      <c r="W1362" s="147"/>
      <c r="X1362" s="157"/>
      <c r="Y1362" s="1"/>
      <c r="Z1362" s="147"/>
      <c r="AA1362" s="157"/>
      <c r="AB1362" s="1"/>
      <c r="AC1362" s="147"/>
      <c r="AD1362" s="157"/>
      <c r="AE1362" s="1"/>
      <c r="AF1362" s="147"/>
      <c r="AG1362" s="157"/>
      <c r="AH1362" s="1"/>
      <c r="AI1362" s="147"/>
      <c r="AJ1362" s="157"/>
      <c r="AK1362" s="1"/>
      <c r="AL1362" s="147"/>
      <c r="AM1362" s="157"/>
      <c r="AN1362" s="1"/>
      <c r="AO1362" s="147"/>
      <c r="AP1362" s="157"/>
      <c r="AQ1362" s="1"/>
      <c r="AR1362" s="147"/>
      <c r="AS1362" s="157"/>
      <c r="AT1362" s="1"/>
      <c r="AU1362" s="147"/>
    </row>
    <row r="1363" spans="13:47" ht="14" x14ac:dyDescent="0.3">
      <c r="M1363" s="23"/>
      <c r="N1363" s="23"/>
      <c r="O1363" s="23" t="s">
        <v>238</v>
      </c>
      <c r="P1363" s="20"/>
      <c r="Q1363" s="20"/>
      <c r="R1363" s="181">
        <f>R1349*1.02</f>
        <v>75.131455789801564</v>
      </c>
      <c r="S1363" s="128" t="s">
        <v>185</v>
      </c>
      <c r="T1363" s="153" t="s">
        <v>186</v>
      </c>
      <c r="U1363" s="143">
        <f>U1349*1.01</f>
        <v>1195.5510232815072</v>
      </c>
      <c r="V1363" s="128" t="s">
        <v>185</v>
      </c>
      <c r="W1363" s="153" t="s">
        <v>186</v>
      </c>
      <c r="X1363" s="143">
        <f>X1349*1.01</f>
        <v>2956.7399528146916</v>
      </c>
      <c r="Y1363" s="128" t="s">
        <v>185</v>
      </c>
      <c r="Z1363" s="153" t="s">
        <v>186</v>
      </c>
      <c r="AA1363" s="143">
        <f>AA1349*1.01</f>
        <v>5758.9747337716099</v>
      </c>
      <c r="AB1363" s="128" t="s">
        <v>185</v>
      </c>
      <c r="AC1363" s="153" t="s">
        <v>186</v>
      </c>
      <c r="AD1363" s="143">
        <f>AD1349*1.01</f>
        <v>9471.393108355689</v>
      </c>
      <c r="AE1363" s="128" t="s">
        <v>185</v>
      </c>
      <c r="AF1363" s="153" t="s">
        <v>186</v>
      </c>
      <c r="AG1363" s="143">
        <f>AG1349*1.01</f>
        <v>13284.358000744782</v>
      </c>
      <c r="AH1363" s="128" t="s">
        <v>185</v>
      </c>
      <c r="AI1363" s="153" t="s">
        <v>186</v>
      </c>
      <c r="AJ1363" s="143">
        <f>AJ1349*1.01</f>
        <v>16867.609637047804</v>
      </c>
      <c r="AK1363" s="128" t="s">
        <v>185</v>
      </c>
      <c r="AL1363" s="153" t="s">
        <v>186</v>
      </c>
      <c r="AM1363" s="143">
        <f>AM1349*1.01</f>
        <v>19778.598851311432</v>
      </c>
      <c r="AN1363" s="128" t="s">
        <v>185</v>
      </c>
      <c r="AO1363" s="153" t="s">
        <v>186</v>
      </c>
      <c r="AP1363" s="143">
        <f>AP1349*1.01</f>
        <v>22066.356679799155</v>
      </c>
      <c r="AQ1363" s="128" t="s">
        <v>185</v>
      </c>
      <c r="AR1363" s="153" t="s">
        <v>186</v>
      </c>
      <c r="AS1363" s="143">
        <f>AS1349*1.01</f>
        <v>24618.735673878695</v>
      </c>
      <c r="AT1363" s="128" t="s">
        <v>185</v>
      </c>
      <c r="AU1363" s="153" t="s">
        <v>186</v>
      </c>
    </row>
    <row r="1364" spans="13:47" ht="14" x14ac:dyDescent="0.3">
      <c r="M1364" s="12"/>
      <c r="N1364" s="12"/>
      <c r="O1364" s="20"/>
      <c r="P1364" s="20"/>
      <c r="Q1364" s="23"/>
      <c r="R1364" s="139"/>
      <c r="S1364" s="130" t="s">
        <v>228</v>
      </c>
      <c r="T1364" s="154" t="s">
        <v>187</v>
      </c>
      <c r="U1364" s="144"/>
      <c r="V1364" s="130" t="s">
        <v>228</v>
      </c>
      <c r="W1364" s="154" t="s">
        <v>187</v>
      </c>
      <c r="X1364" s="144"/>
      <c r="Y1364" s="130" t="s">
        <v>228</v>
      </c>
      <c r="Z1364" s="154" t="s">
        <v>187</v>
      </c>
      <c r="AA1364" s="144"/>
      <c r="AB1364" s="130" t="s">
        <v>228</v>
      </c>
      <c r="AC1364" s="154" t="s">
        <v>187</v>
      </c>
      <c r="AD1364" s="144"/>
      <c r="AE1364" s="130" t="s">
        <v>228</v>
      </c>
      <c r="AF1364" s="154" t="s">
        <v>187</v>
      </c>
      <c r="AG1364" s="144"/>
      <c r="AH1364" s="130" t="s">
        <v>228</v>
      </c>
      <c r="AI1364" s="154" t="s">
        <v>187</v>
      </c>
      <c r="AJ1364" s="144"/>
      <c r="AK1364" s="130" t="s">
        <v>228</v>
      </c>
      <c r="AL1364" s="154" t="s">
        <v>187</v>
      </c>
      <c r="AM1364" s="144"/>
      <c r="AN1364" s="130" t="s">
        <v>228</v>
      </c>
      <c r="AO1364" s="154" t="s">
        <v>187</v>
      </c>
      <c r="AP1364" s="144"/>
      <c r="AQ1364" s="130" t="s">
        <v>228</v>
      </c>
      <c r="AR1364" s="154" t="s">
        <v>187</v>
      </c>
      <c r="AS1364" s="144"/>
      <c r="AT1364" s="130" t="s">
        <v>228</v>
      </c>
      <c r="AU1364" s="154" t="s">
        <v>187</v>
      </c>
    </row>
    <row r="1365" spans="13:47" x14ac:dyDescent="0.25">
      <c r="M1365" s="20"/>
      <c r="N1365" s="20"/>
      <c r="O1365" s="7" t="s">
        <v>188</v>
      </c>
      <c r="P1365" s="7"/>
      <c r="Q1365" s="7"/>
      <c r="R1365" s="181">
        <f>P_1_minW-(R1363^2*R_up)+dpup_minQ</f>
        <v>100.52053583157262</v>
      </c>
      <c r="S1365" s="132"/>
      <c r="T1365" s="145"/>
      <c r="U1365" s="138">
        <f>P_1_minW-(U1363^2*R_up)+dpup_minQ</f>
        <v>99.952819596389034</v>
      </c>
      <c r="V1365" s="132"/>
      <c r="W1365" s="145"/>
      <c r="X1365" s="138">
        <f>P_1_minW-(X1363^2*R_up)+dpup_minQ</f>
        <v>97.036686687672798</v>
      </c>
      <c r="Y1365" s="132"/>
      <c r="Z1365" s="145"/>
      <c r="AA1365" s="138">
        <f>P_1_minW-(AA1363^2*R_up)+dpup_minQ</f>
        <v>87.29753541290431</v>
      </c>
      <c r="AB1365" s="132"/>
      <c r="AC1365" s="145"/>
      <c r="AD1365" s="138">
        <f>P_1_minW-(AD1363^2*R_up)+dpup_minQ</f>
        <v>64.750944058476492</v>
      </c>
      <c r="AE1365" s="132"/>
      <c r="AF1365" s="145"/>
      <c r="AG1365" s="138">
        <f>P_1_minW-(AG1363^2*R_up)+dpup_minQ</f>
        <v>30.151623608881195</v>
      </c>
      <c r="AH1365" s="132"/>
      <c r="AI1365" s="145"/>
      <c r="AJ1365" s="138">
        <f>P_1_minW-(AJ1363^2*R_up)+dpup_minQ</f>
        <v>-12.931437574832572</v>
      </c>
      <c r="AK1365" s="132"/>
      <c r="AL1365" s="145"/>
      <c r="AM1365" s="138">
        <f>P_1_minW-(AM1363^2*R_up)+dpup_minQ</f>
        <v>-55.470041420427904</v>
      </c>
      <c r="AN1365" s="132"/>
      <c r="AO1365" s="145"/>
      <c r="AP1365" s="138">
        <f>P_1_minW-(AP1363^2*R_up)+dpup_minQ</f>
        <v>-93.643960477883681</v>
      </c>
      <c r="AQ1365" s="132"/>
      <c r="AR1365" s="145"/>
      <c r="AS1365" s="138">
        <f>P_1_minW-(AS1363^2*R_up)+dpup_minQ</f>
        <v>-141.15964295754699</v>
      </c>
      <c r="AT1365" s="132"/>
      <c r="AU1365" s="145"/>
    </row>
    <row r="1366" spans="13:47" x14ac:dyDescent="0.25">
      <c r="M1366" s="20"/>
      <c r="N1366" s="20"/>
      <c r="O1366" s="7" t="s">
        <v>189</v>
      </c>
      <c r="P1366" s="1"/>
      <c r="Q1366" s="7"/>
      <c r="R1366" s="181">
        <f>P_2_minW+(R1363^2*R_dn)-dpdn_minQ</f>
        <v>50</v>
      </c>
      <c r="S1366" s="132"/>
      <c r="T1366" s="146"/>
      <c r="U1366" s="138">
        <f>P_2_minW+(U1363^2*R_dn)-dpdn_minQ</f>
        <v>50</v>
      </c>
      <c r="V1366" s="132"/>
      <c r="W1366" s="146"/>
      <c r="X1366" s="138">
        <f>P_2_minW+(X1363^2*R_dn)-dpdn_minQ</f>
        <v>50</v>
      </c>
      <c r="Y1366" s="132"/>
      <c r="Z1366" s="146"/>
      <c r="AA1366" s="138">
        <f>P_2_minW+(AA1363^2*R_dn)-dpdn_minQ</f>
        <v>50</v>
      </c>
      <c r="AB1366" s="132"/>
      <c r="AC1366" s="146"/>
      <c r="AD1366" s="138">
        <f>P_2_minW+(AD1363^2*R_dn)-dpdn_minQ</f>
        <v>50</v>
      </c>
      <c r="AE1366" s="132"/>
      <c r="AF1366" s="146"/>
      <c r="AG1366" s="138">
        <f>P_2_minW+(AG1363^2*R_dn)-dpdn_minQ</f>
        <v>50</v>
      </c>
      <c r="AH1366" s="132"/>
      <c r="AI1366" s="146"/>
      <c r="AJ1366" s="138">
        <f>P_2_minW+(AJ1363^2*R_dn)-dpdn_minQ</f>
        <v>50</v>
      </c>
      <c r="AK1366" s="132"/>
      <c r="AL1366" s="146"/>
      <c r="AM1366" s="138">
        <f>P_2_minW+(AM1363^2*R_dn)-dpdn_minQ</f>
        <v>50</v>
      </c>
      <c r="AN1366" s="132"/>
      <c r="AO1366" s="146"/>
      <c r="AP1366" s="138">
        <f>P_2_minW+(AP1363^2*R_dn)-dpdn_minQ</f>
        <v>50</v>
      </c>
      <c r="AQ1366" s="132"/>
      <c r="AR1366" s="146"/>
      <c r="AS1366" s="138">
        <f>P_2_minW+(AS1363^2*R_dn)-dpdn_minQ</f>
        <v>50</v>
      </c>
      <c r="AT1366" s="132"/>
      <c r="AU1366" s="146"/>
    </row>
    <row r="1367" spans="13:47" x14ac:dyDescent="0.25">
      <c r="M1367" s="20"/>
      <c r="N1367" s="20"/>
      <c r="O1367" s="7" t="s">
        <v>234</v>
      </c>
      <c r="P1367" s="1"/>
      <c r="Q1367" s="7"/>
      <c r="R1367" s="179">
        <f>'Valve Sizing'!G$8*R1365/P_1_maxW</f>
        <v>0.48489316827317658</v>
      </c>
      <c r="S1367" s="132"/>
      <c r="T1367" s="146"/>
      <c r="U1367" s="143">
        <f>'Valve Sizing'!$G$8*U1365/P_1_maxW</f>
        <v>0.48215460623029671</v>
      </c>
      <c r="V1367" s="132"/>
      <c r="W1367" s="146"/>
      <c r="X1367" s="143">
        <f>'Valve Sizing'!$G$8*X1365/P_1_maxW</f>
        <v>0.46808770026411339</v>
      </c>
      <c r="Y1367" s="132"/>
      <c r="Z1367" s="146"/>
      <c r="AA1367" s="143">
        <f>'Valve Sizing'!$G$8*AA1365/P_1_maxW</f>
        <v>0.42110776846364084</v>
      </c>
      <c r="AB1367" s="132"/>
      <c r="AC1367" s="146"/>
      <c r="AD1367" s="143">
        <f>'Valve Sizing'!$G$8*AD1365/P_1_maxW</f>
        <v>0.3123470259430538</v>
      </c>
      <c r="AE1367" s="132"/>
      <c r="AF1367" s="146"/>
      <c r="AG1367" s="143">
        <f>'Valve Sizing'!$G$8*AG1365/P_1_maxW</f>
        <v>0.14544606412353206</v>
      </c>
      <c r="AH1367" s="132"/>
      <c r="AI1367" s="146"/>
      <c r="AJ1367" s="143">
        <f>'Valve Sizing'!$G$8*AJ1365/P_1_maxW</f>
        <v>-6.237895256043692E-2</v>
      </c>
      <c r="AK1367" s="132"/>
      <c r="AL1367" s="146"/>
      <c r="AM1367" s="143">
        <f>'Valve Sizing'!$G$8*AM1365/P_1_maxW</f>
        <v>-0.26757760397997699</v>
      </c>
      <c r="AN1367" s="132"/>
      <c r="AO1367" s="146"/>
      <c r="AP1367" s="143">
        <f>'Valve Sizing'!$G$8*AP1365/P_1_maxW</f>
        <v>-0.45172179306576182</v>
      </c>
      <c r="AQ1367" s="132"/>
      <c r="AR1367" s="146"/>
      <c r="AS1367" s="143">
        <f>'Valve Sizing'!$G$8*AS1365/P_1_maxW</f>
        <v>-0.68092898570181171</v>
      </c>
      <c r="AT1367" s="132"/>
      <c r="AU1367" s="146"/>
    </row>
    <row r="1368" spans="13:47" x14ac:dyDescent="0.25">
      <c r="M1368" s="20"/>
      <c r="N1368" s="20"/>
      <c r="O1368" s="7" t="s">
        <v>190</v>
      </c>
      <c r="P1368" s="1"/>
      <c r="Q1368" s="7"/>
      <c r="R1368" s="181">
        <f>R1365-R1366</f>
        <v>50.520535831572616</v>
      </c>
      <c r="S1368" s="132"/>
      <c r="T1368" s="146"/>
      <c r="U1368" s="138">
        <f>U1365-U1366</f>
        <v>49.952819596389034</v>
      </c>
      <c r="V1368" s="132"/>
      <c r="W1368" s="146"/>
      <c r="X1368" s="138">
        <f>X1365-X1366</f>
        <v>47.036686687672798</v>
      </c>
      <c r="Y1368" s="132"/>
      <c r="Z1368" s="146"/>
      <c r="AA1368" s="138">
        <f>AA1365-AA1366</f>
        <v>37.29753541290431</v>
      </c>
      <c r="AB1368" s="132"/>
      <c r="AC1368" s="146"/>
      <c r="AD1368" s="138">
        <f>AD1365-AD1366</f>
        <v>14.750944058476492</v>
      </c>
      <c r="AE1368" s="132"/>
      <c r="AF1368" s="146"/>
      <c r="AG1368" s="138">
        <f>AG1365-AG1366</f>
        <v>-19.848376391118805</v>
      </c>
      <c r="AH1368" s="132"/>
      <c r="AI1368" s="146"/>
      <c r="AJ1368" s="138">
        <f>AJ1365-AJ1366</f>
        <v>-62.931437574832572</v>
      </c>
      <c r="AK1368" s="132"/>
      <c r="AL1368" s="146"/>
      <c r="AM1368" s="138">
        <f>AM1365-AM1366</f>
        <v>-105.4700414204279</v>
      </c>
      <c r="AN1368" s="132"/>
      <c r="AO1368" s="146"/>
      <c r="AP1368" s="138">
        <f>AP1365-AP1366</f>
        <v>-143.6439604778837</v>
      </c>
      <c r="AQ1368" s="132"/>
      <c r="AR1368" s="146"/>
      <c r="AS1368" s="138">
        <f>AS1365-AS1366</f>
        <v>-191.15964295754699</v>
      </c>
      <c r="AT1368" s="132"/>
      <c r="AU1368" s="146"/>
    </row>
    <row r="1369" spans="13:47" ht="14.5" x14ac:dyDescent="0.35">
      <c r="M1369" s="27"/>
      <c r="N1369" s="27"/>
      <c r="O1369" s="2" t="s">
        <v>191</v>
      </c>
      <c r="P1369" s="10"/>
      <c r="Q1369" s="2"/>
      <c r="R1369" s="181">
        <f>R1368/R1365</f>
        <v>0.50258920143663377</v>
      </c>
      <c r="S1369" s="132"/>
      <c r="T1369" s="146"/>
      <c r="U1369" s="138">
        <f>U1368/U1365</f>
        <v>0.49976398662988458</v>
      </c>
      <c r="V1369" s="132"/>
      <c r="W1369" s="146"/>
      <c r="X1369" s="138">
        <f>X1368/X1365</f>
        <v>0.48473096406380262</v>
      </c>
      <c r="Y1369" s="132"/>
      <c r="Z1369" s="146"/>
      <c r="AA1369" s="138">
        <f>AA1368/AA1365</f>
        <v>0.42724614430971658</v>
      </c>
      <c r="AB1369" s="132"/>
      <c r="AC1369" s="146"/>
      <c r="AD1369" s="138">
        <f>AD1368/AD1365</f>
        <v>0.22781048636379625</v>
      </c>
      <c r="AE1369" s="132"/>
      <c r="AF1369" s="146"/>
      <c r="AG1369" s="138">
        <f>AG1368/AG1365</f>
        <v>-0.65828549230338773</v>
      </c>
      <c r="AH1369" s="132"/>
      <c r="AI1369" s="146"/>
      <c r="AJ1369" s="138">
        <f>AJ1368/AJ1365</f>
        <v>4.8665461369361616</v>
      </c>
      <c r="AK1369" s="132"/>
      <c r="AL1369" s="146"/>
      <c r="AM1369" s="138">
        <f>AM1368/AM1365</f>
        <v>1.9013874646501805</v>
      </c>
      <c r="AN1369" s="132"/>
      <c r="AO1369" s="146"/>
      <c r="AP1369" s="138">
        <f>AP1368/AP1365</f>
        <v>1.5339372634907804</v>
      </c>
      <c r="AQ1369" s="132"/>
      <c r="AR1369" s="146"/>
      <c r="AS1369" s="138">
        <f>AS1368/AS1365</f>
        <v>1.3542088868490354</v>
      </c>
      <c r="AT1369" s="132"/>
      <c r="AU1369" s="146"/>
    </row>
    <row r="1370" spans="13:47" x14ac:dyDescent="0.25">
      <c r="M1370" s="27"/>
      <c r="N1370" s="27"/>
      <c r="O1370" s="2" t="s">
        <v>26</v>
      </c>
      <c r="P1370" s="7">
        <v>12</v>
      </c>
      <c r="Q1370" s="2"/>
      <c r="R1370" s="181">
        <f>1-R1369/(3*F_GAMMA*R$29)</f>
        <v>0.73824578465747925</v>
      </c>
      <c r="S1370" s="133"/>
      <c r="T1370" s="146"/>
      <c r="U1370" s="138">
        <f>1-U1369/(3*F_GAMMA*U$29)</f>
        <v>0.73977449669674133</v>
      </c>
      <c r="V1370" s="133"/>
      <c r="W1370" s="146"/>
      <c r="X1370" s="138">
        <f>1-X1369/(3*F_GAMMA*X$29)</f>
        <v>0.74381577374096997</v>
      </c>
      <c r="Y1370" s="133"/>
      <c r="Z1370" s="146"/>
      <c r="AA1370" s="138">
        <f>1-AA1369/(3*F_GAMMA*AA$29)</f>
        <v>0.77110089103343127</v>
      </c>
      <c r="AB1370" s="133"/>
      <c r="AC1370" s="146"/>
      <c r="AD1370" s="138">
        <f>1-AD1369/(3*F_GAMMA*AD$29)</f>
        <v>0.87460310642474226</v>
      </c>
      <c r="AE1370" s="133"/>
      <c r="AF1370" s="146"/>
      <c r="AG1370" s="138">
        <f>1-AG1369/(3*F_GAMMA*AG$29)</f>
        <v>1.3830182092048724</v>
      </c>
      <c r="AH1370" s="133"/>
      <c r="AI1370" s="146"/>
      <c r="AJ1370" s="138">
        <f>1-AJ1369/(3*F_GAMMA*AJ$29)</f>
        <v>-2.0269775166760944</v>
      </c>
      <c r="AK1370" s="133"/>
      <c r="AL1370" s="146"/>
      <c r="AM1370" s="138">
        <f>1-AM1369/(3*F_GAMMA*AM$29)</f>
        <v>-0.29217354093782943</v>
      </c>
      <c r="AN1370" s="133"/>
      <c r="AO1370" s="146"/>
      <c r="AP1370" s="138">
        <f>1-AP1369/(3*F_GAMMA*AP$29)</f>
        <v>0.13852273358790623</v>
      </c>
      <c r="AQ1370" s="133"/>
      <c r="AR1370" s="146"/>
      <c r="AS1370" s="138">
        <f>1-AS1369/(3*F_GAMMA*AS$29)</f>
        <v>-0.15456533451155807</v>
      </c>
      <c r="AT1370" s="133"/>
      <c r="AU1370" s="146"/>
    </row>
    <row r="1371" spans="13:47" x14ac:dyDescent="0.25">
      <c r="M1371" s="27"/>
      <c r="N1371" s="27"/>
      <c r="O1371" s="2" t="s">
        <v>71</v>
      </c>
      <c r="P1371" s="85">
        <v>5</v>
      </c>
      <c r="Q1371" s="2"/>
      <c r="R1371" s="179">
        <f>R1363/((N_6*R$27*R1370)*SQRT(R1369*R1365*R1367))</f>
        <v>0.32487146815542228</v>
      </c>
      <c r="S1371" s="133"/>
      <c r="T1371" s="146"/>
      <c r="U1371" s="143">
        <f>U1363/((N_6*U$27*U1370)*SQRT(U1369*U1365*U1367))</f>
        <v>5.206109633162975</v>
      </c>
      <c r="V1371" s="133"/>
      <c r="W1371" s="146"/>
      <c r="X1371" s="143">
        <f>X1363/((N_6*X$27*X1370)*SQRT(X1369*X1365*X1367))</f>
        <v>13.422855232606057</v>
      </c>
      <c r="Y1371" s="133"/>
      <c r="Z1371" s="146"/>
      <c r="AA1371" s="143">
        <f>AA1363/((N_6*AA$27*AA1370)*SQRT(AA1369*AA1365*AA1367))</f>
        <v>30.030806279706027</v>
      </c>
      <c r="AB1371" s="133"/>
      <c r="AC1371" s="146"/>
      <c r="AD1371" s="143">
        <f>AD1363/((N_6*AD$27*AD1370)*SQRT(AD1369*AD1365*AD1367))</f>
        <v>81.355824307306136</v>
      </c>
      <c r="AE1371" s="133"/>
      <c r="AF1371" s="146"/>
      <c r="AG1371" s="143" t="e">
        <f>AG1363/((N_6*AG$27*AG1370)*SQRT(AG1369*AG1365*AG1367))</f>
        <v>#NUM!</v>
      </c>
      <c r="AH1371" s="133"/>
      <c r="AI1371" s="146"/>
      <c r="AJ1371" s="143">
        <f>AJ1363/((N_6*AJ$27*AJ1370)*SQRT(AJ1369*AJ1365*AJ1367))</f>
        <v>-71.564302218923089</v>
      </c>
      <c r="AK1371" s="133"/>
      <c r="AL1371" s="146"/>
      <c r="AM1371" s="143">
        <f>AM1363/((N_6*AM$27*AM1370)*SQRT(AM1369*AM1365*AM1367))</f>
        <v>-230.45924764161202</v>
      </c>
      <c r="AN1371" s="133"/>
      <c r="AO1371" s="146"/>
      <c r="AP1371" s="143">
        <f>AP1363/((N_6*AP$27*AP1370)*SQRT(AP1369*AP1365*AP1367))</f>
        <v>406.26876723297386</v>
      </c>
      <c r="AQ1371" s="133"/>
      <c r="AR1371" s="146"/>
      <c r="AS1371" s="143">
        <f>AS1363/((N_6*AS$27*AS1370)*SQRT(AS1369*AS1365*AS1367))</f>
        <v>-376.85572099124852</v>
      </c>
      <c r="AT1371" s="133"/>
      <c r="AU1371" s="146"/>
    </row>
    <row r="1372" spans="13:47" x14ac:dyDescent="0.25">
      <c r="M1372" s="27"/>
      <c r="N1372" s="27"/>
      <c r="O1372" s="2" t="s">
        <v>73</v>
      </c>
      <c r="P1372" s="85">
        <v>5</v>
      </c>
      <c r="Q1372" s="2"/>
      <c r="R1372" s="179">
        <f>R1363/((N_6*R$27*0.667)*SQRT(R1373*R1365*R1367))</f>
        <v>0.31863551654292932</v>
      </c>
      <c r="S1372" s="133"/>
      <c r="T1372" s="155"/>
      <c r="U1372" s="143">
        <f>U1363/((N_6*U$27*0.667)*SQRT(U1373*U1365*U1367))</f>
        <v>5.1017877503868965</v>
      </c>
      <c r="V1372" s="133"/>
      <c r="W1372" s="155"/>
      <c r="X1372" s="143">
        <f>X1363/((N_6*X$27*0.667)*SQRT(X1373*X1365*X1367))</f>
        <v>13.122641870510554</v>
      </c>
      <c r="Y1372" s="133"/>
      <c r="Z1372" s="155"/>
      <c r="AA1372" s="143">
        <f>AA1363/((N_6*AA$27*0.667)*SQRT(AA1373*AA1365*AA1367))</f>
        <v>28.769680702277775</v>
      </c>
      <c r="AB1372" s="133"/>
      <c r="AC1372" s="155"/>
      <c r="AD1372" s="143">
        <f>AD1363/((N_6*AD$27*0.667)*SQRT(AD1373*AD1365*AD1367))</f>
        <v>65.430139725308265</v>
      </c>
      <c r="AE1372" s="133"/>
      <c r="AF1372" s="155"/>
      <c r="AG1372" s="143">
        <f>AG1363/((N_6*AG$27*0.667)*SQRT(AG1373*AG1365*AG1367))</f>
        <v>206.993503500153</v>
      </c>
      <c r="AH1372" s="133"/>
      <c r="AI1372" s="155"/>
      <c r="AJ1372" s="143">
        <f>AJ1363/((N_6*AJ$27*0.667)*SQRT(AJ1373*AJ1365*AJ1367))</f>
        <v>655.36729315079867</v>
      </c>
      <c r="AK1372" s="133"/>
      <c r="AL1372" s="155"/>
      <c r="AM1372" s="143">
        <f>AM1363/((N_6*AM$27*0.667)*SQRT(AM1373*AM1365*AM1367))</f>
        <v>198.76057256036847</v>
      </c>
      <c r="AN1372" s="133"/>
      <c r="AO1372" s="155"/>
      <c r="AP1372" s="143">
        <f>AP1363/((N_6*AP$27*0.667)*SQRT(AP1373*AP1365*AP1367))</f>
        <v>135.64106582532551</v>
      </c>
      <c r="AQ1372" s="133"/>
      <c r="AR1372" s="155"/>
      <c r="AS1372" s="143">
        <f>AS1363/((N_6*AS$27*0.667)*SQRT(AS1373*AS1365*AS1367))</f>
        <v>162.52914888169613</v>
      </c>
      <c r="AT1372" s="133"/>
      <c r="AU1372" s="155"/>
    </row>
    <row r="1373" spans="13:47" ht="15.5" x14ac:dyDescent="0.4">
      <c r="M1373" s="27"/>
      <c r="N1373" s="27"/>
      <c r="O1373" s="2" t="s">
        <v>192</v>
      </c>
      <c r="P1373" s="85">
        <v>10</v>
      </c>
      <c r="Q1373" s="2"/>
      <c r="R1373" s="181">
        <f>F_GAMMA*R$29</f>
        <v>0.64002688015162901</v>
      </c>
      <c r="S1373" s="133"/>
      <c r="T1373" s="155"/>
      <c r="U1373" s="138">
        <f>F_GAMMA*U$29</f>
        <v>0.64016782916606918</v>
      </c>
      <c r="V1373" s="133"/>
      <c r="W1373" s="155"/>
      <c r="X1373" s="138">
        <f>F_GAMMA*X$29</f>
        <v>0.6307062319203669</v>
      </c>
      <c r="Y1373" s="133"/>
      <c r="Z1373" s="155"/>
      <c r="AA1373" s="138">
        <f>F_GAMMA*AA$29</f>
        <v>0.62217534213893466</v>
      </c>
      <c r="AB1373" s="133"/>
      <c r="AC1373" s="155"/>
      <c r="AD1373" s="138">
        <f>F_GAMMA*AD$29</f>
        <v>0.60557184969146072</v>
      </c>
      <c r="AE1373" s="133"/>
      <c r="AF1373" s="155"/>
      <c r="AG1373" s="138">
        <f>F_GAMMA*AG$29</f>
        <v>0.57289312142622573</v>
      </c>
      <c r="AH1373" s="133"/>
      <c r="AI1373" s="155"/>
      <c r="AJ1373" s="138">
        <f>F_GAMMA*AJ$29</f>
        <v>0.53590819116049981</v>
      </c>
      <c r="AK1373" s="133"/>
      <c r="AL1373" s="155"/>
      <c r="AM1373" s="138">
        <f>F_GAMMA*AM$29</f>
        <v>0.49048815926850342</v>
      </c>
      <c r="AN1373" s="133"/>
      <c r="AO1373" s="155"/>
      <c r="AP1373" s="138">
        <f>F_GAMMA*AP$29</f>
        <v>0.59352979016280105</v>
      </c>
      <c r="AQ1373" s="133"/>
      <c r="AR1373" s="155"/>
      <c r="AS1373" s="138">
        <f>F_GAMMA*AS$29</f>
        <v>0.39097221161068291</v>
      </c>
      <c r="AT1373" s="133"/>
      <c r="AU1373" s="155"/>
    </row>
    <row r="1374" spans="13:47" x14ac:dyDescent="0.25">
      <c r="M1374" s="27"/>
      <c r="N1374" s="27"/>
      <c r="O1374" s="2" t="s">
        <v>193</v>
      </c>
      <c r="P1374" s="134"/>
      <c r="Q1374" s="2"/>
      <c r="R1374" s="181">
        <f>IF(R1369&lt;R1373,R1371,R1372)</f>
        <v>0.32487146815542228</v>
      </c>
      <c r="S1374" s="133"/>
      <c r="T1374" s="155"/>
      <c r="U1374" s="138">
        <f>IF(U1369&lt;U1373,U1371,U1372)</f>
        <v>5.206109633162975</v>
      </c>
      <c r="V1374" s="133"/>
      <c r="W1374" s="155"/>
      <c r="X1374" s="138">
        <f>IF(X1369&lt;X1373,X1371,X1372)</f>
        <v>13.422855232606057</v>
      </c>
      <c r="Y1374" s="133"/>
      <c r="Z1374" s="155"/>
      <c r="AA1374" s="138">
        <f>IF(AA1369&lt;AA1373,AA1371,AA1372)</f>
        <v>30.030806279706027</v>
      </c>
      <c r="AB1374" s="133"/>
      <c r="AC1374" s="155"/>
      <c r="AD1374" s="138">
        <f>IF(AD1369&lt;AD1373,AD1371,AD1372)</f>
        <v>81.355824307306136</v>
      </c>
      <c r="AE1374" s="133"/>
      <c r="AF1374" s="155"/>
      <c r="AG1374" s="138" t="e">
        <f>IF(AG1369&lt;AG1373,AG1371,AG1372)</f>
        <v>#NUM!</v>
      </c>
      <c r="AH1374" s="133"/>
      <c r="AI1374" s="155"/>
      <c r="AJ1374" s="138">
        <f>IF(AJ1369&lt;AJ1373,AJ1371,AJ1372)</f>
        <v>655.36729315079867</v>
      </c>
      <c r="AK1374" s="133"/>
      <c r="AL1374" s="155"/>
      <c r="AM1374" s="138">
        <f>IF(AM1369&lt;AM1373,AM1371,AM1372)</f>
        <v>198.76057256036847</v>
      </c>
      <c r="AN1374" s="133"/>
      <c r="AO1374" s="155"/>
      <c r="AP1374" s="138">
        <f>IF(AP1369&lt;AP1373,AP1371,AP1372)</f>
        <v>135.64106582532551</v>
      </c>
      <c r="AQ1374" s="133"/>
      <c r="AR1374" s="155"/>
      <c r="AS1374" s="138">
        <f>IF(AS1369&lt;AS1373,AS1371,AS1372)</f>
        <v>162.52914888169613</v>
      </c>
      <c r="AT1374" s="133"/>
      <c r="AU1374" s="155"/>
    </row>
    <row r="1375" spans="13:47" ht="13" x14ac:dyDescent="0.3">
      <c r="M1375" s="28"/>
      <c r="N1375" s="28"/>
      <c r="O1375" s="9" t="s">
        <v>194</v>
      </c>
      <c r="P1375" s="1"/>
      <c r="Q1375" s="1"/>
      <c r="R1375" s="135"/>
      <c r="S1375" s="132">
        <f>IF(R1368&lt;=0,W_max,ABS(R$23-R1374))</f>
        <v>1.6751285318445777</v>
      </c>
      <c r="T1375" s="151">
        <f>R1363</f>
        <v>75.131455789801564</v>
      </c>
      <c r="U1375" s="135"/>
      <c r="V1375" s="132">
        <f>IF(U1368&lt;=0,W_max,ABS(U$23-U1374))</f>
        <v>0.20610963316297504</v>
      </c>
      <c r="W1375" s="151">
        <f>U1363</f>
        <v>1195.5510232815072</v>
      </c>
      <c r="X1375" s="135"/>
      <c r="Y1375" s="132">
        <f>IF(X1368&lt;=0,W_max,ABS(X$23-X1374))</f>
        <v>3.4228552326060573</v>
      </c>
      <c r="Z1375" s="151">
        <f>X1363</f>
        <v>2956.7399528146916</v>
      </c>
      <c r="AA1375" s="135"/>
      <c r="AB1375" s="132">
        <f>IF(AA1368&lt;=0,W_max,ABS(AA$23-AA1374))</f>
        <v>12.830806279706028</v>
      </c>
      <c r="AC1375" s="151">
        <f>AA1363</f>
        <v>5758.9747337716099</v>
      </c>
      <c r="AD1375" s="135"/>
      <c r="AE1375" s="132">
        <f>IF(AD1368&lt;=0,W_max,ABS(AD$23-AD1374))</f>
        <v>54.755824307306135</v>
      </c>
      <c r="AF1375" s="151">
        <f>AD1363</f>
        <v>9471.393108355689</v>
      </c>
      <c r="AG1375" s="135"/>
      <c r="AH1375" s="132">
        <f>IF(AG1368&lt;=0,W_max,ABS(AG$23-AG1374))</f>
        <v>7174</v>
      </c>
      <c r="AI1375" s="151">
        <f>AG1363</f>
        <v>13284.358000744782</v>
      </c>
      <c r="AJ1375" s="135"/>
      <c r="AK1375" s="132">
        <f>IF(AJ1368&lt;=0,W_max,ABS(AJ$23-AJ1374))</f>
        <v>7174</v>
      </c>
      <c r="AL1375" s="151">
        <f>AJ1363</f>
        <v>16867.609637047804</v>
      </c>
      <c r="AM1375" s="135"/>
      <c r="AN1375" s="132">
        <f>IF(AM1368&lt;=0,W_max,ABS(AM$23-AM1374))</f>
        <v>7174</v>
      </c>
      <c r="AO1375" s="151">
        <f>AM1363</f>
        <v>19778.598851311432</v>
      </c>
      <c r="AP1375" s="135"/>
      <c r="AQ1375" s="132">
        <f>IF(AP1368&lt;=0,W_max,ABS(AP$23-AP1374))</f>
        <v>7174</v>
      </c>
      <c r="AR1375" s="151">
        <f>AP1363</f>
        <v>22066.356679799155</v>
      </c>
      <c r="AS1375" s="135"/>
      <c r="AT1375" s="132">
        <f>IF(AS1368&lt;=0,W_max,ABS(AS$23-AS1374))</f>
        <v>7174</v>
      </c>
      <c r="AU1375" s="151">
        <f>AS1363</f>
        <v>24618.735673878695</v>
      </c>
    </row>
    <row r="1376" spans="13:47" ht="13" x14ac:dyDescent="0.25">
      <c r="M1376" s="12"/>
      <c r="N1376" s="12"/>
      <c r="O1376" s="2"/>
      <c r="P1376" s="85"/>
      <c r="Q1376" s="2"/>
      <c r="R1376" s="18"/>
      <c r="S1376" s="150"/>
      <c r="T1376" s="148"/>
      <c r="U1376" s="157"/>
      <c r="V1376" s="1"/>
      <c r="W1376" s="147"/>
      <c r="X1376" s="157"/>
      <c r="Y1376" s="1"/>
      <c r="Z1376" s="147"/>
      <c r="AA1376" s="157"/>
      <c r="AB1376" s="1"/>
      <c r="AC1376" s="147"/>
      <c r="AD1376" s="157"/>
      <c r="AE1376" s="1"/>
      <c r="AF1376" s="147"/>
      <c r="AG1376" s="157"/>
      <c r="AH1376" s="1"/>
      <c r="AI1376" s="147"/>
      <c r="AJ1376" s="157"/>
      <c r="AK1376" s="1"/>
      <c r="AL1376" s="147"/>
      <c r="AM1376" s="157"/>
      <c r="AN1376" s="1"/>
      <c r="AO1376" s="147"/>
      <c r="AP1376" s="157"/>
      <c r="AQ1376" s="1"/>
      <c r="AR1376" s="147"/>
      <c r="AS1376" s="157"/>
      <c r="AT1376" s="1"/>
      <c r="AU1376" s="147"/>
    </row>
    <row r="1377" spans="13:47" ht="14" x14ac:dyDescent="0.3">
      <c r="M1377" s="23"/>
      <c r="N1377" s="23"/>
      <c r="O1377" s="23" t="s">
        <v>238</v>
      </c>
      <c r="P1377" s="20"/>
      <c r="Q1377" s="20"/>
      <c r="R1377" s="181">
        <f>R1363*1.02</f>
        <v>76.634084905597589</v>
      </c>
      <c r="S1377" s="128" t="s">
        <v>185</v>
      </c>
      <c r="T1377" s="149" t="s">
        <v>186</v>
      </c>
      <c r="U1377" s="143">
        <f>U1363*1.01</f>
        <v>1207.5065335143224</v>
      </c>
      <c r="V1377" s="128" t="s">
        <v>185</v>
      </c>
      <c r="W1377" s="153" t="s">
        <v>186</v>
      </c>
      <c r="X1377" s="143">
        <f>X1363*1.01</f>
        <v>2986.3073523428384</v>
      </c>
      <c r="Y1377" s="128" t="s">
        <v>185</v>
      </c>
      <c r="Z1377" s="153" t="s">
        <v>186</v>
      </c>
      <c r="AA1377" s="143">
        <f>AA1363*1.01</f>
        <v>5816.5644811093262</v>
      </c>
      <c r="AB1377" s="128" t="s">
        <v>185</v>
      </c>
      <c r="AC1377" s="153" t="s">
        <v>186</v>
      </c>
      <c r="AD1377" s="143">
        <f>AD1363*1.01</f>
        <v>9566.1070394392464</v>
      </c>
      <c r="AE1377" s="128" t="s">
        <v>185</v>
      </c>
      <c r="AF1377" s="153" t="s">
        <v>186</v>
      </c>
      <c r="AG1377" s="143">
        <f>AG1363*1.01</f>
        <v>13417.201580752229</v>
      </c>
      <c r="AH1377" s="128" t="s">
        <v>185</v>
      </c>
      <c r="AI1377" s="153" t="s">
        <v>186</v>
      </c>
      <c r="AJ1377" s="143">
        <f>AJ1363*1.01</f>
        <v>17036.285733418281</v>
      </c>
      <c r="AK1377" s="128" t="s">
        <v>185</v>
      </c>
      <c r="AL1377" s="153" t="s">
        <v>186</v>
      </c>
      <c r="AM1377" s="143">
        <f>AM1363*1.01</f>
        <v>19976.384839824546</v>
      </c>
      <c r="AN1377" s="128" t="s">
        <v>185</v>
      </c>
      <c r="AO1377" s="153" t="s">
        <v>186</v>
      </c>
      <c r="AP1377" s="143">
        <f>AP1363*1.01</f>
        <v>22287.020246597149</v>
      </c>
      <c r="AQ1377" s="128" t="s">
        <v>185</v>
      </c>
      <c r="AR1377" s="153" t="s">
        <v>186</v>
      </c>
      <c r="AS1377" s="143">
        <f>AS1363*1.01</f>
        <v>24864.923030617483</v>
      </c>
      <c r="AT1377" s="128" t="s">
        <v>185</v>
      </c>
      <c r="AU1377" s="153" t="s">
        <v>186</v>
      </c>
    </row>
    <row r="1378" spans="13:47" ht="14" x14ac:dyDescent="0.3">
      <c r="M1378" s="12"/>
      <c r="N1378" s="12"/>
      <c r="O1378" s="20"/>
      <c r="P1378" s="20"/>
      <c r="Q1378" s="23"/>
      <c r="R1378" s="139"/>
      <c r="S1378" s="130" t="s">
        <v>228</v>
      </c>
      <c r="T1378" s="131" t="s">
        <v>187</v>
      </c>
      <c r="U1378" s="144"/>
      <c r="V1378" s="130" t="s">
        <v>228</v>
      </c>
      <c r="W1378" s="154" t="s">
        <v>187</v>
      </c>
      <c r="X1378" s="144"/>
      <c r="Y1378" s="130" t="s">
        <v>228</v>
      </c>
      <c r="Z1378" s="154" t="s">
        <v>187</v>
      </c>
      <c r="AA1378" s="144"/>
      <c r="AB1378" s="130" t="s">
        <v>228</v>
      </c>
      <c r="AC1378" s="154" t="s">
        <v>187</v>
      </c>
      <c r="AD1378" s="144"/>
      <c r="AE1378" s="130" t="s">
        <v>228</v>
      </c>
      <c r="AF1378" s="154" t="s">
        <v>187</v>
      </c>
      <c r="AG1378" s="144"/>
      <c r="AH1378" s="130" t="s">
        <v>228</v>
      </c>
      <c r="AI1378" s="154" t="s">
        <v>187</v>
      </c>
      <c r="AJ1378" s="144"/>
      <c r="AK1378" s="130" t="s">
        <v>228</v>
      </c>
      <c r="AL1378" s="154" t="s">
        <v>187</v>
      </c>
      <c r="AM1378" s="144"/>
      <c r="AN1378" s="130" t="s">
        <v>228</v>
      </c>
      <c r="AO1378" s="154" t="s">
        <v>187</v>
      </c>
      <c r="AP1378" s="144"/>
      <c r="AQ1378" s="130" t="s">
        <v>228</v>
      </c>
      <c r="AR1378" s="154" t="s">
        <v>187</v>
      </c>
      <c r="AS1378" s="144"/>
      <c r="AT1378" s="130" t="s">
        <v>228</v>
      </c>
      <c r="AU1378" s="154" t="s">
        <v>187</v>
      </c>
    </row>
    <row r="1379" spans="13:47" x14ac:dyDescent="0.25">
      <c r="M1379" s="20"/>
      <c r="N1379" s="20"/>
      <c r="O1379" s="7" t="s">
        <v>188</v>
      </c>
      <c r="P1379" s="7"/>
      <c r="Q1379" s="7"/>
      <c r="R1379" s="181">
        <f>P_1_minW-(R1377^2*R_up)+dpup_minQ</f>
        <v>100.52044489500439</v>
      </c>
      <c r="S1379" s="132"/>
      <c r="T1379" s="145"/>
      <c r="U1379" s="138">
        <f>P_1_minW-(U1377^2*R_up)+dpup_minQ</f>
        <v>99.941363256868243</v>
      </c>
      <c r="V1379" s="132"/>
      <c r="W1379" s="145"/>
      <c r="X1379" s="138">
        <f>P_1_minW-(X1377^2*R_up)+dpup_minQ</f>
        <v>96.966616076686805</v>
      </c>
      <c r="Y1379" s="132"/>
      <c r="Z1379" s="145"/>
      <c r="AA1379" s="138">
        <f>P_1_minW-(AA1377^2*R_up)+dpup_minQ</f>
        <v>87.031707861295473</v>
      </c>
      <c r="AB1379" s="132"/>
      <c r="AC1379" s="145"/>
      <c r="AD1379" s="138">
        <f>P_1_minW-(AD1377^2*R_up)+dpup_minQ</f>
        <v>64.031930020643657</v>
      </c>
      <c r="AE1379" s="132"/>
      <c r="AF1379" s="145"/>
      <c r="AG1379" s="138">
        <f>P_1_minW-(AG1377^2*R_up)+dpup_minQ</f>
        <v>28.737163230011504</v>
      </c>
      <c r="AH1379" s="132"/>
      <c r="AI1379" s="145"/>
      <c r="AJ1379" s="138">
        <f>P_1_minW-(AJ1377^2*R_up)+dpup_minQ</f>
        <v>-15.211867483494899</v>
      </c>
      <c r="AK1379" s="132"/>
      <c r="AL1379" s="145"/>
      <c r="AM1379" s="138">
        <f>P_1_minW-(AM1377^2*R_up)+dpup_minQ</f>
        <v>-58.605497266386706</v>
      </c>
      <c r="AN1379" s="132"/>
      <c r="AO1379" s="145"/>
      <c r="AP1379" s="138">
        <f>P_1_minW-(AP1377^2*R_up)+dpup_minQ</f>
        <v>-97.546712096897394</v>
      </c>
      <c r="AQ1379" s="132"/>
      <c r="AR1379" s="145"/>
      <c r="AS1379" s="138">
        <f>P_1_minW-(AS1377^2*R_up)+dpup_minQ</f>
        <v>-146.0174597944019</v>
      </c>
      <c r="AT1379" s="132"/>
      <c r="AU1379" s="145"/>
    </row>
    <row r="1380" spans="13:47" x14ac:dyDescent="0.25">
      <c r="M1380" s="20"/>
      <c r="N1380" s="20"/>
      <c r="O1380" s="7" t="s">
        <v>189</v>
      </c>
      <c r="P1380" s="1"/>
      <c r="Q1380" s="7"/>
      <c r="R1380" s="181">
        <f>P_2_minW+(R1377^2*R_dn)-dpdn_minQ</f>
        <v>50</v>
      </c>
      <c r="S1380" s="132"/>
      <c r="T1380" s="146"/>
      <c r="U1380" s="138">
        <f>P_2_minW+(U1377^2*R_dn)-dpdn_minQ</f>
        <v>50</v>
      </c>
      <c r="V1380" s="132"/>
      <c r="W1380" s="146"/>
      <c r="X1380" s="138">
        <f>P_2_minW+(X1377^2*R_dn)-dpdn_minQ</f>
        <v>50</v>
      </c>
      <c r="Y1380" s="132"/>
      <c r="Z1380" s="146"/>
      <c r="AA1380" s="138">
        <f>P_2_minW+(AA1377^2*R_dn)-dpdn_minQ</f>
        <v>50</v>
      </c>
      <c r="AB1380" s="132"/>
      <c r="AC1380" s="146"/>
      <c r="AD1380" s="138">
        <f>P_2_minW+(AD1377^2*R_dn)-dpdn_minQ</f>
        <v>50</v>
      </c>
      <c r="AE1380" s="132"/>
      <c r="AF1380" s="146"/>
      <c r="AG1380" s="138">
        <f>P_2_minW+(AG1377^2*R_dn)-dpdn_minQ</f>
        <v>50</v>
      </c>
      <c r="AH1380" s="132"/>
      <c r="AI1380" s="146"/>
      <c r="AJ1380" s="138">
        <f>P_2_minW+(AJ1377^2*R_dn)-dpdn_minQ</f>
        <v>50</v>
      </c>
      <c r="AK1380" s="132"/>
      <c r="AL1380" s="146"/>
      <c r="AM1380" s="138">
        <f>P_2_minW+(AM1377^2*R_dn)-dpdn_minQ</f>
        <v>50</v>
      </c>
      <c r="AN1380" s="132"/>
      <c r="AO1380" s="146"/>
      <c r="AP1380" s="138">
        <f>P_2_minW+(AP1377^2*R_dn)-dpdn_minQ</f>
        <v>50</v>
      </c>
      <c r="AQ1380" s="132"/>
      <c r="AR1380" s="146"/>
      <c r="AS1380" s="138">
        <f>P_2_minW+(AS1377^2*R_dn)-dpdn_minQ</f>
        <v>50</v>
      </c>
      <c r="AT1380" s="132"/>
      <c r="AU1380" s="146"/>
    </row>
    <row r="1381" spans="13:47" x14ac:dyDescent="0.25">
      <c r="M1381" s="20"/>
      <c r="N1381" s="20"/>
      <c r="O1381" s="7" t="s">
        <v>234</v>
      </c>
      <c r="P1381" s="1"/>
      <c r="Q1381" s="7"/>
      <c r="R1381" s="179">
        <f>'Valve Sizing'!G$8*R1379/P_1_maxW</f>
        <v>0.48489272961136171</v>
      </c>
      <c r="S1381" s="132"/>
      <c r="T1381" s="146"/>
      <c r="U1381" s="143">
        <f>'Valve Sizing'!$G$8*U1379/P_1_maxW</f>
        <v>0.48209934288812395</v>
      </c>
      <c r="V1381" s="132"/>
      <c r="W1381" s="146"/>
      <c r="X1381" s="143">
        <f>'Valve Sizing'!$G$8*X1379/P_1_maxW</f>
        <v>0.46774969211202039</v>
      </c>
      <c r="Y1381" s="132"/>
      <c r="Z1381" s="146"/>
      <c r="AA1381" s="143">
        <f>'Valve Sizing'!$G$8*AA1379/P_1_maxW</f>
        <v>0.41982546368235835</v>
      </c>
      <c r="AB1381" s="132"/>
      <c r="AC1381" s="146"/>
      <c r="AD1381" s="143">
        <f>'Valve Sizing'!$G$8*AD1379/P_1_maxW</f>
        <v>0.30887863023710749</v>
      </c>
      <c r="AE1381" s="132"/>
      <c r="AF1381" s="146"/>
      <c r="AG1381" s="143">
        <f>'Valve Sizing'!$G$8*AG1379/P_1_maxW</f>
        <v>0.13862295908501338</v>
      </c>
      <c r="AH1381" s="132"/>
      <c r="AI1381" s="146"/>
      <c r="AJ1381" s="143">
        <f>'Valve Sizing'!$G$8*AJ1379/P_1_maxW</f>
        <v>-7.3379340434303345E-2</v>
      </c>
      <c r="AK1381" s="132"/>
      <c r="AL1381" s="146"/>
      <c r="AM1381" s="143">
        <f>'Valve Sizing'!$G$8*AM1379/P_1_maxW</f>
        <v>-0.28270248474737614</v>
      </c>
      <c r="AN1381" s="132"/>
      <c r="AO1381" s="146"/>
      <c r="AP1381" s="143">
        <f>'Valve Sizing'!$G$8*AP1379/P_1_maxW</f>
        <v>-0.47054797203378557</v>
      </c>
      <c r="AQ1381" s="132"/>
      <c r="AR1381" s="146"/>
      <c r="AS1381" s="143">
        <f>'Valve Sizing'!$G$8*AS1379/P_1_maxW</f>
        <v>-0.70436222924181979</v>
      </c>
      <c r="AT1381" s="132"/>
      <c r="AU1381" s="146"/>
    </row>
    <row r="1382" spans="13:47" x14ac:dyDescent="0.25">
      <c r="M1382" s="20"/>
      <c r="N1382" s="20"/>
      <c r="O1382" s="7" t="s">
        <v>190</v>
      </c>
      <c r="P1382" s="1"/>
      <c r="Q1382" s="7"/>
      <c r="R1382" s="181">
        <f>R1379-R1380</f>
        <v>50.520444895004388</v>
      </c>
      <c r="S1382" s="132"/>
      <c r="T1382" s="146"/>
      <c r="U1382" s="138">
        <f>U1379-U1380</f>
        <v>49.941363256868243</v>
      </c>
      <c r="V1382" s="132"/>
      <c r="W1382" s="146"/>
      <c r="X1382" s="138">
        <f>X1379-X1380</f>
        <v>46.966616076686805</v>
      </c>
      <c r="Y1382" s="132"/>
      <c r="Z1382" s="146"/>
      <c r="AA1382" s="138">
        <f>AA1379-AA1380</f>
        <v>37.031707861295473</v>
      </c>
      <c r="AB1382" s="132"/>
      <c r="AC1382" s="146"/>
      <c r="AD1382" s="138">
        <f>AD1379-AD1380</f>
        <v>14.031930020643657</v>
      </c>
      <c r="AE1382" s="132"/>
      <c r="AF1382" s="146"/>
      <c r="AG1382" s="138">
        <f>AG1379-AG1380</f>
        <v>-21.262836769988496</v>
      </c>
      <c r="AH1382" s="132"/>
      <c r="AI1382" s="146"/>
      <c r="AJ1382" s="138">
        <f>AJ1379-AJ1380</f>
        <v>-65.211867483494899</v>
      </c>
      <c r="AK1382" s="132"/>
      <c r="AL1382" s="146"/>
      <c r="AM1382" s="138">
        <f>AM1379-AM1380</f>
        <v>-108.60549726638671</v>
      </c>
      <c r="AN1382" s="132"/>
      <c r="AO1382" s="146"/>
      <c r="AP1382" s="138">
        <f>AP1379-AP1380</f>
        <v>-147.54671209689741</v>
      </c>
      <c r="AQ1382" s="132"/>
      <c r="AR1382" s="146"/>
      <c r="AS1382" s="138">
        <f>AS1379-AS1380</f>
        <v>-196.0174597944019</v>
      </c>
      <c r="AT1382" s="132"/>
      <c r="AU1382" s="146"/>
    </row>
    <row r="1383" spans="13:47" ht="14.5" x14ac:dyDescent="0.35">
      <c r="M1383" s="27"/>
      <c r="N1383" s="27"/>
      <c r="O1383" s="2" t="s">
        <v>191</v>
      </c>
      <c r="P1383" s="10"/>
      <c r="Q1383" s="2"/>
      <c r="R1383" s="181">
        <f>R1382/R1379</f>
        <v>0.50258875145025472</v>
      </c>
      <c r="S1383" s="132"/>
      <c r="T1383" s="146"/>
      <c r="U1383" s="138">
        <f>U1382/U1379</f>
        <v>0.49970664427009542</v>
      </c>
      <c r="V1383" s="132"/>
      <c r="W1383" s="146"/>
      <c r="X1383" s="138">
        <f>X1382/X1379</f>
        <v>0.48435861719195078</v>
      </c>
      <c r="Y1383" s="132"/>
      <c r="Z1383" s="146"/>
      <c r="AA1383" s="138">
        <f>AA1382/AA1379</f>
        <v>0.4254967387324376</v>
      </c>
      <c r="AB1383" s="132"/>
      <c r="AC1383" s="146"/>
      <c r="AD1383" s="138">
        <f>AD1382/AD1379</f>
        <v>0.219139576397585</v>
      </c>
      <c r="AE1383" s="132"/>
      <c r="AF1383" s="146"/>
      <c r="AG1383" s="138">
        <f>AG1382/AG1379</f>
        <v>-0.73990729703559488</v>
      </c>
      <c r="AH1383" s="132"/>
      <c r="AI1383" s="146"/>
      <c r="AJ1383" s="138">
        <f>AJ1382/AJ1379</f>
        <v>4.286907413192413</v>
      </c>
      <c r="AK1383" s="132"/>
      <c r="AL1383" s="146"/>
      <c r="AM1383" s="138">
        <f>AM1382/AM1379</f>
        <v>1.8531622856594647</v>
      </c>
      <c r="AN1383" s="132"/>
      <c r="AO1383" s="146"/>
      <c r="AP1383" s="138">
        <f>AP1382/AP1379</f>
        <v>1.5125749389721392</v>
      </c>
      <c r="AQ1383" s="132"/>
      <c r="AR1383" s="146"/>
      <c r="AS1383" s="138">
        <f>AS1382/AS1379</f>
        <v>1.342424803652946</v>
      </c>
      <c r="AT1383" s="132"/>
      <c r="AU1383" s="146"/>
    </row>
    <row r="1384" spans="13:47" x14ac:dyDescent="0.25">
      <c r="M1384" s="27"/>
      <c r="N1384" s="27"/>
      <c r="O1384" s="2" t="s">
        <v>26</v>
      </c>
      <c r="P1384" s="7">
        <v>12</v>
      </c>
      <c r="Q1384" s="2"/>
      <c r="R1384" s="181">
        <f>1-R1383/(3*F_GAMMA*R$29)</f>
        <v>0.73824601901554177</v>
      </c>
      <c r="S1384" s="133"/>
      <c r="T1384" s="146"/>
      <c r="U1384" s="138">
        <f>1-U1383/(3*F_GAMMA*U$29)</f>
        <v>0.7398043546793811</v>
      </c>
      <c r="V1384" s="133"/>
      <c r="W1384" s="146"/>
      <c r="X1384" s="138">
        <f>1-X1383/(3*F_GAMMA*X$29)</f>
        <v>0.74401256206756172</v>
      </c>
      <c r="Y1384" s="133"/>
      <c r="Z1384" s="146"/>
      <c r="AA1384" s="138">
        <f>1-AA1383/(3*F_GAMMA*AA$29)</f>
        <v>0.77203814320807007</v>
      </c>
      <c r="AB1384" s="133"/>
      <c r="AC1384" s="146"/>
      <c r="AD1384" s="138">
        <f>1-AD1383/(3*F_GAMMA*AD$29)</f>
        <v>0.8793759559611648</v>
      </c>
      <c r="AE1384" s="133"/>
      <c r="AF1384" s="146"/>
      <c r="AG1384" s="138">
        <f>1-AG1383/(3*F_GAMMA*AG$29)</f>
        <v>1.4305092109755626</v>
      </c>
      <c r="AH1384" s="133"/>
      <c r="AI1384" s="146"/>
      <c r="AJ1384" s="138">
        <f>1-AJ1383/(3*F_GAMMA*AJ$29)</f>
        <v>-1.6664439195012055</v>
      </c>
      <c r="AK1384" s="133"/>
      <c r="AL1384" s="146"/>
      <c r="AM1384" s="138">
        <f>1-AM1383/(3*F_GAMMA*AM$29)</f>
        <v>-0.25939994720307813</v>
      </c>
      <c r="AN1384" s="133"/>
      <c r="AO1384" s="146"/>
      <c r="AP1384" s="138">
        <f>1-AP1383/(3*F_GAMMA*AP$29)</f>
        <v>0.15052006709595789</v>
      </c>
      <c r="AQ1384" s="133"/>
      <c r="AR1384" s="146"/>
      <c r="AS1384" s="138">
        <f>1-AS1383/(3*F_GAMMA*AS$29)</f>
        <v>-0.14451851375197644</v>
      </c>
      <c r="AT1384" s="133"/>
      <c r="AU1384" s="146"/>
    </row>
    <row r="1385" spans="13:47" x14ac:dyDescent="0.25">
      <c r="M1385" s="27"/>
      <c r="N1385" s="27"/>
      <c r="O1385" s="2" t="s">
        <v>71</v>
      </c>
      <c r="P1385" s="85">
        <v>5</v>
      </c>
      <c r="Q1385" s="2"/>
      <c r="R1385" s="179">
        <f>R1377/((N_6*R$27*R1384)*SQRT(R1383*R1379*R1381))</f>
        <v>0.33136924044337618</v>
      </c>
      <c r="S1385" s="133"/>
      <c r="T1385" s="146"/>
      <c r="U1385" s="143">
        <f>U1377/((N_6*U$27*U1384)*SQRT(U1383*U1379*U1381))</f>
        <v>5.25886294309921</v>
      </c>
      <c r="V1385" s="133"/>
      <c r="W1385" s="146"/>
      <c r="X1385" s="143">
        <f>X1377/((N_6*X$27*X1384)*SQRT(X1383*X1379*X1381))</f>
        <v>13.568504438173647</v>
      </c>
      <c r="Y1385" s="133"/>
      <c r="Z1385" s="146"/>
      <c r="AA1385" s="143">
        <f>AA1377/((N_6*AA$27*AA1384)*SQRT(AA1383*AA1379*AA1381))</f>
        <v>30.449225379011853</v>
      </c>
      <c r="AB1385" s="133"/>
      <c r="AC1385" s="146"/>
      <c r="AD1385" s="143">
        <f>AD1377/((N_6*AD$27*AD1384)*SQRT(AD1383*AD1379*AD1381))</f>
        <v>84.260185584072005</v>
      </c>
      <c r="AE1385" s="133"/>
      <c r="AF1385" s="146"/>
      <c r="AG1385" s="143" t="e">
        <f>AG1377/((N_6*AG$27*AG1384)*SQRT(AG1383*AG1379*AG1381))</f>
        <v>#NUM!</v>
      </c>
      <c r="AH1385" s="133"/>
      <c r="AI1385" s="146"/>
      <c r="AJ1385" s="143">
        <f>AJ1377/((N_6*AJ$27*AJ1384)*SQRT(AJ1383*AJ1379*AJ1381))</f>
        <v>-79.630361647786387</v>
      </c>
      <c r="AK1385" s="133"/>
      <c r="AL1385" s="146"/>
      <c r="AM1385" s="143">
        <f>AM1377/((N_6*AM$27*AM1384)*SQRT(AM1383*AM1379*AM1381))</f>
        <v>-251.35367284358199</v>
      </c>
      <c r="AN1385" s="133"/>
      <c r="AO1385" s="146"/>
      <c r="AP1385" s="143">
        <f>AP1377/((N_6*AP$27*AP1384)*SQRT(AP1383*AP1379*AP1381))</f>
        <v>365.06815087203313</v>
      </c>
      <c r="AQ1385" s="133"/>
      <c r="AR1385" s="146"/>
      <c r="AS1385" s="143">
        <f>AS1377/((N_6*AS$27*AS1384)*SQRT(AS1383*AS1379*AS1381))</f>
        <v>-395.26531487175475</v>
      </c>
      <c r="AT1385" s="133"/>
      <c r="AU1385" s="146"/>
    </row>
    <row r="1386" spans="13:47" x14ac:dyDescent="0.25">
      <c r="M1386" s="27"/>
      <c r="N1386" s="27"/>
      <c r="O1386" s="2" t="s">
        <v>73</v>
      </c>
      <c r="P1386" s="85">
        <v>5</v>
      </c>
      <c r="Q1386" s="2"/>
      <c r="R1386" s="179">
        <f>R1377/((N_6*R$27*0.667)*SQRT(R1387*R1379*R1381))</f>
        <v>0.32500852089489801</v>
      </c>
      <c r="S1386" s="133"/>
      <c r="T1386" s="147"/>
      <c r="U1386" s="143">
        <f>U1377/((N_6*U$27*0.667)*SQRT(U1387*U1379*U1381))</f>
        <v>5.1533962971475589</v>
      </c>
      <c r="V1386" s="133"/>
      <c r="W1386" s="155"/>
      <c r="X1386" s="143">
        <f>X1377/((N_6*X$27*0.667)*SQRT(X1387*X1379*X1381))</f>
        <v>13.263445880829442</v>
      </c>
      <c r="Y1386" s="133"/>
      <c r="Z1386" s="155"/>
      <c r="AA1386" s="143">
        <f>AA1377/((N_6*AA$27*0.667)*SQRT(AA1387*AA1379*AA1381))</f>
        <v>29.146129663076291</v>
      </c>
      <c r="AB1386" s="133"/>
      <c r="AC1386" s="155"/>
      <c r="AD1386" s="143">
        <f>AD1377/((N_6*AD$27*0.667)*SQRT(AD1387*AD1379*AD1381))</f>
        <v>66.826502791390325</v>
      </c>
      <c r="AE1386" s="133"/>
      <c r="AF1386" s="155"/>
      <c r="AG1386" s="143">
        <f>AG1377/((N_6*AG$27*0.667)*SQRT(AG1387*AG1379*AG1381))</f>
        <v>219.3536661443087</v>
      </c>
      <c r="AH1386" s="133"/>
      <c r="AI1386" s="155"/>
      <c r="AJ1386" s="143">
        <f>AJ1377/((N_6*AJ$27*0.667)*SQRT(AJ1387*AJ1379*AJ1381))</f>
        <v>562.69157364495186</v>
      </c>
      <c r="AK1386" s="133"/>
      <c r="AL1386" s="155"/>
      <c r="AM1386" s="143">
        <f>AM1377/((N_6*AM$27*0.667)*SQRT(AM1387*AM1379*AM1381))</f>
        <v>190.00793925495987</v>
      </c>
      <c r="AN1386" s="133"/>
      <c r="AO1386" s="155"/>
      <c r="AP1386" s="143">
        <f>AP1377/((N_6*AP$27*0.667)*SQRT(AP1387*AP1379*AP1381))</f>
        <v>131.51633712322831</v>
      </c>
      <c r="AQ1386" s="133"/>
      <c r="AR1386" s="155"/>
      <c r="AS1386" s="143">
        <f>AS1377/((N_6*AS$27*0.667)*SQRT(AS1387*AS1379*AS1381))</f>
        <v>158.69322905099565</v>
      </c>
      <c r="AT1386" s="133"/>
      <c r="AU1386" s="155"/>
    </row>
    <row r="1387" spans="13:47" ht="15.5" x14ac:dyDescent="0.4">
      <c r="M1387" s="27"/>
      <c r="N1387" s="27"/>
      <c r="O1387" s="2" t="s">
        <v>192</v>
      </c>
      <c r="P1387" s="85">
        <v>10</v>
      </c>
      <c r="Q1387" s="2"/>
      <c r="R1387" s="181">
        <f>F_GAMMA*R$29</f>
        <v>0.64002688015162901</v>
      </c>
      <c r="S1387" s="133"/>
      <c r="T1387" s="147"/>
      <c r="U1387" s="138">
        <f>F_GAMMA*U$29</f>
        <v>0.64016782916606918</v>
      </c>
      <c r="V1387" s="133"/>
      <c r="W1387" s="155"/>
      <c r="X1387" s="138">
        <f>F_GAMMA*X$29</f>
        <v>0.6307062319203669</v>
      </c>
      <c r="Y1387" s="133"/>
      <c r="Z1387" s="155"/>
      <c r="AA1387" s="138">
        <f>F_GAMMA*AA$29</f>
        <v>0.62217534213893466</v>
      </c>
      <c r="AB1387" s="133"/>
      <c r="AC1387" s="155"/>
      <c r="AD1387" s="138">
        <f>F_GAMMA*AD$29</f>
        <v>0.60557184969146072</v>
      </c>
      <c r="AE1387" s="133"/>
      <c r="AF1387" s="155"/>
      <c r="AG1387" s="138">
        <f>F_GAMMA*AG$29</f>
        <v>0.57289312142622573</v>
      </c>
      <c r="AH1387" s="133"/>
      <c r="AI1387" s="155"/>
      <c r="AJ1387" s="138">
        <f>F_GAMMA*AJ$29</f>
        <v>0.53590819116049981</v>
      </c>
      <c r="AK1387" s="133"/>
      <c r="AL1387" s="155"/>
      <c r="AM1387" s="138">
        <f>F_GAMMA*AM$29</f>
        <v>0.49048815926850342</v>
      </c>
      <c r="AN1387" s="133"/>
      <c r="AO1387" s="155"/>
      <c r="AP1387" s="138">
        <f>F_GAMMA*AP$29</f>
        <v>0.59352979016280105</v>
      </c>
      <c r="AQ1387" s="133"/>
      <c r="AR1387" s="155"/>
      <c r="AS1387" s="138">
        <f>F_GAMMA*AS$29</f>
        <v>0.39097221161068291</v>
      </c>
      <c r="AT1387" s="133"/>
      <c r="AU1387" s="155"/>
    </row>
    <row r="1388" spans="13:47" x14ac:dyDescent="0.25">
      <c r="M1388" s="27"/>
      <c r="N1388" s="27"/>
      <c r="O1388" s="2" t="s">
        <v>193</v>
      </c>
      <c r="P1388" s="134"/>
      <c r="Q1388" s="2"/>
      <c r="R1388" s="181">
        <f>IF(R1383&lt;R1387,R1385,R1386)</f>
        <v>0.33136924044337618</v>
      </c>
      <c r="S1388" s="133"/>
      <c r="T1388" s="147"/>
      <c r="U1388" s="138">
        <f>IF(U1383&lt;U1387,U1385,U1386)</f>
        <v>5.25886294309921</v>
      </c>
      <c r="V1388" s="133"/>
      <c r="W1388" s="155"/>
      <c r="X1388" s="138">
        <f>IF(X1383&lt;X1387,X1385,X1386)</f>
        <v>13.568504438173647</v>
      </c>
      <c r="Y1388" s="133"/>
      <c r="Z1388" s="155"/>
      <c r="AA1388" s="138">
        <f>IF(AA1383&lt;AA1387,AA1385,AA1386)</f>
        <v>30.449225379011853</v>
      </c>
      <c r="AB1388" s="133"/>
      <c r="AC1388" s="155"/>
      <c r="AD1388" s="138">
        <f>IF(AD1383&lt;AD1387,AD1385,AD1386)</f>
        <v>84.260185584072005</v>
      </c>
      <c r="AE1388" s="133"/>
      <c r="AF1388" s="155"/>
      <c r="AG1388" s="138" t="e">
        <f>IF(AG1383&lt;AG1387,AG1385,AG1386)</f>
        <v>#NUM!</v>
      </c>
      <c r="AH1388" s="133"/>
      <c r="AI1388" s="155"/>
      <c r="AJ1388" s="138">
        <f>IF(AJ1383&lt;AJ1387,AJ1385,AJ1386)</f>
        <v>562.69157364495186</v>
      </c>
      <c r="AK1388" s="133"/>
      <c r="AL1388" s="155"/>
      <c r="AM1388" s="138">
        <f>IF(AM1383&lt;AM1387,AM1385,AM1386)</f>
        <v>190.00793925495987</v>
      </c>
      <c r="AN1388" s="133"/>
      <c r="AO1388" s="155"/>
      <c r="AP1388" s="138">
        <f>IF(AP1383&lt;AP1387,AP1385,AP1386)</f>
        <v>131.51633712322831</v>
      </c>
      <c r="AQ1388" s="133"/>
      <c r="AR1388" s="155"/>
      <c r="AS1388" s="138">
        <f>IF(AS1383&lt;AS1387,AS1385,AS1386)</f>
        <v>158.69322905099565</v>
      </c>
      <c r="AT1388" s="133"/>
      <c r="AU1388" s="155"/>
    </row>
    <row r="1389" spans="13:47" ht="13" x14ac:dyDescent="0.3">
      <c r="M1389" s="28"/>
      <c r="N1389" s="28"/>
      <c r="O1389" s="9" t="s">
        <v>194</v>
      </c>
      <c r="P1389" s="1"/>
      <c r="Q1389" s="1"/>
      <c r="R1389" s="135"/>
      <c r="S1389" s="132">
        <f>IF(R1382&lt;=0,W_max,ABS(R$23-R1388))</f>
        <v>1.6686307595566239</v>
      </c>
      <c r="T1389" s="151">
        <f>R1377</f>
        <v>76.634084905597589</v>
      </c>
      <c r="U1389" s="135"/>
      <c r="V1389" s="132">
        <f>IF(U1382&lt;=0,W_max,ABS(U$23-U1388))</f>
        <v>0.25886294309920999</v>
      </c>
      <c r="W1389" s="151">
        <f>U1377</f>
        <v>1207.5065335143224</v>
      </c>
      <c r="X1389" s="135"/>
      <c r="Y1389" s="132">
        <f>IF(X1382&lt;=0,W_max,ABS(X$23-X1388))</f>
        <v>3.5685044381736475</v>
      </c>
      <c r="Z1389" s="151">
        <f>X1377</f>
        <v>2986.3073523428384</v>
      </c>
      <c r="AA1389" s="135"/>
      <c r="AB1389" s="132">
        <f>IF(AA1382&lt;=0,W_max,ABS(AA$23-AA1388))</f>
        <v>13.249225379011854</v>
      </c>
      <c r="AC1389" s="151">
        <f>AA1377</f>
        <v>5816.5644811093262</v>
      </c>
      <c r="AD1389" s="135"/>
      <c r="AE1389" s="132">
        <f>IF(AD1382&lt;=0,W_max,ABS(AD$23-AD1388))</f>
        <v>57.660185584072003</v>
      </c>
      <c r="AF1389" s="151">
        <f>AD1377</f>
        <v>9566.1070394392464</v>
      </c>
      <c r="AG1389" s="135"/>
      <c r="AH1389" s="132">
        <f>IF(AG1382&lt;=0,W_max,ABS(AG$23-AG1388))</f>
        <v>7174</v>
      </c>
      <c r="AI1389" s="151">
        <f>AG1377</f>
        <v>13417.201580752229</v>
      </c>
      <c r="AJ1389" s="135"/>
      <c r="AK1389" s="132">
        <f>IF(AJ1382&lt;=0,W_max,ABS(AJ$23-AJ1388))</f>
        <v>7174</v>
      </c>
      <c r="AL1389" s="151">
        <f>AJ1377</f>
        <v>17036.285733418281</v>
      </c>
      <c r="AM1389" s="135"/>
      <c r="AN1389" s="132">
        <f>IF(AM1382&lt;=0,W_max,ABS(AM$23-AM1388))</f>
        <v>7174</v>
      </c>
      <c r="AO1389" s="151">
        <f>AM1377</f>
        <v>19976.384839824546</v>
      </c>
      <c r="AP1389" s="135"/>
      <c r="AQ1389" s="132">
        <f>IF(AP1382&lt;=0,W_max,ABS(AP$23-AP1388))</f>
        <v>7174</v>
      </c>
      <c r="AR1389" s="151">
        <f>AP1377</f>
        <v>22287.020246597149</v>
      </c>
      <c r="AS1389" s="135"/>
      <c r="AT1389" s="132">
        <f>IF(AS1382&lt;=0,W_max,ABS(AS$23-AS1388))</f>
        <v>7174</v>
      </c>
      <c r="AU1389" s="151">
        <f>AS1377</f>
        <v>24864.923030617483</v>
      </c>
    </row>
    <row r="1390" spans="13:47" ht="13" x14ac:dyDescent="0.25">
      <c r="M1390" s="12"/>
      <c r="N1390" s="12"/>
      <c r="O1390" s="12"/>
      <c r="P1390" s="12"/>
      <c r="Q1390" s="12"/>
      <c r="R1390" s="182"/>
      <c r="S1390" s="22"/>
      <c r="T1390" s="152"/>
      <c r="U1390" s="157"/>
      <c r="V1390" s="1"/>
      <c r="W1390" s="147"/>
      <c r="X1390" s="157"/>
      <c r="Y1390" s="1"/>
      <c r="Z1390" s="147"/>
      <c r="AA1390" s="157"/>
      <c r="AB1390" s="1"/>
      <c r="AC1390" s="147"/>
      <c r="AD1390" s="157"/>
      <c r="AE1390" s="1"/>
      <c r="AF1390" s="147"/>
      <c r="AG1390" s="157"/>
      <c r="AH1390" s="1"/>
      <c r="AI1390" s="147"/>
      <c r="AJ1390" s="157"/>
      <c r="AK1390" s="1"/>
      <c r="AL1390" s="147"/>
      <c r="AM1390" s="157"/>
      <c r="AN1390" s="1"/>
      <c r="AO1390" s="147"/>
      <c r="AP1390" s="157"/>
      <c r="AQ1390" s="1"/>
      <c r="AR1390" s="147"/>
      <c r="AS1390" s="157"/>
      <c r="AT1390" s="1"/>
      <c r="AU1390" s="147"/>
    </row>
    <row r="1391" spans="13:47" ht="14" x14ac:dyDescent="0.3">
      <c r="M1391" s="23"/>
      <c r="N1391" s="23"/>
      <c r="O1391" s="23" t="s">
        <v>238</v>
      </c>
      <c r="P1391" s="20"/>
      <c r="Q1391" s="20"/>
      <c r="R1391" s="18">
        <f>R1377*1.02</f>
        <v>78.166766603709547</v>
      </c>
      <c r="S1391" s="128" t="s">
        <v>185</v>
      </c>
      <c r="T1391" s="153" t="s">
        <v>186</v>
      </c>
      <c r="U1391" s="143">
        <f>U1377*1.01</f>
        <v>1219.5815988494658</v>
      </c>
      <c r="V1391" s="128" t="s">
        <v>185</v>
      </c>
      <c r="W1391" s="153" t="s">
        <v>186</v>
      </c>
      <c r="X1391" s="143">
        <f>X1377*1.01</f>
        <v>3016.1704258662667</v>
      </c>
      <c r="Y1391" s="128" t="s">
        <v>185</v>
      </c>
      <c r="Z1391" s="153" t="s">
        <v>186</v>
      </c>
      <c r="AA1391" s="143">
        <f>AA1377*1.01</f>
        <v>5874.7301259204196</v>
      </c>
      <c r="AB1391" s="128" t="s">
        <v>185</v>
      </c>
      <c r="AC1391" s="153" t="s">
        <v>186</v>
      </c>
      <c r="AD1391" s="143">
        <f>AD1377*1.01</f>
        <v>9661.7681098336398</v>
      </c>
      <c r="AE1391" s="128" t="s">
        <v>185</v>
      </c>
      <c r="AF1391" s="153" t="s">
        <v>186</v>
      </c>
      <c r="AG1391" s="143">
        <f>AG1377*1.01</f>
        <v>13551.373596559752</v>
      </c>
      <c r="AH1391" s="128" t="s">
        <v>185</v>
      </c>
      <c r="AI1391" s="153" t="s">
        <v>186</v>
      </c>
      <c r="AJ1391" s="143">
        <f>AJ1377*1.01</f>
        <v>17206.648590752462</v>
      </c>
      <c r="AK1391" s="128" t="s">
        <v>185</v>
      </c>
      <c r="AL1391" s="153" t="s">
        <v>186</v>
      </c>
      <c r="AM1391" s="143">
        <f>AM1377*1.01</f>
        <v>20176.148688222791</v>
      </c>
      <c r="AN1391" s="128" t="s">
        <v>185</v>
      </c>
      <c r="AO1391" s="153" t="s">
        <v>186</v>
      </c>
      <c r="AP1391" s="143">
        <f>AP1377*1.01</f>
        <v>22509.890449063121</v>
      </c>
      <c r="AQ1391" s="128" t="s">
        <v>185</v>
      </c>
      <c r="AR1391" s="153" t="s">
        <v>186</v>
      </c>
      <c r="AS1391" s="143">
        <f>AS1377*1.01</f>
        <v>25113.572260923658</v>
      </c>
      <c r="AT1391" s="128" t="s">
        <v>185</v>
      </c>
      <c r="AU1391" s="153" t="s">
        <v>186</v>
      </c>
    </row>
    <row r="1392" spans="13:47" ht="14" x14ac:dyDescent="0.3">
      <c r="M1392" s="12"/>
      <c r="N1392" s="12"/>
      <c r="O1392" s="20"/>
      <c r="P1392" s="20"/>
      <c r="Q1392" s="23"/>
      <c r="R1392" s="139"/>
      <c r="S1392" s="130" t="s">
        <v>228</v>
      </c>
      <c r="T1392" s="154" t="s">
        <v>187</v>
      </c>
      <c r="U1392" s="144"/>
      <c r="V1392" s="130" t="s">
        <v>228</v>
      </c>
      <c r="W1392" s="154" t="s">
        <v>187</v>
      </c>
      <c r="X1392" s="144"/>
      <c r="Y1392" s="130" t="s">
        <v>228</v>
      </c>
      <c r="Z1392" s="154" t="s">
        <v>187</v>
      </c>
      <c r="AA1392" s="144"/>
      <c r="AB1392" s="130" t="s">
        <v>228</v>
      </c>
      <c r="AC1392" s="154" t="s">
        <v>187</v>
      </c>
      <c r="AD1392" s="144"/>
      <c r="AE1392" s="130" t="s">
        <v>228</v>
      </c>
      <c r="AF1392" s="154" t="s">
        <v>187</v>
      </c>
      <c r="AG1392" s="144"/>
      <c r="AH1392" s="130" t="s">
        <v>228</v>
      </c>
      <c r="AI1392" s="154" t="s">
        <v>187</v>
      </c>
      <c r="AJ1392" s="144"/>
      <c r="AK1392" s="130" t="s">
        <v>228</v>
      </c>
      <c r="AL1392" s="154" t="s">
        <v>187</v>
      </c>
      <c r="AM1392" s="144"/>
      <c r="AN1392" s="130" t="s">
        <v>228</v>
      </c>
      <c r="AO1392" s="154" t="s">
        <v>187</v>
      </c>
      <c r="AP1392" s="144"/>
      <c r="AQ1392" s="130" t="s">
        <v>228</v>
      </c>
      <c r="AR1392" s="154" t="s">
        <v>187</v>
      </c>
      <c r="AS1392" s="144"/>
      <c r="AT1392" s="130" t="s">
        <v>228</v>
      </c>
      <c r="AU1392" s="154" t="s">
        <v>187</v>
      </c>
    </row>
    <row r="1393" spans="13:47" x14ac:dyDescent="0.25">
      <c r="M1393" s="20"/>
      <c r="N1393" s="20"/>
      <c r="O1393" s="7" t="s">
        <v>188</v>
      </c>
      <c r="P1393" s="7"/>
      <c r="Q1393" s="7"/>
      <c r="R1393" s="181">
        <f>P_1_minW-(R1391^2*R_up)+dpup_minQ</f>
        <v>100.52035028459881</v>
      </c>
      <c r="S1393" s="132"/>
      <c r="T1393" s="145"/>
      <c r="U1393" s="138">
        <f>P_1_minW-(U1391^2*R_up)+dpup_minQ</f>
        <v>99.929676644923092</v>
      </c>
      <c r="V1393" s="132"/>
      <c r="W1393" s="145"/>
      <c r="X1393" s="138">
        <f>P_1_minW-(X1391^2*R_up)+dpup_minQ</f>
        <v>96.895137046420004</v>
      </c>
      <c r="Y1393" s="132"/>
      <c r="Z1393" s="145"/>
      <c r="AA1393" s="138">
        <f>P_1_minW-(AA1391^2*R_up)+dpup_minQ</f>
        <v>86.760537175899316</v>
      </c>
      <c r="AB1393" s="132"/>
      <c r="AC1393" s="145"/>
      <c r="AD1393" s="138">
        <f>P_1_minW-(AD1391^2*R_up)+dpup_minQ</f>
        <v>63.298463800650381</v>
      </c>
      <c r="AE1393" s="132"/>
      <c r="AF1393" s="145"/>
      <c r="AG1393" s="138">
        <f>P_1_minW-(AG1391^2*R_up)+dpup_minQ</f>
        <v>27.294272197526524</v>
      </c>
      <c r="AH1393" s="132"/>
      <c r="AI1393" s="145"/>
      <c r="AJ1393" s="138">
        <f>P_1_minW-(AJ1391^2*R_up)+dpup_minQ</f>
        <v>-17.538134033321342</v>
      </c>
      <c r="AK1393" s="132"/>
      <c r="AL1393" s="145"/>
      <c r="AM1393" s="138">
        <f>P_1_minW-(AM1391^2*R_up)+dpup_minQ</f>
        <v>-61.803975774849263</v>
      </c>
      <c r="AN1393" s="132"/>
      <c r="AO1393" s="145"/>
      <c r="AP1393" s="138">
        <f>P_1_minW-(AP1391^2*R_up)+dpup_minQ</f>
        <v>-101.52790902345326</v>
      </c>
      <c r="AQ1393" s="132"/>
      <c r="AR1393" s="145"/>
      <c r="AS1393" s="138">
        <f>P_1_minW-(AS1391^2*R_up)+dpup_minQ</f>
        <v>-150.97291874967758</v>
      </c>
      <c r="AT1393" s="132"/>
      <c r="AU1393" s="145"/>
    </row>
    <row r="1394" spans="13:47" x14ac:dyDescent="0.25">
      <c r="M1394" s="20"/>
      <c r="N1394" s="20"/>
      <c r="O1394" s="7" t="s">
        <v>189</v>
      </c>
      <c r="P1394" s="1"/>
      <c r="Q1394" s="7"/>
      <c r="R1394" s="181">
        <f>P_2_minW+(R1391^2*R_dn)-dpdn_minQ</f>
        <v>50</v>
      </c>
      <c r="S1394" s="132"/>
      <c r="T1394" s="146"/>
      <c r="U1394" s="138">
        <f>P_2_minW+(U1391^2*R_dn)-dpdn_minQ</f>
        <v>50</v>
      </c>
      <c r="V1394" s="132"/>
      <c r="W1394" s="146"/>
      <c r="X1394" s="138">
        <f>P_2_minW+(X1391^2*R_dn)-dpdn_minQ</f>
        <v>50</v>
      </c>
      <c r="Y1394" s="132"/>
      <c r="Z1394" s="146"/>
      <c r="AA1394" s="138">
        <f>P_2_minW+(AA1391^2*R_dn)-dpdn_minQ</f>
        <v>50</v>
      </c>
      <c r="AB1394" s="132"/>
      <c r="AC1394" s="146"/>
      <c r="AD1394" s="138">
        <f>P_2_minW+(AD1391^2*R_dn)-dpdn_minQ</f>
        <v>50</v>
      </c>
      <c r="AE1394" s="132"/>
      <c r="AF1394" s="146"/>
      <c r="AG1394" s="138">
        <f>P_2_minW+(AG1391^2*R_dn)-dpdn_minQ</f>
        <v>50</v>
      </c>
      <c r="AH1394" s="132"/>
      <c r="AI1394" s="146"/>
      <c r="AJ1394" s="138">
        <f>P_2_minW+(AJ1391^2*R_dn)-dpdn_minQ</f>
        <v>50</v>
      </c>
      <c r="AK1394" s="132"/>
      <c r="AL1394" s="146"/>
      <c r="AM1394" s="138">
        <f>P_2_minW+(AM1391^2*R_dn)-dpdn_minQ</f>
        <v>50</v>
      </c>
      <c r="AN1394" s="132"/>
      <c r="AO1394" s="146"/>
      <c r="AP1394" s="138">
        <f>P_2_minW+(AP1391^2*R_dn)-dpdn_minQ</f>
        <v>50</v>
      </c>
      <c r="AQ1394" s="132"/>
      <c r="AR1394" s="146"/>
      <c r="AS1394" s="138">
        <f>P_2_minW+(AS1391^2*R_dn)-dpdn_minQ</f>
        <v>50</v>
      </c>
      <c r="AT1394" s="132"/>
      <c r="AU1394" s="146"/>
    </row>
    <row r="1395" spans="13:47" x14ac:dyDescent="0.25">
      <c r="M1395" s="20"/>
      <c r="N1395" s="20"/>
      <c r="O1395" s="7" t="s">
        <v>234</v>
      </c>
      <c r="P1395" s="1"/>
      <c r="Q1395" s="7"/>
      <c r="R1395" s="179">
        <f>'Valve Sizing'!G$8*R1393/P_1_maxW</f>
        <v>0.48489227322760947</v>
      </c>
      <c r="S1395" s="132"/>
      <c r="T1395" s="146"/>
      <c r="U1395" s="143">
        <f>'Valve Sizing'!$G$8*U1393/P_1_maxW</f>
        <v>0.48204296875277353</v>
      </c>
      <c r="V1395" s="132"/>
      <c r="W1395" s="146"/>
      <c r="X1395" s="143">
        <f>'Valve Sizing'!$G$8*X1393/P_1_maxW</f>
        <v>0.46740488999607022</v>
      </c>
      <c r="Y1395" s="132"/>
      <c r="Z1395" s="146"/>
      <c r="AA1395" s="143">
        <f>'Valve Sizing'!$G$8*AA1393/P_1_maxW</f>
        <v>0.41851738457497206</v>
      </c>
      <c r="AB1395" s="132"/>
      <c r="AC1395" s="146"/>
      <c r="AD1395" s="143">
        <f>'Valve Sizing'!$G$8*AD1393/P_1_maxW</f>
        <v>0.30534051977747156</v>
      </c>
      <c r="AE1395" s="132"/>
      <c r="AF1395" s="146"/>
      <c r="AG1395" s="143">
        <f>'Valve Sizing'!$G$8*AG1393/P_1_maxW</f>
        <v>0.13166270963522039</v>
      </c>
      <c r="AH1395" s="132"/>
      <c r="AI1395" s="146"/>
      <c r="AJ1395" s="143">
        <f>'Valve Sizing'!$G$8*AJ1393/P_1_maxW</f>
        <v>-8.4600836104434501E-2</v>
      </c>
      <c r="AK1395" s="132"/>
      <c r="AL1395" s="146"/>
      <c r="AM1395" s="143">
        <f>'Valve Sizing'!$G$8*AM1393/P_1_maxW</f>
        <v>-0.29813137561820002</v>
      </c>
      <c r="AN1395" s="132"/>
      <c r="AO1395" s="146"/>
      <c r="AP1395" s="143">
        <f>'Valve Sizing'!$G$8*AP1393/P_1_maxW</f>
        <v>-0.48975255719906646</v>
      </c>
      <c r="AQ1395" s="132"/>
      <c r="AR1395" s="146"/>
      <c r="AS1395" s="143">
        <f>'Valve Sizing'!$G$8*AS1393/P_1_maxW</f>
        <v>-0.7282664809769821</v>
      </c>
      <c r="AT1395" s="132"/>
      <c r="AU1395" s="146"/>
    </row>
    <row r="1396" spans="13:47" x14ac:dyDescent="0.25">
      <c r="M1396" s="20"/>
      <c r="N1396" s="20"/>
      <c r="O1396" s="7" t="s">
        <v>190</v>
      </c>
      <c r="P1396" s="1"/>
      <c r="Q1396" s="7"/>
      <c r="R1396" s="181">
        <f>R1393-R1394</f>
        <v>50.520350284598806</v>
      </c>
      <c r="S1396" s="132"/>
      <c r="T1396" s="146"/>
      <c r="U1396" s="138">
        <f>U1393-U1394</f>
        <v>49.929676644923092</v>
      </c>
      <c r="V1396" s="132"/>
      <c r="W1396" s="146"/>
      <c r="X1396" s="138">
        <f>X1393-X1394</f>
        <v>46.895137046420004</v>
      </c>
      <c r="Y1396" s="132"/>
      <c r="Z1396" s="146"/>
      <c r="AA1396" s="138">
        <f>AA1393-AA1394</f>
        <v>36.760537175899316</v>
      </c>
      <c r="AB1396" s="132"/>
      <c r="AC1396" s="146"/>
      <c r="AD1396" s="138">
        <f>AD1393-AD1394</f>
        <v>13.298463800650381</v>
      </c>
      <c r="AE1396" s="132"/>
      <c r="AF1396" s="146"/>
      <c r="AG1396" s="138">
        <f>AG1393-AG1394</f>
        <v>-22.705727802473476</v>
      </c>
      <c r="AH1396" s="132"/>
      <c r="AI1396" s="146"/>
      <c r="AJ1396" s="138">
        <f>AJ1393-AJ1394</f>
        <v>-67.538134033321342</v>
      </c>
      <c r="AK1396" s="132"/>
      <c r="AL1396" s="146"/>
      <c r="AM1396" s="138">
        <f>AM1393-AM1394</f>
        <v>-111.80397577484926</v>
      </c>
      <c r="AN1396" s="132"/>
      <c r="AO1396" s="146"/>
      <c r="AP1396" s="138">
        <f>AP1393-AP1394</f>
        <v>-151.52790902345328</v>
      </c>
      <c r="AQ1396" s="132"/>
      <c r="AR1396" s="146"/>
      <c r="AS1396" s="138">
        <f>AS1393-AS1394</f>
        <v>-200.97291874967758</v>
      </c>
      <c r="AT1396" s="132"/>
      <c r="AU1396" s="146"/>
    </row>
    <row r="1397" spans="13:47" ht="14.5" x14ac:dyDescent="0.35">
      <c r="M1397" s="27"/>
      <c r="N1397" s="27"/>
      <c r="O1397" s="2" t="s">
        <v>191</v>
      </c>
      <c r="P1397" s="10"/>
      <c r="Q1397" s="2"/>
      <c r="R1397" s="181">
        <f>R1396/R1393</f>
        <v>0.50258828328356175</v>
      </c>
      <c r="S1397" s="132"/>
      <c r="T1397" s="146"/>
      <c r="U1397" s="138">
        <f>U1396/U1393</f>
        <v>0.49964813578189199</v>
      </c>
      <c r="V1397" s="132"/>
      <c r="W1397" s="146"/>
      <c r="X1397" s="138">
        <f>X1396/X1393</f>
        <v>0.48397823127030343</v>
      </c>
      <c r="Y1397" s="132"/>
      <c r="Z1397" s="146"/>
      <c r="AA1397" s="138">
        <f>AA1396/AA1393</f>
        <v>0.42370112464115545</v>
      </c>
      <c r="AB1397" s="132"/>
      <c r="AC1397" s="146"/>
      <c r="AD1397" s="138">
        <f>AD1396/AD1393</f>
        <v>0.21009141458048688</v>
      </c>
      <c r="AE1397" s="132"/>
      <c r="AF1397" s="146"/>
      <c r="AG1397" s="138">
        <f>AG1396/AG1393</f>
        <v>-0.83188617883466132</v>
      </c>
      <c r="AH1397" s="132"/>
      <c r="AI1397" s="146"/>
      <c r="AJ1397" s="138">
        <f>AJ1396/AJ1393</f>
        <v>3.8509304299421578</v>
      </c>
      <c r="AK1397" s="132"/>
      <c r="AL1397" s="146"/>
      <c r="AM1397" s="138">
        <f>AM1396/AM1393</f>
        <v>1.8090094427282328</v>
      </c>
      <c r="AN1397" s="132"/>
      <c r="AO1397" s="146"/>
      <c r="AP1397" s="138">
        <f>AP1396/AP1393</f>
        <v>1.4924754235650599</v>
      </c>
      <c r="AQ1397" s="132"/>
      <c r="AR1397" s="146"/>
      <c r="AS1397" s="138">
        <f>AS1396/AS1393</f>
        <v>1.3311852245693354</v>
      </c>
      <c r="AT1397" s="132"/>
      <c r="AU1397" s="146"/>
    </row>
    <row r="1398" spans="13:47" x14ac:dyDescent="0.25">
      <c r="M1398" s="27"/>
      <c r="N1398" s="27"/>
      <c r="O1398" s="2" t="s">
        <v>26</v>
      </c>
      <c r="P1398" s="7">
        <v>12</v>
      </c>
      <c r="Q1398" s="2"/>
      <c r="R1398" s="181">
        <f>1-R1397/(3*F_GAMMA*R$29)</f>
        <v>0.73824626284212025</v>
      </c>
      <c r="S1398" s="133"/>
      <c r="T1398" s="146"/>
      <c r="U1398" s="138">
        <f>1-U1397/(3*F_GAMMA*U$29)</f>
        <v>0.73983481986134203</v>
      </c>
      <c r="V1398" s="133"/>
      <c r="W1398" s="146"/>
      <c r="X1398" s="138">
        <f>1-X1397/(3*F_GAMMA*X$29)</f>
        <v>0.74421359909684515</v>
      </c>
      <c r="Y1398" s="133"/>
      <c r="Z1398" s="146"/>
      <c r="AA1398" s="138">
        <f>1-AA1397/(3*F_GAMMA*AA$29)</f>
        <v>0.77300015180900505</v>
      </c>
      <c r="AB1398" s="133"/>
      <c r="AC1398" s="146"/>
      <c r="AD1398" s="138">
        <f>1-AD1397/(3*F_GAMMA*AD$29)</f>
        <v>0.88435646147932812</v>
      </c>
      <c r="AE1398" s="133"/>
      <c r="AF1398" s="146"/>
      <c r="AG1398" s="138">
        <f>1-AG1397/(3*F_GAMMA*AG$29)</f>
        <v>1.4840263961531885</v>
      </c>
      <c r="AH1398" s="133"/>
      <c r="AI1398" s="146"/>
      <c r="AJ1398" s="138">
        <f>1-AJ1397/(3*F_GAMMA*AJ$29)</f>
        <v>-1.3952675063011792</v>
      </c>
      <c r="AK1398" s="133"/>
      <c r="AL1398" s="146"/>
      <c r="AM1398" s="138">
        <f>1-AM1397/(3*F_GAMMA*AM$29)</f>
        <v>-0.22939389296446011</v>
      </c>
      <c r="AN1398" s="133"/>
      <c r="AO1398" s="146"/>
      <c r="AP1398" s="138">
        <f>1-AP1397/(3*F_GAMMA*AP$29)</f>
        <v>0.16180819210681663</v>
      </c>
      <c r="AQ1398" s="133"/>
      <c r="AR1398" s="146"/>
      <c r="AS1398" s="138">
        <f>1-AS1397/(3*F_GAMMA*AS$29)</f>
        <v>-0.13493592386465658</v>
      </c>
      <c r="AT1398" s="133"/>
      <c r="AU1398" s="146"/>
    </row>
    <row r="1399" spans="13:47" x14ac:dyDescent="0.25">
      <c r="M1399" s="27"/>
      <c r="N1399" s="27"/>
      <c r="O1399" s="2" t="s">
        <v>71</v>
      </c>
      <c r="P1399" s="85">
        <v>5</v>
      </c>
      <c r="Q1399" s="2"/>
      <c r="R1399" s="179">
        <f>R1391/((N_6*R$27*R1398)*SQRT(R1397*R1393*R1395))</f>
        <v>0.33799698916777554</v>
      </c>
      <c r="S1399" s="133"/>
      <c r="T1399" s="146"/>
      <c r="U1399" s="143">
        <f>U1391/((N_6*U$27*U1398)*SQRT(U1397*U1393*U1395))</f>
        <v>5.3121649939710966</v>
      </c>
      <c r="V1399" s="133"/>
      <c r="W1399" s="146"/>
      <c r="X1399" s="143">
        <f>X1391/((N_6*X$27*X1398)*SQRT(X1397*X1393*X1395))</f>
        <v>13.715981207292826</v>
      </c>
      <c r="Y1399" s="133"/>
      <c r="Z1399" s="146"/>
      <c r="AA1399" s="143">
        <f>AA1391/((N_6*AA$27*AA1398)*SQRT(AA1397*AA1393*AA1395))</f>
        <v>30.876664870051602</v>
      </c>
      <c r="AB1399" s="133"/>
      <c r="AC1399" s="146"/>
      <c r="AD1399" s="143">
        <f>AD1391/((N_6*AD$27*AD1398)*SQRT(AD1397*AD1393*AD1395))</f>
        <v>87.428030905256151</v>
      </c>
      <c r="AE1399" s="133"/>
      <c r="AF1399" s="146"/>
      <c r="AG1399" s="143" t="e">
        <f>AG1391/((N_6*AG$27*AG1398)*SQRT(AG1397*AG1393*AG1395))</f>
        <v>#NUM!</v>
      </c>
      <c r="AH1399" s="133"/>
      <c r="AI1399" s="146"/>
      <c r="AJ1399" s="143">
        <f>AJ1391/((N_6*AJ$27*AJ1398)*SQRT(AJ1397*AJ1393*AJ1395))</f>
        <v>-87.906633565951807</v>
      </c>
      <c r="AK1399" s="133"/>
      <c r="AL1399" s="146"/>
      <c r="AM1399" s="143">
        <f>AM1391/((N_6*AM$27*AM1398)*SQRT(AM1397*AM1393*AM1395))</f>
        <v>-275.51984938621081</v>
      </c>
      <c r="AN1399" s="133"/>
      <c r="AO1399" s="146"/>
      <c r="AP1399" s="143">
        <f>AP1391/((N_6*AP$27*AP1398)*SQRT(AP1397*AP1393*AP1395))</f>
        <v>331.757895463578</v>
      </c>
      <c r="AQ1399" s="133"/>
      <c r="AR1399" s="146"/>
      <c r="AS1399" s="143">
        <f>AS1391/((N_6*AS$27*AS1398)*SQRT(AS1397*AS1393*AS1395))</f>
        <v>-415.27659676201182</v>
      </c>
      <c r="AT1399" s="133"/>
      <c r="AU1399" s="146"/>
    </row>
    <row r="1400" spans="13:47" x14ac:dyDescent="0.25">
      <c r="M1400" s="27"/>
      <c r="N1400" s="27"/>
      <c r="O1400" s="2" t="s">
        <v>73</v>
      </c>
      <c r="P1400" s="85">
        <v>5</v>
      </c>
      <c r="Q1400" s="2"/>
      <c r="R1400" s="179">
        <f>R1391/((N_6*R$27*0.667)*SQRT(R1401*R1393*R1395))</f>
        <v>0.3315090033309262</v>
      </c>
      <c r="S1400" s="133"/>
      <c r="T1400" s="155"/>
      <c r="U1400" s="143">
        <f>U1391/((N_6*U$27*0.667)*SQRT(U1401*U1393*U1395))</f>
        <v>5.2055389681844844</v>
      </c>
      <c r="V1400" s="133"/>
      <c r="W1400" s="155"/>
      <c r="X1400" s="143">
        <f>X1391/((N_6*X$27*0.667)*SQRT(X1401*X1393*X1395))</f>
        <v>13.405962557272611</v>
      </c>
      <c r="Y1400" s="133"/>
      <c r="Z1400" s="155"/>
      <c r="AA1400" s="143">
        <f>AA1391/((N_6*AA$27*0.667)*SQRT(AA1401*AA1393*AA1395))</f>
        <v>29.529598362805217</v>
      </c>
      <c r="AB1400" s="133"/>
      <c r="AC1400" s="155"/>
      <c r="AD1400" s="143">
        <f>AD1391/((N_6*AD$27*0.667)*SQRT(AD1401*AD1393*AD1395))</f>
        <v>68.276858398589994</v>
      </c>
      <c r="AE1400" s="133"/>
      <c r="AF1400" s="155"/>
      <c r="AG1400" s="143">
        <f>AG1391/((N_6*AG$27*0.667)*SQRT(AG1401*AG1393*AG1395))</f>
        <v>233.25912792641941</v>
      </c>
      <c r="AH1400" s="133"/>
      <c r="AI1400" s="155"/>
      <c r="AJ1400" s="143">
        <f>AJ1391/((N_6*AJ$27*0.667)*SQRT(AJ1401*AJ1393*AJ1395))</f>
        <v>492.93645107652702</v>
      </c>
      <c r="AK1400" s="133"/>
      <c r="AL1400" s="155"/>
      <c r="AM1400" s="143">
        <f>AM1391/((N_6*AM$27*0.667)*SQRT(AM1401*AM1393*AM1395))</f>
        <v>181.97639749288015</v>
      </c>
      <c r="AN1400" s="133"/>
      <c r="AO1400" s="155"/>
      <c r="AP1400" s="143">
        <f>AP1391/((N_6*AP$27*0.667)*SQRT(AP1401*AP1393*AP1395))</f>
        <v>127.62280106782127</v>
      </c>
      <c r="AQ1400" s="133"/>
      <c r="AR1400" s="155"/>
      <c r="AS1400" s="143">
        <f>AS1391/((N_6*AS$27*0.667)*SQRT(AS1401*AS1393*AS1395))</f>
        <v>155.01920614867578</v>
      </c>
      <c r="AT1400" s="133"/>
      <c r="AU1400" s="155"/>
    </row>
    <row r="1401" spans="13:47" ht="15.5" x14ac:dyDescent="0.4">
      <c r="M1401" s="27"/>
      <c r="N1401" s="27"/>
      <c r="O1401" s="2" t="s">
        <v>192</v>
      </c>
      <c r="P1401" s="85">
        <v>10</v>
      </c>
      <c r="Q1401" s="2"/>
      <c r="R1401" s="181">
        <f>F_GAMMA*R$29</f>
        <v>0.64002688015162901</v>
      </c>
      <c r="S1401" s="133"/>
      <c r="T1401" s="155"/>
      <c r="U1401" s="138">
        <f>F_GAMMA*U$29</f>
        <v>0.64016782916606918</v>
      </c>
      <c r="V1401" s="133"/>
      <c r="W1401" s="155"/>
      <c r="X1401" s="138">
        <f>F_GAMMA*X$29</f>
        <v>0.6307062319203669</v>
      </c>
      <c r="Y1401" s="133"/>
      <c r="Z1401" s="155"/>
      <c r="AA1401" s="138">
        <f>F_GAMMA*AA$29</f>
        <v>0.62217534213893466</v>
      </c>
      <c r="AB1401" s="133"/>
      <c r="AC1401" s="155"/>
      <c r="AD1401" s="138">
        <f>F_GAMMA*AD$29</f>
        <v>0.60557184969146072</v>
      </c>
      <c r="AE1401" s="133"/>
      <c r="AF1401" s="155"/>
      <c r="AG1401" s="138">
        <f>F_GAMMA*AG$29</f>
        <v>0.57289312142622573</v>
      </c>
      <c r="AH1401" s="133"/>
      <c r="AI1401" s="155"/>
      <c r="AJ1401" s="138">
        <f>F_GAMMA*AJ$29</f>
        <v>0.53590819116049981</v>
      </c>
      <c r="AK1401" s="133"/>
      <c r="AL1401" s="155"/>
      <c r="AM1401" s="138">
        <f>F_GAMMA*AM$29</f>
        <v>0.49048815926850342</v>
      </c>
      <c r="AN1401" s="133"/>
      <c r="AO1401" s="155"/>
      <c r="AP1401" s="138">
        <f>F_GAMMA*AP$29</f>
        <v>0.59352979016280105</v>
      </c>
      <c r="AQ1401" s="133"/>
      <c r="AR1401" s="155"/>
      <c r="AS1401" s="138">
        <f>F_GAMMA*AS$29</f>
        <v>0.39097221161068291</v>
      </c>
      <c r="AT1401" s="133"/>
      <c r="AU1401" s="155"/>
    </row>
    <row r="1402" spans="13:47" x14ac:dyDescent="0.25">
      <c r="M1402" s="27"/>
      <c r="N1402" s="27"/>
      <c r="O1402" s="2" t="s">
        <v>193</v>
      </c>
      <c r="P1402" s="134"/>
      <c r="Q1402" s="2"/>
      <c r="R1402" s="181">
        <f>IF(R1397&lt;R1401,R1399,R1400)</f>
        <v>0.33799698916777554</v>
      </c>
      <c r="S1402" s="133"/>
      <c r="T1402" s="155"/>
      <c r="U1402" s="138">
        <f>IF(U1397&lt;U1401,U1399,U1400)</f>
        <v>5.3121649939710966</v>
      </c>
      <c r="V1402" s="133"/>
      <c r="W1402" s="155"/>
      <c r="X1402" s="138">
        <f>IF(X1397&lt;X1401,X1399,X1400)</f>
        <v>13.715981207292826</v>
      </c>
      <c r="Y1402" s="133"/>
      <c r="Z1402" s="155"/>
      <c r="AA1402" s="138">
        <f>IF(AA1397&lt;AA1401,AA1399,AA1400)</f>
        <v>30.876664870051602</v>
      </c>
      <c r="AB1402" s="133"/>
      <c r="AC1402" s="155"/>
      <c r="AD1402" s="138">
        <f>IF(AD1397&lt;AD1401,AD1399,AD1400)</f>
        <v>87.428030905256151</v>
      </c>
      <c r="AE1402" s="133"/>
      <c r="AF1402" s="155"/>
      <c r="AG1402" s="138" t="e">
        <f>IF(AG1397&lt;AG1401,AG1399,AG1400)</f>
        <v>#NUM!</v>
      </c>
      <c r="AH1402" s="133"/>
      <c r="AI1402" s="155"/>
      <c r="AJ1402" s="138">
        <f>IF(AJ1397&lt;AJ1401,AJ1399,AJ1400)</f>
        <v>492.93645107652702</v>
      </c>
      <c r="AK1402" s="133"/>
      <c r="AL1402" s="155"/>
      <c r="AM1402" s="138">
        <f>IF(AM1397&lt;AM1401,AM1399,AM1400)</f>
        <v>181.97639749288015</v>
      </c>
      <c r="AN1402" s="133"/>
      <c r="AO1402" s="155"/>
      <c r="AP1402" s="138">
        <f>IF(AP1397&lt;AP1401,AP1399,AP1400)</f>
        <v>127.62280106782127</v>
      </c>
      <c r="AQ1402" s="133"/>
      <c r="AR1402" s="155"/>
      <c r="AS1402" s="138">
        <f>IF(AS1397&lt;AS1401,AS1399,AS1400)</f>
        <v>155.01920614867578</v>
      </c>
      <c r="AT1402" s="133"/>
      <c r="AU1402" s="155"/>
    </row>
    <row r="1403" spans="13:47" ht="13" x14ac:dyDescent="0.3">
      <c r="M1403" s="28"/>
      <c r="N1403" s="28"/>
      <c r="O1403" s="9" t="s">
        <v>194</v>
      </c>
      <c r="P1403" s="1"/>
      <c r="Q1403" s="1"/>
      <c r="R1403" s="135"/>
      <c r="S1403" s="132">
        <f>IF(R1396&lt;=0,W_max,ABS(R$23-R1402))</f>
        <v>1.6620030108322243</v>
      </c>
      <c r="T1403" s="151">
        <f>R1391</f>
        <v>78.166766603709547</v>
      </c>
      <c r="U1403" s="135"/>
      <c r="V1403" s="132">
        <f>IF(U1396&lt;=0,W_max,ABS(U$23-U1402))</f>
        <v>0.31216499397109665</v>
      </c>
      <c r="W1403" s="151">
        <f>U1391</f>
        <v>1219.5815988494658</v>
      </c>
      <c r="X1403" s="135"/>
      <c r="Y1403" s="132">
        <f>IF(X1396&lt;=0,W_max,ABS(X$23-X1402))</f>
        <v>3.7159812072928258</v>
      </c>
      <c r="Z1403" s="151">
        <f>X1391</f>
        <v>3016.1704258662667</v>
      </c>
      <c r="AA1403" s="135"/>
      <c r="AB1403" s="132">
        <f>IF(AA1396&lt;=0,W_max,ABS(AA$23-AA1402))</f>
        <v>13.676664870051603</v>
      </c>
      <c r="AC1403" s="151">
        <f>AA1391</f>
        <v>5874.7301259204196</v>
      </c>
      <c r="AD1403" s="135"/>
      <c r="AE1403" s="132">
        <f>IF(AD1396&lt;=0,W_max,ABS(AD$23-AD1402))</f>
        <v>60.828030905256149</v>
      </c>
      <c r="AF1403" s="151">
        <f>AD1391</f>
        <v>9661.7681098336398</v>
      </c>
      <c r="AG1403" s="135"/>
      <c r="AH1403" s="132">
        <f>IF(AG1396&lt;=0,W_max,ABS(AG$23-AG1402))</f>
        <v>7174</v>
      </c>
      <c r="AI1403" s="151">
        <f>AG1391</f>
        <v>13551.373596559752</v>
      </c>
      <c r="AJ1403" s="135"/>
      <c r="AK1403" s="132">
        <f>IF(AJ1396&lt;=0,W_max,ABS(AJ$23-AJ1402))</f>
        <v>7174</v>
      </c>
      <c r="AL1403" s="151">
        <f>AJ1391</f>
        <v>17206.648590752462</v>
      </c>
      <c r="AM1403" s="135"/>
      <c r="AN1403" s="132">
        <f>IF(AM1396&lt;=0,W_max,ABS(AM$23-AM1402))</f>
        <v>7174</v>
      </c>
      <c r="AO1403" s="151">
        <f>AM1391</f>
        <v>20176.148688222791</v>
      </c>
      <c r="AP1403" s="135"/>
      <c r="AQ1403" s="132">
        <f>IF(AP1396&lt;=0,W_max,ABS(AP$23-AP1402))</f>
        <v>7174</v>
      </c>
      <c r="AR1403" s="151">
        <f>AP1391</f>
        <v>22509.890449063121</v>
      </c>
      <c r="AS1403" s="135"/>
      <c r="AT1403" s="132">
        <f>IF(AS1396&lt;=0,W_max,ABS(AS$23-AS1402))</f>
        <v>7174</v>
      </c>
      <c r="AU1403" s="151">
        <f>AS1391</f>
        <v>25113.572260923658</v>
      </c>
    </row>
    <row r="1404" spans="13:47" ht="13" x14ac:dyDescent="0.25">
      <c r="M1404" s="12"/>
      <c r="N1404" s="12"/>
      <c r="O1404" s="2"/>
      <c r="P1404" s="85"/>
      <c r="Q1404" s="2"/>
      <c r="R1404" s="18"/>
      <c r="S1404" s="150"/>
      <c r="T1404" s="152"/>
      <c r="U1404" s="157"/>
      <c r="V1404" s="1"/>
      <c r="W1404" s="147"/>
      <c r="X1404" s="157"/>
      <c r="Y1404" s="1"/>
      <c r="Z1404" s="147"/>
      <c r="AA1404" s="157"/>
      <c r="AB1404" s="1"/>
      <c r="AC1404" s="147"/>
      <c r="AD1404" s="157"/>
      <c r="AE1404" s="1"/>
      <c r="AF1404" s="147"/>
      <c r="AG1404" s="157"/>
      <c r="AH1404" s="1"/>
      <c r="AI1404" s="147"/>
      <c r="AJ1404" s="157"/>
      <c r="AK1404" s="1"/>
      <c r="AL1404" s="147"/>
      <c r="AM1404" s="157"/>
      <c r="AN1404" s="1"/>
      <c r="AO1404" s="147"/>
      <c r="AP1404" s="157"/>
      <c r="AQ1404" s="1"/>
      <c r="AR1404" s="147"/>
      <c r="AS1404" s="157"/>
      <c r="AT1404" s="1"/>
      <c r="AU1404" s="147"/>
    </row>
    <row r="1405" spans="13:47" ht="14" x14ac:dyDescent="0.3">
      <c r="M1405" s="23"/>
      <c r="N1405" s="23"/>
      <c r="O1405" s="23" t="s">
        <v>238</v>
      </c>
      <c r="P1405" s="20"/>
      <c r="Q1405" s="20"/>
      <c r="R1405" s="181">
        <f>R1391*1.02</f>
        <v>79.730101935783736</v>
      </c>
      <c r="S1405" s="128" t="s">
        <v>185</v>
      </c>
      <c r="T1405" s="153" t="s">
        <v>186</v>
      </c>
      <c r="U1405" s="143">
        <f>U1391*1.01</f>
        <v>1231.7774148379604</v>
      </c>
      <c r="V1405" s="128" t="s">
        <v>185</v>
      </c>
      <c r="W1405" s="153" t="s">
        <v>186</v>
      </c>
      <c r="X1405" s="143">
        <f>X1391*1.01</f>
        <v>3046.3321301249293</v>
      </c>
      <c r="Y1405" s="128" t="s">
        <v>185</v>
      </c>
      <c r="Z1405" s="153" t="s">
        <v>186</v>
      </c>
      <c r="AA1405" s="143">
        <f>AA1391*1.01</f>
        <v>5933.4774271796241</v>
      </c>
      <c r="AB1405" s="128" t="s">
        <v>185</v>
      </c>
      <c r="AC1405" s="153" t="s">
        <v>186</v>
      </c>
      <c r="AD1405" s="143">
        <f>AD1391*1.01</f>
        <v>9758.3857909319759</v>
      </c>
      <c r="AE1405" s="128" t="s">
        <v>185</v>
      </c>
      <c r="AF1405" s="153" t="s">
        <v>186</v>
      </c>
      <c r="AG1405" s="143">
        <f>AG1391*1.01</f>
        <v>13686.88733252535</v>
      </c>
      <c r="AH1405" s="128" t="s">
        <v>185</v>
      </c>
      <c r="AI1405" s="153" t="s">
        <v>186</v>
      </c>
      <c r="AJ1405" s="143">
        <f>AJ1391*1.01</f>
        <v>17378.715076659988</v>
      </c>
      <c r="AK1405" s="128" t="s">
        <v>185</v>
      </c>
      <c r="AL1405" s="153" t="s">
        <v>186</v>
      </c>
      <c r="AM1405" s="143">
        <f>AM1391*1.01</f>
        <v>20377.910175105018</v>
      </c>
      <c r="AN1405" s="128" t="s">
        <v>185</v>
      </c>
      <c r="AO1405" s="153" t="s">
        <v>186</v>
      </c>
      <c r="AP1405" s="143">
        <f>AP1391*1.01</f>
        <v>22734.989353553752</v>
      </c>
      <c r="AQ1405" s="128" t="s">
        <v>185</v>
      </c>
      <c r="AR1405" s="153" t="s">
        <v>186</v>
      </c>
      <c r="AS1405" s="143">
        <f>AS1391*1.01</f>
        <v>25364.707983532895</v>
      </c>
      <c r="AT1405" s="128" t="s">
        <v>185</v>
      </c>
      <c r="AU1405" s="153" t="s">
        <v>186</v>
      </c>
    </row>
    <row r="1406" spans="13:47" ht="14" x14ac:dyDescent="0.3">
      <c r="M1406" s="12"/>
      <c r="N1406" s="12"/>
      <c r="O1406" s="20"/>
      <c r="P1406" s="20"/>
      <c r="Q1406" s="23"/>
      <c r="R1406" s="139"/>
      <c r="S1406" s="130" t="s">
        <v>228</v>
      </c>
      <c r="T1406" s="154" t="s">
        <v>187</v>
      </c>
      <c r="U1406" s="144"/>
      <c r="V1406" s="130" t="s">
        <v>228</v>
      </c>
      <c r="W1406" s="154" t="s">
        <v>187</v>
      </c>
      <c r="X1406" s="144"/>
      <c r="Y1406" s="130" t="s">
        <v>228</v>
      </c>
      <c r="Z1406" s="154" t="s">
        <v>187</v>
      </c>
      <c r="AA1406" s="144"/>
      <c r="AB1406" s="130" t="s">
        <v>228</v>
      </c>
      <c r="AC1406" s="154" t="s">
        <v>187</v>
      </c>
      <c r="AD1406" s="144"/>
      <c r="AE1406" s="130" t="s">
        <v>228</v>
      </c>
      <c r="AF1406" s="154" t="s">
        <v>187</v>
      </c>
      <c r="AG1406" s="144"/>
      <c r="AH1406" s="130" t="s">
        <v>228</v>
      </c>
      <c r="AI1406" s="154" t="s">
        <v>187</v>
      </c>
      <c r="AJ1406" s="144"/>
      <c r="AK1406" s="130" t="s">
        <v>228</v>
      </c>
      <c r="AL1406" s="154" t="s">
        <v>187</v>
      </c>
      <c r="AM1406" s="144"/>
      <c r="AN1406" s="130" t="s">
        <v>228</v>
      </c>
      <c r="AO1406" s="154" t="s">
        <v>187</v>
      </c>
      <c r="AP1406" s="144"/>
      <c r="AQ1406" s="130" t="s">
        <v>228</v>
      </c>
      <c r="AR1406" s="154" t="s">
        <v>187</v>
      </c>
      <c r="AS1406" s="144"/>
      <c r="AT1406" s="130" t="s">
        <v>228</v>
      </c>
      <c r="AU1406" s="154" t="s">
        <v>187</v>
      </c>
    </row>
    <row r="1407" spans="13:47" x14ac:dyDescent="0.25">
      <c r="M1407" s="20"/>
      <c r="N1407" s="20"/>
      <c r="O1407" s="7" t="s">
        <v>188</v>
      </c>
      <c r="P1407" s="7"/>
      <c r="Q1407" s="7"/>
      <c r="R1407" s="181">
        <f>P_1_minW-(R1405^2*R_up)+dpup_minQ</f>
        <v>100.52025185193284</v>
      </c>
      <c r="S1407" s="132"/>
      <c r="T1407" s="145"/>
      <c r="U1407" s="138">
        <f>P_1_minW-(U1405^2*R_up)+dpup_minQ</f>
        <v>99.917755132077843</v>
      </c>
      <c r="V1407" s="132"/>
      <c r="W1407" s="145"/>
      <c r="X1407" s="138">
        <f>P_1_minW-(X1405^2*R_up)+dpup_minQ</f>
        <v>96.822221287644837</v>
      </c>
      <c r="Y1407" s="132"/>
      <c r="Z1407" s="145"/>
      <c r="AA1407" s="138">
        <f>P_1_minW-(AA1405^2*R_up)+dpup_minQ</f>
        <v>86.483915959726673</v>
      </c>
      <c r="AB1407" s="132"/>
      <c r="AC1407" s="145"/>
      <c r="AD1407" s="138">
        <f>P_1_minW-(AD1405^2*R_up)+dpup_minQ</f>
        <v>62.55025490963525</v>
      </c>
      <c r="AE1407" s="132"/>
      <c r="AF1407" s="145"/>
      <c r="AG1407" s="138">
        <f>P_1_minW-(AG1405^2*R_up)+dpup_minQ</f>
        <v>25.822379055288593</v>
      </c>
      <c r="AH1407" s="132"/>
      <c r="AI1407" s="145"/>
      <c r="AJ1407" s="138">
        <f>P_1_minW-(AJ1405^2*R_up)+dpup_minQ</f>
        <v>-19.91115854079932</v>
      </c>
      <c r="AK1407" s="132"/>
      <c r="AL1407" s="145"/>
      <c r="AM1407" s="138">
        <f>P_1_minW-(AM1405^2*R_up)+dpup_minQ</f>
        <v>-65.066743701331959</v>
      </c>
      <c r="AN1407" s="132"/>
      <c r="AO1407" s="145"/>
      <c r="AP1407" s="138">
        <f>P_1_minW-(AP1405^2*R_up)+dpup_minQ</f>
        <v>-105.58912800823286</v>
      </c>
      <c r="AQ1407" s="132"/>
      <c r="AR1407" s="145"/>
      <c r="AS1407" s="138">
        <f>P_1_minW-(AS1405^2*R_up)+dpup_minQ</f>
        <v>-156.02798242995433</v>
      </c>
      <c r="AT1407" s="132"/>
      <c r="AU1407" s="145"/>
    </row>
    <row r="1408" spans="13:47" x14ac:dyDescent="0.25">
      <c r="M1408" s="20"/>
      <c r="N1408" s="20"/>
      <c r="O1408" s="7" t="s">
        <v>189</v>
      </c>
      <c r="P1408" s="1"/>
      <c r="Q1408" s="7"/>
      <c r="R1408" s="181">
        <f>P_2_minW+(R1405^2*R_dn)-dpdn_minQ</f>
        <v>50</v>
      </c>
      <c r="S1408" s="132"/>
      <c r="T1408" s="146"/>
      <c r="U1408" s="138">
        <f>P_2_minW+(U1405^2*R_dn)-dpdn_minQ</f>
        <v>50</v>
      </c>
      <c r="V1408" s="132"/>
      <c r="W1408" s="146"/>
      <c r="X1408" s="138">
        <f>P_2_minW+(X1405^2*R_dn)-dpdn_minQ</f>
        <v>50</v>
      </c>
      <c r="Y1408" s="132"/>
      <c r="Z1408" s="146"/>
      <c r="AA1408" s="138">
        <f>P_2_minW+(AA1405^2*R_dn)-dpdn_minQ</f>
        <v>50</v>
      </c>
      <c r="AB1408" s="132"/>
      <c r="AC1408" s="146"/>
      <c r="AD1408" s="138">
        <f>P_2_minW+(AD1405^2*R_dn)-dpdn_minQ</f>
        <v>50</v>
      </c>
      <c r="AE1408" s="132"/>
      <c r="AF1408" s="146"/>
      <c r="AG1408" s="138">
        <f>P_2_minW+(AG1405^2*R_dn)-dpdn_minQ</f>
        <v>50</v>
      </c>
      <c r="AH1408" s="132"/>
      <c r="AI1408" s="146"/>
      <c r="AJ1408" s="138">
        <f>P_2_minW+(AJ1405^2*R_dn)-dpdn_minQ</f>
        <v>50</v>
      </c>
      <c r="AK1408" s="132"/>
      <c r="AL1408" s="146"/>
      <c r="AM1408" s="138">
        <f>P_2_minW+(AM1405^2*R_dn)-dpdn_minQ</f>
        <v>50</v>
      </c>
      <c r="AN1408" s="132"/>
      <c r="AO1408" s="146"/>
      <c r="AP1408" s="138">
        <f>P_2_minW+(AP1405^2*R_dn)-dpdn_minQ</f>
        <v>50</v>
      </c>
      <c r="AQ1408" s="132"/>
      <c r="AR1408" s="146"/>
      <c r="AS1408" s="138">
        <f>P_2_minW+(AS1405^2*R_dn)-dpdn_minQ</f>
        <v>50</v>
      </c>
      <c r="AT1408" s="132"/>
      <c r="AU1408" s="146"/>
    </row>
    <row r="1409" spans="13:47" x14ac:dyDescent="0.25">
      <c r="M1409" s="20"/>
      <c r="N1409" s="20"/>
      <c r="O1409" s="7" t="s">
        <v>234</v>
      </c>
      <c r="P1409" s="1"/>
      <c r="Q1409" s="7"/>
      <c r="R1409" s="179">
        <f>'Valve Sizing'!G$8*R1407/P_1_maxW</f>
        <v>0.4848917984059537</v>
      </c>
      <c r="S1409" s="132"/>
      <c r="T1409" s="146"/>
      <c r="U1409" s="143">
        <f>'Valve Sizing'!$G$8*U1407/P_1_maxW</f>
        <v>0.48198546149730259</v>
      </c>
      <c r="V1409" s="132"/>
      <c r="W1409" s="146"/>
      <c r="X1409" s="143">
        <f>'Valve Sizing'!$G$8*X1407/P_1_maxW</f>
        <v>0.46705315735758957</v>
      </c>
      <c r="Y1409" s="132"/>
      <c r="Z1409" s="146"/>
      <c r="AA1409" s="143">
        <f>'Valve Sizing'!$G$8*AA1407/P_1_maxW</f>
        <v>0.41718301307752725</v>
      </c>
      <c r="AB1409" s="132"/>
      <c r="AC1409" s="146"/>
      <c r="AD1409" s="143">
        <f>'Valve Sizing'!$G$8*AD1407/P_1_maxW</f>
        <v>0.30173129329759707</v>
      </c>
      <c r="AE1409" s="132"/>
      <c r="AF1409" s="146"/>
      <c r="AG1409" s="143">
        <f>'Valve Sizing'!$G$8*AG1407/P_1_maxW</f>
        <v>0.12456255917148658</v>
      </c>
      <c r="AH1409" s="132"/>
      <c r="AI1409" s="146"/>
      <c r="AJ1409" s="143">
        <f>'Valve Sizing'!$G$8*AJ1407/P_1_maxW</f>
        <v>-9.6047883837535403E-2</v>
      </c>
      <c r="AK1409" s="132"/>
      <c r="AL1409" s="146"/>
      <c r="AM1409" s="143">
        <f>'Valve Sizing'!$G$8*AM1407/P_1_maxW</f>
        <v>-0.31387038719552762</v>
      </c>
      <c r="AN1409" s="132"/>
      <c r="AO1409" s="146"/>
      <c r="AP1409" s="143">
        <f>'Valve Sizing'!$G$8*AP1407/P_1_maxW</f>
        <v>-0.50934315452616929</v>
      </c>
      <c r="AQ1409" s="132"/>
      <c r="AR1409" s="146"/>
      <c r="AS1409" s="143">
        <f>'Valve Sizing'!$G$8*AS1407/P_1_maxW</f>
        <v>-0.75265120817202125</v>
      </c>
      <c r="AT1409" s="132"/>
      <c r="AU1409" s="146"/>
    </row>
    <row r="1410" spans="13:47" x14ac:dyDescent="0.25">
      <c r="M1410" s="20"/>
      <c r="N1410" s="20"/>
      <c r="O1410" s="7" t="s">
        <v>190</v>
      </c>
      <c r="P1410" s="1"/>
      <c r="Q1410" s="7"/>
      <c r="R1410" s="181">
        <f>R1407-R1408</f>
        <v>50.520251851932841</v>
      </c>
      <c r="S1410" s="132"/>
      <c r="T1410" s="146"/>
      <c r="U1410" s="138">
        <f>U1407-U1408</f>
        <v>49.917755132077843</v>
      </c>
      <c r="V1410" s="132"/>
      <c r="W1410" s="146"/>
      <c r="X1410" s="138">
        <f>X1407-X1408</f>
        <v>46.822221287644837</v>
      </c>
      <c r="Y1410" s="132"/>
      <c r="Z1410" s="146"/>
      <c r="AA1410" s="138">
        <f>AA1407-AA1408</f>
        <v>36.483915959726673</v>
      </c>
      <c r="AB1410" s="132"/>
      <c r="AC1410" s="146"/>
      <c r="AD1410" s="138">
        <f>AD1407-AD1408</f>
        <v>12.55025490963525</v>
      </c>
      <c r="AE1410" s="132"/>
      <c r="AF1410" s="146"/>
      <c r="AG1410" s="138">
        <f>AG1407-AG1408</f>
        <v>-24.177620944711407</v>
      </c>
      <c r="AH1410" s="132"/>
      <c r="AI1410" s="146"/>
      <c r="AJ1410" s="138">
        <f>AJ1407-AJ1408</f>
        <v>-69.91115854079932</v>
      </c>
      <c r="AK1410" s="132"/>
      <c r="AL1410" s="146"/>
      <c r="AM1410" s="138">
        <f>AM1407-AM1408</f>
        <v>-115.06674370133196</v>
      </c>
      <c r="AN1410" s="132"/>
      <c r="AO1410" s="146"/>
      <c r="AP1410" s="138">
        <f>AP1407-AP1408</f>
        <v>-155.58912800823288</v>
      </c>
      <c r="AQ1410" s="132"/>
      <c r="AR1410" s="146"/>
      <c r="AS1410" s="138">
        <f>AS1407-AS1408</f>
        <v>-206.02798242995433</v>
      </c>
      <c r="AT1410" s="132"/>
      <c r="AU1410" s="146"/>
    </row>
    <row r="1411" spans="13:47" ht="14.5" x14ac:dyDescent="0.35">
      <c r="M1411" s="27"/>
      <c r="N1411" s="27"/>
      <c r="O1411" s="2" t="s">
        <v>191</v>
      </c>
      <c r="P1411" s="10"/>
      <c r="Q1411" s="2"/>
      <c r="R1411" s="181">
        <f>R1410/R1407</f>
        <v>0.502587796201999</v>
      </c>
      <c r="S1411" s="132"/>
      <c r="T1411" s="146"/>
      <c r="U1411" s="138">
        <f>U1410/U1407</f>
        <v>0.49958843717108414</v>
      </c>
      <c r="V1411" s="132"/>
      <c r="W1411" s="146"/>
      <c r="X1411" s="138">
        <f>X1410/X1407</f>
        <v>0.48358962090471752</v>
      </c>
      <c r="Y1411" s="132"/>
      <c r="Z1411" s="146"/>
      <c r="AA1411" s="138">
        <f>AA1410/AA1407</f>
        <v>0.42185781662241439</v>
      </c>
      <c r="AB1411" s="132"/>
      <c r="AC1411" s="146"/>
      <c r="AD1411" s="138">
        <f>AD1410/AD1407</f>
        <v>0.20064274602503668</v>
      </c>
      <c r="AE1411" s="132"/>
      <c r="AF1411" s="146"/>
      <c r="AG1411" s="138">
        <f>AG1410/AG1407</f>
        <v>-0.93630493506986423</v>
      </c>
      <c r="AH1411" s="132"/>
      <c r="AI1411" s="146"/>
      <c r="AJ1411" s="138">
        <f>AJ1410/AJ1407</f>
        <v>3.511154732535859</v>
      </c>
      <c r="AK1411" s="132"/>
      <c r="AL1411" s="146"/>
      <c r="AM1411" s="138">
        <f>AM1410/AM1407</f>
        <v>1.7684417131662371</v>
      </c>
      <c r="AN1411" s="132"/>
      <c r="AO1411" s="146"/>
      <c r="AP1411" s="138">
        <f>AP1410/AP1407</f>
        <v>1.4735336008845672</v>
      </c>
      <c r="AQ1411" s="132"/>
      <c r="AR1411" s="146"/>
      <c r="AS1411" s="138">
        <f>AS1410/AS1407</f>
        <v>1.3204553389802789</v>
      </c>
      <c r="AT1411" s="132"/>
      <c r="AU1411" s="146"/>
    </row>
    <row r="1412" spans="13:47" x14ac:dyDescent="0.25">
      <c r="M1412" s="27"/>
      <c r="N1412" s="27"/>
      <c r="O1412" s="2" t="s">
        <v>26</v>
      </c>
      <c r="P1412" s="7">
        <v>12</v>
      </c>
      <c r="Q1412" s="2"/>
      <c r="R1412" s="181">
        <f>1-R1411/(3*F_GAMMA*R$29)</f>
        <v>0.73824651651977979</v>
      </c>
      <c r="S1412" s="133"/>
      <c r="T1412" s="146"/>
      <c r="U1412" s="138">
        <f>1-U1411/(3*F_GAMMA*U$29)</f>
        <v>0.7398659047363223</v>
      </c>
      <c r="V1412" s="133"/>
      <c r="W1412" s="146"/>
      <c r="X1412" s="138">
        <f>1-X1411/(3*F_GAMMA*X$29)</f>
        <v>0.74441898281112084</v>
      </c>
      <c r="Y1412" s="133"/>
      <c r="Z1412" s="146"/>
      <c r="AA1412" s="138">
        <f>1-AA1411/(3*F_GAMMA*AA$29)</f>
        <v>0.77398771265340416</v>
      </c>
      <c r="AB1412" s="133"/>
      <c r="AC1412" s="146"/>
      <c r="AD1412" s="138">
        <f>1-AD1411/(3*F_GAMMA*AD$29)</f>
        <v>0.88955742349028477</v>
      </c>
      <c r="AE1412" s="133"/>
      <c r="AF1412" s="146"/>
      <c r="AG1412" s="138">
        <f>1-AG1411/(3*F_GAMMA*AG$29)</f>
        <v>1.5447816239201937</v>
      </c>
      <c r="AH1412" s="133"/>
      <c r="AI1412" s="146"/>
      <c r="AJ1412" s="138">
        <f>1-AJ1411/(3*F_GAMMA*AJ$29)</f>
        <v>-1.1839280125777485</v>
      </c>
      <c r="AK1412" s="133"/>
      <c r="AL1412" s="146"/>
      <c r="AM1412" s="138">
        <f>1-AM1411/(3*F_GAMMA*AM$29)</f>
        <v>-0.2018242640852792</v>
      </c>
      <c r="AN1412" s="133"/>
      <c r="AO1412" s="146"/>
      <c r="AP1412" s="138">
        <f>1-AP1411/(3*F_GAMMA*AP$29)</f>
        <v>0.1724461432225739</v>
      </c>
      <c r="AQ1412" s="133"/>
      <c r="AR1412" s="146"/>
      <c r="AS1412" s="138">
        <f>1-AS1411/(3*F_GAMMA*AS$29)</f>
        <v>-0.12578788616921299</v>
      </c>
      <c r="AT1412" s="133"/>
      <c r="AU1412" s="146"/>
    </row>
    <row r="1413" spans="13:47" x14ac:dyDescent="0.25">
      <c r="M1413" s="27"/>
      <c r="N1413" s="27"/>
      <c r="O1413" s="2" t="s">
        <v>71</v>
      </c>
      <c r="P1413" s="85">
        <v>5</v>
      </c>
      <c r="Q1413" s="2"/>
      <c r="R1413" s="179">
        <f>R1405/((N_6*R$27*R1412)*SQRT(R1411*R1407*R1409))</f>
        <v>0.34475731514224484</v>
      </c>
      <c r="S1413" s="133"/>
      <c r="T1413" s="146"/>
      <c r="U1413" s="143">
        <f>U1405/((N_6*U$27*U1412)*SQRT(U1411*U1407*U1409))</f>
        <v>5.3660219278344314</v>
      </c>
      <c r="V1413" s="133"/>
      <c r="W1413" s="146"/>
      <c r="X1413" s="143">
        <f>X1405/((N_6*X$27*X1412)*SQRT(X1411*X1407*X1409))</f>
        <v>13.865316432837185</v>
      </c>
      <c r="Y1413" s="133"/>
      <c r="Z1413" s="146"/>
      <c r="AA1413" s="143">
        <f>AA1405/((N_6*AA$27*AA1412)*SQRT(AA1411*AA1407*AA1409))</f>
        <v>31.313449709787072</v>
      </c>
      <c r="AB1413" s="133"/>
      <c r="AC1413" s="146"/>
      <c r="AD1413" s="143">
        <f>AD1405/((N_6*AD$27*AD1412)*SQRT(AD1411*AD1407*AD1409))</f>
        <v>90.903780149654153</v>
      </c>
      <c r="AE1413" s="133"/>
      <c r="AF1413" s="146"/>
      <c r="AG1413" s="143" t="e">
        <f>AG1405/((N_6*AG$27*AG1412)*SQRT(AG1411*AG1407*AG1409))</f>
        <v>#NUM!</v>
      </c>
      <c r="AH1413" s="133"/>
      <c r="AI1413" s="146"/>
      <c r="AJ1413" s="143">
        <f>AJ1405/((N_6*AJ$27*AJ1412)*SQRT(AJ1411*AJ1407*AJ1409))</f>
        <v>-96.520577770099223</v>
      </c>
      <c r="AK1413" s="133"/>
      <c r="AL1413" s="146"/>
      <c r="AM1413" s="143">
        <f>AM1405/((N_6*AM$27*AM1412)*SQRT(AM1411*AM1407*AM1409))</f>
        <v>-303.85411545373057</v>
      </c>
      <c r="AN1413" s="133"/>
      <c r="AO1413" s="146"/>
      <c r="AP1413" s="143">
        <f>AP1405/((N_6*AP$27*AP1412)*SQRT(AP1411*AP1407*AP1409))</f>
        <v>304.2492189129286</v>
      </c>
      <c r="AQ1413" s="133"/>
      <c r="AR1413" s="146"/>
      <c r="AS1413" s="143">
        <f>AS1405/((N_6*AS$27*AS1412)*SQRT(AS1411*AS1407*AS1409))</f>
        <v>-437.12087082941576</v>
      </c>
      <c r="AT1413" s="133"/>
      <c r="AU1413" s="146"/>
    </row>
    <row r="1414" spans="13:47" x14ac:dyDescent="0.25">
      <c r="M1414" s="27"/>
      <c r="N1414" s="27"/>
      <c r="O1414" s="2" t="s">
        <v>73</v>
      </c>
      <c r="P1414" s="85">
        <v>5</v>
      </c>
      <c r="Q1414" s="2"/>
      <c r="R1414" s="179">
        <f>R1405/((N_6*R$27*0.667)*SQRT(R1415*R1407*R1409))</f>
        <v>0.33813951451431645</v>
      </c>
      <c r="S1414" s="133"/>
      <c r="T1414" s="155"/>
      <c r="U1414" s="143">
        <f>U1405/((N_6*U$27*0.667)*SQRT(U1415*U1407*U1409))</f>
        <v>5.2582216585756942</v>
      </c>
      <c r="V1414" s="133"/>
      <c r="W1414" s="155"/>
      <c r="X1414" s="143">
        <f>X1405/((N_6*X$27*0.667)*SQRT(X1415*X1407*X1409))</f>
        <v>13.550219025865099</v>
      </c>
      <c r="Y1414" s="133"/>
      <c r="Z1414" s="155"/>
      <c r="AA1414" s="143">
        <f>AA1405/((N_6*AA$27*0.667)*SQRT(AA1415*AA1407*AA1409))</f>
        <v>29.92029010245076</v>
      </c>
      <c r="AB1414" s="133"/>
      <c r="AC1414" s="155"/>
      <c r="AD1414" s="143">
        <f>AD1405/((N_6*AD$27*0.667)*SQRT(AD1415*AD1407*AD1409))</f>
        <v>69.784503013920443</v>
      </c>
      <c r="AE1414" s="133"/>
      <c r="AF1414" s="155"/>
      <c r="AG1414" s="143">
        <f>AG1405/((N_6*AG$27*0.667)*SQRT(AG1415*AG1407*AG1409))</f>
        <v>249.02060719173735</v>
      </c>
      <c r="AH1414" s="133"/>
      <c r="AI1414" s="155"/>
      <c r="AJ1414" s="143">
        <f>AJ1405/((N_6*AJ$27*0.667)*SQRT(AJ1415*AJ1407*AJ1409))</f>
        <v>438.52985181585774</v>
      </c>
      <c r="AK1414" s="133"/>
      <c r="AL1414" s="155"/>
      <c r="AM1414" s="143">
        <f>AM1405/((N_6*AM$27*0.667)*SQRT(AM1415*AM1407*AM1409))</f>
        <v>174.57971407034182</v>
      </c>
      <c r="AN1414" s="133"/>
      <c r="AO1414" s="155"/>
      <c r="AP1414" s="143">
        <f>AP1405/((N_6*AP$27*0.667)*SQRT(AP1415*AP1407*AP1409))</f>
        <v>123.94125365324506</v>
      </c>
      <c r="AQ1414" s="133"/>
      <c r="AR1414" s="155"/>
      <c r="AS1414" s="143">
        <f>AS1405/((N_6*AS$27*0.667)*SQRT(AS1415*AS1407*AS1409))</f>
        <v>151.49679350164305</v>
      </c>
      <c r="AT1414" s="133"/>
      <c r="AU1414" s="155"/>
    </row>
    <row r="1415" spans="13:47" ht="15.5" x14ac:dyDescent="0.4">
      <c r="M1415" s="27"/>
      <c r="N1415" s="27"/>
      <c r="O1415" s="2" t="s">
        <v>192</v>
      </c>
      <c r="P1415" s="85">
        <v>10</v>
      </c>
      <c r="Q1415" s="2"/>
      <c r="R1415" s="181">
        <f>F_GAMMA*R$29</f>
        <v>0.64002688015162901</v>
      </c>
      <c r="S1415" s="133"/>
      <c r="T1415" s="155"/>
      <c r="U1415" s="138">
        <f>F_GAMMA*U$29</f>
        <v>0.64016782916606918</v>
      </c>
      <c r="V1415" s="133"/>
      <c r="W1415" s="155"/>
      <c r="X1415" s="138">
        <f>F_GAMMA*X$29</f>
        <v>0.6307062319203669</v>
      </c>
      <c r="Y1415" s="133"/>
      <c r="Z1415" s="155"/>
      <c r="AA1415" s="138">
        <f>F_GAMMA*AA$29</f>
        <v>0.62217534213893466</v>
      </c>
      <c r="AB1415" s="133"/>
      <c r="AC1415" s="155"/>
      <c r="AD1415" s="138">
        <f>F_GAMMA*AD$29</f>
        <v>0.60557184969146072</v>
      </c>
      <c r="AE1415" s="133"/>
      <c r="AF1415" s="155"/>
      <c r="AG1415" s="138">
        <f>F_GAMMA*AG$29</f>
        <v>0.57289312142622573</v>
      </c>
      <c r="AH1415" s="133"/>
      <c r="AI1415" s="155"/>
      <c r="AJ1415" s="138">
        <f>F_GAMMA*AJ$29</f>
        <v>0.53590819116049981</v>
      </c>
      <c r="AK1415" s="133"/>
      <c r="AL1415" s="155"/>
      <c r="AM1415" s="138">
        <f>F_GAMMA*AM$29</f>
        <v>0.49048815926850342</v>
      </c>
      <c r="AN1415" s="133"/>
      <c r="AO1415" s="155"/>
      <c r="AP1415" s="138">
        <f>F_GAMMA*AP$29</f>
        <v>0.59352979016280105</v>
      </c>
      <c r="AQ1415" s="133"/>
      <c r="AR1415" s="155"/>
      <c r="AS1415" s="138">
        <f>F_GAMMA*AS$29</f>
        <v>0.39097221161068291</v>
      </c>
      <c r="AT1415" s="133"/>
      <c r="AU1415" s="155"/>
    </row>
    <row r="1416" spans="13:47" x14ac:dyDescent="0.25">
      <c r="M1416" s="27"/>
      <c r="N1416" s="27"/>
      <c r="O1416" s="2" t="s">
        <v>193</v>
      </c>
      <c r="P1416" s="134"/>
      <c r="Q1416" s="2"/>
      <c r="R1416" s="181">
        <f>IF(R1411&lt;R1415,R1413,R1414)</f>
        <v>0.34475731514224484</v>
      </c>
      <c r="S1416" s="133"/>
      <c r="T1416" s="155"/>
      <c r="U1416" s="138">
        <f>IF(U1411&lt;U1415,U1413,U1414)</f>
        <v>5.3660219278344314</v>
      </c>
      <c r="V1416" s="133"/>
      <c r="W1416" s="155"/>
      <c r="X1416" s="138">
        <f>IF(X1411&lt;X1415,X1413,X1414)</f>
        <v>13.865316432837185</v>
      </c>
      <c r="Y1416" s="133"/>
      <c r="Z1416" s="155"/>
      <c r="AA1416" s="138">
        <f>IF(AA1411&lt;AA1415,AA1413,AA1414)</f>
        <v>31.313449709787072</v>
      </c>
      <c r="AB1416" s="133"/>
      <c r="AC1416" s="155"/>
      <c r="AD1416" s="138">
        <f>IF(AD1411&lt;AD1415,AD1413,AD1414)</f>
        <v>90.903780149654153</v>
      </c>
      <c r="AE1416" s="133"/>
      <c r="AF1416" s="155"/>
      <c r="AG1416" s="138" t="e">
        <f>IF(AG1411&lt;AG1415,AG1413,AG1414)</f>
        <v>#NUM!</v>
      </c>
      <c r="AH1416" s="133"/>
      <c r="AI1416" s="155"/>
      <c r="AJ1416" s="138">
        <f>IF(AJ1411&lt;AJ1415,AJ1413,AJ1414)</f>
        <v>438.52985181585774</v>
      </c>
      <c r="AK1416" s="133"/>
      <c r="AL1416" s="155"/>
      <c r="AM1416" s="138">
        <f>IF(AM1411&lt;AM1415,AM1413,AM1414)</f>
        <v>174.57971407034182</v>
      </c>
      <c r="AN1416" s="133"/>
      <c r="AO1416" s="155"/>
      <c r="AP1416" s="138">
        <f>IF(AP1411&lt;AP1415,AP1413,AP1414)</f>
        <v>123.94125365324506</v>
      </c>
      <c r="AQ1416" s="133"/>
      <c r="AR1416" s="155"/>
      <c r="AS1416" s="138">
        <f>IF(AS1411&lt;AS1415,AS1413,AS1414)</f>
        <v>151.49679350164305</v>
      </c>
      <c r="AT1416" s="133"/>
      <c r="AU1416" s="155"/>
    </row>
    <row r="1417" spans="13:47" ht="13" x14ac:dyDescent="0.3">
      <c r="M1417" s="28"/>
      <c r="N1417" s="28"/>
      <c r="O1417" s="9" t="s">
        <v>194</v>
      </c>
      <c r="P1417" s="1"/>
      <c r="Q1417" s="1"/>
      <c r="R1417" s="135"/>
      <c r="S1417" s="132">
        <f>IF(R1410&lt;=0,W_max,ABS(R$23-R1416))</f>
        <v>1.6552426848577553</v>
      </c>
      <c r="T1417" s="151">
        <f>R1405</f>
        <v>79.730101935783736</v>
      </c>
      <c r="U1417" s="135"/>
      <c r="V1417" s="132">
        <f>IF(U1410&lt;=0,W_max,ABS(U$23-U1416))</f>
        <v>0.36602192783443144</v>
      </c>
      <c r="W1417" s="151">
        <f>U1405</f>
        <v>1231.7774148379604</v>
      </c>
      <c r="X1417" s="135"/>
      <c r="Y1417" s="132">
        <f>IF(X1410&lt;=0,W_max,ABS(X$23-X1416))</f>
        <v>3.8653164328371847</v>
      </c>
      <c r="Z1417" s="151">
        <f>X1405</f>
        <v>3046.3321301249293</v>
      </c>
      <c r="AA1417" s="135"/>
      <c r="AB1417" s="132">
        <f>IF(AA1410&lt;=0,W_max,ABS(AA$23-AA1416))</f>
        <v>14.113449709787073</v>
      </c>
      <c r="AC1417" s="151">
        <f>AA1405</f>
        <v>5933.4774271796241</v>
      </c>
      <c r="AD1417" s="135"/>
      <c r="AE1417" s="132">
        <f>IF(AD1410&lt;=0,W_max,ABS(AD$23-AD1416))</f>
        <v>64.303780149654159</v>
      </c>
      <c r="AF1417" s="151">
        <f>AD1405</f>
        <v>9758.3857909319759</v>
      </c>
      <c r="AG1417" s="135"/>
      <c r="AH1417" s="132">
        <f>IF(AG1410&lt;=0,W_max,ABS(AG$23-AG1416))</f>
        <v>7174</v>
      </c>
      <c r="AI1417" s="151">
        <f>AG1405</f>
        <v>13686.88733252535</v>
      </c>
      <c r="AJ1417" s="135"/>
      <c r="AK1417" s="132">
        <f>IF(AJ1410&lt;=0,W_max,ABS(AJ$23-AJ1416))</f>
        <v>7174</v>
      </c>
      <c r="AL1417" s="151">
        <f>AJ1405</f>
        <v>17378.715076659988</v>
      </c>
      <c r="AM1417" s="135"/>
      <c r="AN1417" s="132">
        <f>IF(AM1410&lt;=0,W_max,ABS(AM$23-AM1416))</f>
        <v>7174</v>
      </c>
      <c r="AO1417" s="151">
        <f>AM1405</f>
        <v>20377.910175105018</v>
      </c>
      <c r="AP1417" s="135"/>
      <c r="AQ1417" s="132">
        <f>IF(AP1410&lt;=0,W_max,ABS(AP$23-AP1416))</f>
        <v>7174</v>
      </c>
      <c r="AR1417" s="151">
        <f>AP1405</f>
        <v>22734.989353553752</v>
      </c>
      <c r="AS1417" s="135"/>
      <c r="AT1417" s="132">
        <f>IF(AS1410&lt;=0,W_max,ABS(AS$23-AS1416))</f>
        <v>7174</v>
      </c>
      <c r="AU1417" s="151">
        <f>AS1405</f>
        <v>25364.707983532895</v>
      </c>
    </row>
    <row r="1418" spans="13:47" ht="13" x14ac:dyDescent="0.25">
      <c r="M1418" s="12"/>
      <c r="N1418" s="12"/>
      <c r="O1418" s="2"/>
      <c r="P1418" s="85"/>
      <c r="Q1418" s="2"/>
      <c r="R1418" s="18"/>
      <c r="S1418" s="150"/>
      <c r="T1418" s="148"/>
      <c r="U1418" s="157"/>
      <c r="V1418" s="1"/>
      <c r="W1418" s="147"/>
      <c r="X1418" s="157"/>
      <c r="Y1418" s="1"/>
      <c r="Z1418" s="147"/>
      <c r="AA1418" s="157"/>
      <c r="AB1418" s="1"/>
      <c r="AC1418" s="147"/>
      <c r="AD1418" s="157"/>
      <c r="AE1418" s="1"/>
      <c r="AF1418" s="147"/>
      <c r="AG1418" s="157"/>
      <c r="AH1418" s="1"/>
      <c r="AI1418" s="147"/>
      <c r="AJ1418" s="157"/>
      <c r="AK1418" s="1"/>
      <c r="AL1418" s="147"/>
      <c r="AM1418" s="157"/>
      <c r="AN1418" s="1"/>
      <c r="AO1418" s="147"/>
      <c r="AP1418" s="157"/>
      <c r="AQ1418" s="1"/>
      <c r="AR1418" s="147"/>
      <c r="AS1418" s="157"/>
      <c r="AT1418" s="1"/>
      <c r="AU1418" s="147"/>
    </row>
    <row r="1419" spans="13:47" ht="14" x14ac:dyDescent="0.3">
      <c r="M1419" s="23"/>
      <c r="N1419" s="23"/>
      <c r="O1419" s="23" t="s">
        <v>238</v>
      </c>
      <c r="P1419" s="20"/>
      <c r="Q1419" s="20"/>
      <c r="R1419" s="181">
        <f>R1405*1.02</f>
        <v>81.324703974499414</v>
      </c>
      <c r="S1419" s="128" t="s">
        <v>185</v>
      </c>
      <c r="T1419" s="149" t="s">
        <v>186</v>
      </c>
      <c r="U1419" s="143">
        <f>U1405*1.01</f>
        <v>1244.09518898634</v>
      </c>
      <c r="V1419" s="128" t="s">
        <v>185</v>
      </c>
      <c r="W1419" s="153" t="s">
        <v>186</v>
      </c>
      <c r="X1419" s="143">
        <f>X1405*1.01</f>
        <v>3076.7954514261787</v>
      </c>
      <c r="Y1419" s="128" t="s">
        <v>185</v>
      </c>
      <c r="Z1419" s="153" t="s">
        <v>186</v>
      </c>
      <c r="AA1419" s="143">
        <f>AA1405*1.01</f>
        <v>5992.8122014514202</v>
      </c>
      <c r="AB1419" s="128" t="s">
        <v>185</v>
      </c>
      <c r="AC1419" s="153" t="s">
        <v>186</v>
      </c>
      <c r="AD1419" s="143">
        <f>AD1405*1.01</f>
        <v>9855.9696488412956</v>
      </c>
      <c r="AE1419" s="128" t="s">
        <v>185</v>
      </c>
      <c r="AF1419" s="153" t="s">
        <v>186</v>
      </c>
      <c r="AG1419" s="143">
        <f>AG1405*1.01</f>
        <v>13823.756205850603</v>
      </c>
      <c r="AH1419" s="128" t="s">
        <v>185</v>
      </c>
      <c r="AI1419" s="153" t="s">
        <v>186</v>
      </c>
      <c r="AJ1419" s="143">
        <f>AJ1405*1.01</f>
        <v>17552.502227426587</v>
      </c>
      <c r="AK1419" s="128" t="s">
        <v>185</v>
      </c>
      <c r="AL1419" s="153" t="s">
        <v>186</v>
      </c>
      <c r="AM1419" s="143">
        <f>AM1405*1.01</f>
        <v>20581.689276856068</v>
      </c>
      <c r="AN1419" s="128" t="s">
        <v>185</v>
      </c>
      <c r="AO1419" s="153" t="s">
        <v>186</v>
      </c>
      <c r="AP1419" s="143">
        <f>AP1405*1.01</f>
        <v>22962.33924708929</v>
      </c>
      <c r="AQ1419" s="128" t="s">
        <v>185</v>
      </c>
      <c r="AR1419" s="153" t="s">
        <v>186</v>
      </c>
      <c r="AS1419" s="143">
        <f>AS1405*1.01</f>
        <v>25618.355063368224</v>
      </c>
      <c r="AT1419" s="128" t="s">
        <v>185</v>
      </c>
      <c r="AU1419" s="153" t="s">
        <v>186</v>
      </c>
    </row>
    <row r="1420" spans="13:47" ht="14" x14ac:dyDescent="0.3">
      <c r="M1420" s="12"/>
      <c r="N1420" s="12"/>
      <c r="O1420" s="20"/>
      <c r="P1420" s="20"/>
      <c r="Q1420" s="23"/>
      <c r="R1420" s="139"/>
      <c r="S1420" s="130" t="s">
        <v>228</v>
      </c>
      <c r="T1420" s="131" t="s">
        <v>187</v>
      </c>
      <c r="U1420" s="144"/>
      <c r="V1420" s="130" t="s">
        <v>228</v>
      </c>
      <c r="W1420" s="154" t="s">
        <v>187</v>
      </c>
      <c r="X1420" s="144"/>
      <c r="Y1420" s="130" t="s">
        <v>228</v>
      </c>
      <c r="Z1420" s="154" t="s">
        <v>187</v>
      </c>
      <c r="AA1420" s="144"/>
      <c r="AB1420" s="130" t="s">
        <v>228</v>
      </c>
      <c r="AC1420" s="154" t="s">
        <v>187</v>
      </c>
      <c r="AD1420" s="144"/>
      <c r="AE1420" s="130" t="s">
        <v>228</v>
      </c>
      <c r="AF1420" s="154" t="s">
        <v>187</v>
      </c>
      <c r="AG1420" s="144"/>
      <c r="AH1420" s="130" t="s">
        <v>228</v>
      </c>
      <c r="AI1420" s="154" t="s">
        <v>187</v>
      </c>
      <c r="AJ1420" s="144"/>
      <c r="AK1420" s="130" t="s">
        <v>228</v>
      </c>
      <c r="AL1420" s="154" t="s">
        <v>187</v>
      </c>
      <c r="AM1420" s="144"/>
      <c r="AN1420" s="130" t="s">
        <v>228</v>
      </c>
      <c r="AO1420" s="154" t="s">
        <v>187</v>
      </c>
      <c r="AP1420" s="144"/>
      <c r="AQ1420" s="130" t="s">
        <v>228</v>
      </c>
      <c r="AR1420" s="154" t="s">
        <v>187</v>
      </c>
      <c r="AS1420" s="144"/>
      <c r="AT1420" s="130" t="s">
        <v>228</v>
      </c>
      <c r="AU1420" s="154" t="s">
        <v>187</v>
      </c>
    </row>
    <row r="1421" spans="13:47" x14ac:dyDescent="0.25">
      <c r="M1421" s="20"/>
      <c r="N1421" s="20"/>
      <c r="O1421" s="7" t="s">
        <v>188</v>
      </c>
      <c r="P1421" s="7"/>
      <c r="Q1421" s="7"/>
      <c r="R1421" s="181">
        <f>P_1_minW-(R1419^2*R_up)+dpup_minQ</f>
        <v>100.52014944258717</v>
      </c>
      <c r="S1421" s="132"/>
      <c r="T1421" s="145"/>
      <c r="U1421" s="138">
        <f>P_1_minW-(U1419^2*R_up)+dpup_minQ</f>
        <v>99.905593996824393</v>
      </c>
      <c r="V1421" s="132"/>
      <c r="W1421" s="145"/>
      <c r="X1421" s="138">
        <f>P_1_minW-(X1419^2*R_up)+dpup_minQ</f>
        <v>96.747839922118303</v>
      </c>
      <c r="Y1421" s="132"/>
      <c r="Z1421" s="145"/>
      <c r="AA1421" s="138">
        <f>P_1_minW-(AA1419^2*R_up)+dpup_minQ</f>
        <v>86.201734657108972</v>
      </c>
      <c r="AB1421" s="132"/>
      <c r="AC1421" s="145"/>
      <c r="AD1421" s="138">
        <f>P_1_minW-(AD1419^2*R_up)+dpup_minQ</f>
        <v>61.78700701991071</v>
      </c>
      <c r="AE1421" s="132"/>
      <c r="AF1421" s="145"/>
      <c r="AG1421" s="138">
        <f>P_1_minW-(AG1419^2*R_up)+dpup_minQ</f>
        <v>24.320900860891697</v>
      </c>
      <c r="AH1421" s="132"/>
      <c r="AI1421" s="145"/>
      <c r="AJ1421" s="138">
        <f>P_1_minW-(AJ1419^2*R_up)+dpup_minQ</f>
        <v>-22.331880840877574</v>
      </c>
      <c r="AK1421" s="132"/>
      <c r="AL1421" s="145"/>
      <c r="AM1421" s="138">
        <f>P_1_minW-(AM1419^2*R_up)+dpup_minQ</f>
        <v>-68.395093263136928</v>
      </c>
      <c r="AN1421" s="132"/>
      <c r="AO1421" s="145"/>
      <c r="AP1421" s="138">
        <f>P_1_minW-(AP1419^2*R_up)+dpup_minQ</f>
        <v>-109.73197749460657</v>
      </c>
      <c r="AQ1421" s="132"/>
      <c r="AR1421" s="145"/>
      <c r="AS1421" s="138">
        <f>P_1_minW-(AS1419^2*R_up)+dpup_minQ</f>
        <v>-161.1846528902046</v>
      </c>
      <c r="AT1421" s="132"/>
      <c r="AU1421" s="145"/>
    </row>
    <row r="1422" spans="13:47" x14ac:dyDescent="0.25">
      <c r="M1422" s="20"/>
      <c r="N1422" s="20"/>
      <c r="O1422" s="7" t="s">
        <v>189</v>
      </c>
      <c r="P1422" s="1"/>
      <c r="Q1422" s="7"/>
      <c r="R1422" s="181">
        <f>P_2_minW+(R1419^2*R_dn)-dpdn_minQ</f>
        <v>50</v>
      </c>
      <c r="S1422" s="132"/>
      <c r="T1422" s="146"/>
      <c r="U1422" s="138">
        <f>P_2_minW+(U1419^2*R_dn)-dpdn_minQ</f>
        <v>50</v>
      </c>
      <c r="V1422" s="132"/>
      <c r="W1422" s="146"/>
      <c r="X1422" s="138">
        <f>P_2_minW+(X1419^2*R_dn)-dpdn_minQ</f>
        <v>50</v>
      </c>
      <c r="Y1422" s="132"/>
      <c r="Z1422" s="146"/>
      <c r="AA1422" s="138">
        <f>P_2_minW+(AA1419^2*R_dn)-dpdn_minQ</f>
        <v>50</v>
      </c>
      <c r="AB1422" s="132"/>
      <c r="AC1422" s="146"/>
      <c r="AD1422" s="138">
        <f>P_2_minW+(AD1419^2*R_dn)-dpdn_minQ</f>
        <v>50</v>
      </c>
      <c r="AE1422" s="132"/>
      <c r="AF1422" s="146"/>
      <c r="AG1422" s="138">
        <f>P_2_minW+(AG1419^2*R_dn)-dpdn_minQ</f>
        <v>50</v>
      </c>
      <c r="AH1422" s="132"/>
      <c r="AI1422" s="146"/>
      <c r="AJ1422" s="138">
        <f>P_2_minW+(AJ1419^2*R_dn)-dpdn_minQ</f>
        <v>50</v>
      </c>
      <c r="AK1422" s="132"/>
      <c r="AL1422" s="146"/>
      <c r="AM1422" s="138">
        <f>P_2_minW+(AM1419^2*R_dn)-dpdn_minQ</f>
        <v>50</v>
      </c>
      <c r="AN1422" s="132"/>
      <c r="AO1422" s="146"/>
      <c r="AP1422" s="138">
        <f>P_2_minW+(AP1419^2*R_dn)-dpdn_minQ</f>
        <v>50</v>
      </c>
      <c r="AQ1422" s="132"/>
      <c r="AR1422" s="146"/>
      <c r="AS1422" s="138">
        <f>P_2_minW+(AS1419^2*R_dn)-dpdn_minQ</f>
        <v>50</v>
      </c>
      <c r="AT1422" s="132"/>
      <c r="AU1422" s="146"/>
    </row>
    <row r="1423" spans="13:47" x14ac:dyDescent="0.25">
      <c r="M1423" s="20"/>
      <c r="N1423" s="20"/>
      <c r="O1423" s="7" t="s">
        <v>234</v>
      </c>
      <c r="P1423" s="1"/>
      <c r="Q1423" s="7"/>
      <c r="R1423" s="179">
        <f>'Valve Sizing'!G$8*R1421/P_1_maxW</f>
        <v>0.48489130440150302</v>
      </c>
      <c r="S1423" s="132"/>
      <c r="T1423" s="146"/>
      <c r="U1423" s="143">
        <f>'Valve Sizing'!$G$8*U1421/P_1_maxW</f>
        <v>0.48192679834599667</v>
      </c>
      <c r="V1423" s="132"/>
      <c r="W1423" s="146"/>
      <c r="X1423" s="143">
        <f>'Valve Sizing'!$G$8*X1421/P_1_maxW</f>
        <v>0.46669435489307542</v>
      </c>
      <c r="Y1423" s="132"/>
      <c r="Z1423" s="146"/>
      <c r="AA1423" s="143">
        <f>'Valve Sizing'!$G$8*AA1421/P_1_maxW</f>
        <v>0.41582182071298385</v>
      </c>
      <c r="AB1423" s="132"/>
      <c r="AC1423" s="146"/>
      <c r="AD1423" s="143">
        <f>'Valve Sizing'!$G$8*AD1421/P_1_maxW</f>
        <v>0.29804952136547708</v>
      </c>
      <c r="AE1423" s="132"/>
      <c r="AF1423" s="146"/>
      <c r="AG1423" s="143">
        <f>'Valve Sizing'!$G$8*AG1421/P_1_maxW</f>
        <v>0.11731969568343181</v>
      </c>
      <c r="AH1423" s="132"/>
      <c r="AI1423" s="146"/>
      <c r="AJ1423" s="143">
        <f>'Valve Sizing'!$G$8*AJ1421/P_1_maxW</f>
        <v>-0.10772501723007147</v>
      </c>
      <c r="AK1423" s="132"/>
      <c r="AL1423" s="146"/>
      <c r="AM1423" s="143">
        <f>'Valve Sizing'!$G$8*AM1421/P_1_maxW</f>
        <v>-0.32992575290555937</v>
      </c>
      <c r="AN1423" s="132"/>
      <c r="AO1423" s="146"/>
      <c r="AP1423" s="143">
        <f>'Valve Sizing'!$G$8*AP1421/P_1_maxW</f>
        <v>-0.52932752285954721</v>
      </c>
      <c r="AQ1423" s="132"/>
      <c r="AR1423" s="146"/>
      <c r="AS1423" s="143">
        <f>'Valve Sizing'!$G$8*AS1421/P_1_maxW</f>
        <v>-0.77752606838368044</v>
      </c>
      <c r="AT1423" s="132"/>
      <c r="AU1423" s="146"/>
    </row>
    <row r="1424" spans="13:47" x14ac:dyDescent="0.25">
      <c r="M1424" s="20"/>
      <c r="N1424" s="20"/>
      <c r="O1424" s="7" t="s">
        <v>190</v>
      </c>
      <c r="P1424" s="1"/>
      <c r="Q1424" s="7"/>
      <c r="R1424" s="181">
        <f>R1421-R1422</f>
        <v>50.520149442587169</v>
      </c>
      <c r="S1424" s="132"/>
      <c r="T1424" s="146"/>
      <c r="U1424" s="138">
        <f>U1421-U1422</f>
        <v>49.905593996824393</v>
      </c>
      <c r="V1424" s="132"/>
      <c r="W1424" s="146"/>
      <c r="X1424" s="138">
        <f>X1421-X1422</f>
        <v>46.747839922118303</v>
      </c>
      <c r="Y1424" s="132"/>
      <c r="Z1424" s="146"/>
      <c r="AA1424" s="138">
        <f>AA1421-AA1422</f>
        <v>36.201734657108972</v>
      </c>
      <c r="AB1424" s="132"/>
      <c r="AC1424" s="146"/>
      <c r="AD1424" s="138">
        <f>AD1421-AD1422</f>
        <v>11.78700701991071</v>
      </c>
      <c r="AE1424" s="132"/>
      <c r="AF1424" s="146"/>
      <c r="AG1424" s="138">
        <f>AG1421-AG1422</f>
        <v>-25.679099139108303</v>
      </c>
      <c r="AH1424" s="132"/>
      <c r="AI1424" s="146"/>
      <c r="AJ1424" s="138">
        <f>AJ1421-AJ1422</f>
        <v>-72.331880840877574</v>
      </c>
      <c r="AK1424" s="132"/>
      <c r="AL1424" s="146"/>
      <c r="AM1424" s="138">
        <f>AM1421-AM1422</f>
        <v>-118.39509326313693</v>
      </c>
      <c r="AN1424" s="132"/>
      <c r="AO1424" s="146"/>
      <c r="AP1424" s="138">
        <f>AP1421-AP1422</f>
        <v>-159.73197749460655</v>
      </c>
      <c r="AQ1424" s="132"/>
      <c r="AR1424" s="146"/>
      <c r="AS1424" s="138">
        <f>AS1421-AS1422</f>
        <v>-211.1846528902046</v>
      </c>
      <c r="AT1424" s="132"/>
      <c r="AU1424" s="146"/>
    </row>
    <row r="1425" spans="13:47" ht="14.5" x14ac:dyDescent="0.35">
      <c r="M1425" s="27"/>
      <c r="N1425" s="27"/>
      <c r="O1425" s="2" t="s">
        <v>191</v>
      </c>
      <c r="P1425" s="10"/>
      <c r="Q1425" s="2"/>
      <c r="R1425" s="181">
        <f>R1424/R1421</f>
        <v>0.50258728944132869</v>
      </c>
      <c r="S1425" s="132"/>
      <c r="T1425" s="146"/>
      <c r="U1425" s="138">
        <f>U1424/U1421</f>
        <v>0.4995275239383562</v>
      </c>
      <c r="V1425" s="132"/>
      <c r="W1425" s="146"/>
      <c r="X1425" s="138">
        <f>X1424/X1421</f>
        <v>0.48319259592514069</v>
      </c>
      <c r="Y1425" s="132"/>
      <c r="Z1425" s="146"/>
      <c r="AA1425" s="138">
        <f>AA1424/AA1421</f>
        <v>0.41996526869338874</v>
      </c>
      <c r="AB1425" s="132"/>
      <c r="AC1425" s="146"/>
      <c r="AD1425" s="138">
        <f>AD1424/AD1421</f>
        <v>0.19076837653120787</v>
      </c>
      <c r="AE1425" s="132"/>
      <c r="AF1425" s="146"/>
      <c r="AG1425" s="138">
        <f>AG1424/AG1421</f>
        <v>-1.0558449000711403</v>
      </c>
      <c r="AH1425" s="132"/>
      <c r="AI1425" s="146"/>
      <c r="AJ1425" s="138">
        <f>AJ1424/AJ1421</f>
        <v>3.2389515847889125</v>
      </c>
      <c r="AK1425" s="132"/>
      <c r="AL1425" s="146"/>
      <c r="AM1425" s="138">
        <f>AM1424/AM1421</f>
        <v>1.731046594346098</v>
      </c>
      <c r="AN1425" s="132"/>
      <c r="AO1425" s="146"/>
      <c r="AP1425" s="138">
        <f>AP1424/AP1421</f>
        <v>1.4556556907256823</v>
      </c>
      <c r="AQ1425" s="132"/>
      <c r="AR1425" s="146"/>
      <c r="AS1425" s="138">
        <f>AS1424/AS1421</f>
        <v>1.3102032302917752</v>
      </c>
      <c r="AT1425" s="132"/>
      <c r="AU1425" s="146"/>
    </row>
    <row r="1426" spans="13:47" x14ac:dyDescent="0.25">
      <c r="M1426" s="27"/>
      <c r="N1426" s="27"/>
      <c r="O1426" s="2" t="s">
        <v>26</v>
      </c>
      <c r="P1426" s="7">
        <v>12</v>
      </c>
      <c r="Q1426" s="2"/>
      <c r="R1426" s="181">
        <f>1-R1425/(3*F_GAMMA*R$29)</f>
        <v>0.73824678044654379</v>
      </c>
      <c r="S1426" s="133"/>
      <c r="T1426" s="146"/>
      <c r="U1426" s="138">
        <f>1-U1425/(3*F_GAMMA*U$29)</f>
        <v>0.73989762206103649</v>
      </c>
      <c r="V1426" s="133"/>
      <c r="W1426" s="146"/>
      <c r="X1426" s="138">
        <f>1-X1425/(3*F_GAMMA*X$29)</f>
        <v>0.74462881371679623</v>
      </c>
      <c r="Y1426" s="133"/>
      <c r="Z1426" s="146"/>
      <c r="AA1426" s="138">
        <f>1-AA1425/(3*F_GAMMA*AA$29)</f>
        <v>0.77500165400875665</v>
      </c>
      <c r="AB1426" s="133"/>
      <c r="AC1426" s="146"/>
      <c r="AD1426" s="138">
        <f>1-AD1425/(3*F_GAMMA*AD$29)</f>
        <v>0.89499270998786551</v>
      </c>
      <c r="AE1426" s="133"/>
      <c r="AF1426" s="146"/>
      <c r="AG1426" s="138">
        <f>1-AG1425/(3*F_GAMMA*AG$29)</f>
        <v>1.6143350074574696</v>
      </c>
      <c r="AH1426" s="133"/>
      <c r="AI1426" s="146"/>
      <c r="AJ1426" s="138">
        <f>1-AJ1425/(3*F_GAMMA*AJ$29)</f>
        <v>-1.0146184478445957</v>
      </c>
      <c r="AK1426" s="133"/>
      <c r="AL1426" s="146"/>
      <c r="AM1426" s="138">
        <f>1-AM1425/(3*F_GAMMA*AM$29)</f>
        <v>-0.17641072581495076</v>
      </c>
      <c r="AN1426" s="133"/>
      <c r="AO1426" s="146"/>
      <c r="AP1426" s="138">
        <f>1-AP1425/(3*F_GAMMA*AP$29)</f>
        <v>0.18248658851287747</v>
      </c>
      <c r="AQ1426" s="133"/>
      <c r="AR1426" s="146"/>
      <c r="AS1426" s="138">
        <f>1-AS1425/(3*F_GAMMA*AS$29)</f>
        <v>-0.11704718935918645</v>
      </c>
      <c r="AT1426" s="133"/>
      <c r="AU1426" s="146"/>
    </row>
    <row r="1427" spans="13:47" x14ac:dyDescent="0.25">
      <c r="M1427" s="27"/>
      <c r="N1427" s="27"/>
      <c r="O1427" s="2" t="s">
        <v>71</v>
      </c>
      <c r="P1427" s="85">
        <v>5</v>
      </c>
      <c r="Q1427" s="2"/>
      <c r="R1427" s="179">
        <f>R1419/((N_6*R$27*R1426)*SQRT(R1425*R1421*R1423))</f>
        <v>0.35165287127533812</v>
      </c>
      <c r="S1427" s="133"/>
      <c r="T1427" s="146"/>
      <c r="U1427" s="143">
        <f>U1419/((N_6*U$27*U1426)*SQRT(U1425*U1421*U1423))</f>
        <v>5.4204399686256899</v>
      </c>
      <c r="V1427" s="133"/>
      <c r="W1427" s="146"/>
      <c r="X1427" s="143">
        <f>X1419/((N_6*X$27*X1426)*SQRT(X1425*X1421*X1423))</f>
        <v>14.016541776569429</v>
      </c>
      <c r="Y1427" s="133"/>
      <c r="Z1427" s="146"/>
      <c r="AA1427" s="143">
        <f>AA1419/((N_6*AA$27*AA1426)*SQRT(AA1425*AA1421*AA1423))</f>
        <v>31.759922136033637</v>
      </c>
      <c r="AB1427" s="133"/>
      <c r="AC1427" s="146"/>
      <c r="AD1427" s="143">
        <f>AD1419/((N_6*AD$27*AD1426)*SQRT(AD1425*AD1421*AD1423))</f>
        <v>94.743248759635009</v>
      </c>
      <c r="AE1427" s="133"/>
      <c r="AF1427" s="146"/>
      <c r="AG1427" s="143" t="e">
        <f>AG1419/((N_6*AG$27*AG1426)*SQRT(AG1425*AG1421*AG1423))</f>
        <v>#NUM!</v>
      </c>
      <c r="AH1427" s="133"/>
      <c r="AI1427" s="146"/>
      <c r="AJ1427" s="143">
        <f>AJ1419/((N_6*AJ$27*AJ1426)*SQRT(AJ1425*AJ1421*AJ1423))</f>
        <v>-105.59851562149106</v>
      </c>
      <c r="AK1427" s="133"/>
      <c r="AL1427" s="146"/>
      <c r="AM1427" s="143">
        <f>AM1419/((N_6*AM$27*AM1426)*SQRT(AM1425*AM1421*AM1423))</f>
        <v>-337.60588647049957</v>
      </c>
      <c r="AN1427" s="133"/>
      <c r="AO1427" s="146"/>
      <c r="AP1427" s="143">
        <f>AP1419/((N_6*AP$27*AP1426)*SQRT(AP1425*AP1421*AP1423))</f>
        <v>281.13186081337625</v>
      </c>
      <c r="AQ1427" s="133"/>
      <c r="AR1427" s="146"/>
      <c r="AS1427" s="143">
        <f>AS1419/((N_6*AS$27*AS1426)*SQRT(AS1425*AS1421*AS1423))</f>
        <v>-461.07553206291345</v>
      </c>
      <c r="AT1427" s="133"/>
      <c r="AU1427" s="146"/>
    </row>
    <row r="1428" spans="13:47" x14ac:dyDescent="0.25">
      <c r="M1428" s="27"/>
      <c r="N1428" s="27"/>
      <c r="O1428" s="2" t="s">
        <v>73</v>
      </c>
      <c r="P1428" s="85">
        <v>5</v>
      </c>
      <c r="Q1428" s="2"/>
      <c r="R1428" s="179">
        <f>R1419/((N_6*R$27*0.667)*SQRT(R1429*R1421*R1423))</f>
        <v>0.34490265618907201</v>
      </c>
      <c r="S1428" s="133"/>
      <c r="T1428" s="147"/>
      <c r="U1428" s="143">
        <f>U1419/((N_6*U$27*0.667)*SQRT(U1429*U1421*U1423))</f>
        <v>5.3114503395049022</v>
      </c>
      <c r="V1428" s="133"/>
      <c r="W1428" s="155"/>
      <c r="X1428" s="143">
        <f>X1419/((N_6*X$27*0.667)*SQRT(X1429*X1421*X1423))</f>
        <v>13.696243028632333</v>
      </c>
      <c r="Y1428" s="133"/>
      <c r="Z1428" s="155"/>
      <c r="AA1428" s="143">
        <f>AA1419/((N_6*AA$27*0.667)*SQRT(AA1429*AA1421*AA1423))</f>
        <v>30.318416487255341</v>
      </c>
      <c r="AB1428" s="133"/>
      <c r="AC1428" s="155"/>
      <c r="AD1428" s="143">
        <f>AD1419/((N_6*AD$27*0.667)*SQRT(AD1429*AD1421*AD1423))</f>
        <v>71.353008495214425</v>
      </c>
      <c r="AE1428" s="133"/>
      <c r="AF1428" s="155"/>
      <c r="AG1428" s="143">
        <f>AG1419/((N_6*AG$27*0.667)*SQRT(AG1429*AG1421*AG1423))</f>
        <v>267.03811646390966</v>
      </c>
      <c r="AH1428" s="133"/>
      <c r="AI1428" s="155"/>
      <c r="AJ1428" s="143">
        <f>AJ1419/((N_6*AJ$27*0.667)*SQRT(AJ1429*AJ1421*AJ1423))</f>
        <v>394.90421076758747</v>
      </c>
      <c r="AK1428" s="133"/>
      <c r="AL1428" s="155"/>
      <c r="AM1428" s="143">
        <f>AM1419/((N_6*AM$27*0.667)*SQRT(AM1429*AM1421*AM1423))</f>
        <v>167.74488195864495</v>
      </c>
      <c r="AN1428" s="133"/>
      <c r="AO1428" s="155"/>
      <c r="AP1428" s="143">
        <f>AP1419/((N_6*AP$27*0.667)*SQRT(AP1429*AP1421*AP1423))</f>
        <v>120.4545629109614</v>
      </c>
      <c r="AQ1428" s="133"/>
      <c r="AR1428" s="155"/>
      <c r="AS1428" s="143">
        <f>AS1419/((N_6*AS$27*0.667)*SQRT(AS1429*AS1421*AS1423))</f>
        <v>148.11656070803457</v>
      </c>
      <c r="AT1428" s="133"/>
      <c r="AU1428" s="155"/>
    </row>
    <row r="1429" spans="13:47" ht="15.5" x14ac:dyDescent="0.4">
      <c r="M1429" s="27"/>
      <c r="N1429" s="27"/>
      <c r="O1429" s="2" t="s">
        <v>192</v>
      </c>
      <c r="P1429" s="85">
        <v>10</v>
      </c>
      <c r="Q1429" s="2"/>
      <c r="R1429" s="181">
        <f>F_GAMMA*R$29</f>
        <v>0.64002688015162901</v>
      </c>
      <c r="S1429" s="133"/>
      <c r="T1429" s="147"/>
      <c r="U1429" s="138">
        <f>F_GAMMA*U$29</f>
        <v>0.64016782916606918</v>
      </c>
      <c r="V1429" s="133"/>
      <c r="W1429" s="155"/>
      <c r="X1429" s="138">
        <f>F_GAMMA*X$29</f>
        <v>0.6307062319203669</v>
      </c>
      <c r="Y1429" s="133"/>
      <c r="Z1429" s="155"/>
      <c r="AA1429" s="138">
        <f>F_GAMMA*AA$29</f>
        <v>0.62217534213893466</v>
      </c>
      <c r="AB1429" s="133"/>
      <c r="AC1429" s="155"/>
      <c r="AD1429" s="138">
        <f>F_GAMMA*AD$29</f>
        <v>0.60557184969146072</v>
      </c>
      <c r="AE1429" s="133"/>
      <c r="AF1429" s="155"/>
      <c r="AG1429" s="138">
        <f>F_GAMMA*AG$29</f>
        <v>0.57289312142622573</v>
      </c>
      <c r="AH1429" s="133"/>
      <c r="AI1429" s="155"/>
      <c r="AJ1429" s="138">
        <f>F_GAMMA*AJ$29</f>
        <v>0.53590819116049981</v>
      </c>
      <c r="AK1429" s="133"/>
      <c r="AL1429" s="155"/>
      <c r="AM1429" s="138">
        <f>F_GAMMA*AM$29</f>
        <v>0.49048815926850342</v>
      </c>
      <c r="AN1429" s="133"/>
      <c r="AO1429" s="155"/>
      <c r="AP1429" s="138">
        <f>F_GAMMA*AP$29</f>
        <v>0.59352979016280105</v>
      </c>
      <c r="AQ1429" s="133"/>
      <c r="AR1429" s="155"/>
      <c r="AS1429" s="138">
        <f>F_GAMMA*AS$29</f>
        <v>0.39097221161068291</v>
      </c>
      <c r="AT1429" s="133"/>
      <c r="AU1429" s="155"/>
    </row>
    <row r="1430" spans="13:47" x14ac:dyDescent="0.25">
      <c r="M1430" s="27"/>
      <c r="N1430" s="27"/>
      <c r="O1430" s="2" t="s">
        <v>193</v>
      </c>
      <c r="P1430" s="134"/>
      <c r="Q1430" s="2"/>
      <c r="R1430" s="181">
        <f>IF(R1425&lt;R1429,R1427,R1428)</f>
        <v>0.35165287127533812</v>
      </c>
      <c r="S1430" s="133"/>
      <c r="T1430" s="147"/>
      <c r="U1430" s="138">
        <f>IF(U1425&lt;U1429,U1427,U1428)</f>
        <v>5.4204399686256899</v>
      </c>
      <c r="V1430" s="133"/>
      <c r="W1430" s="155"/>
      <c r="X1430" s="138">
        <f>IF(X1425&lt;X1429,X1427,X1428)</f>
        <v>14.016541776569429</v>
      </c>
      <c r="Y1430" s="133"/>
      <c r="Z1430" s="155"/>
      <c r="AA1430" s="138">
        <f>IF(AA1425&lt;AA1429,AA1427,AA1428)</f>
        <v>31.759922136033637</v>
      </c>
      <c r="AB1430" s="133"/>
      <c r="AC1430" s="155"/>
      <c r="AD1430" s="138">
        <f>IF(AD1425&lt;AD1429,AD1427,AD1428)</f>
        <v>94.743248759635009</v>
      </c>
      <c r="AE1430" s="133"/>
      <c r="AF1430" s="155"/>
      <c r="AG1430" s="138" t="e">
        <f>IF(AG1425&lt;AG1429,AG1427,AG1428)</f>
        <v>#NUM!</v>
      </c>
      <c r="AH1430" s="133"/>
      <c r="AI1430" s="155"/>
      <c r="AJ1430" s="138">
        <f>IF(AJ1425&lt;AJ1429,AJ1427,AJ1428)</f>
        <v>394.90421076758747</v>
      </c>
      <c r="AK1430" s="133"/>
      <c r="AL1430" s="155"/>
      <c r="AM1430" s="138">
        <f>IF(AM1425&lt;AM1429,AM1427,AM1428)</f>
        <v>167.74488195864495</v>
      </c>
      <c r="AN1430" s="133"/>
      <c r="AO1430" s="155"/>
      <c r="AP1430" s="138">
        <f>IF(AP1425&lt;AP1429,AP1427,AP1428)</f>
        <v>120.4545629109614</v>
      </c>
      <c r="AQ1430" s="133"/>
      <c r="AR1430" s="155"/>
      <c r="AS1430" s="138">
        <f>IF(AS1425&lt;AS1429,AS1427,AS1428)</f>
        <v>148.11656070803457</v>
      </c>
      <c r="AT1430" s="133"/>
      <c r="AU1430" s="155"/>
    </row>
    <row r="1431" spans="13:47" ht="13" x14ac:dyDescent="0.3">
      <c r="M1431" s="28"/>
      <c r="N1431" s="28"/>
      <c r="O1431" s="9" t="s">
        <v>194</v>
      </c>
      <c r="P1431" s="1"/>
      <c r="Q1431" s="1"/>
      <c r="R1431" s="135"/>
      <c r="S1431" s="132">
        <f>IF(R1424&lt;=0,W_max,ABS(R$23-R1430))</f>
        <v>1.6483471287246618</v>
      </c>
      <c r="T1431" s="151">
        <f>R1419</f>
        <v>81.324703974499414</v>
      </c>
      <c r="U1431" s="135"/>
      <c r="V1431" s="132">
        <f>IF(U1424&lt;=0,W_max,ABS(U$23-U1430))</f>
        <v>0.42043996862568989</v>
      </c>
      <c r="W1431" s="151">
        <f>U1419</f>
        <v>1244.09518898634</v>
      </c>
      <c r="X1431" s="135"/>
      <c r="Y1431" s="132">
        <f>IF(X1424&lt;=0,W_max,ABS(X$23-X1430))</f>
        <v>4.0165417765694293</v>
      </c>
      <c r="Z1431" s="151">
        <f>X1419</f>
        <v>3076.7954514261787</v>
      </c>
      <c r="AA1431" s="135"/>
      <c r="AB1431" s="132">
        <f>IF(AA1424&lt;=0,W_max,ABS(AA$23-AA1430))</f>
        <v>14.559922136033638</v>
      </c>
      <c r="AC1431" s="151">
        <f>AA1419</f>
        <v>5992.8122014514202</v>
      </c>
      <c r="AD1431" s="135"/>
      <c r="AE1431" s="132">
        <f>IF(AD1424&lt;=0,W_max,ABS(AD$23-AD1430))</f>
        <v>68.143248759635014</v>
      </c>
      <c r="AF1431" s="151">
        <f>AD1419</f>
        <v>9855.9696488412956</v>
      </c>
      <c r="AG1431" s="135"/>
      <c r="AH1431" s="132">
        <f>IF(AG1424&lt;=0,W_max,ABS(AG$23-AG1430))</f>
        <v>7174</v>
      </c>
      <c r="AI1431" s="151">
        <f>AG1419</f>
        <v>13823.756205850603</v>
      </c>
      <c r="AJ1431" s="135"/>
      <c r="AK1431" s="132">
        <f>IF(AJ1424&lt;=0,W_max,ABS(AJ$23-AJ1430))</f>
        <v>7174</v>
      </c>
      <c r="AL1431" s="151">
        <f>AJ1419</f>
        <v>17552.502227426587</v>
      </c>
      <c r="AM1431" s="135"/>
      <c r="AN1431" s="132">
        <f>IF(AM1424&lt;=0,W_max,ABS(AM$23-AM1430))</f>
        <v>7174</v>
      </c>
      <c r="AO1431" s="151">
        <f>AM1419</f>
        <v>20581.689276856068</v>
      </c>
      <c r="AP1431" s="135"/>
      <c r="AQ1431" s="132">
        <f>IF(AP1424&lt;=0,W_max,ABS(AP$23-AP1430))</f>
        <v>7174</v>
      </c>
      <c r="AR1431" s="151">
        <f>AP1419</f>
        <v>22962.33924708929</v>
      </c>
      <c r="AS1431" s="135"/>
      <c r="AT1431" s="132">
        <f>IF(AS1424&lt;=0,W_max,ABS(AS$23-AS1430))</f>
        <v>7174</v>
      </c>
      <c r="AU1431" s="151">
        <f>AS1419</f>
        <v>25618.355063368224</v>
      </c>
    </row>
    <row r="1432" spans="13:47" ht="13" x14ac:dyDescent="0.25">
      <c r="M1432" s="12"/>
      <c r="N1432" s="12"/>
      <c r="O1432" s="12"/>
      <c r="P1432" s="12"/>
      <c r="Q1432" s="12"/>
      <c r="R1432" s="182"/>
      <c r="S1432" s="22"/>
      <c r="T1432" s="152"/>
      <c r="U1432" s="157"/>
      <c r="V1432" s="1"/>
      <c r="W1432" s="147"/>
      <c r="X1432" s="157"/>
      <c r="Y1432" s="1"/>
      <c r="Z1432" s="147"/>
      <c r="AA1432" s="157"/>
      <c r="AB1432" s="1"/>
      <c r="AC1432" s="147"/>
      <c r="AD1432" s="157"/>
      <c r="AE1432" s="1"/>
      <c r="AF1432" s="147"/>
      <c r="AG1432" s="157"/>
      <c r="AH1432" s="1"/>
      <c r="AI1432" s="147"/>
      <c r="AJ1432" s="157"/>
      <c r="AK1432" s="1"/>
      <c r="AL1432" s="147"/>
      <c r="AM1432" s="157"/>
      <c r="AN1432" s="1"/>
      <c r="AO1432" s="147"/>
      <c r="AP1432" s="157"/>
      <c r="AQ1432" s="1"/>
      <c r="AR1432" s="147"/>
      <c r="AS1432" s="157"/>
      <c r="AT1432" s="1"/>
      <c r="AU1432" s="147"/>
    </row>
    <row r="1433" spans="13:47" ht="14" x14ac:dyDescent="0.3">
      <c r="M1433" s="23"/>
      <c r="N1433" s="23"/>
      <c r="O1433" s="23" t="s">
        <v>238</v>
      </c>
      <c r="P1433" s="20"/>
      <c r="Q1433" s="20"/>
      <c r="R1433" s="18">
        <f>R1419*1.02</f>
        <v>82.951198053989401</v>
      </c>
      <c r="S1433" s="128" t="s">
        <v>185</v>
      </c>
      <c r="T1433" s="153" t="s">
        <v>186</v>
      </c>
      <c r="U1433" s="143">
        <f>U1419*1.01</f>
        <v>1256.5361408762033</v>
      </c>
      <c r="V1433" s="128" t="s">
        <v>185</v>
      </c>
      <c r="W1433" s="153" t="s">
        <v>186</v>
      </c>
      <c r="X1433" s="143">
        <f>X1419*1.01</f>
        <v>3107.5634059404406</v>
      </c>
      <c r="Y1433" s="128" t="s">
        <v>185</v>
      </c>
      <c r="Z1433" s="153" t="s">
        <v>186</v>
      </c>
      <c r="AA1433" s="143">
        <f>AA1419*1.01</f>
        <v>6052.7403234659341</v>
      </c>
      <c r="AB1433" s="128" t="s">
        <v>185</v>
      </c>
      <c r="AC1433" s="153" t="s">
        <v>186</v>
      </c>
      <c r="AD1433" s="143">
        <f>AD1419*1.01</f>
        <v>9954.529345329709</v>
      </c>
      <c r="AE1433" s="128" t="s">
        <v>185</v>
      </c>
      <c r="AF1433" s="153" t="s">
        <v>186</v>
      </c>
      <c r="AG1433" s="143">
        <f>AG1419*1.01</f>
        <v>13961.993767909109</v>
      </c>
      <c r="AH1433" s="128" t="s">
        <v>185</v>
      </c>
      <c r="AI1433" s="153" t="s">
        <v>186</v>
      </c>
      <c r="AJ1433" s="143">
        <f>AJ1419*1.01</f>
        <v>17728.027249700852</v>
      </c>
      <c r="AK1433" s="128" t="s">
        <v>185</v>
      </c>
      <c r="AL1433" s="153" t="s">
        <v>186</v>
      </c>
      <c r="AM1433" s="143">
        <f>AM1419*1.01</f>
        <v>20787.50616962463</v>
      </c>
      <c r="AN1433" s="128" t="s">
        <v>185</v>
      </c>
      <c r="AO1433" s="153" t="s">
        <v>186</v>
      </c>
      <c r="AP1433" s="143">
        <f>AP1419*1.01</f>
        <v>23191.962639560184</v>
      </c>
      <c r="AQ1433" s="128" t="s">
        <v>185</v>
      </c>
      <c r="AR1433" s="153" t="s">
        <v>186</v>
      </c>
      <c r="AS1433" s="143">
        <f>AS1419*1.01</f>
        <v>25874.538614001907</v>
      </c>
      <c r="AT1433" s="128" t="s">
        <v>185</v>
      </c>
      <c r="AU1433" s="153" t="s">
        <v>186</v>
      </c>
    </row>
    <row r="1434" spans="13:47" ht="14" x14ac:dyDescent="0.3">
      <c r="M1434" s="12"/>
      <c r="N1434" s="12"/>
      <c r="O1434" s="20"/>
      <c r="P1434" s="20"/>
      <c r="Q1434" s="23"/>
      <c r="R1434" s="139"/>
      <c r="S1434" s="130" t="s">
        <v>228</v>
      </c>
      <c r="T1434" s="154" t="s">
        <v>187</v>
      </c>
      <c r="U1434" s="144"/>
      <c r="V1434" s="130" t="s">
        <v>228</v>
      </c>
      <c r="W1434" s="154" t="s">
        <v>187</v>
      </c>
      <c r="X1434" s="144"/>
      <c r="Y1434" s="130" t="s">
        <v>228</v>
      </c>
      <c r="Z1434" s="154" t="s">
        <v>187</v>
      </c>
      <c r="AA1434" s="144"/>
      <c r="AB1434" s="130" t="s">
        <v>228</v>
      </c>
      <c r="AC1434" s="154" t="s">
        <v>187</v>
      </c>
      <c r="AD1434" s="144"/>
      <c r="AE1434" s="130" t="s">
        <v>228</v>
      </c>
      <c r="AF1434" s="154" t="s">
        <v>187</v>
      </c>
      <c r="AG1434" s="144"/>
      <c r="AH1434" s="130" t="s">
        <v>228</v>
      </c>
      <c r="AI1434" s="154" t="s">
        <v>187</v>
      </c>
      <c r="AJ1434" s="144"/>
      <c r="AK1434" s="130" t="s">
        <v>228</v>
      </c>
      <c r="AL1434" s="154" t="s">
        <v>187</v>
      </c>
      <c r="AM1434" s="144"/>
      <c r="AN1434" s="130" t="s">
        <v>228</v>
      </c>
      <c r="AO1434" s="154" t="s">
        <v>187</v>
      </c>
      <c r="AP1434" s="144"/>
      <c r="AQ1434" s="130" t="s">
        <v>228</v>
      </c>
      <c r="AR1434" s="154" t="s">
        <v>187</v>
      </c>
      <c r="AS1434" s="144"/>
      <c r="AT1434" s="130" t="s">
        <v>228</v>
      </c>
      <c r="AU1434" s="154" t="s">
        <v>187</v>
      </c>
    </row>
    <row r="1435" spans="13:47" x14ac:dyDescent="0.25">
      <c r="M1435" s="20"/>
      <c r="N1435" s="20"/>
      <c r="O1435" s="7" t="s">
        <v>188</v>
      </c>
      <c r="P1435" s="7"/>
      <c r="Q1435" s="7"/>
      <c r="R1435" s="181">
        <f>P_1_minW-(R1433^2*R_up)+dpup_minQ</f>
        <v>100.52004289590393</v>
      </c>
      <c r="S1435" s="132"/>
      <c r="T1435" s="145"/>
      <c r="U1435" s="138">
        <f>P_1_minW-(U1433^2*R_up)+dpup_minQ</f>
        <v>99.89318842275236</v>
      </c>
      <c r="V1435" s="132"/>
      <c r="W1435" s="145"/>
      <c r="X1435" s="138">
        <f>P_1_minW-(X1433^2*R_up)+dpup_minQ</f>
        <v>96.671963491144666</v>
      </c>
      <c r="Y1435" s="132"/>
      <c r="Z1435" s="145"/>
      <c r="AA1435" s="138">
        <f>P_1_minW-(AA1433^2*R_up)+dpup_minQ</f>
        <v>85.913881510308656</v>
      </c>
      <c r="AB1435" s="132"/>
      <c r="AC1435" s="145"/>
      <c r="AD1435" s="138">
        <f>P_1_minW-(AD1433^2*R_up)+dpup_minQ</f>
        <v>61.008417847602708</v>
      </c>
      <c r="AE1435" s="132"/>
      <c r="AF1435" s="145"/>
      <c r="AG1435" s="138">
        <f>P_1_minW-(AG1433^2*R_up)+dpup_minQ</f>
        <v>22.789242954787412</v>
      </c>
      <c r="AH1435" s="132"/>
      <c r="AI1435" s="145"/>
      <c r="AJ1435" s="138">
        <f>P_1_minW-(AJ1433^2*R_up)+dpup_minQ</f>
        <v>-24.801259659187423</v>
      </c>
      <c r="AK1435" s="132"/>
      <c r="AL1435" s="145"/>
      <c r="AM1435" s="138">
        <f>P_1_minW-(AM1433^2*R_up)+dpup_minQ</f>
        <v>-71.790342651134196</v>
      </c>
      <c r="AN1435" s="132"/>
      <c r="AO1435" s="145"/>
      <c r="AP1435" s="138">
        <f>P_1_minW-(AP1433^2*R_up)+dpup_minQ</f>
        <v>-113.9580982556564</v>
      </c>
      <c r="AQ1435" s="132"/>
      <c r="AR1435" s="145"/>
      <c r="AS1435" s="138">
        <f>P_1_minW-(AS1433^2*R_up)+dpup_minQ</f>
        <v>-166.44497242670596</v>
      </c>
      <c r="AT1435" s="132"/>
      <c r="AU1435" s="145"/>
    </row>
    <row r="1436" spans="13:47" x14ac:dyDescent="0.25">
      <c r="M1436" s="20"/>
      <c r="N1436" s="20"/>
      <c r="O1436" s="7" t="s">
        <v>189</v>
      </c>
      <c r="P1436" s="1"/>
      <c r="Q1436" s="7"/>
      <c r="R1436" s="181">
        <f>P_2_minW+(R1433^2*R_dn)-dpdn_minQ</f>
        <v>50</v>
      </c>
      <c r="S1436" s="132"/>
      <c r="T1436" s="146"/>
      <c r="U1436" s="138">
        <f>P_2_minW+(U1433^2*R_dn)-dpdn_minQ</f>
        <v>50</v>
      </c>
      <c r="V1436" s="132"/>
      <c r="W1436" s="146"/>
      <c r="X1436" s="138">
        <f>P_2_minW+(X1433^2*R_dn)-dpdn_minQ</f>
        <v>50</v>
      </c>
      <c r="Y1436" s="132"/>
      <c r="Z1436" s="146"/>
      <c r="AA1436" s="138">
        <f>P_2_minW+(AA1433^2*R_dn)-dpdn_minQ</f>
        <v>50</v>
      </c>
      <c r="AB1436" s="132"/>
      <c r="AC1436" s="146"/>
      <c r="AD1436" s="138">
        <f>P_2_minW+(AD1433^2*R_dn)-dpdn_minQ</f>
        <v>50</v>
      </c>
      <c r="AE1436" s="132"/>
      <c r="AF1436" s="146"/>
      <c r="AG1436" s="138">
        <f>P_2_minW+(AG1433^2*R_dn)-dpdn_minQ</f>
        <v>50</v>
      </c>
      <c r="AH1436" s="132"/>
      <c r="AI1436" s="146"/>
      <c r="AJ1436" s="138">
        <f>P_2_minW+(AJ1433^2*R_dn)-dpdn_minQ</f>
        <v>50</v>
      </c>
      <c r="AK1436" s="132"/>
      <c r="AL1436" s="146"/>
      <c r="AM1436" s="138">
        <f>P_2_minW+(AM1433^2*R_dn)-dpdn_minQ</f>
        <v>50</v>
      </c>
      <c r="AN1436" s="132"/>
      <c r="AO1436" s="146"/>
      <c r="AP1436" s="138">
        <f>P_2_minW+(AP1433^2*R_dn)-dpdn_minQ</f>
        <v>50</v>
      </c>
      <c r="AQ1436" s="132"/>
      <c r="AR1436" s="146"/>
      <c r="AS1436" s="138">
        <f>P_2_minW+(AS1433^2*R_dn)-dpdn_minQ</f>
        <v>50</v>
      </c>
      <c r="AT1436" s="132"/>
      <c r="AU1436" s="146"/>
    </row>
    <row r="1437" spans="13:47" x14ac:dyDescent="0.25">
      <c r="M1437" s="20"/>
      <c r="N1437" s="20"/>
      <c r="O1437" s="7" t="s">
        <v>234</v>
      </c>
      <c r="P1437" s="1"/>
      <c r="Q1437" s="7"/>
      <c r="R1437" s="179">
        <f>'Valve Sizing'!G$8*R1435/P_1_maxW</f>
        <v>0.48489079043927258</v>
      </c>
      <c r="S1437" s="132"/>
      <c r="T1437" s="146"/>
      <c r="U1437" s="143">
        <f>'Valve Sizing'!$G$8*U1435/P_1_maxW</f>
        <v>0.48186695606534952</v>
      </c>
      <c r="V1437" s="132"/>
      <c r="W1437" s="146"/>
      <c r="X1437" s="143">
        <f>'Valve Sizing'!$G$8*X1435/P_1_maxW</f>
        <v>0.4663283404990245</v>
      </c>
      <c r="Y1437" s="132"/>
      <c r="Z1437" s="146"/>
      <c r="AA1437" s="143">
        <f>'Valve Sizing'!$G$8*AA1435/P_1_maxW</f>
        <v>0.41443326838191308</v>
      </c>
      <c r="AB1437" s="132"/>
      <c r="AC1437" s="146"/>
      <c r="AD1437" s="143">
        <f>'Valve Sizing'!$G$8*AD1435/P_1_maxW</f>
        <v>0.29429374581752143</v>
      </c>
      <c r="AE1437" s="132"/>
      <c r="AF1437" s="146"/>
      <c r="AG1437" s="143">
        <f>'Valve Sizing'!$G$8*AG1435/P_1_maxW</f>
        <v>0.10993125063926708</v>
      </c>
      <c r="AH1437" s="132"/>
      <c r="AI1437" s="146"/>
      <c r="AJ1437" s="143">
        <f>'Valve Sizing'!$G$8*AJ1435/P_1_maxW</f>
        <v>-0.11963686100379763</v>
      </c>
      <c r="AK1437" s="132"/>
      <c r="AL1437" s="146"/>
      <c r="AM1437" s="143">
        <f>'Valve Sizing'!$G$8*AM1435/P_1_maxW</f>
        <v>-0.3463038314663629</v>
      </c>
      <c r="AN1437" s="132"/>
      <c r="AO1437" s="146"/>
      <c r="AP1437" s="143">
        <f>'Valve Sizing'!$G$8*AP1435/P_1_maxW</f>
        <v>-0.54971357699642587</v>
      </c>
      <c r="AQ1437" s="132"/>
      <c r="AR1437" s="146"/>
      <c r="AS1437" s="143">
        <f>'Valve Sizing'!$G$8*AS1435/P_1_maxW</f>
        <v>-0.80290091328559432</v>
      </c>
      <c r="AT1437" s="132"/>
      <c r="AU1437" s="146"/>
    </row>
    <row r="1438" spans="13:47" x14ac:dyDescent="0.25">
      <c r="M1438" s="20"/>
      <c r="N1438" s="20"/>
      <c r="O1438" s="7" t="s">
        <v>190</v>
      </c>
      <c r="P1438" s="1"/>
      <c r="Q1438" s="7"/>
      <c r="R1438" s="181">
        <f>R1435-R1436</f>
        <v>50.520042895903927</v>
      </c>
      <c r="S1438" s="132"/>
      <c r="T1438" s="146"/>
      <c r="U1438" s="138">
        <f>U1435-U1436</f>
        <v>49.89318842275236</v>
      </c>
      <c r="V1438" s="132"/>
      <c r="W1438" s="146"/>
      <c r="X1438" s="138">
        <f>X1435-X1436</f>
        <v>46.671963491144666</v>
      </c>
      <c r="Y1438" s="132"/>
      <c r="Z1438" s="146"/>
      <c r="AA1438" s="138">
        <f>AA1435-AA1436</f>
        <v>35.913881510308656</v>
      </c>
      <c r="AB1438" s="132"/>
      <c r="AC1438" s="146"/>
      <c r="AD1438" s="138">
        <f>AD1435-AD1436</f>
        <v>11.008417847602708</v>
      </c>
      <c r="AE1438" s="132"/>
      <c r="AF1438" s="146"/>
      <c r="AG1438" s="138">
        <f>AG1435-AG1436</f>
        <v>-27.210757045212588</v>
      </c>
      <c r="AH1438" s="132"/>
      <c r="AI1438" s="146"/>
      <c r="AJ1438" s="138">
        <f>AJ1435-AJ1436</f>
        <v>-74.801259659187423</v>
      </c>
      <c r="AK1438" s="132"/>
      <c r="AL1438" s="146"/>
      <c r="AM1438" s="138">
        <f>AM1435-AM1436</f>
        <v>-121.7903426511342</v>
      </c>
      <c r="AN1438" s="132"/>
      <c r="AO1438" s="146"/>
      <c r="AP1438" s="138">
        <f>AP1435-AP1436</f>
        <v>-163.95809825565641</v>
      </c>
      <c r="AQ1438" s="132"/>
      <c r="AR1438" s="146"/>
      <c r="AS1438" s="138">
        <f>AS1435-AS1436</f>
        <v>-216.44497242670596</v>
      </c>
      <c r="AT1438" s="132"/>
      <c r="AU1438" s="146"/>
    </row>
    <row r="1439" spans="13:47" ht="14.5" x14ac:dyDescent="0.35">
      <c r="M1439" s="27"/>
      <c r="N1439" s="27"/>
      <c r="O1439" s="2" t="s">
        <v>191</v>
      </c>
      <c r="P1439" s="10"/>
      <c r="Q1439" s="2"/>
      <c r="R1439" s="181">
        <f>R1438/R1435</f>
        <v>0.50258676220643117</v>
      </c>
      <c r="S1439" s="132"/>
      <c r="T1439" s="146"/>
      <c r="U1439" s="138">
        <f>U1438/U1435</f>
        <v>0.4994653710681673</v>
      </c>
      <c r="V1439" s="132"/>
      <c r="W1439" s="146"/>
      <c r="X1439" s="138">
        <f>X1438/X1435</f>
        <v>0.48278696124155901</v>
      </c>
      <c r="Y1439" s="132"/>
      <c r="Z1439" s="146"/>
      <c r="AA1439" s="138">
        <f>AA1438/AA1435</f>
        <v>0.41802187119201933</v>
      </c>
      <c r="AB1439" s="132"/>
      <c r="AC1439" s="146"/>
      <c r="AD1439" s="138">
        <f>AD1438/AD1435</f>
        <v>0.18044096595164003</v>
      </c>
      <c r="AE1439" s="132"/>
      <c r="AF1439" s="146"/>
      <c r="AG1439" s="138">
        <f>AG1438/AG1435</f>
        <v>-1.1940175941428688</v>
      </c>
      <c r="AH1439" s="132"/>
      <c r="AI1439" s="146"/>
      <c r="AJ1439" s="138">
        <f>AJ1438/AJ1435</f>
        <v>3.0160266328036252</v>
      </c>
      <c r="AK1439" s="132"/>
      <c r="AL1439" s="146"/>
      <c r="AM1439" s="138">
        <f>AM1438/AM1435</f>
        <v>1.6964725080499399</v>
      </c>
      <c r="AN1439" s="132"/>
      <c r="AO1439" s="146"/>
      <c r="AP1439" s="138">
        <f>AP1438/AP1435</f>
        <v>1.4387577606624216</v>
      </c>
      <c r="AQ1439" s="132"/>
      <c r="AR1439" s="146"/>
      <c r="AS1439" s="138">
        <f>AS1438/AS1435</f>
        <v>1.3003995811409534</v>
      </c>
      <c r="AT1439" s="132"/>
      <c r="AU1439" s="146"/>
    </row>
    <row r="1440" spans="13:47" x14ac:dyDescent="0.25">
      <c r="M1440" s="27"/>
      <c r="N1440" s="27"/>
      <c r="O1440" s="2" t="s">
        <v>26</v>
      </c>
      <c r="P1440" s="7">
        <v>12</v>
      </c>
      <c r="Q1440" s="2"/>
      <c r="R1440" s="181">
        <f>1-R1439/(3*F_GAMMA*R$29)</f>
        <v>0.73824705503652011</v>
      </c>
      <c r="S1440" s="133"/>
      <c r="T1440" s="146"/>
      <c r="U1440" s="138">
        <f>1-U1439/(3*F_GAMMA*U$29)</f>
        <v>0.73992998486099681</v>
      </c>
      <c r="V1440" s="133"/>
      <c r="W1440" s="146"/>
      <c r="X1440" s="138">
        <f>1-X1439/(3*F_GAMMA*X$29)</f>
        <v>0.74484319492051787</v>
      </c>
      <c r="Y1440" s="133"/>
      <c r="Z1440" s="146"/>
      <c r="AA1440" s="138">
        <f>1-AA1439/(3*F_GAMMA*AA$29)</f>
        <v>0.77604283825899723</v>
      </c>
      <c r="AB1440" s="133"/>
      <c r="AC1440" s="146"/>
      <c r="AD1440" s="138">
        <f>1-AD1439/(3*F_GAMMA*AD$29)</f>
        <v>0.90067737018952976</v>
      </c>
      <c r="AE1440" s="133"/>
      <c r="AF1440" s="146"/>
      <c r="AG1440" s="138">
        <f>1-AG1439/(3*F_GAMMA*AG$29)</f>
        <v>1.6947296970915766</v>
      </c>
      <c r="AH1440" s="133"/>
      <c r="AI1440" s="146"/>
      <c r="AJ1440" s="138">
        <f>1-AJ1439/(3*F_GAMMA*AJ$29)</f>
        <v>-0.87595977728478225</v>
      </c>
      <c r="AK1440" s="133"/>
      <c r="AL1440" s="146"/>
      <c r="AM1440" s="138">
        <f>1-AM1439/(3*F_GAMMA*AM$29)</f>
        <v>-0.15291434733103348</v>
      </c>
      <c r="AN1440" s="133"/>
      <c r="AO1440" s="146"/>
      <c r="AP1440" s="138">
        <f>1-AP1439/(3*F_GAMMA*AP$29)</f>
        <v>0.19197666541849534</v>
      </c>
      <c r="AQ1440" s="133"/>
      <c r="AR1440" s="146"/>
      <c r="AS1440" s="138">
        <f>1-AS1439/(3*F_GAMMA*AS$29)</f>
        <v>-0.10868883816892838</v>
      </c>
      <c r="AT1440" s="133"/>
      <c r="AU1440" s="146"/>
    </row>
    <row r="1441" spans="13:47" x14ac:dyDescent="0.25">
      <c r="M1441" s="27"/>
      <c r="N1441" s="27"/>
      <c r="O1441" s="2" t="s">
        <v>71</v>
      </c>
      <c r="P1441" s="85">
        <v>5</v>
      </c>
      <c r="Q1441" s="2"/>
      <c r="R1441" s="179">
        <f>R1433/((N_6*R$27*R1440)*SQRT(R1439*R1435*R1437))</f>
        <v>0.35868636361725104</v>
      </c>
      <c r="S1441" s="133"/>
      <c r="T1441" s="146"/>
      <c r="U1441" s="143">
        <f>U1433/((N_6*U$27*U1440)*SQRT(U1439*U1435*U1437))</f>
        <v>5.475425423633336</v>
      </c>
      <c r="V1441" s="133"/>
      <c r="W1441" s="146"/>
      <c r="X1441" s="143">
        <f>X1433/((N_6*X$27*X1440)*SQRT(X1439*X1435*X1437))</f>
        <v>14.169689695332421</v>
      </c>
      <c r="Y1441" s="133"/>
      <c r="Z1441" s="146"/>
      <c r="AA1441" s="143">
        <f>AA1433/((N_6*AA$27*AA1440)*SQRT(AA1439*AA1435*AA1437))</f>
        <v>32.216442882500651</v>
      </c>
      <c r="AB1441" s="133"/>
      <c r="AC1441" s="146"/>
      <c r="AD1441" s="143">
        <f>AD1433/((N_6*AD$27*AD1440)*SQRT(AD1439*AD1435*AD1437))</f>
        <v>99.0177171346715</v>
      </c>
      <c r="AE1441" s="133"/>
      <c r="AF1441" s="146"/>
      <c r="AG1441" s="143" t="e">
        <f>AG1433/((N_6*AG$27*AG1440)*SQRT(AG1439*AG1435*AG1437))</f>
        <v>#NUM!</v>
      </c>
      <c r="AH1441" s="133"/>
      <c r="AI1441" s="146"/>
      <c r="AJ1441" s="143">
        <f>AJ1433/((N_6*AJ$27*AJ1440)*SQRT(AJ1439*AJ1435*AJ1437))</f>
        <v>-115.27469499571929</v>
      </c>
      <c r="AK1441" s="133"/>
      <c r="AL1441" s="146"/>
      <c r="AM1441" s="143">
        <f>AM1433/((N_6*AM$27*AM1440)*SQRT(AM1439*AM1435*AM1437))</f>
        <v>-378.57159189487572</v>
      </c>
      <c r="AN1441" s="133"/>
      <c r="AO1441" s="146"/>
      <c r="AP1441" s="143">
        <f>AP1433/((N_6*AP$27*AP1440)*SQRT(AP1439*AP1435*AP1437))</f>
        <v>261.41918348500906</v>
      </c>
      <c r="AQ1441" s="133"/>
      <c r="AR1441" s="146"/>
      <c r="AS1441" s="143">
        <f>AS1433/((N_6*AS$27*AS1440)*SQRT(AS1439*AS1435*AS1437))</f>
        <v>-487.47620579532963</v>
      </c>
      <c r="AT1441" s="133"/>
      <c r="AU1441" s="146"/>
    </row>
    <row r="1442" spans="13:47" x14ac:dyDescent="0.25">
      <c r="M1442" s="27"/>
      <c r="N1442" s="27"/>
      <c r="O1442" s="2" t="s">
        <v>73</v>
      </c>
      <c r="P1442" s="85">
        <v>5</v>
      </c>
      <c r="Q1442" s="2"/>
      <c r="R1442" s="179">
        <f>R1433/((N_6*R$27*0.667)*SQRT(R1443*R1435*R1437))</f>
        <v>0.35180108220563838</v>
      </c>
      <c r="S1442" s="133"/>
      <c r="T1442" s="155"/>
      <c r="U1442" s="143">
        <f>U1433/((N_6*U$27*0.667)*SQRT(U1443*U1435*U1437))</f>
        <v>5.3652310595617037</v>
      </c>
      <c r="V1442" s="133"/>
      <c r="W1442" s="155"/>
      <c r="X1442" s="143">
        <f>X1433/((N_6*X$27*0.667)*SQRT(X1443*X1435*X1437))</f>
        <v>13.844062942528614</v>
      </c>
      <c r="Y1442" s="133"/>
      <c r="Z1442" s="155"/>
      <c r="AA1442" s="143">
        <f>AA1433/((N_6*AA$27*0.667)*SQRT(AA1443*AA1435*AA1437))</f>
        <v>30.724197857059437</v>
      </c>
      <c r="AB1442" s="133"/>
      <c r="AC1442" s="155"/>
      <c r="AD1442" s="143">
        <f>AD1433/((N_6*AD$27*0.667)*SQRT(AD1443*AD1435*AD1437))</f>
        <v>72.986251442814435</v>
      </c>
      <c r="AE1442" s="133"/>
      <c r="AF1442" s="155"/>
      <c r="AG1442" s="143">
        <f>AG1433/((N_6*AG$27*0.667)*SQRT(AG1443*AG1435*AG1437))</f>
        <v>287.83552157383053</v>
      </c>
      <c r="AH1442" s="133"/>
      <c r="AI1442" s="155"/>
      <c r="AJ1442" s="143">
        <f>AJ1433/((N_6*AJ$27*0.667)*SQRT(AJ1443*AJ1435*AJ1437))</f>
        <v>359.14076295343381</v>
      </c>
      <c r="AK1442" s="133"/>
      <c r="AL1442" s="155"/>
      <c r="AM1442" s="143">
        <f>AM1433/((N_6*AM$27*0.667)*SQRT(AM1443*AM1435*AM1437))</f>
        <v>161.40967832881768</v>
      </c>
      <c r="AN1442" s="133"/>
      <c r="AO1442" s="155"/>
      <c r="AP1442" s="143">
        <f>AP1433/((N_6*AP$27*0.667)*SQRT(AP1443*AP1435*AP1437))</f>
        <v>117.1473968474227</v>
      </c>
      <c r="AQ1442" s="133"/>
      <c r="AR1442" s="155"/>
      <c r="AS1442" s="143">
        <f>AS1433/((N_6*AS$27*0.667)*SQRT(AS1443*AS1435*AS1437))</f>
        <v>144.86984639853705</v>
      </c>
      <c r="AT1442" s="133"/>
      <c r="AU1442" s="155"/>
    </row>
    <row r="1443" spans="13:47" ht="15.5" x14ac:dyDescent="0.4">
      <c r="M1443" s="27"/>
      <c r="N1443" s="27"/>
      <c r="O1443" s="2" t="s">
        <v>192</v>
      </c>
      <c r="P1443" s="85">
        <v>10</v>
      </c>
      <c r="Q1443" s="2"/>
      <c r="R1443" s="181">
        <f>F_GAMMA*R$29</f>
        <v>0.64002688015162901</v>
      </c>
      <c r="S1443" s="133"/>
      <c r="T1443" s="155"/>
      <c r="U1443" s="138">
        <f>F_GAMMA*U$29</f>
        <v>0.64016782916606918</v>
      </c>
      <c r="V1443" s="133"/>
      <c r="W1443" s="155"/>
      <c r="X1443" s="138">
        <f>F_GAMMA*X$29</f>
        <v>0.6307062319203669</v>
      </c>
      <c r="Y1443" s="133"/>
      <c r="Z1443" s="155"/>
      <c r="AA1443" s="138">
        <f>F_GAMMA*AA$29</f>
        <v>0.62217534213893466</v>
      </c>
      <c r="AB1443" s="133"/>
      <c r="AC1443" s="155"/>
      <c r="AD1443" s="138">
        <f>F_GAMMA*AD$29</f>
        <v>0.60557184969146072</v>
      </c>
      <c r="AE1443" s="133"/>
      <c r="AF1443" s="155"/>
      <c r="AG1443" s="138">
        <f>F_GAMMA*AG$29</f>
        <v>0.57289312142622573</v>
      </c>
      <c r="AH1443" s="133"/>
      <c r="AI1443" s="155"/>
      <c r="AJ1443" s="138">
        <f>F_GAMMA*AJ$29</f>
        <v>0.53590819116049981</v>
      </c>
      <c r="AK1443" s="133"/>
      <c r="AL1443" s="155"/>
      <c r="AM1443" s="138">
        <f>F_GAMMA*AM$29</f>
        <v>0.49048815926850342</v>
      </c>
      <c r="AN1443" s="133"/>
      <c r="AO1443" s="155"/>
      <c r="AP1443" s="138">
        <f>F_GAMMA*AP$29</f>
        <v>0.59352979016280105</v>
      </c>
      <c r="AQ1443" s="133"/>
      <c r="AR1443" s="155"/>
      <c r="AS1443" s="138">
        <f>F_GAMMA*AS$29</f>
        <v>0.39097221161068291</v>
      </c>
      <c r="AT1443" s="133"/>
      <c r="AU1443" s="155"/>
    </row>
    <row r="1444" spans="13:47" x14ac:dyDescent="0.25">
      <c r="M1444" s="27"/>
      <c r="N1444" s="27"/>
      <c r="O1444" s="2" t="s">
        <v>193</v>
      </c>
      <c r="P1444" s="134"/>
      <c r="Q1444" s="2"/>
      <c r="R1444" s="181">
        <f>IF(R1439&lt;R1443,R1441,R1442)</f>
        <v>0.35868636361725104</v>
      </c>
      <c r="S1444" s="133"/>
      <c r="T1444" s="155"/>
      <c r="U1444" s="138">
        <f>IF(U1439&lt;U1443,U1441,U1442)</f>
        <v>5.475425423633336</v>
      </c>
      <c r="V1444" s="133"/>
      <c r="W1444" s="155"/>
      <c r="X1444" s="138">
        <f>IF(X1439&lt;X1443,X1441,X1442)</f>
        <v>14.169689695332421</v>
      </c>
      <c r="Y1444" s="133"/>
      <c r="Z1444" s="155"/>
      <c r="AA1444" s="138">
        <f>IF(AA1439&lt;AA1443,AA1441,AA1442)</f>
        <v>32.216442882500651</v>
      </c>
      <c r="AB1444" s="133"/>
      <c r="AC1444" s="155"/>
      <c r="AD1444" s="138">
        <f>IF(AD1439&lt;AD1443,AD1441,AD1442)</f>
        <v>99.0177171346715</v>
      </c>
      <c r="AE1444" s="133"/>
      <c r="AF1444" s="155"/>
      <c r="AG1444" s="138" t="e">
        <f>IF(AG1439&lt;AG1443,AG1441,AG1442)</f>
        <v>#NUM!</v>
      </c>
      <c r="AH1444" s="133"/>
      <c r="AI1444" s="155"/>
      <c r="AJ1444" s="138">
        <f>IF(AJ1439&lt;AJ1443,AJ1441,AJ1442)</f>
        <v>359.14076295343381</v>
      </c>
      <c r="AK1444" s="133"/>
      <c r="AL1444" s="155"/>
      <c r="AM1444" s="138">
        <f>IF(AM1439&lt;AM1443,AM1441,AM1442)</f>
        <v>161.40967832881768</v>
      </c>
      <c r="AN1444" s="133"/>
      <c r="AO1444" s="155"/>
      <c r="AP1444" s="138">
        <f>IF(AP1439&lt;AP1443,AP1441,AP1442)</f>
        <v>117.1473968474227</v>
      </c>
      <c r="AQ1444" s="133"/>
      <c r="AR1444" s="155"/>
      <c r="AS1444" s="138">
        <f>IF(AS1439&lt;AS1443,AS1441,AS1442)</f>
        <v>144.86984639853705</v>
      </c>
      <c r="AT1444" s="133"/>
      <c r="AU1444" s="155"/>
    </row>
    <row r="1445" spans="13:47" ht="13" x14ac:dyDescent="0.3">
      <c r="M1445" s="28"/>
      <c r="N1445" s="28"/>
      <c r="O1445" s="9" t="s">
        <v>194</v>
      </c>
      <c r="P1445" s="1"/>
      <c r="Q1445" s="1"/>
      <c r="R1445" s="135"/>
      <c r="S1445" s="132">
        <f>IF(R1438&lt;=0,W_max,ABS(R$23-R1444))</f>
        <v>1.641313636382749</v>
      </c>
      <c r="T1445" s="151">
        <f>R1433</f>
        <v>82.951198053989401</v>
      </c>
      <c r="U1445" s="135"/>
      <c r="V1445" s="132">
        <f>IF(U1438&lt;=0,W_max,ABS(U$23-U1444))</f>
        <v>0.47542542363333595</v>
      </c>
      <c r="W1445" s="151">
        <f>U1433</f>
        <v>1256.5361408762033</v>
      </c>
      <c r="X1445" s="135"/>
      <c r="Y1445" s="132">
        <f>IF(X1438&lt;=0,W_max,ABS(X$23-X1444))</f>
        <v>4.169689695332421</v>
      </c>
      <c r="Z1445" s="151">
        <f>X1433</f>
        <v>3107.5634059404406</v>
      </c>
      <c r="AA1445" s="135"/>
      <c r="AB1445" s="132">
        <f>IF(AA1438&lt;=0,W_max,ABS(AA$23-AA1444))</f>
        <v>15.016442882500652</v>
      </c>
      <c r="AC1445" s="151">
        <f>AA1433</f>
        <v>6052.7403234659341</v>
      </c>
      <c r="AD1445" s="135"/>
      <c r="AE1445" s="132">
        <f>IF(AD1438&lt;=0,W_max,ABS(AD$23-AD1444))</f>
        <v>72.417717134671506</v>
      </c>
      <c r="AF1445" s="151">
        <f>AD1433</f>
        <v>9954.529345329709</v>
      </c>
      <c r="AG1445" s="135"/>
      <c r="AH1445" s="132">
        <f>IF(AG1438&lt;=0,W_max,ABS(AG$23-AG1444))</f>
        <v>7174</v>
      </c>
      <c r="AI1445" s="151">
        <f>AG1433</f>
        <v>13961.993767909109</v>
      </c>
      <c r="AJ1445" s="135"/>
      <c r="AK1445" s="132">
        <f>IF(AJ1438&lt;=0,W_max,ABS(AJ$23-AJ1444))</f>
        <v>7174</v>
      </c>
      <c r="AL1445" s="151">
        <f>AJ1433</f>
        <v>17728.027249700852</v>
      </c>
      <c r="AM1445" s="135"/>
      <c r="AN1445" s="132">
        <f>IF(AM1438&lt;=0,W_max,ABS(AM$23-AM1444))</f>
        <v>7174</v>
      </c>
      <c r="AO1445" s="151">
        <f>AM1433</f>
        <v>20787.50616962463</v>
      </c>
      <c r="AP1445" s="135"/>
      <c r="AQ1445" s="132">
        <f>IF(AP1438&lt;=0,W_max,ABS(AP$23-AP1444))</f>
        <v>7174</v>
      </c>
      <c r="AR1445" s="151">
        <f>AP1433</f>
        <v>23191.962639560184</v>
      </c>
      <c r="AS1445" s="135"/>
      <c r="AT1445" s="132">
        <f>IF(AS1438&lt;=0,W_max,ABS(AS$23-AS1444))</f>
        <v>7174</v>
      </c>
      <c r="AU1445" s="151">
        <f>AS1433</f>
        <v>25874.538614001907</v>
      </c>
    </row>
    <row r="1446" spans="13:47" ht="13" x14ac:dyDescent="0.25">
      <c r="M1446" s="12"/>
      <c r="N1446" s="12"/>
      <c r="O1446" s="2"/>
      <c r="P1446" s="85"/>
      <c r="Q1446" s="2"/>
      <c r="R1446" s="18"/>
      <c r="S1446" s="150"/>
      <c r="T1446" s="152"/>
      <c r="U1446" s="157"/>
      <c r="V1446" s="1"/>
      <c r="W1446" s="147"/>
      <c r="X1446" s="157"/>
      <c r="Y1446" s="1"/>
      <c r="Z1446" s="147"/>
      <c r="AA1446" s="157"/>
      <c r="AB1446" s="1"/>
      <c r="AC1446" s="147"/>
      <c r="AD1446" s="157"/>
      <c r="AE1446" s="1"/>
      <c r="AF1446" s="147"/>
      <c r="AG1446" s="157"/>
      <c r="AH1446" s="1"/>
      <c r="AI1446" s="147"/>
      <c r="AJ1446" s="157"/>
      <c r="AK1446" s="1"/>
      <c r="AL1446" s="147"/>
      <c r="AM1446" s="157"/>
      <c r="AN1446" s="1"/>
      <c r="AO1446" s="147"/>
      <c r="AP1446" s="157"/>
      <c r="AQ1446" s="1"/>
      <c r="AR1446" s="147"/>
      <c r="AS1446" s="157"/>
      <c r="AT1446" s="1"/>
      <c r="AU1446" s="147"/>
    </row>
    <row r="1447" spans="13:47" ht="14" x14ac:dyDescent="0.3">
      <c r="M1447" s="23"/>
      <c r="N1447" s="23"/>
      <c r="O1447" s="23" t="s">
        <v>238</v>
      </c>
      <c r="P1447" s="20"/>
      <c r="Q1447" s="20"/>
      <c r="R1447" s="181">
        <f>R1433*1.02</f>
        <v>84.610222015069198</v>
      </c>
      <c r="S1447" s="128" t="s">
        <v>185</v>
      </c>
      <c r="T1447" s="153" t="s">
        <v>186</v>
      </c>
      <c r="U1447" s="143">
        <f>U1433*1.01</f>
        <v>1269.1015022849654</v>
      </c>
      <c r="V1447" s="128" t="s">
        <v>185</v>
      </c>
      <c r="W1447" s="153" t="s">
        <v>186</v>
      </c>
      <c r="X1447" s="143">
        <f>X1433*1.01</f>
        <v>3138.639039999845</v>
      </c>
      <c r="Y1447" s="128" t="s">
        <v>185</v>
      </c>
      <c r="Z1447" s="153" t="s">
        <v>186</v>
      </c>
      <c r="AA1447" s="143">
        <f>AA1433*1.01</f>
        <v>6113.2677267005938</v>
      </c>
      <c r="AB1447" s="128" t="s">
        <v>185</v>
      </c>
      <c r="AC1447" s="153" t="s">
        <v>186</v>
      </c>
      <c r="AD1447" s="143">
        <f>AD1433*1.01</f>
        <v>10054.074638783006</v>
      </c>
      <c r="AE1447" s="128" t="s">
        <v>185</v>
      </c>
      <c r="AF1447" s="153" t="s">
        <v>186</v>
      </c>
      <c r="AG1447" s="143">
        <f>AG1433*1.01</f>
        <v>14101.613705588201</v>
      </c>
      <c r="AH1447" s="128" t="s">
        <v>185</v>
      </c>
      <c r="AI1447" s="153" t="s">
        <v>186</v>
      </c>
      <c r="AJ1447" s="143">
        <f>AJ1433*1.01</f>
        <v>17905.307522197862</v>
      </c>
      <c r="AK1447" s="128" t="s">
        <v>185</v>
      </c>
      <c r="AL1447" s="153" t="s">
        <v>186</v>
      </c>
      <c r="AM1447" s="143">
        <f>AM1433*1.01</f>
        <v>20995.381231320876</v>
      </c>
      <c r="AN1447" s="128" t="s">
        <v>185</v>
      </c>
      <c r="AO1447" s="153" t="s">
        <v>186</v>
      </c>
      <c r="AP1447" s="143">
        <f>AP1433*1.01</f>
        <v>23423.882265955788</v>
      </c>
      <c r="AQ1447" s="128" t="s">
        <v>185</v>
      </c>
      <c r="AR1447" s="153" t="s">
        <v>186</v>
      </c>
      <c r="AS1447" s="143">
        <f>AS1433*1.01</f>
        <v>26133.284000141928</v>
      </c>
      <c r="AT1447" s="128" t="s">
        <v>185</v>
      </c>
      <c r="AU1447" s="153" t="s">
        <v>186</v>
      </c>
    </row>
    <row r="1448" spans="13:47" ht="14" x14ac:dyDescent="0.3">
      <c r="M1448" s="12"/>
      <c r="N1448" s="12"/>
      <c r="O1448" s="20"/>
      <c r="P1448" s="20"/>
      <c r="Q1448" s="23"/>
      <c r="R1448" s="139"/>
      <c r="S1448" s="130" t="s">
        <v>228</v>
      </c>
      <c r="T1448" s="154" t="s">
        <v>187</v>
      </c>
      <c r="U1448" s="144"/>
      <c r="V1448" s="130" t="s">
        <v>228</v>
      </c>
      <c r="W1448" s="154" t="s">
        <v>187</v>
      </c>
      <c r="X1448" s="144"/>
      <c r="Y1448" s="130" t="s">
        <v>228</v>
      </c>
      <c r="Z1448" s="154" t="s">
        <v>187</v>
      </c>
      <c r="AA1448" s="144"/>
      <c r="AB1448" s="130" t="s">
        <v>228</v>
      </c>
      <c r="AC1448" s="154" t="s">
        <v>187</v>
      </c>
      <c r="AD1448" s="144"/>
      <c r="AE1448" s="130" t="s">
        <v>228</v>
      </c>
      <c r="AF1448" s="154" t="s">
        <v>187</v>
      </c>
      <c r="AG1448" s="144"/>
      <c r="AH1448" s="130" t="s">
        <v>228</v>
      </c>
      <c r="AI1448" s="154" t="s">
        <v>187</v>
      </c>
      <c r="AJ1448" s="144"/>
      <c r="AK1448" s="130" t="s">
        <v>228</v>
      </c>
      <c r="AL1448" s="154" t="s">
        <v>187</v>
      </c>
      <c r="AM1448" s="144"/>
      <c r="AN1448" s="130" t="s">
        <v>228</v>
      </c>
      <c r="AO1448" s="154" t="s">
        <v>187</v>
      </c>
      <c r="AP1448" s="144"/>
      <c r="AQ1448" s="130" t="s">
        <v>228</v>
      </c>
      <c r="AR1448" s="154" t="s">
        <v>187</v>
      </c>
      <c r="AS1448" s="144"/>
      <c r="AT1448" s="130" t="s">
        <v>228</v>
      </c>
      <c r="AU1448" s="154" t="s">
        <v>187</v>
      </c>
    </row>
    <row r="1449" spans="13:47" x14ac:dyDescent="0.25">
      <c r="M1449" s="20"/>
      <c r="N1449" s="20"/>
      <c r="O1449" s="7" t="s">
        <v>188</v>
      </c>
      <c r="P1449" s="7"/>
      <c r="Q1449" s="7"/>
      <c r="R1449" s="181">
        <f>P_1_minW-(R1447^2*R_up)+dpup_minQ</f>
        <v>100.51993204473469</v>
      </c>
      <c r="S1449" s="132"/>
      <c r="T1449" s="145"/>
      <c r="U1449" s="138">
        <f>P_1_minW-(U1447^2*R_up)+dpup_minQ</f>
        <v>99.880533496641476</v>
      </c>
      <c r="V1449" s="132"/>
      <c r="W1449" s="145"/>
      <c r="X1449" s="138">
        <f>P_1_minW-(X1447^2*R_up)+dpup_minQ</f>
        <v>96.59456194390846</v>
      </c>
      <c r="Y1449" s="132"/>
      <c r="Z1449" s="145"/>
      <c r="AA1449" s="138">
        <f>P_1_minW-(AA1447^2*R_up)+dpup_minQ</f>
        <v>85.620242515257658</v>
      </c>
      <c r="AB1449" s="132"/>
      <c r="AC1449" s="145"/>
      <c r="AD1449" s="138">
        <f>P_1_minW-(AD1447^2*R_up)+dpup_minQ</f>
        <v>60.214179032931312</v>
      </c>
      <c r="AE1449" s="132"/>
      <c r="AF1449" s="145"/>
      <c r="AG1449" s="138">
        <f>P_1_minW-(AG1447^2*R_up)+dpup_minQ</f>
        <v>21.226798724770418</v>
      </c>
      <c r="AH1449" s="132"/>
      <c r="AI1449" s="145"/>
      <c r="AJ1449" s="138">
        <f>P_1_minW-(AJ1447^2*R_up)+dpup_minQ</f>
        <v>-27.320272991745313</v>
      </c>
      <c r="AK1449" s="132"/>
      <c r="AL1449" s="145"/>
      <c r="AM1449" s="138">
        <f>P_1_minW-(AM1447^2*R_up)+dpup_minQ</f>
        <v>-75.25383655183019</v>
      </c>
      <c r="AN1449" s="132"/>
      <c r="AO1449" s="145"/>
      <c r="AP1449" s="138">
        <f>P_1_minW-(AP1447^2*R_up)+dpup_minQ</f>
        <v>-118.26916404400332</v>
      </c>
      <c r="AQ1449" s="132"/>
      <c r="AR1449" s="145"/>
      <c r="AS1449" s="138">
        <f>P_1_minW-(AS1447^2*R_up)+dpup_minQ</f>
        <v>-171.81102438589099</v>
      </c>
      <c r="AT1449" s="132"/>
      <c r="AU1449" s="145"/>
    </row>
    <row r="1450" spans="13:47" x14ac:dyDescent="0.25">
      <c r="M1450" s="20"/>
      <c r="N1450" s="20"/>
      <c r="O1450" s="7" t="s">
        <v>189</v>
      </c>
      <c r="P1450" s="1"/>
      <c r="Q1450" s="7"/>
      <c r="R1450" s="181">
        <f>P_2_minW+(R1447^2*R_dn)-dpdn_minQ</f>
        <v>50</v>
      </c>
      <c r="S1450" s="132"/>
      <c r="T1450" s="146"/>
      <c r="U1450" s="138">
        <f>P_2_minW+(U1447^2*R_dn)-dpdn_minQ</f>
        <v>50</v>
      </c>
      <c r="V1450" s="132"/>
      <c r="W1450" s="146"/>
      <c r="X1450" s="138">
        <f>P_2_minW+(X1447^2*R_dn)-dpdn_minQ</f>
        <v>50</v>
      </c>
      <c r="Y1450" s="132"/>
      <c r="Z1450" s="146"/>
      <c r="AA1450" s="138">
        <f>P_2_minW+(AA1447^2*R_dn)-dpdn_minQ</f>
        <v>50</v>
      </c>
      <c r="AB1450" s="132"/>
      <c r="AC1450" s="146"/>
      <c r="AD1450" s="138">
        <f>P_2_minW+(AD1447^2*R_dn)-dpdn_minQ</f>
        <v>50</v>
      </c>
      <c r="AE1450" s="132"/>
      <c r="AF1450" s="146"/>
      <c r="AG1450" s="138">
        <f>P_2_minW+(AG1447^2*R_dn)-dpdn_minQ</f>
        <v>50</v>
      </c>
      <c r="AH1450" s="132"/>
      <c r="AI1450" s="146"/>
      <c r="AJ1450" s="138">
        <f>P_2_minW+(AJ1447^2*R_dn)-dpdn_minQ</f>
        <v>50</v>
      </c>
      <c r="AK1450" s="132"/>
      <c r="AL1450" s="146"/>
      <c r="AM1450" s="138">
        <f>P_2_minW+(AM1447^2*R_dn)-dpdn_minQ</f>
        <v>50</v>
      </c>
      <c r="AN1450" s="132"/>
      <c r="AO1450" s="146"/>
      <c r="AP1450" s="138">
        <f>P_2_minW+(AP1447^2*R_dn)-dpdn_minQ</f>
        <v>50</v>
      </c>
      <c r="AQ1450" s="132"/>
      <c r="AR1450" s="146"/>
      <c r="AS1450" s="138">
        <f>P_2_minW+(AS1447^2*R_dn)-dpdn_minQ</f>
        <v>50</v>
      </c>
      <c r="AT1450" s="132"/>
      <c r="AU1450" s="146"/>
    </row>
    <row r="1451" spans="13:47" x14ac:dyDescent="0.25">
      <c r="M1451" s="20"/>
      <c r="N1451" s="20"/>
      <c r="O1451" s="7" t="s">
        <v>234</v>
      </c>
      <c r="P1451" s="1"/>
      <c r="Q1451" s="7"/>
      <c r="R1451" s="179">
        <f>'Valve Sizing'!G$8*R1449/P_1_maxW</f>
        <v>0.48489025571296801</v>
      </c>
      <c r="S1451" s="132"/>
      <c r="T1451" s="146"/>
      <c r="U1451" s="143">
        <f>'Valve Sizing'!$G$8*U1449/P_1_maxW</f>
        <v>0.48180591095486125</v>
      </c>
      <c r="V1451" s="132"/>
      <c r="W1451" s="146"/>
      <c r="X1451" s="143">
        <f>'Valve Sizing'!$G$8*X1449/P_1_maxW</f>
        <v>0.46595496921565316</v>
      </c>
      <c r="Y1451" s="132"/>
      <c r="Z1451" s="146"/>
      <c r="AA1451" s="143">
        <f>'Valve Sizing'!$G$8*AA1449/P_1_maxW</f>
        <v>0.41301680614898784</v>
      </c>
      <c r="AB1451" s="132"/>
      <c r="AC1451" s="146"/>
      <c r="AD1451" s="143">
        <f>'Valve Sizing'!$G$8*AD1449/P_1_maxW</f>
        <v>0.29046247918105189</v>
      </c>
      <c r="AE1451" s="132"/>
      <c r="AF1451" s="146"/>
      <c r="AG1451" s="143">
        <f>'Valve Sizing'!$G$8*AG1449/P_1_maxW</f>
        <v>0.10239429784971457</v>
      </c>
      <c r="AH1451" s="132"/>
      <c r="AI1451" s="146"/>
      <c r="AJ1451" s="143">
        <f>'Valve Sizing'!$G$8*AJ1449/P_1_maxW</f>
        <v>-0.13178813283737573</v>
      </c>
      <c r="AK1451" s="132"/>
      <c r="AL1451" s="146"/>
      <c r="AM1451" s="143">
        <f>'Valve Sizing'!$G$8*AM1449/P_1_maxW</f>
        <v>-0.36301110940623843</v>
      </c>
      <c r="AN1451" s="132"/>
      <c r="AO1451" s="146"/>
      <c r="AP1451" s="143">
        <f>'Valve Sizing'!$G$8*AP1449/P_1_maxW</f>
        <v>-0.5705093908214558</v>
      </c>
      <c r="AQ1451" s="132"/>
      <c r="AR1451" s="146"/>
      <c r="AS1451" s="143">
        <f>'Valve Sizing'!$G$8*AS1449/P_1_maxW</f>
        <v>-0.82878579257003671</v>
      </c>
      <c r="AT1451" s="132"/>
      <c r="AU1451" s="146"/>
    </row>
    <row r="1452" spans="13:47" x14ac:dyDescent="0.25">
      <c r="M1452" s="20"/>
      <c r="N1452" s="20"/>
      <c r="O1452" s="7" t="s">
        <v>190</v>
      </c>
      <c r="P1452" s="1"/>
      <c r="Q1452" s="7"/>
      <c r="R1452" s="181">
        <f>R1449-R1450</f>
        <v>50.519932044734688</v>
      </c>
      <c r="S1452" s="132"/>
      <c r="T1452" s="146"/>
      <c r="U1452" s="138">
        <f>U1449-U1450</f>
        <v>49.880533496641476</v>
      </c>
      <c r="V1452" s="132"/>
      <c r="W1452" s="146"/>
      <c r="X1452" s="138">
        <f>X1449-X1450</f>
        <v>46.59456194390846</v>
      </c>
      <c r="Y1452" s="132"/>
      <c r="Z1452" s="146"/>
      <c r="AA1452" s="138">
        <f>AA1449-AA1450</f>
        <v>35.620242515257658</v>
      </c>
      <c r="AB1452" s="132"/>
      <c r="AC1452" s="146"/>
      <c r="AD1452" s="138">
        <f>AD1449-AD1450</f>
        <v>10.214179032931312</v>
      </c>
      <c r="AE1452" s="132"/>
      <c r="AF1452" s="146"/>
      <c r="AG1452" s="138">
        <f>AG1449-AG1450</f>
        <v>-28.773201275229582</v>
      </c>
      <c r="AH1452" s="132"/>
      <c r="AI1452" s="146"/>
      <c r="AJ1452" s="138">
        <f>AJ1449-AJ1450</f>
        <v>-77.320272991745313</v>
      </c>
      <c r="AK1452" s="132"/>
      <c r="AL1452" s="146"/>
      <c r="AM1452" s="138">
        <f>AM1449-AM1450</f>
        <v>-125.25383655183019</v>
      </c>
      <c r="AN1452" s="132"/>
      <c r="AO1452" s="146"/>
      <c r="AP1452" s="138">
        <f>AP1449-AP1450</f>
        <v>-168.26916404400333</v>
      </c>
      <c r="AQ1452" s="132"/>
      <c r="AR1452" s="146"/>
      <c r="AS1452" s="138">
        <f>AS1449-AS1450</f>
        <v>-221.81102438589099</v>
      </c>
      <c r="AT1452" s="132"/>
      <c r="AU1452" s="146"/>
    </row>
    <row r="1453" spans="13:47" ht="14.5" x14ac:dyDescent="0.35">
      <c r="M1453" s="27"/>
      <c r="N1453" s="27"/>
      <c r="O1453" s="2" t="s">
        <v>191</v>
      </c>
      <c r="P1453" s="10"/>
      <c r="Q1453" s="2"/>
      <c r="R1453" s="181">
        <f>R1452/R1449</f>
        <v>0.50258621367005751</v>
      </c>
      <c r="S1453" s="132"/>
      <c r="T1453" s="146"/>
      <c r="U1453" s="138">
        <f>U1452/U1449</f>
        <v>0.49940195301738882</v>
      </c>
      <c r="V1453" s="132"/>
      <c r="W1453" s="146"/>
      <c r="X1453" s="138">
        <f>X1452/X1449</f>
        <v>0.48237251669473358</v>
      </c>
      <c r="Y1453" s="132"/>
      <c r="Z1453" s="146"/>
      <c r="AA1453" s="138">
        <f>AA1452/AA1449</f>
        <v>0.41602594747276123</v>
      </c>
      <c r="AB1453" s="132"/>
      <c r="AC1453" s="146"/>
      <c r="AD1453" s="138">
        <f>AD1452/AD1449</f>
        <v>0.16963079455663005</v>
      </c>
      <c r="AE1453" s="132"/>
      <c r="AF1453" s="146"/>
      <c r="AG1453" s="138">
        <f>AG1452/AG1449</f>
        <v>-1.3555129837667399</v>
      </c>
      <c r="AH1453" s="132"/>
      <c r="AI1453" s="146"/>
      <c r="AJ1453" s="138">
        <f>AJ1452/AJ1449</f>
        <v>2.8301427666958987</v>
      </c>
      <c r="AK1453" s="132"/>
      <c r="AL1453" s="146"/>
      <c r="AM1453" s="138">
        <f>AM1452/AM1449</f>
        <v>1.6644179525061569</v>
      </c>
      <c r="AN1453" s="132"/>
      <c r="AO1453" s="146"/>
      <c r="AP1453" s="138">
        <f>AP1452/AP1449</f>
        <v>1.4227644661578649</v>
      </c>
      <c r="AQ1453" s="132"/>
      <c r="AR1453" s="146"/>
      <c r="AS1453" s="138">
        <f>AS1452/AS1449</f>
        <v>1.2910174139215829</v>
      </c>
      <c r="AT1453" s="132"/>
      <c r="AU1453" s="146"/>
    </row>
    <row r="1454" spans="13:47" x14ac:dyDescent="0.25">
      <c r="M1454" s="27"/>
      <c r="N1454" s="27"/>
      <c r="O1454" s="2" t="s">
        <v>26</v>
      </c>
      <c r="P1454" s="7">
        <v>12</v>
      </c>
      <c r="Q1454" s="2"/>
      <c r="R1454" s="181">
        <f>1-R1453/(3*F_GAMMA*R$29)</f>
        <v>0.73824734072054932</v>
      </c>
      <c r="S1454" s="133"/>
      <c r="T1454" s="146"/>
      <c r="U1454" s="138">
        <f>1-U1453/(3*F_GAMMA*U$29)</f>
        <v>0.73996300643642809</v>
      </c>
      <c r="V1454" s="133"/>
      <c r="W1454" s="146"/>
      <c r="X1454" s="138">
        <f>1-X1453/(3*F_GAMMA*X$29)</f>
        <v>0.74506223220805912</v>
      </c>
      <c r="Y1454" s="133"/>
      <c r="Z1454" s="146"/>
      <c r="AA1454" s="138">
        <f>1-AA1453/(3*F_GAMMA*AA$29)</f>
        <v>0.77711216367477498</v>
      </c>
      <c r="AB1454" s="133"/>
      <c r="AC1454" s="146"/>
      <c r="AD1454" s="138">
        <f>1-AD1453/(3*F_GAMMA*AD$29)</f>
        <v>0.90662776313933291</v>
      </c>
      <c r="AE1454" s="133"/>
      <c r="AF1454" s="146"/>
      <c r="AG1454" s="138">
        <f>1-AG1453/(3*F_GAMMA*AG$29)</f>
        <v>1.788694512740393</v>
      </c>
      <c r="AH1454" s="133"/>
      <c r="AI1454" s="146"/>
      <c r="AJ1454" s="138">
        <f>1-AJ1453/(3*F_GAMMA*AJ$29)</f>
        <v>-0.7603405542077859</v>
      </c>
      <c r="AK1454" s="133"/>
      <c r="AL1454" s="146"/>
      <c r="AM1454" s="138">
        <f>1-AM1453/(3*F_GAMMA*AM$29)</f>
        <v>-0.13113022951693032</v>
      </c>
      <c r="AN1454" s="133"/>
      <c r="AO1454" s="146"/>
      <c r="AP1454" s="138">
        <f>1-AP1453/(3*F_GAMMA*AP$29)</f>
        <v>0.20095868832036734</v>
      </c>
      <c r="AQ1454" s="133"/>
      <c r="AR1454" s="146"/>
      <c r="AS1454" s="138">
        <f>1-AS1453/(3*F_GAMMA*AS$29)</f>
        <v>-0.10068983215200555</v>
      </c>
      <c r="AT1454" s="133"/>
      <c r="AU1454" s="146"/>
    </row>
    <row r="1455" spans="13:47" x14ac:dyDescent="0.25">
      <c r="M1455" s="27"/>
      <c r="N1455" s="27"/>
      <c r="O1455" s="2" t="s">
        <v>71</v>
      </c>
      <c r="P1455" s="85">
        <v>5</v>
      </c>
      <c r="Q1455" s="2"/>
      <c r="R1455" s="179">
        <f>R1447/((N_6*R$27*R1454)*SQRT(R1453*R1449*R1451))</f>
        <v>0.36586055242776599</v>
      </c>
      <c r="S1455" s="133"/>
      <c r="T1455" s="146"/>
      <c r="U1455" s="143">
        <f>U1447/((N_6*U$27*U1454)*SQRT(U1453*U1449*U1451))</f>
        <v>5.5309846850053628</v>
      </c>
      <c r="V1455" s="133"/>
      <c r="W1455" s="146"/>
      <c r="X1455" s="143">
        <f>X1447/((N_6*X$27*X1454)*SQRT(X1453*X1449*X1451))</f>
        <v>14.324793468345119</v>
      </c>
      <c r="Y1455" s="133"/>
      <c r="Z1455" s="146"/>
      <c r="AA1455" s="143">
        <f>AA1447/((N_6*AA$27*AA1454)*SQRT(AA1453*AA1449*AA1451))</f>
        <v>32.683392500741192</v>
      </c>
      <c r="AB1455" s="133"/>
      <c r="AC1455" s="146"/>
      <c r="AD1455" s="143">
        <f>AD1447/((N_6*AD$27*AD1454)*SQRT(AD1453*AD1449*AD1451))</f>
        <v>103.81993116966486</v>
      </c>
      <c r="AE1455" s="133"/>
      <c r="AF1455" s="146"/>
      <c r="AG1455" s="143" t="e">
        <f>AG1447/((N_6*AG$27*AG1454)*SQRT(AG1453*AG1449*AG1451))</f>
        <v>#NUM!</v>
      </c>
      <c r="AH1455" s="133"/>
      <c r="AI1455" s="146"/>
      <c r="AJ1455" s="143">
        <f>AJ1447/((N_6*AJ$27*AJ1454)*SQRT(AJ1453*AJ1449*AJ1451))</f>
        <v>-125.69948077503284</v>
      </c>
      <c r="AK1455" s="133"/>
      <c r="AL1455" s="146"/>
      <c r="AM1455" s="143">
        <f>AM1447/((N_6*AM$27*AM1454)*SQRT(AM1453*AM1449*AM1451))</f>
        <v>-429.43200317206595</v>
      </c>
      <c r="AN1455" s="133"/>
      <c r="AO1455" s="146"/>
      <c r="AP1455" s="143">
        <f>AP1447/((N_6*AP$27*AP1454)*SQRT(AP1453*AP1449*AP1451))</f>
        <v>244.40015929140336</v>
      </c>
      <c r="AQ1455" s="133"/>
      <c r="AR1455" s="146"/>
      <c r="AS1455" s="143">
        <f>AS1447/((N_6*AS$27*AS1454)*SQRT(AS1453*AS1449*AS1451))</f>
        <v>-516.73293151199891</v>
      </c>
      <c r="AT1455" s="133"/>
      <c r="AU1455" s="146"/>
    </row>
    <row r="1456" spans="13:47" x14ac:dyDescent="0.25">
      <c r="M1456" s="27"/>
      <c r="N1456" s="27"/>
      <c r="O1456" s="2" t="s">
        <v>73</v>
      </c>
      <c r="P1456" s="85">
        <v>5</v>
      </c>
      <c r="Q1456" s="2"/>
      <c r="R1456" s="179">
        <f>R1447/((N_6*R$27*0.667)*SQRT(R1457*R1449*R1451))</f>
        <v>0.35883749956741351</v>
      </c>
      <c r="S1456" s="133"/>
      <c r="T1456" s="155"/>
      <c r="U1456" s="143">
        <f>U1447/((N_6*U$27*0.667)*SQRT(U1457*U1449*U1451))</f>
        <v>5.4195699460720874</v>
      </c>
      <c r="V1456" s="133"/>
      <c r="W1456" s="155"/>
      <c r="X1456" s="143">
        <f>X1447/((N_6*X$27*0.667)*SQRT(X1457*X1449*X1451))</f>
        <v>13.993707799075233</v>
      </c>
      <c r="Y1456" s="133"/>
      <c r="Z1456" s="155"/>
      <c r="AA1456" s="143">
        <f>AA1447/((N_6*AA$27*0.667)*SQRT(AA1457*AA1449*AA1451))</f>
        <v>31.137863743582596</v>
      </c>
      <c r="AB1456" s="133"/>
      <c r="AC1456" s="155"/>
      <c r="AD1456" s="143">
        <f>AD1447/((N_6*AD$27*0.667)*SQRT(AD1457*AD1449*AD1451))</f>
        <v>74.688446386446017</v>
      </c>
      <c r="AE1456" s="133"/>
      <c r="AF1456" s="155"/>
      <c r="AG1456" s="143">
        <f>AG1447/((N_6*AG$27*0.667)*SQRT(AG1457*AG1449*AG1451))</f>
        <v>312.11249771518584</v>
      </c>
      <c r="AH1456" s="133"/>
      <c r="AI1456" s="155"/>
      <c r="AJ1456" s="143">
        <f>AJ1447/((N_6*AJ$27*0.667)*SQRT(AJ1457*AJ1449*AJ1451))</f>
        <v>329.28714702400748</v>
      </c>
      <c r="AK1456" s="133"/>
      <c r="AL1456" s="155"/>
      <c r="AM1456" s="143">
        <f>AM1447/((N_6*AM$27*0.667)*SQRT(AM1457*AM1449*AM1451))</f>
        <v>155.52074434794898</v>
      </c>
      <c r="AN1456" s="133"/>
      <c r="AO1456" s="155"/>
      <c r="AP1456" s="143">
        <f>AP1447/((N_6*AP$27*0.667)*SQRT(AP1457*AP1449*AP1451))</f>
        <v>114.00599315067161</v>
      </c>
      <c r="AQ1456" s="133"/>
      <c r="AR1456" s="155"/>
      <c r="AS1456" s="143">
        <f>AS1447/((N_6*AS$27*0.667)*SQRT(AS1457*AS1449*AS1451))</f>
        <v>141.74868144932739</v>
      </c>
      <c r="AT1456" s="133"/>
      <c r="AU1456" s="155"/>
    </row>
    <row r="1457" spans="13:47" ht="15.5" x14ac:dyDescent="0.4">
      <c r="M1457" s="27"/>
      <c r="N1457" s="27"/>
      <c r="O1457" s="2" t="s">
        <v>192</v>
      </c>
      <c r="P1457" s="85">
        <v>10</v>
      </c>
      <c r="Q1457" s="2"/>
      <c r="R1457" s="181">
        <f>F_GAMMA*R$29</f>
        <v>0.64002688015162901</v>
      </c>
      <c r="S1457" s="133"/>
      <c r="T1457" s="155"/>
      <c r="U1457" s="138">
        <f>F_GAMMA*U$29</f>
        <v>0.64016782916606918</v>
      </c>
      <c r="V1457" s="133"/>
      <c r="W1457" s="155"/>
      <c r="X1457" s="138">
        <f>F_GAMMA*X$29</f>
        <v>0.6307062319203669</v>
      </c>
      <c r="Y1457" s="133"/>
      <c r="Z1457" s="155"/>
      <c r="AA1457" s="138">
        <f>F_GAMMA*AA$29</f>
        <v>0.62217534213893466</v>
      </c>
      <c r="AB1457" s="133"/>
      <c r="AC1457" s="155"/>
      <c r="AD1457" s="138">
        <f>F_GAMMA*AD$29</f>
        <v>0.60557184969146072</v>
      </c>
      <c r="AE1457" s="133"/>
      <c r="AF1457" s="155"/>
      <c r="AG1457" s="138">
        <f>F_GAMMA*AG$29</f>
        <v>0.57289312142622573</v>
      </c>
      <c r="AH1457" s="133"/>
      <c r="AI1457" s="155"/>
      <c r="AJ1457" s="138">
        <f>F_GAMMA*AJ$29</f>
        <v>0.53590819116049981</v>
      </c>
      <c r="AK1457" s="133"/>
      <c r="AL1457" s="155"/>
      <c r="AM1457" s="138">
        <f>F_GAMMA*AM$29</f>
        <v>0.49048815926850342</v>
      </c>
      <c r="AN1457" s="133"/>
      <c r="AO1457" s="155"/>
      <c r="AP1457" s="138">
        <f>F_GAMMA*AP$29</f>
        <v>0.59352979016280105</v>
      </c>
      <c r="AQ1457" s="133"/>
      <c r="AR1457" s="155"/>
      <c r="AS1457" s="138">
        <f>F_GAMMA*AS$29</f>
        <v>0.39097221161068291</v>
      </c>
      <c r="AT1457" s="133"/>
      <c r="AU1457" s="155"/>
    </row>
    <row r="1458" spans="13:47" x14ac:dyDescent="0.25">
      <c r="M1458" s="27"/>
      <c r="N1458" s="27"/>
      <c r="O1458" s="2" t="s">
        <v>193</v>
      </c>
      <c r="P1458" s="134"/>
      <c r="Q1458" s="2"/>
      <c r="R1458" s="181">
        <f>IF(R1453&lt;R1457,R1455,R1456)</f>
        <v>0.36586055242776599</v>
      </c>
      <c r="S1458" s="133"/>
      <c r="T1458" s="155"/>
      <c r="U1458" s="138">
        <f>IF(U1453&lt;U1457,U1455,U1456)</f>
        <v>5.5309846850053628</v>
      </c>
      <c r="V1458" s="133"/>
      <c r="W1458" s="155"/>
      <c r="X1458" s="138">
        <f>IF(X1453&lt;X1457,X1455,X1456)</f>
        <v>14.324793468345119</v>
      </c>
      <c r="Y1458" s="133"/>
      <c r="Z1458" s="155"/>
      <c r="AA1458" s="138">
        <f>IF(AA1453&lt;AA1457,AA1455,AA1456)</f>
        <v>32.683392500741192</v>
      </c>
      <c r="AB1458" s="133"/>
      <c r="AC1458" s="155"/>
      <c r="AD1458" s="138">
        <f>IF(AD1453&lt;AD1457,AD1455,AD1456)</f>
        <v>103.81993116966486</v>
      </c>
      <c r="AE1458" s="133"/>
      <c r="AF1458" s="155"/>
      <c r="AG1458" s="138" t="e">
        <f>IF(AG1453&lt;AG1457,AG1455,AG1456)</f>
        <v>#NUM!</v>
      </c>
      <c r="AH1458" s="133"/>
      <c r="AI1458" s="155"/>
      <c r="AJ1458" s="138">
        <f>IF(AJ1453&lt;AJ1457,AJ1455,AJ1456)</f>
        <v>329.28714702400748</v>
      </c>
      <c r="AK1458" s="133"/>
      <c r="AL1458" s="155"/>
      <c r="AM1458" s="138">
        <f>IF(AM1453&lt;AM1457,AM1455,AM1456)</f>
        <v>155.52074434794898</v>
      </c>
      <c r="AN1458" s="133"/>
      <c r="AO1458" s="155"/>
      <c r="AP1458" s="138">
        <f>IF(AP1453&lt;AP1457,AP1455,AP1456)</f>
        <v>114.00599315067161</v>
      </c>
      <c r="AQ1458" s="133"/>
      <c r="AR1458" s="155"/>
      <c r="AS1458" s="138">
        <f>IF(AS1453&lt;AS1457,AS1455,AS1456)</f>
        <v>141.74868144932739</v>
      </c>
      <c r="AT1458" s="133"/>
      <c r="AU1458" s="155"/>
    </row>
    <row r="1459" spans="13:47" ht="13" x14ac:dyDescent="0.3">
      <c r="M1459" s="28"/>
      <c r="N1459" s="28"/>
      <c r="O1459" s="9" t="s">
        <v>194</v>
      </c>
      <c r="P1459" s="1"/>
      <c r="Q1459" s="1"/>
      <c r="R1459" s="135"/>
      <c r="S1459" s="132">
        <f>IF(R1452&lt;=0,W_max,ABS(R$23-R1458))</f>
        <v>1.6341394475722339</v>
      </c>
      <c r="T1459" s="151">
        <f>R1447</f>
        <v>84.610222015069198</v>
      </c>
      <c r="U1459" s="135"/>
      <c r="V1459" s="132">
        <f>IF(U1452&lt;=0,W_max,ABS(U$23-U1458))</f>
        <v>0.53098468500536278</v>
      </c>
      <c r="W1459" s="151">
        <f>U1447</f>
        <v>1269.1015022849654</v>
      </c>
      <c r="X1459" s="135"/>
      <c r="Y1459" s="132">
        <f>IF(X1452&lt;=0,W_max,ABS(X$23-X1458))</f>
        <v>4.3247934683451188</v>
      </c>
      <c r="Z1459" s="151">
        <f>X1447</f>
        <v>3138.639039999845</v>
      </c>
      <c r="AA1459" s="135"/>
      <c r="AB1459" s="132">
        <f>IF(AA1452&lt;=0,W_max,ABS(AA$23-AA1458))</f>
        <v>15.483392500741193</v>
      </c>
      <c r="AC1459" s="151">
        <f>AA1447</f>
        <v>6113.2677267005938</v>
      </c>
      <c r="AD1459" s="135"/>
      <c r="AE1459" s="132">
        <f>IF(AD1452&lt;=0,W_max,ABS(AD$23-AD1458))</f>
        <v>77.219931169664846</v>
      </c>
      <c r="AF1459" s="151">
        <f>AD1447</f>
        <v>10054.074638783006</v>
      </c>
      <c r="AG1459" s="135"/>
      <c r="AH1459" s="132">
        <f>IF(AG1452&lt;=0,W_max,ABS(AG$23-AG1458))</f>
        <v>7174</v>
      </c>
      <c r="AI1459" s="151">
        <f>AG1447</f>
        <v>14101.613705588201</v>
      </c>
      <c r="AJ1459" s="135"/>
      <c r="AK1459" s="132">
        <f>IF(AJ1452&lt;=0,W_max,ABS(AJ$23-AJ1458))</f>
        <v>7174</v>
      </c>
      <c r="AL1459" s="151">
        <f>AJ1447</f>
        <v>17905.307522197862</v>
      </c>
      <c r="AM1459" s="135"/>
      <c r="AN1459" s="132">
        <f>IF(AM1452&lt;=0,W_max,ABS(AM$23-AM1458))</f>
        <v>7174</v>
      </c>
      <c r="AO1459" s="151">
        <f>AM1447</f>
        <v>20995.381231320876</v>
      </c>
      <c r="AP1459" s="135"/>
      <c r="AQ1459" s="132">
        <f>IF(AP1452&lt;=0,W_max,ABS(AP$23-AP1458))</f>
        <v>7174</v>
      </c>
      <c r="AR1459" s="151">
        <f>AP1447</f>
        <v>23423.882265955788</v>
      </c>
      <c r="AS1459" s="135"/>
      <c r="AT1459" s="132">
        <f>IF(AS1452&lt;=0,W_max,ABS(AS$23-AS1458))</f>
        <v>7174</v>
      </c>
      <c r="AU1459" s="151">
        <f>AS1447</f>
        <v>26133.284000141928</v>
      </c>
    </row>
    <row r="1460" spans="13:47" ht="13" x14ac:dyDescent="0.25">
      <c r="M1460" s="12"/>
      <c r="N1460" s="12"/>
      <c r="O1460" s="2"/>
      <c r="P1460" s="85"/>
      <c r="Q1460" s="2"/>
      <c r="R1460" s="18"/>
      <c r="S1460" s="150"/>
      <c r="T1460" s="148"/>
      <c r="U1460" s="157"/>
      <c r="V1460" s="1"/>
      <c r="W1460" s="147"/>
      <c r="X1460" s="157"/>
      <c r="Y1460" s="1"/>
      <c r="Z1460" s="147"/>
      <c r="AA1460" s="157"/>
      <c r="AB1460" s="1"/>
      <c r="AC1460" s="147"/>
      <c r="AD1460" s="157"/>
      <c r="AE1460" s="1"/>
      <c r="AF1460" s="147"/>
      <c r="AG1460" s="157"/>
      <c r="AH1460" s="1"/>
      <c r="AI1460" s="147"/>
      <c r="AJ1460" s="157"/>
      <c r="AK1460" s="1"/>
      <c r="AL1460" s="147"/>
      <c r="AM1460" s="157"/>
      <c r="AN1460" s="1"/>
      <c r="AO1460" s="147"/>
      <c r="AP1460" s="157"/>
      <c r="AQ1460" s="1"/>
      <c r="AR1460" s="147"/>
      <c r="AS1460" s="157"/>
      <c r="AT1460" s="1"/>
      <c r="AU1460" s="147"/>
    </row>
    <row r="1461" spans="13:47" ht="14" x14ac:dyDescent="0.3">
      <c r="M1461" s="23"/>
      <c r="N1461" s="23"/>
      <c r="O1461" s="23" t="s">
        <v>238</v>
      </c>
      <c r="P1461" s="20"/>
      <c r="Q1461" s="20"/>
      <c r="R1461" s="181">
        <f>R1447*1.02</f>
        <v>86.302426455370579</v>
      </c>
      <c r="S1461" s="128" t="s">
        <v>185</v>
      </c>
      <c r="T1461" s="149" t="s">
        <v>186</v>
      </c>
      <c r="U1461" s="143">
        <f>U1447*1.01</f>
        <v>1281.7925173078149</v>
      </c>
      <c r="V1461" s="128" t="s">
        <v>185</v>
      </c>
      <c r="W1461" s="153" t="s">
        <v>186</v>
      </c>
      <c r="X1461" s="143">
        <f>X1447*1.01</f>
        <v>3170.0254303998436</v>
      </c>
      <c r="Y1461" s="128" t="s">
        <v>185</v>
      </c>
      <c r="Z1461" s="153" t="s">
        <v>186</v>
      </c>
      <c r="AA1461" s="143">
        <f>AA1447*1.01</f>
        <v>6174.4004039676001</v>
      </c>
      <c r="AB1461" s="128" t="s">
        <v>185</v>
      </c>
      <c r="AC1461" s="153" t="s">
        <v>186</v>
      </c>
      <c r="AD1461" s="143">
        <f>AD1447*1.01</f>
        <v>10154.615385170837</v>
      </c>
      <c r="AE1461" s="128" t="s">
        <v>185</v>
      </c>
      <c r="AF1461" s="153" t="s">
        <v>186</v>
      </c>
      <c r="AG1461" s="143">
        <f>AG1447*1.01</f>
        <v>14242.629842644083</v>
      </c>
      <c r="AH1461" s="128" t="s">
        <v>185</v>
      </c>
      <c r="AI1461" s="153" t="s">
        <v>186</v>
      </c>
      <c r="AJ1461" s="143">
        <f>AJ1447*1.01</f>
        <v>18084.36059741984</v>
      </c>
      <c r="AK1461" s="128" t="s">
        <v>185</v>
      </c>
      <c r="AL1461" s="153" t="s">
        <v>186</v>
      </c>
      <c r="AM1461" s="143">
        <f>AM1447*1.01</f>
        <v>21205.335043634084</v>
      </c>
      <c r="AN1461" s="128" t="s">
        <v>185</v>
      </c>
      <c r="AO1461" s="153" t="s">
        <v>186</v>
      </c>
      <c r="AP1461" s="143">
        <f>AP1447*1.01</f>
        <v>23658.121088615346</v>
      </c>
      <c r="AQ1461" s="128" t="s">
        <v>185</v>
      </c>
      <c r="AR1461" s="153" t="s">
        <v>186</v>
      </c>
      <c r="AS1461" s="143">
        <f>AS1447*1.01</f>
        <v>26394.616840143346</v>
      </c>
      <c r="AT1461" s="128" t="s">
        <v>185</v>
      </c>
      <c r="AU1461" s="153" t="s">
        <v>186</v>
      </c>
    </row>
    <row r="1462" spans="13:47" ht="14" x14ac:dyDescent="0.3">
      <c r="M1462" s="12"/>
      <c r="N1462" s="12"/>
      <c r="O1462" s="20"/>
      <c r="P1462" s="20"/>
      <c r="Q1462" s="23"/>
      <c r="R1462" s="139"/>
      <c r="S1462" s="130" t="s">
        <v>228</v>
      </c>
      <c r="T1462" s="131" t="s">
        <v>187</v>
      </c>
      <c r="U1462" s="144"/>
      <c r="V1462" s="130" t="s">
        <v>228</v>
      </c>
      <c r="W1462" s="154" t="s">
        <v>187</v>
      </c>
      <c r="X1462" s="144"/>
      <c r="Y1462" s="130" t="s">
        <v>228</v>
      </c>
      <c r="Z1462" s="154" t="s">
        <v>187</v>
      </c>
      <c r="AA1462" s="144"/>
      <c r="AB1462" s="130" t="s">
        <v>228</v>
      </c>
      <c r="AC1462" s="154" t="s">
        <v>187</v>
      </c>
      <c r="AD1462" s="144"/>
      <c r="AE1462" s="130" t="s">
        <v>228</v>
      </c>
      <c r="AF1462" s="154" t="s">
        <v>187</v>
      </c>
      <c r="AG1462" s="144"/>
      <c r="AH1462" s="130" t="s">
        <v>228</v>
      </c>
      <c r="AI1462" s="154" t="s">
        <v>187</v>
      </c>
      <c r="AJ1462" s="144"/>
      <c r="AK1462" s="130" t="s">
        <v>228</v>
      </c>
      <c r="AL1462" s="154" t="s">
        <v>187</v>
      </c>
      <c r="AM1462" s="144"/>
      <c r="AN1462" s="130" t="s">
        <v>228</v>
      </c>
      <c r="AO1462" s="154" t="s">
        <v>187</v>
      </c>
      <c r="AP1462" s="144"/>
      <c r="AQ1462" s="130" t="s">
        <v>228</v>
      </c>
      <c r="AR1462" s="154" t="s">
        <v>187</v>
      </c>
      <c r="AS1462" s="144"/>
      <c r="AT1462" s="130" t="s">
        <v>228</v>
      </c>
      <c r="AU1462" s="154" t="s">
        <v>187</v>
      </c>
    </row>
    <row r="1463" spans="13:47" x14ac:dyDescent="0.25">
      <c r="M1463" s="20"/>
      <c r="N1463" s="20"/>
      <c r="O1463" s="7" t="s">
        <v>188</v>
      </c>
      <c r="P1463" s="7"/>
      <c r="Q1463" s="7"/>
      <c r="R1463" s="181">
        <f>P_1_minW-(R1461^2*R_up)+dpup_minQ</f>
        <v>100.51981671517821</v>
      </c>
      <c r="S1463" s="132"/>
      <c r="T1463" s="145"/>
      <c r="U1463" s="138">
        <f>P_1_minW-(U1461^2*R_up)+dpup_minQ</f>
        <v>99.867624206515757</v>
      </c>
      <c r="V1463" s="132"/>
      <c r="W1463" s="145"/>
      <c r="X1463" s="138">
        <f>P_1_minW-(X1461^2*R_up)+dpup_minQ</f>
        <v>96.51560462557282</v>
      </c>
      <c r="Y1463" s="132"/>
      <c r="Z1463" s="145"/>
      <c r="AA1463" s="138">
        <f>P_1_minW-(AA1461^2*R_up)+dpup_minQ</f>
        <v>85.32070137640612</v>
      </c>
      <c r="AB1463" s="132"/>
      <c r="AC1463" s="145"/>
      <c r="AD1463" s="138">
        <f>P_1_minW-(AD1461^2*R_up)+dpup_minQ</f>
        <v>59.403976018085018</v>
      </c>
      <c r="AE1463" s="132"/>
      <c r="AF1463" s="145"/>
      <c r="AG1463" s="138">
        <f>P_1_minW-(AG1461^2*R_up)+dpup_minQ</f>
        <v>19.632949365730099</v>
      </c>
      <c r="AH1463" s="132"/>
      <c r="AI1463" s="145"/>
      <c r="AJ1463" s="138">
        <f>P_1_minW-(AJ1461^2*R_up)+dpup_minQ</f>
        <v>-29.889918492287606</v>
      </c>
      <c r="AK1463" s="132"/>
      <c r="AL1463" s="145"/>
      <c r="AM1463" s="138">
        <f>P_1_minW-(AM1461^2*R_up)+dpup_minQ</f>
        <v>-78.786946679930182</v>
      </c>
      <c r="AN1463" s="132"/>
      <c r="AO1463" s="145"/>
      <c r="AP1463" s="138">
        <f>P_1_minW-(AP1461^2*R_up)+dpup_minQ</f>
        <v>-122.66688225469598</v>
      </c>
      <c r="AQ1463" s="132"/>
      <c r="AR1463" s="145"/>
      <c r="AS1463" s="138">
        <f>P_1_minW-(AS1461^2*R_up)+dpup_minQ</f>
        <v>-177.28493398945554</v>
      </c>
      <c r="AT1463" s="132"/>
      <c r="AU1463" s="145"/>
    </row>
    <row r="1464" spans="13:47" x14ac:dyDescent="0.25">
      <c r="M1464" s="20"/>
      <c r="N1464" s="20"/>
      <c r="O1464" s="7" t="s">
        <v>189</v>
      </c>
      <c r="P1464" s="1"/>
      <c r="Q1464" s="7"/>
      <c r="R1464" s="181">
        <f>P_2_minW+(R1461^2*R_dn)-dpdn_minQ</f>
        <v>50</v>
      </c>
      <c r="S1464" s="132"/>
      <c r="T1464" s="146"/>
      <c r="U1464" s="138">
        <f>P_2_minW+(U1461^2*R_dn)-dpdn_minQ</f>
        <v>50</v>
      </c>
      <c r="V1464" s="132"/>
      <c r="W1464" s="146"/>
      <c r="X1464" s="138">
        <f>P_2_minW+(X1461^2*R_dn)-dpdn_minQ</f>
        <v>50</v>
      </c>
      <c r="Y1464" s="132"/>
      <c r="Z1464" s="146"/>
      <c r="AA1464" s="138">
        <f>P_2_minW+(AA1461^2*R_dn)-dpdn_minQ</f>
        <v>50</v>
      </c>
      <c r="AB1464" s="132"/>
      <c r="AC1464" s="146"/>
      <c r="AD1464" s="138">
        <f>P_2_minW+(AD1461^2*R_dn)-dpdn_minQ</f>
        <v>50</v>
      </c>
      <c r="AE1464" s="132"/>
      <c r="AF1464" s="146"/>
      <c r="AG1464" s="138">
        <f>P_2_minW+(AG1461^2*R_dn)-dpdn_minQ</f>
        <v>50</v>
      </c>
      <c r="AH1464" s="132"/>
      <c r="AI1464" s="146"/>
      <c r="AJ1464" s="138">
        <f>P_2_minW+(AJ1461^2*R_dn)-dpdn_minQ</f>
        <v>50</v>
      </c>
      <c r="AK1464" s="132"/>
      <c r="AL1464" s="146"/>
      <c r="AM1464" s="138">
        <f>P_2_minW+(AM1461^2*R_dn)-dpdn_minQ</f>
        <v>50</v>
      </c>
      <c r="AN1464" s="132"/>
      <c r="AO1464" s="146"/>
      <c r="AP1464" s="138">
        <f>P_2_minW+(AP1461^2*R_dn)-dpdn_minQ</f>
        <v>50</v>
      </c>
      <c r="AQ1464" s="132"/>
      <c r="AR1464" s="146"/>
      <c r="AS1464" s="138">
        <f>P_2_minW+(AS1461^2*R_dn)-dpdn_minQ</f>
        <v>50</v>
      </c>
      <c r="AT1464" s="132"/>
      <c r="AU1464" s="146"/>
    </row>
    <row r="1465" spans="13:47" x14ac:dyDescent="0.25">
      <c r="M1465" s="20"/>
      <c r="N1465" s="20"/>
      <c r="O1465" s="7" t="s">
        <v>234</v>
      </c>
      <c r="P1465" s="1"/>
      <c r="Q1465" s="7"/>
      <c r="R1465" s="179">
        <f>'Valve Sizing'!G$8*R1463/P_1_maxW</f>
        <v>0.48488969938372073</v>
      </c>
      <c r="S1465" s="132"/>
      <c r="T1465" s="146"/>
      <c r="U1465" s="143">
        <f>'Valve Sizing'!$G$8*U1463/P_1_maxW</f>
        <v>0.48174363883765225</v>
      </c>
      <c r="V1465" s="132"/>
      <c r="W1465" s="146"/>
      <c r="X1465" s="143">
        <f>'Valve Sizing'!$G$8*X1463/P_1_maxW</f>
        <v>0.46557409316948617</v>
      </c>
      <c r="Y1465" s="132"/>
      <c r="Z1465" s="146"/>
      <c r="AA1465" s="143">
        <f>'Valve Sizing'!$G$8*AA1463/P_1_maxW</f>
        <v>0.41157187302518078</v>
      </c>
      <c r="AB1465" s="132"/>
      <c r="AC1465" s="146"/>
      <c r="AD1465" s="143">
        <f>'Valve Sizing'!$G$8*AD1463/P_1_maxW</f>
        <v>0.28655420408518928</v>
      </c>
      <c r="AE1465" s="132"/>
      <c r="AF1465" s="146"/>
      <c r="AG1465" s="143">
        <f>'Valve Sizing'!$G$8*AG1463/P_1_maxW</f>
        <v>9.4705852309092134E-2</v>
      </c>
      <c r="AH1465" s="132"/>
      <c r="AI1465" s="146"/>
      <c r="AJ1465" s="143">
        <f>'Valve Sizing'!$G$8*AJ1463/P_1_maxW</f>
        <v>-0.14418364523480873</v>
      </c>
      <c r="AK1465" s="132"/>
      <c r="AL1465" s="146"/>
      <c r="AM1465" s="143">
        <f>'Valve Sizing'!$G$8*AM1463/P_1_maxW</f>
        <v>-0.38005420363270553</v>
      </c>
      <c r="AN1465" s="132"/>
      <c r="AO1465" s="146"/>
      <c r="AP1465" s="143">
        <f>'Valve Sizing'!$G$8*AP1463/P_1_maxW</f>
        <v>-0.59172320050436877</v>
      </c>
      <c r="AQ1465" s="132"/>
      <c r="AR1465" s="146"/>
      <c r="AS1465" s="143">
        <f>'Valve Sizing'!$G$8*AS1463/P_1_maxW</f>
        <v>-0.85519095792809574</v>
      </c>
      <c r="AT1465" s="132"/>
      <c r="AU1465" s="146"/>
    </row>
    <row r="1466" spans="13:47" x14ac:dyDescent="0.25">
      <c r="M1466" s="20"/>
      <c r="N1466" s="20"/>
      <c r="O1466" s="7" t="s">
        <v>190</v>
      </c>
      <c r="P1466" s="1"/>
      <c r="Q1466" s="7"/>
      <c r="R1466" s="181">
        <f>R1463-R1464</f>
        <v>50.519816715178209</v>
      </c>
      <c r="S1466" s="132"/>
      <c r="T1466" s="146"/>
      <c r="U1466" s="138">
        <f>U1463-U1464</f>
        <v>49.867624206515757</v>
      </c>
      <c r="V1466" s="132"/>
      <c r="W1466" s="146"/>
      <c r="X1466" s="138">
        <f>X1463-X1464</f>
        <v>46.51560462557282</v>
      </c>
      <c r="Y1466" s="132"/>
      <c r="Z1466" s="146"/>
      <c r="AA1466" s="138">
        <f>AA1463-AA1464</f>
        <v>35.32070137640612</v>
      </c>
      <c r="AB1466" s="132"/>
      <c r="AC1466" s="146"/>
      <c r="AD1466" s="138">
        <f>AD1463-AD1464</f>
        <v>9.403976018085018</v>
      </c>
      <c r="AE1466" s="132"/>
      <c r="AF1466" s="146"/>
      <c r="AG1466" s="138">
        <f>AG1463-AG1464</f>
        <v>-30.367050634269901</v>
      </c>
      <c r="AH1466" s="132"/>
      <c r="AI1466" s="146"/>
      <c r="AJ1466" s="138">
        <f>AJ1463-AJ1464</f>
        <v>-79.889918492287606</v>
      </c>
      <c r="AK1466" s="132"/>
      <c r="AL1466" s="146"/>
      <c r="AM1466" s="138">
        <f>AM1463-AM1464</f>
        <v>-128.78694667993017</v>
      </c>
      <c r="AN1466" s="132"/>
      <c r="AO1466" s="146"/>
      <c r="AP1466" s="138">
        <f>AP1463-AP1464</f>
        <v>-172.66688225469596</v>
      </c>
      <c r="AQ1466" s="132"/>
      <c r="AR1466" s="146"/>
      <c r="AS1466" s="138">
        <f>AS1463-AS1464</f>
        <v>-227.28493398945554</v>
      </c>
      <c r="AT1466" s="132"/>
      <c r="AU1466" s="146"/>
    </row>
    <row r="1467" spans="13:47" ht="14.5" x14ac:dyDescent="0.35">
      <c r="M1467" s="27"/>
      <c r="N1467" s="27"/>
      <c r="O1467" s="2" t="s">
        <v>191</v>
      </c>
      <c r="P1467" s="10"/>
      <c r="Q1467" s="2"/>
      <c r="R1467" s="181">
        <f>R1466/R1463</f>
        <v>0.50258564297153019</v>
      </c>
      <c r="S1467" s="132"/>
      <c r="T1467" s="146"/>
      <c r="U1467" s="138">
        <f>U1466/U1463</f>
        <v>0.49933724370367266</v>
      </c>
      <c r="V1467" s="132"/>
      <c r="W1467" s="146"/>
      <c r="X1467" s="138">
        <f>X1466/X1463</f>
        <v>0.48194905690149947</v>
      </c>
      <c r="Y1467" s="132"/>
      <c r="Z1467" s="146"/>
      <c r="AA1467" s="138">
        <f>AA1466/AA1463</f>
        <v>0.41397575039360157</v>
      </c>
      <c r="AB1467" s="132"/>
      <c r="AC1467" s="146"/>
      <c r="AD1467" s="138">
        <f>AD1466/AD1463</f>
        <v>0.15830549819126685</v>
      </c>
      <c r="AE1467" s="132"/>
      <c r="AF1467" s="146"/>
      <c r="AG1467" s="138">
        <f>AG1466/AG1463</f>
        <v>-1.5467391102875505</v>
      </c>
      <c r="AH1467" s="132"/>
      <c r="AI1467" s="146"/>
      <c r="AJ1467" s="138">
        <f>AJ1466/AJ1463</f>
        <v>2.6728048292571067</v>
      </c>
      <c r="AK1467" s="132"/>
      <c r="AL1467" s="146"/>
      <c r="AM1467" s="138">
        <f>AM1466/AM1463</f>
        <v>1.6346228925855397</v>
      </c>
      <c r="AN1467" s="132"/>
      <c r="AO1467" s="146"/>
      <c r="AP1467" s="138">
        <f>AP1466/AP1463</f>
        <v>1.4076079792766223</v>
      </c>
      <c r="AQ1467" s="132"/>
      <c r="AR1467" s="146"/>
      <c r="AS1467" s="138">
        <f>AS1466/AS1463</f>
        <v>1.2820318617879503</v>
      </c>
      <c r="AT1467" s="132"/>
      <c r="AU1467" s="146"/>
    </row>
    <row r="1468" spans="13:47" x14ac:dyDescent="0.25">
      <c r="M1468" s="27"/>
      <c r="N1468" s="27"/>
      <c r="O1468" s="2" t="s">
        <v>26</v>
      </c>
      <c r="P1468" s="7">
        <v>12</v>
      </c>
      <c r="Q1468" s="2"/>
      <c r="R1468" s="181">
        <f>1-R1467/(3*F_GAMMA*R$29)</f>
        <v>0.73824763794688208</v>
      </c>
      <c r="S1468" s="133"/>
      <c r="T1468" s="146"/>
      <c r="U1468" s="138">
        <f>1-U1467/(3*F_GAMMA*U$29)</f>
        <v>0.73999670036832532</v>
      </c>
      <c r="V1468" s="133"/>
      <c r="W1468" s="146"/>
      <c r="X1468" s="138">
        <f>1-X1467/(3*F_GAMMA*X$29)</f>
        <v>0.74528603412607974</v>
      </c>
      <c r="Y1468" s="133"/>
      <c r="Z1468" s="146"/>
      <c r="AA1468" s="138">
        <f>1-AA1467/(3*F_GAMMA*AA$29)</f>
        <v>0.7782105662955493</v>
      </c>
      <c r="AB1468" s="133"/>
      <c r="AC1468" s="146"/>
      <c r="AD1468" s="138">
        <f>1-AD1467/(3*F_GAMMA*AD$29)</f>
        <v>0.91286170348906648</v>
      </c>
      <c r="AE1468" s="133"/>
      <c r="AF1468" s="146"/>
      <c r="AG1468" s="138">
        <f>1-AG1467/(3*F_GAMMA*AG$29)</f>
        <v>1.89995792259757</v>
      </c>
      <c r="AH1468" s="133"/>
      <c r="AI1468" s="146"/>
      <c r="AJ1468" s="138">
        <f>1-AJ1467/(3*F_GAMMA*AJ$29)</f>
        <v>-0.66247681558365112</v>
      </c>
      <c r="AK1468" s="133"/>
      <c r="AL1468" s="146"/>
      <c r="AM1468" s="138">
        <f>1-AM1467/(3*F_GAMMA*AM$29)</f>
        <v>-0.11088165378165149</v>
      </c>
      <c r="AN1468" s="133"/>
      <c r="AO1468" s="146"/>
      <c r="AP1468" s="138">
        <f>1-AP1467/(3*F_GAMMA*AP$29)</f>
        <v>0.20947075018732397</v>
      </c>
      <c r="AQ1468" s="133"/>
      <c r="AR1468" s="146"/>
      <c r="AS1468" s="138">
        <f>1-AS1467/(3*F_GAMMA*AS$29)</f>
        <v>-9.3028970444711812E-2</v>
      </c>
      <c r="AT1468" s="133"/>
      <c r="AU1468" s="146"/>
    </row>
    <row r="1469" spans="13:47" x14ac:dyDescent="0.25">
      <c r="M1469" s="27"/>
      <c r="N1469" s="27"/>
      <c r="O1469" s="2" t="s">
        <v>71</v>
      </c>
      <c r="P1469" s="85">
        <v>5</v>
      </c>
      <c r="Q1469" s="2"/>
      <c r="R1469" s="179">
        <f>R1461/((N_6*R$27*R1468)*SQRT(R1467*R1463*R1465))</f>
        <v>0.37317825326586557</v>
      </c>
      <c r="S1469" s="133"/>
      <c r="T1469" s="146"/>
      <c r="U1469" s="143">
        <f>U1461/((N_6*U$27*U1468)*SQRT(U1467*U1463*U1465))</f>
        <v>5.5871242312941094</v>
      </c>
      <c r="V1469" s="133"/>
      <c r="W1469" s="146"/>
      <c r="X1469" s="143">
        <f>X1461/((N_6*X$27*X1468)*SQRT(X1467*X1463*X1465))</f>
        <v>14.481887225658539</v>
      </c>
      <c r="Y1469" s="133"/>
      <c r="Z1469" s="146"/>
      <c r="AA1469" s="143">
        <f>AA1461/((N_6*AA$27*AA1468)*SQRT(AA1467*AA1463*AA1465))</f>
        <v>33.16117280038192</v>
      </c>
      <c r="AB1469" s="133"/>
      <c r="AC1469" s="146"/>
      <c r="AD1469" s="143">
        <f>AD1461/((N_6*AD$27*AD1468)*SQRT(AD1467*AD1463*AD1465))</f>
        <v>109.27321999280123</v>
      </c>
      <c r="AE1469" s="133"/>
      <c r="AF1469" s="146"/>
      <c r="AG1469" s="143" t="e">
        <f>AG1461/((N_6*AG$27*AG1468)*SQRT(AG1467*AG1463*AG1465))</f>
        <v>#NUM!</v>
      </c>
      <c r="AH1469" s="133"/>
      <c r="AI1469" s="146"/>
      <c r="AJ1469" s="143">
        <f>AJ1461/((N_6*AJ$27*AJ1468)*SQRT(AJ1467*AJ1463*AJ1465))</f>
        <v>-137.04815105585388</v>
      </c>
      <c r="AK1469" s="133"/>
      <c r="AL1469" s="146"/>
      <c r="AM1469" s="143">
        <f>AM1461/((N_6*AM$27*AM1468)*SQRT(AM1467*AM1463*AM1465))</f>
        <v>-494.37407728950018</v>
      </c>
      <c r="AN1469" s="133"/>
      <c r="AO1469" s="146"/>
      <c r="AP1469" s="143">
        <f>AP1461/((N_6*AP$27*AP1468)*SQRT(AP1467*AP1463*AP1465))</f>
        <v>229.5493686430751</v>
      </c>
      <c r="AQ1469" s="133"/>
      <c r="AR1469" s="146"/>
      <c r="AS1469" s="143">
        <f>AS1461/((N_6*AS$27*AS1468)*SQRT(AS1467*AS1463*AS1465))</f>
        <v>-549.35205597252286</v>
      </c>
      <c r="AT1469" s="133"/>
      <c r="AU1469" s="146"/>
    </row>
    <row r="1470" spans="13:47" x14ac:dyDescent="0.25">
      <c r="M1470" s="27"/>
      <c r="N1470" s="27"/>
      <c r="O1470" s="2" t="s">
        <v>73</v>
      </c>
      <c r="P1470" s="85">
        <v>5</v>
      </c>
      <c r="Q1470" s="2"/>
      <c r="R1470" s="179">
        <f>R1461/((N_6*R$27*0.667)*SQRT(R1471*R1463*R1465))</f>
        <v>0.36601466949845574</v>
      </c>
      <c r="S1470" s="133"/>
      <c r="T1470" s="147"/>
      <c r="U1470" s="143">
        <f>U1461/((N_6*U$27*0.667)*SQRT(U1471*U1463*U1465))</f>
        <v>5.4744732064601838</v>
      </c>
      <c r="V1470" s="133"/>
      <c r="W1470" s="155"/>
      <c r="X1470" s="143">
        <f>X1461/((N_6*X$27*0.667)*SQRT(X1471*X1463*X1465))</f>
        <v>14.14520730473901</v>
      </c>
      <c r="Y1470" s="133"/>
      <c r="Z1470" s="155"/>
      <c r="AA1470" s="143">
        <f>AA1461/((N_6*AA$27*0.667)*SQRT(AA1471*AA1463*AA1465))</f>
        <v>31.559653356629944</v>
      </c>
      <c r="AB1470" s="133"/>
      <c r="AC1470" s="155"/>
      <c r="AD1470" s="143">
        <f>AD1461/((N_6*AD$27*0.667)*SQRT(AD1471*AD1463*AD1465))</f>
        <v>76.464183404931461</v>
      </c>
      <c r="AE1470" s="133"/>
      <c r="AF1470" s="155"/>
      <c r="AG1470" s="143">
        <f>AG1461/((N_6*AG$27*0.667)*SQRT(AG1471*AG1463*AG1465))</f>
        <v>340.82503527720155</v>
      </c>
      <c r="AH1470" s="133"/>
      <c r="AI1470" s="155"/>
      <c r="AJ1470" s="143">
        <f>AJ1461/((N_6*AJ$27*0.667)*SQRT(AJ1471*AJ1463*AJ1465))</f>
        <v>303.9880118511204</v>
      </c>
      <c r="AK1470" s="133"/>
      <c r="AL1470" s="155"/>
      <c r="AM1470" s="143">
        <f>AM1461/((N_6*AM$27*0.667)*SQRT(AM1471*AM1463*AM1465))</f>
        <v>150.03206115292232</v>
      </c>
      <c r="AN1470" s="133"/>
      <c r="AO1470" s="155"/>
      <c r="AP1470" s="143">
        <f>AP1461/((N_6*AP$27*0.667)*SQRT(AP1471*AP1463*AP1465))</f>
        <v>111.0179633710738</v>
      </c>
      <c r="AQ1470" s="133"/>
      <c r="AR1470" s="155"/>
      <c r="AS1470" s="143">
        <f>AS1461/((N_6*AS$27*0.667)*SQRT(AS1471*AS1463*AS1465))</f>
        <v>138.74572121437495</v>
      </c>
      <c r="AT1470" s="133"/>
      <c r="AU1470" s="155"/>
    </row>
    <row r="1471" spans="13:47" ht="15.5" x14ac:dyDescent="0.4">
      <c r="M1471" s="27"/>
      <c r="N1471" s="27"/>
      <c r="O1471" s="2" t="s">
        <v>192</v>
      </c>
      <c r="P1471" s="85">
        <v>10</v>
      </c>
      <c r="Q1471" s="2"/>
      <c r="R1471" s="181">
        <f>F_GAMMA*R$29</f>
        <v>0.64002688015162901</v>
      </c>
      <c r="S1471" s="133"/>
      <c r="T1471" s="147"/>
      <c r="U1471" s="138">
        <f>F_GAMMA*U$29</f>
        <v>0.64016782916606918</v>
      </c>
      <c r="V1471" s="133"/>
      <c r="W1471" s="155"/>
      <c r="X1471" s="138">
        <f>F_GAMMA*X$29</f>
        <v>0.6307062319203669</v>
      </c>
      <c r="Y1471" s="133"/>
      <c r="Z1471" s="155"/>
      <c r="AA1471" s="138">
        <f>F_GAMMA*AA$29</f>
        <v>0.62217534213893466</v>
      </c>
      <c r="AB1471" s="133"/>
      <c r="AC1471" s="155"/>
      <c r="AD1471" s="138">
        <f>F_GAMMA*AD$29</f>
        <v>0.60557184969146072</v>
      </c>
      <c r="AE1471" s="133"/>
      <c r="AF1471" s="155"/>
      <c r="AG1471" s="138">
        <f>F_GAMMA*AG$29</f>
        <v>0.57289312142622573</v>
      </c>
      <c r="AH1471" s="133"/>
      <c r="AI1471" s="155"/>
      <c r="AJ1471" s="138">
        <f>F_GAMMA*AJ$29</f>
        <v>0.53590819116049981</v>
      </c>
      <c r="AK1471" s="133"/>
      <c r="AL1471" s="155"/>
      <c r="AM1471" s="138">
        <f>F_GAMMA*AM$29</f>
        <v>0.49048815926850342</v>
      </c>
      <c r="AN1471" s="133"/>
      <c r="AO1471" s="155"/>
      <c r="AP1471" s="138">
        <f>F_GAMMA*AP$29</f>
        <v>0.59352979016280105</v>
      </c>
      <c r="AQ1471" s="133"/>
      <c r="AR1471" s="155"/>
      <c r="AS1471" s="138">
        <f>F_GAMMA*AS$29</f>
        <v>0.39097221161068291</v>
      </c>
      <c r="AT1471" s="133"/>
      <c r="AU1471" s="155"/>
    </row>
    <row r="1472" spans="13:47" x14ac:dyDescent="0.25">
      <c r="M1472" s="27"/>
      <c r="N1472" s="27"/>
      <c r="O1472" s="2" t="s">
        <v>193</v>
      </c>
      <c r="P1472" s="134"/>
      <c r="Q1472" s="2"/>
      <c r="R1472" s="181">
        <f>IF(R1467&lt;R1471,R1469,R1470)</f>
        <v>0.37317825326586557</v>
      </c>
      <c r="S1472" s="133"/>
      <c r="T1472" s="147"/>
      <c r="U1472" s="138">
        <f>IF(U1467&lt;U1471,U1469,U1470)</f>
        <v>5.5871242312941094</v>
      </c>
      <c r="V1472" s="133"/>
      <c r="W1472" s="155"/>
      <c r="X1472" s="138">
        <f>IF(X1467&lt;X1471,X1469,X1470)</f>
        <v>14.481887225658539</v>
      </c>
      <c r="Y1472" s="133"/>
      <c r="Z1472" s="155"/>
      <c r="AA1472" s="138">
        <f>IF(AA1467&lt;AA1471,AA1469,AA1470)</f>
        <v>33.16117280038192</v>
      </c>
      <c r="AB1472" s="133"/>
      <c r="AC1472" s="155"/>
      <c r="AD1472" s="138">
        <f>IF(AD1467&lt;AD1471,AD1469,AD1470)</f>
        <v>109.27321999280123</v>
      </c>
      <c r="AE1472" s="133"/>
      <c r="AF1472" s="155"/>
      <c r="AG1472" s="138" t="e">
        <f>IF(AG1467&lt;AG1471,AG1469,AG1470)</f>
        <v>#NUM!</v>
      </c>
      <c r="AH1472" s="133"/>
      <c r="AI1472" s="155"/>
      <c r="AJ1472" s="138">
        <f>IF(AJ1467&lt;AJ1471,AJ1469,AJ1470)</f>
        <v>303.9880118511204</v>
      </c>
      <c r="AK1472" s="133"/>
      <c r="AL1472" s="155"/>
      <c r="AM1472" s="138">
        <f>IF(AM1467&lt;AM1471,AM1469,AM1470)</f>
        <v>150.03206115292232</v>
      </c>
      <c r="AN1472" s="133"/>
      <c r="AO1472" s="155"/>
      <c r="AP1472" s="138">
        <f>IF(AP1467&lt;AP1471,AP1469,AP1470)</f>
        <v>111.0179633710738</v>
      </c>
      <c r="AQ1472" s="133"/>
      <c r="AR1472" s="155"/>
      <c r="AS1472" s="138">
        <f>IF(AS1467&lt;AS1471,AS1469,AS1470)</f>
        <v>138.74572121437495</v>
      </c>
      <c r="AT1472" s="133"/>
      <c r="AU1472" s="155"/>
    </row>
    <row r="1473" spans="13:47" ht="13" x14ac:dyDescent="0.3">
      <c r="M1473" s="28"/>
      <c r="N1473" s="28"/>
      <c r="O1473" s="9" t="s">
        <v>194</v>
      </c>
      <c r="P1473" s="1"/>
      <c r="Q1473" s="1"/>
      <c r="R1473" s="135"/>
      <c r="S1473" s="132">
        <f>IF(R1466&lt;=0,W_max,ABS(R$23-R1472))</f>
        <v>1.6268217467341344</v>
      </c>
      <c r="T1473" s="151">
        <f>R1461</f>
        <v>86.302426455370579</v>
      </c>
      <c r="U1473" s="135"/>
      <c r="V1473" s="132">
        <f>IF(U1466&lt;=0,W_max,ABS(U$23-U1472))</f>
        <v>0.5871242312941094</v>
      </c>
      <c r="W1473" s="151">
        <f>U1461</f>
        <v>1281.7925173078149</v>
      </c>
      <c r="X1473" s="135"/>
      <c r="Y1473" s="132">
        <f>IF(X1466&lt;=0,W_max,ABS(X$23-X1472))</f>
        <v>4.4818872256585394</v>
      </c>
      <c r="Z1473" s="151">
        <f>X1461</f>
        <v>3170.0254303998436</v>
      </c>
      <c r="AA1473" s="135"/>
      <c r="AB1473" s="132">
        <f>IF(AA1466&lt;=0,W_max,ABS(AA$23-AA1472))</f>
        <v>15.96117280038192</v>
      </c>
      <c r="AC1473" s="151">
        <f>AA1461</f>
        <v>6174.4004039676001</v>
      </c>
      <c r="AD1473" s="135"/>
      <c r="AE1473" s="132">
        <f>IF(AD1466&lt;=0,W_max,ABS(AD$23-AD1472))</f>
        <v>82.673219992801222</v>
      </c>
      <c r="AF1473" s="151">
        <f>AD1461</f>
        <v>10154.615385170837</v>
      </c>
      <c r="AG1473" s="135"/>
      <c r="AH1473" s="132">
        <f>IF(AG1466&lt;=0,W_max,ABS(AG$23-AG1472))</f>
        <v>7174</v>
      </c>
      <c r="AI1473" s="151">
        <f>AG1461</f>
        <v>14242.629842644083</v>
      </c>
      <c r="AJ1473" s="135"/>
      <c r="AK1473" s="132">
        <f>IF(AJ1466&lt;=0,W_max,ABS(AJ$23-AJ1472))</f>
        <v>7174</v>
      </c>
      <c r="AL1473" s="151">
        <f>AJ1461</f>
        <v>18084.36059741984</v>
      </c>
      <c r="AM1473" s="135"/>
      <c r="AN1473" s="132">
        <f>IF(AM1466&lt;=0,W_max,ABS(AM$23-AM1472))</f>
        <v>7174</v>
      </c>
      <c r="AO1473" s="151">
        <f>AM1461</f>
        <v>21205.335043634084</v>
      </c>
      <c r="AP1473" s="135"/>
      <c r="AQ1473" s="132">
        <f>IF(AP1466&lt;=0,W_max,ABS(AP$23-AP1472))</f>
        <v>7174</v>
      </c>
      <c r="AR1473" s="151">
        <f>AP1461</f>
        <v>23658.121088615346</v>
      </c>
      <c r="AS1473" s="135"/>
      <c r="AT1473" s="132">
        <f>IF(AS1466&lt;=0,W_max,ABS(AS$23-AS1472))</f>
        <v>7174</v>
      </c>
      <c r="AU1473" s="151">
        <f>AS1461</f>
        <v>26394.616840143346</v>
      </c>
    </row>
    <row r="1474" spans="13:47" ht="13" x14ac:dyDescent="0.25">
      <c r="M1474" s="12"/>
      <c r="N1474" s="12"/>
      <c r="O1474" s="12"/>
      <c r="P1474" s="12"/>
      <c r="Q1474" s="12"/>
      <c r="R1474" s="182"/>
      <c r="S1474" s="22"/>
      <c r="T1474" s="152"/>
      <c r="U1474" s="157"/>
      <c r="V1474" s="1"/>
      <c r="W1474" s="147"/>
      <c r="X1474" s="157"/>
      <c r="Y1474" s="1"/>
      <c r="Z1474" s="147"/>
      <c r="AA1474" s="157"/>
      <c r="AB1474" s="1"/>
      <c r="AC1474" s="147"/>
      <c r="AD1474" s="157"/>
      <c r="AE1474" s="1"/>
      <c r="AF1474" s="147"/>
      <c r="AG1474" s="157"/>
      <c r="AH1474" s="1"/>
      <c r="AI1474" s="147"/>
      <c r="AJ1474" s="157"/>
      <c r="AK1474" s="1"/>
      <c r="AL1474" s="147"/>
      <c r="AM1474" s="157"/>
      <c r="AN1474" s="1"/>
      <c r="AO1474" s="147"/>
      <c r="AP1474" s="157"/>
      <c r="AQ1474" s="1"/>
      <c r="AR1474" s="147"/>
      <c r="AS1474" s="157"/>
      <c r="AT1474" s="1"/>
      <c r="AU1474" s="147"/>
    </row>
    <row r="1475" spans="13:47" ht="14" x14ac:dyDescent="0.3">
      <c r="M1475" s="23"/>
      <c r="N1475" s="23"/>
      <c r="O1475" s="23" t="s">
        <v>238</v>
      </c>
      <c r="P1475" s="20"/>
      <c r="Q1475" s="20"/>
      <c r="R1475" s="18">
        <f>R1461*1.02</f>
        <v>88.028474984477995</v>
      </c>
      <c r="S1475" s="128" t="s">
        <v>185</v>
      </c>
      <c r="T1475" s="153" t="s">
        <v>186</v>
      </c>
      <c r="U1475" s="143">
        <f>U1461*1.01</f>
        <v>1294.6104424808932</v>
      </c>
      <c r="V1475" s="128" t="s">
        <v>185</v>
      </c>
      <c r="W1475" s="153" t="s">
        <v>186</v>
      </c>
      <c r="X1475" s="143">
        <f>X1461*1.01</f>
        <v>3201.725684703842</v>
      </c>
      <c r="Y1475" s="128" t="s">
        <v>185</v>
      </c>
      <c r="Z1475" s="153" t="s">
        <v>186</v>
      </c>
      <c r="AA1475" s="143">
        <f>AA1461*1.01</f>
        <v>6236.1444080072761</v>
      </c>
      <c r="AB1475" s="128" t="s">
        <v>185</v>
      </c>
      <c r="AC1475" s="153" t="s">
        <v>186</v>
      </c>
      <c r="AD1475" s="143">
        <f>AD1461*1.01</f>
        <v>10256.161539022545</v>
      </c>
      <c r="AE1475" s="128" t="s">
        <v>185</v>
      </c>
      <c r="AF1475" s="153" t="s">
        <v>186</v>
      </c>
      <c r="AG1475" s="143">
        <f>AG1461*1.01</f>
        <v>14385.056141070523</v>
      </c>
      <c r="AH1475" s="128" t="s">
        <v>185</v>
      </c>
      <c r="AI1475" s="153" t="s">
        <v>186</v>
      </c>
      <c r="AJ1475" s="143">
        <f>AJ1461*1.01</f>
        <v>18265.204203394038</v>
      </c>
      <c r="AK1475" s="128" t="s">
        <v>185</v>
      </c>
      <c r="AL1475" s="153" t="s">
        <v>186</v>
      </c>
      <c r="AM1475" s="143">
        <f>AM1461*1.01</f>
        <v>21417.388394070425</v>
      </c>
      <c r="AN1475" s="128" t="s">
        <v>185</v>
      </c>
      <c r="AO1475" s="153" t="s">
        <v>186</v>
      </c>
      <c r="AP1475" s="143">
        <f>AP1461*1.01</f>
        <v>23894.7022995015</v>
      </c>
      <c r="AQ1475" s="128" t="s">
        <v>185</v>
      </c>
      <c r="AR1475" s="153" t="s">
        <v>186</v>
      </c>
      <c r="AS1475" s="143">
        <f>AS1461*1.01</f>
        <v>26658.563008544781</v>
      </c>
      <c r="AT1475" s="128" t="s">
        <v>185</v>
      </c>
      <c r="AU1475" s="153" t="s">
        <v>186</v>
      </c>
    </row>
    <row r="1476" spans="13:47" ht="14" x14ac:dyDescent="0.3">
      <c r="M1476" s="12"/>
      <c r="N1476" s="12"/>
      <c r="O1476" s="20"/>
      <c r="P1476" s="20"/>
      <c r="Q1476" s="23"/>
      <c r="R1476" s="139"/>
      <c r="S1476" s="130" t="s">
        <v>228</v>
      </c>
      <c r="T1476" s="154" t="s">
        <v>187</v>
      </c>
      <c r="U1476" s="144"/>
      <c r="V1476" s="130" t="s">
        <v>228</v>
      </c>
      <c r="W1476" s="154" t="s">
        <v>187</v>
      </c>
      <c r="X1476" s="144"/>
      <c r="Y1476" s="130" t="s">
        <v>228</v>
      </c>
      <c r="Z1476" s="154" t="s">
        <v>187</v>
      </c>
      <c r="AA1476" s="144"/>
      <c r="AB1476" s="130" t="s">
        <v>228</v>
      </c>
      <c r="AC1476" s="154" t="s">
        <v>187</v>
      </c>
      <c r="AD1476" s="144"/>
      <c r="AE1476" s="130" t="s">
        <v>228</v>
      </c>
      <c r="AF1476" s="154" t="s">
        <v>187</v>
      </c>
      <c r="AG1476" s="144"/>
      <c r="AH1476" s="130" t="s">
        <v>228</v>
      </c>
      <c r="AI1476" s="154" t="s">
        <v>187</v>
      </c>
      <c r="AJ1476" s="144"/>
      <c r="AK1476" s="130" t="s">
        <v>228</v>
      </c>
      <c r="AL1476" s="154" t="s">
        <v>187</v>
      </c>
      <c r="AM1476" s="144"/>
      <c r="AN1476" s="130" t="s">
        <v>228</v>
      </c>
      <c r="AO1476" s="154" t="s">
        <v>187</v>
      </c>
      <c r="AP1476" s="144"/>
      <c r="AQ1476" s="130" t="s">
        <v>228</v>
      </c>
      <c r="AR1476" s="154" t="s">
        <v>187</v>
      </c>
      <c r="AS1476" s="144"/>
      <c r="AT1476" s="130" t="s">
        <v>228</v>
      </c>
      <c r="AU1476" s="154" t="s">
        <v>187</v>
      </c>
    </row>
    <row r="1477" spans="13:47" x14ac:dyDescent="0.25">
      <c r="M1477" s="20"/>
      <c r="N1477" s="20"/>
      <c r="O1477" s="7" t="s">
        <v>188</v>
      </c>
      <c r="P1477" s="7"/>
      <c r="Q1477" s="7"/>
      <c r="R1477" s="181">
        <f>P_1_minW-(R1475^2*R_up)+dpup_minQ</f>
        <v>100.51969672630764</v>
      </c>
      <c r="S1477" s="132"/>
      <c r="T1477" s="145"/>
      <c r="U1477" s="138">
        <f>P_1_minW-(U1475^2*R_up)+dpup_minQ</f>
        <v>99.854455439658523</v>
      </c>
      <c r="V1477" s="132"/>
      <c r="W1477" s="145"/>
      <c r="X1477" s="138">
        <f>P_1_minW-(X1475^2*R_up)+dpup_minQ</f>
        <v>96.435060265138631</v>
      </c>
      <c r="Y1477" s="132"/>
      <c r="Z1477" s="145"/>
      <c r="AA1477" s="138">
        <f>P_1_minW-(AA1475^2*R_up)+dpup_minQ</f>
        <v>85.015139460663676</v>
      </c>
      <c r="AB1477" s="132"/>
      <c r="AC1477" s="145"/>
      <c r="AD1477" s="138">
        <f>P_1_minW-(AD1475^2*R_up)+dpup_minQ</f>
        <v>58.577487922640316</v>
      </c>
      <c r="AE1477" s="132"/>
      <c r="AF1477" s="145"/>
      <c r="AG1477" s="138">
        <f>P_1_minW-(AG1475^2*R_up)+dpup_minQ</f>
        <v>18.007063634573072</v>
      </c>
      <c r="AH1477" s="132"/>
      <c r="AI1477" s="145"/>
      <c r="AJ1477" s="138">
        <f>P_1_minW-(AJ1475^2*R_up)+dpup_minQ</f>
        <v>-32.511213867390765</v>
      </c>
      <c r="AK1477" s="132"/>
      <c r="AL1477" s="145"/>
      <c r="AM1477" s="138">
        <f>P_1_minW-(AM1475^2*R_up)+dpup_minQ</f>
        <v>-82.391072321604994</v>
      </c>
      <c r="AN1477" s="132"/>
      <c r="AO1477" s="145"/>
      <c r="AP1477" s="138">
        <f>P_1_minW-(AP1475^2*R_up)+dpup_minQ</f>
        <v>-127.15299460142357</v>
      </c>
      <c r="AQ1477" s="132"/>
      <c r="AR1477" s="145"/>
      <c r="AS1477" s="138">
        <f>P_1_minW-(AS1475^2*R_up)+dpup_minQ</f>
        <v>-182.86886917605185</v>
      </c>
      <c r="AT1477" s="132"/>
      <c r="AU1477" s="145"/>
    </row>
    <row r="1478" spans="13:47" x14ac:dyDescent="0.25">
      <c r="M1478" s="20"/>
      <c r="N1478" s="20"/>
      <c r="O1478" s="7" t="s">
        <v>189</v>
      </c>
      <c r="P1478" s="1"/>
      <c r="Q1478" s="7"/>
      <c r="R1478" s="181">
        <f>P_2_minW+(R1475^2*R_dn)-dpdn_minQ</f>
        <v>50</v>
      </c>
      <c r="S1478" s="132"/>
      <c r="T1478" s="146"/>
      <c r="U1478" s="138">
        <f>P_2_minW+(U1475^2*R_dn)-dpdn_minQ</f>
        <v>50</v>
      </c>
      <c r="V1478" s="132"/>
      <c r="W1478" s="146"/>
      <c r="X1478" s="138">
        <f>P_2_minW+(X1475^2*R_dn)-dpdn_minQ</f>
        <v>50</v>
      </c>
      <c r="Y1478" s="132"/>
      <c r="Z1478" s="146"/>
      <c r="AA1478" s="138">
        <f>P_2_minW+(AA1475^2*R_dn)-dpdn_minQ</f>
        <v>50</v>
      </c>
      <c r="AB1478" s="132"/>
      <c r="AC1478" s="146"/>
      <c r="AD1478" s="138">
        <f>P_2_minW+(AD1475^2*R_dn)-dpdn_minQ</f>
        <v>50</v>
      </c>
      <c r="AE1478" s="132"/>
      <c r="AF1478" s="146"/>
      <c r="AG1478" s="138">
        <f>P_2_minW+(AG1475^2*R_dn)-dpdn_minQ</f>
        <v>50</v>
      </c>
      <c r="AH1478" s="132"/>
      <c r="AI1478" s="146"/>
      <c r="AJ1478" s="138">
        <f>P_2_minW+(AJ1475^2*R_dn)-dpdn_minQ</f>
        <v>50</v>
      </c>
      <c r="AK1478" s="132"/>
      <c r="AL1478" s="146"/>
      <c r="AM1478" s="138">
        <f>P_2_minW+(AM1475^2*R_dn)-dpdn_minQ</f>
        <v>50</v>
      </c>
      <c r="AN1478" s="132"/>
      <c r="AO1478" s="146"/>
      <c r="AP1478" s="138">
        <f>P_2_minW+(AP1475^2*R_dn)-dpdn_minQ</f>
        <v>50</v>
      </c>
      <c r="AQ1478" s="132"/>
      <c r="AR1478" s="146"/>
      <c r="AS1478" s="138">
        <f>P_2_minW+(AS1475^2*R_dn)-dpdn_minQ</f>
        <v>50</v>
      </c>
      <c r="AT1478" s="132"/>
      <c r="AU1478" s="146"/>
    </row>
    <row r="1479" spans="13:47" x14ac:dyDescent="0.25">
      <c r="M1479" s="20"/>
      <c r="N1479" s="20"/>
      <c r="O1479" s="7" t="s">
        <v>234</v>
      </c>
      <c r="P1479" s="1"/>
      <c r="Q1479" s="7"/>
      <c r="R1479" s="179">
        <f>'Valve Sizing'!G$8*R1477/P_1_maxW</f>
        <v>0.48488912057877176</v>
      </c>
      <c r="S1479" s="132"/>
      <c r="T1479" s="146"/>
      <c r="U1479" s="143">
        <f>'Valve Sizing'!$G$8*U1477/P_1_maxW</f>
        <v>0.48168011505088737</v>
      </c>
      <c r="V1479" s="132"/>
      <c r="W1479" s="146"/>
      <c r="X1479" s="143">
        <f>'Valve Sizing'!$G$8*X1477/P_1_maxW</f>
        <v>0.46518556151479107</v>
      </c>
      <c r="Y1479" s="132"/>
      <c r="Z1479" s="146"/>
      <c r="AA1479" s="143">
        <f>'Valve Sizing'!$G$8*AA1477/P_1_maxW</f>
        <v>0.41009789674558517</v>
      </c>
      <c r="AB1479" s="132"/>
      <c r="AC1479" s="146"/>
      <c r="AD1479" s="143">
        <f>'Valve Sizing'!$G$8*AD1477/P_1_maxW</f>
        <v>0.2825673726598999</v>
      </c>
      <c r="AE1479" s="132"/>
      <c r="AF1479" s="146"/>
      <c r="AG1479" s="143">
        <f>'Valve Sizing'!$G$8*AG1477/P_1_maxW</f>
        <v>8.6862869013103194E-2</v>
      </c>
      <c r="AH1479" s="132"/>
      <c r="AI1479" s="146"/>
      <c r="AJ1479" s="143">
        <f>'Valve Sizing'!$G$8*AJ1477/P_1_maxW</f>
        <v>-0.15682830743142995</v>
      </c>
      <c r="AK1479" s="132"/>
      <c r="AL1479" s="146"/>
      <c r="AM1479" s="143">
        <f>'Valve Sizing'!$G$8*AM1477/P_1_maxW</f>
        <v>-0.39743986405312465</v>
      </c>
      <c r="AN1479" s="132"/>
      <c r="AO1479" s="146"/>
      <c r="AP1479" s="143">
        <f>'Valve Sizing'!$G$8*AP1477/P_1_maxW</f>
        <v>-0.61336340776190823</v>
      </c>
      <c r="AQ1479" s="132"/>
      <c r="AR1479" s="146"/>
      <c r="AS1479" s="143">
        <f>'Valve Sizing'!$G$8*AS1477/P_1_maxW</f>
        <v>-0.88212686710985244</v>
      </c>
      <c r="AT1479" s="132"/>
      <c r="AU1479" s="146"/>
    </row>
    <row r="1480" spans="13:47" x14ac:dyDescent="0.25">
      <c r="M1480" s="20"/>
      <c r="N1480" s="20"/>
      <c r="O1480" s="7" t="s">
        <v>190</v>
      </c>
      <c r="P1480" s="1"/>
      <c r="Q1480" s="7"/>
      <c r="R1480" s="181">
        <f>R1477-R1478</f>
        <v>50.519696726307643</v>
      </c>
      <c r="S1480" s="132"/>
      <c r="T1480" s="146"/>
      <c r="U1480" s="138">
        <f>U1477-U1478</f>
        <v>49.854455439658523</v>
      </c>
      <c r="V1480" s="132"/>
      <c r="W1480" s="146"/>
      <c r="X1480" s="138">
        <f>X1477-X1478</f>
        <v>46.435060265138631</v>
      </c>
      <c r="Y1480" s="132"/>
      <c r="Z1480" s="146"/>
      <c r="AA1480" s="138">
        <f>AA1477-AA1478</f>
        <v>35.015139460663676</v>
      </c>
      <c r="AB1480" s="132"/>
      <c r="AC1480" s="146"/>
      <c r="AD1480" s="138">
        <f>AD1477-AD1478</f>
        <v>8.5774879226403158</v>
      </c>
      <c r="AE1480" s="132"/>
      <c r="AF1480" s="146"/>
      <c r="AG1480" s="138">
        <f>AG1477-AG1478</f>
        <v>-31.992936365426928</v>
      </c>
      <c r="AH1480" s="132"/>
      <c r="AI1480" s="146"/>
      <c r="AJ1480" s="138">
        <f>AJ1477-AJ1478</f>
        <v>-82.511213867390765</v>
      </c>
      <c r="AK1480" s="132"/>
      <c r="AL1480" s="146"/>
      <c r="AM1480" s="138">
        <f>AM1477-AM1478</f>
        <v>-132.39107232160501</v>
      </c>
      <c r="AN1480" s="132"/>
      <c r="AO1480" s="146"/>
      <c r="AP1480" s="138">
        <f>AP1477-AP1478</f>
        <v>-177.15299460142359</v>
      </c>
      <c r="AQ1480" s="132"/>
      <c r="AR1480" s="146"/>
      <c r="AS1480" s="138">
        <f>AS1477-AS1478</f>
        <v>-232.86886917605185</v>
      </c>
      <c r="AT1480" s="132"/>
      <c r="AU1480" s="146"/>
    </row>
    <row r="1481" spans="13:47" ht="14.5" x14ac:dyDescent="0.35">
      <c r="M1481" s="27"/>
      <c r="N1481" s="27"/>
      <c r="O1481" s="2" t="s">
        <v>191</v>
      </c>
      <c r="P1481" s="10"/>
      <c r="Q1481" s="2"/>
      <c r="R1481" s="181">
        <f>R1480/R1477</f>
        <v>0.50258504921539238</v>
      </c>
      <c r="S1481" s="132"/>
      <c r="T1481" s="146"/>
      <c r="U1481" s="138">
        <f>U1480/U1477</f>
        <v>0.49927121649354228</v>
      </c>
      <c r="V1481" s="132"/>
      <c r="W1481" s="146"/>
      <c r="X1481" s="138">
        <f>X1480/X1477</f>
        <v>0.48151637109439283</v>
      </c>
      <c r="Y1481" s="132"/>
      <c r="Z1481" s="146"/>
      <c r="AA1481" s="138">
        <f>AA1480/AA1477</f>
        <v>0.41186945857878771</v>
      </c>
      <c r="AB1481" s="132"/>
      <c r="AC1481" s="146"/>
      <c r="AD1481" s="138">
        <f>AD1480/AD1477</f>
        <v>0.14642976725065568</v>
      </c>
      <c r="AE1481" s="132"/>
      <c r="AF1481" s="146"/>
      <c r="AG1481" s="138">
        <f>AG1480/AG1477</f>
        <v>-1.7766881383148645</v>
      </c>
      <c r="AH1481" s="132"/>
      <c r="AI1481" s="146"/>
      <c r="AJ1481" s="138">
        <f>AJ1480/AJ1477</f>
        <v>2.537930887599086</v>
      </c>
      <c r="AK1481" s="132"/>
      <c r="AL1481" s="146"/>
      <c r="AM1481" s="138">
        <f>AM1480/AM1477</f>
        <v>1.6068618673250203</v>
      </c>
      <c r="AN1481" s="132"/>
      <c r="AO1481" s="146"/>
      <c r="AP1481" s="138">
        <f>AP1480/AP1477</f>
        <v>1.3932270738627199</v>
      </c>
      <c r="AQ1481" s="132"/>
      <c r="AR1481" s="146"/>
      <c r="AS1481" s="138">
        <f>AS1480/AS1477</f>
        <v>1.2734199660406054</v>
      </c>
      <c r="AT1481" s="132"/>
      <c r="AU1481" s="146"/>
    </row>
    <row r="1482" spans="13:47" x14ac:dyDescent="0.25">
      <c r="M1482" s="27"/>
      <c r="N1482" s="27"/>
      <c r="O1482" s="2" t="s">
        <v>26</v>
      </c>
      <c r="P1482" s="7">
        <v>12</v>
      </c>
      <c r="Q1482" s="2"/>
      <c r="R1482" s="181">
        <f>1-R1481/(3*F_GAMMA*R$29)</f>
        <v>0.73824794718188258</v>
      </c>
      <c r="S1482" s="133"/>
      <c r="T1482" s="146"/>
      <c r="U1482" s="138">
        <f>1-U1481/(3*F_GAMMA*U$29)</f>
        <v>0.74003108052465416</v>
      </c>
      <c r="V1482" s="133"/>
      <c r="W1482" s="146"/>
      <c r="X1482" s="138">
        <f>1-X1481/(3*F_GAMMA*X$29)</f>
        <v>0.74551471206688547</v>
      </c>
      <c r="Y1482" s="133"/>
      <c r="Z1482" s="146"/>
      <c r="AA1482" s="138">
        <f>1-AA1481/(3*F_GAMMA*AA$29)</f>
        <v>0.77933902193185101</v>
      </c>
      <c r="AB1482" s="133"/>
      <c r="AC1482" s="146"/>
      <c r="AD1482" s="138">
        <f>1-AD1481/(3*F_GAMMA*AD$29)</f>
        <v>0.91939862719551124</v>
      </c>
      <c r="AE1482" s="133"/>
      <c r="AF1482" s="146"/>
      <c r="AG1482" s="138">
        <f>1-AG1481/(3*F_GAMMA*AG$29)</f>
        <v>2.0337519465479437</v>
      </c>
      <c r="AH1482" s="133"/>
      <c r="AI1482" s="146"/>
      <c r="AJ1482" s="138">
        <f>1-AJ1481/(3*F_GAMMA*AJ$29)</f>
        <v>-0.57858561687792154</v>
      </c>
      <c r="AK1482" s="133"/>
      <c r="AL1482" s="146"/>
      <c r="AM1482" s="138">
        <f>1-AM1481/(3*F_GAMMA*AM$29)</f>
        <v>-9.2015397966953794E-2</v>
      </c>
      <c r="AN1482" s="133"/>
      <c r="AO1482" s="146"/>
      <c r="AP1482" s="138">
        <f>1-AP1481/(3*F_GAMMA*AP$29)</f>
        <v>0.21754723635097983</v>
      </c>
      <c r="AQ1482" s="133"/>
      <c r="AR1482" s="146"/>
      <c r="AS1482" s="138">
        <f>1-AS1481/(3*F_GAMMA*AS$29)</f>
        <v>-8.5686679022118017E-2</v>
      </c>
      <c r="AT1482" s="133"/>
      <c r="AU1482" s="146"/>
    </row>
    <row r="1483" spans="13:47" x14ac:dyDescent="0.25">
      <c r="M1483" s="27"/>
      <c r="N1483" s="27"/>
      <c r="O1483" s="2" t="s">
        <v>71</v>
      </c>
      <c r="P1483" s="85">
        <v>5</v>
      </c>
      <c r="Q1483" s="2"/>
      <c r="R1483" s="179">
        <f>R1475/((N_6*R$27*R1482)*SQRT(R1481*R1477*R1479))</f>
        <v>0.38064233810147236</v>
      </c>
      <c r="S1483" s="133"/>
      <c r="T1483" s="146"/>
      <c r="U1483" s="143">
        <f>U1475/((N_6*U$27*U1482)*SQRT(U1481*U1477*U1479))</f>
        <v>5.6438506290395516</v>
      </c>
      <c r="V1483" s="133"/>
      <c r="W1483" s="146"/>
      <c r="X1483" s="143">
        <f>X1475/((N_6*X$27*X1482)*SQRT(X1481*X1477*X1479))</f>
        <v>14.641005977830101</v>
      </c>
      <c r="Y1483" s="133"/>
      <c r="Z1483" s="146"/>
      <c r="AA1483" s="143">
        <f>AA1475/((N_6*AA$27*AA1482)*SQRT(AA1481*AA1477*AA1479))</f>
        <v>33.650208420427951</v>
      </c>
      <c r="AB1483" s="133"/>
      <c r="AC1483" s="146"/>
      <c r="AD1483" s="143">
        <f>AD1475/((N_6*AD$27*AD1482)*SQRT(AD1481*AD1477*AD1479))</f>
        <v>115.54584575035975</v>
      </c>
      <c r="AE1483" s="133"/>
      <c r="AF1483" s="146"/>
      <c r="AG1483" s="143" t="e">
        <f>AG1475/((N_6*AG$27*AG1482)*SQRT(AG1481*AG1477*AG1479))</f>
        <v>#NUM!</v>
      </c>
      <c r="AH1483" s="133"/>
      <c r="AI1483" s="146"/>
      <c r="AJ1483" s="143">
        <f>AJ1475/((N_6*AJ$27*AJ1482)*SQRT(AJ1481*AJ1477*AJ1479))</f>
        <v>-149.53156514317098</v>
      </c>
      <c r="AK1483" s="133"/>
      <c r="AL1483" s="146"/>
      <c r="AM1483" s="143">
        <f>AM1475/((N_6*AM$27*AM1482)*SQRT(AM1481*AM1477*AM1479))</f>
        <v>-580.32313048752678</v>
      </c>
      <c r="AN1483" s="133"/>
      <c r="AO1483" s="146"/>
      <c r="AP1483" s="143">
        <f>AP1475/((N_6*AP$27*AP1482)*SQRT(AP1481*AP1477*AP1479))</f>
        <v>216.47010897195955</v>
      </c>
      <c r="AQ1483" s="133"/>
      <c r="AR1483" s="146"/>
      <c r="AS1483" s="143">
        <f>AS1475/((N_6*AS$27*AS1482)*SQRT(AS1481*AS1477*AS1479))</f>
        <v>-585.96633294683261</v>
      </c>
      <c r="AT1483" s="133"/>
      <c r="AU1483" s="146"/>
    </row>
    <row r="1484" spans="13:47" x14ac:dyDescent="0.25">
      <c r="M1484" s="27"/>
      <c r="N1484" s="27"/>
      <c r="O1484" s="2" t="s">
        <v>73</v>
      </c>
      <c r="P1484" s="85">
        <v>5</v>
      </c>
      <c r="Q1484" s="2"/>
      <c r="R1484" s="179">
        <f>R1475/((N_6*R$27*0.667)*SQRT(R1485*R1477*R1479))</f>
        <v>0.37333540853283093</v>
      </c>
      <c r="S1484" s="133"/>
      <c r="T1484" s="155"/>
      <c r="U1484" s="143">
        <f>U1475/((N_6*U$27*0.667)*SQRT(U1485*U1477*U1479))</f>
        <v>5.529947129642145</v>
      </c>
      <c r="V1484" s="133"/>
      <c r="W1484" s="155"/>
      <c r="X1484" s="143">
        <f>X1475/((N_6*X$27*0.667)*SQRT(X1485*X1477*X1479))</f>
        <v>14.298591862083718</v>
      </c>
      <c r="Y1484" s="133"/>
      <c r="Z1484" s="155"/>
      <c r="AA1484" s="143">
        <f>AA1475/((N_6*AA$27*0.667)*SQRT(AA1485*AA1477*AA1479))</f>
        <v>31.989816101379425</v>
      </c>
      <c r="AB1484" s="133"/>
      <c r="AC1484" s="155"/>
      <c r="AD1484" s="143">
        <f>AD1475/((N_6*AD$27*0.667)*SQRT(AD1485*AD1477*AD1479))</f>
        <v>78.318470885265427</v>
      </c>
      <c r="AE1484" s="133"/>
      <c r="AF1484" s="155"/>
      <c r="AG1484" s="143">
        <f>AG1475/((N_6*AG$27*0.667)*SQRT(AG1485*AG1477*AG1479))</f>
        <v>375.31464340451373</v>
      </c>
      <c r="AH1484" s="133"/>
      <c r="AI1484" s="155"/>
      <c r="AJ1484" s="143">
        <f>AJ1475/((N_6*AJ$27*0.667)*SQRT(AJ1485*AJ1477*AJ1479))</f>
        <v>282.27302441745741</v>
      </c>
      <c r="AK1484" s="133"/>
      <c r="AL1484" s="155"/>
      <c r="AM1484" s="143">
        <f>AM1475/((N_6*AM$27*0.667)*SQRT(AM1485*AM1477*AM1479))</f>
        <v>144.90372980893983</v>
      </c>
      <c r="AN1484" s="133"/>
      <c r="AO1484" s="155"/>
      <c r="AP1484" s="143">
        <f>AP1475/((N_6*AP$27*0.667)*SQRT(AP1485*AP1477*AP1479))</f>
        <v>108.17212570195834</v>
      </c>
      <c r="AQ1484" s="133"/>
      <c r="AR1484" s="155"/>
      <c r="AS1484" s="143">
        <f>AS1475/((N_6*AS$27*0.667)*SQRT(AS1485*AS1477*AS1479))</f>
        <v>135.85418556485186</v>
      </c>
      <c r="AT1484" s="133"/>
      <c r="AU1484" s="155"/>
    </row>
    <row r="1485" spans="13:47" ht="15.5" x14ac:dyDescent="0.4">
      <c r="M1485" s="27"/>
      <c r="N1485" s="27"/>
      <c r="O1485" s="2" t="s">
        <v>192</v>
      </c>
      <c r="P1485" s="85">
        <v>10</v>
      </c>
      <c r="Q1485" s="2"/>
      <c r="R1485" s="181">
        <f>F_GAMMA*R$29</f>
        <v>0.64002688015162901</v>
      </c>
      <c r="S1485" s="133"/>
      <c r="T1485" s="155"/>
      <c r="U1485" s="138">
        <f>F_GAMMA*U$29</f>
        <v>0.64016782916606918</v>
      </c>
      <c r="V1485" s="133"/>
      <c r="W1485" s="155"/>
      <c r="X1485" s="138">
        <f>F_GAMMA*X$29</f>
        <v>0.6307062319203669</v>
      </c>
      <c r="Y1485" s="133"/>
      <c r="Z1485" s="155"/>
      <c r="AA1485" s="138">
        <f>F_GAMMA*AA$29</f>
        <v>0.62217534213893466</v>
      </c>
      <c r="AB1485" s="133"/>
      <c r="AC1485" s="155"/>
      <c r="AD1485" s="138">
        <f>F_GAMMA*AD$29</f>
        <v>0.60557184969146072</v>
      </c>
      <c r="AE1485" s="133"/>
      <c r="AF1485" s="155"/>
      <c r="AG1485" s="138">
        <f>F_GAMMA*AG$29</f>
        <v>0.57289312142622573</v>
      </c>
      <c r="AH1485" s="133"/>
      <c r="AI1485" s="155"/>
      <c r="AJ1485" s="138">
        <f>F_GAMMA*AJ$29</f>
        <v>0.53590819116049981</v>
      </c>
      <c r="AK1485" s="133"/>
      <c r="AL1485" s="155"/>
      <c r="AM1485" s="138">
        <f>F_GAMMA*AM$29</f>
        <v>0.49048815926850342</v>
      </c>
      <c r="AN1485" s="133"/>
      <c r="AO1485" s="155"/>
      <c r="AP1485" s="138">
        <f>F_GAMMA*AP$29</f>
        <v>0.59352979016280105</v>
      </c>
      <c r="AQ1485" s="133"/>
      <c r="AR1485" s="155"/>
      <c r="AS1485" s="138">
        <f>F_GAMMA*AS$29</f>
        <v>0.39097221161068291</v>
      </c>
      <c r="AT1485" s="133"/>
      <c r="AU1485" s="155"/>
    </row>
    <row r="1486" spans="13:47" x14ac:dyDescent="0.25">
      <c r="M1486" s="27"/>
      <c r="N1486" s="27"/>
      <c r="O1486" s="2" t="s">
        <v>193</v>
      </c>
      <c r="P1486" s="134"/>
      <c r="Q1486" s="2"/>
      <c r="R1486" s="181">
        <f>IF(R1481&lt;R1485,R1483,R1484)</f>
        <v>0.38064233810147236</v>
      </c>
      <c r="S1486" s="133"/>
      <c r="T1486" s="155"/>
      <c r="U1486" s="138">
        <f>IF(U1481&lt;U1485,U1483,U1484)</f>
        <v>5.6438506290395516</v>
      </c>
      <c r="V1486" s="133"/>
      <c r="W1486" s="155"/>
      <c r="X1486" s="138">
        <f>IF(X1481&lt;X1485,X1483,X1484)</f>
        <v>14.641005977830101</v>
      </c>
      <c r="Y1486" s="133"/>
      <c r="Z1486" s="155"/>
      <c r="AA1486" s="138">
        <f>IF(AA1481&lt;AA1485,AA1483,AA1484)</f>
        <v>33.650208420427951</v>
      </c>
      <c r="AB1486" s="133"/>
      <c r="AC1486" s="155"/>
      <c r="AD1486" s="138">
        <f>IF(AD1481&lt;AD1485,AD1483,AD1484)</f>
        <v>115.54584575035975</v>
      </c>
      <c r="AE1486" s="133"/>
      <c r="AF1486" s="155"/>
      <c r="AG1486" s="138" t="e">
        <f>IF(AG1481&lt;AG1485,AG1483,AG1484)</f>
        <v>#NUM!</v>
      </c>
      <c r="AH1486" s="133"/>
      <c r="AI1486" s="155"/>
      <c r="AJ1486" s="138">
        <f>IF(AJ1481&lt;AJ1485,AJ1483,AJ1484)</f>
        <v>282.27302441745741</v>
      </c>
      <c r="AK1486" s="133"/>
      <c r="AL1486" s="155"/>
      <c r="AM1486" s="138">
        <f>IF(AM1481&lt;AM1485,AM1483,AM1484)</f>
        <v>144.90372980893983</v>
      </c>
      <c r="AN1486" s="133"/>
      <c r="AO1486" s="155"/>
      <c r="AP1486" s="138">
        <f>IF(AP1481&lt;AP1485,AP1483,AP1484)</f>
        <v>108.17212570195834</v>
      </c>
      <c r="AQ1486" s="133"/>
      <c r="AR1486" s="155"/>
      <c r="AS1486" s="138">
        <f>IF(AS1481&lt;AS1485,AS1483,AS1484)</f>
        <v>135.85418556485186</v>
      </c>
      <c r="AT1486" s="133"/>
      <c r="AU1486" s="155"/>
    </row>
    <row r="1487" spans="13:47" ht="13" x14ac:dyDescent="0.3">
      <c r="M1487" s="28"/>
      <c r="N1487" s="28"/>
      <c r="O1487" s="9" t="s">
        <v>194</v>
      </c>
      <c r="P1487" s="1"/>
      <c r="Q1487" s="1"/>
      <c r="R1487" s="135"/>
      <c r="S1487" s="132">
        <f>IF(R1480&lt;=0,W_max,ABS(R$23-R1486))</f>
        <v>1.6193576618985277</v>
      </c>
      <c r="T1487" s="151">
        <f>R1475</f>
        <v>88.028474984477995</v>
      </c>
      <c r="U1487" s="135"/>
      <c r="V1487" s="132">
        <f>IF(U1480&lt;=0,W_max,ABS(U$23-U1486))</f>
        <v>0.64385062903955159</v>
      </c>
      <c r="W1487" s="151">
        <f>U1475</f>
        <v>1294.6104424808932</v>
      </c>
      <c r="X1487" s="135"/>
      <c r="Y1487" s="132">
        <f>IF(X1480&lt;=0,W_max,ABS(X$23-X1486))</f>
        <v>4.6410059778301012</v>
      </c>
      <c r="Z1487" s="151">
        <f>X1475</f>
        <v>3201.725684703842</v>
      </c>
      <c r="AA1487" s="135"/>
      <c r="AB1487" s="132">
        <f>IF(AA1480&lt;=0,W_max,ABS(AA$23-AA1486))</f>
        <v>16.450208420427952</v>
      </c>
      <c r="AC1487" s="151">
        <f>AA1475</f>
        <v>6236.1444080072761</v>
      </c>
      <c r="AD1487" s="135"/>
      <c r="AE1487" s="132">
        <f>IF(AD1480&lt;=0,W_max,ABS(AD$23-AD1486))</f>
        <v>88.945845750359751</v>
      </c>
      <c r="AF1487" s="151">
        <f>AD1475</f>
        <v>10256.161539022545</v>
      </c>
      <c r="AG1487" s="135"/>
      <c r="AH1487" s="132">
        <f>IF(AG1480&lt;=0,W_max,ABS(AG$23-AG1486))</f>
        <v>7174</v>
      </c>
      <c r="AI1487" s="151">
        <f>AG1475</f>
        <v>14385.056141070523</v>
      </c>
      <c r="AJ1487" s="135"/>
      <c r="AK1487" s="132">
        <f>IF(AJ1480&lt;=0,W_max,ABS(AJ$23-AJ1486))</f>
        <v>7174</v>
      </c>
      <c r="AL1487" s="151">
        <f>AJ1475</f>
        <v>18265.204203394038</v>
      </c>
      <c r="AM1487" s="135"/>
      <c r="AN1487" s="132">
        <f>IF(AM1480&lt;=0,W_max,ABS(AM$23-AM1486))</f>
        <v>7174</v>
      </c>
      <c r="AO1487" s="151">
        <f>AM1475</f>
        <v>21417.388394070425</v>
      </c>
      <c r="AP1487" s="135"/>
      <c r="AQ1487" s="132">
        <f>IF(AP1480&lt;=0,W_max,ABS(AP$23-AP1486))</f>
        <v>7174</v>
      </c>
      <c r="AR1487" s="151">
        <f>AP1475</f>
        <v>23894.7022995015</v>
      </c>
      <c r="AS1487" s="135"/>
      <c r="AT1487" s="132">
        <f>IF(AS1480&lt;=0,W_max,ABS(AS$23-AS1486))</f>
        <v>7174</v>
      </c>
      <c r="AU1487" s="151">
        <f>AS1475</f>
        <v>26658.563008544781</v>
      </c>
    </row>
    <row r="1488" spans="13:47" ht="13" x14ac:dyDescent="0.25">
      <c r="M1488" s="12"/>
      <c r="N1488" s="12"/>
      <c r="O1488" s="2"/>
      <c r="P1488" s="85"/>
      <c r="Q1488" s="2"/>
      <c r="R1488" s="18"/>
      <c r="S1488" s="150"/>
      <c r="T1488" s="152"/>
      <c r="U1488" s="157"/>
      <c r="V1488" s="1"/>
      <c r="W1488" s="147"/>
      <c r="X1488" s="157"/>
      <c r="Y1488" s="1"/>
      <c r="Z1488" s="147"/>
      <c r="AA1488" s="157"/>
      <c r="AB1488" s="1"/>
      <c r="AC1488" s="147"/>
      <c r="AD1488" s="157"/>
      <c r="AE1488" s="1"/>
      <c r="AF1488" s="147"/>
      <c r="AG1488" s="157"/>
      <c r="AH1488" s="1"/>
      <c r="AI1488" s="147"/>
      <c r="AJ1488" s="157"/>
      <c r="AK1488" s="1"/>
      <c r="AL1488" s="147"/>
      <c r="AM1488" s="157"/>
      <c r="AN1488" s="1"/>
      <c r="AO1488" s="147"/>
      <c r="AP1488" s="157"/>
      <c r="AQ1488" s="1"/>
      <c r="AR1488" s="147"/>
      <c r="AS1488" s="157"/>
      <c r="AT1488" s="1"/>
      <c r="AU1488" s="147"/>
    </row>
    <row r="1489" spans="13:47" ht="14" x14ac:dyDescent="0.3">
      <c r="M1489" s="23"/>
      <c r="N1489" s="23"/>
      <c r="O1489" s="23" t="s">
        <v>238</v>
      </c>
      <c r="P1489" s="20"/>
      <c r="Q1489" s="20"/>
      <c r="R1489" s="181">
        <f>R1475*1.02</f>
        <v>89.789044484167562</v>
      </c>
      <c r="S1489" s="128" t="s">
        <v>185</v>
      </c>
      <c r="T1489" s="153" t="s">
        <v>186</v>
      </c>
      <c r="U1489" s="143">
        <f>U1475*1.01</f>
        <v>1307.5565469057021</v>
      </c>
      <c r="V1489" s="128" t="s">
        <v>185</v>
      </c>
      <c r="W1489" s="153" t="s">
        <v>186</v>
      </c>
      <c r="X1489" s="143">
        <f>X1475*1.01</f>
        <v>3233.7429415508805</v>
      </c>
      <c r="Y1489" s="128" t="s">
        <v>185</v>
      </c>
      <c r="Z1489" s="153" t="s">
        <v>186</v>
      </c>
      <c r="AA1489" s="143">
        <f>AA1475*1.01</f>
        <v>6298.505852087349</v>
      </c>
      <c r="AB1489" s="128" t="s">
        <v>185</v>
      </c>
      <c r="AC1489" s="153" t="s">
        <v>186</v>
      </c>
      <c r="AD1489" s="143">
        <f>AD1475*1.01</f>
        <v>10358.72315441277</v>
      </c>
      <c r="AE1489" s="128" t="s">
        <v>185</v>
      </c>
      <c r="AF1489" s="153" t="s">
        <v>186</v>
      </c>
      <c r="AG1489" s="143">
        <f>AG1475*1.01</f>
        <v>14528.906702481228</v>
      </c>
      <c r="AH1489" s="128" t="s">
        <v>185</v>
      </c>
      <c r="AI1489" s="153" t="s">
        <v>186</v>
      </c>
      <c r="AJ1489" s="143">
        <f>AJ1475*1.01</f>
        <v>18447.856245427978</v>
      </c>
      <c r="AK1489" s="128" t="s">
        <v>185</v>
      </c>
      <c r="AL1489" s="153" t="s">
        <v>186</v>
      </c>
      <c r="AM1489" s="143">
        <f>AM1475*1.01</f>
        <v>21631.56227801113</v>
      </c>
      <c r="AN1489" s="128" t="s">
        <v>185</v>
      </c>
      <c r="AO1489" s="153" t="s">
        <v>186</v>
      </c>
      <c r="AP1489" s="143">
        <f>AP1475*1.01</f>
        <v>24133.649322496516</v>
      </c>
      <c r="AQ1489" s="128" t="s">
        <v>185</v>
      </c>
      <c r="AR1489" s="153" t="s">
        <v>186</v>
      </c>
      <c r="AS1489" s="143">
        <f>AS1475*1.01</f>
        <v>26925.148638630228</v>
      </c>
      <c r="AT1489" s="128" t="s">
        <v>185</v>
      </c>
      <c r="AU1489" s="153" t="s">
        <v>186</v>
      </c>
    </row>
    <row r="1490" spans="13:47" ht="14" x14ac:dyDescent="0.3">
      <c r="M1490" s="12"/>
      <c r="N1490" s="12"/>
      <c r="O1490" s="20"/>
      <c r="P1490" s="20"/>
      <c r="Q1490" s="23"/>
      <c r="R1490" s="139"/>
      <c r="S1490" s="130" t="s">
        <v>228</v>
      </c>
      <c r="T1490" s="154" t="s">
        <v>187</v>
      </c>
      <c r="U1490" s="144"/>
      <c r="V1490" s="130" t="s">
        <v>228</v>
      </c>
      <c r="W1490" s="154" t="s">
        <v>187</v>
      </c>
      <c r="X1490" s="144"/>
      <c r="Y1490" s="130" t="s">
        <v>228</v>
      </c>
      <c r="Z1490" s="154" t="s">
        <v>187</v>
      </c>
      <c r="AA1490" s="144"/>
      <c r="AB1490" s="130" t="s">
        <v>228</v>
      </c>
      <c r="AC1490" s="154" t="s">
        <v>187</v>
      </c>
      <c r="AD1490" s="144"/>
      <c r="AE1490" s="130" t="s">
        <v>228</v>
      </c>
      <c r="AF1490" s="154" t="s">
        <v>187</v>
      </c>
      <c r="AG1490" s="144"/>
      <c r="AH1490" s="130" t="s">
        <v>228</v>
      </c>
      <c r="AI1490" s="154" t="s">
        <v>187</v>
      </c>
      <c r="AJ1490" s="144"/>
      <c r="AK1490" s="130" t="s">
        <v>228</v>
      </c>
      <c r="AL1490" s="154" t="s">
        <v>187</v>
      </c>
      <c r="AM1490" s="144"/>
      <c r="AN1490" s="130" t="s">
        <v>228</v>
      </c>
      <c r="AO1490" s="154" t="s">
        <v>187</v>
      </c>
      <c r="AP1490" s="144"/>
      <c r="AQ1490" s="130" t="s">
        <v>228</v>
      </c>
      <c r="AR1490" s="154" t="s">
        <v>187</v>
      </c>
      <c r="AS1490" s="144"/>
      <c r="AT1490" s="130" t="s">
        <v>228</v>
      </c>
      <c r="AU1490" s="154" t="s">
        <v>187</v>
      </c>
    </row>
    <row r="1491" spans="13:47" x14ac:dyDescent="0.25">
      <c r="M1491" s="20"/>
      <c r="N1491" s="20"/>
      <c r="O1491" s="7" t="s">
        <v>188</v>
      </c>
      <c r="P1491" s="7"/>
      <c r="Q1491" s="7"/>
      <c r="R1491" s="181">
        <f>P_1_minW-(R1489^2*R_up)+dpup_minQ</f>
        <v>100.51957188988671</v>
      </c>
      <c r="S1491" s="132"/>
      <c r="T1491" s="145"/>
      <c r="U1491" s="138">
        <f>P_1_minW-(U1489^2*R_up)+dpup_minQ</f>
        <v>99.841021980587456</v>
      </c>
      <c r="V1491" s="132"/>
      <c r="W1491" s="145"/>
      <c r="X1491" s="138">
        <f>P_1_minW-(X1489^2*R_up)+dpup_minQ</f>
        <v>96.352896963059706</v>
      </c>
      <c r="Y1491" s="132"/>
      <c r="Z1491" s="145"/>
      <c r="AA1491" s="138">
        <f>P_1_minW-(AA1489^2*R_up)+dpup_minQ</f>
        <v>84.703435750414812</v>
      </c>
      <c r="AB1491" s="132"/>
      <c r="AC1491" s="145"/>
      <c r="AD1491" s="138">
        <f>P_1_minW-(AD1489^2*R_up)+dpup_minQ</f>
        <v>57.73438741647719</v>
      </c>
      <c r="AE1491" s="132"/>
      <c r="AF1491" s="145"/>
      <c r="AG1491" s="138">
        <f>P_1_minW-(AG1489^2*R_up)+dpup_minQ</f>
        <v>16.348497600219787</v>
      </c>
      <c r="AH1491" s="132"/>
      <c r="AI1491" s="145"/>
      <c r="AJ1491" s="138">
        <f>P_1_minW-(AJ1489^2*R_up)+dpup_minQ</f>
        <v>-35.18519727953354</v>
      </c>
      <c r="AK1491" s="132"/>
      <c r="AL1491" s="145"/>
      <c r="AM1491" s="138">
        <f>P_1_minW-(AM1489^2*R_up)+dpup_minQ</f>
        <v>-86.067640888677474</v>
      </c>
      <c r="AN1491" s="132"/>
      <c r="AO1491" s="145"/>
      <c r="AP1491" s="138">
        <f>P_1_minW-(AP1489^2*R_up)+dpup_minQ</f>
        <v>-131.72927780632045</v>
      </c>
      <c r="AQ1491" s="132"/>
      <c r="AR1491" s="145"/>
      <c r="AS1491" s="138">
        <f>P_1_minW-(AS1489^2*R_up)+dpup_minQ</f>
        <v>-188.56504145989865</v>
      </c>
      <c r="AT1491" s="132"/>
      <c r="AU1491" s="145"/>
    </row>
    <row r="1492" spans="13:47" x14ac:dyDescent="0.25">
      <c r="M1492" s="20"/>
      <c r="N1492" s="20"/>
      <c r="O1492" s="7" t="s">
        <v>189</v>
      </c>
      <c r="P1492" s="1"/>
      <c r="Q1492" s="7"/>
      <c r="R1492" s="181">
        <f>P_2_minW+(R1489^2*R_dn)-dpdn_minQ</f>
        <v>50</v>
      </c>
      <c r="S1492" s="132"/>
      <c r="T1492" s="146"/>
      <c r="U1492" s="138">
        <f>P_2_minW+(U1489^2*R_dn)-dpdn_minQ</f>
        <v>50</v>
      </c>
      <c r="V1492" s="132"/>
      <c r="W1492" s="146"/>
      <c r="X1492" s="138">
        <f>P_2_minW+(X1489^2*R_dn)-dpdn_minQ</f>
        <v>50</v>
      </c>
      <c r="Y1492" s="132"/>
      <c r="Z1492" s="146"/>
      <c r="AA1492" s="138">
        <f>P_2_minW+(AA1489^2*R_dn)-dpdn_minQ</f>
        <v>50</v>
      </c>
      <c r="AB1492" s="132"/>
      <c r="AC1492" s="146"/>
      <c r="AD1492" s="138">
        <f>P_2_minW+(AD1489^2*R_dn)-dpdn_minQ</f>
        <v>50</v>
      </c>
      <c r="AE1492" s="132"/>
      <c r="AF1492" s="146"/>
      <c r="AG1492" s="138">
        <f>P_2_minW+(AG1489^2*R_dn)-dpdn_minQ</f>
        <v>50</v>
      </c>
      <c r="AH1492" s="132"/>
      <c r="AI1492" s="146"/>
      <c r="AJ1492" s="138">
        <f>P_2_minW+(AJ1489^2*R_dn)-dpdn_minQ</f>
        <v>50</v>
      </c>
      <c r="AK1492" s="132"/>
      <c r="AL1492" s="146"/>
      <c r="AM1492" s="138">
        <f>P_2_minW+(AM1489^2*R_dn)-dpdn_minQ</f>
        <v>50</v>
      </c>
      <c r="AN1492" s="132"/>
      <c r="AO1492" s="146"/>
      <c r="AP1492" s="138">
        <f>P_2_minW+(AP1489^2*R_dn)-dpdn_minQ</f>
        <v>50</v>
      </c>
      <c r="AQ1492" s="132"/>
      <c r="AR1492" s="146"/>
      <c r="AS1492" s="138">
        <f>P_2_minW+(AS1489^2*R_dn)-dpdn_minQ</f>
        <v>50</v>
      </c>
      <c r="AT1492" s="132"/>
      <c r="AU1492" s="146"/>
    </row>
    <row r="1493" spans="13:47" x14ac:dyDescent="0.25">
      <c r="M1493" s="20"/>
      <c r="N1493" s="20"/>
      <c r="O1493" s="7" t="s">
        <v>234</v>
      </c>
      <c r="P1493" s="1"/>
      <c r="Q1493" s="7"/>
      <c r="R1493" s="179">
        <f>'Valve Sizing'!G$8*R1491/P_1_maxW</f>
        <v>0.48488851839010294</v>
      </c>
      <c r="S1493" s="132"/>
      <c r="T1493" s="146"/>
      <c r="U1493" s="143">
        <f>'Valve Sizing'!$G$8*U1491/P_1_maxW</f>
        <v>0.48161531443600858</v>
      </c>
      <c r="V1493" s="132"/>
      <c r="W1493" s="146"/>
      <c r="X1493" s="143">
        <f>'Valve Sizing'!$G$8*X1491/P_1_maxW</f>
        <v>0.46478922037383663</v>
      </c>
      <c r="Y1493" s="132"/>
      <c r="Z1493" s="146"/>
      <c r="AA1493" s="143">
        <f>'Valve Sizing'!$G$8*AA1491/P_1_maxW</f>
        <v>0.40859429354276972</v>
      </c>
      <c r="AB1493" s="132"/>
      <c r="AC1493" s="146"/>
      <c r="AD1493" s="143">
        <f>'Valve Sizing'!$G$8*AD1491/P_1_maxW</f>
        <v>0.27850040592296221</v>
      </c>
      <c r="AE1493" s="132"/>
      <c r="AF1493" s="146"/>
      <c r="AG1493" s="143">
        <f>'Valve Sizing'!$G$8*AG1491/P_1_maxW</f>
        <v>7.8862241752864881E-2</v>
      </c>
      <c r="AH1493" s="132"/>
      <c r="AI1493" s="146"/>
      <c r="AJ1493" s="143">
        <f>'Valve Sizing'!$G$8*AJ1491/P_1_maxW</f>
        <v>-0.16972712733820347</v>
      </c>
      <c r="AK1493" s="132"/>
      <c r="AL1493" s="146"/>
      <c r="AM1493" s="143">
        <f>'Valve Sizing'!$G$8*AM1491/P_1_maxW</f>
        <v>-0.41517497624799427</v>
      </c>
      <c r="AN1493" s="132"/>
      <c r="AO1493" s="146"/>
      <c r="AP1493" s="143">
        <f>'Valve Sizing'!$G$8*AP1491/P_1_maxW</f>
        <v>-0.63543858318532465</v>
      </c>
      <c r="AQ1493" s="132"/>
      <c r="AR1493" s="146"/>
      <c r="AS1493" s="143">
        <f>'Valve Sizing'!$G$8*AS1491/P_1_maxW</f>
        <v>-0.90960418806616194</v>
      </c>
      <c r="AT1493" s="132"/>
      <c r="AU1493" s="146"/>
    </row>
    <row r="1494" spans="13:47" x14ac:dyDescent="0.25">
      <c r="M1494" s="20"/>
      <c r="N1494" s="20"/>
      <c r="O1494" s="7" t="s">
        <v>190</v>
      </c>
      <c r="P1494" s="1"/>
      <c r="Q1494" s="7"/>
      <c r="R1494" s="181">
        <f>R1491-R1492</f>
        <v>50.519571889886706</v>
      </c>
      <c r="S1494" s="132"/>
      <c r="T1494" s="146"/>
      <c r="U1494" s="138">
        <f>U1491-U1492</f>
        <v>49.841021980587456</v>
      </c>
      <c r="V1494" s="132"/>
      <c r="W1494" s="146"/>
      <c r="X1494" s="138">
        <f>X1491-X1492</f>
        <v>46.352896963059706</v>
      </c>
      <c r="Y1494" s="132"/>
      <c r="Z1494" s="146"/>
      <c r="AA1494" s="138">
        <f>AA1491-AA1492</f>
        <v>34.703435750414812</v>
      </c>
      <c r="AB1494" s="132"/>
      <c r="AC1494" s="146"/>
      <c r="AD1494" s="138">
        <f>AD1491-AD1492</f>
        <v>7.7343874164771904</v>
      </c>
      <c r="AE1494" s="132"/>
      <c r="AF1494" s="146"/>
      <c r="AG1494" s="138">
        <f>AG1491-AG1492</f>
        <v>-33.651502399780213</v>
      </c>
      <c r="AH1494" s="132"/>
      <c r="AI1494" s="146"/>
      <c r="AJ1494" s="138">
        <f>AJ1491-AJ1492</f>
        <v>-85.18519727953354</v>
      </c>
      <c r="AK1494" s="132"/>
      <c r="AL1494" s="146"/>
      <c r="AM1494" s="138">
        <f>AM1491-AM1492</f>
        <v>-136.06764088867749</v>
      </c>
      <c r="AN1494" s="132"/>
      <c r="AO1494" s="146"/>
      <c r="AP1494" s="138">
        <f>AP1491-AP1492</f>
        <v>-181.72927780632045</v>
      </c>
      <c r="AQ1494" s="132"/>
      <c r="AR1494" s="146"/>
      <c r="AS1494" s="138">
        <f>AS1491-AS1492</f>
        <v>-238.56504145989865</v>
      </c>
      <c r="AT1494" s="132"/>
      <c r="AU1494" s="146"/>
    </row>
    <row r="1495" spans="13:47" ht="14.5" x14ac:dyDescent="0.35">
      <c r="M1495" s="27"/>
      <c r="N1495" s="27"/>
      <c r="O1495" s="2" t="s">
        <v>191</v>
      </c>
      <c r="P1495" s="10"/>
      <c r="Q1495" s="2"/>
      <c r="R1495" s="181">
        <f>R1494/R1491</f>
        <v>0.50258443147000198</v>
      </c>
      <c r="S1495" s="132"/>
      <c r="T1495" s="146"/>
      <c r="U1495" s="138">
        <f>U1494/U1491</f>
        <v>0.49920384419019942</v>
      </c>
      <c r="V1495" s="132"/>
      <c r="W1495" s="146"/>
      <c r="X1495" s="138">
        <f>X1494/X1491</f>
        <v>0.4810742429553595</v>
      </c>
      <c r="Y1495" s="132"/>
      <c r="Z1495" s="146"/>
      <c r="AA1495" s="138">
        <f>AA1494/AA1491</f>
        <v>0.40970517244036186</v>
      </c>
      <c r="AB1495" s="132"/>
      <c r="AC1495" s="146"/>
      <c r="AD1495" s="138">
        <f>AD1494/AD1491</f>
        <v>0.13396500357202756</v>
      </c>
      <c r="AE1495" s="132"/>
      <c r="AF1495" s="146"/>
      <c r="AG1495" s="138">
        <f>AG1494/AG1491</f>
        <v>-2.0583850102120582</v>
      </c>
      <c r="AH1495" s="132"/>
      <c r="AI1495" s="146"/>
      <c r="AJ1495" s="138">
        <f>AJ1494/AJ1491</f>
        <v>2.421052143114852</v>
      </c>
      <c r="AK1495" s="132"/>
      <c r="AL1495" s="146"/>
      <c r="AM1495" s="138">
        <f>AM1494/AM1491</f>
        <v>1.5809384280053818</v>
      </c>
      <c r="AN1495" s="132"/>
      <c r="AO1495" s="146"/>
      <c r="AP1495" s="138">
        <f>AP1494/AP1491</f>
        <v>1.3795663411554888</v>
      </c>
      <c r="AQ1495" s="132"/>
      <c r="AR1495" s="146"/>
      <c r="AS1495" s="138">
        <f>AS1494/AS1491</f>
        <v>1.2651604964148844</v>
      </c>
      <c r="AT1495" s="132"/>
      <c r="AU1495" s="146"/>
    </row>
    <row r="1496" spans="13:47" x14ac:dyDescent="0.25">
      <c r="M1496" s="27"/>
      <c r="N1496" s="27"/>
      <c r="O1496" s="2" t="s">
        <v>26</v>
      </c>
      <c r="P1496" s="7">
        <v>12</v>
      </c>
      <c r="Q1496" s="2"/>
      <c r="R1496" s="181">
        <f>1-R1495/(3*F_GAMMA*R$29)</f>
        <v>0.73824826891076067</v>
      </c>
      <c r="S1496" s="133"/>
      <c r="T1496" s="146"/>
      <c r="U1496" s="138">
        <f>1-U1495/(3*F_GAMMA*U$29)</f>
        <v>0.74006616106670031</v>
      </c>
      <c r="V1496" s="133"/>
      <c r="W1496" s="146"/>
      <c r="X1496" s="138">
        <f>1-X1495/(3*F_GAMMA*X$29)</f>
        <v>0.74574838035631352</v>
      </c>
      <c r="Y1496" s="133"/>
      <c r="Z1496" s="146"/>
      <c r="AA1496" s="138">
        <f>1-AA1495/(3*F_GAMMA*AA$29)</f>
        <v>0.78049854829676357</v>
      </c>
      <c r="AB1496" s="133"/>
      <c r="AC1496" s="146"/>
      <c r="AD1496" s="138">
        <f>1-AD1495/(3*F_GAMMA*AD$29)</f>
        <v>0.92625978038208412</v>
      </c>
      <c r="AE1496" s="133"/>
      <c r="AF1496" s="146"/>
      <c r="AG1496" s="138">
        <f>1-AG1495/(3*F_GAMMA*AG$29)</f>
        <v>2.1976550443287333</v>
      </c>
      <c r="AH1496" s="133"/>
      <c r="AI1496" s="146"/>
      <c r="AJ1496" s="138">
        <f>1-AJ1495/(3*F_GAMMA*AJ$29)</f>
        <v>-0.50588737837856512</v>
      </c>
      <c r="AK1496" s="133"/>
      <c r="AL1496" s="146"/>
      <c r="AM1496" s="138">
        <f>1-AM1495/(3*F_GAMMA*AM$29)</f>
        <v>-7.4397956492389783E-2</v>
      </c>
      <c r="AN1496" s="133"/>
      <c r="AO1496" s="146"/>
      <c r="AP1496" s="138">
        <f>1-AP1495/(3*F_GAMMA*AP$29)</f>
        <v>0.22521926502510592</v>
      </c>
      <c r="AQ1496" s="133"/>
      <c r="AR1496" s="146"/>
      <c r="AS1496" s="138">
        <f>1-AS1495/(3*F_GAMMA*AS$29)</f>
        <v>-7.8644857480467234E-2</v>
      </c>
      <c r="AT1496" s="133"/>
      <c r="AU1496" s="146"/>
    </row>
    <row r="1497" spans="13:47" x14ac:dyDescent="0.25">
      <c r="M1497" s="27"/>
      <c r="N1497" s="27"/>
      <c r="O1497" s="2" t="s">
        <v>71</v>
      </c>
      <c r="P1497" s="85">
        <v>5</v>
      </c>
      <c r="Q1497" s="2"/>
      <c r="R1497" s="179">
        <f>R1489/((N_6*R$27*R1496)*SQRT(R1495*R1491*R1493))</f>
        <v>0.3882557364497759</v>
      </c>
      <c r="S1497" s="133"/>
      <c r="T1497" s="146"/>
      <c r="U1497" s="143">
        <f>U1489/((N_6*U$27*U1496)*SQRT(U1495*U1491*U1493))</f>
        <v>5.7011705343922028</v>
      </c>
      <c r="V1497" s="133"/>
      <c r="W1497" s="146"/>
      <c r="X1497" s="143">
        <f>X1489/((N_6*X$27*X1496)*SQRT(X1495*X1491*X1493))</f>
        <v>14.802185646878243</v>
      </c>
      <c r="Y1497" s="133"/>
      <c r="Z1497" s="146"/>
      <c r="AA1497" s="143">
        <f>AA1489/((N_6*AA$27*AA1496)*SQRT(AA1495*AA1491*AA1493))</f>
        <v>34.150948546068527</v>
      </c>
      <c r="AB1497" s="133"/>
      <c r="AC1497" s="146"/>
      <c r="AD1497" s="143">
        <f>AD1489/((N_6*AD$27*AD1496)*SQRT(AD1495*AD1491*AD1493))</f>
        <v>122.87455014184584</v>
      </c>
      <c r="AE1497" s="133"/>
      <c r="AF1497" s="146"/>
      <c r="AG1497" s="143" t="e">
        <f>AG1489/((N_6*AG$27*AG1496)*SQRT(AG1495*AG1491*AG1493))</f>
        <v>#NUM!</v>
      </c>
      <c r="AH1497" s="133"/>
      <c r="AI1497" s="146"/>
      <c r="AJ1497" s="143">
        <f>AJ1489/((N_6*AJ$27*AJ1496)*SQRT(AJ1495*AJ1491*AJ1493))</f>
        <v>-163.41016206091101</v>
      </c>
      <c r="AK1497" s="133"/>
      <c r="AL1497" s="146"/>
      <c r="AM1497" s="143">
        <f>AM1489/((N_6*AM$27*AM1496)*SQRT(AM1495*AM1491*AM1493))</f>
        <v>-699.62095203857052</v>
      </c>
      <c r="AN1497" s="133"/>
      <c r="AO1497" s="146"/>
      <c r="AP1497" s="143">
        <f>AP1489/((N_6*AP$27*AP1496)*SQRT(AP1495*AP1491*AP1493))</f>
        <v>204.85722377019064</v>
      </c>
      <c r="AQ1497" s="133"/>
      <c r="AR1497" s="146"/>
      <c r="AS1497" s="143">
        <f>AS1489/((N_6*AS$27*AS1496)*SQRT(AS1495*AS1491*AS1493))</f>
        <v>-627.37705836805344</v>
      </c>
      <c r="AT1497" s="133"/>
      <c r="AU1497" s="146"/>
    </row>
    <row r="1498" spans="13:47" x14ac:dyDescent="0.25">
      <c r="M1498" s="27"/>
      <c r="N1498" s="27"/>
      <c r="O1498" s="2" t="s">
        <v>73</v>
      </c>
      <c r="P1498" s="85">
        <v>5</v>
      </c>
      <c r="Q1498" s="2"/>
      <c r="R1498" s="179">
        <f>R1489/((N_6*R$27*0.667)*SQRT(R1499*R1491*R1493))</f>
        <v>0.38080258962604824</v>
      </c>
      <c r="S1498" s="133"/>
      <c r="T1498" s="155"/>
      <c r="U1498" s="143">
        <f>U1489/((N_6*U$27*0.667)*SQRT(U1499*U1491*U1493))</f>
        <v>5.5859980874530981</v>
      </c>
      <c r="V1498" s="133"/>
      <c r="W1498" s="155"/>
      <c r="X1498" s="143">
        <f>X1489/((N_6*X$27*0.667)*SQRT(X1499*X1491*X1493))</f>
        <v>14.453892591728323</v>
      </c>
      <c r="Y1498" s="133"/>
      <c r="Z1498" s="155"/>
      <c r="AA1498" s="143">
        <f>AA1489/((N_6*AA$27*0.667)*SQRT(AA1499*AA1491*AA1493))</f>
        <v>32.428612129090666</v>
      </c>
      <c r="AB1498" s="133"/>
      <c r="AC1498" s="155"/>
      <c r="AD1498" s="143">
        <f>AD1489/((N_6*AD$27*0.667)*SQRT(AD1499*AD1491*AD1493))</f>
        <v>80.256784259269693</v>
      </c>
      <c r="AE1498" s="133"/>
      <c r="AF1498" s="155"/>
      <c r="AG1498" s="143">
        <f>AG1489/((N_6*AG$27*0.667)*SQRT(AG1499*AG1491*AG1493))</f>
        <v>417.5244710772771</v>
      </c>
      <c r="AH1498" s="133"/>
      <c r="AI1498" s="155"/>
      <c r="AJ1498" s="143">
        <f>AJ1489/((N_6*AJ$27*0.667)*SQRT(AJ1499*AJ1491*AJ1493))</f>
        <v>263.42921936325047</v>
      </c>
      <c r="AK1498" s="133"/>
      <c r="AL1498" s="155"/>
      <c r="AM1498" s="143">
        <f>AM1489/((N_6*AM$27*0.667)*SQRT(AM1499*AM1491*AM1493))</f>
        <v>140.10098678989763</v>
      </c>
      <c r="AN1498" s="133"/>
      <c r="AO1498" s="155"/>
      <c r="AP1498" s="143">
        <f>AP1489/((N_6*AP$27*0.667)*SQRT(AP1499*AP1491*AP1493))</f>
        <v>105.45836160268642</v>
      </c>
      <c r="AQ1498" s="133"/>
      <c r="AR1498" s="155"/>
      <c r="AS1498" s="143">
        <f>AS1489/((N_6*AS$27*0.667)*SQRT(AS1499*AS1491*AS1493))</f>
        <v>133.06780570610135</v>
      </c>
      <c r="AT1498" s="133"/>
      <c r="AU1498" s="155"/>
    </row>
    <row r="1499" spans="13:47" ht="15.5" x14ac:dyDescent="0.4">
      <c r="M1499" s="27"/>
      <c r="N1499" s="27"/>
      <c r="O1499" s="2" t="s">
        <v>192</v>
      </c>
      <c r="P1499" s="85">
        <v>10</v>
      </c>
      <c r="Q1499" s="2"/>
      <c r="R1499" s="181">
        <f>F_GAMMA*R$29</f>
        <v>0.64002688015162901</v>
      </c>
      <c r="S1499" s="133"/>
      <c r="T1499" s="155"/>
      <c r="U1499" s="138">
        <f>F_GAMMA*U$29</f>
        <v>0.64016782916606918</v>
      </c>
      <c r="V1499" s="133"/>
      <c r="W1499" s="155"/>
      <c r="X1499" s="138">
        <f>F_GAMMA*X$29</f>
        <v>0.6307062319203669</v>
      </c>
      <c r="Y1499" s="133"/>
      <c r="Z1499" s="155"/>
      <c r="AA1499" s="138">
        <f>F_GAMMA*AA$29</f>
        <v>0.62217534213893466</v>
      </c>
      <c r="AB1499" s="133"/>
      <c r="AC1499" s="155"/>
      <c r="AD1499" s="138">
        <f>F_GAMMA*AD$29</f>
        <v>0.60557184969146072</v>
      </c>
      <c r="AE1499" s="133"/>
      <c r="AF1499" s="155"/>
      <c r="AG1499" s="138">
        <f>F_GAMMA*AG$29</f>
        <v>0.57289312142622573</v>
      </c>
      <c r="AH1499" s="133"/>
      <c r="AI1499" s="155"/>
      <c r="AJ1499" s="138">
        <f>F_GAMMA*AJ$29</f>
        <v>0.53590819116049981</v>
      </c>
      <c r="AK1499" s="133"/>
      <c r="AL1499" s="155"/>
      <c r="AM1499" s="138">
        <f>F_GAMMA*AM$29</f>
        <v>0.49048815926850342</v>
      </c>
      <c r="AN1499" s="133"/>
      <c r="AO1499" s="155"/>
      <c r="AP1499" s="138">
        <f>F_GAMMA*AP$29</f>
        <v>0.59352979016280105</v>
      </c>
      <c r="AQ1499" s="133"/>
      <c r="AR1499" s="155"/>
      <c r="AS1499" s="138">
        <f>F_GAMMA*AS$29</f>
        <v>0.39097221161068291</v>
      </c>
      <c r="AT1499" s="133"/>
      <c r="AU1499" s="155"/>
    </row>
    <row r="1500" spans="13:47" x14ac:dyDescent="0.25">
      <c r="M1500" s="27"/>
      <c r="N1500" s="27"/>
      <c r="O1500" s="2" t="s">
        <v>193</v>
      </c>
      <c r="P1500" s="134"/>
      <c r="Q1500" s="2"/>
      <c r="R1500" s="181">
        <f>IF(R1495&lt;R1499,R1497,R1498)</f>
        <v>0.3882557364497759</v>
      </c>
      <c r="S1500" s="133"/>
      <c r="T1500" s="155"/>
      <c r="U1500" s="138">
        <f>IF(U1495&lt;U1499,U1497,U1498)</f>
        <v>5.7011705343922028</v>
      </c>
      <c r="V1500" s="133"/>
      <c r="W1500" s="155"/>
      <c r="X1500" s="138">
        <f>IF(X1495&lt;X1499,X1497,X1498)</f>
        <v>14.802185646878243</v>
      </c>
      <c r="Y1500" s="133"/>
      <c r="Z1500" s="155"/>
      <c r="AA1500" s="138">
        <f>IF(AA1495&lt;AA1499,AA1497,AA1498)</f>
        <v>34.150948546068527</v>
      </c>
      <c r="AB1500" s="133"/>
      <c r="AC1500" s="155"/>
      <c r="AD1500" s="138">
        <f>IF(AD1495&lt;AD1499,AD1497,AD1498)</f>
        <v>122.87455014184584</v>
      </c>
      <c r="AE1500" s="133"/>
      <c r="AF1500" s="155"/>
      <c r="AG1500" s="138" t="e">
        <f>IF(AG1495&lt;AG1499,AG1497,AG1498)</f>
        <v>#NUM!</v>
      </c>
      <c r="AH1500" s="133"/>
      <c r="AI1500" s="155"/>
      <c r="AJ1500" s="138">
        <f>IF(AJ1495&lt;AJ1499,AJ1497,AJ1498)</f>
        <v>263.42921936325047</v>
      </c>
      <c r="AK1500" s="133"/>
      <c r="AL1500" s="155"/>
      <c r="AM1500" s="138">
        <f>IF(AM1495&lt;AM1499,AM1497,AM1498)</f>
        <v>140.10098678989763</v>
      </c>
      <c r="AN1500" s="133"/>
      <c r="AO1500" s="155"/>
      <c r="AP1500" s="138">
        <f>IF(AP1495&lt;AP1499,AP1497,AP1498)</f>
        <v>105.45836160268642</v>
      </c>
      <c r="AQ1500" s="133"/>
      <c r="AR1500" s="155"/>
      <c r="AS1500" s="138">
        <f>IF(AS1495&lt;AS1499,AS1497,AS1498)</f>
        <v>133.06780570610135</v>
      </c>
      <c r="AT1500" s="133"/>
      <c r="AU1500" s="155"/>
    </row>
    <row r="1501" spans="13:47" ht="13" x14ac:dyDescent="0.3">
      <c r="M1501" s="28"/>
      <c r="N1501" s="28"/>
      <c r="O1501" s="9" t="s">
        <v>194</v>
      </c>
      <c r="P1501" s="1"/>
      <c r="Q1501" s="1"/>
      <c r="R1501" s="135"/>
      <c r="S1501" s="132">
        <f>IF(R1494&lt;=0,W_max,ABS(R$23-R1500))</f>
        <v>1.6117442635502242</v>
      </c>
      <c r="T1501" s="151">
        <f>R1489</f>
        <v>89.789044484167562</v>
      </c>
      <c r="U1501" s="135"/>
      <c r="V1501" s="132">
        <f>IF(U1494&lt;=0,W_max,ABS(U$23-U1500))</f>
        <v>0.70117053439220278</v>
      </c>
      <c r="W1501" s="151">
        <f>U1489</f>
        <v>1307.5565469057021</v>
      </c>
      <c r="X1501" s="135"/>
      <c r="Y1501" s="132">
        <f>IF(X1494&lt;=0,W_max,ABS(X$23-X1500))</f>
        <v>4.8021856468782431</v>
      </c>
      <c r="Z1501" s="151">
        <f>X1489</f>
        <v>3233.7429415508805</v>
      </c>
      <c r="AA1501" s="135"/>
      <c r="AB1501" s="132">
        <f>IF(AA1494&lt;=0,W_max,ABS(AA$23-AA1500))</f>
        <v>16.950948546068528</v>
      </c>
      <c r="AC1501" s="151">
        <f>AA1489</f>
        <v>6298.505852087349</v>
      </c>
      <c r="AD1501" s="135"/>
      <c r="AE1501" s="132">
        <f>IF(AD1494&lt;=0,W_max,ABS(AD$23-AD1500))</f>
        <v>96.27455014184585</v>
      </c>
      <c r="AF1501" s="151">
        <f>AD1489</f>
        <v>10358.72315441277</v>
      </c>
      <c r="AG1501" s="135"/>
      <c r="AH1501" s="132">
        <f>IF(AG1494&lt;=0,W_max,ABS(AG$23-AG1500))</f>
        <v>7174</v>
      </c>
      <c r="AI1501" s="151">
        <f>AG1489</f>
        <v>14528.906702481228</v>
      </c>
      <c r="AJ1501" s="135"/>
      <c r="AK1501" s="132">
        <f>IF(AJ1494&lt;=0,W_max,ABS(AJ$23-AJ1500))</f>
        <v>7174</v>
      </c>
      <c r="AL1501" s="151">
        <f>AJ1489</f>
        <v>18447.856245427978</v>
      </c>
      <c r="AM1501" s="135"/>
      <c r="AN1501" s="132">
        <f>IF(AM1494&lt;=0,W_max,ABS(AM$23-AM1500))</f>
        <v>7174</v>
      </c>
      <c r="AO1501" s="151">
        <f>AM1489</f>
        <v>21631.56227801113</v>
      </c>
      <c r="AP1501" s="135"/>
      <c r="AQ1501" s="132">
        <f>IF(AP1494&lt;=0,W_max,ABS(AP$23-AP1500))</f>
        <v>7174</v>
      </c>
      <c r="AR1501" s="151">
        <f>AP1489</f>
        <v>24133.649322496516</v>
      </c>
      <c r="AS1501" s="135"/>
      <c r="AT1501" s="132">
        <f>IF(AS1494&lt;=0,W_max,ABS(AS$23-AS1500))</f>
        <v>7174</v>
      </c>
      <c r="AU1501" s="151">
        <f>AS1489</f>
        <v>26925.148638630228</v>
      </c>
    </row>
    <row r="1502" spans="13:47" ht="13" x14ac:dyDescent="0.25">
      <c r="M1502" s="12"/>
      <c r="N1502" s="12"/>
      <c r="O1502" s="2"/>
      <c r="P1502" s="85"/>
      <c r="Q1502" s="2"/>
      <c r="R1502" s="18"/>
      <c r="S1502" s="150"/>
      <c r="T1502" s="148"/>
      <c r="U1502" s="157"/>
      <c r="V1502" s="1"/>
      <c r="W1502" s="147"/>
      <c r="X1502" s="157"/>
      <c r="Y1502" s="1"/>
      <c r="Z1502" s="147"/>
      <c r="AA1502" s="157"/>
      <c r="AB1502" s="1"/>
      <c r="AC1502" s="147"/>
      <c r="AD1502" s="157"/>
      <c r="AE1502" s="1"/>
      <c r="AF1502" s="147"/>
      <c r="AG1502" s="157"/>
      <c r="AH1502" s="1"/>
      <c r="AI1502" s="147"/>
      <c r="AJ1502" s="157"/>
      <c r="AK1502" s="1"/>
      <c r="AL1502" s="147"/>
      <c r="AM1502" s="157"/>
      <c r="AN1502" s="1"/>
      <c r="AO1502" s="147"/>
      <c r="AP1502" s="157"/>
      <c r="AQ1502" s="1"/>
      <c r="AR1502" s="147"/>
      <c r="AS1502" s="157"/>
      <c r="AT1502" s="1"/>
      <c r="AU1502" s="147"/>
    </row>
    <row r="1503" spans="13:47" ht="14" x14ac:dyDescent="0.3">
      <c r="M1503" s="23"/>
      <c r="N1503" s="23"/>
      <c r="O1503" s="23" t="s">
        <v>238</v>
      </c>
      <c r="P1503" s="20"/>
      <c r="Q1503" s="20"/>
      <c r="R1503" s="181">
        <f>R1489*1.02</f>
        <v>91.584825373850919</v>
      </c>
      <c r="S1503" s="128" t="s">
        <v>185</v>
      </c>
      <c r="T1503" s="149" t="s">
        <v>186</v>
      </c>
      <c r="U1503" s="143">
        <f>U1489*1.01</f>
        <v>1320.6321123747591</v>
      </c>
      <c r="V1503" s="128" t="s">
        <v>185</v>
      </c>
      <c r="W1503" s="153" t="s">
        <v>186</v>
      </c>
      <c r="X1503" s="143">
        <f>X1489*1.01</f>
        <v>3266.0803709663892</v>
      </c>
      <c r="Y1503" s="128" t="s">
        <v>185</v>
      </c>
      <c r="Z1503" s="153" t="s">
        <v>186</v>
      </c>
      <c r="AA1503" s="143">
        <f>AA1489*1.01</f>
        <v>6361.4909106082223</v>
      </c>
      <c r="AB1503" s="128" t="s">
        <v>185</v>
      </c>
      <c r="AC1503" s="153" t="s">
        <v>186</v>
      </c>
      <c r="AD1503" s="143">
        <f>AD1489*1.01</f>
        <v>10462.310385956898</v>
      </c>
      <c r="AE1503" s="128" t="s">
        <v>185</v>
      </c>
      <c r="AF1503" s="153" t="s">
        <v>186</v>
      </c>
      <c r="AG1503" s="143">
        <f>AG1489*1.01</f>
        <v>14674.195769506041</v>
      </c>
      <c r="AH1503" s="128" t="s">
        <v>185</v>
      </c>
      <c r="AI1503" s="153" t="s">
        <v>186</v>
      </c>
      <c r="AJ1503" s="143">
        <f>AJ1489*1.01</f>
        <v>18632.334807882256</v>
      </c>
      <c r="AK1503" s="128" t="s">
        <v>185</v>
      </c>
      <c r="AL1503" s="153" t="s">
        <v>186</v>
      </c>
      <c r="AM1503" s="143">
        <f>AM1489*1.01</f>
        <v>21847.877900791242</v>
      </c>
      <c r="AN1503" s="128" t="s">
        <v>185</v>
      </c>
      <c r="AO1503" s="153" t="s">
        <v>186</v>
      </c>
      <c r="AP1503" s="143">
        <f>AP1489*1.01</f>
        <v>24374.98581572148</v>
      </c>
      <c r="AQ1503" s="128" t="s">
        <v>185</v>
      </c>
      <c r="AR1503" s="153" t="s">
        <v>186</v>
      </c>
      <c r="AS1503" s="143">
        <f>AS1489*1.01</f>
        <v>27194.400125016531</v>
      </c>
      <c r="AT1503" s="128" t="s">
        <v>185</v>
      </c>
      <c r="AU1503" s="153" t="s">
        <v>186</v>
      </c>
    </row>
    <row r="1504" spans="13:47" ht="14" x14ac:dyDescent="0.3">
      <c r="M1504" s="12"/>
      <c r="N1504" s="12"/>
      <c r="O1504" s="20"/>
      <c r="P1504" s="20"/>
      <c r="Q1504" s="23"/>
      <c r="R1504" s="139"/>
      <c r="S1504" s="130" t="s">
        <v>228</v>
      </c>
      <c r="T1504" s="131" t="s">
        <v>187</v>
      </c>
      <c r="U1504" s="144"/>
      <c r="V1504" s="130" t="s">
        <v>228</v>
      </c>
      <c r="W1504" s="154" t="s">
        <v>187</v>
      </c>
      <c r="X1504" s="144"/>
      <c r="Y1504" s="130" t="s">
        <v>228</v>
      </c>
      <c r="Z1504" s="154" t="s">
        <v>187</v>
      </c>
      <c r="AA1504" s="144"/>
      <c r="AB1504" s="130" t="s">
        <v>228</v>
      </c>
      <c r="AC1504" s="154" t="s">
        <v>187</v>
      </c>
      <c r="AD1504" s="144"/>
      <c r="AE1504" s="130" t="s">
        <v>228</v>
      </c>
      <c r="AF1504" s="154" t="s">
        <v>187</v>
      </c>
      <c r="AG1504" s="144"/>
      <c r="AH1504" s="130" t="s">
        <v>228</v>
      </c>
      <c r="AI1504" s="154" t="s">
        <v>187</v>
      </c>
      <c r="AJ1504" s="144"/>
      <c r="AK1504" s="130" t="s">
        <v>228</v>
      </c>
      <c r="AL1504" s="154" t="s">
        <v>187</v>
      </c>
      <c r="AM1504" s="144"/>
      <c r="AN1504" s="130" t="s">
        <v>228</v>
      </c>
      <c r="AO1504" s="154" t="s">
        <v>187</v>
      </c>
      <c r="AP1504" s="144"/>
      <c r="AQ1504" s="130" t="s">
        <v>228</v>
      </c>
      <c r="AR1504" s="154" t="s">
        <v>187</v>
      </c>
      <c r="AS1504" s="144"/>
      <c r="AT1504" s="130" t="s">
        <v>228</v>
      </c>
      <c r="AU1504" s="154" t="s">
        <v>187</v>
      </c>
    </row>
    <row r="1505" spans="13:47" x14ac:dyDescent="0.25">
      <c r="M1505" s="20"/>
      <c r="N1505" s="20"/>
      <c r="O1505" s="7" t="s">
        <v>188</v>
      </c>
      <c r="P1505" s="7"/>
      <c r="Q1505" s="7"/>
      <c r="R1505" s="181">
        <f>P_1_minW-(R1503^2*R_up)+dpup_minQ</f>
        <v>100.51944201007437</v>
      </c>
      <c r="S1505" s="132"/>
      <c r="T1505" s="145"/>
      <c r="U1505" s="138">
        <f>P_1_minW-(U1503^2*R_up)+dpup_minQ</f>
        <v>99.827318508989052</v>
      </c>
      <c r="V1505" s="132"/>
      <c r="W1505" s="145"/>
      <c r="X1505" s="138">
        <f>P_1_minW-(X1503^2*R_up)+dpup_minQ</f>
        <v>96.269082178608997</v>
      </c>
      <c r="Y1505" s="132"/>
      <c r="Z1505" s="145"/>
      <c r="AA1505" s="138">
        <f>P_1_minW-(AA1503^2*R_up)+dpup_minQ</f>
        <v>84.385466795589949</v>
      </c>
      <c r="AB1505" s="132"/>
      <c r="AC1505" s="145"/>
      <c r="AD1505" s="138">
        <f>P_1_minW-(AD1503^2*R_up)+dpup_minQ</f>
        <v>56.874340590140172</v>
      </c>
      <c r="AE1505" s="132"/>
      <c r="AF1505" s="145"/>
      <c r="AG1505" s="138">
        <f>P_1_minW-(AG1503^2*R_up)+dpup_minQ</f>
        <v>14.656594388575982</v>
      </c>
      <c r="AH1505" s="132"/>
      <c r="AI1505" s="145"/>
      <c r="AJ1505" s="138">
        <f>P_1_minW-(AJ1503^2*R_up)+dpup_minQ</f>
        <v>-37.912927758260352</v>
      </c>
      <c r="AK1505" s="132"/>
      <c r="AL1505" s="145"/>
      <c r="AM1505" s="138">
        <f>P_1_minW-(AM1503^2*R_up)+dpup_minQ</f>
        <v>-89.81810848394808</v>
      </c>
      <c r="AN1505" s="132"/>
      <c r="AO1505" s="145"/>
      <c r="AP1505" s="138">
        <f>P_1_minW-(AP1503^2*R_up)+dpup_minQ</f>
        <v>-136.3975443036357</v>
      </c>
      <c r="AQ1505" s="132"/>
      <c r="AR1505" s="145"/>
      <c r="AS1505" s="138">
        <f>P_1_minW-(AS1503^2*R_up)+dpup_minQ</f>
        <v>-194.37570680665092</v>
      </c>
      <c r="AT1505" s="132"/>
      <c r="AU1505" s="145"/>
    </row>
    <row r="1506" spans="13:47" x14ac:dyDescent="0.25">
      <c r="M1506" s="20"/>
      <c r="N1506" s="20"/>
      <c r="O1506" s="7" t="s">
        <v>189</v>
      </c>
      <c r="P1506" s="1"/>
      <c r="Q1506" s="7"/>
      <c r="R1506" s="181">
        <f>P_2_minW+(R1503^2*R_dn)-dpdn_minQ</f>
        <v>50</v>
      </c>
      <c r="S1506" s="132"/>
      <c r="T1506" s="146"/>
      <c r="U1506" s="138">
        <f>P_2_minW+(U1503^2*R_dn)-dpdn_minQ</f>
        <v>50</v>
      </c>
      <c r="V1506" s="132"/>
      <c r="W1506" s="146"/>
      <c r="X1506" s="138">
        <f>P_2_minW+(X1503^2*R_dn)-dpdn_minQ</f>
        <v>50</v>
      </c>
      <c r="Y1506" s="132"/>
      <c r="Z1506" s="146"/>
      <c r="AA1506" s="138">
        <f>P_2_minW+(AA1503^2*R_dn)-dpdn_minQ</f>
        <v>50</v>
      </c>
      <c r="AB1506" s="132"/>
      <c r="AC1506" s="146"/>
      <c r="AD1506" s="138">
        <f>P_2_minW+(AD1503^2*R_dn)-dpdn_minQ</f>
        <v>50</v>
      </c>
      <c r="AE1506" s="132"/>
      <c r="AF1506" s="146"/>
      <c r="AG1506" s="138">
        <f>P_2_minW+(AG1503^2*R_dn)-dpdn_minQ</f>
        <v>50</v>
      </c>
      <c r="AH1506" s="132"/>
      <c r="AI1506" s="146"/>
      <c r="AJ1506" s="138">
        <f>P_2_minW+(AJ1503^2*R_dn)-dpdn_minQ</f>
        <v>50</v>
      </c>
      <c r="AK1506" s="132"/>
      <c r="AL1506" s="146"/>
      <c r="AM1506" s="138">
        <f>P_2_minW+(AM1503^2*R_dn)-dpdn_minQ</f>
        <v>50</v>
      </c>
      <c r="AN1506" s="132"/>
      <c r="AO1506" s="146"/>
      <c r="AP1506" s="138">
        <f>P_2_minW+(AP1503^2*R_dn)-dpdn_minQ</f>
        <v>50</v>
      </c>
      <c r="AQ1506" s="132"/>
      <c r="AR1506" s="146"/>
      <c r="AS1506" s="138">
        <f>P_2_minW+(AS1503^2*R_dn)-dpdn_minQ</f>
        <v>50</v>
      </c>
      <c r="AT1506" s="132"/>
      <c r="AU1506" s="146"/>
    </row>
    <row r="1507" spans="13:47" x14ac:dyDescent="0.25">
      <c r="M1507" s="20"/>
      <c r="N1507" s="20"/>
      <c r="O1507" s="7" t="s">
        <v>234</v>
      </c>
      <c r="P1507" s="1"/>
      <c r="Q1507" s="7"/>
      <c r="R1507" s="179">
        <f>'Valve Sizing'!G$8*R1505/P_1_maxW</f>
        <v>0.48488789187301196</v>
      </c>
      <c r="S1507" s="132"/>
      <c r="T1507" s="146"/>
      <c r="U1507" s="143">
        <f>'Valve Sizing'!$G$8*U1505/P_1_maxW</f>
        <v>0.4815492113287706</v>
      </c>
      <c r="V1507" s="132"/>
      <c r="W1507" s="146"/>
      <c r="X1507" s="143">
        <f>'Valve Sizing'!$G$8*X1505/P_1_maxW</f>
        <v>0.46438491277594907</v>
      </c>
      <c r="Y1507" s="132"/>
      <c r="Z1507" s="146"/>
      <c r="AA1507" s="143">
        <f>'Valve Sizing'!$G$8*AA1505/P_1_maxW</f>
        <v>0.40706046791557771</v>
      </c>
      <c r="AB1507" s="132"/>
      <c r="AC1507" s="146"/>
      <c r="AD1507" s="143">
        <f>'Valve Sizing'!$G$8*AD1505/P_1_maxW</f>
        <v>0.27435169315461205</v>
      </c>
      <c r="AE1507" s="132"/>
      <c r="AF1507" s="146"/>
      <c r="AG1507" s="143">
        <f>'Valve Sizing'!$G$8*AG1505/P_1_maxW</f>
        <v>7.0700801884695672E-2</v>
      </c>
      <c r="AH1507" s="132"/>
      <c r="AI1507" s="146"/>
      <c r="AJ1507" s="143">
        <f>'Valve Sizing'!$G$8*AJ1505/P_1_maxW</f>
        <v>-0.18288521352510298</v>
      </c>
      <c r="AK1507" s="132"/>
      <c r="AL1507" s="146"/>
      <c r="AM1507" s="143">
        <f>'Valve Sizing'!$G$8*AM1505/P_1_maxW</f>
        <v>-0.4332665641979806</v>
      </c>
      <c r="AN1507" s="132"/>
      <c r="AO1507" s="146"/>
      <c r="AP1507" s="143">
        <f>'Valve Sizing'!$G$8*AP1505/P_1_maxW</f>
        <v>-0.65795746963475144</v>
      </c>
      <c r="AQ1507" s="132"/>
      <c r="AR1507" s="146"/>
      <c r="AS1507" s="143">
        <f>'Valve Sizing'!$G$8*AS1505/P_1_maxW</f>
        <v>-0.93763380317369405</v>
      </c>
      <c r="AT1507" s="132"/>
      <c r="AU1507" s="146"/>
    </row>
    <row r="1508" spans="13:47" x14ac:dyDescent="0.25">
      <c r="M1508" s="20"/>
      <c r="N1508" s="20"/>
      <c r="O1508" s="7" t="s">
        <v>190</v>
      </c>
      <c r="P1508" s="1"/>
      <c r="Q1508" s="7"/>
      <c r="R1508" s="181">
        <f>R1505-R1506</f>
        <v>50.519442010074371</v>
      </c>
      <c r="S1508" s="132"/>
      <c r="T1508" s="146"/>
      <c r="U1508" s="138">
        <f>U1505-U1506</f>
        <v>49.827318508989052</v>
      </c>
      <c r="V1508" s="132"/>
      <c r="W1508" s="146"/>
      <c r="X1508" s="138">
        <f>X1505-X1506</f>
        <v>46.269082178608997</v>
      </c>
      <c r="Y1508" s="132"/>
      <c r="Z1508" s="146"/>
      <c r="AA1508" s="138">
        <f>AA1505-AA1506</f>
        <v>34.385466795589949</v>
      </c>
      <c r="AB1508" s="132"/>
      <c r="AC1508" s="146"/>
      <c r="AD1508" s="138">
        <f>AD1505-AD1506</f>
        <v>6.8743405901401715</v>
      </c>
      <c r="AE1508" s="132"/>
      <c r="AF1508" s="146"/>
      <c r="AG1508" s="138">
        <f>AG1505-AG1506</f>
        <v>-35.343405611424018</v>
      </c>
      <c r="AH1508" s="132"/>
      <c r="AI1508" s="146"/>
      <c r="AJ1508" s="138">
        <f>AJ1505-AJ1506</f>
        <v>-87.912927758260352</v>
      </c>
      <c r="AK1508" s="132"/>
      <c r="AL1508" s="146"/>
      <c r="AM1508" s="138">
        <f>AM1505-AM1506</f>
        <v>-139.81810848394809</v>
      </c>
      <c r="AN1508" s="132"/>
      <c r="AO1508" s="146"/>
      <c r="AP1508" s="138">
        <f>AP1505-AP1506</f>
        <v>-186.3975443036357</v>
      </c>
      <c r="AQ1508" s="132"/>
      <c r="AR1508" s="146"/>
      <c r="AS1508" s="138">
        <f>AS1505-AS1506</f>
        <v>-244.37570680665092</v>
      </c>
      <c r="AT1508" s="132"/>
      <c r="AU1508" s="146"/>
    </row>
    <row r="1509" spans="13:47" ht="14.5" x14ac:dyDescent="0.35">
      <c r="M1509" s="27"/>
      <c r="N1509" s="27"/>
      <c r="O1509" s="2" t="s">
        <v>191</v>
      </c>
      <c r="P1509" s="10"/>
      <c r="Q1509" s="2"/>
      <c r="R1509" s="181">
        <f>R1508/R1505</f>
        <v>0.50258378876606935</v>
      </c>
      <c r="S1509" s="132"/>
      <c r="T1509" s="146"/>
      <c r="U1509" s="138">
        <f>U1508/U1505</f>
        <v>0.49913509902103903</v>
      </c>
      <c r="V1509" s="132"/>
      <c r="W1509" s="146"/>
      <c r="X1509" s="138">
        <f>X1508/X1505</f>
        <v>0.48062245044328461</v>
      </c>
      <c r="Y1509" s="132"/>
      <c r="Z1509" s="146"/>
      <c r="AA1509" s="138">
        <f>AA1508/AA1505</f>
        <v>0.40748090994013392</v>
      </c>
      <c r="AB1509" s="132"/>
      <c r="AC1509" s="146"/>
      <c r="AD1509" s="138">
        <f>AD1508/AD1505</f>
        <v>0.12086892821631973</v>
      </c>
      <c r="AE1509" s="132"/>
      <c r="AF1509" s="146"/>
      <c r="AG1509" s="138">
        <f>AG1508/AG1505</f>
        <v>-2.4114336983339242</v>
      </c>
      <c r="AH1509" s="132"/>
      <c r="AI1509" s="146"/>
      <c r="AJ1509" s="138">
        <f>AJ1508/AJ1505</f>
        <v>2.3188113647885227</v>
      </c>
      <c r="AK1509" s="132"/>
      <c r="AL1509" s="146"/>
      <c r="AM1509" s="138">
        <f>AM1508/AM1505</f>
        <v>1.5566806164587157</v>
      </c>
      <c r="AN1509" s="132"/>
      <c r="AO1509" s="146"/>
      <c r="AP1509" s="138">
        <f>AP1508/AP1505</f>
        <v>1.3665755146492564</v>
      </c>
      <c r="AQ1509" s="132"/>
      <c r="AR1509" s="146"/>
      <c r="AS1509" s="138">
        <f>AS1508/AS1505</f>
        <v>1.257233791307758</v>
      </c>
      <c r="AT1509" s="132"/>
      <c r="AU1509" s="146"/>
    </row>
    <row r="1510" spans="13:47" x14ac:dyDescent="0.25">
      <c r="M1510" s="27"/>
      <c r="N1510" s="27"/>
      <c r="O1510" s="2" t="s">
        <v>26</v>
      </c>
      <c r="P1510" s="7">
        <v>12</v>
      </c>
      <c r="Q1510" s="2"/>
      <c r="R1510" s="181">
        <f>1-R1509/(3*F_GAMMA*R$29)</f>
        <v>0.73824860363833356</v>
      </c>
      <c r="S1510" s="133"/>
      <c r="T1510" s="146"/>
      <c r="U1510" s="138">
        <f>1-U1509/(3*F_GAMMA*U$29)</f>
        <v>0.74010195645556998</v>
      </c>
      <c r="V1510" s="133"/>
      <c r="W1510" s="146"/>
      <c r="X1510" s="138">
        <f>1-X1509/(3*F_GAMMA*X$29)</f>
        <v>0.74598715634488499</v>
      </c>
      <c r="Y1510" s="133"/>
      <c r="Z1510" s="146"/>
      <c r="AA1510" s="138">
        <f>1-AA1509/(3*F_GAMMA*AA$29)</f>
        <v>0.7816902072764661</v>
      </c>
      <c r="AB1510" s="133"/>
      <c r="AC1510" s="146"/>
      <c r="AD1510" s="138">
        <f>1-AD1509/(3*F_GAMMA*AD$29)</f>
        <v>0.93346843523307621</v>
      </c>
      <c r="AE1510" s="133"/>
      <c r="AF1510" s="146"/>
      <c r="AG1510" s="138">
        <f>1-AG1509/(3*F_GAMMA*AG$29)</f>
        <v>2.4030736322629864</v>
      </c>
      <c r="AH1510" s="133"/>
      <c r="AI1510" s="146"/>
      <c r="AJ1510" s="138">
        <f>1-AJ1509/(3*F_GAMMA*AJ$29)</f>
        <v>-0.4422939121762488</v>
      </c>
      <c r="AK1510" s="133"/>
      <c r="AL1510" s="146"/>
      <c r="AM1510" s="138">
        <f>1-AM1509/(3*F_GAMMA*AM$29)</f>
        <v>-5.7912467435363268E-2</v>
      </c>
      <c r="AN1510" s="133"/>
      <c r="AO1510" s="146"/>
      <c r="AP1510" s="138">
        <f>1-AP1509/(3*F_GAMMA*AP$29)</f>
        <v>0.23251506647239251</v>
      </c>
      <c r="AQ1510" s="133"/>
      <c r="AR1510" s="146"/>
      <c r="AS1510" s="138">
        <f>1-AS1509/(3*F_GAMMA*AS$29)</f>
        <v>-7.1886742818497718E-2</v>
      </c>
      <c r="AT1510" s="133"/>
      <c r="AU1510" s="146"/>
    </row>
    <row r="1511" spans="13:47" x14ac:dyDescent="0.25">
      <c r="M1511" s="27"/>
      <c r="N1511" s="27"/>
      <c r="O1511" s="2" t="s">
        <v>71</v>
      </c>
      <c r="P1511" s="85">
        <v>5</v>
      </c>
      <c r="Q1511" s="2"/>
      <c r="R1511" s="179">
        <f>R1503/((N_6*R$27*R1510)*SQRT(R1509*R1505*R1507))</f>
        <v>0.39602143652861871</v>
      </c>
      <c r="S1511" s="133"/>
      <c r="T1511" s="146"/>
      <c r="U1511" s="143">
        <f>U1503/((N_6*U$27*U1510)*SQRT(U1509*U1505*U1507))</f>
        <v>5.7590906947768907</v>
      </c>
      <c r="V1511" s="133"/>
      <c r="W1511" s="146"/>
      <c r="X1511" s="143">
        <f>X1503/((N_6*X$27*X1510)*SQRT(X1509*X1505*X1507))</f>
        <v>14.965463098582655</v>
      </c>
      <c r="Y1511" s="133"/>
      <c r="Z1511" s="146"/>
      <c r="AA1511" s="143">
        <f>AA1503/((N_6*AA$27*AA1510)*SQRT(AA1509*AA1505*AA1507))</f>
        <v>34.663868787279796</v>
      </c>
      <c r="AB1511" s="133"/>
      <c r="AC1511" s="146"/>
      <c r="AD1511" s="143">
        <f>AD1503/((N_6*AD$27*AD1510)*SQRT(AD1509*AD1505*AD1507))</f>
        <v>131.6051899819067</v>
      </c>
      <c r="AE1511" s="133"/>
      <c r="AF1511" s="146"/>
      <c r="AG1511" s="143" t="e">
        <f>AG1503/((N_6*AG$27*AG1510)*SQRT(AG1509*AG1505*AG1507))</f>
        <v>#NUM!</v>
      </c>
      <c r="AH1511" s="133"/>
      <c r="AI1511" s="146"/>
      <c r="AJ1511" s="143">
        <f>AJ1503/((N_6*AJ$27*AJ1510)*SQRT(AJ1509*AJ1505*AJ1507))</f>
        <v>-179.01331930623601</v>
      </c>
      <c r="AK1511" s="133"/>
      <c r="AL1511" s="146"/>
      <c r="AM1511" s="143">
        <f>AM1503/((N_6*AM$27*AM1510)*SQRT(AM1509*AM1505*AM1507))</f>
        <v>-876.61083079723528</v>
      </c>
      <c r="AN1511" s="133"/>
      <c r="AO1511" s="146"/>
      <c r="AP1511" s="143">
        <f>AP1503/((N_6*AP$27*AP1510)*SQRT(AP1509*AP1505*AP1507))</f>
        <v>194.47211207346231</v>
      </c>
      <c r="AQ1511" s="133"/>
      <c r="AR1511" s="146"/>
      <c r="AS1511" s="143">
        <f>AS1503/((N_6*AS$27*AS1510)*SQRT(AS1509*AS1505*AS1507))</f>
        <v>-674.61425691559714</v>
      </c>
      <c r="AT1511" s="133"/>
      <c r="AU1511" s="146"/>
    </row>
    <row r="1512" spans="13:47" x14ac:dyDescent="0.25">
      <c r="M1512" s="27"/>
      <c r="N1512" s="27"/>
      <c r="O1512" s="2" t="s">
        <v>73</v>
      </c>
      <c r="P1512" s="85">
        <v>5</v>
      </c>
      <c r="Q1512" s="2"/>
      <c r="R1512" s="179">
        <f>R1503/((N_6*R$27*0.667)*SQRT(R1513*R1505*R1507))</f>
        <v>0.38841914328904559</v>
      </c>
      <c r="S1512" s="133"/>
      <c r="T1512" s="147"/>
      <c r="U1512" s="143">
        <f>U1503/((N_6*U$27*0.667)*SQRT(U1513*U1505*U1507))</f>
        <v>5.6426325361081551</v>
      </c>
      <c r="V1512" s="133"/>
      <c r="W1512" s="155"/>
      <c r="X1512" s="143">
        <f>X1503/((N_6*X$27*0.667)*SQRT(X1513*X1505*X1507))</f>
        <v>14.61114135514774</v>
      </c>
      <c r="Y1512" s="133"/>
      <c r="Z1512" s="155"/>
      <c r="AA1512" s="143">
        <f>AA1503/((N_6*AA$27*0.667)*SQRT(AA1513*AA1505*AA1507))</f>
        <v>32.876312923780084</v>
      </c>
      <c r="AB1512" s="133"/>
      <c r="AC1512" s="155"/>
      <c r="AD1512" s="143">
        <f>AD1503/((N_6*AD$27*0.667)*SQRT(AD1513*AD1505*AD1507))</f>
        <v>82.285121716011162</v>
      </c>
      <c r="AE1512" s="133"/>
      <c r="AF1512" s="155"/>
      <c r="AG1512" s="143">
        <f>AG1503/((N_6*AG$27*0.667)*SQRT(AG1513*AG1505*AG1507))</f>
        <v>470.37917600748511</v>
      </c>
      <c r="AH1512" s="133"/>
      <c r="AI1512" s="155"/>
      <c r="AJ1512" s="143">
        <f>AJ1503/((N_6*AJ$27*0.667)*SQRT(AJ1513*AJ1505*AJ1507))</f>
        <v>246.92097647285294</v>
      </c>
      <c r="AK1512" s="133"/>
      <c r="AL1512" s="155"/>
      <c r="AM1512" s="143">
        <f>AM1503/((N_6*AM$27*0.667)*SQRT(AM1513*AM1505*AM1507))</f>
        <v>135.5934035902194</v>
      </c>
      <c r="AN1512" s="133"/>
      <c r="AO1512" s="155"/>
      <c r="AP1512" s="143">
        <f>AP1503/((N_6*AP$27*0.667)*SQRT(AP1513*AP1505*AP1507))</f>
        <v>102.86749239011978</v>
      </c>
      <c r="AQ1512" s="133"/>
      <c r="AR1512" s="155"/>
      <c r="AS1512" s="143">
        <f>AS1503/((N_6*AS$27*0.667)*SQRT(AS1513*AS1505*AS1507))</f>
        <v>130.38077689490916</v>
      </c>
      <c r="AT1512" s="133"/>
      <c r="AU1512" s="155"/>
    </row>
    <row r="1513" spans="13:47" ht="15.5" x14ac:dyDescent="0.4">
      <c r="M1513" s="27"/>
      <c r="N1513" s="27"/>
      <c r="O1513" s="2" t="s">
        <v>192</v>
      </c>
      <c r="P1513" s="85">
        <v>10</v>
      </c>
      <c r="Q1513" s="2"/>
      <c r="R1513" s="181">
        <f>F_GAMMA*R$29</f>
        <v>0.64002688015162901</v>
      </c>
      <c r="S1513" s="133"/>
      <c r="T1513" s="147"/>
      <c r="U1513" s="138">
        <f>F_GAMMA*U$29</f>
        <v>0.64016782916606918</v>
      </c>
      <c r="V1513" s="133"/>
      <c r="W1513" s="155"/>
      <c r="X1513" s="138">
        <f>F_GAMMA*X$29</f>
        <v>0.6307062319203669</v>
      </c>
      <c r="Y1513" s="133"/>
      <c r="Z1513" s="155"/>
      <c r="AA1513" s="138">
        <f>F_GAMMA*AA$29</f>
        <v>0.62217534213893466</v>
      </c>
      <c r="AB1513" s="133"/>
      <c r="AC1513" s="155"/>
      <c r="AD1513" s="138">
        <f>F_GAMMA*AD$29</f>
        <v>0.60557184969146072</v>
      </c>
      <c r="AE1513" s="133"/>
      <c r="AF1513" s="155"/>
      <c r="AG1513" s="138">
        <f>F_GAMMA*AG$29</f>
        <v>0.57289312142622573</v>
      </c>
      <c r="AH1513" s="133"/>
      <c r="AI1513" s="155"/>
      <c r="AJ1513" s="138">
        <f>F_GAMMA*AJ$29</f>
        <v>0.53590819116049981</v>
      </c>
      <c r="AK1513" s="133"/>
      <c r="AL1513" s="155"/>
      <c r="AM1513" s="138">
        <f>F_GAMMA*AM$29</f>
        <v>0.49048815926850342</v>
      </c>
      <c r="AN1513" s="133"/>
      <c r="AO1513" s="155"/>
      <c r="AP1513" s="138">
        <f>F_GAMMA*AP$29</f>
        <v>0.59352979016280105</v>
      </c>
      <c r="AQ1513" s="133"/>
      <c r="AR1513" s="155"/>
      <c r="AS1513" s="138">
        <f>F_GAMMA*AS$29</f>
        <v>0.39097221161068291</v>
      </c>
      <c r="AT1513" s="133"/>
      <c r="AU1513" s="155"/>
    </row>
    <row r="1514" spans="13:47" x14ac:dyDescent="0.25">
      <c r="M1514" s="27"/>
      <c r="N1514" s="27"/>
      <c r="O1514" s="2" t="s">
        <v>193</v>
      </c>
      <c r="P1514" s="134"/>
      <c r="Q1514" s="2"/>
      <c r="R1514" s="181">
        <f>IF(R1509&lt;R1513,R1511,R1512)</f>
        <v>0.39602143652861871</v>
      </c>
      <c r="S1514" s="133"/>
      <c r="T1514" s="147"/>
      <c r="U1514" s="138">
        <f>IF(U1509&lt;U1513,U1511,U1512)</f>
        <v>5.7590906947768907</v>
      </c>
      <c r="V1514" s="133"/>
      <c r="W1514" s="155"/>
      <c r="X1514" s="138">
        <f>IF(X1509&lt;X1513,X1511,X1512)</f>
        <v>14.965463098582655</v>
      </c>
      <c r="Y1514" s="133"/>
      <c r="Z1514" s="155"/>
      <c r="AA1514" s="138">
        <f>IF(AA1509&lt;AA1513,AA1511,AA1512)</f>
        <v>34.663868787279796</v>
      </c>
      <c r="AB1514" s="133"/>
      <c r="AC1514" s="155"/>
      <c r="AD1514" s="138">
        <f>IF(AD1509&lt;AD1513,AD1511,AD1512)</f>
        <v>131.6051899819067</v>
      </c>
      <c r="AE1514" s="133"/>
      <c r="AF1514" s="155"/>
      <c r="AG1514" s="138" t="e">
        <f>IF(AG1509&lt;AG1513,AG1511,AG1512)</f>
        <v>#NUM!</v>
      </c>
      <c r="AH1514" s="133"/>
      <c r="AI1514" s="155"/>
      <c r="AJ1514" s="138">
        <f>IF(AJ1509&lt;AJ1513,AJ1511,AJ1512)</f>
        <v>246.92097647285294</v>
      </c>
      <c r="AK1514" s="133"/>
      <c r="AL1514" s="155"/>
      <c r="AM1514" s="138">
        <f>IF(AM1509&lt;AM1513,AM1511,AM1512)</f>
        <v>135.5934035902194</v>
      </c>
      <c r="AN1514" s="133"/>
      <c r="AO1514" s="155"/>
      <c r="AP1514" s="138">
        <f>IF(AP1509&lt;AP1513,AP1511,AP1512)</f>
        <v>102.86749239011978</v>
      </c>
      <c r="AQ1514" s="133"/>
      <c r="AR1514" s="155"/>
      <c r="AS1514" s="138">
        <f>IF(AS1509&lt;AS1513,AS1511,AS1512)</f>
        <v>130.38077689490916</v>
      </c>
      <c r="AT1514" s="133"/>
      <c r="AU1514" s="155"/>
    </row>
    <row r="1515" spans="13:47" ht="13" x14ac:dyDescent="0.3">
      <c r="M1515" s="28"/>
      <c r="N1515" s="28"/>
      <c r="O1515" s="9" t="s">
        <v>194</v>
      </c>
      <c r="P1515" s="1"/>
      <c r="Q1515" s="1"/>
      <c r="R1515" s="135"/>
      <c r="S1515" s="132">
        <f>IF(R1508&lt;=0,W_max,ABS(R$23-R1514))</f>
        <v>1.6039785634713812</v>
      </c>
      <c r="T1515" s="151">
        <f>R1503</f>
        <v>91.584825373850919</v>
      </c>
      <c r="U1515" s="135"/>
      <c r="V1515" s="132">
        <f>IF(U1508&lt;=0,W_max,ABS(U$23-U1514))</f>
        <v>0.75909069477689073</v>
      </c>
      <c r="W1515" s="151">
        <f>U1503</f>
        <v>1320.6321123747591</v>
      </c>
      <c r="X1515" s="135"/>
      <c r="Y1515" s="132">
        <f>IF(X1508&lt;=0,W_max,ABS(X$23-X1514))</f>
        <v>4.9654630985826547</v>
      </c>
      <c r="Z1515" s="151">
        <f>X1503</f>
        <v>3266.0803709663892</v>
      </c>
      <c r="AA1515" s="135"/>
      <c r="AB1515" s="132">
        <f>IF(AA1508&lt;=0,W_max,ABS(AA$23-AA1514))</f>
        <v>17.463868787279797</v>
      </c>
      <c r="AC1515" s="151">
        <f>AA1503</f>
        <v>6361.4909106082223</v>
      </c>
      <c r="AD1515" s="135"/>
      <c r="AE1515" s="132">
        <f>IF(AD1508&lt;=0,W_max,ABS(AD$23-AD1514))</f>
        <v>105.00518998190671</v>
      </c>
      <c r="AF1515" s="151">
        <f>AD1503</f>
        <v>10462.310385956898</v>
      </c>
      <c r="AG1515" s="135"/>
      <c r="AH1515" s="132">
        <f>IF(AG1508&lt;=0,W_max,ABS(AG$23-AG1514))</f>
        <v>7174</v>
      </c>
      <c r="AI1515" s="151">
        <f>AG1503</f>
        <v>14674.195769506041</v>
      </c>
      <c r="AJ1515" s="135"/>
      <c r="AK1515" s="132">
        <f>IF(AJ1508&lt;=0,W_max,ABS(AJ$23-AJ1514))</f>
        <v>7174</v>
      </c>
      <c r="AL1515" s="151">
        <f>AJ1503</f>
        <v>18632.334807882256</v>
      </c>
      <c r="AM1515" s="135"/>
      <c r="AN1515" s="132">
        <f>IF(AM1508&lt;=0,W_max,ABS(AM$23-AM1514))</f>
        <v>7174</v>
      </c>
      <c r="AO1515" s="151">
        <f>AM1503</f>
        <v>21847.877900791242</v>
      </c>
      <c r="AP1515" s="135"/>
      <c r="AQ1515" s="132">
        <f>IF(AP1508&lt;=0,W_max,ABS(AP$23-AP1514))</f>
        <v>7174</v>
      </c>
      <c r="AR1515" s="151">
        <f>AP1503</f>
        <v>24374.98581572148</v>
      </c>
      <c r="AS1515" s="135"/>
      <c r="AT1515" s="132">
        <f>IF(AS1508&lt;=0,W_max,ABS(AS$23-AS1514))</f>
        <v>7174</v>
      </c>
      <c r="AU1515" s="151">
        <f>AS1503</f>
        <v>27194.400125016531</v>
      </c>
    </row>
    <row r="1516" spans="13:47" ht="13" x14ac:dyDescent="0.25">
      <c r="M1516" s="12"/>
      <c r="N1516" s="12"/>
      <c r="O1516" s="12"/>
      <c r="P1516" s="12"/>
      <c r="Q1516" s="12"/>
      <c r="R1516" s="182"/>
      <c r="S1516" s="22"/>
      <c r="T1516" s="152"/>
      <c r="U1516" s="157"/>
      <c r="V1516" s="1"/>
      <c r="W1516" s="147"/>
      <c r="X1516" s="157"/>
      <c r="Y1516" s="1"/>
      <c r="Z1516" s="147"/>
      <c r="AA1516" s="157"/>
      <c r="AB1516" s="1"/>
      <c r="AC1516" s="147"/>
      <c r="AD1516" s="157"/>
      <c r="AE1516" s="1"/>
      <c r="AF1516" s="147"/>
      <c r="AG1516" s="157"/>
      <c r="AH1516" s="1"/>
      <c r="AI1516" s="147"/>
      <c r="AJ1516" s="157"/>
      <c r="AK1516" s="1"/>
      <c r="AL1516" s="147"/>
      <c r="AM1516" s="157"/>
      <c r="AN1516" s="1"/>
      <c r="AO1516" s="147"/>
      <c r="AP1516" s="157"/>
      <c r="AQ1516" s="1"/>
      <c r="AR1516" s="147"/>
      <c r="AS1516" s="157"/>
      <c r="AT1516" s="1"/>
      <c r="AU1516" s="147"/>
    </row>
    <row r="1517" spans="13:47" ht="14" x14ac:dyDescent="0.3">
      <c r="M1517" s="23"/>
      <c r="N1517" s="23"/>
      <c r="O1517" s="23" t="s">
        <v>238</v>
      </c>
      <c r="P1517" s="20"/>
      <c r="Q1517" s="20"/>
      <c r="R1517" s="18">
        <f>R1503*1.02</f>
        <v>93.416521881327938</v>
      </c>
      <c r="S1517" s="128" t="s">
        <v>185</v>
      </c>
      <c r="T1517" s="153" t="s">
        <v>186</v>
      </c>
      <c r="U1517" s="143">
        <f>U1503*1.01</f>
        <v>1333.8384334985067</v>
      </c>
      <c r="V1517" s="128" t="s">
        <v>185</v>
      </c>
      <c r="W1517" s="153" t="s">
        <v>186</v>
      </c>
      <c r="X1517" s="143">
        <f>X1503*1.01</f>
        <v>3298.7411746760531</v>
      </c>
      <c r="Y1517" s="128" t="s">
        <v>185</v>
      </c>
      <c r="Z1517" s="153" t="s">
        <v>186</v>
      </c>
      <c r="AA1517" s="143">
        <f>AA1503*1.01</f>
        <v>6425.1058197143047</v>
      </c>
      <c r="AB1517" s="128" t="s">
        <v>185</v>
      </c>
      <c r="AC1517" s="153" t="s">
        <v>186</v>
      </c>
      <c r="AD1517" s="143">
        <f>AD1503*1.01</f>
        <v>10566.933489816467</v>
      </c>
      <c r="AE1517" s="128" t="s">
        <v>185</v>
      </c>
      <c r="AF1517" s="153" t="s">
        <v>186</v>
      </c>
      <c r="AG1517" s="143">
        <f>AG1503*1.01</f>
        <v>14820.937727201101</v>
      </c>
      <c r="AH1517" s="128" t="s">
        <v>185</v>
      </c>
      <c r="AI1517" s="153" t="s">
        <v>186</v>
      </c>
      <c r="AJ1517" s="143">
        <f>AJ1503*1.01</f>
        <v>18818.658155961079</v>
      </c>
      <c r="AK1517" s="128" t="s">
        <v>185</v>
      </c>
      <c r="AL1517" s="153" t="s">
        <v>186</v>
      </c>
      <c r="AM1517" s="143">
        <f>AM1503*1.01</f>
        <v>22066.356679799155</v>
      </c>
      <c r="AN1517" s="128" t="s">
        <v>185</v>
      </c>
      <c r="AO1517" s="153" t="s">
        <v>186</v>
      </c>
      <c r="AP1517" s="143">
        <f>AP1503*1.01</f>
        <v>24618.735673878695</v>
      </c>
      <c r="AQ1517" s="128" t="s">
        <v>185</v>
      </c>
      <c r="AR1517" s="153" t="s">
        <v>186</v>
      </c>
      <c r="AS1517" s="143">
        <f>AS1503*1.01</f>
        <v>27466.344126266697</v>
      </c>
      <c r="AT1517" s="128" t="s">
        <v>185</v>
      </c>
      <c r="AU1517" s="153" t="s">
        <v>186</v>
      </c>
    </row>
    <row r="1518" spans="13:47" ht="14" x14ac:dyDescent="0.3">
      <c r="M1518" s="12"/>
      <c r="N1518" s="12"/>
      <c r="O1518" s="20"/>
      <c r="P1518" s="20"/>
      <c r="Q1518" s="23"/>
      <c r="R1518" s="139"/>
      <c r="S1518" s="130" t="s">
        <v>228</v>
      </c>
      <c r="T1518" s="154" t="s">
        <v>187</v>
      </c>
      <c r="U1518" s="144"/>
      <c r="V1518" s="130" t="s">
        <v>228</v>
      </c>
      <c r="W1518" s="154" t="s">
        <v>187</v>
      </c>
      <c r="X1518" s="144"/>
      <c r="Y1518" s="130" t="s">
        <v>228</v>
      </c>
      <c r="Z1518" s="154" t="s">
        <v>187</v>
      </c>
      <c r="AA1518" s="144"/>
      <c r="AB1518" s="130" t="s">
        <v>228</v>
      </c>
      <c r="AC1518" s="154" t="s">
        <v>187</v>
      </c>
      <c r="AD1518" s="144"/>
      <c r="AE1518" s="130" t="s">
        <v>228</v>
      </c>
      <c r="AF1518" s="154" t="s">
        <v>187</v>
      </c>
      <c r="AG1518" s="144"/>
      <c r="AH1518" s="130" t="s">
        <v>228</v>
      </c>
      <c r="AI1518" s="154" t="s">
        <v>187</v>
      </c>
      <c r="AJ1518" s="144"/>
      <c r="AK1518" s="130" t="s">
        <v>228</v>
      </c>
      <c r="AL1518" s="154" t="s">
        <v>187</v>
      </c>
      <c r="AM1518" s="144"/>
      <c r="AN1518" s="130" t="s">
        <v>228</v>
      </c>
      <c r="AO1518" s="154" t="s">
        <v>187</v>
      </c>
      <c r="AP1518" s="144"/>
      <c r="AQ1518" s="130" t="s">
        <v>228</v>
      </c>
      <c r="AR1518" s="154" t="s">
        <v>187</v>
      </c>
      <c r="AS1518" s="144"/>
      <c r="AT1518" s="130" t="s">
        <v>228</v>
      </c>
      <c r="AU1518" s="154" t="s">
        <v>187</v>
      </c>
    </row>
    <row r="1519" spans="13:47" x14ac:dyDescent="0.25">
      <c r="M1519" s="20"/>
      <c r="N1519" s="20"/>
      <c r="O1519" s="7" t="s">
        <v>188</v>
      </c>
      <c r="P1519" s="7"/>
      <c r="Q1519" s="7"/>
      <c r="R1519" s="181">
        <f>P_1_minW-(R1517^2*R_up)+dpup_minQ</f>
        <v>100.51930688311762</v>
      </c>
      <c r="S1519" s="132"/>
      <c r="T1519" s="145"/>
      <c r="U1519" s="138">
        <f>P_1_minW-(U1517^2*R_up)+dpup_minQ</f>
        <v>99.813339597611531</v>
      </c>
      <c r="V1519" s="132"/>
      <c r="W1519" s="145"/>
      <c r="X1519" s="138">
        <f>P_1_minW-(X1517^2*R_up)+dpup_minQ</f>
        <v>96.183582716990827</v>
      </c>
      <c r="Y1519" s="132"/>
      <c r="Z1519" s="145"/>
      <c r="AA1519" s="138">
        <f>P_1_minW-(AA1517^2*R_up)+dpup_minQ</f>
        <v>84.061106664773092</v>
      </c>
      <c r="AB1519" s="132"/>
      <c r="AC1519" s="145"/>
      <c r="AD1519" s="138">
        <f>P_1_minW-(AD1517^2*R_up)+dpup_minQ</f>
        <v>55.997006822593782</v>
      </c>
      <c r="AE1519" s="132"/>
      <c r="AF1519" s="145"/>
      <c r="AG1519" s="138">
        <f>P_1_minW-(AG1517^2*R_up)+dpup_minQ</f>
        <v>12.930683922378165</v>
      </c>
      <c r="AH1519" s="132"/>
      <c r="AI1519" s="145"/>
      <c r="AJ1519" s="138">
        <f>P_1_minW-(AJ1517^2*R_up)+dpup_minQ</f>
        <v>-40.695485619609585</v>
      </c>
      <c r="AK1519" s="132"/>
      <c r="AL1519" s="145"/>
      <c r="AM1519" s="138">
        <f>P_1_minW-(AM1517^2*R_up)+dpup_minQ</f>
        <v>-93.643960477883681</v>
      </c>
      <c r="AN1519" s="132"/>
      <c r="AO1519" s="145"/>
      <c r="AP1519" s="138">
        <f>P_1_minW-(AP1517^2*R_up)+dpup_minQ</f>
        <v>-141.15964295754699</v>
      </c>
      <c r="AQ1519" s="132"/>
      <c r="AR1519" s="145"/>
      <c r="AS1519" s="138">
        <f>P_1_minW-(AS1517^2*R_up)+dpup_minQ</f>
        <v>-200.30316652687279</v>
      </c>
      <c r="AT1519" s="132"/>
      <c r="AU1519" s="145"/>
    </row>
    <row r="1520" spans="13:47" x14ac:dyDescent="0.25">
      <c r="M1520" s="20"/>
      <c r="N1520" s="20"/>
      <c r="O1520" s="7" t="s">
        <v>189</v>
      </c>
      <c r="P1520" s="1"/>
      <c r="Q1520" s="7"/>
      <c r="R1520" s="181">
        <f>P_2_minW+(R1517^2*R_dn)-dpdn_minQ</f>
        <v>50</v>
      </c>
      <c r="S1520" s="132"/>
      <c r="T1520" s="146"/>
      <c r="U1520" s="138">
        <f>P_2_minW+(U1517^2*R_dn)-dpdn_minQ</f>
        <v>50</v>
      </c>
      <c r="V1520" s="132"/>
      <c r="W1520" s="146"/>
      <c r="X1520" s="138">
        <f>P_2_minW+(X1517^2*R_dn)-dpdn_minQ</f>
        <v>50</v>
      </c>
      <c r="Y1520" s="132"/>
      <c r="Z1520" s="146"/>
      <c r="AA1520" s="138">
        <f>P_2_minW+(AA1517^2*R_dn)-dpdn_minQ</f>
        <v>50</v>
      </c>
      <c r="AB1520" s="132"/>
      <c r="AC1520" s="146"/>
      <c r="AD1520" s="138">
        <f>P_2_minW+(AD1517^2*R_dn)-dpdn_minQ</f>
        <v>50</v>
      </c>
      <c r="AE1520" s="132"/>
      <c r="AF1520" s="146"/>
      <c r="AG1520" s="138">
        <f>P_2_minW+(AG1517^2*R_dn)-dpdn_minQ</f>
        <v>50</v>
      </c>
      <c r="AH1520" s="132"/>
      <c r="AI1520" s="146"/>
      <c r="AJ1520" s="138">
        <f>P_2_minW+(AJ1517^2*R_dn)-dpdn_minQ</f>
        <v>50</v>
      </c>
      <c r="AK1520" s="132"/>
      <c r="AL1520" s="146"/>
      <c r="AM1520" s="138">
        <f>P_2_minW+(AM1517^2*R_dn)-dpdn_minQ</f>
        <v>50</v>
      </c>
      <c r="AN1520" s="132"/>
      <c r="AO1520" s="146"/>
      <c r="AP1520" s="138">
        <f>P_2_minW+(AP1517^2*R_dn)-dpdn_minQ</f>
        <v>50</v>
      </c>
      <c r="AQ1520" s="132"/>
      <c r="AR1520" s="146"/>
      <c r="AS1520" s="138">
        <f>P_2_minW+(AS1517^2*R_dn)-dpdn_minQ</f>
        <v>50</v>
      </c>
      <c r="AT1520" s="132"/>
      <c r="AU1520" s="146"/>
    </row>
    <row r="1521" spans="13:47" x14ac:dyDescent="0.25">
      <c r="M1521" s="20"/>
      <c r="N1521" s="20"/>
      <c r="O1521" s="7" t="s">
        <v>234</v>
      </c>
      <c r="P1521" s="1"/>
      <c r="Q1521" s="7"/>
      <c r="R1521" s="179">
        <f>'Valve Sizing'!G$8*R1519/P_1_maxW</f>
        <v>0.48488724004463046</v>
      </c>
      <c r="S1521" s="132"/>
      <c r="T1521" s="146"/>
      <c r="U1521" s="143">
        <f>'Valve Sizing'!$G$8*U1519/P_1_maxW</f>
        <v>0.48148177954907723</v>
      </c>
      <c r="V1521" s="132"/>
      <c r="W1521" s="146"/>
      <c r="X1521" s="143">
        <f>'Valve Sizing'!$G$8*X1519/P_1_maxW</f>
        <v>0.46397247859534396</v>
      </c>
      <c r="Y1521" s="132"/>
      <c r="Z1521" s="146"/>
      <c r="AA1521" s="143">
        <f>'Valve Sizing'!$G$8*AA1519/P_1_maxW</f>
        <v>0.40549581239327914</v>
      </c>
      <c r="AB1521" s="132"/>
      <c r="AC1521" s="146"/>
      <c r="AD1521" s="143">
        <f>'Valve Sizing'!$G$8*AD1519/P_1_maxW</f>
        <v>0.27011959125961804</v>
      </c>
      <c r="AE1521" s="132"/>
      <c r="AF1521" s="146"/>
      <c r="AG1521" s="143">
        <f>'Valve Sizing'!$G$8*AG1519/P_1_maxW</f>
        <v>6.237531707517642E-2</v>
      </c>
      <c r="AH1521" s="132"/>
      <c r="AI1521" s="146"/>
      <c r="AJ1521" s="143">
        <f>'Valve Sizing'!$G$8*AJ1519/P_1_maxW</f>
        <v>-0.19630777724435922</v>
      </c>
      <c r="AK1521" s="132"/>
      <c r="AL1521" s="146"/>
      <c r="AM1521" s="143">
        <f>'Valve Sizing'!$G$8*AM1519/P_1_maxW</f>
        <v>-0.45172179306576182</v>
      </c>
      <c r="AN1521" s="132"/>
      <c r="AO1521" s="146"/>
      <c r="AP1521" s="143">
        <f>'Valve Sizing'!$G$8*AP1519/P_1_maxW</f>
        <v>-0.68092898570181171</v>
      </c>
      <c r="AQ1521" s="132"/>
      <c r="AR1521" s="146"/>
      <c r="AS1521" s="143">
        <f>'Valve Sizing'!$G$8*AS1519/P_1_maxW</f>
        <v>-0.96622681354488671</v>
      </c>
      <c r="AT1521" s="132"/>
      <c r="AU1521" s="146"/>
    </row>
    <row r="1522" spans="13:47" x14ac:dyDescent="0.25">
      <c r="M1522" s="20"/>
      <c r="N1522" s="20"/>
      <c r="O1522" s="7" t="s">
        <v>190</v>
      </c>
      <c r="P1522" s="1"/>
      <c r="Q1522" s="7"/>
      <c r="R1522" s="181">
        <f>R1519-R1520</f>
        <v>50.519306883117622</v>
      </c>
      <c r="S1522" s="132"/>
      <c r="T1522" s="146"/>
      <c r="U1522" s="138">
        <f>U1519-U1520</f>
        <v>49.813339597611531</v>
      </c>
      <c r="V1522" s="132"/>
      <c r="W1522" s="146"/>
      <c r="X1522" s="138">
        <f>X1519-X1520</f>
        <v>46.183582716990827</v>
      </c>
      <c r="Y1522" s="132"/>
      <c r="Z1522" s="146"/>
      <c r="AA1522" s="138">
        <f>AA1519-AA1520</f>
        <v>34.061106664773092</v>
      </c>
      <c r="AB1522" s="132"/>
      <c r="AC1522" s="146"/>
      <c r="AD1522" s="138">
        <f>AD1519-AD1520</f>
        <v>5.9970068225937823</v>
      </c>
      <c r="AE1522" s="132"/>
      <c r="AF1522" s="146"/>
      <c r="AG1522" s="138">
        <f>AG1519-AG1520</f>
        <v>-37.069316077621835</v>
      </c>
      <c r="AH1522" s="132"/>
      <c r="AI1522" s="146"/>
      <c r="AJ1522" s="138">
        <f>AJ1519-AJ1520</f>
        <v>-90.695485619609585</v>
      </c>
      <c r="AK1522" s="132"/>
      <c r="AL1522" s="146"/>
      <c r="AM1522" s="138">
        <f>AM1519-AM1520</f>
        <v>-143.6439604778837</v>
      </c>
      <c r="AN1522" s="132"/>
      <c r="AO1522" s="146"/>
      <c r="AP1522" s="138">
        <f>AP1519-AP1520</f>
        <v>-191.15964295754699</v>
      </c>
      <c r="AQ1522" s="132"/>
      <c r="AR1522" s="146"/>
      <c r="AS1522" s="138">
        <f>AS1519-AS1520</f>
        <v>-250.30316652687279</v>
      </c>
      <c r="AT1522" s="132"/>
      <c r="AU1522" s="146"/>
    </row>
    <row r="1523" spans="13:47" ht="14.5" x14ac:dyDescent="0.35">
      <c r="M1523" s="27"/>
      <c r="N1523" s="27"/>
      <c r="O1523" s="2" t="s">
        <v>191</v>
      </c>
      <c r="P1523" s="10"/>
      <c r="Q1523" s="2"/>
      <c r="R1523" s="181">
        <f>R1522/R1519</f>
        <v>0.50258312009513484</v>
      </c>
      <c r="S1523" s="132"/>
      <c r="T1523" s="146"/>
      <c r="U1523" s="138">
        <f>U1522/U1519</f>
        <v>0.49906495262486472</v>
      </c>
      <c r="V1523" s="132"/>
      <c r="W1523" s="146"/>
      <c r="X1523" s="138">
        <f>X1522/X1519</f>
        <v>0.48016076561507098</v>
      </c>
      <c r="Y1523" s="132"/>
      <c r="Z1523" s="146"/>
      <c r="AA1523" s="138">
        <f>AA1522/AA1519</f>
        <v>0.40519460207210006</v>
      </c>
      <c r="AB1523" s="132"/>
      <c r="AC1523" s="146"/>
      <c r="AD1523" s="138">
        <f>AD1522/AD1519</f>
        <v>0.10709513173790029</v>
      </c>
      <c r="AE1523" s="132"/>
      <c r="AF1523" s="146"/>
      <c r="AG1523" s="138">
        <f>AG1522/AG1519</f>
        <v>-2.866771494852546</v>
      </c>
      <c r="AH1523" s="132"/>
      <c r="AI1523" s="146"/>
      <c r="AJ1523" s="138">
        <f>AJ1522/AJ1519</f>
        <v>2.2286375070532869</v>
      </c>
      <c r="AK1523" s="132"/>
      <c r="AL1523" s="146"/>
      <c r="AM1523" s="138">
        <f>AM1522/AM1519</f>
        <v>1.5339372634907804</v>
      </c>
      <c r="AN1523" s="132"/>
      <c r="AO1523" s="146"/>
      <c r="AP1523" s="138">
        <f>AP1522/AP1519</f>
        <v>1.3542088868490354</v>
      </c>
      <c r="AQ1523" s="132"/>
      <c r="AR1523" s="146"/>
      <c r="AS1523" s="138">
        <f>AS1522/AS1519</f>
        <v>1.2496216154091202</v>
      </c>
      <c r="AT1523" s="132"/>
      <c r="AU1523" s="146"/>
    </row>
    <row r="1524" spans="13:47" x14ac:dyDescent="0.25">
      <c r="M1524" s="27"/>
      <c r="N1524" s="27"/>
      <c r="O1524" s="2" t="s">
        <v>26</v>
      </c>
      <c r="P1524" s="7">
        <v>12</v>
      </c>
      <c r="Q1524" s="2"/>
      <c r="R1524" s="181">
        <f>1-R1523/(3*F_GAMMA*R$29)</f>
        <v>0.73824895188981876</v>
      </c>
      <c r="S1524" s="133"/>
      <c r="T1524" s="146"/>
      <c r="U1524" s="138">
        <f>1-U1523/(3*F_GAMMA*U$29)</f>
        <v>0.74013848145884686</v>
      </c>
      <c r="V1524" s="133"/>
      <c r="W1524" s="146"/>
      <c r="X1524" s="138">
        <f>1-X1523/(3*F_GAMMA*X$29)</f>
        <v>0.74623116050236615</v>
      </c>
      <c r="Y1524" s="133"/>
      <c r="Z1524" s="146"/>
      <c r="AA1524" s="138">
        <f>1-AA1523/(3*F_GAMMA*AA$29)</f>
        <v>0.78291510735054803</v>
      </c>
      <c r="AB1524" s="133"/>
      <c r="AC1524" s="146"/>
      <c r="AD1524" s="138">
        <f>1-AD1523/(3*F_GAMMA*AD$29)</f>
        <v>0.94105013754494182</v>
      </c>
      <c r="AE1524" s="133"/>
      <c r="AF1524" s="146"/>
      <c r="AG1524" s="138">
        <f>1-AG1523/(3*F_GAMMA*AG$29)</f>
        <v>2.6680083292067209</v>
      </c>
      <c r="AH1524" s="133"/>
      <c r="AI1524" s="146"/>
      <c r="AJ1524" s="138">
        <f>1-AJ1523/(3*F_GAMMA*AJ$29)</f>
        <v>-0.38620603542011644</v>
      </c>
      <c r="AK1524" s="133"/>
      <c r="AL1524" s="146"/>
      <c r="AM1524" s="138">
        <f>1-AM1523/(3*F_GAMMA*AM$29)</f>
        <v>-4.2456196957224357E-2</v>
      </c>
      <c r="AN1524" s="133"/>
      <c r="AO1524" s="146"/>
      <c r="AP1524" s="138">
        <f>1-AP1523/(3*F_GAMMA*AP$29)</f>
        <v>0.23946031056133654</v>
      </c>
      <c r="AQ1524" s="133"/>
      <c r="AR1524" s="146"/>
      <c r="AS1524" s="138">
        <f>1-AS1523/(3*F_GAMMA*AS$29)</f>
        <v>-6.5396788057366928E-2</v>
      </c>
      <c r="AT1524" s="133"/>
      <c r="AU1524" s="146"/>
    </row>
    <row r="1525" spans="13:47" x14ac:dyDescent="0.25">
      <c r="M1525" s="27"/>
      <c r="N1525" s="27"/>
      <c r="O1525" s="2" t="s">
        <v>71</v>
      </c>
      <c r="P1525" s="85">
        <v>5</v>
      </c>
      <c r="Q1525" s="2"/>
      <c r="R1525" s="179">
        <f>R1517/((N_6*R$27*R1524)*SQRT(R1523*R1519*R1521))</f>
        <v>0.40394248643942904</v>
      </c>
      <c r="S1525" s="133"/>
      <c r="T1525" s="146"/>
      <c r="U1525" s="143">
        <f>U1517/((N_6*U$27*U1524)*SQRT(U1523*U1519*U1521))</f>
        <v>5.8176179505986356</v>
      </c>
      <c r="V1525" s="133"/>
      <c r="W1525" s="146"/>
      <c r="X1525" s="143">
        <f>X1517/((N_6*X$27*X1524)*SQRT(X1523*X1519*X1521))</f>
        <v>15.130876176199559</v>
      </c>
      <c r="Y1525" s="133"/>
      <c r="Z1525" s="146"/>
      <c r="AA1525" s="143">
        <f>AA1517/((N_6*AA$27*AA1524)*SQRT(AA1523*AA1519*AA1521))</f>
        <v>35.189473237672466</v>
      </c>
      <c r="AB1525" s="133"/>
      <c r="AC1525" s="146"/>
      <c r="AD1525" s="143">
        <f>AD1517/((N_6*AD$27*AD1524)*SQRT(AD1523*AD1519*AD1521))</f>
        <v>142.26736786139219</v>
      </c>
      <c r="AE1525" s="133"/>
      <c r="AF1525" s="146"/>
      <c r="AG1525" s="143" t="e">
        <f>AG1517/((N_6*AG$27*AG1524)*SQRT(AG1523*AG1519*AG1521))</f>
        <v>#NUM!</v>
      </c>
      <c r="AH1525" s="133"/>
      <c r="AI1525" s="146"/>
      <c r="AJ1525" s="143">
        <f>AJ1517/((N_6*AJ$27*AJ1524)*SQRT(AJ1523*AJ1519*AJ1521))</f>
        <v>-196.76719972084103</v>
      </c>
      <c r="AK1525" s="133"/>
      <c r="AL1525" s="146"/>
      <c r="AM1525" s="143">
        <f>AM1517/((N_6*AM$27*AM1524)*SQRT(AM1523*AM1519*AM1521))</f>
        <v>-1166.9151476546672</v>
      </c>
      <c r="AN1525" s="133"/>
      <c r="AO1525" s="146"/>
      <c r="AP1525" s="143">
        <f>AP1517/((N_6*AP$27*AP1524)*SQRT(AP1523*AP1519*AP1521))</f>
        <v>185.12550264368346</v>
      </c>
      <c r="AQ1525" s="133"/>
      <c r="AR1525" s="146"/>
      <c r="AS1525" s="143">
        <f>AS1517/((N_6*AS$27*AS1524)*SQRT(AS1523*AS1519*AS1521))</f>
        <v>-729.02463698637428</v>
      </c>
      <c r="AT1525" s="133"/>
      <c r="AU1525" s="146"/>
    </row>
    <row r="1526" spans="13:47" x14ac:dyDescent="0.25">
      <c r="M1526" s="27"/>
      <c r="N1526" s="27"/>
      <c r="O1526" s="2" t="s">
        <v>73</v>
      </c>
      <c r="P1526" s="85">
        <v>5</v>
      </c>
      <c r="Q1526" s="2"/>
      <c r="R1526" s="179">
        <f>R1517/((N_6*R$27*0.667)*SQRT(R1527*R1519*R1521))</f>
        <v>0.39618805874519525</v>
      </c>
      <c r="S1526" s="133"/>
      <c r="T1526" s="155"/>
      <c r="U1526" s="143">
        <f>U1517/((N_6*U$27*0.667)*SQRT(U1527*U1519*U1521))</f>
        <v>5.6998570176984629</v>
      </c>
      <c r="V1526" s="133"/>
      <c r="W1526" s="155"/>
      <c r="X1526" s="143">
        <f>X1517/((N_6*X$27*0.667)*SQRT(X1527*X1519*X1521))</f>
        <v>14.770370778353728</v>
      </c>
      <c r="Y1526" s="133"/>
      <c r="Z1526" s="155"/>
      <c r="AA1526" s="143">
        <f>AA1517/((N_6*AA$27*0.667)*SQRT(AA1527*AA1519*AA1521))</f>
        <v>33.33320192763064</v>
      </c>
      <c r="AB1526" s="133"/>
      <c r="AC1526" s="155"/>
      <c r="AD1526" s="143">
        <f>AD1517/((N_6*AD$27*0.667)*SQRT(AD1527*AD1519*AD1521))</f>
        <v>84.410068083321022</v>
      </c>
      <c r="AE1526" s="133"/>
      <c r="AF1526" s="155"/>
      <c r="AG1526" s="143">
        <f>AG1517/((N_6*AG$27*0.667)*SQRT(AG1527*AG1519*AG1521))</f>
        <v>538.49420504661236</v>
      </c>
      <c r="AH1526" s="133"/>
      <c r="AI1526" s="155"/>
      <c r="AJ1526" s="143">
        <f>AJ1517/((N_6*AJ$27*0.667)*SQRT(AJ1527*AJ1519*AJ1521))</f>
        <v>232.33810754400898</v>
      </c>
      <c r="AK1526" s="133"/>
      <c r="AL1526" s="155"/>
      <c r="AM1526" s="143">
        <f>AM1517/((N_6*AM$27*0.667)*SQRT(AM1527*AM1519*AM1521))</f>
        <v>131.35423150554269</v>
      </c>
      <c r="AN1526" s="133"/>
      <c r="AO1526" s="155"/>
      <c r="AP1526" s="143">
        <f>AP1517/((N_6*AP$27*0.667)*SQRT(AP1527*AP1519*AP1521))</f>
        <v>100.39117262753372</v>
      </c>
      <c r="AQ1526" s="133"/>
      <c r="AR1526" s="155"/>
      <c r="AS1526" s="143">
        <f>AS1517/((N_6*AS$27*0.667)*SQRT(AS1527*AS1519*AS1521))</f>
        <v>127.78771630723922</v>
      </c>
      <c r="AT1526" s="133"/>
      <c r="AU1526" s="155"/>
    </row>
    <row r="1527" spans="13:47" ht="15.5" x14ac:dyDescent="0.4">
      <c r="M1527" s="27"/>
      <c r="N1527" s="27"/>
      <c r="O1527" s="2" t="s">
        <v>192</v>
      </c>
      <c r="P1527" s="85">
        <v>10</v>
      </c>
      <c r="Q1527" s="2"/>
      <c r="R1527" s="181">
        <f>F_GAMMA*R$29</f>
        <v>0.64002688015162901</v>
      </c>
      <c r="S1527" s="133"/>
      <c r="T1527" s="155"/>
      <c r="U1527" s="138">
        <f>F_GAMMA*U$29</f>
        <v>0.64016782916606918</v>
      </c>
      <c r="V1527" s="133"/>
      <c r="W1527" s="155"/>
      <c r="X1527" s="138">
        <f>F_GAMMA*X$29</f>
        <v>0.6307062319203669</v>
      </c>
      <c r="Y1527" s="133"/>
      <c r="Z1527" s="155"/>
      <c r="AA1527" s="138">
        <f>F_GAMMA*AA$29</f>
        <v>0.62217534213893466</v>
      </c>
      <c r="AB1527" s="133"/>
      <c r="AC1527" s="155"/>
      <c r="AD1527" s="138">
        <f>F_GAMMA*AD$29</f>
        <v>0.60557184969146072</v>
      </c>
      <c r="AE1527" s="133"/>
      <c r="AF1527" s="155"/>
      <c r="AG1527" s="138">
        <f>F_GAMMA*AG$29</f>
        <v>0.57289312142622573</v>
      </c>
      <c r="AH1527" s="133"/>
      <c r="AI1527" s="155"/>
      <c r="AJ1527" s="138">
        <f>F_GAMMA*AJ$29</f>
        <v>0.53590819116049981</v>
      </c>
      <c r="AK1527" s="133"/>
      <c r="AL1527" s="155"/>
      <c r="AM1527" s="138">
        <f>F_GAMMA*AM$29</f>
        <v>0.49048815926850342</v>
      </c>
      <c r="AN1527" s="133"/>
      <c r="AO1527" s="155"/>
      <c r="AP1527" s="138">
        <f>F_GAMMA*AP$29</f>
        <v>0.59352979016280105</v>
      </c>
      <c r="AQ1527" s="133"/>
      <c r="AR1527" s="155"/>
      <c r="AS1527" s="138">
        <f>F_GAMMA*AS$29</f>
        <v>0.39097221161068291</v>
      </c>
      <c r="AT1527" s="133"/>
      <c r="AU1527" s="155"/>
    </row>
    <row r="1528" spans="13:47" x14ac:dyDescent="0.25">
      <c r="M1528" s="27"/>
      <c r="N1528" s="27"/>
      <c r="O1528" s="2" t="s">
        <v>193</v>
      </c>
      <c r="P1528" s="134"/>
      <c r="Q1528" s="2"/>
      <c r="R1528" s="181">
        <f>IF(R1523&lt;R1527,R1525,R1526)</f>
        <v>0.40394248643942904</v>
      </c>
      <c r="S1528" s="133"/>
      <c r="T1528" s="155"/>
      <c r="U1528" s="138">
        <f>IF(U1523&lt;U1527,U1525,U1526)</f>
        <v>5.8176179505986356</v>
      </c>
      <c r="V1528" s="133"/>
      <c r="W1528" s="155"/>
      <c r="X1528" s="138">
        <f>IF(X1523&lt;X1527,X1525,X1526)</f>
        <v>15.130876176199559</v>
      </c>
      <c r="Y1528" s="133"/>
      <c r="Z1528" s="155"/>
      <c r="AA1528" s="138">
        <f>IF(AA1523&lt;AA1527,AA1525,AA1526)</f>
        <v>35.189473237672466</v>
      </c>
      <c r="AB1528" s="133"/>
      <c r="AC1528" s="155"/>
      <c r="AD1528" s="138">
        <f>IF(AD1523&lt;AD1527,AD1525,AD1526)</f>
        <v>142.26736786139219</v>
      </c>
      <c r="AE1528" s="133"/>
      <c r="AF1528" s="155"/>
      <c r="AG1528" s="138" t="e">
        <f>IF(AG1523&lt;AG1527,AG1525,AG1526)</f>
        <v>#NUM!</v>
      </c>
      <c r="AH1528" s="133"/>
      <c r="AI1528" s="155"/>
      <c r="AJ1528" s="138">
        <f>IF(AJ1523&lt;AJ1527,AJ1525,AJ1526)</f>
        <v>232.33810754400898</v>
      </c>
      <c r="AK1528" s="133"/>
      <c r="AL1528" s="155"/>
      <c r="AM1528" s="138">
        <f>IF(AM1523&lt;AM1527,AM1525,AM1526)</f>
        <v>131.35423150554269</v>
      </c>
      <c r="AN1528" s="133"/>
      <c r="AO1528" s="155"/>
      <c r="AP1528" s="138">
        <f>IF(AP1523&lt;AP1527,AP1525,AP1526)</f>
        <v>100.39117262753372</v>
      </c>
      <c r="AQ1528" s="133"/>
      <c r="AR1528" s="155"/>
      <c r="AS1528" s="138">
        <f>IF(AS1523&lt;AS1527,AS1525,AS1526)</f>
        <v>127.78771630723922</v>
      </c>
      <c r="AT1528" s="133"/>
      <c r="AU1528" s="155"/>
    </row>
    <row r="1529" spans="13:47" ht="13" x14ac:dyDescent="0.3">
      <c r="M1529" s="28"/>
      <c r="N1529" s="28"/>
      <c r="O1529" s="9" t="s">
        <v>194</v>
      </c>
      <c r="P1529" s="1"/>
      <c r="Q1529" s="1"/>
      <c r="R1529" s="135"/>
      <c r="S1529" s="132">
        <f>IF(R1522&lt;=0,W_max,ABS(R$23-R1528))</f>
        <v>1.596057513560571</v>
      </c>
      <c r="T1529" s="151">
        <f>R1517</f>
        <v>93.416521881327938</v>
      </c>
      <c r="U1529" s="135"/>
      <c r="V1529" s="132">
        <f>IF(U1522&lt;=0,W_max,ABS(U$23-U1528))</f>
        <v>0.81761795059863562</v>
      </c>
      <c r="W1529" s="151">
        <f>U1517</f>
        <v>1333.8384334985067</v>
      </c>
      <c r="X1529" s="135"/>
      <c r="Y1529" s="132">
        <f>IF(X1522&lt;=0,W_max,ABS(X$23-X1528))</f>
        <v>5.1308761761995587</v>
      </c>
      <c r="Z1529" s="151">
        <f>X1517</f>
        <v>3298.7411746760531</v>
      </c>
      <c r="AA1529" s="135"/>
      <c r="AB1529" s="132">
        <f>IF(AA1522&lt;=0,W_max,ABS(AA$23-AA1528))</f>
        <v>17.989473237672467</v>
      </c>
      <c r="AC1529" s="151">
        <f>AA1517</f>
        <v>6425.1058197143047</v>
      </c>
      <c r="AD1529" s="135"/>
      <c r="AE1529" s="132">
        <f>IF(AD1522&lt;=0,W_max,ABS(AD$23-AD1528))</f>
        <v>115.66736786139219</v>
      </c>
      <c r="AF1529" s="151">
        <f>AD1517</f>
        <v>10566.933489816467</v>
      </c>
      <c r="AG1529" s="135"/>
      <c r="AH1529" s="132">
        <f>IF(AG1522&lt;=0,W_max,ABS(AG$23-AG1528))</f>
        <v>7174</v>
      </c>
      <c r="AI1529" s="151">
        <f>AG1517</f>
        <v>14820.937727201101</v>
      </c>
      <c r="AJ1529" s="135"/>
      <c r="AK1529" s="132">
        <f>IF(AJ1522&lt;=0,W_max,ABS(AJ$23-AJ1528))</f>
        <v>7174</v>
      </c>
      <c r="AL1529" s="151">
        <f>AJ1517</f>
        <v>18818.658155961079</v>
      </c>
      <c r="AM1529" s="135"/>
      <c r="AN1529" s="132">
        <f>IF(AM1522&lt;=0,W_max,ABS(AM$23-AM1528))</f>
        <v>7174</v>
      </c>
      <c r="AO1529" s="151">
        <f>AM1517</f>
        <v>22066.356679799155</v>
      </c>
      <c r="AP1529" s="135"/>
      <c r="AQ1529" s="132">
        <f>IF(AP1522&lt;=0,W_max,ABS(AP$23-AP1528))</f>
        <v>7174</v>
      </c>
      <c r="AR1529" s="151">
        <f>AP1517</f>
        <v>24618.735673878695</v>
      </c>
      <c r="AS1529" s="135"/>
      <c r="AT1529" s="132">
        <f>IF(AS1522&lt;=0,W_max,ABS(AS$23-AS1528))</f>
        <v>7174</v>
      </c>
      <c r="AU1529" s="151">
        <f>AS1517</f>
        <v>27466.344126266697</v>
      </c>
    </row>
    <row r="1530" spans="13:47" ht="13" x14ac:dyDescent="0.25">
      <c r="M1530" s="12"/>
      <c r="N1530" s="12"/>
      <c r="O1530" s="2"/>
      <c r="P1530" s="85"/>
      <c r="Q1530" s="2"/>
      <c r="R1530" s="18"/>
      <c r="S1530" s="150"/>
      <c r="T1530" s="152"/>
      <c r="U1530" s="157"/>
      <c r="V1530" s="1"/>
      <c r="W1530" s="147"/>
      <c r="X1530" s="157"/>
      <c r="Y1530" s="1"/>
      <c r="Z1530" s="147"/>
      <c r="AA1530" s="157"/>
      <c r="AB1530" s="1"/>
      <c r="AC1530" s="147"/>
      <c r="AD1530" s="157"/>
      <c r="AE1530" s="1"/>
      <c r="AF1530" s="147"/>
      <c r="AG1530" s="157"/>
      <c r="AH1530" s="1"/>
      <c r="AI1530" s="147"/>
      <c r="AJ1530" s="157"/>
      <c r="AK1530" s="1"/>
      <c r="AL1530" s="147"/>
      <c r="AM1530" s="157"/>
      <c r="AN1530" s="1"/>
      <c r="AO1530" s="147"/>
      <c r="AP1530" s="157"/>
      <c r="AQ1530" s="1"/>
      <c r="AR1530" s="147"/>
      <c r="AS1530" s="157"/>
      <c r="AT1530" s="1"/>
      <c r="AU1530" s="147"/>
    </row>
    <row r="1531" spans="13:47" ht="14" x14ac:dyDescent="0.3">
      <c r="M1531" s="23"/>
      <c r="N1531" s="23"/>
      <c r="O1531" s="23" t="s">
        <v>238</v>
      </c>
      <c r="P1531" s="20"/>
      <c r="Q1531" s="20"/>
      <c r="R1531" s="181">
        <f>R1517*1.02</f>
        <v>95.284852318954492</v>
      </c>
      <c r="S1531" s="128" t="s">
        <v>185</v>
      </c>
      <c r="T1531" s="153" t="s">
        <v>186</v>
      </c>
      <c r="U1531" s="143">
        <f>U1517*1.01</f>
        <v>1347.1768178334917</v>
      </c>
      <c r="V1531" s="128" t="s">
        <v>185</v>
      </c>
      <c r="W1531" s="153" t="s">
        <v>186</v>
      </c>
      <c r="X1531" s="143">
        <f>X1517*1.01</f>
        <v>3331.7285864228138</v>
      </c>
      <c r="Y1531" s="128" t="s">
        <v>185</v>
      </c>
      <c r="Z1531" s="153" t="s">
        <v>186</v>
      </c>
      <c r="AA1531" s="143">
        <f>AA1517*1.01</f>
        <v>6489.3568779114476</v>
      </c>
      <c r="AB1531" s="128" t="s">
        <v>185</v>
      </c>
      <c r="AC1531" s="153" t="s">
        <v>186</v>
      </c>
      <c r="AD1531" s="143">
        <f>AD1517*1.01</f>
        <v>10672.602824714631</v>
      </c>
      <c r="AE1531" s="128" t="s">
        <v>185</v>
      </c>
      <c r="AF1531" s="153" t="s">
        <v>186</v>
      </c>
      <c r="AG1531" s="143">
        <f>AG1517*1.01</f>
        <v>14969.147104473112</v>
      </c>
      <c r="AH1531" s="128" t="s">
        <v>185</v>
      </c>
      <c r="AI1531" s="153" t="s">
        <v>186</v>
      </c>
      <c r="AJ1531" s="143">
        <f>AJ1517*1.01</f>
        <v>19006.844737520689</v>
      </c>
      <c r="AK1531" s="128" t="s">
        <v>185</v>
      </c>
      <c r="AL1531" s="153" t="s">
        <v>186</v>
      </c>
      <c r="AM1531" s="143">
        <f>AM1517*1.01</f>
        <v>22287.020246597149</v>
      </c>
      <c r="AN1531" s="128" t="s">
        <v>185</v>
      </c>
      <c r="AO1531" s="153" t="s">
        <v>186</v>
      </c>
      <c r="AP1531" s="143">
        <f>AP1517*1.01</f>
        <v>24864.923030617483</v>
      </c>
      <c r="AQ1531" s="128" t="s">
        <v>185</v>
      </c>
      <c r="AR1531" s="153" t="s">
        <v>186</v>
      </c>
      <c r="AS1531" s="143">
        <f>AS1517*1.01</f>
        <v>27741.007567529363</v>
      </c>
      <c r="AT1531" s="128" t="s">
        <v>185</v>
      </c>
      <c r="AU1531" s="153" t="s">
        <v>186</v>
      </c>
    </row>
    <row r="1532" spans="13:47" ht="14" x14ac:dyDescent="0.3">
      <c r="M1532" s="12"/>
      <c r="N1532" s="12"/>
      <c r="O1532" s="20"/>
      <c r="P1532" s="20"/>
      <c r="Q1532" s="23"/>
      <c r="R1532" s="139"/>
      <c r="S1532" s="130" t="s">
        <v>228</v>
      </c>
      <c r="T1532" s="154" t="s">
        <v>187</v>
      </c>
      <c r="U1532" s="144"/>
      <c r="V1532" s="130" t="s">
        <v>228</v>
      </c>
      <c r="W1532" s="154" t="s">
        <v>187</v>
      </c>
      <c r="X1532" s="144"/>
      <c r="Y1532" s="130" t="s">
        <v>228</v>
      </c>
      <c r="Z1532" s="154" t="s">
        <v>187</v>
      </c>
      <c r="AA1532" s="144"/>
      <c r="AB1532" s="130" t="s">
        <v>228</v>
      </c>
      <c r="AC1532" s="154" t="s">
        <v>187</v>
      </c>
      <c r="AD1532" s="144"/>
      <c r="AE1532" s="130" t="s">
        <v>228</v>
      </c>
      <c r="AF1532" s="154" t="s">
        <v>187</v>
      </c>
      <c r="AG1532" s="144"/>
      <c r="AH1532" s="130" t="s">
        <v>228</v>
      </c>
      <c r="AI1532" s="154" t="s">
        <v>187</v>
      </c>
      <c r="AJ1532" s="144"/>
      <c r="AK1532" s="130" t="s">
        <v>228</v>
      </c>
      <c r="AL1532" s="154" t="s">
        <v>187</v>
      </c>
      <c r="AM1532" s="144"/>
      <c r="AN1532" s="130" t="s">
        <v>228</v>
      </c>
      <c r="AO1532" s="154" t="s">
        <v>187</v>
      </c>
      <c r="AP1532" s="144"/>
      <c r="AQ1532" s="130" t="s">
        <v>228</v>
      </c>
      <c r="AR1532" s="154" t="s">
        <v>187</v>
      </c>
      <c r="AS1532" s="144"/>
      <c r="AT1532" s="130" t="s">
        <v>228</v>
      </c>
      <c r="AU1532" s="154" t="s">
        <v>187</v>
      </c>
    </row>
    <row r="1533" spans="13:47" x14ac:dyDescent="0.25">
      <c r="M1533" s="20"/>
      <c r="N1533" s="20"/>
      <c r="O1533" s="7" t="s">
        <v>188</v>
      </c>
      <c r="P1533" s="7"/>
      <c r="Q1533" s="7"/>
      <c r="R1533" s="181">
        <f>P_1_minW-(R1531^2*R_up)+dpup_minQ</f>
        <v>100.51916629703182</v>
      </c>
      <c r="S1533" s="132"/>
      <c r="T1533" s="145"/>
      <c r="U1533" s="138">
        <f>P_1_minW-(U1531^2*R_up)+dpup_minQ</f>
        <v>99.799079710115308</v>
      </c>
      <c r="V1533" s="132"/>
      <c r="W1533" s="145"/>
      <c r="X1533" s="138">
        <f>P_1_minW-(X1531^2*R_up)+dpup_minQ</f>
        <v>96.096364716194145</v>
      </c>
      <c r="Y1533" s="132"/>
      <c r="Z1533" s="145"/>
      <c r="AA1533" s="138">
        <f>P_1_minW-(AA1531^2*R_up)+dpup_minQ</f>
        <v>83.730226895326823</v>
      </c>
      <c r="AB1533" s="132"/>
      <c r="AC1533" s="145"/>
      <c r="AD1533" s="138">
        <f>P_1_minW-(AD1531^2*R_up)+dpup_minQ</f>
        <v>55.102038646319713</v>
      </c>
      <c r="AE1533" s="132"/>
      <c r="AF1533" s="145"/>
      <c r="AG1533" s="138">
        <f>P_1_minW-(AG1531^2*R_up)+dpup_minQ</f>
        <v>11.17008265580975</v>
      </c>
      <c r="AH1533" s="132"/>
      <c r="AI1533" s="145"/>
      <c r="AJ1533" s="138">
        <f>P_1_minW-(AJ1531^2*R_up)+dpup_minQ</f>
        <v>-43.533972893971921</v>
      </c>
      <c r="AK1533" s="132"/>
      <c r="AL1533" s="145"/>
      <c r="AM1533" s="138">
        <f>P_1_minW-(AM1531^2*R_up)+dpup_minQ</f>
        <v>-97.546712096897394</v>
      </c>
      <c r="AN1533" s="132"/>
      <c r="AO1533" s="145"/>
      <c r="AP1533" s="138">
        <f>P_1_minW-(AP1531^2*R_up)+dpup_minQ</f>
        <v>-146.0174597944019</v>
      </c>
      <c r="AQ1533" s="132"/>
      <c r="AR1533" s="145"/>
      <c r="AS1533" s="138">
        <f>P_1_minW-(AS1531^2*R_up)+dpup_minQ</f>
        <v>-206.34976818747114</v>
      </c>
      <c r="AT1533" s="132"/>
      <c r="AU1533" s="145"/>
    </row>
    <row r="1534" spans="13:47" x14ac:dyDescent="0.25">
      <c r="M1534" s="20"/>
      <c r="N1534" s="20"/>
      <c r="O1534" s="7" t="s">
        <v>189</v>
      </c>
      <c r="P1534" s="1"/>
      <c r="Q1534" s="7"/>
      <c r="R1534" s="181">
        <f>P_2_minW+(R1531^2*R_dn)-dpdn_minQ</f>
        <v>50</v>
      </c>
      <c r="S1534" s="132"/>
      <c r="T1534" s="146"/>
      <c r="U1534" s="138">
        <f>P_2_minW+(U1531^2*R_dn)-dpdn_minQ</f>
        <v>50</v>
      </c>
      <c r="V1534" s="132"/>
      <c r="W1534" s="146"/>
      <c r="X1534" s="138">
        <f>P_2_minW+(X1531^2*R_dn)-dpdn_minQ</f>
        <v>50</v>
      </c>
      <c r="Y1534" s="132"/>
      <c r="Z1534" s="146"/>
      <c r="AA1534" s="138">
        <f>P_2_minW+(AA1531^2*R_dn)-dpdn_minQ</f>
        <v>50</v>
      </c>
      <c r="AB1534" s="132"/>
      <c r="AC1534" s="146"/>
      <c r="AD1534" s="138">
        <f>P_2_minW+(AD1531^2*R_dn)-dpdn_minQ</f>
        <v>50</v>
      </c>
      <c r="AE1534" s="132"/>
      <c r="AF1534" s="146"/>
      <c r="AG1534" s="138">
        <f>P_2_minW+(AG1531^2*R_dn)-dpdn_minQ</f>
        <v>50</v>
      </c>
      <c r="AH1534" s="132"/>
      <c r="AI1534" s="146"/>
      <c r="AJ1534" s="138">
        <f>P_2_minW+(AJ1531^2*R_dn)-dpdn_minQ</f>
        <v>50</v>
      </c>
      <c r="AK1534" s="132"/>
      <c r="AL1534" s="146"/>
      <c r="AM1534" s="138">
        <f>P_2_minW+(AM1531^2*R_dn)-dpdn_minQ</f>
        <v>50</v>
      </c>
      <c r="AN1534" s="132"/>
      <c r="AO1534" s="146"/>
      <c r="AP1534" s="138">
        <f>P_2_minW+(AP1531^2*R_dn)-dpdn_minQ</f>
        <v>50</v>
      </c>
      <c r="AQ1534" s="132"/>
      <c r="AR1534" s="146"/>
      <c r="AS1534" s="138">
        <f>P_2_minW+(AS1531^2*R_dn)-dpdn_minQ</f>
        <v>50</v>
      </c>
      <c r="AT1534" s="132"/>
      <c r="AU1534" s="146"/>
    </row>
    <row r="1535" spans="13:47" x14ac:dyDescent="0.25">
      <c r="M1535" s="20"/>
      <c r="N1535" s="20"/>
      <c r="O1535" s="7" t="s">
        <v>234</v>
      </c>
      <c r="P1535" s="1"/>
      <c r="Q1535" s="7"/>
      <c r="R1535" s="179">
        <f>'Valve Sizing'!G$8*R1533/P_1_maxW</f>
        <v>0.48488656188238233</v>
      </c>
      <c r="S1535" s="132"/>
      <c r="T1535" s="146"/>
      <c r="U1535" s="143">
        <f>'Valve Sizing'!$G$8*U1533/P_1_maxW</f>
        <v>0.48141299239061192</v>
      </c>
      <c r="V1535" s="132"/>
      <c r="W1535" s="146"/>
      <c r="X1535" s="143">
        <f>'Valve Sizing'!$G$8*X1533/P_1_maxW</f>
        <v>0.46355175448770869</v>
      </c>
      <c r="Y1535" s="132"/>
      <c r="Z1535" s="146"/>
      <c r="AA1535" s="143">
        <f>'Valve Sizing'!$G$8*AA1533/P_1_maxW</f>
        <v>0.40389970729498231</v>
      </c>
      <c r="AB1535" s="132"/>
      <c r="AC1535" s="146"/>
      <c r="AD1535" s="143">
        <f>'Valve Sizing'!$G$8*AD1533/P_1_maxW</f>
        <v>0.26580242411653465</v>
      </c>
      <c r="AE1535" s="132"/>
      <c r="AF1535" s="146"/>
      <c r="AG1535" s="143">
        <f>'Valve Sizing'!$G$8*AG1533/P_1_maxW</f>
        <v>5.3882490020985704E-2</v>
      </c>
      <c r="AH1535" s="132"/>
      <c r="AI1535" s="146"/>
      <c r="AJ1535" s="143">
        <f>'Valve Sizing'!$G$8*AJ1533/P_1_maxW</f>
        <v>-0.21000013449437244</v>
      </c>
      <c r="AK1535" s="132"/>
      <c r="AL1535" s="146"/>
      <c r="AM1535" s="143">
        <f>'Valve Sizing'!$G$8*AM1533/P_1_maxW</f>
        <v>-0.47054797203378557</v>
      </c>
      <c r="AN1535" s="132"/>
      <c r="AO1535" s="146"/>
      <c r="AP1535" s="143">
        <f>'Valve Sizing'!$G$8*AP1533/P_1_maxW</f>
        <v>-0.70436222924181979</v>
      </c>
      <c r="AQ1535" s="132"/>
      <c r="AR1535" s="146"/>
      <c r="AS1535" s="143">
        <f>'Valve Sizing'!$G$8*AS1533/P_1_maxW</f>
        <v>-0.99539454342454081</v>
      </c>
      <c r="AT1535" s="132"/>
      <c r="AU1535" s="146"/>
    </row>
    <row r="1536" spans="13:47" x14ac:dyDescent="0.25">
      <c r="M1536" s="20"/>
      <c r="N1536" s="20"/>
      <c r="O1536" s="7" t="s">
        <v>190</v>
      </c>
      <c r="P1536" s="1"/>
      <c r="Q1536" s="7"/>
      <c r="R1536" s="181">
        <f>R1533-R1534</f>
        <v>50.519166297031816</v>
      </c>
      <c r="S1536" s="132"/>
      <c r="T1536" s="146"/>
      <c r="U1536" s="138">
        <f>U1533-U1534</f>
        <v>49.799079710115308</v>
      </c>
      <c r="V1536" s="132"/>
      <c r="W1536" s="146"/>
      <c r="X1536" s="138">
        <f>X1533-X1534</f>
        <v>46.096364716194145</v>
      </c>
      <c r="Y1536" s="132"/>
      <c r="Z1536" s="146"/>
      <c r="AA1536" s="138">
        <f>AA1533-AA1534</f>
        <v>33.730226895326823</v>
      </c>
      <c r="AB1536" s="132"/>
      <c r="AC1536" s="146"/>
      <c r="AD1536" s="138">
        <f>AD1533-AD1534</f>
        <v>5.1020386463197127</v>
      </c>
      <c r="AE1536" s="132"/>
      <c r="AF1536" s="146"/>
      <c r="AG1536" s="138">
        <f>AG1533-AG1534</f>
        <v>-38.82991734419025</v>
      </c>
      <c r="AH1536" s="132"/>
      <c r="AI1536" s="146"/>
      <c r="AJ1536" s="138">
        <f>AJ1533-AJ1534</f>
        <v>-93.533972893971921</v>
      </c>
      <c r="AK1536" s="132"/>
      <c r="AL1536" s="146"/>
      <c r="AM1536" s="138">
        <f>AM1533-AM1534</f>
        <v>-147.54671209689741</v>
      </c>
      <c r="AN1536" s="132"/>
      <c r="AO1536" s="146"/>
      <c r="AP1536" s="138">
        <f>AP1533-AP1534</f>
        <v>-196.0174597944019</v>
      </c>
      <c r="AQ1536" s="132"/>
      <c r="AR1536" s="146"/>
      <c r="AS1536" s="138">
        <f>AS1533-AS1534</f>
        <v>-256.34976818747111</v>
      </c>
      <c r="AT1536" s="132"/>
      <c r="AU1536" s="146"/>
    </row>
    <row r="1537" spans="13:47" ht="14.5" x14ac:dyDescent="0.35">
      <c r="M1537" s="27"/>
      <c r="N1537" s="27"/>
      <c r="O1537" s="2" t="s">
        <v>191</v>
      </c>
      <c r="P1537" s="10"/>
      <c r="Q1537" s="2"/>
      <c r="R1537" s="181">
        <f>R1536/R1533</f>
        <v>0.50258242440798651</v>
      </c>
      <c r="S1537" s="132"/>
      <c r="T1537" s="146"/>
      <c r="U1537" s="138">
        <f>U1536/U1533</f>
        <v>0.49899337603879562</v>
      </c>
      <c r="V1537" s="132"/>
      <c r="W1537" s="146"/>
      <c r="X1537" s="138">
        <f>X1536/X1533</f>
        <v>0.47968895443997989</v>
      </c>
      <c r="Y1537" s="132"/>
      <c r="Z1537" s="146"/>
      <c r="AA1537" s="138">
        <f>AA1536/AA1533</f>
        <v>0.40284408804354244</v>
      </c>
      <c r="AB1537" s="132"/>
      <c r="AC1537" s="146"/>
      <c r="AD1537" s="138">
        <f>AD1536/AD1533</f>
        <v>9.2592556857430897E-2</v>
      </c>
      <c r="AE1537" s="132"/>
      <c r="AF1537" s="146"/>
      <c r="AG1537" s="138">
        <f>AG1536/AG1533</f>
        <v>-3.4762426152678598</v>
      </c>
      <c r="AH1537" s="132"/>
      <c r="AI1537" s="146"/>
      <c r="AJ1537" s="138">
        <f>AJ1536/AJ1533</f>
        <v>2.1485283027528008</v>
      </c>
      <c r="AK1537" s="132"/>
      <c r="AL1537" s="146"/>
      <c r="AM1537" s="138">
        <f>AM1536/AM1533</f>
        <v>1.5125749389721392</v>
      </c>
      <c r="AN1537" s="132"/>
      <c r="AO1537" s="146"/>
      <c r="AP1537" s="138">
        <f>AP1536/AP1533</f>
        <v>1.342424803652946</v>
      </c>
      <c r="AQ1537" s="132"/>
      <c r="AR1537" s="146"/>
      <c r="AS1537" s="138">
        <f>AS1536/AS1533</f>
        <v>1.2423070325650882</v>
      </c>
      <c r="AT1537" s="132"/>
      <c r="AU1537" s="146"/>
    </row>
    <row r="1538" spans="13:47" x14ac:dyDescent="0.25">
      <c r="M1538" s="27"/>
      <c r="N1538" s="27"/>
      <c r="O1538" s="2" t="s">
        <v>26</v>
      </c>
      <c r="P1538" s="7">
        <v>12</v>
      </c>
      <c r="Q1538" s="2"/>
      <c r="R1538" s="181">
        <f>1-R1537/(3*F_GAMMA*R$29)</f>
        <v>0.73824931421165751</v>
      </c>
      <c r="S1538" s="133"/>
      <c r="T1538" s="146"/>
      <c r="U1538" s="138">
        <f>1-U1537/(3*F_GAMMA*U$29)</f>
        <v>0.7401757511574103</v>
      </c>
      <c r="V1538" s="133"/>
      <c r="W1538" s="146"/>
      <c r="X1538" s="138">
        <f>1-X1537/(3*F_GAMMA*X$29)</f>
        <v>0.7464805165158912</v>
      </c>
      <c r="Y1538" s="133"/>
      <c r="Z1538" s="146"/>
      <c r="AA1538" s="138">
        <f>1-AA1537/(3*F_GAMMA*AA$29)</f>
        <v>0.78417440617375811</v>
      </c>
      <c r="AB1538" s="133"/>
      <c r="AC1538" s="146"/>
      <c r="AD1538" s="138">
        <f>1-AD1537/(3*F_GAMMA*AD$29)</f>
        <v>0.94903299148586751</v>
      </c>
      <c r="AE1538" s="133"/>
      <c r="AF1538" s="146"/>
      <c r="AG1538" s="138">
        <f>1-AG1537/(3*F_GAMMA*AG$29)</f>
        <v>3.0226242820613747</v>
      </c>
      <c r="AH1538" s="133"/>
      <c r="AI1538" s="146"/>
      <c r="AJ1538" s="138">
        <f>1-AJ1537/(3*F_GAMMA*AJ$29)</f>
        <v>-0.3363783437732748</v>
      </c>
      <c r="AK1538" s="133"/>
      <c r="AL1538" s="146"/>
      <c r="AM1538" s="138">
        <f>1-AM1537/(3*F_GAMMA*AM$29)</f>
        <v>-2.7938466600253564E-2</v>
      </c>
      <c r="AN1538" s="133"/>
      <c r="AO1538" s="146"/>
      <c r="AP1538" s="138">
        <f>1-AP1537/(3*F_GAMMA*AP$29)</f>
        <v>0.24607839072703863</v>
      </c>
      <c r="AQ1538" s="133"/>
      <c r="AR1538" s="146"/>
      <c r="AS1538" s="138">
        <f>1-AS1537/(3*F_GAMMA*AS$29)</f>
        <v>-5.9160553847013686E-2</v>
      </c>
      <c r="AT1538" s="133"/>
      <c r="AU1538" s="146"/>
    </row>
    <row r="1539" spans="13:47" x14ac:dyDescent="0.25">
      <c r="M1539" s="27"/>
      <c r="N1539" s="27"/>
      <c r="O1539" s="2" t="s">
        <v>71</v>
      </c>
      <c r="P1539" s="85">
        <v>5</v>
      </c>
      <c r="Q1539" s="2"/>
      <c r="R1539" s="179">
        <f>R1531/((N_6*R$27*R1538)*SQRT(R1537*R1533*R1535))</f>
        <v>0.41202199537219208</v>
      </c>
      <c r="S1539" s="133"/>
      <c r="T1539" s="146"/>
      <c r="U1539" s="143">
        <f>U1531/((N_6*U$27*U1538)*SQRT(U1537*U1533*U1535))</f>
        <v>5.8767592369919868</v>
      </c>
      <c r="V1539" s="133"/>
      <c r="W1539" s="146"/>
      <c r="X1539" s="143">
        <f>X1531/((N_6*X$27*X1538)*SQRT(X1537*X1533*X1535))</f>
        <v>15.298463735665502</v>
      </c>
      <c r="Y1539" s="133"/>
      <c r="Z1539" s="146"/>
      <c r="AA1539" s="143">
        <f>AA1531/((N_6*AA$27*AA1538)*SQRT(AA1537*AA1533*AA1535))</f>
        <v>35.728296734510934</v>
      </c>
      <c r="AB1539" s="133"/>
      <c r="AC1539" s="146"/>
      <c r="AD1539" s="143">
        <f>AD1531/((N_6*AD$27*AD1538)*SQRT(AD1537*AD1533*AD1535))</f>
        <v>155.72276105345387</v>
      </c>
      <c r="AE1539" s="133"/>
      <c r="AF1539" s="146"/>
      <c r="AG1539" s="143" t="e">
        <f>AG1531/((N_6*AG$27*AG1538)*SQRT(AG1537*AG1533*AG1535))</f>
        <v>#NUM!</v>
      </c>
      <c r="AH1539" s="133"/>
      <c r="AI1539" s="146"/>
      <c r="AJ1539" s="143">
        <f>AJ1531/((N_6*AJ$27*AJ1538)*SQRT(AJ1537*AJ1533*AJ1535))</f>
        <v>-217.2362104511767</v>
      </c>
      <c r="AK1539" s="133"/>
      <c r="AL1539" s="146"/>
      <c r="AM1539" s="143">
        <f>AM1531/((N_6*AM$27*AM1538)*SQRT(AM1537*AM1533*AM1535))</f>
        <v>-1731.4567997604399</v>
      </c>
      <c r="AN1539" s="133"/>
      <c r="AO1539" s="146"/>
      <c r="AP1539" s="143">
        <f>AP1531/((N_6*AP$27*AP1538)*SQRT(AP1537*AP1533*AP1535))</f>
        <v>176.66531657579111</v>
      </c>
      <c r="AQ1539" s="133"/>
      <c r="AR1539" s="146"/>
      <c r="AS1539" s="143">
        <f>AS1531/((N_6*AS$27*AS1538)*SQRT(AS1537*AS1533*AS1535))</f>
        <v>-792.40350669054158</v>
      </c>
      <c r="AT1539" s="133"/>
      <c r="AU1539" s="146"/>
    </row>
    <row r="1540" spans="13:47" x14ac:dyDescent="0.25">
      <c r="M1540" s="27"/>
      <c r="N1540" s="27"/>
      <c r="O1540" s="2" t="s">
        <v>73</v>
      </c>
      <c r="P1540" s="85">
        <v>5</v>
      </c>
      <c r="Q1540" s="2"/>
      <c r="R1540" s="179">
        <f>R1531/((N_6*R$27*0.667)*SQRT(R1541*R1533*R1535))</f>
        <v>0.40411238511080932</v>
      </c>
      <c r="S1540" s="133"/>
      <c r="T1540" s="155"/>
      <c r="U1540" s="143">
        <f>U1531/((N_6*U$27*0.667)*SQRT(U1541*U1533*U1535))</f>
        <v>5.7576781617233586</v>
      </c>
      <c r="V1540" s="133"/>
      <c r="W1540" s="155"/>
      <c r="X1540" s="143">
        <f>X1531/((N_6*X$27*0.667)*SQRT(X1541*X1533*X1535))</f>
        <v>14.931614276495202</v>
      </c>
      <c r="Y1540" s="133"/>
      <c r="Z1540" s="155"/>
      <c r="AA1540" s="143">
        <f>AA1531/((N_6*AA$27*0.667)*SQRT(AA1541*AA1533*AA1535))</f>
        <v>33.799575208151033</v>
      </c>
      <c r="AB1540" s="133"/>
      <c r="AC1540" s="155"/>
      <c r="AD1540" s="143">
        <f>AD1531/((N_6*AD$27*0.667)*SQRT(AD1541*AD1533*AD1535))</f>
        <v>86.638868310905295</v>
      </c>
      <c r="AE1540" s="133"/>
      <c r="AF1540" s="155"/>
      <c r="AG1540" s="143">
        <f>AG1531/((N_6*AG$27*0.667)*SQRT(AG1541*AG1533*AG1535))</f>
        <v>629.60405574323124</v>
      </c>
      <c r="AH1540" s="133"/>
      <c r="AI1540" s="155"/>
      <c r="AJ1540" s="143">
        <f>AJ1531/((N_6*AJ$27*0.667)*SQRT(AJ1541*AJ1533*AJ1535))</f>
        <v>219.36117015663629</v>
      </c>
      <c r="AK1540" s="133"/>
      <c r="AL1540" s="155"/>
      <c r="AM1540" s="143">
        <f>AM1531/((N_6*AM$27*0.667)*SQRT(AM1541*AM1533*AM1535))</f>
        <v>127.35986176555147</v>
      </c>
      <c r="AN1540" s="133"/>
      <c r="AO1540" s="155"/>
      <c r="AP1540" s="143">
        <f>AP1531/((N_6*AP$27*0.667)*SQRT(AP1541*AP1533*AP1535))</f>
        <v>98.021797702734602</v>
      </c>
      <c r="AQ1540" s="133"/>
      <c r="AR1540" s="155"/>
      <c r="AS1540" s="143">
        <f>AS1531/((N_6*AS$27*0.667)*SQRT(AS1541*AS1533*AS1535))</f>
        <v>125.28362541355717</v>
      </c>
      <c r="AT1540" s="133"/>
      <c r="AU1540" s="155"/>
    </row>
    <row r="1541" spans="13:47" ht="15.5" x14ac:dyDescent="0.4">
      <c r="M1541" s="27"/>
      <c r="N1541" s="27"/>
      <c r="O1541" s="2" t="s">
        <v>192</v>
      </c>
      <c r="P1541" s="85">
        <v>10</v>
      </c>
      <c r="Q1541" s="2"/>
      <c r="R1541" s="181">
        <f>F_GAMMA*R$29</f>
        <v>0.64002688015162901</v>
      </c>
      <c r="S1541" s="133"/>
      <c r="T1541" s="155"/>
      <c r="U1541" s="138">
        <f>F_GAMMA*U$29</f>
        <v>0.64016782916606918</v>
      </c>
      <c r="V1541" s="133"/>
      <c r="W1541" s="155"/>
      <c r="X1541" s="138">
        <f>F_GAMMA*X$29</f>
        <v>0.6307062319203669</v>
      </c>
      <c r="Y1541" s="133"/>
      <c r="Z1541" s="155"/>
      <c r="AA1541" s="138">
        <f>F_GAMMA*AA$29</f>
        <v>0.62217534213893466</v>
      </c>
      <c r="AB1541" s="133"/>
      <c r="AC1541" s="155"/>
      <c r="AD1541" s="138">
        <f>F_GAMMA*AD$29</f>
        <v>0.60557184969146072</v>
      </c>
      <c r="AE1541" s="133"/>
      <c r="AF1541" s="155"/>
      <c r="AG1541" s="138">
        <f>F_GAMMA*AG$29</f>
        <v>0.57289312142622573</v>
      </c>
      <c r="AH1541" s="133"/>
      <c r="AI1541" s="155"/>
      <c r="AJ1541" s="138">
        <f>F_GAMMA*AJ$29</f>
        <v>0.53590819116049981</v>
      </c>
      <c r="AK1541" s="133"/>
      <c r="AL1541" s="155"/>
      <c r="AM1541" s="138">
        <f>F_GAMMA*AM$29</f>
        <v>0.49048815926850342</v>
      </c>
      <c r="AN1541" s="133"/>
      <c r="AO1541" s="155"/>
      <c r="AP1541" s="138">
        <f>F_GAMMA*AP$29</f>
        <v>0.59352979016280105</v>
      </c>
      <c r="AQ1541" s="133"/>
      <c r="AR1541" s="155"/>
      <c r="AS1541" s="138">
        <f>F_GAMMA*AS$29</f>
        <v>0.39097221161068291</v>
      </c>
      <c r="AT1541" s="133"/>
      <c r="AU1541" s="155"/>
    </row>
    <row r="1542" spans="13:47" x14ac:dyDescent="0.25">
      <c r="M1542" s="27"/>
      <c r="N1542" s="27"/>
      <c r="O1542" s="2" t="s">
        <v>193</v>
      </c>
      <c r="P1542" s="134"/>
      <c r="Q1542" s="2"/>
      <c r="R1542" s="181">
        <f>IF(R1537&lt;R1541,R1539,R1540)</f>
        <v>0.41202199537219208</v>
      </c>
      <c r="S1542" s="133"/>
      <c r="T1542" s="155"/>
      <c r="U1542" s="138">
        <f>IF(U1537&lt;U1541,U1539,U1540)</f>
        <v>5.8767592369919868</v>
      </c>
      <c r="V1542" s="133"/>
      <c r="W1542" s="155"/>
      <c r="X1542" s="138">
        <f>IF(X1537&lt;X1541,X1539,X1540)</f>
        <v>15.298463735665502</v>
      </c>
      <c r="Y1542" s="133"/>
      <c r="Z1542" s="155"/>
      <c r="AA1542" s="138">
        <f>IF(AA1537&lt;AA1541,AA1539,AA1540)</f>
        <v>35.728296734510934</v>
      </c>
      <c r="AB1542" s="133"/>
      <c r="AC1542" s="155"/>
      <c r="AD1542" s="138">
        <f>IF(AD1537&lt;AD1541,AD1539,AD1540)</f>
        <v>155.72276105345387</v>
      </c>
      <c r="AE1542" s="133"/>
      <c r="AF1542" s="155"/>
      <c r="AG1542" s="138" t="e">
        <f>IF(AG1537&lt;AG1541,AG1539,AG1540)</f>
        <v>#NUM!</v>
      </c>
      <c r="AH1542" s="133"/>
      <c r="AI1542" s="155"/>
      <c r="AJ1542" s="138">
        <f>IF(AJ1537&lt;AJ1541,AJ1539,AJ1540)</f>
        <v>219.36117015663629</v>
      </c>
      <c r="AK1542" s="133"/>
      <c r="AL1542" s="155"/>
      <c r="AM1542" s="138">
        <f>IF(AM1537&lt;AM1541,AM1539,AM1540)</f>
        <v>127.35986176555147</v>
      </c>
      <c r="AN1542" s="133"/>
      <c r="AO1542" s="155"/>
      <c r="AP1542" s="138">
        <f>IF(AP1537&lt;AP1541,AP1539,AP1540)</f>
        <v>98.021797702734602</v>
      </c>
      <c r="AQ1542" s="133"/>
      <c r="AR1542" s="155"/>
      <c r="AS1542" s="138">
        <f>IF(AS1537&lt;AS1541,AS1539,AS1540)</f>
        <v>125.28362541355717</v>
      </c>
      <c r="AT1542" s="133"/>
      <c r="AU1542" s="155"/>
    </row>
    <row r="1543" spans="13:47" ht="13" x14ac:dyDescent="0.3">
      <c r="M1543" s="28"/>
      <c r="N1543" s="28"/>
      <c r="O1543" s="9" t="s">
        <v>194</v>
      </c>
      <c r="P1543" s="1"/>
      <c r="Q1543" s="1"/>
      <c r="R1543" s="135"/>
      <c r="S1543" s="132">
        <f>IF(R1536&lt;=0,W_max,ABS(R$23-R1542))</f>
        <v>1.587978004627808</v>
      </c>
      <c r="T1543" s="151">
        <f>R1531</f>
        <v>95.284852318954492</v>
      </c>
      <c r="U1543" s="135"/>
      <c r="V1543" s="132">
        <f>IF(U1536&lt;=0,W_max,ABS(U$23-U1542))</f>
        <v>0.87675923699198677</v>
      </c>
      <c r="W1543" s="151">
        <f>U1531</f>
        <v>1347.1768178334917</v>
      </c>
      <c r="X1543" s="135"/>
      <c r="Y1543" s="132">
        <f>IF(X1536&lt;=0,W_max,ABS(X$23-X1542))</f>
        <v>5.2984637356655018</v>
      </c>
      <c r="Z1543" s="151">
        <f>X1531</f>
        <v>3331.7285864228138</v>
      </c>
      <c r="AA1543" s="135"/>
      <c r="AB1543" s="132">
        <f>IF(AA1536&lt;=0,W_max,ABS(AA$23-AA1542))</f>
        <v>18.528296734510935</v>
      </c>
      <c r="AC1543" s="151">
        <f>AA1531</f>
        <v>6489.3568779114476</v>
      </c>
      <c r="AD1543" s="135"/>
      <c r="AE1543" s="132">
        <f>IF(AD1536&lt;=0,W_max,ABS(AD$23-AD1542))</f>
        <v>129.12276105345387</v>
      </c>
      <c r="AF1543" s="151">
        <f>AD1531</f>
        <v>10672.602824714631</v>
      </c>
      <c r="AG1543" s="135"/>
      <c r="AH1543" s="132">
        <f>IF(AG1536&lt;=0,W_max,ABS(AG$23-AG1542))</f>
        <v>7174</v>
      </c>
      <c r="AI1543" s="151">
        <f>AG1531</f>
        <v>14969.147104473112</v>
      </c>
      <c r="AJ1543" s="135"/>
      <c r="AK1543" s="132">
        <f>IF(AJ1536&lt;=0,W_max,ABS(AJ$23-AJ1542))</f>
        <v>7174</v>
      </c>
      <c r="AL1543" s="151">
        <f>AJ1531</f>
        <v>19006.844737520689</v>
      </c>
      <c r="AM1543" s="135"/>
      <c r="AN1543" s="132">
        <f>IF(AM1536&lt;=0,W_max,ABS(AM$23-AM1542))</f>
        <v>7174</v>
      </c>
      <c r="AO1543" s="151">
        <f>AM1531</f>
        <v>22287.020246597149</v>
      </c>
      <c r="AP1543" s="135"/>
      <c r="AQ1543" s="132">
        <f>IF(AP1536&lt;=0,W_max,ABS(AP$23-AP1542))</f>
        <v>7174</v>
      </c>
      <c r="AR1543" s="151">
        <f>AP1531</f>
        <v>24864.923030617483</v>
      </c>
      <c r="AS1543" s="135"/>
      <c r="AT1543" s="132">
        <f>IF(AS1536&lt;=0,W_max,ABS(AS$23-AS1542))</f>
        <v>7174</v>
      </c>
      <c r="AU1543" s="151">
        <f>AS1531</f>
        <v>27741.007567529363</v>
      </c>
    </row>
    <row r="1544" spans="13:47" ht="13" x14ac:dyDescent="0.25">
      <c r="M1544" s="12"/>
      <c r="N1544" s="12"/>
      <c r="O1544" s="2"/>
      <c r="P1544" s="85"/>
      <c r="Q1544" s="2"/>
      <c r="R1544" s="18"/>
      <c r="S1544" s="150"/>
      <c r="T1544" s="148"/>
      <c r="U1544" s="157"/>
      <c r="V1544" s="1"/>
      <c r="W1544" s="147"/>
      <c r="X1544" s="157"/>
      <c r="Y1544" s="1"/>
      <c r="Z1544" s="147"/>
      <c r="AA1544" s="157"/>
      <c r="AB1544" s="1"/>
      <c r="AC1544" s="147"/>
      <c r="AD1544" s="157"/>
      <c r="AE1544" s="1"/>
      <c r="AF1544" s="147"/>
      <c r="AG1544" s="157"/>
      <c r="AH1544" s="1"/>
      <c r="AI1544" s="147"/>
      <c r="AJ1544" s="157"/>
      <c r="AK1544" s="1"/>
      <c r="AL1544" s="147"/>
      <c r="AM1544" s="157"/>
      <c r="AN1544" s="1"/>
      <c r="AO1544" s="147"/>
      <c r="AP1544" s="157"/>
      <c r="AQ1544" s="1"/>
      <c r="AR1544" s="147"/>
      <c r="AS1544" s="157"/>
      <c r="AT1544" s="1"/>
      <c r="AU1544" s="147"/>
    </row>
    <row r="1545" spans="13:47" ht="14" x14ac:dyDescent="0.3">
      <c r="M1545" s="23"/>
      <c r="N1545" s="23"/>
      <c r="O1545" s="23" t="s">
        <v>238</v>
      </c>
      <c r="P1545" s="20"/>
      <c r="Q1545" s="20"/>
      <c r="R1545" s="181">
        <f>R1531*1.02</f>
        <v>97.190549365333581</v>
      </c>
      <c r="S1545" s="128" t="s">
        <v>185</v>
      </c>
      <c r="T1545" s="149" t="s">
        <v>186</v>
      </c>
      <c r="U1545" s="143">
        <f>U1531*1.01</f>
        <v>1360.6485860118266</v>
      </c>
      <c r="V1545" s="128" t="s">
        <v>185</v>
      </c>
      <c r="W1545" s="153" t="s">
        <v>186</v>
      </c>
      <c r="X1545" s="143">
        <f>X1531*1.01</f>
        <v>3365.0458722870421</v>
      </c>
      <c r="Y1545" s="128" t="s">
        <v>185</v>
      </c>
      <c r="Z1545" s="153" t="s">
        <v>186</v>
      </c>
      <c r="AA1545" s="143">
        <f>AA1531*1.01</f>
        <v>6554.2504466905621</v>
      </c>
      <c r="AB1545" s="128" t="s">
        <v>185</v>
      </c>
      <c r="AC1545" s="153" t="s">
        <v>186</v>
      </c>
      <c r="AD1545" s="143">
        <f>AD1531*1.01</f>
        <v>10779.328852961778</v>
      </c>
      <c r="AE1545" s="128" t="s">
        <v>185</v>
      </c>
      <c r="AF1545" s="153" t="s">
        <v>186</v>
      </c>
      <c r="AG1545" s="143">
        <f>AG1531*1.01</f>
        <v>15118.838575517842</v>
      </c>
      <c r="AH1545" s="128" t="s">
        <v>185</v>
      </c>
      <c r="AI1545" s="153" t="s">
        <v>186</v>
      </c>
      <c r="AJ1545" s="143">
        <f>AJ1531*1.01</f>
        <v>19196.913184895897</v>
      </c>
      <c r="AK1545" s="128" t="s">
        <v>185</v>
      </c>
      <c r="AL1545" s="153" t="s">
        <v>186</v>
      </c>
      <c r="AM1545" s="143">
        <f>AM1531*1.01</f>
        <v>22509.890449063121</v>
      </c>
      <c r="AN1545" s="128" t="s">
        <v>185</v>
      </c>
      <c r="AO1545" s="153" t="s">
        <v>186</v>
      </c>
      <c r="AP1545" s="143">
        <f>AP1531*1.01</f>
        <v>25113.572260923658</v>
      </c>
      <c r="AQ1545" s="128" t="s">
        <v>185</v>
      </c>
      <c r="AR1545" s="153" t="s">
        <v>186</v>
      </c>
      <c r="AS1545" s="143">
        <f>AS1531*1.01</f>
        <v>28018.417643204655</v>
      </c>
      <c r="AT1545" s="128" t="s">
        <v>185</v>
      </c>
      <c r="AU1545" s="153" t="s">
        <v>186</v>
      </c>
    </row>
    <row r="1546" spans="13:47" ht="14" x14ac:dyDescent="0.3">
      <c r="M1546" s="12"/>
      <c r="N1546" s="12"/>
      <c r="O1546" s="20"/>
      <c r="P1546" s="20"/>
      <c r="Q1546" s="23"/>
      <c r="R1546" s="139"/>
      <c r="S1546" s="130" t="s">
        <v>228</v>
      </c>
      <c r="T1546" s="131" t="s">
        <v>187</v>
      </c>
      <c r="U1546" s="144"/>
      <c r="V1546" s="130" t="s">
        <v>228</v>
      </c>
      <c r="W1546" s="154" t="s">
        <v>187</v>
      </c>
      <c r="X1546" s="144"/>
      <c r="Y1546" s="130" t="s">
        <v>228</v>
      </c>
      <c r="Z1546" s="154" t="s">
        <v>187</v>
      </c>
      <c r="AA1546" s="144"/>
      <c r="AB1546" s="130" t="s">
        <v>228</v>
      </c>
      <c r="AC1546" s="154" t="s">
        <v>187</v>
      </c>
      <c r="AD1546" s="144"/>
      <c r="AE1546" s="130" t="s">
        <v>228</v>
      </c>
      <c r="AF1546" s="154" t="s">
        <v>187</v>
      </c>
      <c r="AG1546" s="144"/>
      <c r="AH1546" s="130" t="s">
        <v>228</v>
      </c>
      <c r="AI1546" s="154" t="s">
        <v>187</v>
      </c>
      <c r="AJ1546" s="144"/>
      <c r="AK1546" s="130" t="s">
        <v>228</v>
      </c>
      <c r="AL1546" s="154" t="s">
        <v>187</v>
      </c>
      <c r="AM1546" s="144"/>
      <c r="AN1546" s="130" t="s">
        <v>228</v>
      </c>
      <c r="AO1546" s="154" t="s">
        <v>187</v>
      </c>
      <c r="AP1546" s="144"/>
      <c r="AQ1546" s="130" t="s">
        <v>228</v>
      </c>
      <c r="AR1546" s="154" t="s">
        <v>187</v>
      </c>
      <c r="AS1546" s="144"/>
      <c r="AT1546" s="130" t="s">
        <v>228</v>
      </c>
      <c r="AU1546" s="154" t="s">
        <v>187</v>
      </c>
    </row>
    <row r="1547" spans="13:47" x14ac:dyDescent="0.25">
      <c r="M1547" s="20"/>
      <c r="N1547" s="20"/>
      <c r="O1547" s="7" t="s">
        <v>188</v>
      </c>
      <c r="P1547" s="7"/>
      <c r="Q1547" s="7"/>
      <c r="R1547" s="181">
        <f>P_1_minW-(R1545^2*R_up)+dpup_minQ</f>
        <v>100.51902003126814</v>
      </c>
      <c r="S1547" s="132"/>
      <c r="T1547" s="145"/>
      <c r="U1547" s="138">
        <f>P_1_minW-(U1545^2*R_up)+dpup_minQ</f>
        <v>99.784533198880425</v>
      </c>
      <c r="V1547" s="132"/>
      <c r="W1547" s="145"/>
      <c r="X1547" s="138">
        <f>P_1_minW-(X1545^2*R_up)+dpup_minQ</f>
        <v>96.00739363358143</v>
      </c>
      <c r="Y1547" s="132"/>
      <c r="Z1547" s="145"/>
      <c r="AA1547" s="138">
        <f>P_1_minW-(AA1545^2*R_up)+dpup_minQ</f>
        <v>83.392696442514691</v>
      </c>
      <c r="AB1547" s="132"/>
      <c r="AC1547" s="145"/>
      <c r="AD1547" s="138">
        <f>P_1_minW-(AD1545^2*R_up)+dpup_minQ</f>
        <v>54.189081609702527</v>
      </c>
      <c r="AE1547" s="132"/>
      <c r="AF1547" s="145"/>
      <c r="AG1547" s="138">
        <f>P_1_minW-(AG1545^2*R_up)+dpup_minQ</f>
        <v>9.37409330378334</v>
      </c>
      <c r="AH1547" s="132"/>
      <c r="AI1547" s="145"/>
      <c r="AJ1547" s="138">
        <f>P_1_minW-(AJ1545^2*R_up)+dpup_minQ</f>
        <v>-46.429513762548979</v>
      </c>
      <c r="AK1547" s="132"/>
      <c r="AL1547" s="145"/>
      <c r="AM1547" s="138">
        <f>P_1_minW-(AM1545^2*R_up)+dpup_minQ</f>
        <v>-101.52790902345326</v>
      </c>
      <c r="AN1547" s="132"/>
      <c r="AO1547" s="145"/>
      <c r="AP1547" s="138">
        <f>P_1_minW-(AP1545^2*R_up)+dpup_minQ</f>
        <v>-150.97291874967758</v>
      </c>
      <c r="AQ1547" s="132"/>
      <c r="AR1547" s="145"/>
      <c r="AS1547" s="138">
        <f>P_1_minW-(AS1545^2*R_up)+dpup_minQ</f>
        <v>-212.51790654144745</v>
      </c>
      <c r="AT1547" s="132"/>
      <c r="AU1547" s="145"/>
    </row>
    <row r="1548" spans="13:47" x14ac:dyDescent="0.25">
      <c r="M1548" s="20"/>
      <c r="N1548" s="20"/>
      <c r="O1548" s="7" t="s">
        <v>189</v>
      </c>
      <c r="P1548" s="1"/>
      <c r="Q1548" s="7"/>
      <c r="R1548" s="181">
        <f>P_2_minW+(R1545^2*R_dn)-dpdn_minQ</f>
        <v>50</v>
      </c>
      <c r="S1548" s="132"/>
      <c r="T1548" s="146"/>
      <c r="U1548" s="138">
        <f>P_2_minW+(U1545^2*R_dn)-dpdn_minQ</f>
        <v>50</v>
      </c>
      <c r="V1548" s="132"/>
      <c r="W1548" s="146"/>
      <c r="X1548" s="138">
        <f>P_2_minW+(X1545^2*R_dn)-dpdn_minQ</f>
        <v>50</v>
      </c>
      <c r="Y1548" s="132"/>
      <c r="Z1548" s="146"/>
      <c r="AA1548" s="138">
        <f>P_2_minW+(AA1545^2*R_dn)-dpdn_minQ</f>
        <v>50</v>
      </c>
      <c r="AB1548" s="132"/>
      <c r="AC1548" s="146"/>
      <c r="AD1548" s="138">
        <f>P_2_minW+(AD1545^2*R_dn)-dpdn_minQ</f>
        <v>50</v>
      </c>
      <c r="AE1548" s="132"/>
      <c r="AF1548" s="146"/>
      <c r="AG1548" s="138">
        <f>P_2_minW+(AG1545^2*R_dn)-dpdn_minQ</f>
        <v>50</v>
      </c>
      <c r="AH1548" s="132"/>
      <c r="AI1548" s="146"/>
      <c r="AJ1548" s="138">
        <f>P_2_minW+(AJ1545^2*R_dn)-dpdn_minQ</f>
        <v>50</v>
      </c>
      <c r="AK1548" s="132"/>
      <c r="AL1548" s="146"/>
      <c r="AM1548" s="138">
        <f>P_2_minW+(AM1545^2*R_dn)-dpdn_minQ</f>
        <v>50</v>
      </c>
      <c r="AN1548" s="132"/>
      <c r="AO1548" s="146"/>
      <c r="AP1548" s="138">
        <f>P_2_minW+(AP1545^2*R_dn)-dpdn_minQ</f>
        <v>50</v>
      </c>
      <c r="AQ1548" s="132"/>
      <c r="AR1548" s="146"/>
      <c r="AS1548" s="138">
        <f>P_2_minW+(AS1545^2*R_dn)-dpdn_minQ</f>
        <v>50</v>
      </c>
      <c r="AT1548" s="132"/>
      <c r="AU1548" s="146"/>
    </row>
    <row r="1549" spans="13:47" x14ac:dyDescent="0.25">
      <c r="M1549" s="20"/>
      <c r="N1549" s="20"/>
      <c r="O1549" s="7" t="s">
        <v>234</v>
      </c>
      <c r="P1549" s="1"/>
      <c r="Q1549" s="7"/>
      <c r="R1549" s="179">
        <f>'Valve Sizing'!G$8*R1547/P_1_maxW</f>
        <v>0.48488585632237935</v>
      </c>
      <c r="S1549" s="132"/>
      <c r="T1549" s="146"/>
      <c r="U1549" s="143">
        <f>'Valve Sizing'!$G$8*U1547/P_1_maxW</f>
        <v>0.48134282261026157</v>
      </c>
      <c r="V1549" s="132"/>
      <c r="W1549" s="146"/>
      <c r="X1549" s="143">
        <f>'Valve Sizing'!$G$8*X1547/P_1_maxW</f>
        <v>0.46312257382550986</v>
      </c>
      <c r="Y1549" s="132"/>
      <c r="Z1549" s="146"/>
      <c r="AA1549" s="143">
        <f>'Valve Sizing'!$G$8*AA1547/P_1_maxW</f>
        <v>0.40227152048420978</v>
      </c>
      <c r="AB1549" s="132"/>
      <c r="AC1549" s="146"/>
      <c r="AD1549" s="143">
        <f>'Valve Sizing'!$G$8*AD1547/P_1_maxW</f>
        <v>0.26139848191387527</v>
      </c>
      <c r="AE1549" s="132"/>
      <c r="AF1549" s="146"/>
      <c r="AG1549" s="143">
        <f>'Valve Sizing'!$G$8*AG1547/P_1_maxW</f>
        <v>4.5218957143005917E-2</v>
      </c>
      <c r="AH1549" s="132"/>
      <c r="AI1549" s="146"/>
      <c r="AJ1549" s="143">
        <f>'Valve Sizing'!$G$8*AJ1547/P_1_maxW</f>
        <v>-0.2239677081251111</v>
      </c>
      <c r="AK1549" s="132"/>
      <c r="AL1549" s="146"/>
      <c r="AM1549" s="143">
        <f>'Valve Sizing'!$G$8*AM1547/P_1_maxW</f>
        <v>-0.48975255719906646</v>
      </c>
      <c r="AN1549" s="132"/>
      <c r="AO1549" s="146"/>
      <c r="AP1549" s="143">
        <f>'Valve Sizing'!$G$8*AP1547/P_1_maxW</f>
        <v>-0.7282664809769821</v>
      </c>
      <c r="AQ1549" s="132"/>
      <c r="AR1549" s="146"/>
      <c r="AS1549" s="143">
        <f>'Valve Sizing'!$G$8*AS1547/P_1_maxW</f>
        <v>-1.0251485446747755</v>
      </c>
      <c r="AT1549" s="132"/>
      <c r="AU1549" s="146"/>
    </row>
    <row r="1550" spans="13:47" x14ac:dyDescent="0.25">
      <c r="M1550" s="20"/>
      <c r="N1550" s="20"/>
      <c r="O1550" s="7" t="s">
        <v>190</v>
      </c>
      <c r="P1550" s="1"/>
      <c r="Q1550" s="7"/>
      <c r="R1550" s="181">
        <f>R1547-R1548</f>
        <v>50.519020031268141</v>
      </c>
      <c r="S1550" s="132"/>
      <c r="T1550" s="146"/>
      <c r="U1550" s="138">
        <f>U1547-U1548</f>
        <v>49.784533198880425</v>
      </c>
      <c r="V1550" s="132"/>
      <c r="W1550" s="146"/>
      <c r="X1550" s="138">
        <f>X1547-X1548</f>
        <v>46.00739363358143</v>
      </c>
      <c r="Y1550" s="132"/>
      <c r="Z1550" s="146"/>
      <c r="AA1550" s="138">
        <f>AA1547-AA1548</f>
        <v>33.392696442514691</v>
      </c>
      <c r="AB1550" s="132"/>
      <c r="AC1550" s="146"/>
      <c r="AD1550" s="138">
        <f>AD1547-AD1548</f>
        <v>4.1890816097025265</v>
      </c>
      <c r="AE1550" s="132"/>
      <c r="AF1550" s="146"/>
      <c r="AG1550" s="138">
        <f>AG1547-AG1548</f>
        <v>-40.62590669621666</v>
      </c>
      <c r="AH1550" s="132"/>
      <c r="AI1550" s="146"/>
      <c r="AJ1550" s="138">
        <f>AJ1547-AJ1548</f>
        <v>-96.429513762548979</v>
      </c>
      <c r="AK1550" s="132"/>
      <c r="AL1550" s="146"/>
      <c r="AM1550" s="138">
        <f>AM1547-AM1548</f>
        <v>-151.52790902345328</v>
      </c>
      <c r="AN1550" s="132"/>
      <c r="AO1550" s="146"/>
      <c r="AP1550" s="138">
        <f>AP1547-AP1548</f>
        <v>-200.97291874967758</v>
      </c>
      <c r="AQ1550" s="132"/>
      <c r="AR1550" s="146"/>
      <c r="AS1550" s="138">
        <f>AS1547-AS1548</f>
        <v>-262.51790654144747</v>
      </c>
      <c r="AT1550" s="132"/>
      <c r="AU1550" s="146"/>
    </row>
    <row r="1551" spans="13:47" ht="14.5" x14ac:dyDescent="0.35">
      <c r="M1551" s="27"/>
      <c r="N1551" s="27"/>
      <c r="O1551" s="2" t="s">
        <v>191</v>
      </c>
      <c r="P1551" s="10"/>
      <c r="Q1551" s="2"/>
      <c r="R1551" s="181">
        <f>R1550/R1547</f>
        <v>0.50258170061301177</v>
      </c>
      <c r="S1551" s="132"/>
      <c r="T1551" s="146"/>
      <c r="U1551" s="138">
        <f>U1550/U1547</f>
        <v>0.49892033968485811</v>
      </c>
      <c r="V1551" s="132"/>
      <c r="W1551" s="146"/>
      <c r="X1551" s="138">
        <f>X1550/X1547</f>
        <v>0.47920677660693189</v>
      </c>
      <c r="Y1551" s="132"/>
      <c r="Z1551" s="146"/>
      <c r="AA1551" s="138">
        <f>AA1550/AA1547</f>
        <v>0.40042711013108162</v>
      </c>
      <c r="AB1551" s="132"/>
      <c r="AC1551" s="146"/>
      <c r="AD1551" s="138">
        <f>AD1550/AD1547</f>
        <v>7.7304901379846858E-2</v>
      </c>
      <c r="AE1551" s="132"/>
      <c r="AF1551" s="146"/>
      <c r="AG1551" s="138">
        <f>AG1550/AG1547</f>
        <v>-4.3338491926275404</v>
      </c>
      <c r="AH1551" s="132"/>
      <c r="AI1551" s="146"/>
      <c r="AJ1551" s="138">
        <f>AJ1550/AJ1547</f>
        <v>2.0769012196791743</v>
      </c>
      <c r="AK1551" s="132"/>
      <c r="AL1551" s="146"/>
      <c r="AM1551" s="138">
        <f>AM1550/AM1547</f>
        <v>1.4924754235650599</v>
      </c>
      <c r="AN1551" s="132"/>
      <c r="AO1551" s="146"/>
      <c r="AP1551" s="138">
        <f>AP1550/AP1547</f>
        <v>1.3311852245693354</v>
      </c>
      <c r="AQ1551" s="132"/>
      <c r="AR1551" s="146"/>
      <c r="AS1551" s="138">
        <f>AS1550/AS1547</f>
        <v>1.2352742920053588</v>
      </c>
      <c r="AT1551" s="132"/>
      <c r="AU1551" s="146"/>
    </row>
    <row r="1552" spans="13:47" x14ac:dyDescent="0.25">
      <c r="M1552" s="27"/>
      <c r="N1552" s="27"/>
      <c r="O1552" s="2" t="s">
        <v>26</v>
      </c>
      <c r="P1552" s="7">
        <v>12</v>
      </c>
      <c r="Q1552" s="2"/>
      <c r="R1552" s="181">
        <f>1-R1551/(3*F_GAMMA*R$29)</f>
        <v>0.73824969117237438</v>
      </c>
      <c r="S1552" s="133"/>
      <c r="T1552" s="146"/>
      <c r="U1552" s="138">
        <f>1-U1551/(3*F_GAMMA*U$29)</f>
        <v>0.74021378095241608</v>
      </c>
      <c r="V1552" s="133"/>
      <c r="W1552" s="146"/>
      <c r="X1552" s="138">
        <f>1-X1551/(3*F_GAMMA*X$29)</f>
        <v>0.74673535139180469</v>
      </c>
      <c r="Y1552" s="133"/>
      <c r="Z1552" s="146"/>
      <c r="AA1552" s="138">
        <f>1-AA1551/(3*F_GAMMA*AA$29)</f>
        <v>0.78546931333189762</v>
      </c>
      <c r="AB1552" s="133"/>
      <c r="AC1552" s="146"/>
      <c r="AD1552" s="138">
        <f>1-AD1551/(3*F_GAMMA*AD$29)</f>
        <v>0.95744798825593047</v>
      </c>
      <c r="AE1552" s="133"/>
      <c r="AF1552" s="146"/>
      <c r="AG1552" s="138">
        <f>1-AG1551/(3*F_GAMMA*AG$29)</f>
        <v>3.5216158887474855</v>
      </c>
      <c r="AH1552" s="133"/>
      <c r="AI1552" s="146"/>
      <c r="AJ1552" s="138">
        <f>1-AJ1551/(3*F_GAMMA*AJ$29)</f>
        <v>-0.29182650681371447</v>
      </c>
      <c r="AK1552" s="133"/>
      <c r="AL1552" s="146"/>
      <c r="AM1552" s="138">
        <f>1-AM1551/(3*F_GAMMA*AM$29)</f>
        <v>-1.4278935085734856E-2</v>
      </c>
      <c r="AN1552" s="133"/>
      <c r="AO1552" s="146"/>
      <c r="AP1552" s="138">
        <f>1-AP1551/(3*F_GAMMA*AP$29)</f>
        <v>0.25239067095845868</v>
      </c>
      <c r="AQ1552" s="133"/>
      <c r="AR1552" s="146"/>
      <c r="AS1552" s="138">
        <f>1-AS1551/(3*F_GAMMA*AS$29)</f>
        <v>-5.3164611466388623E-2</v>
      </c>
      <c r="AT1552" s="133"/>
      <c r="AU1552" s="146"/>
    </row>
    <row r="1553" spans="13:47" x14ac:dyDescent="0.25">
      <c r="M1553" s="27"/>
      <c r="N1553" s="27"/>
      <c r="O1553" s="2" t="s">
        <v>71</v>
      </c>
      <c r="P1553" s="85">
        <v>5</v>
      </c>
      <c r="Q1553" s="2"/>
      <c r="R1553" s="179">
        <f>R1545/((N_6*R$27*R1552)*SQRT(R1551*R1547*R1549))</f>
        <v>0.4202631348349678</v>
      </c>
      <c r="S1553" s="133"/>
      <c r="T1553" s="146"/>
      <c r="U1553" s="143">
        <f>U1545/((N_6*U$27*U1552)*SQRT(U1551*U1547*U1549))</f>
        <v>5.9365215856151483</v>
      </c>
      <c r="V1553" s="133"/>
      <c r="W1553" s="146"/>
      <c r="X1553" s="143">
        <f>X1545/((N_6*X$27*X1552)*SQRT(X1551*X1547*X1549))</f>
        <v>15.468265682367651</v>
      </c>
      <c r="Y1553" s="133"/>
      <c r="Z1553" s="146"/>
      <c r="AA1553" s="143">
        <f>AA1545/((N_6*AA$27*AA1552)*SQRT(AA1551*AA1547*AA1549))</f>
        <v>36.280907343695816</v>
      </c>
      <c r="AB1553" s="133"/>
      <c r="AC1553" s="146"/>
      <c r="AD1553" s="143">
        <f>AD1545/((N_6*AD$27*AD1552)*SQRT(AD1551*AD1547*AD1549))</f>
        <v>173.49221347781597</v>
      </c>
      <c r="AE1553" s="133"/>
      <c r="AF1553" s="146"/>
      <c r="AG1553" s="143" t="e">
        <f>AG1545/((N_6*AG$27*AG1552)*SQRT(AG1551*AG1547*AG1549))</f>
        <v>#NUM!</v>
      </c>
      <c r="AH1553" s="133"/>
      <c r="AI1553" s="146"/>
      <c r="AJ1553" s="143">
        <f>AJ1545/((N_6*AJ$27*AJ1552)*SQRT(AJ1551*AJ1547*AJ1549))</f>
        <v>-241.18687422090505</v>
      </c>
      <c r="AK1553" s="133"/>
      <c r="AL1553" s="146"/>
      <c r="AM1553" s="143">
        <f>AM1545/((N_6*AM$27*AM1552)*SQRT(AM1551*AM1547*AM1549))</f>
        <v>-3309.5719788598217</v>
      </c>
      <c r="AN1553" s="133"/>
      <c r="AO1553" s="146"/>
      <c r="AP1553" s="143">
        <f>AP1545/((N_6*AP$27*AP1552)*SQRT(AP1551*AP1547*AP1549))</f>
        <v>168.96794682303775</v>
      </c>
      <c r="AQ1553" s="133"/>
      <c r="AR1553" s="146"/>
      <c r="AS1553" s="143">
        <f>AS1545/((N_6*AS$27*AS1552)*SQRT(AS1551*AS1547*AS1549))</f>
        <v>-867.19861543759043</v>
      </c>
      <c r="AT1553" s="133"/>
      <c r="AU1553" s="146"/>
    </row>
    <row r="1554" spans="13:47" x14ac:dyDescent="0.25">
      <c r="M1554" s="27"/>
      <c r="N1554" s="27"/>
      <c r="O1554" s="2" t="s">
        <v>73</v>
      </c>
      <c r="P1554" s="85">
        <v>5</v>
      </c>
      <c r="Q1554" s="2"/>
      <c r="R1554" s="179">
        <f>R1545/((N_6*R$27*0.667)*SQRT(R1555*R1547*R1549))</f>
        <v>0.41219523259964042</v>
      </c>
      <c r="S1554" s="133"/>
      <c r="T1554" s="147"/>
      <c r="U1554" s="143">
        <f>U1545/((N_6*U$27*0.667)*SQRT(U1555*U1547*U1549))</f>
        <v>5.8161026866596739</v>
      </c>
      <c r="V1554" s="133"/>
      <c r="W1554" s="155"/>
      <c r="X1554" s="143">
        <f>X1545/((N_6*X$27*0.667)*SQRT(X1555*X1547*X1549))</f>
        <v>15.094906079419511</v>
      </c>
      <c r="Y1554" s="133"/>
      <c r="Z1554" s="155"/>
      <c r="AA1554" s="143">
        <f>AA1545/((N_6*AA$27*0.667)*SQRT(AA1555*AA1547*AA1549))</f>
        <v>34.275742170370314</v>
      </c>
      <c r="AB1554" s="133"/>
      <c r="AC1554" s="155"/>
      <c r="AD1554" s="143">
        <f>AD1545/((N_6*AD$27*0.667)*SQRT(AD1555*AD1547*AD1549))</f>
        <v>88.979512281990594</v>
      </c>
      <c r="AE1554" s="133"/>
      <c r="AF1554" s="155"/>
      <c r="AG1554" s="143">
        <f>AG1545/((N_6*AG$27*0.667)*SQRT(AG1555*AG1547*AG1549))</f>
        <v>757.73265811734893</v>
      </c>
      <c r="AH1554" s="133"/>
      <c r="AI1554" s="155"/>
      <c r="AJ1554" s="143">
        <f>AJ1545/((N_6*AJ$27*0.667)*SQRT(AJ1555*AJ1547*AJ1549))</f>
        <v>207.73768851580877</v>
      </c>
      <c r="AK1554" s="133"/>
      <c r="AL1554" s="155"/>
      <c r="AM1554" s="143">
        <f>AM1545/((N_6*AM$27*0.667)*SQRT(AM1555*AM1547*AM1549))</f>
        <v>123.58937800176479</v>
      </c>
      <c r="AN1554" s="133"/>
      <c r="AO1554" s="155"/>
      <c r="AP1554" s="143">
        <f>AP1545/((N_6*AP$27*0.667)*SQRT(AP1555*AP1547*AP1549))</f>
        <v>95.752423439950618</v>
      </c>
      <c r="AQ1554" s="133"/>
      <c r="AR1554" s="155"/>
      <c r="AS1554" s="143">
        <f>AS1545/((N_6*AS$27*0.667)*SQRT(AS1555*AS1547*AS1549))</f>
        <v>122.86385630896864</v>
      </c>
      <c r="AT1554" s="133"/>
      <c r="AU1554" s="155"/>
    </row>
    <row r="1555" spans="13:47" ht="15.5" x14ac:dyDescent="0.4">
      <c r="M1555" s="27"/>
      <c r="N1555" s="27"/>
      <c r="O1555" s="2" t="s">
        <v>192</v>
      </c>
      <c r="P1555" s="85">
        <v>10</v>
      </c>
      <c r="Q1555" s="2"/>
      <c r="R1555" s="181">
        <f>F_GAMMA*R$29</f>
        <v>0.64002688015162901</v>
      </c>
      <c r="S1555" s="133"/>
      <c r="T1555" s="147"/>
      <c r="U1555" s="138">
        <f>F_GAMMA*U$29</f>
        <v>0.64016782916606918</v>
      </c>
      <c r="V1555" s="133"/>
      <c r="W1555" s="155"/>
      <c r="X1555" s="138">
        <f>F_GAMMA*X$29</f>
        <v>0.6307062319203669</v>
      </c>
      <c r="Y1555" s="133"/>
      <c r="Z1555" s="155"/>
      <c r="AA1555" s="138">
        <f>F_GAMMA*AA$29</f>
        <v>0.62217534213893466</v>
      </c>
      <c r="AB1555" s="133"/>
      <c r="AC1555" s="155"/>
      <c r="AD1555" s="138">
        <f>F_GAMMA*AD$29</f>
        <v>0.60557184969146072</v>
      </c>
      <c r="AE1555" s="133"/>
      <c r="AF1555" s="155"/>
      <c r="AG1555" s="138">
        <f>F_GAMMA*AG$29</f>
        <v>0.57289312142622573</v>
      </c>
      <c r="AH1555" s="133"/>
      <c r="AI1555" s="155"/>
      <c r="AJ1555" s="138">
        <f>F_GAMMA*AJ$29</f>
        <v>0.53590819116049981</v>
      </c>
      <c r="AK1555" s="133"/>
      <c r="AL1555" s="155"/>
      <c r="AM1555" s="138">
        <f>F_GAMMA*AM$29</f>
        <v>0.49048815926850342</v>
      </c>
      <c r="AN1555" s="133"/>
      <c r="AO1555" s="155"/>
      <c r="AP1555" s="138">
        <f>F_GAMMA*AP$29</f>
        <v>0.59352979016280105</v>
      </c>
      <c r="AQ1555" s="133"/>
      <c r="AR1555" s="155"/>
      <c r="AS1555" s="138">
        <f>F_GAMMA*AS$29</f>
        <v>0.39097221161068291</v>
      </c>
      <c r="AT1555" s="133"/>
      <c r="AU1555" s="155"/>
    </row>
    <row r="1556" spans="13:47" x14ac:dyDescent="0.25">
      <c r="M1556" s="27"/>
      <c r="N1556" s="27"/>
      <c r="O1556" s="2" t="s">
        <v>193</v>
      </c>
      <c r="P1556" s="134"/>
      <c r="Q1556" s="2"/>
      <c r="R1556" s="181">
        <f>IF(R1551&lt;R1555,R1553,R1554)</f>
        <v>0.4202631348349678</v>
      </c>
      <c r="S1556" s="133"/>
      <c r="T1556" s="147"/>
      <c r="U1556" s="138">
        <f>IF(U1551&lt;U1555,U1553,U1554)</f>
        <v>5.9365215856151483</v>
      </c>
      <c r="V1556" s="133"/>
      <c r="W1556" s="155"/>
      <c r="X1556" s="138">
        <f>IF(X1551&lt;X1555,X1553,X1554)</f>
        <v>15.468265682367651</v>
      </c>
      <c r="Y1556" s="133"/>
      <c r="Z1556" s="155"/>
      <c r="AA1556" s="138">
        <f>IF(AA1551&lt;AA1555,AA1553,AA1554)</f>
        <v>36.280907343695816</v>
      </c>
      <c r="AB1556" s="133"/>
      <c r="AC1556" s="155"/>
      <c r="AD1556" s="138">
        <f>IF(AD1551&lt;AD1555,AD1553,AD1554)</f>
        <v>173.49221347781597</v>
      </c>
      <c r="AE1556" s="133"/>
      <c r="AF1556" s="155"/>
      <c r="AG1556" s="138" t="e">
        <f>IF(AG1551&lt;AG1555,AG1553,AG1554)</f>
        <v>#NUM!</v>
      </c>
      <c r="AH1556" s="133"/>
      <c r="AI1556" s="155"/>
      <c r="AJ1556" s="138">
        <f>IF(AJ1551&lt;AJ1555,AJ1553,AJ1554)</f>
        <v>207.73768851580877</v>
      </c>
      <c r="AK1556" s="133"/>
      <c r="AL1556" s="155"/>
      <c r="AM1556" s="138">
        <f>IF(AM1551&lt;AM1555,AM1553,AM1554)</f>
        <v>123.58937800176479</v>
      </c>
      <c r="AN1556" s="133"/>
      <c r="AO1556" s="155"/>
      <c r="AP1556" s="138">
        <f>IF(AP1551&lt;AP1555,AP1553,AP1554)</f>
        <v>95.752423439950618</v>
      </c>
      <c r="AQ1556" s="133"/>
      <c r="AR1556" s="155"/>
      <c r="AS1556" s="138">
        <f>IF(AS1551&lt;AS1555,AS1553,AS1554)</f>
        <v>122.86385630896864</v>
      </c>
      <c r="AT1556" s="133"/>
      <c r="AU1556" s="155"/>
    </row>
    <row r="1557" spans="13:47" ht="13" x14ac:dyDescent="0.3">
      <c r="M1557" s="28"/>
      <c r="N1557" s="28"/>
      <c r="O1557" s="9" t="s">
        <v>194</v>
      </c>
      <c r="P1557" s="1"/>
      <c r="Q1557" s="1"/>
      <c r="R1557" s="135"/>
      <c r="S1557" s="132">
        <f>IF(R1550&lt;=0,W_max,ABS(R$23-R1556))</f>
        <v>1.5797368651650321</v>
      </c>
      <c r="T1557" s="151">
        <f>R1545</f>
        <v>97.190549365333581</v>
      </c>
      <c r="U1557" s="135"/>
      <c r="V1557" s="132">
        <f>IF(U1550&lt;=0,W_max,ABS(U$23-U1556))</f>
        <v>0.93652158561514831</v>
      </c>
      <c r="W1557" s="151">
        <f>U1545</f>
        <v>1360.6485860118266</v>
      </c>
      <c r="X1557" s="135"/>
      <c r="Y1557" s="132">
        <f>IF(X1550&lt;=0,W_max,ABS(X$23-X1556))</f>
        <v>5.468265682367651</v>
      </c>
      <c r="Z1557" s="151">
        <f>X1545</f>
        <v>3365.0458722870421</v>
      </c>
      <c r="AA1557" s="135"/>
      <c r="AB1557" s="132">
        <f>IF(AA1550&lt;=0,W_max,ABS(AA$23-AA1556))</f>
        <v>19.080907343695817</v>
      </c>
      <c r="AC1557" s="151">
        <f>AA1545</f>
        <v>6554.2504466905621</v>
      </c>
      <c r="AD1557" s="135"/>
      <c r="AE1557" s="132">
        <f>IF(AD1550&lt;=0,W_max,ABS(AD$23-AD1556))</f>
        <v>146.89221347781597</v>
      </c>
      <c r="AF1557" s="151">
        <f>AD1545</f>
        <v>10779.328852961778</v>
      </c>
      <c r="AG1557" s="135"/>
      <c r="AH1557" s="132">
        <f>IF(AG1550&lt;=0,W_max,ABS(AG$23-AG1556))</f>
        <v>7174</v>
      </c>
      <c r="AI1557" s="151">
        <f>AG1545</f>
        <v>15118.838575517842</v>
      </c>
      <c r="AJ1557" s="135"/>
      <c r="AK1557" s="132">
        <f>IF(AJ1550&lt;=0,W_max,ABS(AJ$23-AJ1556))</f>
        <v>7174</v>
      </c>
      <c r="AL1557" s="151">
        <f>AJ1545</f>
        <v>19196.913184895897</v>
      </c>
      <c r="AM1557" s="135"/>
      <c r="AN1557" s="132">
        <f>IF(AM1550&lt;=0,W_max,ABS(AM$23-AM1556))</f>
        <v>7174</v>
      </c>
      <c r="AO1557" s="151">
        <f>AM1545</f>
        <v>22509.890449063121</v>
      </c>
      <c r="AP1557" s="135"/>
      <c r="AQ1557" s="132">
        <f>IF(AP1550&lt;=0,W_max,ABS(AP$23-AP1556))</f>
        <v>7174</v>
      </c>
      <c r="AR1557" s="151">
        <f>AP1545</f>
        <v>25113.572260923658</v>
      </c>
      <c r="AS1557" s="135"/>
      <c r="AT1557" s="132">
        <f>IF(AS1550&lt;=0,W_max,ABS(AS$23-AS1556))</f>
        <v>7174</v>
      </c>
      <c r="AU1557" s="151">
        <f>AS1545</f>
        <v>28018.417643204655</v>
      </c>
    </row>
    <row r="1558" spans="13:47" ht="13" x14ac:dyDescent="0.25">
      <c r="M1558" s="12"/>
      <c r="N1558" s="12"/>
      <c r="O1558" s="12"/>
      <c r="P1558" s="12"/>
      <c r="Q1558" s="12"/>
      <c r="R1558" s="182"/>
      <c r="S1558" s="22"/>
      <c r="T1558" s="152"/>
      <c r="U1558" s="157"/>
      <c r="V1558" s="1"/>
      <c r="W1558" s="147"/>
      <c r="X1558" s="157"/>
      <c r="Y1558" s="1"/>
      <c r="Z1558" s="147"/>
      <c r="AA1558" s="157"/>
      <c r="AB1558" s="1"/>
      <c r="AC1558" s="147"/>
      <c r="AD1558" s="157"/>
      <c r="AE1558" s="1"/>
      <c r="AF1558" s="147"/>
      <c r="AG1558" s="157"/>
      <c r="AH1558" s="1"/>
      <c r="AI1558" s="147"/>
      <c r="AJ1558" s="157"/>
      <c r="AK1558" s="1"/>
      <c r="AL1558" s="147"/>
      <c r="AM1558" s="157"/>
      <c r="AN1558" s="1"/>
      <c r="AO1558" s="147"/>
      <c r="AP1558" s="157"/>
      <c r="AQ1558" s="1"/>
      <c r="AR1558" s="147"/>
      <c r="AS1558" s="157"/>
      <c r="AT1558" s="1"/>
      <c r="AU1558" s="147"/>
    </row>
    <row r="1559" spans="13:47" ht="14" x14ac:dyDescent="0.3">
      <c r="M1559" s="23"/>
      <c r="N1559" s="23"/>
      <c r="O1559" s="23" t="s">
        <v>238</v>
      </c>
      <c r="P1559" s="20"/>
      <c r="Q1559" s="20"/>
      <c r="R1559" s="18">
        <f>R1545*1.02</f>
        <v>99.134360352640257</v>
      </c>
      <c r="S1559" s="128" t="s">
        <v>185</v>
      </c>
      <c r="T1559" s="153" t="s">
        <v>186</v>
      </c>
      <c r="U1559" s="143">
        <f>U1545*1.01</f>
        <v>1374.2550718719449</v>
      </c>
      <c r="V1559" s="128" t="s">
        <v>185</v>
      </c>
      <c r="W1559" s="153" t="s">
        <v>186</v>
      </c>
      <c r="X1559" s="143">
        <f>X1545*1.01</f>
        <v>3398.6963310099127</v>
      </c>
      <c r="Y1559" s="128" t="s">
        <v>185</v>
      </c>
      <c r="Z1559" s="153" t="s">
        <v>186</v>
      </c>
      <c r="AA1559" s="143">
        <f>AA1545*1.01</f>
        <v>6619.7929511574675</v>
      </c>
      <c r="AB1559" s="128" t="s">
        <v>185</v>
      </c>
      <c r="AC1559" s="153" t="s">
        <v>186</v>
      </c>
      <c r="AD1559" s="143">
        <f>AD1545*1.01</f>
        <v>10887.122141491396</v>
      </c>
      <c r="AE1559" s="128" t="s">
        <v>185</v>
      </c>
      <c r="AF1559" s="153" t="s">
        <v>186</v>
      </c>
      <c r="AG1559" s="143">
        <f>AG1545*1.01</f>
        <v>15270.026961273021</v>
      </c>
      <c r="AH1559" s="128" t="s">
        <v>185</v>
      </c>
      <c r="AI1559" s="153" t="s">
        <v>186</v>
      </c>
      <c r="AJ1559" s="143">
        <f>AJ1545*1.01</f>
        <v>19388.882316744857</v>
      </c>
      <c r="AK1559" s="128" t="s">
        <v>185</v>
      </c>
      <c r="AL1559" s="153" t="s">
        <v>186</v>
      </c>
      <c r="AM1559" s="143">
        <f>AM1545*1.01</f>
        <v>22734.989353553752</v>
      </c>
      <c r="AN1559" s="128" t="s">
        <v>185</v>
      </c>
      <c r="AO1559" s="153" t="s">
        <v>186</v>
      </c>
      <c r="AP1559" s="143">
        <f>AP1545*1.01</f>
        <v>25364.707983532895</v>
      </c>
      <c r="AQ1559" s="128" t="s">
        <v>185</v>
      </c>
      <c r="AR1559" s="153" t="s">
        <v>186</v>
      </c>
      <c r="AS1559" s="143">
        <f>AS1545*1.01</f>
        <v>28298.6018196367</v>
      </c>
      <c r="AT1559" s="128" t="s">
        <v>185</v>
      </c>
      <c r="AU1559" s="153" t="s">
        <v>186</v>
      </c>
    </row>
    <row r="1560" spans="13:47" ht="14" x14ac:dyDescent="0.3">
      <c r="M1560" s="12"/>
      <c r="N1560" s="12"/>
      <c r="O1560" s="20"/>
      <c r="P1560" s="20"/>
      <c r="Q1560" s="23"/>
      <c r="R1560" s="139"/>
      <c r="S1560" s="130" t="s">
        <v>228</v>
      </c>
      <c r="T1560" s="154" t="s">
        <v>187</v>
      </c>
      <c r="U1560" s="144"/>
      <c r="V1560" s="130" t="s">
        <v>228</v>
      </c>
      <c r="W1560" s="154" t="s">
        <v>187</v>
      </c>
      <c r="X1560" s="144"/>
      <c r="Y1560" s="130" t="s">
        <v>228</v>
      </c>
      <c r="Z1560" s="154" t="s">
        <v>187</v>
      </c>
      <c r="AA1560" s="144"/>
      <c r="AB1560" s="130" t="s">
        <v>228</v>
      </c>
      <c r="AC1560" s="154" t="s">
        <v>187</v>
      </c>
      <c r="AD1560" s="144"/>
      <c r="AE1560" s="130" t="s">
        <v>228</v>
      </c>
      <c r="AF1560" s="154" t="s">
        <v>187</v>
      </c>
      <c r="AG1560" s="144"/>
      <c r="AH1560" s="130" t="s">
        <v>228</v>
      </c>
      <c r="AI1560" s="154" t="s">
        <v>187</v>
      </c>
      <c r="AJ1560" s="144"/>
      <c r="AK1560" s="130" t="s">
        <v>228</v>
      </c>
      <c r="AL1560" s="154" t="s">
        <v>187</v>
      </c>
      <c r="AM1560" s="144"/>
      <c r="AN1560" s="130" t="s">
        <v>228</v>
      </c>
      <c r="AO1560" s="154" t="s">
        <v>187</v>
      </c>
      <c r="AP1560" s="144"/>
      <c r="AQ1560" s="130" t="s">
        <v>228</v>
      </c>
      <c r="AR1560" s="154" t="s">
        <v>187</v>
      </c>
      <c r="AS1560" s="144"/>
      <c r="AT1560" s="130" t="s">
        <v>228</v>
      </c>
      <c r="AU1560" s="154" t="s">
        <v>187</v>
      </c>
    </row>
    <row r="1561" spans="13:47" x14ac:dyDescent="0.25">
      <c r="M1561" s="20"/>
      <c r="N1561" s="20"/>
      <c r="O1561" s="7" t="s">
        <v>188</v>
      </c>
      <c r="P1561" s="7"/>
      <c r="Q1561" s="7"/>
      <c r="R1561" s="181">
        <f>P_1_minW-(R1559^2*R_up)+dpup_minQ</f>
        <v>100.51886785636761</v>
      </c>
      <c r="S1561" s="132"/>
      <c r="T1561" s="145"/>
      <c r="U1561" s="138">
        <f>P_1_minW-(U1559^2*R_up)+dpup_minQ</f>
        <v>99.769694302769707</v>
      </c>
      <c r="V1561" s="132"/>
      <c r="W1561" s="145"/>
      <c r="X1561" s="138">
        <f>P_1_minW-(X1559^2*R_up)+dpup_minQ</f>
        <v>95.91663423220821</v>
      </c>
      <c r="Y1561" s="132"/>
      <c r="Z1561" s="145"/>
      <c r="AA1561" s="138">
        <f>P_1_minW-(AA1559^2*R_up)+dpup_minQ</f>
        <v>83.048381627601032</v>
      </c>
      <c r="AB1561" s="132"/>
      <c r="AC1561" s="145"/>
      <c r="AD1561" s="138">
        <f>P_1_minW-(AD1559^2*R_up)+dpup_minQ</f>
        <v>53.257774136649338</v>
      </c>
      <c r="AE1561" s="132"/>
      <c r="AF1561" s="145"/>
      <c r="AG1561" s="138">
        <f>P_1_minW-(AG1559^2*R_up)+dpup_minQ</f>
        <v>7.542004565781169</v>
      </c>
      <c r="AH1561" s="132"/>
      <c r="AI1561" s="145"/>
      <c r="AJ1561" s="138">
        <f>P_1_minW-(AJ1559^2*R_up)+dpup_minQ</f>
        <v>-49.383255002584448</v>
      </c>
      <c r="AK1561" s="132"/>
      <c r="AL1561" s="145"/>
      <c r="AM1561" s="138">
        <f>P_1_minW-(AM1559^2*R_up)+dpup_minQ</f>
        <v>-105.58912800823286</v>
      </c>
      <c r="AN1561" s="132"/>
      <c r="AO1561" s="145"/>
      <c r="AP1561" s="138">
        <f>P_1_minW-(AP1559^2*R_up)+dpup_minQ</f>
        <v>-156.02798242995433</v>
      </c>
      <c r="AQ1561" s="132"/>
      <c r="AR1561" s="145"/>
      <c r="AS1561" s="138">
        <f>P_1_minW-(AS1559^2*R_up)+dpup_minQ</f>
        <v>-218.81002447633873</v>
      </c>
      <c r="AT1561" s="132"/>
      <c r="AU1561" s="145"/>
    </row>
    <row r="1562" spans="13:47" x14ac:dyDescent="0.25">
      <c r="M1562" s="20"/>
      <c r="N1562" s="20"/>
      <c r="O1562" s="7" t="s">
        <v>189</v>
      </c>
      <c r="P1562" s="1"/>
      <c r="Q1562" s="7"/>
      <c r="R1562" s="181">
        <f>P_2_minW+(R1559^2*R_dn)-dpdn_minQ</f>
        <v>50</v>
      </c>
      <c r="S1562" s="132"/>
      <c r="T1562" s="146"/>
      <c r="U1562" s="138">
        <f>P_2_minW+(U1559^2*R_dn)-dpdn_minQ</f>
        <v>50</v>
      </c>
      <c r="V1562" s="132"/>
      <c r="W1562" s="146"/>
      <c r="X1562" s="138">
        <f>P_2_minW+(X1559^2*R_dn)-dpdn_minQ</f>
        <v>50</v>
      </c>
      <c r="Y1562" s="132"/>
      <c r="Z1562" s="146"/>
      <c r="AA1562" s="138">
        <f>P_2_minW+(AA1559^2*R_dn)-dpdn_minQ</f>
        <v>50</v>
      </c>
      <c r="AB1562" s="132"/>
      <c r="AC1562" s="146"/>
      <c r="AD1562" s="138">
        <f>P_2_minW+(AD1559^2*R_dn)-dpdn_minQ</f>
        <v>50</v>
      </c>
      <c r="AE1562" s="132"/>
      <c r="AF1562" s="146"/>
      <c r="AG1562" s="138">
        <f>P_2_minW+(AG1559^2*R_dn)-dpdn_minQ</f>
        <v>50</v>
      </c>
      <c r="AH1562" s="132"/>
      <c r="AI1562" s="146"/>
      <c r="AJ1562" s="138">
        <f>P_2_minW+(AJ1559^2*R_dn)-dpdn_minQ</f>
        <v>50</v>
      </c>
      <c r="AK1562" s="132"/>
      <c r="AL1562" s="146"/>
      <c r="AM1562" s="138">
        <f>P_2_minW+(AM1559^2*R_dn)-dpdn_minQ</f>
        <v>50</v>
      </c>
      <c r="AN1562" s="132"/>
      <c r="AO1562" s="146"/>
      <c r="AP1562" s="138">
        <f>P_2_minW+(AP1559^2*R_dn)-dpdn_minQ</f>
        <v>50</v>
      </c>
      <c r="AQ1562" s="132"/>
      <c r="AR1562" s="146"/>
      <c r="AS1562" s="138">
        <f>P_2_minW+(AS1559^2*R_dn)-dpdn_minQ</f>
        <v>50</v>
      </c>
      <c r="AT1562" s="132"/>
      <c r="AU1562" s="146"/>
    </row>
    <row r="1563" spans="13:47" x14ac:dyDescent="0.25">
      <c r="M1563" s="20"/>
      <c r="N1563" s="20"/>
      <c r="O1563" s="7" t="s">
        <v>234</v>
      </c>
      <c r="P1563" s="1"/>
      <c r="Q1563" s="7"/>
      <c r="R1563" s="179">
        <f>'Valve Sizing'!G$8*R1561/P_1_maxW</f>
        <v>0.48488512225775227</v>
      </c>
      <c r="S1563" s="132"/>
      <c r="T1563" s="146"/>
      <c r="U1563" s="143">
        <f>'Valve Sizing'!$G$8*U1561/P_1_maxW</f>
        <v>0.48127124241732605</v>
      </c>
      <c r="V1563" s="132"/>
      <c r="W1563" s="146"/>
      <c r="X1563" s="143">
        <f>'Valve Sizing'!$G$8*X1561/P_1_maxW</f>
        <v>0.46268476663200087</v>
      </c>
      <c r="Y1563" s="132"/>
      <c r="Z1563" s="146"/>
      <c r="AA1563" s="143">
        <f>'Valve Sizing'!$G$8*AA1561/P_1_maxW</f>
        <v>0.40061060711854068</v>
      </c>
      <c r="AB1563" s="132"/>
      <c r="AC1563" s="146"/>
      <c r="AD1563" s="143">
        <f>'Valve Sizing'!$G$8*AD1561/P_1_maxW</f>
        <v>0.25690602047294242</v>
      </c>
      <c r="AE1563" s="132"/>
      <c r="AF1563" s="146"/>
      <c r="AG1563" s="143">
        <f>'Valve Sizing'!$G$8*AG1561/P_1_maxW</f>
        <v>3.6381287254178579E-2</v>
      </c>
      <c r="AH1563" s="132"/>
      <c r="AI1563" s="146"/>
      <c r="AJ1563" s="143">
        <f>'Valve Sizing'!$G$8*AJ1561/P_1_maxW</f>
        <v>-0.23821602998582767</v>
      </c>
      <c r="AK1563" s="132"/>
      <c r="AL1563" s="146"/>
      <c r="AM1563" s="143">
        <f>'Valve Sizing'!$G$8*AM1561/P_1_maxW</f>
        <v>-0.50934315452616929</v>
      </c>
      <c r="AN1563" s="132"/>
      <c r="AO1563" s="146"/>
      <c r="AP1563" s="143">
        <f>'Valve Sizing'!$G$8*AP1561/P_1_maxW</f>
        <v>-0.75265120817202125</v>
      </c>
      <c r="AQ1563" s="132"/>
      <c r="AR1563" s="146"/>
      <c r="AS1563" s="143">
        <f>'Valve Sizing'!$G$8*AS1561/P_1_maxW</f>
        <v>-1.05550060135014</v>
      </c>
      <c r="AT1563" s="132"/>
      <c r="AU1563" s="146"/>
    </row>
    <row r="1564" spans="13:47" x14ac:dyDescent="0.25">
      <c r="M1564" s="20"/>
      <c r="N1564" s="20"/>
      <c r="O1564" s="7" t="s">
        <v>190</v>
      </c>
      <c r="P1564" s="1"/>
      <c r="Q1564" s="7"/>
      <c r="R1564" s="181">
        <f>R1561-R1562</f>
        <v>50.518867856367606</v>
      </c>
      <c r="S1564" s="132"/>
      <c r="T1564" s="146"/>
      <c r="U1564" s="138">
        <f>U1561-U1562</f>
        <v>49.769694302769707</v>
      </c>
      <c r="V1564" s="132"/>
      <c r="W1564" s="146"/>
      <c r="X1564" s="138">
        <f>X1561-X1562</f>
        <v>45.91663423220821</v>
      </c>
      <c r="Y1564" s="132"/>
      <c r="Z1564" s="146"/>
      <c r="AA1564" s="138">
        <f>AA1561-AA1562</f>
        <v>33.048381627601032</v>
      </c>
      <c r="AB1564" s="132"/>
      <c r="AC1564" s="146"/>
      <c r="AD1564" s="138">
        <f>AD1561-AD1562</f>
        <v>3.2577741366493385</v>
      </c>
      <c r="AE1564" s="132"/>
      <c r="AF1564" s="146"/>
      <c r="AG1564" s="138">
        <f>AG1561-AG1562</f>
        <v>-42.45799543421883</v>
      </c>
      <c r="AH1564" s="132"/>
      <c r="AI1564" s="146"/>
      <c r="AJ1564" s="138">
        <f>AJ1561-AJ1562</f>
        <v>-99.383255002584448</v>
      </c>
      <c r="AK1564" s="132"/>
      <c r="AL1564" s="146"/>
      <c r="AM1564" s="138">
        <f>AM1561-AM1562</f>
        <v>-155.58912800823288</v>
      </c>
      <c r="AN1564" s="132"/>
      <c r="AO1564" s="146"/>
      <c r="AP1564" s="138">
        <f>AP1561-AP1562</f>
        <v>-206.02798242995433</v>
      </c>
      <c r="AQ1564" s="132"/>
      <c r="AR1564" s="146"/>
      <c r="AS1564" s="138">
        <f>AS1561-AS1562</f>
        <v>-268.81002447633875</v>
      </c>
      <c r="AT1564" s="132"/>
      <c r="AU1564" s="146"/>
    </row>
    <row r="1565" spans="13:47" ht="14.5" x14ac:dyDescent="0.35">
      <c r="M1565" s="27"/>
      <c r="N1565" s="27"/>
      <c r="O1565" s="2" t="s">
        <v>191</v>
      </c>
      <c r="P1565" s="10"/>
      <c r="Q1565" s="2"/>
      <c r="R1565" s="181">
        <f>R1564/R1561</f>
        <v>0.50258094757448435</v>
      </c>
      <c r="S1565" s="132"/>
      <c r="T1565" s="146"/>
      <c r="U1565" s="138">
        <f>U1564/U1561</f>
        <v>0.49884581335625133</v>
      </c>
      <c r="V1565" s="132"/>
      <c r="W1565" s="146"/>
      <c r="X1565" s="138">
        <f>X1564/X1561</f>
        <v>0.47871398532445258</v>
      </c>
      <c r="Y1565" s="132"/>
      <c r="Z1565" s="146"/>
      <c r="AA1565" s="138">
        <f>AA1564/AA1561</f>
        <v>0.39794130818579904</v>
      </c>
      <c r="AB1565" s="132"/>
      <c r="AC1565" s="146"/>
      <c r="AD1565" s="138">
        <f>AD1564/AD1561</f>
        <v>6.1169926634382213E-2</v>
      </c>
      <c r="AE1565" s="132"/>
      <c r="AF1565" s="146"/>
      <c r="AG1565" s="138">
        <f>AG1564/AG1561</f>
        <v>-5.6295372223526634</v>
      </c>
      <c r="AH1565" s="132"/>
      <c r="AI1565" s="146"/>
      <c r="AJ1565" s="138">
        <f>AJ1564/AJ1561</f>
        <v>2.0124889498957343</v>
      </c>
      <c r="AK1565" s="132"/>
      <c r="AL1565" s="146"/>
      <c r="AM1565" s="138">
        <f>AM1564/AM1561</f>
        <v>1.4735336008845672</v>
      </c>
      <c r="AN1565" s="132"/>
      <c r="AO1565" s="146"/>
      <c r="AP1565" s="138">
        <f>AP1564/AP1561</f>
        <v>1.3204553389802789</v>
      </c>
      <c r="AQ1565" s="132"/>
      <c r="AR1565" s="146"/>
      <c r="AS1565" s="138">
        <f>AS1564/AS1561</f>
        <v>1.2285087263239478</v>
      </c>
      <c r="AT1565" s="132"/>
      <c r="AU1565" s="146"/>
    </row>
    <row r="1566" spans="13:47" x14ac:dyDescent="0.25">
      <c r="M1566" s="27"/>
      <c r="N1566" s="27"/>
      <c r="O1566" s="2" t="s">
        <v>26</v>
      </c>
      <c r="P1566" s="7">
        <v>12</v>
      </c>
      <c r="Q1566" s="2"/>
      <c r="R1566" s="181">
        <f>1-R1565/(3*F_GAMMA*R$29)</f>
        <v>0.73825008336346865</v>
      </c>
      <c r="S1566" s="133"/>
      <c r="T1566" s="146"/>
      <c r="U1566" s="138">
        <f>1-U1565/(3*F_GAMMA*U$29)</f>
        <v>0.74025258657244852</v>
      </c>
      <c r="V1566" s="133"/>
      <c r="W1566" s="146"/>
      <c r="X1566" s="138">
        <f>1-X1565/(3*F_GAMMA*X$29)</f>
        <v>0.74699579556139262</v>
      </c>
      <c r="Y1566" s="133"/>
      <c r="Z1566" s="146"/>
      <c r="AA1566" s="138">
        <f>1-AA1565/(3*F_GAMMA*AA$29)</f>
        <v>0.78680109328572689</v>
      </c>
      <c r="AB1566" s="133"/>
      <c r="AC1566" s="146"/>
      <c r="AD1566" s="138">
        <f>1-AD1565/(3*F_GAMMA*AD$29)</f>
        <v>0.96632938675207114</v>
      </c>
      <c r="AE1566" s="133"/>
      <c r="AF1566" s="146"/>
      <c r="AG1566" s="138">
        <f>1-AG1565/(3*F_GAMMA*AG$29)</f>
        <v>4.2755017249627345</v>
      </c>
      <c r="AH1566" s="133"/>
      <c r="AI1566" s="146"/>
      <c r="AJ1566" s="138">
        <f>1-AJ1565/(3*F_GAMMA*AJ$29)</f>
        <v>-0.25176226269759927</v>
      </c>
      <c r="AK1566" s="133"/>
      <c r="AL1566" s="146"/>
      <c r="AM1566" s="138">
        <f>1-AM1565/(3*F_GAMMA*AM$29)</f>
        <v>-1.4061658370052577E-3</v>
      </c>
      <c r="AN1566" s="133"/>
      <c r="AO1566" s="146"/>
      <c r="AP1566" s="138">
        <f>1-AP1565/(3*F_GAMMA*AP$29)</f>
        <v>0.25841670130936067</v>
      </c>
      <c r="AQ1566" s="133"/>
      <c r="AR1566" s="146"/>
      <c r="AS1566" s="138">
        <f>1-AS1565/(3*F_GAMMA*AS$29)</f>
        <v>-4.7396455844331387E-2</v>
      </c>
      <c r="AT1566" s="133"/>
      <c r="AU1566" s="146"/>
    </row>
    <row r="1567" spans="13:47" x14ac:dyDescent="0.25">
      <c r="M1567" s="27"/>
      <c r="N1567" s="27"/>
      <c r="O1567" s="2" t="s">
        <v>71</v>
      </c>
      <c r="P1567" s="85">
        <v>5</v>
      </c>
      <c r="Q1567" s="2"/>
      <c r="R1567" s="179">
        <f>R1559/((N_6*R$27*R1566)*SQRT(R1565*R1561*R1563))</f>
        <v>0.4286691399084735</v>
      </c>
      <c r="S1567" s="133"/>
      <c r="T1567" s="146"/>
      <c r="U1567" s="143">
        <f>U1559/((N_6*U$27*U1566)*SQRT(U1565*U1561*U1563))</f>
        <v>5.9969121264903027</v>
      </c>
      <c r="V1567" s="133"/>
      <c r="W1567" s="146"/>
      <c r="X1567" s="143">
        <f>X1559/((N_6*X$27*X1566)*SQRT(X1565*X1561*X1563))</f>
        <v>15.640323009563271</v>
      </c>
      <c r="Y1567" s="133"/>
      <c r="Z1567" s="146"/>
      <c r="AA1567" s="143">
        <f>AA1559/((N_6*AA$27*AA1566)*SQRT(AA1565*AA1561*AA1563))</f>
        <v>36.847909096819464</v>
      </c>
      <c r="AB1567" s="133"/>
      <c r="AC1567" s="146"/>
      <c r="AD1567" s="143">
        <f>AD1559/((N_6*AD$27*AD1566)*SQRT(AD1565*AD1561*AD1563))</f>
        <v>198.58876745880909</v>
      </c>
      <c r="AE1567" s="133"/>
      <c r="AF1567" s="146"/>
      <c r="AG1567" s="143" t="e">
        <f>AG1559/((N_6*AG$27*AG1566)*SQRT(AG1565*AG1561*AG1563))</f>
        <v>#NUM!</v>
      </c>
      <c r="AH1567" s="133"/>
      <c r="AI1567" s="146"/>
      <c r="AJ1567" s="143">
        <f>AJ1559/((N_6*AJ$27*AJ1566)*SQRT(AJ1565*AJ1561*AJ1563))</f>
        <v>-269.68993471094802</v>
      </c>
      <c r="AK1567" s="133"/>
      <c r="AL1567" s="146"/>
      <c r="AM1567" s="143">
        <f>AM1559/((N_6*AM$27*AM1566)*SQRT(AM1565*AM1561*AM1563))</f>
        <v>-32846.741484013386</v>
      </c>
      <c r="AN1567" s="133"/>
      <c r="AO1567" s="146"/>
      <c r="AP1567" s="143">
        <f>AP1559/((N_6*AP$27*AP1566)*SQRT(AP1565*AP1561*AP1563))</f>
        <v>161.93188254412652</v>
      </c>
      <c r="AQ1567" s="133"/>
      <c r="AR1567" s="146"/>
      <c r="AS1567" s="143">
        <f>AS1559/((N_6*AS$27*AS1566)*SQRT(AS1565*AS1561*AS1563))</f>
        <v>-956.8362478738261</v>
      </c>
      <c r="AT1567" s="133"/>
      <c r="AU1567" s="146"/>
    </row>
    <row r="1568" spans="13:47" x14ac:dyDescent="0.25">
      <c r="M1568" s="27"/>
      <c r="N1568" s="27"/>
      <c r="O1568" s="2" t="s">
        <v>73</v>
      </c>
      <c r="P1568" s="85">
        <v>5</v>
      </c>
      <c r="Q1568" s="2"/>
      <c r="R1568" s="179">
        <f>R1559/((N_6*R$27*0.667)*SQRT(R1569*R1561*R1563))</f>
        <v>0.42043977375187697</v>
      </c>
      <c r="S1568" s="133"/>
      <c r="T1568" s="155"/>
      <c r="U1568" s="143">
        <f>U1559/((N_6*U$27*0.667)*SQRT(U1569*U1561*U1563))</f>
        <v>5.8751374015693303</v>
      </c>
      <c r="V1568" s="133"/>
      <c r="W1568" s="155"/>
      <c r="X1568" s="143">
        <f>X1559/((N_6*X$27*0.667)*SQRT(X1569*X1561*X1563))</f>
        <v>15.26028125823823</v>
      </c>
      <c r="Y1568" s="133"/>
      <c r="Z1568" s="155"/>
      <c r="AA1568" s="143">
        <f>AA1559/((N_6*AA$27*0.667)*SQRT(AA1569*AA1561*AA1563))</f>
        <v>34.762026317652882</v>
      </c>
      <c r="AB1568" s="133"/>
      <c r="AC1568" s="155"/>
      <c r="AD1568" s="143">
        <f>AD1559/((N_6*AD$27*0.667)*SQRT(AD1569*AD1561*AD1563))</f>
        <v>91.440833044794346</v>
      </c>
      <c r="AE1568" s="133"/>
      <c r="AF1568" s="155"/>
      <c r="AG1568" s="143">
        <f>AG1559/((N_6*AG$27*0.667)*SQRT(AG1569*AG1561*AG1563))</f>
        <v>951.21756295806335</v>
      </c>
      <c r="AH1568" s="133"/>
      <c r="AI1568" s="155"/>
      <c r="AJ1568" s="143">
        <f>AJ1559/((N_6*AJ$27*0.667)*SQRT(AJ1569*AJ1561*AJ1563))</f>
        <v>197.2654792826938</v>
      </c>
      <c r="AK1568" s="133"/>
      <c r="AL1568" s="155"/>
      <c r="AM1568" s="143">
        <f>AM1559/((N_6*AM$27*0.667)*SQRT(AM1569*AM1561*AM1563))</f>
        <v>120.02418313654879</v>
      </c>
      <c r="AN1568" s="133"/>
      <c r="AO1568" s="155"/>
      <c r="AP1568" s="143">
        <f>AP1559/((N_6*AP$27*0.667)*SQRT(AP1569*AP1561*AP1563))</f>
        <v>93.576695956315874</v>
      </c>
      <c r="AQ1568" s="133"/>
      <c r="AR1568" s="155"/>
      <c r="AS1568" s="143">
        <f>AS1559/((N_6*AS$27*0.667)*SQRT(AS1569*AS1561*AS1563))</f>
        <v>120.52408152153416</v>
      </c>
      <c r="AT1568" s="133"/>
      <c r="AU1568" s="155"/>
    </row>
    <row r="1569" spans="13:47" ht="15.5" x14ac:dyDescent="0.4">
      <c r="M1569" s="27"/>
      <c r="N1569" s="27"/>
      <c r="O1569" s="2" t="s">
        <v>192</v>
      </c>
      <c r="P1569" s="85">
        <v>10</v>
      </c>
      <c r="Q1569" s="2"/>
      <c r="R1569" s="181">
        <f>F_GAMMA*R$29</f>
        <v>0.64002688015162901</v>
      </c>
      <c r="S1569" s="133"/>
      <c r="T1569" s="155"/>
      <c r="U1569" s="138">
        <f>F_GAMMA*U$29</f>
        <v>0.64016782916606918</v>
      </c>
      <c r="V1569" s="133"/>
      <c r="W1569" s="155"/>
      <c r="X1569" s="138">
        <f>F_GAMMA*X$29</f>
        <v>0.6307062319203669</v>
      </c>
      <c r="Y1569" s="133"/>
      <c r="Z1569" s="155"/>
      <c r="AA1569" s="138">
        <f>F_GAMMA*AA$29</f>
        <v>0.62217534213893466</v>
      </c>
      <c r="AB1569" s="133"/>
      <c r="AC1569" s="155"/>
      <c r="AD1569" s="138">
        <f>F_GAMMA*AD$29</f>
        <v>0.60557184969146072</v>
      </c>
      <c r="AE1569" s="133"/>
      <c r="AF1569" s="155"/>
      <c r="AG1569" s="138">
        <f>F_GAMMA*AG$29</f>
        <v>0.57289312142622573</v>
      </c>
      <c r="AH1569" s="133"/>
      <c r="AI1569" s="155"/>
      <c r="AJ1569" s="138">
        <f>F_GAMMA*AJ$29</f>
        <v>0.53590819116049981</v>
      </c>
      <c r="AK1569" s="133"/>
      <c r="AL1569" s="155"/>
      <c r="AM1569" s="138">
        <f>F_GAMMA*AM$29</f>
        <v>0.49048815926850342</v>
      </c>
      <c r="AN1569" s="133"/>
      <c r="AO1569" s="155"/>
      <c r="AP1569" s="138">
        <f>F_GAMMA*AP$29</f>
        <v>0.59352979016280105</v>
      </c>
      <c r="AQ1569" s="133"/>
      <c r="AR1569" s="155"/>
      <c r="AS1569" s="138">
        <f>F_GAMMA*AS$29</f>
        <v>0.39097221161068291</v>
      </c>
      <c r="AT1569" s="133"/>
      <c r="AU1569" s="155"/>
    </row>
    <row r="1570" spans="13:47" x14ac:dyDescent="0.25">
      <c r="M1570" s="27"/>
      <c r="N1570" s="27"/>
      <c r="O1570" s="2" t="s">
        <v>193</v>
      </c>
      <c r="P1570" s="134"/>
      <c r="Q1570" s="2"/>
      <c r="R1570" s="181">
        <f>IF(R1565&lt;R1569,R1567,R1568)</f>
        <v>0.4286691399084735</v>
      </c>
      <c r="S1570" s="133"/>
      <c r="T1570" s="155"/>
      <c r="U1570" s="138">
        <f>IF(U1565&lt;U1569,U1567,U1568)</f>
        <v>5.9969121264903027</v>
      </c>
      <c r="V1570" s="133"/>
      <c r="W1570" s="155"/>
      <c r="X1570" s="138">
        <f>IF(X1565&lt;X1569,X1567,X1568)</f>
        <v>15.640323009563271</v>
      </c>
      <c r="Y1570" s="133"/>
      <c r="Z1570" s="155"/>
      <c r="AA1570" s="138">
        <f>IF(AA1565&lt;AA1569,AA1567,AA1568)</f>
        <v>36.847909096819464</v>
      </c>
      <c r="AB1570" s="133"/>
      <c r="AC1570" s="155"/>
      <c r="AD1570" s="138">
        <f>IF(AD1565&lt;AD1569,AD1567,AD1568)</f>
        <v>198.58876745880909</v>
      </c>
      <c r="AE1570" s="133"/>
      <c r="AF1570" s="155"/>
      <c r="AG1570" s="138" t="e">
        <f>IF(AG1565&lt;AG1569,AG1567,AG1568)</f>
        <v>#NUM!</v>
      </c>
      <c r="AH1570" s="133"/>
      <c r="AI1570" s="155"/>
      <c r="AJ1570" s="138">
        <f>IF(AJ1565&lt;AJ1569,AJ1567,AJ1568)</f>
        <v>197.2654792826938</v>
      </c>
      <c r="AK1570" s="133"/>
      <c r="AL1570" s="155"/>
      <c r="AM1570" s="138">
        <f>IF(AM1565&lt;AM1569,AM1567,AM1568)</f>
        <v>120.02418313654879</v>
      </c>
      <c r="AN1570" s="133"/>
      <c r="AO1570" s="155"/>
      <c r="AP1570" s="138">
        <f>IF(AP1565&lt;AP1569,AP1567,AP1568)</f>
        <v>93.576695956315874</v>
      </c>
      <c r="AQ1570" s="133"/>
      <c r="AR1570" s="155"/>
      <c r="AS1570" s="138">
        <f>IF(AS1565&lt;AS1569,AS1567,AS1568)</f>
        <v>120.52408152153416</v>
      </c>
      <c r="AT1570" s="133"/>
      <c r="AU1570" s="155"/>
    </row>
    <row r="1571" spans="13:47" ht="13" x14ac:dyDescent="0.3">
      <c r="M1571" s="28"/>
      <c r="N1571" s="28"/>
      <c r="O1571" s="9" t="s">
        <v>194</v>
      </c>
      <c r="P1571" s="1"/>
      <c r="Q1571" s="1"/>
      <c r="R1571" s="135"/>
      <c r="S1571" s="132">
        <f>IF(R1564&lt;=0,W_max,ABS(R$23-R1570))</f>
        <v>1.5713308600915266</v>
      </c>
      <c r="T1571" s="151">
        <f>R1559</f>
        <v>99.134360352640257</v>
      </c>
      <c r="U1571" s="135"/>
      <c r="V1571" s="132">
        <f>IF(U1564&lt;=0,W_max,ABS(U$23-U1570))</f>
        <v>0.9969121264903027</v>
      </c>
      <c r="W1571" s="151">
        <f>U1559</f>
        <v>1374.2550718719449</v>
      </c>
      <c r="X1571" s="135"/>
      <c r="Y1571" s="132">
        <f>IF(X1564&lt;=0,W_max,ABS(X$23-X1570))</f>
        <v>5.6403230095632715</v>
      </c>
      <c r="Z1571" s="151">
        <f>X1559</f>
        <v>3398.6963310099127</v>
      </c>
      <c r="AA1571" s="135"/>
      <c r="AB1571" s="132">
        <f>IF(AA1564&lt;=0,W_max,ABS(AA$23-AA1570))</f>
        <v>19.647909096819465</v>
      </c>
      <c r="AC1571" s="151">
        <f>AA1559</f>
        <v>6619.7929511574675</v>
      </c>
      <c r="AD1571" s="135"/>
      <c r="AE1571" s="132">
        <f>IF(AD1564&lt;=0,W_max,ABS(AD$23-AD1570))</f>
        <v>171.98876745880909</v>
      </c>
      <c r="AF1571" s="151">
        <f>AD1559</f>
        <v>10887.122141491396</v>
      </c>
      <c r="AG1571" s="135"/>
      <c r="AH1571" s="132">
        <f>IF(AG1564&lt;=0,W_max,ABS(AG$23-AG1570))</f>
        <v>7174</v>
      </c>
      <c r="AI1571" s="151">
        <f>AG1559</f>
        <v>15270.026961273021</v>
      </c>
      <c r="AJ1571" s="135"/>
      <c r="AK1571" s="132">
        <f>IF(AJ1564&lt;=0,W_max,ABS(AJ$23-AJ1570))</f>
        <v>7174</v>
      </c>
      <c r="AL1571" s="151">
        <f>AJ1559</f>
        <v>19388.882316744857</v>
      </c>
      <c r="AM1571" s="135"/>
      <c r="AN1571" s="132">
        <f>IF(AM1564&lt;=0,W_max,ABS(AM$23-AM1570))</f>
        <v>7174</v>
      </c>
      <c r="AO1571" s="151">
        <f>AM1559</f>
        <v>22734.989353553752</v>
      </c>
      <c r="AP1571" s="135"/>
      <c r="AQ1571" s="132">
        <f>IF(AP1564&lt;=0,W_max,ABS(AP$23-AP1570))</f>
        <v>7174</v>
      </c>
      <c r="AR1571" s="151">
        <f>AP1559</f>
        <v>25364.707983532895</v>
      </c>
      <c r="AS1571" s="135"/>
      <c r="AT1571" s="132">
        <f>IF(AS1564&lt;=0,W_max,ABS(AS$23-AS1570))</f>
        <v>7174</v>
      </c>
      <c r="AU1571" s="151">
        <f>AS1559</f>
        <v>28298.6018196367</v>
      </c>
    </row>
    <row r="1572" spans="13:47" ht="13" x14ac:dyDescent="0.25">
      <c r="M1572" s="12"/>
      <c r="N1572" s="12"/>
      <c r="O1572" s="2"/>
      <c r="P1572" s="85"/>
      <c r="Q1572" s="2"/>
      <c r="R1572" s="18"/>
      <c r="S1572" s="150"/>
      <c r="T1572" s="152"/>
      <c r="U1572" s="157"/>
      <c r="V1572" s="1"/>
      <c r="W1572" s="147"/>
      <c r="X1572" s="157"/>
      <c r="Y1572" s="1"/>
      <c r="Z1572" s="147"/>
      <c r="AA1572" s="157"/>
      <c r="AB1572" s="1"/>
      <c r="AC1572" s="147"/>
      <c r="AD1572" s="157"/>
      <c r="AE1572" s="1"/>
      <c r="AF1572" s="147"/>
      <c r="AG1572" s="157"/>
      <c r="AH1572" s="1"/>
      <c r="AI1572" s="147"/>
      <c r="AJ1572" s="157"/>
      <c r="AK1572" s="1"/>
      <c r="AL1572" s="147"/>
      <c r="AM1572" s="157"/>
      <c r="AN1572" s="1"/>
      <c r="AO1572" s="147"/>
      <c r="AP1572" s="157"/>
      <c r="AQ1572" s="1"/>
      <c r="AR1572" s="147"/>
      <c r="AS1572" s="157"/>
      <c r="AT1572" s="1"/>
      <c r="AU1572" s="147"/>
    </row>
    <row r="1573" spans="13:47" ht="14" x14ac:dyDescent="0.3">
      <c r="M1573" s="23"/>
      <c r="N1573" s="23"/>
      <c r="O1573" s="23" t="s">
        <v>238</v>
      </c>
      <c r="P1573" s="20"/>
      <c r="Q1573" s="20"/>
      <c r="R1573" s="181">
        <f>R1559*1.02</f>
        <v>101.11704755969306</v>
      </c>
      <c r="S1573" s="128" t="s">
        <v>185</v>
      </c>
      <c r="T1573" s="153" t="s">
        <v>186</v>
      </c>
      <c r="U1573" s="143">
        <f>U1559*1.01</f>
        <v>1387.9976225906644</v>
      </c>
      <c r="V1573" s="128" t="s">
        <v>185</v>
      </c>
      <c r="W1573" s="153" t="s">
        <v>186</v>
      </c>
      <c r="X1573" s="143">
        <f>X1559*1.01</f>
        <v>3432.683294320012</v>
      </c>
      <c r="Y1573" s="128" t="s">
        <v>185</v>
      </c>
      <c r="Z1573" s="153" t="s">
        <v>186</v>
      </c>
      <c r="AA1573" s="143">
        <f>AA1559*1.01</f>
        <v>6685.9908806690419</v>
      </c>
      <c r="AB1573" s="128" t="s">
        <v>185</v>
      </c>
      <c r="AC1573" s="153" t="s">
        <v>186</v>
      </c>
      <c r="AD1573" s="143">
        <f>AD1559*1.01</f>
        <v>10995.993362906311</v>
      </c>
      <c r="AE1573" s="128" t="s">
        <v>185</v>
      </c>
      <c r="AF1573" s="153" t="s">
        <v>186</v>
      </c>
      <c r="AG1573" s="143">
        <f>AG1559*1.01</f>
        <v>15422.727230885752</v>
      </c>
      <c r="AH1573" s="128" t="s">
        <v>185</v>
      </c>
      <c r="AI1573" s="153" t="s">
        <v>186</v>
      </c>
      <c r="AJ1573" s="143">
        <f>AJ1559*1.01</f>
        <v>19582.771139912307</v>
      </c>
      <c r="AK1573" s="128" t="s">
        <v>185</v>
      </c>
      <c r="AL1573" s="153" t="s">
        <v>186</v>
      </c>
      <c r="AM1573" s="143">
        <f>AM1559*1.01</f>
        <v>22962.33924708929</v>
      </c>
      <c r="AN1573" s="128" t="s">
        <v>185</v>
      </c>
      <c r="AO1573" s="153" t="s">
        <v>186</v>
      </c>
      <c r="AP1573" s="143">
        <f>AP1559*1.01</f>
        <v>25618.355063368224</v>
      </c>
      <c r="AQ1573" s="128" t="s">
        <v>185</v>
      </c>
      <c r="AR1573" s="153" t="s">
        <v>186</v>
      </c>
      <c r="AS1573" s="143">
        <f>AS1559*1.01</f>
        <v>28581.587837833067</v>
      </c>
      <c r="AT1573" s="128" t="s">
        <v>185</v>
      </c>
      <c r="AU1573" s="153" t="s">
        <v>186</v>
      </c>
    </row>
    <row r="1574" spans="13:47" ht="14" x14ac:dyDescent="0.3">
      <c r="M1574" s="12"/>
      <c r="N1574" s="12"/>
      <c r="O1574" s="20"/>
      <c r="P1574" s="20"/>
      <c r="Q1574" s="23"/>
      <c r="R1574" s="139"/>
      <c r="S1574" s="130" t="s">
        <v>228</v>
      </c>
      <c r="T1574" s="154" t="s">
        <v>187</v>
      </c>
      <c r="U1574" s="144"/>
      <c r="V1574" s="130" t="s">
        <v>228</v>
      </c>
      <c r="W1574" s="154" t="s">
        <v>187</v>
      </c>
      <c r="X1574" s="144"/>
      <c r="Y1574" s="130" t="s">
        <v>228</v>
      </c>
      <c r="Z1574" s="154" t="s">
        <v>187</v>
      </c>
      <c r="AA1574" s="144"/>
      <c r="AB1574" s="130" t="s">
        <v>228</v>
      </c>
      <c r="AC1574" s="154" t="s">
        <v>187</v>
      </c>
      <c r="AD1574" s="144"/>
      <c r="AE1574" s="130" t="s">
        <v>228</v>
      </c>
      <c r="AF1574" s="154" t="s">
        <v>187</v>
      </c>
      <c r="AG1574" s="144"/>
      <c r="AH1574" s="130" t="s">
        <v>228</v>
      </c>
      <c r="AI1574" s="154" t="s">
        <v>187</v>
      </c>
      <c r="AJ1574" s="144"/>
      <c r="AK1574" s="130" t="s">
        <v>228</v>
      </c>
      <c r="AL1574" s="154" t="s">
        <v>187</v>
      </c>
      <c r="AM1574" s="144"/>
      <c r="AN1574" s="130" t="s">
        <v>228</v>
      </c>
      <c r="AO1574" s="154" t="s">
        <v>187</v>
      </c>
      <c r="AP1574" s="144"/>
      <c r="AQ1574" s="130" t="s">
        <v>228</v>
      </c>
      <c r="AR1574" s="154" t="s">
        <v>187</v>
      </c>
      <c r="AS1574" s="144"/>
      <c r="AT1574" s="130" t="s">
        <v>228</v>
      </c>
      <c r="AU1574" s="154" t="s">
        <v>187</v>
      </c>
    </row>
    <row r="1575" spans="13:47" x14ac:dyDescent="0.25">
      <c r="M1575" s="20"/>
      <c r="N1575" s="20"/>
      <c r="O1575" s="7" t="s">
        <v>188</v>
      </c>
      <c r="P1575" s="7"/>
      <c r="Q1575" s="7"/>
      <c r="R1575" s="181">
        <f>P_1_minW-(R1573^2*R_up)+dpup_minQ</f>
        <v>100.5187095336011</v>
      </c>
      <c r="S1575" s="132"/>
      <c r="T1575" s="145"/>
      <c r="U1575" s="138">
        <f>P_1_minW-(U1573^2*R_up)+dpup_minQ</f>
        <v>99.754557144847169</v>
      </c>
      <c r="V1575" s="132"/>
      <c r="W1575" s="145"/>
      <c r="X1575" s="138">
        <f>P_1_minW-(X1573^2*R_up)+dpup_minQ</f>
        <v>95.824050566867385</v>
      </c>
      <c r="Y1575" s="132"/>
      <c r="Z1575" s="145"/>
      <c r="AA1575" s="138">
        <f>P_1_minW-(AA1573^2*R_up)+dpup_minQ</f>
        <v>82.697146084907601</v>
      </c>
      <c r="AB1575" s="132"/>
      <c r="AC1575" s="145"/>
      <c r="AD1575" s="138">
        <f>P_1_minW-(AD1573^2*R_up)+dpup_minQ</f>
        <v>52.307747383387778</v>
      </c>
      <c r="AE1575" s="132"/>
      <c r="AF1575" s="145"/>
      <c r="AG1575" s="138">
        <f>P_1_minW-(AG1573^2*R_up)+dpup_minQ</f>
        <v>5.6730908441451495</v>
      </c>
      <c r="AH1575" s="132"/>
      <c r="AI1575" s="145"/>
      <c r="AJ1575" s="138">
        <f>P_1_minW-(AJ1573^2*R_up)+dpup_minQ</f>
        <v>-52.3963664415446</v>
      </c>
      <c r="AK1575" s="132"/>
      <c r="AL1575" s="145"/>
      <c r="AM1575" s="138">
        <f>P_1_minW-(AM1573^2*R_up)+dpup_minQ</f>
        <v>-109.73197749460657</v>
      </c>
      <c r="AN1575" s="132"/>
      <c r="AO1575" s="145"/>
      <c r="AP1575" s="138">
        <f>P_1_minW-(AP1573^2*R_up)+dpup_minQ</f>
        <v>-161.1846528902046</v>
      </c>
      <c r="AQ1575" s="132"/>
      <c r="AR1575" s="145"/>
      <c r="AS1575" s="138">
        <f>P_1_minW-(AS1573^2*R_up)+dpup_minQ</f>
        <v>-225.22861398172134</v>
      </c>
      <c r="AT1575" s="132"/>
      <c r="AU1575" s="145"/>
    </row>
    <row r="1576" spans="13:47" x14ac:dyDescent="0.25">
      <c r="M1576" s="20"/>
      <c r="N1576" s="20"/>
      <c r="O1576" s="7" t="s">
        <v>189</v>
      </c>
      <c r="P1576" s="1"/>
      <c r="Q1576" s="7"/>
      <c r="R1576" s="181">
        <f>P_2_minW+(R1573^2*R_dn)-dpdn_minQ</f>
        <v>50</v>
      </c>
      <c r="S1576" s="132"/>
      <c r="T1576" s="146"/>
      <c r="U1576" s="138">
        <f>P_2_minW+(U1573^2*R_dn)-dpdn_minQ</f>
        <v>50</v>
      </c>
      <c r="V1576" s="132"/>
      <c r="W1576" s="146"/>
      <c r="X1576" s="138">
        <f>P_2_minW+(X1573^2*R_dn)-dpdn_minQ</f>
        <v>50</v>
      </c>
      <c r="Y1576" s="132"/>
      <c r="Z1576" s="146"/>
      <c r="AA1576" s="138">
        <f>P_2_minW+(AA1573^2*R_dn)-dpdn_minQ</f>
        <v>50</v>
      </c>
      <c r="AB1576" s="132"/>
      <c r="AC1576" s="146"/>
      <c r="AD1576" s="138">
        <f>P_2_minW+(AD1573^2*R_dn)-dpdn_minQ</f>
        <v>50</v>
      </c>
      <c r="AE1576" s="132"/>
      <c r="AF1576" s="146"/>
      <c r="AG1576" s="138">
        <f>P_2_minW+(AG1573^2*R_dn)-dpdn_minQ</f>
        <v>50</v>
      </c>
      <c r="AH1576" s="132"/>
      <c r="AI1576" s="146"/>
      <c r="AJ1576" s="138">
        <f>P_2_minW+(AJ1573^2*R_dn)-dpdn_minQ</f>
        <v>50</v>
      </c>
      <c r="AK1576" s="132"/>
      <c r="AL1576" s="146"/>
      <c r="AM1576" s="138">
        <f>P_2_minW+(AM1573^2*R_dn)-dpdn_minQ</f>
        <v>50</v>
      </c>
      <c r="AN1576" s="132"/>
      <c r="AO1576" s="146"/>
      <c r="AP1576" s="138">
        <f>P_2_minW+(AP1573^2*R_dn)-dpdn_minQ</f>
        <v>50</v>
      </c>
      <c r="AQ1576" s="132"/>
      <c r="AR1576" s="146"/>
      <c r="AS1576" s="138">
        <f>P_2_minW+(AS1573^2*R_dn)-dpdn_minQ</f>
        <v>50</v>
      </c>
      <c r="AT1576" s="132"/>
      <c r="AU1576" s="146"/>
    </row>
    <row r="1577" spans="13:47" x14ac:dyDescent="0.25">
      <c r="M1577" s="20"/>
      <c r="N1577" s="20"/>
      <c r="O1577" s="7" t="s">
        <v>234</v>
      </c>
      <c r="P1577" s="1"/>
      <c r="Q1577" s="7"/>
      <c r="R1577" s="179">
        <f>'Valve Sizing'!G$8*R1575/P_1_maxW</f>
        <v>0.4848843585369142</v>
      </c>
      <c r="S1577" s="132"/>
      <c r="T1577" s="146"/>
      <c r="U1577" s="143">
        <f>'Valve Sizing'!$G$8*U1575/P_1_maxW</f>
        <v>0.48119822346251262</v>
      </c>
      <c r="V1577" s="132"/>
      <c r="W1577" s="146"/>
      <c r="X1577" s="143">
        <f>'Valve Sizing'!$G$8*X1575/P_1_maxW</f>
        <v>0.4622381595139024</v>
      </c>
      <c r="Y1577" s="132"/>
      <c r="Z1577" s="146"/>
      <c r="AA1577" s="143">
        <f>'Valve Sizing'!$G$8*AA1575/P_1_maxW</f>
        <v>0.39891630939422162</v>
      </c>
      <c r="AB1577" s="132"/>
      <c r="AC1577" s="146"/>
      <c r="AD1577" s="143">
        <f>'Valve Sizing'!$G$8*AD1575/P_1_maxW</f>
        <v>0.25232326055704679</v>
      </c>
      <c r="AE1577" s="132"/>
      <c r="AF1577" s="146"/>
      <c r="AG1577" s="143">
        <f>'Valve Sizing'!$G$8*AG1575/P_1_maxW</f>
        <v>2.7365980200585793E-2</v>
      </c>
      <c r="AH1577" s="132"/>
      <c r="AI1577" s="146"/>
      <c r="AJ1577" s="143">
        <f>'Valve Sizing'!$G$8*AJ1575/P_1_maxW</f>
        <v>-0.25275074311594448</v>
      </c>
      <c r="AK1577" s="132"/>
      <c r="AL1577" s="146"/>
      <c r="AM1577" s="143">
        <f>'Valve Sizing'!$G$8*AM1575/P_1_maxW</f>
        <v>-0.52932752285954721</v>
      </c>
      <c r="AN1577" s="132"/>
      <c r="AO1577" s="146"/>
      <c r="AP1577" s="143">
        <f>'Valve Sizing'!$G$8*AP1575/P_1_maxW</f>
        <v>-0.77752606838368044</v>
      </c>
      <c r="AQ1577" s="132"/>
      <c r="AR1577" s="146"/>
      <c r="AS1577" s="143">
        <f>'Valve Sizing'!$G$8*AS1575/P_1_maxW</f>
        <v>-1.0864627343646795</v>
      </c>
      <c r="AT1577" s="132"/>
      <c r="AU1577" s="146"/>
    </row>
    <row r="1578" spans="13:47" x14ac:dyDescent="0.25">
      <c r="M1578" s="20"/>
      <c r="N1578" s="20"/>
      <c r="O1578" s="7" t="s">
        <v>190</v>
      </c>
      <c r="P1578" s="1"/>
      <c r="Q1578" s="7"/>
      <c r="R1578" s="181">
        <f>R1575-R1576</f>
        <v>50.518709533601097</v>
      </c>
      <c r="S1578" s="132"/>
      <c r="T1578" s="146"/>
      <c r="U1578" s="138">
        <f>U1575-U1576</f>
        <v>49.754557144847169</v>
      </c>
      <c r="V1578" s="132"/>
      <c r="W1578" s="146"/>
      <c r="X1578" s="138">
        <f>X1575-X1576</f>
        <v>45.824050566867385</v>
      </c>
      <c r="Y1578" s="132"/>
      <c r="Z1578" s="146"/>
      <c r="AA1578" s="138">
        <f>AA1575-AA1576</f>
        <v>32.697146084907601</v>
      </c>
      <c r="AB1578" s="132"/>
      <c r="AC1578" s="146"/>
      <c r="AD1578" s="138">
        <f>AD1575-AD1576</f>
        <v>2.3077473833877775</v>
      </c>
      <c r="AE1578" s="132"/>
      <c r="AF1578" s="146"/>
      <c r="AG1578" s="138">
        <f>AG1575-AG1576</f>
        <v>-44.32690915585485</v>
      </c>
      <c r="AH1578" s="132"/>
      <c r="AI1578" s="146"/>
      <c r="AJ1578" s="138">
        <f>AJ1575-AJ1576</f>
        <v>-102.3963664415446</v>
      </c>
      <c r="AK1578" s="132"/>
      <c r="AL1578" s="146"/>
      <c r="AM1578" s="138">
        <f>AM1575-AM1576</f>
        <v>-159.73197749460655</v>
      </c>
      <c r="AN1578" s="132"/>
      <c r="AO1578" s="146"/>
      <c r="AP1578" s="138">
        <f>AP1575-AP1576</f>
        <v>-211.1846528902046</v>
      </c>
      <c r="AQ1578" s="132"/>
      <c r="AR1578" s="146"/>
      <c r="AS1578" s="138">
        <f>AS1575-AS1576</f>
        <v>-275.22861398172131</v>
      </c>
      <c r="AT1578" s="132"/>
      <c r="AU1578" s="146"/>
    </row>
    <row r="1579" spans="13:47" ht="14.5" x14ac:dyDescent="0.35">
      <c r="M1579" s="27"/>
      <c r="N1579" s="27"/>
      <c r="O1579" s="2" t="s">
        <v>191</v>
      </c>
      <c r="P1579" s="10"/>
      <c r="Q1579" s="2"/>
      <c r="R1579" s="181">
        <f>R1578/R1575</f>
        <v>0.50258016411078033</v>
      </c>
      <c r="S1579" s="132"/>
      <c r="T1579" s="146"/>
      <c r="U1579" s="138">
        <f>U1578/U1575</f>
        <v>0.49876976620328012</v>
      </c>
      <c r="V1579" s="132"/>
      <c r="W1579" s="146"/>
      <c r="X1579" s="138">
        <f>X1578/X1575</f>
        <v>0.47821032711292777</v>
      </c>
      <c r="Y1579" s="132"/>
      <c r="Z1579" s="146"/>
      <c r="AA1579" s="138">
        <f>AA1578/AA1575</f>
        <v>0.39538421375916016</v>
      </c>
      <c r="AB1579" s="132"/>
      <c r="AC1579" s="146"/>
      <c r="AD1579" s="138">
        <f>AD1578/AD1575</f>
        <v>4.4118653523219517E-2</v>
      </c>
      <c r="AE1579" s="132"/>
      <c r="AF1579" s="146"/>
      <c r="AG1579" s="138">
        <f>AG1578/AG1575</f>
        <v>-7.8135376946417043</v>
      </c>
      <c r="AH1579" s="132"/>
      <c r="AI1579" s="146"/>
      <c r="AJ1579" s="138">
        <f>AJ1578/AJ1575</f>
        <v>1.9542646445871761</v>
      </c>
      <c r="AK1579" s="132"/>
      <c r="AL1579" s="146"/>
      <c r="AM1579" s="138">
        <f>AM1578/AM1575</f>
        <v>1.4556556907256823</v>
      </c>
      <c r="AN1579" s="132"/>
      <c r="AO1579" s="146"/>
      <c r="AP1579" s="138">
        <f>AP1578/AP1575</f>
        <v>1.3102032302917752</v>
      </c>
      <c r="AQ1579" s="132"/>
      <c r="AR1579" s="146"/>
      <c r="AS1579" s="138">
        <f>AS1578/AS1575</f>
        <v>1.2219966598207535</v>
      </c>
      <c r="AT1579" s="132"/>
      <c r="AU1579" s="146"/>
    </row>
    <row r="1580" spans="13:47" x14ac:dyDescent="0.25">
      <c r="M1580" s="27"/>
      <c r="N1580" s="27"/>
      <c r="O1580" s="2" t="s">
        <v>26</v>
      </c>
      <c r="P1580" s="7">
        <v>12</v>
      </c>
      <c r="Q1580" s="2"/>
      <c r="R1580" s="181">
        <f>1-R1579/(3*F_GAMMA*R$29)</f>
        <v>0.7382504914003436</v>
      </c>
      <c r="S1580" s="133"/>
      <c r="T1580" s="146"/>
      <c r="U1580" s="138">
        <f>1-U1579/(3*F_GAMMA*U$29)</f>
        <v>0.74029218408084474</v>
      </c>
      <c r="V1580" s="133"/>
      <c r="W1580" s="146"/>
      <c r="X1580" s="138">
        <f>1-X1579/(3*F_GAMMA*X$29)</f>
        <v>0.74726198299067659</v>
      </c>
      <c r="Y1580" s="133"/>
      <c r="Z1580" s="146"/>
      <c r="AA1580" s="138">
        <f>1-AA1579/(3*F_GAMMA*AA$29)</f>
        <v>0.78817106851802932</v>
      </c>
      <c r="AB1580" s="133"/>
      <c r="AC1580" s="146"/>
      <c r="AD1580" s="138">
        <f>1-AD1579/(3*F_GAMMA*AD$29)</f>
        <v>0.97571515609821358</v>
      </c>
      <c r="AE1580" s="133"/>
      <c r="AF1580" s="146"/>
      <c r="AG1580" s="138">
        <f>1-AG1579/(3*F_GAMMA*AG$29)</f>
        <v>5.5462451327685631</v>
      </c>
      <c r="AH1580" s="133"/>
      <c r="AI1580" s="146"/>
      <c r="AJ1580" s="138">
        <f>1-AJ1579/(3*F_GAMMA*AJ$29)</f>
        <v>-0.21554691445391683</v>
      </c>
      <c r="AK1580" s="133"/>
      <c r="AL1580" s="146"/>
      <c r="AM1580" s="138">
        <f>1-AM1579/(3*F_GAMMA*AM$29)</f>
        <v>1.0743573710596643E-2</v>
      </c>
      <c r="AN1580" s="133"/>
      <c r="AO1580" s="146"/>
      <c r="AP1580" s="138">
        <f>1-AP1579/(3*F_GAMMA*AP$29)</f>
        <v>0.26417440651552593</v>
      </c>
      <c r="AQ1580" s="133"/>
      <c r="AR1580" s="146"/>
      <c r="AS1580" s="138">
        <f>1-AS1579/(3*F_GAMMA*AS$29)</f>
        <v>-4.1844427413830987E-2</v>
      </c>
      <c r="AT1580" s="133"/>
      <c r="AU1580" s="146"/>
    </row>
    <row r="1581" spans="13:47" x14ac:dyDescent="0.25">
      <c r="M1581" s="27"/>
      <c r="N1581" s="27"/>
      <c r="O1581" s="2" t="s">
        <v>71</v>
      </c>
      <c r="P1581" s="85">
        <v>5</v>
      </c>
      <c r="Q1581" s="2"/>
      <c r="R1581" s="179">
        <f>R1573/((N_6*R$27*R1580)*SQRT(R1579*R1575*R1577))</f>
        <v>0.43724331052626264</v>
      </c>
      <c r="S1581" s="133"/>
      <c r="T1581" s="146"/>
      <c r="U1581" s="143">
        <f>U1573/((N_6*U$27*U1580)*SQRT(U1579*U1575*U1577))</f>
        <v>6.057938089891608</v>
      </c>
      <c r="V1581" s="133"/>
      <c r="W1581" s="146"/>
      <c r="X1581" s="143">
        <f>X1573/((N_6*X$27*X1580)*SQRT(X1579*X1575*X1577))</f>
        <v>15.814677838536261</v>
      </c>
      <c r="Y1581" s="133"/>
      <c r="Z1581" s="146"/>
      <c r="AA1581" s="143">
        <f>AA1573/((N_6*AA$27*AA1580)*SQRT(AA1579*AA1575*AA1577))</f>
        <v>37.429945011257857</v>
      </c>
      <c r="AB1581" s="133"/>
      <c r="AC1581" s="146"/>
      <c r="AD1581" s="143">
        <f>AD1573/((N_6*AD$27*AD1580)*SQRT(AD1579*AD1575*AD1577))</f>
        <v>238.15134515421605</v>
      </c>
      <c r="AE1581" s="133"/>
      <c r="AF1581" s="146"/>
      <c r="AG1581" s="143" t="e">
        <f>AG1573/((N_6*AG$27*AG1580)*SQRT(AG1579*AG1575*AG1577))</f>
        <v>#NUM!</v>
      </c>
      <c r="AH1581" s="133"/>
      <c r="AI1581" s="146"/>
      <c r="AJ1581" s="143">
        <f>AJ1573/((N_6*AJ$27*AJ1580)*SQRT(AJ1579*AJ1575*AJ1577))</f>
        <v>-304.29060300590953</v>
      </c>
      <c r="AK1581" s="133"/>
      <c r="AL1581" s="146"/>
      <c r="AM1581" s="143">
        <f>AM1573/((N_6*AM$27*AM1580)*SQRT(AM1579*AM1575*AM1577))</f>
        <v>4203.7620860077395</v>
      </c>
      <c r="AN1581" s="133"/>
      <c r="AO1581" s="146"/>
      <c r="AP1581" s="143">
        <f>AP1573/((N_6*AP$27*AP1580)*SQRT(AP1579*AP1575*AP1577))</f>
        <v>155.47297413683796</v>
      </c>
      <c r="AQ1581" s="133"/>
      <c r="AR1581" s="146"/>
      <c r="AS1581" s="143">
        <f>AS1573/((N_6*AS$27*AS1580)*SQRT(AS1579*AS1575*AS1577))</f>
        <v>-1066.2646108352478</v>
      </c>
      <c r="AT1581" s="133"/>
      <c r="AU1581" s="146"/>
    </row>
    <row r="1582" spans="13:47" x14ac:dyDescent="0.25">
      <c r="M1582" s="27"/>
      <c r="N1582" s="27"/>
      <c r="O1582" s="2" t="s">
        <v>73</v>
      </c>
      <c r="P1582" s="85">
        <v>5</v>
      </c>
      <c r="Q1582" s="2"/>
      <c r="R1582" s="179">
        <f>R1573/((N_6*R$27*0.667)*SQRT(R1583*R1575*R1577))</f>
        <v>0.42884924468815155</v>
      </c>
      <c r="S1582" s="133"/>
      <c r="T1582" s="155"/>
      <c r="U1582" s="143">
        <f>U1573/((N_6*U$27*0.667)*SQRT(U1583*U1575*U1577))</f>
        <v>5.934789207746336</v>
      </c>
      <c r="V1582" s="133"/>
      <c r="W1582" s="155"/>
      <c r="X1582" s="143">
        <f>X1573/((N_6*X$27*0.667)*SQRT(X1583*X1575*X1577))</f>
        <v>15.427775752943298</v>
      </c>
      <c r="Y1582" s="133"/>
      <c r="Z1582" s="155"/>
      <c r="AA1582" s="143">
        <f>AA1573/((N_6*AA$27*0.667)*SQRT(AA1583*AA1575*AA1577))</f>
        <v>35.258766065048739</v>
      </c>
      <c r="AB1582" s="133"/>
      <c r="AC1582" s="155"/>
      <c r="AD1582" s="143">
        <f>AD1573/((N_6*AD$27*0.667)*SQRT(AD1583*AD1575*AD1577))</f>
        <v>94.032621008269189</v>
      </c>
      <c r="AE1582" s="133"/>
      <c r="AF1582" s="155"/>
      <c r="AG1582" s="143">
        <f>AG1573/((N_6*AG$27*0.667)*SQRT(AG1583*AG1575*AG1577))</f>
        <v>1277.2275773422059</v>
      </c>
      <c r="AH1582" s="133"/>
      <c r="AI1582" s="155"/>
      <c r="AJ1582" s="143">
        <f>AJ1573/((N_6*AJ$27*0.667)*SQRT(AJ1583*AJ1575*AJ1577))</f>
        <v>187.78072315887303</v>
      </c>
      <c r="AK1582" s="133"/>
      <c r="AL1582" s="155"/>
      <c r="AM1582" s="143">
        <f>AM1573/((N_6*AM$27*0.667)*SQRT(AM1583*AM1575*AM1577))</f>
        <v>116.64768664440273</v>
      </c>
      <c r="AN1582" s="133"/>
      <c r="AO1582" s="155"/>
      <c r="AP1582" s="143">
        <f>AP1573/((N_6*AP$27*0.667)*SQRT(AP1583*AP1575*AP1577))</f>
        <v>91.488790271462946</v>
      </c>
      <c r="AQ1582" s="133"/>
      <c r="AR1582" s="155"/>
      <c r="AS1582" s="143">
        <f>AS1573/((N_6*AS$27*0.667)*SQRT(AS1583*AS1575*AS1577))</f>
        <v>118.26026688666622</v>
      </c>
      <c r="AT1582" s="133"/>
      <c r="AU1582" s="155"/>
    </row>
    <row r="1583" spans="13:47" ht="15.5" x14ac:dyDescent="0.4">
      <c r="M1583" s="27"/>
      <c r="N1583" s="27"/>
      <c r="O1583" s="2" t="s">
        <v>192</v>
      </c>
      <c r="P1583" s="85">
        <v>10</v>
      </c>
      <c r="Q1583" s="2"/>
      <c r="R1583" s="181">
        <f>F_GAMMA*R$29</f>
        <v>0.64002688015162901</v>
      </c>
      <c r="S1583" s="133"/>
      <c r="T1583" s="155"/>
      <c r="U1583" s="138">
        <f>F_GAMMA*U$29</f>
        <v>0.64016782916606918</v>
      </c>
      <c r="V1583" s="133"/>
      <c r="W1583" s="155"/>
      <c r="X1583" s="138">
        <f>F_GAMMA*X$29</f>
        <v>0.6307062319203669</v>
      </c>
      <c r="Y1583" s="133"/>
      <c r="Z1583" s="155"/>
      <c r="AA1583" s="138">
        <f>F_GAMMA*AA$29</f>
        <v>0.62217534213893466</v>
      </c>
      <c r="AB1583" s="133"/>
      <c r="AC1583" s="155"/>
      <c r="AD1583" s="138">
        <f>F_GAMMA*AD$29</f>
        <v>0.60557184969146072</v>
      </c>
      <c r="AE1583" s="133"/>
      <c r="AF1583" s="155"/>
      <c r="AG1583" s="138">
        <f>F_GAMMA*AG$29</f>
        <v>0.57289312142622573</v>
      </c>
      <c r="AH1583" s="133"/>
      <c r="AI1583" s="155"/>
      <c r="AJ1583" s="138">
        <f>F_GAMMA*AJ$29</f>
        <v>0.53590819116049981</v>
      </c>
      <c r="AK1583" s="133"/>
      <c r="AL1583" s="155"/>
      <c r="AM1583" s="138">
        <f>F_GAMMA*AM$29</f>
        <v>0.49048815926850342</v>
      </c>
      <c r="AN1583" s="133"/>
      <c r="AO1583" s="155"/>
      <c r="AP1583" s="138">
        <f>F_GAMMA*AP$29</f>
        <v>0.59352979016280105</v>
      </c>
      <c r="AQ1583" s="133"/>
      <c r="AR1583" s="155"/>
      <c r="AS1583" s="138">
        <f>F_GAMMA*AS$29</f>
        <v>0.39097221161068291</v>
      </c>
      <c r="AT1583" s="133"/>
      <c r="AU1583" s="155"/>
    </row>
    <row r="1584" spans="13:47" x14ac:dyDescent="0.25">
      <c r="M1584" s="27"/>
      <c r="N1584" s="27"/>
      <c r="O1584" s="2" t="s">
        <v>193</v>
      </c>
      <c r="P1584" s="134"/>
      <c r="Q1584" s="2"/>
      <c r="R1584" s="181">
        <f>IF(R1579&lt;R1583,R1581,R1582)</f>
        <v>0.43724331052626264</v>
      </c>
      <c r="S1584" s="133"/>
      <c r="T1584" s="155"/>
      <c r="U1584" s="138">
        <f>IF(U1579&lt;U1583,U1581,U1582)</f>
        <v>6.057938089891608</v>
      </c>
      <c r="V1584" s="133"/>
      <c r="W1584" s="155"/>
      <c r="X1584" s="138">
        <f>IF(X1579&lt;X1583,X1581,X1582)</f>
        <v>15.814677838536261</v>
      </c>
      <c r="Y1584" s="133"/>
      <c r="Z1584" s="155"/>
      <c r="AA1584" s="138">
        <f>IF(AA1579&lt;AA1583,AA1581,AA1582)</f>
        <v>37.429945011257857</v>
      </c>
      <c r="AB1584" s="133"/>
      <c r="AC1584" s="155"/>
      <c r="AD1584" s="138">
        <f>IF(AD1579&lt;AD1583,AD1581,AD1582)</f>
        <v>238.15134515421605</v>
      </c>
      <c r="AE1584" s="133"/>
      <c r="AF1584" s="155"/>
      <c r="AG1584" s="138" t="e">
        <f>IF(AG1579&lt;AG1583,AG1581,AG1582)</f>
        <v>#NUM!</v>
      </c>
      <c r="AH1584" s="133"/>
      <c r="AI1584" s="155"/>
      <c r="AJ1584" s="138">
        <f>IF(AJ1579&lt;AJ1583,AJ1581,AJ1582)</f>
        <v>187.78072315887303</v>
      </c>
      <c r="AK1584" s="133"/>
      <c r="AL1584" s="155"/>
      <c r="AM1584" s="138">
        <f>IF(AM1579&lt;AM1583,AM1581,AM1582)</f>
        <v>116.64768664440273</v>
      </c>
      <c r="AN1584" s="133"/>
      <c r="AO1584" s="155"/>
      <c r="AP1584" s="138">
        <f>IF(AP1579&lt;AP1583,AP1581,AP1582)</f>
        <v>91.488790271462946</v>
      </c>
      <c r="AQ1584" s="133"/>
      <c r="AR1584" s="155"/>
      <c r="AS1584" s="138">
        <f>IF(AS1579&lt;AS1583,AS1581,AS1582)</f>
        <v>118.26026688666622</v>
      </c>
      <c r="AT1584" s="133"/>
      <c r="AU1584" s="155"/>
    </row>
    <row r="1585" spans="13:47" ht="13" x14ac:dyDescent="0.3">
      <c r="M1585" s="28"/>
      <c r="N1585" s="28"/>
      <c r="O1585" s="9" t="s">
        <v>194</v>
      </c>
      <c r="P1585" s="1"/>
      <c r="Q1585" s="1"/>
      <c r="R1585" s="135"/>
      <c r="S1585" s="132">
        <f>IF(R1578&lt;=0,W_max,ABS(R$23-R1584))</f>
        <v>1.5627566894737375</v>
      </c>
      <c r="T1585" s="151">
        <f>R1573</f>
        <v>101.11704755969306</v>
      </c>
      <c r="U1585" s="135"/>
      <c r="V1585" s="132">
        <f>IF(U1578&lt;=0,W_max,ABS(U$23-U1584))</f>
        <v>1.057938089891608</v>
      </c>
      <c r="W1585" s="151">
        <f>U1573</f>
        <v>1387.9976225906644</v>
      </c>
      <c r="X1585" s="135"/>
      <c r="Y1585" s="132">
        <f>IF(X1578&lt;=0,W_max,ABS(X$23-X1584))</f>
        <v>5.8146778385362605</v>
      </c>
      <c r="Z1585" s="151">
        <f>X1573</f>
        <v>3432.683294320012</v>
      </c>
      <c r="AA1585" s="135"/>
      <c r="AB1585" s="132">
        <f>IF(AA1578&lt;=0,W_max,ABS(AA$23-AA1584))</f>
        <v>20.229945011257858</v>
      </c>
      <c r="AC1585" s="151">
        <f>AA1573</f>
        <v>6685.9908806690419</v>
      </c>
      <c r="AD1585" s="135"/>
      <c r="AE1585" s="132">
        <f>IF(AD1578&lt;=0,W_max,ABS(AD$23-AD1584))</f>
        <v>211.55134515421605</v>
      </c>
      <c r="AF1585" s="151">
        <f>AD1573</f>
        <v>10995.993362906311</v>
      </c>
      <c r="AG1585" s="135"/>
      <c r="AH1585" s="132">
        <f>IF(AG1578&lt;=0,W_max,ABS(AG$23-AG1584))</f>
        <v>7174</v>
      </c>
      <c r="AI1585" s="151">
        <f>AG1573</f>
        <v>15422.727230885752</v>
      </c>
      <c r="AJ1585" s="135"/>
      <c r="AK1585" s="132">
        <f>IF(AJ1578&lt;=0,W_max,ABS(AJ$23-AJ1584))</f>
        <v>7174</v>
      </c>
      <c r="AL1585" s="151">
        <f>AJ1573</f>
        <v>19582.771139912307</v>
      </c>
      <c r="AM1585" s="135"/>
      <c r="AN1585" s="132">
        <f>IF(AM1578&lt;=0,W_max,ABS(AM$23-AM1584))</f>
        <v>7174</v>
      </c>
      <c r="AO1585" s="151">
        <f>AM1573</f>
        <v>22962.33924708929</v>
      </c>
      <c r="AP1585" s="135"/>
      <c r="AQ1585" s="132">
        <f>IF(AP1578&lt;=0,W_max,ABS(AP$23-AP1584))</f>
        <v>7174</v>
      </c>
      <c r="AR1585" s="151">
        <f>AP1573</f>
        <v>25618.355063368224</v>
      </c>
      <c r="AS1585" s="135"/>
      <c r="AT1585" s="132">
        <f>IF(AS1578&lt;=0,W_max,ABS(AS$23-AS1584))</f>
        <v>7174</v>
      </c>
      <c r="AU1585" s="151">
        <f>AS1573</f>
        <v>28581.587837833067</v>
      </c>
    </row>
    <row r="1586" spans="13:47" ht="13" x14ac:dyDescent="0.25">
      <c r="M1586" s="12"/>
      <c r="N1586" s="12"/>
      <c r="O1586" s="2"/>
      <c r="P1586" s="85"/>
      <c r="Q1586" s="2"/>
      <c r="R1586" s="18"/>
      <c r="S1586" s="150"/>
      <c r="T1586" s="148"/>
      <c r="U1586" s="157"/>
      <c r="V1586" s="1"/>
      <c r="W1586" s="147"/>
      <c r="X1586" s="157"/>
      <c r="Y1586" s="1"/>
      <c r="Z1586" s="147"/>
      <c r="AA1586" s="157"/>
      <c r="AB1586" s="1"/>
      <c r="AC1586" s="147"/>
      <c r="AD1586" s="157"/>
      <c r="AE1586" s="1"/>
      <c r="AF1586" s="147"/>
      <c r="AG1586" s="157"/>
      <c r="AH1586" s="1"/>
      <c r="AI1586" s="147"/>
      <c r="AJ1586" s="157"/>
      <c r="AK1586" s="1"/>
      <c r="AL1586" s="147"/>
      <c r="AM1586" s="157"/>
      <c r="AN1586" s="1"/>
      <c r="AO1586" s="147"/>
      <c r="AP1586" s="157"/>
      <c r="AQ1586" s="1"/>
      <c r="AR1586" s="147"/>
      <c r="AS1586" s="157"/>
      <c r="AT1586" s="1"/>
      <c r="AU1586" s="147"/>
    </row>
    <row r="1587" spans="13:47" ht="14" x14ac:dyDescent="0.3">
      <c r="M1587" s="23"/>
      <c r="N1587" s="23"/>
      <c r="O1587" s="23" t="s">
        <v>238</v>
      </c>
      <c r="P1587" s="20"/>
      <c r="Q1587" s="20"/>
      <c r="R1587" s="181">
        <f>R1573*1.02</f>
        <v>103.13938851088693</v>
      </c>
      <c r="S1587" s="128" t="s">
        <v>185</v>
      </c>
      <c r="T1587" s="149" t="s">
        <v>186</v>
      </c>
      <c r="U1587" s="143">
        <f>U1573*1.01</f>
        <v>1401.877598816571</v>
      </c>
      <c r="V1587" s="128" t="s">
        <v>185</v>
      </c>
      <c r="W1587" s="153" t="s">
        <v>186</v>
      </c>
      <c r="X1587" s="143">
        <f>X1573*1.01</f>
        <v>3467.0101272632123</v>
      </c>
      <c r="Y1587" s="128" t="s">
        <v>185</v>
      </c>
      <c r="Z1587" s="153" t="s">
        <v>186</v>
      </c>
      <c r="AA1587" s="143">
        <f>AA1573*1.01</f>
        <v>6752.8507894757322</v>
      </c>
      <c r="AB1587" s="128" t="s">
        <v>185</v>
      </c>
      <c r="AC1587" s="153" t="s">
        <v>186</v>
      </c>
      <c r="AD1587" s="143">
        <f>AD1573*1.01</f>
        <v>11105.953296535374</v>
      </c>
      <c r="AE1587" s="128" t="s">
        <v>185</v>
      </c>
      <c r="AF1587" s="153" t="s">
        <v>186</v>
      </c>
      <c r="AG1587" s="143">
        <f>AG1573*1.01</f>
        <v>15576.954503194609</v>
      </c>
      <c r="AH1587" s="128" t="s">
        <v>185</v>
      </c>
      <c r="AI1587" s="153" t="s">
        <v>186</v>
      </c>
      <c r="AJ1587" s="143">
        <f>AJ1573*1.01</f>
        <v>19778.598851311432</v>
      </c>
      <c r="AK1587" s="128" t="s">
        <v>185</v>
      </c>
      <c r="AL1587" s="153" t="s">
        <v>186</v>
      </c>
      <c r="AM1587" s="143">
        <f>AM1573*1.01</f>
        <v>23191.962639560184</v>
      </c>
      <c r="AN1587" s="128" t="s">
        <v>185</v>
      </c>
      <c r="AO1587" s="153" t="s">
        <v>186</v>
      </c>
      <c r="AP1587" s="143">
        <f>AP1573*1.01</f>
        <v>25874.538614001907</v>
      </c>
      <c r="AQ1587" s="128" t="s">
        <v>185</v>
      </c>
      <c r="AR1587" s="153" t="s">
        <v>186</v>
      </c>
      <c r="AS1587" s="143">
        <f>AS1573*1.01</f>
        <v>28867.403716211396</v>
      </c>
      <c r="AT1587" s="128" t="s">
        <v>185</v>
      </c>
      <c r="AU1587" s="153" t="s">
        <v>186</v>
      </c>
    </row>
    <row r="1588" spans="13:47" ht="14" x14ac:dyDescent="0.3">
      <c r="M1588" s="12"/>
      <c r="N1588" s="12"/>
      <c r="O1588" s="20"/>
      <c r="P1588" s="20"/>
      <c r="Q1588" s="23"/>
      <c r="R1588" s="139"/>
      <c r="S1588" s="130" t="s">
        <v>228</v>
      </c>
      <c r="T1588" s="131" t="s">
        <v>187</v>
      </c>
      <c r="U1588" s="144"/>
      <c r="V1588" s="130" t="s">
        <v>228</v>
      </c>
      <c r="W1588" s="154" t="s">
        <v>187</v>
      </c>
      <c r="X1588" s="144"/>
      <c r="Y1588" s="130" t="s">
        <v>228</v>
      </c>
      <c r="Z1588" s="154" t="s">
        <v>187</v>
      </c>
      <c r="AA1588" s="144"/>
      <c r="AB1588" s="130" t="s">
        <v>228</v>
      </c>
      <c r="AC1588" s="154" t="s">
        <v>187</v>
      </c>
      <c r="AD1588" s="144"/>
      <c r="AE1588" s="130" t="s">
        <v>228</v>
      </c>
      <c r="AF1588" s="154" t="s">
        <v>187</v>
      </c>
      <c r="AG1588" s="144"/>
      <c r="AH1588" s="130" t="s">
        <v>228</v>
      </c>
      <c r="AI1588" s="154" t="s">
        <v>187</v>
      </c>
      <c r="AJ1588" s="144"/>
      <c r="AK1588" s="130" t="s">
        <v>228</v>
      </c>
      <c r="AL1588" s="154" t="s">
        <v>187</v>
      </c>
      <c r="AM1588" s="144"/>
      <c r="AN1588" s="130" t="s">
        <v>228</v>
      </c>
      <c r="AO1588" s="154" t="s">
        <v>187</v>
      </c>
      <c r="AP1588" s="144"/>
      <c r="AQ1588" s="130" t="s">
        <v>228</v>
      </c>
      <c r="AR1588" s="154" t="s">
        <v>187</v>
      </c>
      <c r="AS1588" s="144"/>
      <c r="AT1588" s="130" t="s">
        <v>228</v>
      </c>
      <c r="AU1588" s="154" t="s">
        <v>187</v>
      </c>
    </row>
    <row r="1589" spans="13:47" x14ac:dyDescent="0.25">
      <c r="M1589" s="20"/>
      <c r="N1589" s="20"/>
      <c r="O1589" s="7" t="s">
        <v>188</v>
      </c>
      <c r="P1589" s="7"/>
      <c r="Q1589" s="7"/>
      <c r="R1589" s="181">
        <f>P_1_minW-(R1587^2*R_up)+dpup_minQ</f>
        <v>100.51854481459483</v>
      </c>
      <c r="S1589" s="132"/>
      <c r="T1589" s="145"/>
      <c r="U1589" s="138">
        <f>P_1_minW-(U1587^2*R_up)+dpup_minQ</f>
        <v>99.739115730050401</v>
      </c>
      <c r="V1589" s="132"/>
      <c r="W1589" s="145"/>
      <c r="X1589" s="138">
        <f>P_1_minW-(X1587^2*R_up)+dpup_minQ</f>
        <v>95.72960596985321</v>
      </c>
      <c r="Y1589" s="132"/>
      <c r="Z1589" s="145"/>
      <c r="AA1589" s="138">
        <f>P_1_minW-(AA1587^2*R_up)+dpup_minQ</f>
        <v>82.338850707806046</v>
      </c>
      <c r="AB1589" s="132"/>
      <c r="AC1589" s="145"/>
      <c r="AD1589" s="138">
        <f>P_1_minW-(AD1587^2*R_up)+dpup_minQ</f>
        <v>51.338625092385662</v>
      </c>
      <c r="AE1589" s="132"/>
      <c r="AF1589" s="145"/>
      <c r="AG1589" s="138">
        <f>P_1_minW-(AG1587^2*R_up)+dpup_minQ</f>
        <v>3.7666119567042666</v>
      </c>
      <c r="AH1589" s="132"/>
      <c r="AI1589" s="145"/>
      <c r="AJ1589" s="138">
        <f>P_1_minW-(AJ1587^2*R_up)+dpup_minQ</f>
        <v>-55.470041420427904</v>
      </c>
      <c r="AK1589" s="132"/>
      <c r="AL1589" s="145"/>
      <c r="AM1589" s="138">
        <f>P_1_minW-(AM1587^2*R_up)+dpup_minQ</f>
        <v>-113.9580982556564</v>
      </c>
      <c r="AN1589" s="132"/>
      <c r="AO1589" s="145"/>
      <c r="AP1589" s="138">
        <f>P_1_minW-(AP1587^2*R_up)+dpup_minQ</f>
        <v>-166.44497242670596</v>
      </c>
      <c r="AQ1589" s="132"/>
      <c r="AR1589" s="145"/>
      <c r="AS1589" s="138">
        <f>P_1_minW-(AS1587^2*R_up)+dpup_minQ</f>
        <v>-231.7762171361621</v>
      </c>
      <c r="AT1589" s="132"/>
      <c r="AU1589" s="145"/>
    </row>
    <row r="1590" spans="13:47" x14ac:dyDescent="0.25">
      <c r="M1590" s="20"/>
      <c r="N1590" s="20"/>
      <c r="O1590" s="7" t="s">
        <v>189</v>
      </c>
      <c r="P1590" s="1"/>
      <c r="Q1590" s="7"/>
      <c r="R1590" s="181">
        <f>P_2_minW+(R1587^2*R_dn)-dpdn_minQ</f>
        <v>50</v>
      </c>
      <c r="S1590" s="132"/>
      <c r="T1590" s="146"/>
      <c r="U1590" s="138">
        <f>P_2_minW+(U1587^2*R_dn)-dpdn_minQ</f>
        <v>50</v>
      </c>
      <c r="V1590" s="132"/>
      <c r="W1590" s="146"/>
      <c r="X1590" s="138">
        <f>P_2_minW+(X1587^2*R_dn)-dpdn_minQ</f>
        <v>50</v>
      </c>
      <c r="Y1590" s="132"/>
      <c r="Z1590" s="146"/>
      <c r="AA1590" s="138">
        <f>P_2_minW+(AA1587^2*R_dn)-dpdn_minQ</f>
        <v>50</v>
      </c>
      <c r="AB1590" s="132"/>
      <c r="AC1590" s="146"/>
      <c r="AD1590" s="138">
        <f>P_2_minW+(AD1587^2*R_dn)-dpdn_minQ</f>
        <v>50</v>
      </c>
      <c r="AE1590" s="132"/>
      <c r="AF1590" s="146"/>
      <c r="AG1590" s="138">
        <f>P_2_minW+(AG1587^2*R_dn)-dpdn_minQ</f>
        <v>50</v>
      </c>
      <c r="AH1590" s="132"/>
      <c r="AI1590" s="146"/>
      <c r="AJ1590" s="138">
        <f>P_2_minW+(AJ1587^2*R_dn)-dpdn_minQ</f>
        <v>50</v>
      </c>
      <c r="AK1590" s="132"/>
      <c r="AL1590" s="146"/>
      <c r="AM1590" s="138">
        <f>P_2_minW+(AM1587^2*R_dn)-dpdn_minQ</f>
        <v>50</v>
      </c>
      <c r="AN1590" s="132"/>
      <c r="AO1590" s="146"/>
      <c r="AP1590" s="138">
        <f>P_2_minW+(AP1587^2*R_dn)-dpdn_minQ</f>
        <v>50</v>
      </c>
      <c r="AQ1590" s="132"/>
      <c r="AR1590" s="146"/>
      <c r="AS1590" s="138">
        <f>P_2_minW+(AS1587^2*R_dn)-dpdn_minQ</f>
        <v>50</v>
      </c>
      <c r="AT1590" s="132"/>
      <c r="AU1590" s="146"/>
    </row>
    <row r="1591" spans="13:47" x14ac:dyDescent="0.25">
      <c r="M1591" s="20"/>
      <c r="N1591" s="20"/>
      <c r="O1591" s="7" t="s">
        <v>234</v>
      </c>
      <c r="P1591" s="1"/>
      <c r="Q1591" s="7"/>
      <c r="R1591" s="179">
        <f>'Valve Sizing'!G$8*R1589/P_1_maxW</f>
        <v>0.48488356396175442</v>
      </c>
      <c r="S1591" s="132"/>
      <c r="T1591" s="146"/>
      <c r="U1591" s="143">
        <f>'Valve Sizing'!$G$8*U1589/P_1_maxW</f>
        <v>0.48112373682670739</v>
      </c>
      <c r="V1591" s="132"/>
      <c r="W1591" s="146"/>
      <c r="X1591" s="143">
        <f>'Valve Sizing'!$G$8*X1589/P_1_maxW</f>
        <v>0.46178257559273012</v>
      </c>
      <c r="Y1591" s="132"/>
      <c r="Z1591" s="146"/>
      <c r="AA1591" s="143">
        <f>'Valve Sizing'!$G$8*AA1589/P_1_maxW</f>
        <v>0.39718795628564385</v>
      </c>
      <c r="AB1591" s="132"/>
      <c r="AC1591" s="146"/>
      <c r="AD1591" s="143">
        <f>'Valve Sizing'!$G$8*AD1589/P_1_maxW</f>
        <v>0.24764838716684173</v>
      </c>
      <c r="AE1591" s="132"/>
      <c r="AF1591" s="146"/>
      <c r="AG1591" s="143">
        <f>'Valve Sizing'!$G$8*AG1589/P_1_maxW</f>
        <v>1.8169465475215894E-2</v>
      </c>
      <c r="AH1591" s="132"/>
      <c r="AI1591" s="146"/>
      <c r="AJ1591" s="143">
        <f>'Valve Sizing'!$G$8*AJ1589/P_1_maxW</f>
        <v>-0.26757760397997699</v>
      </c>
      <c r="AK1591" s="132"/>
      <c r="AL1591" s="146"/>
      <c r="AM1591" s="143">
        <f>'Valve Sizing'!$G$8*AM1589/P_1_maxW</f>
        <v>-0.54971357699642587</v>
      </c>
      <c r="AN1591" s="132"/>
      <c r="AO1591" s="146"/>
      <c r="AP1591" s="143">
        <f>'Valve Sizing'!$G$8*AP1589/P_1_maxW</f>
        <v>-0.80290091328559432</v>
      </c>
      <c r="AQ1591" s="132"/>
      <c r="AR1591" s="146"/>
      <c r="AS1591" s="143">
        <f>'Valve Sizing'!$G$8*AS1589/P_1_maxW</f>
        <v>-1.1180472062528111</v>
      </c>
      <c r="AT1591" s="132"/>
      <c r="AU1591" s="146"/>
    </row>
    <row r="1592" spans="13:47" x14ac:dyDescent="0.25">
      <c r="M1592" s="20"/>
      <c r="N1592" s="20"/>
      <c r="O1592" s="7" t="s">
        <v>190</v>
      </c>
      <c r="P1592" s="1"/>
      <c r="Q1592" s="7"/>
      <c r="R1592" s="181">
        <f>R1589-R1590</f>
        <v>50.518544814594833</v>
      </c>
      <c r="S1592" s="132"/>
      <c r="T1592" s="146"/>
      <c r="U1592" s="138">
        <f>U1589-U1590</f>
        <v>49.739115730050401</v>
      </c>
      <c r="V1592" s="132"/>
      <c r="W1592" s="146"/>
      <c r="X1592" s="138">
        <f>X1589-X1590</f>
        <v>45.72960596985321</v>
      </c>
      <c r="Y1592" s="132"/>
      <c r="Z1592" s="146"/>
      <c r="AA1592" s="138">
        <f>AA1589-AA1590</f>
        <v>32.338850707806046</v>
      </c>
      <c r="AB1592" s="132"/>
      <c r="AC1592" s="146"/>
      <c r="AD1592" s="138">
        <f>AD1589-AD1590</f>
        <v>1.3386250923856622</v>
      </c>
      <c r="AE1592" s="132"/>
      <c r="AF1592" s="146"/>
      <c r="AG1592" s="138">
        <f>AG1589-AG1590</f>
        <v>-46.233388043295733</v>
      </c>
      <c r="AH1592" s="132"/>
      <c r="AI1592" s="146"/>
      <c r="AJ1592" s="138">
        <f>AJ1589-AJ1590</f>
        <v>-105.4700414204279</v>
      </c>
      <c r="AK1592" s="132"/>
      <c r="AL1592" s="146"/>
      <c r="AM1592" s="138">
        <f>AM1589-AM1590</f>
        <v>-163.95809825565641</v>
      </c>
      <c r="AN1592" s="132"/>
      <c r="AO1592" s="146"/>
      <c r="AP1592" s="138">
        <f>AP1589-AP1590</f>
        <v>-216.44497242670596</v>
      </c>
      <c r="AQ1592" s="132"/>
      <c r="AR1592" s="146"/>
      <c r="AS1592" s="138">
        <f>AS1589-AS1590</f>
        <v>-281.77621713616213</v>
      </c>
      <c r="AT1592" s="132"/>
      <c r="AU1592" s="146"/>
    </row>
    <row r="1593" spans="13:47" ht="14.5" x14ac:dyDescent="0.35">
      <c r="M1593" s="27"/>
      <c r="N1593" s="27"/>
      <c r="O1593" s="2" t="s">
        <v>191</v>
      </c>
      <c r="P1593" s="10"/>
      <c r="Q1593" s="2"/>
      <c r="R1593" s="181">
        <f>R1592/R1589</f>
        <v>0.5025793489925231</v>
      </c>
      <c r="S1593" s="132"/>
      <c r="T1593" s="146"/>
      <c r="U1593" s="138">
        <f>U1592/U1589</f>
        <v>0.49869216671894456</v>
      </c>
      <c r="V1593" s="132"/>
      <c r="W1593" s="146"/>
      <c r="X1593" s="138">
        <f>X1592/X1589</f>
        <v>0.47769554158881838</v>
      </c>
      <c r="Y1593" s="132"/>
      <c r="Z1593" s="146"/>
      <c r="AA1593" s="138">
        <f>AA1592/AA1589</f>
        <v>0.39275324381884036</v>
      </c>
      <c r="AB1593" s="132"/>
      <c r="AC1593" s="146"/>
      <c r="AD1593" s="138">
        <f>AD1592/AD1589</f>
        <v>2.6074424275616247E-2</v>
      </c>
      <c r="AE1593" s="132"/>
      <c r="AF1593" s="146"/>
      <c r="AG1593" s="138">
        <f>AG1592/AG1589</f>
        <v>-12.274529092651559</v>
      </c>
      <c r="AH1593" s="132"/>
      <c r="AI1593" s="146"/>
      <c r="AJ1593" s="138">
        <f>AJ1592/AJ1589</f>
        <v>1.9013874646501805</v>
      </c>
      <c r="AK1593" s="132"/>
      <c r="AL1593" s="146"/>
      <c r="AM1593" s="138">
        <f>AM1592/AM1589</f>
        <v>1.4387577606624216</v>
      </c>
      <c r="AN1593" s="132"/>
      <c r="AO1593" s="146"/>
      <c r="AP1593" s="138">
        <f>AP1592/AP1589</f>
        <v>1.3003995811409534</v>
      </c>
      <c r="AQ1593" s="132"/>
      <c r="AR1593" s="146"/>
      <c r="AS1593" s="138">
        <f>AS1592/AS1589</f>
        <v>1.2157253259967842</v>
      </c>
      <c r="AT1593" s="132"/>
      <c r="AU1593" s="146"/>
    </row>
    <row r="1594" spans="13:47" x14ac:dyDescent="0.25">
      <c r="M1594" s="27"/>
      <c r="N1594" s="27"/>
      <c r="O1594" s="2" t="s">
        <v>26</v>
      </c>
      <c r="P1594" s="7">
        <v>12</v>
      </c>
      <c r="Q1594" s="2"/>
      <c r="R1594" s="181">
        <f>1-R1593/(3*F_GAMMA*R$29)</f>
        <v>0.73825091592327241</v>
      </c>
      <c r="S1594" s="133"/>
      <c r="T1594" s="146"/>
      <c r="U1594" s="138">
        <f>1-U1593/(3*F_GAMMA*U$29)</f>
        <v>0.7403325898831985</v>
      </c>
      <c r="V1594" s="133"/>
      <c r="W1594" s="146"/>
      <c r="X1594" s="138">
        <f>1-X1593/(3*F_GAMMA*X$29)</f>
        <v>0.74753405129445838</v>
      </c>
      <c r="Y1594" s="133"/>
      <c r="Z1594" s="146"/>
      <c r="AA1594" s="138">
        <f>1-AA1593/(3*F_GAMMA*AA$29)</f>
        <v>0.78958062290038666</v>
      </c>
      <c r="AB1594" s="133"/>
      <c r="AC1594" s="146"/>
      <c r="AD1594" s="138">
        <f>1-AD1593/(3*F_GAMMA*AD$29)</f>
        <v>0.98564749209698721</v>
      </c>
      <c r="AE1594" s="133"/>
      <c r="AF1594" s="146"/>
      <c r="AG1594" s="138">
        <f>1-AG1593/(3*F_GAMMA*AG$29)</f>
        <v>8.1418377085147178</v>
      </c>
      <c r="AH1594" s="133"/>
      <c r="AI1594" s="146"/>
      <c r="AJ1594" s="138">
        <f>1-AJ1593/(3*F_GAMMA*AJ$29)</f>
        <v>-0.18265746261050131</v>
      </c>
      <c r="AK1594" s="133"/>
      <c r="AL1594" s="146"/>
      <c r="AM1594" s="138">
        <f>1-AM1593/(3*F_GAMMA*AM$29)</f>
        <v>2.2227323619708694E-2</v>
      </c>
      <c r="AN1594" s="133"/>
      <c r="AO1594" s="146"/>
      <c r="AP1594" s="138">
        <f>1-AP1593/(3*F_GAMMA*AP$29)</f>
        <v>0.26968025155386444</v>
      </c>
      <c r="AQ1594" s="133"/>
      <c r="AR1594" s="146"/>
      <c r="AS1594" s="138">
        <f>1-AS1593/(3*F_GAMMA*AS$29)</f>
        <v>-3.6497641770478539E-2</v>
      </c>
      <c r="AT1594" s="133"/>
      <c r="AU1594" s="146"/>
    </row>
    <row r="1595" spans="13:47" x14ac:dyDescent="0.25">
      <c r="M1595" s="27"/>
      <c r="N1595" s="27"/>
      <c r="O1595" s="2" t="s">
        <v>71</v>
      </c>
      <c r="P1595" s="85">
        <v>5</v>
      </c>
      <c r="Q1595" s="2"/>
      <c r="R1595" s="179">
        <f>R1587/((N_6*R$27*R1594)*SQRT(R1593*R1589*R1591))</f>
        <v>0.44598901278103997</v>
      </c>
      <c r="S1595" s="133"/>
      <c r="T1595" s="146"/>
      <c r="U1595" s="143">
        <f>U1587/((N_6*U$27*U1594)*SQRT(U1593*U1589*U1591))</f>
        <v>6.1196068082823585</v>
      </c>
      <c r="V1595" s="133"/>
      <c r="W1595" s="146"/>
      <c r="X1595" s="143">
        <f>X1587/((N_6*X$27*X1594)*SQRT(X1593*X1589*X1591))</f>
        <v>15.991373460583928</v>
      </c>
      <c r="Y1595" s="133"/>
      <c r="Z1595" s="146"/>
      <c r="AA1595" s="143">
        <f>AA1587/((N_6*AA$27*AA1594)*SQRT(AA1593*AA1589*AA1591))</f>
        <v>38.027700428749696</v>
      </c>
      <c r="AB1595" s="133"/>
      <c r="AC1595" s="146"/>
      <c r="AD1595" s="143">
        <f>AD1587/((N_6*AD$27*AD1594)*SQRT(AD1593*AD1589*AD1591))</f>
        <v>315.57412550961601</v>
      </c>
      <c r="AE1595" s="133"/>
      <c r="AF1595" s="146"/>
      <c r="AG1595" s="143" t="e">
        <f>AG1587/((N_6*AG$27*AG1594)*SQRT(AG1593*AG1589*AG1591))</f>
        <v>#NUM!</v>
      </c>
      <c r="AH1595" s="133"/>
      <c r="AI1595" s="146"/>
      <c r="AJ1595" s="143">
        <f>AJ1587/((N_6*AJ$27*AJ1594)*SQRT(AJ1593*AJ1589*AJ1591))</f>
        <v>-347.30685838750782</v>
      </c>
      <c r="AK1595" s="133"/>
      <c r="AL1595" s="146"/>
      <c r="AM1595" s="143">
        <f>AM1587/((N_6*AM$27*AM1594)*SQRT(AM1593*AM1589*AM1591))</f>
        <v>1987.671461193486</v>
      </c>
      <c r="AN1595" s="133"/>
      <c r="AO1595" s="146"/>
      <c r="AP1595" s="143">
        <f>AP1587/((N_6*AP$27*AP1594)*SQRT(AP1593*AP1589*AP1591))</f>
        <v>149.52086654977091</v>
      </c>
      <c r="AQ1595" s="133"/>
      <c r="AR1595" s="146"/>
      <c r="AS1595" s="143">
        <f>AS1587/((N_6*AS$27*AS1594)*SQRT(AS1593*AS1589*AS1591))</f>
        <v>-1202.9045444835574</v>
      </c>
      <c r="AT1595" s="133"/>
      <c r="AU1595" s="146"/>
    </row>
    <row r="1596" spans="13:47" x14ac:dyDescent="0.25">
      <c r="M1596" s="27"/>
      <c r="N1596" s="27"/>
      <c r="O1596" s="2" t="s">
        <v>73</v>
      </c>
      <c r="P1596" s="85">
        <v>5</v>
      </c>
      <c r="Q1596" s="2"/>
      <c r="R1596" s="179">
        <f>R1587/((N_6*R$27*0.667)*SQRT(R1597*R1589*R1591))</f>
        <v>0.43742694638908669</v>
      </c>
      <c r="S1596" s="133"/>
      <c r="T1596" s="147"/>
      <c r="U1596" s="143">
        <f>U1587/((N_6*U$27*0.667)*SQRT(U1597*U1589*U1591))</f>
        <v>5.9950651004044104</v>
      </c>
      <c r="V1596" s="133"/>
      <c r="W1596" s="155"/>
      <c r="X1596" s="143">
        <f>X1587/((N_6*X$27*0.667)*SQRT(X1597*X1589*X1591))</f>
        <v>15.597426401121764</v>
      </c>
      <c r="Y1596" s="133"/>
      <c r="Z1596" s="155"/>
      <c r="AA1596" s="143">
        <f>AA1587/((N_6*AA$27*0.667)*SQRT(AA1597*AA1589*AA1591))</f>
        <v>35.766315609458388</v>
      </c>
      <c r="AB1596" s="133"/>
      <c r="AC1596" s="155"/>
      <c r="AD1596" s="143">
        <f>AD1587/((N_6*AD$27*0.667)*SQRT(AD1597*AD1589*AD1591))</f>
        <v>96.765757213279528</v>
      </c>
      <c r="AE1596" s="133"/>
      <c r="AF1596" s="155"/>
      <c r="AG1596" s="143">
        <f>AG1587/((N_6*AG$27*0.667)*SQRT(AG1597*AG1589*AG1591))</f>
        <v>1942.936102730969</v>
      </c>
      <c r="AH1596" s="133"/>
      <c r="AI1596" s="155"/>
      <c r="AJ1596" s="143">
        <f>AJ1587/((N_6*AJ$27*0.667)*SQRT(AJ1597*AJ1589*AJ1591))</f>
        <v>179.14927774767827</v>
      </c>
      <c r="AK1596" s="133"/>
      <c r="AL1596" s="155"/>
      <c r="AM1596" s="143">
        <f>AM1587/((N_6*AM$27*0.667)*SQRT(AM1597*AM1589*AM1591))</f>
        <v>113.44504108795486</v>
      </c>
      <c r="AN1596" s="133"/>
      <c r="AO1596" s="155"/>
      <c r="AP1596" s="143">
        <f>AP1587/((N_6*AP$27*0.667)*SQRT(AP1597*AP1589*AP1591))</f>
        <v>89.483356421844391</v>
      </c>
      <c r="AQ1596" s="133"/>
      <c r="AR1596" s="155"/>
      <c r="AS1596" s="143">
        <f>AS1587/((N_6*AS$27*0.667)*SQRT(AS1597*AS1589*AS1591))</f>
        <v>116.06864713038293</v>
      </c>
      <c r="AT1596" s="133"/>
      <c r="AU1596" s="155"/>
    </row>
    <row r="1597" spans="13:47" ht="15.5" x14ac:dyDescent="0.4">
      <c r="M1597" s="27"/>
      <c r="N1597" s="27"/>
      <c r="O1597" s="2" t="s">
        <v>192</v>
      </c>
      <c r="P1597" s="85">
        <v>10</v>
      </c>
      <c r="Q1597" s="2"/>
      <c r="R1597" s="181">
        <f>F_GAMMA*R$29</f>
        <v>0.64002688015162901</v>
      </c>
      <c r="S1597" s="133"/>
      <c r="T1597" s="147"/>
      <c r="U1597" s="138">
        <f>F_GAMMA*U$29</f>
        <v>0.64016782916606918</v>
      </c>
      <c r="V1597" s="133"/>
      <c r="W1597" s="155"/>
      <c r="X1597" s="138">
        <f>F_GAMMA*X$29</f>
        <v>0.6307062319203669</v>
      </c>
      <c r="Y1597" s="133"/>
      <c r="Z1597" s="155"/>
      <c r="AA1597" s="138">
        <f>F_GAMMA*AA$29</f>
        <v>0.62217534213893466</v>
      </c>
      <c r="AB1597" s="133"/>
      <c r="AC1597" s="155"/>
      <c r="AD1597" s="138">
        <f>F_GAMMA*AD$29</f>
        <v>0.60557184969146072</v>
      </c>
      <c r="AE1597" s="133"/>
      <c r="AF1597" s="155"/>
      <c r="AG1597" s="138">
        <f>F_GAMMA*AG$29</f>
        <v>0.57289312142622573</v>
      </c>
      <c r="AH1597" s="133"/>
      <c r="AI1597" s="155"/>
      <c r="AJ1597" s="138">
        <f>F_GAMMA*AJ$29</f>
        <v>0.53590819116049981</v>
      </c>
      <c r="AK1597" s="133"/>
      <c r="AL1597" s="155"/>
      <c r="AM1597" s="138">
        <f>F_GAMMA*AM$29</f>
        <v>0.49048815926850342</v>
      </c>
      <c r="AN1597" s="133"/>
      <c r="AO1597" s="155"/>
      <c r="AP1597" s="138">
        <f>F_GAMMA*AP$29</f>
        <v>0.59352979016280105</v>
      </c>
      <c r="AQ1597" s="133"/>
      <c r="AR1597" s="155"/>
      <c r="AS1597" s="138">
        <f>F_GAMMA*AS$29</f>
        <v>0.39097221161068291</v>
      </c>
      <c r="AT1597" s="133"/>
      <c r="AU1597" s="155"/>
    </row>
    <row r="1598" spans="13:47" x14ac:dyDescent="0.25">
      <c r="M1598" s="27"/>
      <c r="N1598" s="27"/>
      <c r="O1598" s="2" t="s">
        <v>193</v>
      </c>
      <c r="P1598" s="134"/>
      <c r="Q1598" s="2"/>
      <c r="R1598" s="181">
        <f>IF(R1593&lt;R1597,R1595,R1596)</f>
        <v>0.44598901278103997</v>
      </c>
      <c r="S1598" s="133"/>
      <c r="T1598" s="147"/>
      <c r="U1598" s="138">
        <f>IF(U1593&lt;U1597,U1595,U1596)</f>
        <v>6.1196068082823585</v>
      </c>
      <c r="V1598" s="133"/>
      <c r="W1598" s="155"/>
      <c r="X1598" s="138">
        <f>IF(X1593&lt;X1597,X1595,X1596)</f>
        <v>15.991373460583928</v>
      </c>
      <c r="Y1598" s="133"/>
      <c r="Z1598" s="155"/>
      <c r="AA1598" s="138">
        <f>IF(AA1593&lt;AA1597,AA1595,AA1596)</f>
        <v>38.027700428749696</v>
      </c>
      <c r="AB1598" s="133"/>
      <c r="AC1598" s="155"/>
      <c r="AD1598" s="138">
        <f>IF(AD1593&lt;AD1597,AD1595,AD1596)</f>
        <v>315.57412550961601</v>
      </c>
      <c r="AE1598" s="133"/>
      <c r="AF1598" s="155"/>
      <c r="AG1598" s="138" t="e">
        <f>IF(AG1593&lt;AG1597,AG1595,AG1596)</f>
        <v>#NUM!</v>
      </c>
      <c r="AH1598" s="133"/>
      <c r="AI1598" s="155"/>
      <c r="AJ1598" s="138">
        <f>IF(AJ1593&lt;AJ1597,AJ1595,AJ1596)</f>
        <v>179.14927774767827</v>
      </c>
      <c r="AK1598" s="133"/>
      <c r="AL1598" s="155"/>
      <c r="AM1598" s="138">
        <f>IF(AM1593&lt;AM1597,AM1595,AM1596)</f>
        <v>113.44504108795486</v>
      </c>
      <c r="AN1598" s="133"/>
      <c r="AO1598" s="155"/>
      <c r="AP1598" s="138">
        <f>IF(AP1593&lt;AP1597,AP1595,AP1596)</f>
        <v>89.483356421844391</v>
      </c>
      <c r="AQ1598" s="133"/>
      <c r="AR1598" s="155"/>
      <c r="AS1598" s="138">
        <f>IF(AS1593&lt;AS1597,AS1595,AS1596)</f>
        <v>116.06864713038293</v>
      </c>
      <c r="AT1598" s="133"/>
      <c r="AU1598" s="155"/>
    </row>
    <row r="1599" spans="13:47" ht="13" x14ac:dyDescent="0.3">
      <c r="M1599" s="28"/>
      <c r="N1599" s="28"/>
      <c r="O1599" s="9" t="s">
        <v>194</v>
      </c>
      <c r="P1599" s="1"/>
      <c r="Q1599" s="1"/>
      <c r="R1599" s="135"/>
      <c r="S1599" s="132">
        <f>IF(R1592&lt;=0,W_max,ABS(R$23-R1598))</f>
        <v>1.55401098721896</v>
      </c>
      <c r="T1599" s="151">
        <f>R1587</f>
        <v>103.13938851088693</v>
      </c>
      <c r="U1599" s="135"/>
      <c r="V1599" s="132">
        <f>IF(U1592&lt;=0,W_max,ABS(U$23-U1598))</f>
        <v>1.1196068082823585</v>
      </c>
      <c r="W1599" s="151">
        <f>U1587</f>
        <v>1401.877598816571</v>
      </c>
      <c r="X1599" s="135"/>
      <c r="Y1599" s="132">
        <f>IF(X1592&lt;=0,W_max,ABS(X$23-X1598))</f>
        <v>5.9913734605839277</v>
      </c>
      <c r="Z1599" s="151">
        <f>X1587</f>
        <v>3467.0101272632123</v>
      </c>
      <c r="AA1599" s="135"/>
      <c r="AB1599" s="132">
        <f>IF(AA1592&lt;=0,W_max,ABS(AA$23-AA1598))</f>
        <v>20.827700428749697</v>
      </c>
      <c r="AC1599" s="151">
        <f>AA1587</f>
        <v>6752.8507894757322</v>
      </c>
      <c r="AD1599" s="135"/>
      <c r="AE1599" s="132">
        <f>IF(AD1592&lt;=0,W_max,ABS(AD$23-AD1598))</f>
        <v>288.97412550961599</v>
      </c>
      <c r="AF1599" s="151">
        <f>AD1587</f>
        <v>11105.953296535374</v>
      </c>
      <c r="AG1599" s="135"/>
      <c r="AH1599" s="132">
        <f>IF(AG1592&lt;=0,W_max,ABS(AG$23-AG1598))</f>
        <v>7174</v>
      </c>
      <c r="AI1599" s="151">
        <f>AG1587</f>
        <v>15576.954503194609</v>
      </c>
      <c r="AJ1599" s="135"/>
      <c r="AK1599" s="132">
        <f>IF(AJ1592&lt;=0,W_max,ABS(AJ$23-AJ1598))</f>
        <v>7174</v>
      </c>
      <c r="AL1599" s="151">
        <f>AJ1587</f>
        <v>19778.598851311432</v>
      </c>
      <c r="AM1599" s="135"/>
      <c r="AN1599" s="132">
        <f>IF(AM1592&lt;=0,W_max,ABS(AM$23-AM1598))</f>
        <v>7174</v>
      </c>
      <c r="AO1599" s="151">
        <f>AM1587</f>
        <v>23191.962639560184</v>
      </c>
      <c r="AP1599" s="135"/>
      <c r="AQ1599" s="132">
        <f>IF(AP1592&lt;=0,W_max,ABS(AP$23-AP1598))</f>
        <v>7174</v>
      </c>
      <c r="AR1599" s="151">
        <f>AP1587</f>
        <v>25874.538614001907</v>
      </c>
      <c r="AS1599" s="135"/>
      <c r="AT1599" s="132">
        <f>IF(AS1592&lt;=0,W_max,ABS(AS$23-AS1598))</f>
        <v>7174</v>
      </c>
      <c r="AU1599" s="151">
        <f>AS1587</f>
        <v>28867.403716211396</v>
      </c>
    </row>
    <row r="1600" spans="13:47" ht="13" x14ac:dyDescent="0.25">
      <c r="M1600" s="12"/>
      <c r="N1600" s="12"/>
      <c r="O1600" s="12"/>
      <c r="P1600" s="12"/>
      <c r="Q1600" s="12"/>
      <c r="R1600" s="182"/>
      <c r="S1600" s="22"/>
      <c r="T1600" s="152"/>
      <c r="U1600" s="157"/>
      <c r="V1600" s="1"/>
      <c r="W1600" s="147"/>
      <c r="X1600" s="157"/>
      <c r="Y1600" s="1"/>
      <c r="Z1600" s="147"/>
      <c r="AA1600" s="157"/>
      <c r="AB1600" s="1"/>
      <c r="AC1600" s="147"/>
      <c r="AD1600" s="157"/>
      <c r="AE1600" s="1"/>
      <c r="AF1600" s="147"/>
      <c r="AG1600" s="157"/>
      <c r="AH1600" s="1"/>
      <c r="AI1600" s="147"/>
      <c r="AJ1600" s="157"/>
      <c r="AK1600" s="1"/>
      <c r="AL1600" s="147"/>
      <c r="AM1600" s="157"/>
      <c r="AN1600" s="1"/>
      <c r="AO1600" s="147"/>
      <c r="AP1600" s="157"/>
      <c r="AQ1600" s="1"/>
      <c r="AR1600" s="147"/>
      <c r="AS1600" s="157"/>
      <c r="AT1600" s="1"/>
      <c r="AU1600" s="147"/>
    </row>
    <row r="1601" spans="13:47" ht="14" x14ac:dyDescent="0.3">
      <c r="M1601" s="23"/>
      <c r="N1601" s="23"/>
      <c r="O1601" s="23" t="s">
        <v>238</v>
      </c>
      <c r="P1601" s="20"/>
      <c r="Q1601" s="20"/>
      <c r="R1601" s="18">
        <f>R1587*1.02</f>
        <v>105.20217628110467</v>
      </c>
      <c r="S1601" s="128" t="s">
        <v>185</v>
      </c>
      <c r="T1601" s="153" t="s">
        <v>186</v>
      </c>
      <c r="U1601" s="143">
        <f>U1587*1.01</f>
        <v>1415.8963748047368</v>
      </c>
      <c r="V1601" s="128" t="s">
        <v>185</v>
      </c>
      <c r="W1601" s="153" t="s">
        <v>186</v>
      </c>
      <c r="X1601" s="143">
        <f>X1587*1.01</f>
        <v>3501.6802285358444</v>
      </c>
      <c r="Y1601" s="128" t="s">
        <v>185</v>
      </c>
      <c r="Z1601" s="153" t="s">
        <v>186</v>
      </c>
      <c r="AA1601" s="143">
        <f>AA1587*1.01</f>
        <v>6820.3792973704894</v>
      </c>
      <c r="AB1601" s="128" t="s">
        <v>185</v>
      </c>
      <c r="AC1601" s="153" t="s">
        <v>186</v>
      </c>
      <c r="AD1601" s="143">
        <f>AD1587*1.01</f>
        <v>11217.012829500727</v>
      </c>
      <c r="AE1601" s="128" t="s">
        <v>185</v>
      </c>
      <c r="AF1601" s="153" t="s">
        <v>186</v>
      </c>
      <c r="AG1601" s="143">
        <f>AG1587*1.01</f>
        <v>15732.724048226555</v>
      </c>
      <c r="AH1601" s="128" t="s">
        <v>185</v>
      </c>
      <c r="AI1601" s="153" t="s">
        <v>186</v>
      </c>
      <c r="AJ1601" s="143">
        <f>AJ1587*1.01</f>
        <v>19976.384839824546</v>
      </c>
      <c r="AK1601" s="128" t="s">
        <v>185</v>
      </c>
      <c r="AL1601" s="153" t="s">
        <v>186</v>
      </c>
      <c r="AM1601" s="143">
        <f>AM1587*1.01</f>
        <v>23423.882265955788</v>
      </c>
      <c r="AN1601" s="128" t="s">
        <v>185</v>
      </c>
      <c r="AO1601" s="153" t="s">
        <v>186</v>
      </c>
      <c r="AP1601" s="143">
        <f>AP1587*1.01</f>
        <v>26133.284000141928</v>
      </c>
      <c r="AQ1601" s="128" t="s">
        <v>185</v>
      </c>
      <c r="AR1601" s="153" t="s">
        <v>186</v>
      </c>
      <c r="AS1601" s="143">
        <f>AS1587*1.01</f>
        <v>29156.077753373509</v>
      </c>
      <c r="AT1601" s="128" t="s">
        <v>185</v>
      </c>
      <c r="AU1601" s="153" t="s">
        <v>186</v>
      </c>
    </row>
    <row r="1602" spans="13:47" ht="14" x14ac:dyDescent="0.3">
      <c r="M1602" s="12"/>
      <c r="N1602" s="12"/>
      <c r="O1602" s="20"/>
      <c r="P1602" s="20"/>
      <c r="Q1602" s="23"/>
      <c r="R1602" s="139"/>
      <c r="S1602" s="130" t="s">
        <v>228</v>
      </c>
      <c r="T1602" s="154" t="s">
        <v>187</v>
      </c>
      <c r="U1602" s="144"/>
      <c r="V1602" s="130" t="s">
        <v>228</v>
      </c>
      <c r="W1602" s="154" t="s">
        <v>187</v>
      </c>
      <c r="X1602" s="144"/>
      <c r="Y1602" s="130" t="s">
        <v>228</v>
      </c>
      <c r="Z1602" s="154" t="s">
        <v>187</v>
      </c>
      <c r="AA1602" s="144"/>
      <c r="AB1602" s="130" t="s">
        <v>228</v>
      </c>
      <c r="AC1602" s="154" t="s">
        <v>187</v>
      </c>
      <c r="AD1602" s="144"/>
      <c r="AE1602" s="130" t="s">
        <v>228</v>
      </c>
      <c r="AF1602" s="154" t="s">
        <v>187</v>
      </c>
      <c r="AG1602" s="144"/>
      <c r="AH1602" s="130" t="s">
        <v>228</v>
      </c>
      <c r="AI1602" s="154" t="s">
        <v>187</v>
      </c>
      <c r="AJ1602" s="144"/>
      <c r="AK1602" s="130" t="s">
        <v>228</v>
      </c>
      <c r="AL1602" s="154" t="s">
        <v>187</v>
      </c>
      <c r="AM1602" s="144"/>
      <c r="AN1602" s="130" t="s">
        <v>228</v>
      </c>
      <c r="AO1602" s="154" t="s">
        <v>187</v>
      </c>
      <c r="AP1602" s="144"/>
      <c r="AQ1602" s="130" t="s">
        <v>228</v>
      </c>
      <c r="AR1602" s="154" t="s">
        <v>187</v>
      </c>
      <c r="AS1602" s="144"/>
      <c r="AT1602" s="130" t="s">
        <v>228</v>
      </c>
      <c r="AU1602" s="154" t="s">
        <v>187</v>
      </c>
    </row>
    <row r="1603" spans="13:47" x14ac:dyDescent="0.25">
      <c r="M1603" s="20"/>
      <c r="N1603" s="20"/>
      <c r="O1603" s="7" t="s">
        <v>188</v>
      </c>
      <c r="P1603" s="7"/>
      <c r="Q1603" s="7"/>
      <c r="R1603" s="181">
        <f>P_1_minW-(R1601^2*R_up)+dpup_minQ</f>
        <v>100.51837344094069</v>
      </c>
      <c r="S1603" s="132"/>
      <c r="T1603" s="145"/>
      <c r="U1603" s="138">
        <f>P_1_minW-(U1601^2*R_up)+dpup_minQ</f>
        <v>99.723363942816192</v>
      </c>
      <c r="V1603" s="132"/>
      <c r="W1603" s="145"/>
      <c r="X1603" s="138">
        <f>P_1_minW-(X1601^2*R_up)+dpup_minQ</f>
        <v>95.633263036439061</v>
      </c>
      <c r="Y1603" s="132"/>
      <c r="Z1603" s="145"/>
      <c r="AA1603" s="138">
        <f>P_1_minW-(AA1601^2*R_up)+dpup_minQ</f>
        <v>81.973353593624736</v>
      </c>
      <c r="AB1603" s="132"/>
      <c r="AC1603" s="145"/>
      <c r="AD1603" s="138">
        <f>P_1_minW-(AD1601^2*R_up)+dpup_minQ</f>
        <v>50.350023443334415</v>
      </c>
      <c r="AE1603" s="132"/>
      <c r="AF1603" s="145"/>
      <c r="AG1603" s="138">
        <f>P_1_minW-(AG1601^2*R_up)+dpup_minQ</f>
        <v>1.8218128436258065</v>
      </c>
      <c r="AH1603" s="132"/>
      <c r="AI1603" s="145"/>
      <c r="AJ1603" s="138">
        <f>P_1_minW-(AJ1601^2*R_up)+dpup_minQ</f>
        <v>-58.605497266386706</v>
      </c>
      <c r="AK1603" s="132"/>
      <c r="AL1603" s="145"/>
      <c r="AM1603" s="138">
        <f>P_1_minW-(AM1601^2*R_up)+dpup_minQ</f>
        <v>-118.26916404400332</v>
      </c>
      <c r="AN1603" s="132"/>
      <c r="AO1603" s="145"/>
      <c r="AP1603" s="138">
        <f>P_1_minW-(AP1601^2*R_up)+dpup_minQ</f>
        <v>-171.81102438589099</v>
      </c>
      <c r="AQ1603" s="132"/>
      <c r="AR1603" s="145"/>
      <c r="AS1603" s="138">
        <f>P_1_minW-(AS1601^2*R_up)+dpup_minQ</f>
        <v>-238.45542711400716</v>
      </c>
      <c r="AT1603" s="132"/>
      <c r="AU1603" s="145"/>
    </row>
    <row r="1604" spans="13:47" x14ac:dyDescent="0.25">
      <c r="M1604" s="20"/>
      <c r="N1604" s="20"/>
      <c r="O1604" s="7" t="s">
        <v>189</v>
      </c>
      <c r="P1604" s="1"/>
      <c r="Q1604" s="7"/>
      <c r="R1604" s="181">
        <f>P_2_minW+(R1601^2*R_dn)-dpdn_minQ</f>
        <v>50</v>
      </c>
      <c r="S1604" s="132"/>
      <c r="T1604" s="146"/>
      <c r="U1604" s="138">
        <f>P_2_minW+(U1601^2*R_dn)-dpdn_minQ</f>
        <v>50</v>
      </c>
      <c r="V1604" s="132"/>
      <c r="W1604" s="146"/>
      <c r="X1604" s="138">
        <f>P_2_minW+(X1601^2*R_dn)-dpdn_minQ</f>
        <v>50</v>
      </c>
      <c r="Y1604" s="132"/>
      <c r="Z1604" s="146"/>
      <c r="AA1604" s="138">
        <f>P_2_minW+(AA1601^2*R_dn)-dpdn_minQ</f>
        <v>50</v>
      </c>
      <c r="AB1604" s="132"/>
      <c r="AC1604" s="146"/>
      <c r="AD1604" s="138">
        <f>P_2_minW+(AD1601^2*R_dn)-dpdn_minQ</f>
        <v>50</v>
      </c>
      <c r="AE1604" s="132"/>
      <c r="AF1604" s="146"/>
      <c r="AG1604" s="138">
        <f>P_2_minW+(AG1601^2*R_dn)-dpdn_minQ</f>
        <v>50</v>
      </c>
      <c r="AH1604" s="132"/>
      <c r="AI1604" s="146"/>
      <c r="AJ1604" s="138">
        <f>P_2_minW+(AJ1601^2*R_dn)-dpdn_minQ</f>
        <v>50</v>
      </c>
      <c r="AK1604" s="132"/>
      <c r="AL1604" s="146"/>
      <c r="AM1604" s="138">
        <f>P_2_minW+(AM1601^2*R_dn)-dpdn_minQ</f>
        <v>50</v>
      </c>
      <c r="AN1604" s="132"/>
      <c r="AO1604" s="146"/>
      <c r="AP1604" s="138">
        <f>P_2_minW+(AP1601^2*R_dn)-dpdn_minQ</f>
        <v>50</v>
      </c>
      <c r="AQ1604" s="132"/>
      <c r="AR1604" s="146"/>
      <c r="AS1604" s="138">
        <f>P_2_minW+(AS1601^2*R_dn)-dpdn_minQ</f>
        <v>50</v>
      </c>
      <c r="AT1604" s="132"/>
      <c r="AU1604" s="146"/>
    </row>
    <row r="1605" spans="13:47" x14ac:dyDescent="0.25">
      <c r="M1605" s="20"/>
      <c r="N1605" s="20"/>
      <c r="O1605" s="7" t="s">
        <v>234</v>
      </c>
      <c r="P1605" s="1"/>
      <c r="Q1605" s="7"/>
      <c r="R1605" s="179">
        <f>'Valve Sizing'!G$8*R1603/P_1_maxW</f>
        <v>0.48488273728575804</v>
      </c>
      <c r="S1605" s="132"/>
      <c r="T1605" s="146"/>
      <c r="U1605" s="143">
        <f>'Valve Sizing'!$G$8*U1603/P_1_maxW</f>
        <v>0.48104775300952252</v>
      </c>
      <c r="V1605" s="132"/>
      <c r="W1605" s="146"/>
      <c r="X1605" s="143">
        <f>'Valve Sizing'!$G$8*X1603/P_1_maxW</f>
        <v>0.46131783443474228</v>
      </c>
      <c r="Y1605" s="132"/>
      <c r="Z1605" s="146"/>
      <c r="AA1605" s="143">
        <f>'Valve Sizing'!$G$8*AA1603/P_1_maxW</f>
        <v>0.39542486327958354</v>
      </c>
      <c r="AB1605" s="132"/>
      <c r="AC1605" s="146"/>
      <c r="AD1605" s="143">
        <f>'Valve Sizing'!$G$8*AD1603/P_1_maxW</f>
        <v>0.2428795488214936</v>
      </c>
      <c r="AE1605" s="132"/>
      <c r="AF1605" s="146"/>
      <c r="AG1605" s="143">
        <f>'Valve Sizing'!$G$8*AG1603/P_1_maxW</f>
        <v>8.7881008038659808E-3</v>
      </c>
      <c r="AH1605" s="132"/>
      <c r="AI1605" s="146"/>
      <c r="AJ1605" s="143">
        <f>'Valve Sizing'!$G$8*AJ1603/P_1_maxW</f>
        <v>-0.28270248474737614</v>
      </c>
      <c r="AK1605" s="132"/>
      <c r="AL1605" s="146"/>
      <c r="AM1605" s="143">
        <f>'Valve Sizing'!$G$8*AM1603/P_1_maxW</f>
        <v>-0.5705093908214558</v>
      </c>
      <c r="AN1605" s="132"/>
      <c r="AO1605" s="146"/>
      <c r="AP1605" s="143">
        <f>'Valve Sizing'!$G$8*AP1603/P_1_maxW</f>
        <v>-0.82878579257003671</v>
      </c>
      <c r="AQ1605" s="132"/>
      <c r="AR1605" s="146"/>
      <c r="AS1605" s="143">
        <f>'Valve Sizing'!$G$8*AS1603/P_1_maxW</f>
        <v>-1.1502665260258942</v>
      </c>
      <c r="AT1605" s="132"/>
      <c r="AU1605" s="146"/>
    </row>
    <row r="1606" spans="13:47" x14ac:dyDescent="0.25">
      <c r="M1606" s="20"/>
      <c r="N1606" s="20"/>
      <c r="O1606" s="7" t="s">
        <v>190</v>
      </c>
      <c r="P1606" s="1"/>
      <c r="Q1606" s="7"/>
      <c r="R1606" s="181">
        <f>R1603-R1604</f>
        <v>50.518373440940692</v>
      </c>
      <c r="S1606" s="132"/>
      <c r="T1606" s="146"/>
      <c r="U1606" s="138">
        <f>U1603-U1604</f>
        <v>49.723363942816192</v>
      </c>
      <c r="V1606" s="132"/>
      <c r="W1606" s="146"/>
      <c r="X1606" s="138">
        <f>X1603-X1604</f>
        <v>45.633263036439061</v>
      </c>
      <c r="Y1606" s="132"/>
      <c r="Z1606" s="146"/>
      <c r="AA1606" s="138">
        <f>AA1603-AA1604</f>
        <v>31.973353593624736</v>
      </c>
      <c r="AB1606" s="132"/>
      <c r="AC1606" s="146"/>
      <c r="AD1606" s="138">
        <f>AD1603-AD1604</f>
        <v>0.35002344333441471</v>
      </c>
      <c r="AE1606" s="132"/>
      <c r="AF1606" s="146"/>
      <c r="AG1606" s="138">
        <f>AG1603-AG1604</f>
        <v>-48.178187156374193</v>
      </c>
      <c r="AH1606" s="132"/>
      <c r="AI1606" s="146"/>
      <c r="AJ1606" s="138">
        <f>AJ1603-AJ1604</f>
        <v>-108.60549726638671</v>
      </c>
      <c r="AK1606" s="132"/>
      <c r="AL1606" s="146"/>
      <c r="AM1606" s="138">
        <f>AM1603-AM1604</f>
        <v>-168.26916404400333</v>
      </c>
      <c r="AN1606" s="132"/>
      <c r="AO1606" s="146"/>
      <c r="AP1606" s="138">
        <f>AP1603-AP1604</f>
        <v>-221.81102438589099</v>
      </c>
      <c r="AQ1606" s="132"/>
      <c r="AR1606" s="146"/>
      <c r="AS1606" s="138">
        <f>AS1603-AS1604</f>
        <v>-288.45542711400719</v>
      </c>
      <c r="AT1606" s="132"/>
      <c r="AU1606" s="146"/>
    </row>
    <row r="1607" spans="13:47" ht="14.5" x14ac:dyDescent="0.35">
      <c r="M1607" s="27"/>
      <c r="N1607" s="27"/>
      <c r="O1607" s="2" t="s">
        <v>191</v>
      </c>
      <c r="P1607" s="10"/>
      <c r="Q1607" s="2"/>
      <c r="R1607" s="181">
        <f>R1606/R1603</f>
        <v>0.50257850094065271</v>
      </c>
      <c r="S1607" s="132"/>
      <c r="T1607" s="146"/>
      <c r="U1607" s="138">
        <f>U1606/U1603</f>
        <v>0.49861298272417665</v>
      </c>
      <c r="V1607" s="132"/>
      <c r="W1607" s="146"/>
      <c r="X1607" s="138">
        <f>X1606/X1603</f>
        <v>0.47716936124046566</v>
      </c>
      <c r="Y1607" s="132"/>
      <c r="Z1607" s="146"/>
      <c r="AA1607" s="138">
        <f>AA1606/AA1603</f>
        <v>0.39004569402064065</v>
      </c>
      <c r="AB1607" s="132"/>
      <c r="AC1607" s="146"/>
      <c r="AD1607" s="138">
        <f>AD1606/AD1603</f>
        <v>6.9518029863152439E-3</v>
      </c>
      <c r="AE1607" s="132"/>
      <c r="AF1607" s="146"/>
      <c r="AG1607" s="138">
        <f>AG1606/AG1603</f>
        <v>-26.445190198840102</v>
      </c>
      <c r="AH1607" s="132"/>
      <c r="AI1607" s="146"/>
      <c r="AJ1607" s="138">
        <f>AJ1606/AJ1603</f>
        <v>1.8531622856594647</v>
      </c>
      <c r="AK1607" s="132"/>
      <c r="AL1607" s="146"/>
      <c r="AM1607" s="138">
        <f>AM1606/AM1603</f>
        <v>1.4227644661578649</v>
      </c>
      <c r="AN1607" s="132"/>
      <c r="AO1607" s="146"/>
      <c r="AP1607" s="138">
        <f>AP1606/AP1603</f>
        <v>1.2910174139215829</v>
      </c>
      <c r="AQ1607" s="132"/>
      <c r="AR1607" s="146"/>
      <c r="AS1607" s="138">
        <f>AS1606/AS1603</f>
        <v>1.2096827931540208</v>
      </c>
      <c r="AT1607" s="132"/>
      <c r="AU1607" s="146"/>
    </row>
    <row r="1608" spans="13:47" x14ac:dyDescent="0.25">
      <c r="M1608" s="27"/>
      <c r="N1608" s="27"/>
      <c r="O1608" s="2" t="s">
        <v>26</v>
      </c>
      <c r="P1608" s="7">
        <v>12</v>
      </c>
      <c r="Q1608" s="2"/>
      <c r="R1608" s="181">
        <f>1-R1607/(3*F_GAMMA*R$29)</f>
        <v>0.73825135759840443</v>
      </c>
      <c r="S1608" s="133"/>
      <c r="T1608" s="146"/>
      <c r="U1608" s="138">
        <f>1-U1607/(3*F_GAMMA*U$29)</f>
        <v>0.74037382073504721</v>
      </c>
      <c r="V1608" s="133"/>
      <c r="W1608" s="146"/>
      <c r="X1608" s="138">
        <f>1-X1607/(3*F_GAMMA*X$29)</f>
        <v>0.74781214185480827</v>
      </c>
      <c r="Y1608" s="133"/>
      <c r="Z1608" s="146"/>
      <c r="AA1608" s="138">
        <f>1-AA1607/(3*F_GAMMA*AA$29)</f>
        <v>0.79103120529778159</v>
      </c>
      <c r="AB1608" s="133"/>
      <c r="AC1608" s="146"/>
      <c r="AD1608" s="138">
        <f>1-AD1607/(3*F_GAMMA*AD$29)</f>
        <v>0.99617342242165696</v>
      </c>
      <c r="AE1608" s="133"/>
      <c r="AF1608" s="146"/>
      <c r="AG1608" s="138">
        <f>1-AG1607/(3*F_GAMMA*AG$29)</f>
        <v>16.38692483803635</v>
      </c>
      <c r="AH1608" s="133"/>
      <c r="AI1608" s="146"/>
      <c r="AJ1608" s="138">
        <f>1-AJ1607/(3*F_GAMMA*AJ$29)</f>
        <v>-0.1526615418003312</v>
      </c>
      <c r="AK1608" s="133"/>
      <c r="AL1608" s="146"/>
      <c r="AM1608" s="138">
        <f>1-AM1607/(3*F_GAMMA*AM$29)</f>
        <v>3.309628766592787E-2</v>
      </c>
      <c r="AN1608" s="133"/>
      <c r="AO1608" s="146"/>
      <c r="AP1608" s="138">
        <f>1-AP1607/(3*F_GAMMA*AP$29)</f>
        <v>0.27494938736634944</v>
      </c>
      <c r="AQ1608" s="133"/>
      <c r="AR1608" s="146"/>
      <c r="AS1608" s="138">
        <f>1-AS1607/(3*F_GAMMA*AS$29)</f>
        <v>-3.1345926240731181E-2</v>
      </c>
      <c r="AT1608" s="133"/>
      <c r="AU1608" s="146"/>
    </row>
    <row r="1609" spans="13:47" x14ac:dyDescent="0.25">
      <c r="M1609" s="27"/>
      <c r="N1609" s="27"/>
      <c r="O1609" s="2" t="s">
        <v>71</v>
      </c>
      <c r="P1609" s="85">
        <v>5</v>
      </c>
      <c r="Q1609" s="2"/>
      <c r="R1609" s="179">
        <f>R1601/((N_6*R$27*R1608)*SQRT(R1607*R1603*R1605))</f>
        <v>0.45490968025767076</v>
      </c>
      <c r="S1609" s="133"/>
      <c r="T1609" s="146"/>
      <c r="U1609" s="143">
        <f>U1601/((N_6*U$27*U1608)*SQRT(U1607*U1603*U1605))</f>
        <v>6.1819257183028995</v>
      </c>
      <c r="V1609" s="133"/>
      <c r="W1609" s="146"/>
      <c r="X1609" s="143">
        <f>X1601/((N_6*X$27*X1608)*SQRT(X1607*X1603*X1605))</f>
        <v>16.170454380933204</v>
      </c>
      <c r="Y1609" s="133"/>
      <c r="Z1609" s="146"/>
      <c r="AA1609" s="143">
        <f>AA1601/((N_6*AA$27*AA1608)*SQRT(AA1607*AA1603*AA1605))</f>
        <v>38.641906713153944</v>
      </c>
      <c r="AB1609" s="133"/>
      <c r="AC1609" s="146"/>
      <c r="AD1609" s="143">
        <f>AD1601/((N_6*AD$27*AD1608)*SQRT(AD1607*AD1603*AD1605))</f>
        <v>622.74840558834524</v>
      </c>
      <c r="AE1609" s="133"/>
      <c r="AF1609" s="146"/>
      <c r="AG1609" s="143" t="e">
        <f>AG1601/((N_6*AG$27*AG1608)*SQRT(AG1607*AG1603*AG1605))</f>
        <v>#NUM!</v>
      </c>
      <c r="AH1609" s="133"/>
      <c r="AI1609" s="146"/>
      <c r="AJ1609" s="143">
        <f>AJ1601/((N_6*AJ$27*AJ1608)*SQRT(AJ1607*AJ1603*AJ1605))</f>
        <v>-402.38448870578958</v>
      </c>
      <c r="AK1609" s="133"/>
      <c r="AL1609" s="146"/>
      <c r="AM1609" s="143">
        <f>AM1601/((N_6*AM$27*AM1608)*SQRT(AM1607*AM1603*AM1605))</f>
        <v>1306.3960737810605</v>
      </c>
      <c r="AN1609" s="133"/>
      <c r="AO1609" s="146"/>
      <c r="AP1609" s="143">
        <f>AP1601/((N_6*AP$27*AP1608)*SQRT(AP1607*AP1603*AP1605))</f>
        <v>144.01627778629708</v>
      </c>
      <c r="AQ1609" s="133"/>
      <c r="AR1609" s="146"/>
      <c r="AS1609" s="143">
        <f>AS1601/((N_6*AS$27*AS1608)*SQRT(AS1607*AS1603*AS1605))</f>
        <v>-1378.4146363026564</v>
      </c>
      <c r="AT1609" s="133"/>
      <c r="AU1609" s="146"/>
    </row>
    <row r="1610" spans="13:47" x14ac:dyDescent="0.25">
      <c r="M1610" s="27"/>
      <c r="N1610" s="27"/>
      <c r="O1610" s="2" t="s">
        <v>73</v>
      </c>
      <c r="P1610" s="85">
        <v>5</v>
      </c>
      <c r="Q1610" s="2"/>
      <c r="R1610" s="179">
        <f>R1601/((N_6*R$27*0.667)*SQRT(R1611*R1603*R1605))</f>
        <v>0.44617624600091749</v>
      </c>
      <c r="S1610" s="133"/>
      <c r="T1610" s="155"/>
      <c r="U1610" s="143">
        <f>U1601/((N_6*U$27*0.667)*SQRT(U1611*U1603*U1605))</f>
        <v>6.0559721704064202</v>
      </c>
      <c r="V1610" s="133"/>
      <c r="W1610" s="155"/>
      <c r="X1610" s="143">
        <f>X1601/((N_6*X$27*0.667)*SQRT(X1611*X1603*X1605))</f>
        <v>15.769270967819917</v>
      </c>
      <c r="Y1610" s="133"/>
      <c r="Z1610" s="155"/>
      <c r="AA1610" s="143">
        <f>AA1601/((N_6*AA$27*0.667)*SQRT(AA1611*AA1603*AA1605))</f>
        <v>36.285045861294961</v>
      </c>
      <c r="AB1610" s="133"/>
      <c r="AC1610" s="155"/>
      <c r="AD1610" s="143">
        <f>AD1601/((N_6*AD$27*0.667)*SQRT(AD1611*AD1603*AD1605))</f>
        <v>99.652369503139653</v>
      </c>
      <c r="AE1610" s="133"/>
      <c r="AF1610" s="155"/>
      <c r="AG1610" s="143">
        <f>AG1601/((N_6*AG$27*0.667)*SQRT(AG1611*AG1603*AG1605))</f>
        <v>4057.2055714048006</v>
      </c>
      <c r="AH1610" s="133"/>
      <c r="AI1610" s="155"/>
      <c r="AJ1610" s="143">
        <f>AJ1601/((N_6*AJ$27*0.667)*SQRT(AJ1611*AJ1603*AJ1605))</f>
        <v>171.26024867689523</v>
      </c>
      <c r="AK1610" s="133"/>
      <c r="AL1610" s="155"/>
      <c r="AM1610" s="143">
        <f>AM1601/((N_6*AM$27*0.667)*SQRT(AM1611*AM1603*AM1605))</f>
        <v>110.40291910281216</v>
      </c>
      <c r="AN1610" s="133"/>
      <c r="AO1610" s="155"/>
      <c r="AP1610" s="143">
        <f>AP1601/((N_6*AP$27*0.667)*SQRT(AP1611*AP1603*AP1605))</f>
        <v>87.555472030822386</v>
      </c>
      <c r="AQ1610" s="133"/>
      <c r="AR1610" s="155"/>
      <c r="AS1610" s="143">
        <f>AS1601/((N_6*AS$27*0.667)*SQRT(AS1611*AS1603*AS1605))</f>
        <v>113.94570385098218</v>
      </c>
      <c r="AT1610" s="133"/>
      <c r="AU1610" s="155"/>
    </row>
    <row r="1611" spans="13:47" ht="15.5" x14ac:dyDescent="0.4">
      <c r="M1611" s="27"/>
      <c r="N1611" s="27"/>
      <c r="O1611" s="2" t="s">
        <v>192</v>
      </c>
      <c r="P1611" s="85">
        <v>10</v>
      </c>
      <c r="Q1611" s="2"/>
      <c r="R1611" s="181">
        <f>F_GAMMA*R$29</f>
        <v>0.64002688015162901</v>
      </c>
      <c r="S1611" s="133"/>
      <c r="T1611" s="155"/>
      <c r="U1611" s="138">
        <f>F_GAMMA*U$29</f>
        <v>0.64016782916606918</v>
      </c>
      <c r="V1611" s="133"/>
      <c r="W1611" s="155"/>
      <c r="X1611" s="138">
        <f>F_GAMMA*X$29</f>
        <v>0.6307062319203669</v>
      </c>
      <c r="Y1611" s="133"/>
      <c r="Z1611" s="155"/>
      <c r="AA1611" s="138">
        <f>F_GAMMA*AA$29</f>
        <v>0.62217534213893466</v>
      </c>
      <c r="AB1611" s="133"/>
      <c r="AC1611" s="155"/>
      <c r="AD1611" s="138">
        <f>F_GAMMA*AD$29</f>
        <v>0.60557184969146072</v>
      </c>
      <c r="AE1611" s="133"/>
      <c r="AF1611" s="155"/>
      <c r="AG1611" s="138">
        <f>F_GAMMA*AG$29</f>
        <v>0.57289312142622573</v>
      </c>
      <c r="AH1611" s="133"/>
      <c r="AI1611" s="155"/>
      <c r="AJ1611" s="138">
        <f>F_GAMMA*AJ$29</f>
        <v>0.53590819116049981</v>
      </c>
      <c r="AK1611" s="133"/>
      <c r="AL1611" s="155"/>
      <c r="AM1611" s="138">
        <f>F_GAMMA*AM$29</f>
        <v>0.49048815926850342</v>
      </c>
      <c r="AN1611" s="133"/>
      <c r="AO1611" s="155"/>
      <c r="AP1611" s="138">
        <f>F_GAMMA*AP$29</f>
        <v>0.59352979016280105</v>
      </c>
      <c r="AQ1611" s="133"/>
      <c r="AR1611" s="155"/>
      <c r="AS1611" s="138">
        <f>F_GAMMA*AS$29</f>
        <v>0.39097221161068291</v>
      </c>
      <c r="AT1611" s="133"/>
      <c r="AU1611" s="155"/>
    </row>
    <row r="1612" spans="13:47" x14ac:dyDescent="0.25">
      <c r="M1612" s="27"/>
      <c r="N1612" s="27"/>
      <c r="O1612" s="2" t="s">
        <v>193</v>
      </c>
      <c r="P1612" s="134"/>
      <c r="Q1612" s="2"/>
      <c r="R1612" s="181">
        <f>IF(R1607&lt;R1611,R1609,R1610)</f>
        <v>0.45490968025767076</v>
      </c>
      <c r="S1612" s="133"/>
      <c r="T1612" s="155"/>
      <c r="U1612" s="138">
        <f>IF(U1607&lt;U1611,U1609,U1610)</f>
        <v>6.1819257183028995</v>
      </c>
      <c r="V1612" s="133"/>
      <c r="W1612" s="155"/>
      <c r="X1612" s="138">
        <f>IF(X1607&lt;X1611,X1609,X1610)</f>
        <v>16.170454380933204</v>
      </c>
      <c r="Y1612" s="133"/>
      <c r="Z1612" s="155"/>
      <c r="AA1612" s="138">
        <f>IF(AA1607&lt;AA1611,AA1609,AA1610)</f>
        <v>38.641906713153944</v>
      </c>
      <c r="AB1612" s="133"/>
      <c r="AC1612" s="155"/>
      <c r="AD1612" s="138">
        <f>IF(AD1607&lt;AD1611,AD1609,AD1610)</f>
        <v>622.74840558834524</v>
      </c>
      <c r="AE1612" s="133"/>
      <c r="AF1612" s="155"/>
      <c r="AG1612" s="138" t="e">
        <f>IF(AG1607&lt;AG1611,AG1609,AG1610)</f>
        <v>#NUM!</v>
      </c>
      <c r="AH1612" s="133"/>
      <c r="AI1612" s="155"/>
      <c r="AJ1612" s="138">
        <f>IF(AJ1607&lt;AJ1611,AJ1609,AJ1610)</f>
        <v>171.26024867689523</v>
      </c>
      <c r="AK1612" s="133"/>
      <c r="AL1612" s="155"/>
      <c r="AM1612" s="138">
        <f>IF(AM1607&lt;AM1611,AM1609,AM1610)</f>
        <v>110.40291910281216</v>
      </c>
      <c r="AN1612" s="133"/>
      <c r="AO1612" s="155"/>
      <c r="AP1612" s="138">
        <f>IF(AP1607&lt;AP1611,AP1609,AP1610)</f>
        <v>87.555472030822386</v>
      </c>
      <c r="AQ1612" s="133"/>
      <c r="AR1612" s="155"/>
      <c r="AS1612" s="138">
        <f>IF(AS1607&lt;AS1611,AS1609,AS1610)</f>
        <v>113.94570385098218</v>
      </c>
      <c r="AT1612" s="133"/>
      <c r="AU1612" s="155"/>
    </row>
    <row r="1613" spans="13:47" ht="13" x14ac:dyDescent="0.3">
      <c r="M1613" s="28"/>
      <c r="N1613" s="28"/>
      <c r="O1613" s="9" t="s">
        <v>194</v>
      </c>
      <c r="P1613" s="1"/>
      <c r="Q1613" s="1"/>
      <c r="R1613" s="135"/>
      <c r="S1613" s="132">
        <f>IF(R1606&lt;=0,W_max,ABS(R$23-R1612))</f>
        <v>1.5450903197423291</v>
      </c>
      <c r="T1613" s="151">
        <f>R1601</f>
        <v>105.20217628110467</v>
      </c>
      <c r="U1613" s="135"/>
      <c r="V1613" s="132">
        <f>IF(U1606&lt;=0,W_max,ABS(U$23-U1612))</f>
        <v>1.1819257183028995</v>
      </c>
      <c r="W1613" s="151">
        <f>U1601</f>
        <v>1415.8963748047368</v>
      </c>
      <c r="X1613" s="135"/>
      <c r="Y1613" s="132">
        <f>IF(X1606&lt;=0,W_max,ABS(X$23-X1612))</f>
        <v>6.1704543809332044</v>
      </c>
      <c r="Z1613" s="151">
        <f>X1601</f>
        <v>3501.6802285358444</v>
      </c>
      <c r="AA1613" s="135"/>
      <c r="AB1613" s="132">
        <f>IF(AA1606&lt;=0,W_max,ABS(AA$23-AA1612))</f>
        <v>21.441906713153944</v>
      </c>
      <c r="AC1613" s="151">
        <f>AA1601</f>
        <v>6820.3792973704894</v>
      </c>
      <c r="AD1613" s="135"/>
      <c r="AE1613" s="132">
        <f>IF(AD1606&lt;=0,W_max,ABS(AD$23-AD1612))</f>
        <v>596.14840558834521</v>
      </c>
      <c r="AF1613" s="151">
        <f>AD1601</f>
        <v>11217.012829500727</v>
      </c>
      <c r="AG1613" s="135"/>
      <c r="AH1613" s="132">
        <f>IF(AG1606&lt;=0,W_max,ABS(AG$23-AG1612))</f>
        <v>7174</v>
      </c>
      <c r="AI1613" s="151">
        <f>AG1601</f>
        <v>15732.724048226555</v>
      </c>
      <c r="AJ1613" s="135"/>
      <c r="AK1613" s="132">
        <f>IF(AJ1606&lt;=0,W_max,ABS(AJ$23-AJ1612))</f>
        <v>7174</v>
      </c>
      <c r="AL1613" s="151">
        <f>AJ1601</f>
        <v>19976.384839824546</v>
      </c>
      <c r="AM1613" s="135"/>
      <c r="AN1613" s="132">
        <f>IF(AM1606&lt;=0,W_max,ABS(AM$23-AM1612))</f>
        <v>7174</v>
      </c>
      <c r="AO1613" s="151">
        <f>AM1601</f>
        <v>23423.882265955788</v>
      </c>
      <c r="AP1613" s="135"/>
      <c r="AQ1613" s="132">
        <f>IF(AP1606&lt;=0,W_max,ABS(AP$23-AP1612))</f>
        <v>7174</v>
      </c>
      <c r="AR1613" s="151">
        <f>AP1601</f>
        <v>26133.284000141928</v>
      </c>
      <c r="AS1613" s="135"/>
      <c r="AT1613" s="132">
        <f>IF(AS1606&lt;=0,W_max,ABS(AS$23-AS1612))</f>
        <v>7174</v>
      </c>
      <c r="AU1613" s="151">
        <f>AS1601</f>
        <v>29156.077753373509</v>
      </c>
    </row>
    <row r="1614" spans="13:47" ht="13" x14ac:dyDescent="0.25">
      <c r="M1614" s="12"/>
      <c r="N1614" s="12"/>
      <c r="O1614" s="2"/>
      <c r="P1614" s="85"/>
      <c r="Q1614" s="2"/>
      <c r="R1614" s="18"/>
      <c r="S1614" s="150"/>
      <c r="T1614" s="152"/>
      <c r="U1614" s="157"/>
      <c r="V1614" s="1"/>
      <c r="W1614" s="147"/>
      <c r="X1614" s="157"/>
      <c r="Y1614" s="1"/>
      <c r="Z1614" s="147"/>
      <c r="AA1614" s="157"/>
      <c r="AB1614" s="1"/>
      <c r="AC1614" s="147"/>
      <c r="AD1614" s="157"/>
      <c r="AE1614" s="1"/>
      <c r="AF1614" s="147"/>
      <c r="AG1614" s="157"/>
      <c r="AH1614" s="1"/>
      <c r="AI1614" s="147"/>
      <c r="AJ1614" s="157"/>
      <c r="AK1614" s="1"/>
      <c r="AL1614" s="147"/>
      <c r="AM1614" s="157"/>
      <c r="AN1614" s="1"/>
      <c r="AO1614" s="147"/>
      <c r="AP1614" s="157"/>
      <c r="AQ1614" s="1"/>
      <c r="AR1614" s="147"/>
      <c r="AS1614" s="157"/>
      <c r="AT1614" s="1"/>
      <c r="AU1614" s="147"/>
    </row>
    <row r="1615" spans="13:47" ht="14" x14ac:dyDescent="0.3">
      <c r="M1615" s="23"/>
      <c r="N1615" s="23"/>
      <c r="O1615" s="23" t="s">
        <v>238</v>
      </c>
      <c r="P1615" s="20"/>
      <c r="Q1615" s="20"/>
      <c r="R1615" s="181">
        <f>R1601*1.02</f>
        <v>107.30621980672676</v>
      </c>
      <c r="S1615" s="128" t="s">
        <v>185</v>
      </c>
      <c r="T1615" s="153" t="s">
        <v>186</v>
      </c>
      <c r="U1615" s="143">
        <f>U1601*1.01</f>
        <v>1430.0553385527842</v>
      </c>
      <c r="V1615" s="128" t="s">
        <v>185</v>
      </c>
      <c r="W1615" s="153" t="s">
        <v>186</v>
      </c>
      <c r="X1615" s="143">
        <f>X1601*1.01</f>
        <v>3536.697030821203</v>
      </c>
      <c r="Y1615" s="128" t="s">
        <v>185</v>
      </c>
      <c r="Z1615" s="153" t="s">
        <v>186</v>
      </c>
      <c r="AA1615" s="143">
        <f>AA1601*1.01</f>
        <v>6888.5830903441947</v>
      </c>
      <c r="AB1615" s="128" t="s">
        <v>185</v>
      </c>
      <c r="AC1615" s="153" t="s">
        <v>186</v>
      </c>
      <c r="AD1615" s="143">
        <f>AD1601*1.01</f>
        <v>11329.182957795734</v>
      </c>
      <c r="AE1615" s="128" t="s">
        <v>185</v>
      </c>
      <c r="AF1615" s="153" t="s">
        <v>186</v>
      </c>
      <c r="AG1615" s="143">
        <f>AG1601*1.01</f>
        <v>15890.051288708821</v>
      </c>
      <c r="AH1615" s="128" t="s">
        <v>185</v>
      </c>
      <c r="AI1615" s="153" t="s">
        <v>186</v>
      </c>
      <c r="AJ1615" s="143">
        <f>AJ1601*1.01</f>
        <v>20176.148688222791</v>
      </c>
      <c r="AK1615" s="128" t="s">
        <v>185</v>
      </c>
      <c r="AL1615" s="153" t="s">
        <v>186</v>
      </c>
      <c r="AM1615" s="143">
        <f>AM1601*1.01</f>
        <v>23658.121088615346</v>
      </c>
      <c r="AN1615" s="128" t="s">
        <v>185</v>
      </c>
      <c r="AO1615" s="153" t="s">
        <v>186</v>
      </c>
      <c r="AP1615" s="143">
        <f>AP1601*1.01</f>
        <v>26394.616840143346</v>
      </c>
      <c r="AQ1615" s="128" t="s">
        <v>185</v>
      </c>
      <c r="AR1615" s="153" t="s">
        <v>186</v>
      </c>
      <c r="AS1615" s="143">
        <f>AS1601*1.01</f>
        <v>29447.638530907243</v>
      </c>
      <c r="AT1615" s="128" t="s">
        <v>185</v>
      </c>
      <c r="AU1615" s="153" t="s">
        <v>186</v>
      </c>
    </row>
    <row r="1616" spans="13:47" ht="14" x14ac:dyDescent="0.3">
      <c r="M1616" s="12"/>
      <c r="N1616" s="12"/>
      <c r="O1616" s="20"/>
      <c r="P1616" s="20"/>
      <c r="Q1616" s="23"/>
      <c r="R1616" s="139"/>
      <c r="S1616" s="130" t="s">
        <v>228</v>
      </c>
      <c r="T1616" s="154" t="s">
        <v>187</v>
      </c>
      <c r="U1616" s="144"/>
      <c r="V1616" s="130" t="s">
        <v>228</v>
      </c>
      <c r="W1616" s="154" t="s">
        <v>187</v>
      </c>
      <c r="X1616" s="144"/>
      <c r="Y1616" s="130" t="s">
        <v>228</v>
      </c>
      <c r="Z1616" s="154" t="s">
        <v>187</v>
      </c>
      <c r="AA1616" s="144"/>
      <c r="AB1616" s="130" t="s">
        <v>228</v>
      </c>
      <c r="AC1616" s="154" t="s">
        <v>187</v>
      </c>
      <c r="AD1616" s="144"/>
      <c r="AE1616" s="130" t="s">
        <v>228</v>
      </c>
      <c r="AF1616" s="154" t="s">
        <v>187</v>
      </c>
      <c r="AG1616" s="144"/>
      <c r="AH1616" s="130" t="s">
        <v>228</v>
      </c>
      <c r="AI1616" s="154" t="s">
        <v>187</v>
      </c>
      <c r="AJ1616" s="144"/>
      <c r="AK1616" s="130" t="s">
        <v>228</v>
      </c>
      <c r="AL1616" s="154" t="s">
        <v>187</v>
      </c>
      <c r="AM1616" s="144"/>
      <c r="AN1616" s="130" t="s">
        <v>228</v>
      </c>
      <c r="AO1616" s="154" t="s">
        <v>187</v>
      </c>
      <c r="AP1616" s="144"/>
      <c r="AQ1616" s="130" t="s">
        <v>228</v>
      </c>
      <c r="AR1616" s="154" t="s">
        <v>187</v>
      </c>
      <c r="AS1616" s="144"/>
      <c r="AT1616" s="130" t="s">
        <v>228</v>
      </c>
      <c r="AU1616" s="154" t="s">
        <v>187</v>
      </c>
    </row>
    <row r="1617" spans="13:47" x14ac:dyDescent="0.25">
      <c r="M1617" s="20"/>
      <c r="N1617" s="20"/>
      <c r="O1617" s="7" t="s">
        <v>188</v>
      </c>
      <c r="P1617" s="7"/>
      <c r="Q1617" s="7"/>
      <c r="R1617" s="181">
        <f>P_1_minW-(R1615^2*R_up)+dpup_minQ</f>
        <v>100.51819514379095</v>
      </c>
      <c r="S1617" s="132"/>
      <c r="T1617" s="145"/>
      <c r="U1617" s="138">
        <f>P_1_minW-(U1615^2*R_up)+dpup_minQ</f>
        <v>99.707295544658592</v>
      </c>
      <c r="V1617" s="132"/>
      <c r="W1617" s="145"/>
      <c r="X1617" s="138">
        <f>P_1_minW-(X1615^2*R_up)+dpup_minQ</f>
        <v>95.534983610063279</v>
      </c>
      <c r="Y1617" s="132"/>
      <c r="Z1617" s="145"/>
      <c r="AA1617" s="138">
        <f>P_1_minW-(AA1615^2*R_up)+dpup_minQ</f>
        <v>81.600509987448376</v>
      </c>
      <c r="AB1617" s="132"/>
      <c r="AC1617" s="145"/>
      <c r="AD1617" s="138">
        <f>P_1_minW-(AD1615^2*R_up)+dpup_minQ</f>
        <v>49.341550901137232</v>
      </c>
      <c r="AE1617" s="132"/>
      <c r="AF1617" s="145"/>
      <c r="AG1617" s="138">
        <f>P_1_minW-(AG1615^2*R_up)+dpup_minQ</f>
        <v>-0.16207673162550462</v>
      </c>
      <c r="AH1617" s="132"/>
      <c r="AI1617" s="145"/>
      <c r="AJ1617" s="138">
        <f>P_1_minW-(AJ1615^2*R_up)+dpup_minQ</f>
        <v>-61.803975774849263</v>
      </c>
      <c r="AK1617" s="132"/>
      <c r="AL1617" s="145"/>
      <c r="AM1617" s="138">
        <f>P_1_minW-(AM1615^2*R_up)+dpup_minQ</f>
        <v>-122.66688225469598</v>
      </c>
      <c r="AN1617" s="132"/>
      <c r="AO1617" s="145"/>
      <c r="AP1617" s="138">
        <f>P_1_minW-(AP1615^2*R_up)+dpup_minQ</f>
        <v>-177.28493398945554</v>
      </c>
      <c r="AQ1617" s="132"/>
      <c r="AR1617" s="145"/>
      <c r="AS1617" s="138">
        <f>P_1_minW-(AS1615^2*R_up)+dpup_minQ</f>
        <v>-245.26888921240689</v>
      </c>
      <c r="AT1617" s="132"/>
      <c r="AU1617" s="145"/>
    </row>
    <row r="1618" spans="13:47" x14ac:dyDescent="0.25">
      <c r="M1618" s="20"/>
      <c r="N1618" s="20"/>
      <c r="O1618" s="7" t="s">
        <v>189</v>
      </c>
      <c r="P1618" s="1"/>
      <c r="Q1618" s="7"/>
      <c r="R1618" s="181">
        <f>P_2_minW+(R1615^2*R_dn)-dpdn_minQ</f>
        <v>50</v>
      </c>
      <c r="S1618" s="132"/>
      <c r="T1618" s="146"/>
      <c r="U1618" s="138">
        <f>P_2_minW+(U1615^2*R_dn)-dpdn_minQ</f>
        <v>50</v>
      </c>
      <c r="V1618" s="132"/>
      <c r="W1618" s="146"/>
      <c r="X1618" s="138">
        <f>P_2_minW+(X1615^2*R_dn)-dpdn_minQ</f>
        <v>50</v>
      </c>
      <c r="Y1618" s="132"/>
      <c r="Z1618" s="146"/>
      <c r="AA1618" s="138">
        <f>P_2_minW+(AA1615^2*R_dn)-dpdn_minQ</f>
        <v>50</v>
      </c>
      <c r="AB1618" s="132"/>
      <c r="AC1618" s="146"/>
      <c r="AD1618" s="138">
        <f>P_2_minW+(AD1615^2*R_dn)-dpdn_minQ</f>
        <v>50</v>
      </c>
      <c r="AE1618" s="132"/>
      <c r="AF1618" s="146"/>
      <c r="AG1618" s="138">
        <f>P_2_minW+(AG1615^2*R_dn)-dpdn_minQ</f>
        <v>50</v>
      </c>
      <c r="AH1618" s="132"/>
      <c r="AI1618" s="146"/>
      <c r="AJ1618" s="138">
        <f>P_2_minW+(AJ1615^2*R_dn)-dpdn_minQ</f>
        <v>50</v>
      </c>
      <c r="AK1618" s="132"/>
      <c r="AL1618" s="146"/>
      <c r="AM1618" s="138">
        <f>P_2_minW+(AM1615^2*R_dn)-dpdn_minQ</f>
        <v>50</v>
      </c>
      <c r="AN1618" s="132"/>
      <c r="AO1618" s="146"/>
      <c r="AP1618" s="138">
        <f>P_2_minW+(AP1615^2*R_dn)-dpdn_minQ</f>
        <v>50</v>
      </c>
      <c r="AQ1618" s="132"/>
      <c r="AR1618" s="146"/>
      <c r="AS1618" s="138">
        <f>P_2_minW+(AS1615^2*R_dn)-dpdn_minQ</f>
        <v>50</v>
      </c>
      <c r="AT1618" s="132"/>
      <c r="AU1618" s="146"/>
    </row>
    <row r="1619" spans="13:47" x14ac:dyDescent="0.25">
      <c r="M1619" s="20"/>
      <c r="N1619" s="20"/>
      <c r="O1619" s="7" t="s">
        <v>234</v>
      </c>
      <c r="P1619" s="1"/>
      <c r="Q1619" s="7"/>
      <c r="R1619" s="179">
        <f>'Valve Sizing'!G$8*R1617/P_1_maxW</f>
        <v>0.48488187721205156</v>
      </c>
      <c r="S1619" s="132"/>
      <c r="T1619" s="146"/>
      <c r="U1619" s="143">
        <f>'Valve Sizing'!$G$8*U1617/P_1_maxW</f>
        <v>0.48097024191761217</v>
      </c>
      <c r="V1619" s="132"/>
      <c r="W1619" s="146"/>
      <c r="X1619" s="143">
        <f>'Valve Sizing'!$G$8*X1617/P_1_maxW</f>
        <v>0.46084375197947891</v>
      </c>
      <c r="Y1619" s="132"/>
      <c r="Z1619" s="146"/>
      <c r="AA1619" s="143">
        <f>'Valve Sizing'!$G$8*AA1617/P_1_maxW</f>
        <v>0.39362633210410142</v>
      </c>
      <c r="AB1619" s="132"/>
      <c r="AC1619" s="146"/>
      <c r="AD1619" s="143">
        <f>'Valve Sizing'!$G$8*AD1617/P_1_maxW</f>
        <v>0.23801485682540391</v>
      </c>
      <c r="AE1619" s="132"/>
      <c r="AF1619" s="146"/>
      <c r="AG1619" s="143">
        <f>'Valve Sizing'!$G$8*AG1617/P_1_maxW</f>
        <v>-7.818292973779383E-4</v>
      </c>
      <c r="AH1619" s="132"/>
      <c r="AI1619" s="146"/>
      <c r="AJ1619" s="143">
        <f>'Valve Sizing'!$G$8*AJ1617/P_1_maxW</f>
        <v>-0.29813137561820002</v>
      </c>
      <c r="AK1619" s="132"/>
      <c r="AL1619" s="146"/>
      <c r="AM1619" s="143">
        <f>'Valve Sizing'!$G$8*AM1617/P_1_maxW</f>
        <v>-0.59172320050436877</v>
      </c>
      <c r="AN1619" s="132"/>
      <c r="AO1619" s="146"/>
      <c r="AP1619" s="143">
        <f>'Valve Sizing'!$G$8*AP1617/P_1_maxW</f>
        <v>-0.85519095792809574</v>
      </c>
      <c r="AQ1619" s="132"/>
      <c r="AR1619" s="146"/>
      <c r="AS1619" s="143">
        <f>'Valve Sizing'!$G$8*AS1617/P_1_maxW</f>
        <v>-1.1831334541264162</v>
      </c>
      <c r="AT1619" s="132"/>
      <c r="AU1619" s="146"/>
    </row>
    <row r="1620" spans="13:47" x14ac:dyDescent="0.25">
      <c r="M1620" s="20"/>
      <c r="N1620" s="20"/>
      <c r="O1620" s="7" t="s">
        <v>190</v>
      </c>
      <c r="P1620" s="1"/>
      <c r="Q1620" s="7"/>
      <c r="R1620" s="181">
        <f>R1617-R1618</f>
        <v>50.518195143790948</v>
      </c>
      <c r="S1620" s="132"/>
      <c r="T1620" s="146"/>
      <c r="U1620" s="138">
        <f>U1617-U1618</f>
        <v>49.707295544658592</v>
      </c>
      <c r="V1620" s="132"/>
      <c r="W1620" s="146"/>
      <c r="X1620" s="138">
        <f>X1617-X1618</f>
        <v>45.534983610063279</v>
      </c>
      <c r="Y1620" s="132"/>
      <c r="Z1620" s="146"/>
      <c r="AA1620" s="138">
        <f>AA1617-AA1618</f>
        <v>31.600509987448376</v>
      </c>
      <c r="AB1620" s="132"/>
      <c r="AC1620" s="146"/>
      <c r="AD1620" s="138">
        <f>AD1617-AD1618</f>
        <v>-0.65844909886276781</v>
      </c>
      <c r="AE1620" s="132"/>
      <c r="AF1620" s="146"/>
      <c r="AG1620" s="138">
        <f>AG1617-AG1618</f>
        <v>-50.162076731625504</v>
      </c>
      <c r="AH1620" s="132"/>
      <c r="AI1620" s="146"/>
      <c r="AJ1620" s="138">
        <f>AJ1617-AJ1618</f>
        <v>-111.80397577484926</v>
      </c>
      <c r="AK1620" s="132"/>
      <c r="AL1620" s="146"/>
      <c r="AM1620" s="138">
        <f>AM1617-AM1618</f>
        <v>-172.66688225469596</v>
      </c>
      <c r="AN1620" s="132"/>
      <c r="AO1620" s="146"/>
      <c r="AP1620" s="138">
        <f>AP1617-AP1618</f>
        <v>-227.28493398945554</v>
      </c>
      <c r="AQ1620" s="132"/>
      <c r="AR1620" s="146"/>
      <c r="AS1620" s="138">
        <f>AS1617-AS1618</f>
        <v>-295.26888921240686</v>
      </c>
      <c r="AT1620" s="132"/>
      <c r="AU1620" s="146"/>
    </row>
    <row r="1621" spans="13:47" ht="14.5" x14ac:dyDescent="0.35">
      <c r="M1621" s="27"/>
      <c r="N1621" s="27"/>
      <c r="O1621" s="2" t="s">
        <v>191</v>
      </c>
      <c r="P1621" s="10"/>
      <c r="Q1621" s="2"/>
      <c r="R1621" s="181">
        <f>R1620/R1617</f>
        <v>0.50257761862441752</v>
      </c>
      <c r="S1621" s="132"/>
      <c r="T1621" s="146"/>
      <c r="U1621" s="138">
        <f>U1620/U1617</f>
        <v>0.49853218135271604</v>
      </c>
      <c r="V1621" s="132"/>
      <c r="W1621" s="146"/>
      <c r="X1621" s="138">
        <f>X1620/X1617</f>
        <v>0.47663151119509695</v>
      </c>
      <c r="Y1621" s="132"/>
      <c r="Z1621" s="146"/>
      <c r="AA1621" s="138">
        <f>AA1620/AA1617</f>
        <v>0.38725873149946122</v>
      </c>
      <c r="AB1621" s="132"/>
      <c r="AC1621" s="146"/>
      <c r="AD1621" s="138">
        <f>AD1620/AD1617</f>
        <v>-1.3344718332467165E-2</v>
      </c>
      <c r="AE1621" s="132"/>
      <c r="AF1621" s="146"/>
      <c r="AG1621" s="138">
        <f>AG1620/AG1617</f>
        <v>309.49585562676742</v>
      </c>
      <c r="AH1621" s="132"/>
      <c r="AI1621" s="146"/>
      <c r="AJ1621" s="138">
        <f>AJ1620/AJ1617</f>
        <v>1.8090094427282328</v>
      </c>
      <c r="AK1621" s="132"/>
      <c r="AL1621" s="146"/>
      <c r="AM1621" s="138">
        <f>AM1620/AM1617</f>
        <v>1.4076079792766223</v>
      </c>
      <c r="AN1621" s="132"/>
      <c r="AO1621" s="146"/>
      <c r="AP1621" s="138">
        <f>AP1620/AP1617</f>
        <v>1.2820318617879503</v>
      </c>
      <c r="AQ1621" s="132"/>
      <c r="AR1621" s="146"/>
      <c r="AS1621" s="138">
        <f>AS1620/AS1617</f>
        <v>1.2038578971860519</v>
      </c>
      <c r="AT1621" s="132"/>
      <c r="AU1621" s="146"/>
    </row>
    <row r="1622" spans="13:47" x14ac:dyDescent="0.25">
      <c r="M1622" s="27"/>
      <c r="N1622" s="27"/>
      <c r="O1622" s="2" t="s">
        <v>26</v>
      </c>
      <c r="P1622" s="7">
        <v>12</v>
      </c>
      <c r="Q1622" s="2"/>
      <c r="R1622" s="181">
        <f>1-R1621/(3*F_GAMMA*R$29)</f>
        <v>0.73825181711881038</v>
      </c>
      <c r="S1622" s="133"/>
      <c r="T1622" s="146"/>
      <c r="U1622" s="138">
        <f>1-U1621/(3*F_GAMMA*U$29)</f>
        <v>0.74041589374974714</v>
      </c>
      <c r="V1622" s="133"/>
      <c r="W1622" s="146"/>
      <c r="X1622" s="138">
        <f>1-X1621/(3*F_GAMMA*X$29)</f>
        <v>0.74809639994420496</v>
      </c>
      <c r="Y1622" s="133"/>
      <c r="Z1622" s="146"/>
      <c r="AA1622" s="138">
        <f>1-AA1621/(3*F_GAMMA*AA$29)</f>
        <v>0.79252433343086715</v>
      </c>
      <c r="AB1622" s="133"/>
      <c r="AC1622" s="146"/>
      <c r="AD1622" s="138">
        <f>1-AD1621/(3*F_GAMMA*AD$29)</f>
        <v>1.0073455188619189</v>
      </c>
      <c r="AE1622" s="133"/>
      <c r="AF1622" s="146"/>
      <c r="AG1622" s="138">
        <f>1-AG1621/(3*F_GAMMA*AG$29)</f>
        <v>-179.07771668141345</v>
      </c>
      <c r="AH1622" s="133"/>
      <c r="AI1622" s="146"/>
      <c r="AJ1622" s="138">
        <f>1-AJ1621/(3*F_GAMMA*AJ$29)</f>
        <v>-0.12519860215288903</v>
      </c>
      <c r="AK1622" s="133"/>
      <c r="AL1622" s="146"/>
      <c r="AM1622" s="138">
        <f>1-AM1621/(3*F_GAMMA*AM$29)</f>
        <v>4.3396561379532184E-2</v>
      </c>
      <c r="AN1622" s="133"/>
      <c r="AO1622" s="146"/>
      <c r="AP1622" s="138">
        <f>1-AP1621/(3*F_GAMMA*AP$29)</f>
        <v>0.27999577946694243</v>
      </c>
      <c r="AQ1622" s="133"/>
      <c r="AR1622" s="146"/>
      <c r="AS1622" s="138">
        <f>1-AS1621/(3*F_GAMMA*AS$29)</f>
        <v>-2.6379762580853505E-2</v>
      </c>
      <c r="AT1622" s="133"/>
      <c r="AU1622" s="146"/>
    </row>
    <row r="1623" spans="13:47" x14ac:dyDescent="0.25">
      <c r="M1623" s="27"/>
      <c r="N1623" s="27"/>
      <c r="O1623" s="2" t="s">
        <v>71</v>
      </c>
      <c r="P1623" s="85">
        <v>5</v>
      </c>
      <c r="Q1623" s="2"/>
      <c r="R1623" s="179">
        <f>R1615/((N_6*R$27*R1622)*SQRT(R1621*R1617*R1619))</f>
        <v>0.46400881539345223</v>
      </c>
      <c r="S1623" s="133"/>
      <c r="T1623" s="146"/>
      <c r="U1623" s="143">
        <f>U1615/((N_6*U$27*U1622)*SQRT(U1621*U1617*U1619))</f>
        <v>6.2449023628108815</v>
      </c>
      <c r="V1623" s="133"/>
      <c r="W1623" s="146"/>
      <c r="X1623" s="143">
        <f>X1615/((N_6*X$27*X1622)*SQRT(X1621*X1617*X1619))</f>
        <v>16.351966364691574</v>
      </c>
      <c r="Y1623" s="133"/>
      <c r="Z1623" s="146"/>
      <c r="AA1623" s="143">
        <f>AA1615/((N_6*AA$27*AA1622)*SQRT(AA1621*AA1617*AA1619))</f>
        <v>39.273345354213788</v>
      </c>
      <c r="AB1623" s="133"/>
      <c r="AC1623" s="146"/>
      <c r="AD1623" s="143" t="e">
        <f>AD1615/((N_6*AD$27*AD1622)*SQRT(AD1621*AD1617*AD1619))</f>
        <v>#NUM!</v>
      </c>
      <c r="AE1623" s="133"/>
      <c r="AF1623" s="146"/>
      <c r="AG1623" s="143">
        <f>AG1615/((N_6*AG$27*AG1622)*SQRT(AG1621*AG1617*AG1619))</f>
        <v>-7.3811689602662902</v>
      </c>
      <c r="AH1623" s="133"/>
      <c r="AI1623" s="146"/>
      <c r="AJ1623" s="143">
        <f>AJ1615/((N_6*AJ$27*AJ1622)*SQRT(AJ1621*AJ1617*AJ1619))</f>
        <v>-475.61004704912466</v>
      </c>
      <c r="AK1623" s="133"/>
      <c r="AL1623" s="146"/>
      <c r="AM1623" s="143">
        <f>AM1615/((N_6*AM$27*AM1622)*SQRT(AM1621*AM1617*AM1619))</f>
        <v>975.41639105698198</v>
      </c>
      <c r="AN1623" s="133"/>
      <c r="AO1623" s="146"/>
      <c r="AP1623" s="143">
        <f>AP1615/((N_6*AP$27*AP1622)*SQRT(AP1621*AP1617*AP1619))</f>
        <v>138.90889775532779</v>
      </c>
      <c r="AQ1623" s="133"/>
      <c r="AR1623" s="146"/>
      <c r="AS1623" s="143">
        <f>AS1615/((N_6*AS$27*AS1622)*SQRT(AS1621*AS1617*AS1619))</f>
        <v>-1612.2202063994214</v>
      </c>
      <c r="AT1623" s="133"/>
      <c r="AU1623" s="146"/>
    </row>
    <row r="1624" spans="13:47" x14ac:dyDescent="0.25">
      <c r="M1624" s="27"/>
      <c r="N1624" s="27"/>
      <c r="O1624" s="2" t="s">
        <v>73</v>
      </c>
      <c r="P1624" s="85">
        <v>5</v>
      </c>
      <c r="Q1624" s="2"/>
      <c r="R1624" s="179">
        <f>R1615/((N_6*R$27*0.667)*SQRT(R1625*R1617*R1619))</f>
        <v>0.45510057816774213</v>
      </c>
      <c r="S1624" s="133"/>
      <c r="T1624" s="155"/>
      <c r="U1624" s="143">
        <f>U1615/((N_6*U$27*0.667)*SQRT(U1625*U1617*U1619))</f>
        <v>6.1175176060369258</v>
      </c>
      <c r="V1624" s="133"/>
      <c r="W1624" s="155"/>
      <c r="X1624" s="143">
        <f>X1615/((N_6*X$27*0.667)*SQRT(X1625*X1617*X1619))</f>
        <v>15.943348176610206</v>
      </c>
      <c r="Y1624" s="133"/>
      <c r="Z1624" s="155"/>
      <c r="AA1624" s="143">
        <f>AA1615/((N_6*AA$27*0.667)*SQRT(AA1625*AA1617*AA1619))</f>
        <v>36.815345442772383</v>
      </c>
      <c r="AB1624" s="133"/>
      <c r="AC1624" s="155"/>
      <c r="AD1624" s="143">
        <f>AD1615/((N_6*AD$27*0.667)*SQRT(AD1625*AD1617*AD1619))</f>
        <v>102.70601631933651</v>
      </c>
      <c r="AE1624" s="133"/>
      <c r="AF1624" s="155"/>
      <c r="AG1624" s="143">
        <f>AG1615/((N_6*AG$27*0.667)*SQRT(AG1625*AG1617*AG1619))</f>
        <v>46060.799946639818</v>
      </c>
      <c r="AH1624" s="133"/>
      <c r="AI1624" s="155"/>
      <c r="AJ1624" s="143">
        <f>AJ1615/((N_6*AJ$27*0.667)*SQRT(AJ1625*AJ1617*AJ1619))</f>
        <v>164.02116253751572</v>
      </c>
      <c r="AK1624" s="133"/>
      <c r="AL1624" s="155"/>
      <c r="AM1624" s="143">
        <f>AM1615/((N_6*AM$27*0.667)*SQRT(AM1625*AM1617*AM1619))</f>
        <v>107.50932376701479</v>
      </c>
      <c r="AN1624" s="133"/>
      <c r="AO1624" s="155"/>
      <c r="AP1624" s="143">
        <f>AP1615/((N_6*AP$27*0.667)*SQRT(AP1625*AP1617*AP1619))</f>
        <v>85.700600449847286</v>
      </c>
      <c r="AQ1624" s="133"/>
      <c r="AR1624" s="155"/>
      <c r="AS1624" s="143">
        <f>AS1615/((N_6*AS$27*0.667)*SQRT(AS1625*AS1617*AS1619))</f>
        <v>111.88814562870319</v>
      </c>
      <c r="AT1624" s="133"/>
      <c r="AU1624" s="155"/>
    </row>
    <row r="1625" spans="13:47" ht="15.5" x14ac:dyDescent="0.4">
      <c r="M1625" s="27"/>
      <c r="N1625" s="27"/>
      <c r="O1625" s="2" t="s">
        <v>192</v>
      </c>
      <c r="P1625" s="85">
        <v>10</v>
      </c>
      <c r="Q1625" s="2"/>
      <c r="R1625" s="181">
        <f>F_GAMMA*R$29</f>
        <v>0.64002688015162901</v>
      </c>
      <c r="S1625" s="133"/>
      <c r="T1625" s="155"/>
      <c r="U1625" s="138">
        <f>F_GAMMA*U$29</f>
        <v>0.64016782916606918</v>
      </c>
      <c r="V1625" s="133"/>
      <c r="W1625" s="155"/>
      <c r="X1625" s="138">
        <f>F_GAMMA*X$29</f>
        <v>0.6307062319203669</v>
      </c>
      <c r="Y1625" s="133"/>
      <c r="Z1625" s="155"/>
      <c r="AA1625" s="138">
        <f>F_GAMMA*AA$29</f>
        <v>0.62217534213893466</v>
      </c>
      <c r="AB1625" s="133"/>
      <c r="AC1625" s="155"/>
      <c r="AD1625" s="138">
        <f>F_GAMMA*AD$29</f>
        <v>0.60557184969146072</v>
      </c>
      <c r="AE1625" s="133"/>
      <c r="AF1625" s="155"/>
      <c r="AG1625" s="138">
        <f>F_GAMMA*AG$29</f>
        <v>0.57289312142622573</v>
      </c>
      <c r="AH1625" s="133"/>
      <c r="AI1625" s="155"/>
      <c r="AJ1625" s="138">
        <f>F_GAMMA*AJ$29</f>
        <v>0.53590819116049981</v>
      </c>
      <c r="AK1625" s="133"/>
      <c r="AL1625" s="155"/>
      <c r="AM1625" s="138">
        <f>F_GAMMA*AM$29</f>
        <v>0.49048815926850342</v>
      </c>
      <c r="AN1625" s="133"/>
      <c r="AO1625" s="155"/>
      <c r="AP1625" s="138">
        <f>F_GAMMA*AP$29</f>
        <v>0.59352979016280105</v>
      </c>
      <c r="AQ1625" s="133"/>
      <c r="AR1625" s="155"/>
      <c r="AS1625" s="138">
        <f>F_GAMMA*AS$29</f>
        <v>0.39097221161068291</v>
      </c>
      <c r="AT1625" s="133"/>
      <c r="AU1625" s="155"/>
    </row>
    <row r="1626" spans="13:47" x14ac:dyDescent="0.25">
      <c r="M1626" s="27"/>
      <c r="N1626" s="27"/>
      <c r="O1626" s="2" t="s">
        <v>193</v>
      </c>
      <c r="P1626" s="134"/>
      <c r="Q1626" s="2"/>
      <c r="R1626" s="181">
        <f>IF(R1621&lt;R1625,R1623,R1624)</f>
        <v>0.46400881539345223</v>
      </c>
      <c r="S1626" s="133"/>
      <c r="T1626" s="155"/>
      <c r="U1626" s="138">
        <f>IF(U1621&lt;U1625,U1623,U1624)</f>
        <v>6.2449023628108815</v>
      </c>
      <c r="V1626" s="133"/>
      <c r="W1626" s="155"/>
      <c r="X1626" s="138">
        <f>IF(X1621&lt;X1625,X1623,X1624)</f>
        <v>16.351966364691574</v>
      </c>
      <c r="Y1626" s="133"/>
      <c r="Z1626" s="155"/>
      <c r="AA1626" s="138">
        <f>IF(AA1621&lt;AA1625,AA1623,AA1624)</f>
        <v>39.273345354213788</v>
      </c>
      <c r="AB1626" s="133"/>
      <c r="AC1626" s="155"/>
      <c r="AD1626" s="138" t="e">
        <f>IF(AD1621&lt;AD1625,AD1623,AD1624)</f>
        <v>#NUM!</v>
      </c>
      <c r="AE1626" s="133"/>
      <c r="AF1626" s="155"/>
      <c r="AG1626" s="138">
        <f>IF(AG1621&lt;AG1625,AG1623,AG1624)</f>
        <v>46060.799946639818</v>
      </c>
      <c r="AH1626" s="133"/>
      <c r="AI1626" s="155"/>
      <c r="AJ1626" s="138">
        <f>IF(AJ1621&lt;AJ1625,AJ1623,AJ1624)</f>
        <v>164.02116253751572</v>
      </c>
      <c r="AK1626" s="133"/>
      <c r="AL1626" s="155"/>
      <c r="AM1626" s="138">
        <f>IF(AM1621&lt;AM1625,AM1623,AM1624)</f>
        <v>107.50932376701479</v>
      </c>
      <c r="AN1626" s="133"/>
      <c r="AO1626" s="155"/>
      <c r="AP1626" s="138">
        <f>IF(AP1621&lt;AP1625,AP1623,AP1624)</f>
        <v>85.700600449847286</v>
      </c>
      <c r="AQ1626" s="133"/>
      <c r="AR1626" s="155"/>
      <c r="AS1626" s="138">
        <f>IF(AS1621&lt;AS1625,AS1623,AS1624)</f>
        <v>111.88814562870319</v>
      </c>
      <c r="AT1626" s="133"/>
      <c r="AU1626" s="155"/>
    </row>
    <row r="1627" spans="13:47" ht="13" x14ac:dyDescent="0.3">
      <c r="M1627" s="28"/>
      <c r="N1627" s="28"/>
      <c r="O1627" s="9" t="s">
        <v>194</v>
      </c>
      <c r="P1627" s="1"/>
      <c r="Q1627" s="1"/>
      <c r="R1627" s="135"/>
      <c r="S1627" s="132">
        <f>IF(R1620&lt;=0,W_max,ABS(R$23-R1626))</f>
        <v>1.5359911846065477</v>
      </c>
      <c r="T1627" s="151">
        <f>R1615</f>
        <v>107.30621980672676</v>
      </c>
      <c r="U1627" s="135"/>
      <c r="V1627" s="132">
        <f>IF(U1620&lt;=0,W_max,ABS(U$23-U1626))</f>
        <v>1.2449023628108815</v>
      </c>
      <c r="W1627" s="151">
        <f>U1615</f>
        <v>1430.0553385527842</v>
      </c>
      <c r="X1627" s="135"/>
      <c r="Y1627" s="132">
        <f>IF(X1620&lt;=0,W_max,ABS(X$23-X1626))</f>
        <v>6.3519663646915738</v>
      </c>
      <c r="Z1627" s="151">
        <f>X1615</f>
        <v>3536.697030821203</v>
      </c>
      <c r="AA1627" s="135"/>
      <c r="AB1627" s="132">
        <f>IF(AA1620&lt;=0,W_max,ABS(AA$23-AA1626))</f>
        <v>22.073345354213789</v>
      </c>
      <c r="AC1627" s="151">
        <f>AA1615</f>
        <v>6888.5830903441947</v>
      </c>
      <c r="AD1627" s="135"/>
      <c r="AE1627" s="132">
        <f>IF(AD1620&lt;=0,W_max,ABS(AD$23-AD1626))</f>
        <v>7174</v>
      </c>
      <c r="AF1627" s="151">
        <f>AD1615</f>
        <v>11329.182957795734</v>
      </c>
      <c r="AG1627" s="135"/>
      <c r="AH1627" s="132">
        <f>IF(AG1620&lt;=0,W_max,ABS(AG$23-AG1626))</f>
        <v>7174</v>
      </c>
      <c r="AI1627" s="151">
        <f>AG1615</f>
        <v>15890.051288708821</v>
      </c>
      <c r="AJ1627" s="135"/>
      <c r="AK1627" s="132">
        <f>IF(AJ1620&lt;=0,W_max,ABS(AJ$23-AJ1626))</f>
        <v>7174</v>
      </c>
      <c r="AL1627" s="151">
        <f>AJ1615</f>
        <v>20176.148688222791</v>
      </c>
      <c r="AM1627" s="135"/>
      <c r="AN1627" s="132">
        <f>IF(AM1620&lt;=0,W_max,ABS(AM$23-AM1626))</f>
        <v>7174</v>
      </c>
      <c r="AO1627" s="151">
        <f>AM1615</f>
        <v>23658.121088615346</v>
      </c>
      <c r="AP1627" s="135"/>
      <c r="AQ1627" s="132">
        <f>IF(AP1620&lt;=0,W_max,ABS(AP$23-AP1626))</f>
        <v>7174</v>
      </c>
      <c r="AR1627" s="151">
        <f>AP1615</f>
        <v>26394.616840143346</v>
      </c>
      <c r="AS1627" s="135"/>
      <c r="AT1627" s="132">
        <f>IF(AS1620&lt;=0,W_max,ABS(AS$23-AS1626))</f>
        <v>7174</v>
      </c>
      <c r="AU1627" s="151">
        <f>AS1615</f>
        <v>29447.638530907243</v>
      </c>
    </row>
    <row r="1628" spans="13:47" ht="13" x14ac:dyDescent="0.25">
      <c r="M1628" s="12"/>
      <c r="N1628" s="12"/>
      <c r="O1628" s="2"/>
      <c r="P1628" s="85"/>
      <c r="Q1628" s="2"/>
      <c r="R1628" s="18"/>
      <c r="S1628" s="150"/>
      <c r="T1628" s="148"/>
      <c r="U1628" s="157"/>
      <c r="V1628" s="1"/>
      <c r="W1628" s="147"/>
      <c r="X1628" s="157"/>
      <c r="Y1628" s="1"/>
      <c r="Z1628" s="147"/>
      <c r="AA1628" s="157"/>
      <c r="AB1628" s="1"/>
      <c r="AC1628" s="147"/>
      <c r="AD1628" s="157"/>
      <c r="AE1628" s="1"/>
      <c r="AF1628" s="147"/>
      <c r="AG1628" s="157"/>
      <c r="AH1628" s="1"/>
      <c r="AI1628" s="147"/>
      <c r="AJ1628" s="157"/>
      <c r="AK1628" s="1"/>
      <c r="AL1628" s="147"/>
      <c r="AM1628" s="157"/>
      <c r="AN1628" s="1"/>
      <c r="AO1628" s="147"/>
      <c r="AP1628" s="157"/>
      <c r="AQ1628" s="1"/>
      <c r="AR1628" s="147"/>
      <c r="AS1628" s="157"/>
      <c r="AT1628" s="1"/>
      <c r="AU1628" s="147"/>
    </row>
    <row r="1629" spans="13:47" ht="14" x14ac:dyDescent="0.3">
      <c r="M1629" s="23"/>
      <c r="N1629" s="23"/>
      <c r="O1629" s="23" t="s">
        <v>238</v>
      </c>
      <c r="P1629" s="20"/>
      <c r="Q1629" s="20"/>
      <c r="R1629" s="181">
        <f>R1615*1.02</f>
        <v>109.4523442028613</v>
      </c>
      <c r="S1629" s="128" t="s">
        <v>185</v>
      </c>
      <c r="T1629" s="149" t="s">
        <v>186</v>
      </c>
      <c r="U1629" s="143">
        <f>U1615*1.01</f>
        <v>1444.355891938312</v>
      </c>
      <c r="V1629" s="128" t="s">
        <v>185</v>
      </c>
      <c r="W1629" s="153" t="s">
        <v>186</v>
      </c>
      <c r="X1629" s="143">
        <f>X1615*1.01</f>
        <v>3572.0640011294149</v>
      </c>
      <c r="Y1629" s="128" t="s">
        <v>185</v>
      </c>
      <c r="Z1629" s="153" t="s">
        <v>186</v>
      </c>
      <c r="AA1629" s="143">
        <f>AA1615*1.01</f>
        <v>6957.4689212476369</v>
      </c>
      <c r="AB1629" s="128" t="s">
        <v>185</v>
      </c>
      <c r="AC1629" s="153" t="s">
        <v>186</v>
      </c>
      <c r="AD1629" s="143">
        <f>AD1615*1.01</f>
        <v>11442.474787373692</v>
      </c>
      <c r="AE1629" s="128" t="s">
        <v>185</v>
      </c>
      <c r="AF1629" s="153" t="s">
        <v>186</v>
      </c>
      <c r="AG1629" s="143">
        <f>AG1615*1.01</f>
        <v>16048.951801595909</v>
      </c>
      <c r="AH1629" s="128" t="s">
        <v>185</v>
      </c>
      <c r="AI1629" s="153" t="s">
        <v>186</v>
      </c>
      <c r="AJ1629" s="143">
        <f>AJ1615*1.01</f>
        <v>20377.910175105018</v>
      </c>
      <c r="AK1629" s="128" t="s">
        <v>185</v>
      </c>
      <c r="AL1629" s="153" t="s">
        <v>186</v>
      </c>
      <c r="AM1629" s="143">
        <f>AM1615*1.01</f>
        <v>23894.7022995015</v>
      </c>
      <c r="AN1629" s="128" t="s">
        <v>185</v>
      </c>
      <c r="AO1629" s="153" t="s">
        <v>186</v>
      </c>
      <c r="AP1629" s="143">
        <f>AP1615*1.01</f>
        <v>26658.563008544781</v>
      </c>
      <c r="AQ1629" s="128" t="s">
        <v>185</v>
      </c>
      <c r="AR1629" s="153" t="s">
        <v>186</v>
      </c>
      <c r="AS1629" s="143">
        <f>AS1615*1.01</f>
        <v>29742.114916216316</v>
      </c>
      <c r="AT1629" s="128" t="s">
        <v>185</v>
      </c>
      <c r="AU1629" s="153" t="s">
        <v>186</v>
      </c>
    </row>
    <row r="1630" spans="13:47" ht="14" x14ac:dyDescent="0.3">
      <c r="M1630" s="12"/>
      <c r="N1630" s="12"/>
      <c r="O1630" s="20"/>
      <c r="P1630" s="20"/>
      <c r="Q1630" s="23"/>
      <c r="R1630" s="139"/>
      <c r="S1630" s="130" t="s">
        <v>228</v>
      </c>
      <c r="T1630" s="131" t="s">
        <v>187</v>
      </c>
      <c r="U1630" s="144"/>
      <c r="V1630" s="130" t="s">
        <v>228</v>
      </c>
      <c r="W1630" s="154" t="s">
        <v>187</v>
      </c>
      <c r="X1630" s="144"/>
      <c r="Y1630" s="130" t="s">
        <v>228</v>
      </c>
      <c r="Z1630" s="154" t="s">
        <v>187</v>
      </c>
      <c r="AA1630" s="144"/>
      <c r="AB1630" s="130" t="s">
        <v>228</v>
      </c>
      <c r="AC1630" s="154" t="s">
        <v>187</v>
      </c>
      <c r="AD1630" s="144"/>
      <c r="AE1630" s="130" t="s">
        <v>228</v>
      </c>
      <c r="AF1630" s="154" t="s">
        <v>187</v>
      </c>
      <c r="AG1630" s="144"/>
      <c r="AH1630" s="130" t="s">
        <v>228</v>
      </c>
      <c r="AI1630" s="154" t="s">
        <v>187</v>
      </c>
      <c r="AJ1630" s="144"/>
      <c r="AK1630" s="130" t="s">
        <v>228</v>
      </c>
      <c r="AL1630" s="154" t="s">
        <v>187</v>
      </c>
      <c r="AM1630" s="144"/>
      <c r="AN1630" s="130" t="s">
        <v>228</v>
      </c>
      <c r="AO1630" s="154" t="s">
        <v>187</v>
      </c>
      <c r="AP1630" s="144"/>
      <c r="AQ1630" s="130" t="s">
        <v>228</v>
      </c>
      <c r="AR1630" s="154" t="s">
        <v>187</v>
      </c>
      <c r="AS1630" s="144"/>
      <c r="AT1630" s="130" t="s">
        <v>228</v>
      </c>
      <c r="AU1630" s="154" t="s">
        <v>187</v>
      </c>
    </row>
    <row r="1631" spans="13:47" x14ac:dyDescent="0.25">
      <c r="M1631" s="20"/>
      <c r="N1631" s="20"/>
      <c r="O1631" s="7" t="s">
        <v>188</v>
      </c>
      <c r="P1631" s="7"/>
      <c r="Q1631" s="7"/>
      <c r="R1631" s="181">
        <f>P_1_minW-(R1629^2*R_up)+dpup_minQ</f>
        <v>100.51800964343634</v>
      </c>
      <c r="S1631" s="132"/>
      <c r="T1631" s="145"/>
      <c r="U1631" s="138">
        <f>P_1_minW-(U1629^2*R_up)+dpup_minQ</f>
        <v>99.690904171698023</v>
      </c>
      <c r="V1631" s="132"/>
      <c r="W1631" s="145"/>
      <c r="X1631" s="138">
        <f>P_1_minW-(X1629^2*R_up)+dpup_minQ</f>
        <v>95.434728767217337</v>
      </c>
      <c r="Y1631" s="132"/>
      <c r="Z1631" s="145"/>
      <c r="AA1631" s="138">
        <f>P_1_minW-(AA1629^2*R_up)+dpup_minQ</f>
        <v>81.220172224787888</v>
      </c>
      <c r="AB1631" s="132"/>
      <c r="AC1631" s="145"/>
      <c r="AD1631" s="138">
        <f>P_1_minW-(AD1629^2*R_up)+dpup_minQ</f>
        <v>48.312808060841874</v>
      </c>
      <c r="AE1631" s="132"/>
      <c r="AF1631" s="145"/>
      <c r="AG1631" s="138">
        <f>P_1_minW-(AG1629^2*R_up)+dpup_minQ</f>
        <v>-2.1858424873393862</v>
      </c>
      <c r="AH1631" s="132"/>
      <c r="AI1631" s="145"/>
      <c r="AJ1631" s="138">
        <f>P_1_minW-(AJ1629^2*R_up)+dpup_minQ</f>
        <v>-65.066743701331959</v>
      </c>
      <c r="AK1631" s="132"/>
      <c r="AL1631" s="145"/>
      <c r="AM1631" s="138">
        <f>P_1_minW-(AM1629^2*R_up)+dpup_minQ</f>
        <v>-127.15299460142357</v>
      </c>
      <c r="AN1631" s="132"/>
      <c r="AO1631" s="145"/>
      <c r="AP1631" s="138">
        <f>P_1_minW-(AP1629^2*R_up)+dpup_minQ</f>
        <v>-182.86886917605185</v>
      </c>
      <c r="AQ1631" s="132"/>
      <c r="AR1631" s="145"/>
      <c r="AS1631" s="138">
        <f>P_1_minW-(AS1629^2*R_up)+dpup_minQ</f>
        <v>-252.21930189898447</v>
      </c>
      <c r="AT1631" s="132"/>
      <c r="AU1631" s="145"/>
    </row>
    <row r="1632" spans="13:47" x14ac:dyDescent="0.25">
      <c r="M1632" s="20"/>
      <c r="N1632" s="20"/>
      <c r="O1632" s="7" t="s">
        <v>189</v>
      </c>
      <c r="P1632" s="1"/>
      <c r="Q1632" s="7"/>
      <c r="R1632" s="181">
        <f>P_2_minW+(R1629^2*R_dn)-dpdn_minQ</f>
        <v>50</v>
      </c>
      <c r="S1632" s="132"/>
      <c r="T1632" s="146"/>
      <c r="U1632" s="138">
        <f>P_2_minW+(U1629^2*R_dn)-dpdn_minQ</f>
        <v>50</v>
      </c>
      <c r="V1632" s="132"/>
      <c r="W1632" s="146"/>
      <c r="X1632" s="138">
        <f>P_2_minW+(X1629^2*R_dn)-dpdn_minQ</f>
        <v>50</v>
      </c>
      <c r="Y1632" s="132"/>
      <c r="Z1632" s="146"/>
      <c r="AA1632" s="138">
        <f>P_2_minW+(AA1629^2*R_dn)-dpdn_minQ</f>
        <v>50</v>
      </c>
      <c r="AB1632" s="132"/>
      <c r="AC1632" s="146"/>
      <c r="AD1632" s="138">
        <f>P_2_minW+(AD1629^2*R_dn)-dpdn_minQ</f>
        <v>50</v>
      </c>
      <c r="AE1632" s="132"/>
      <c r="AF1632" s="146"/>
      <c r="AG1632" s="138">
        <f>P_2_minW+(AG1629^2*R_dn)-dpdn_minQ</f>
        <v>50</v>
      </c>
      <c r="AH1632" s="132"/>
      <c r="AI1632" s="146"/>
      <c r="AJ1632" s="138">
        <f>P_2_minW+(AJ1629^2*R_dn)-dpdn_minQ</f>
        <v>50</v>
      </c>
      <c r="AK1632" s="132"/>
      <c r="AL1632" s="146"/>
      <c r="AM1632" s="138">
        <f>P_2_minW+(AM1629^2*R_dn)-dpdn_minQ</f>
        <v>50</v>
      </c>
      <c r="AN1632" s="132"/>
      <c r="AO1632" s="146"/>
      <c r="AP1632" s="138">
        <f>P_2_minW+(AP1629^2*R_dn)-dpdn_minQ</f>
        <v>50</v>
      </c>
      <c r="AQ1632" s="132"/>
      <c r="AR1632" s="146"/>
      <c r="AS1632" s="138">
        <f>P_2_minW+(AS1629^2*R_dn)-dpdn_minQ</f>
        <v>50</v>
      </c>
      <c r="AT1632" s="132"/>
      <c r="AU1632" s="146"/>
    </row>
    <row r="1633" spans="13:47" x14ac:dyDescent="0.25">
      <c r="M1633" s="20"/>
      <c r="N1633" s="20"/>
      <c r="O1633" s="7" t="s">
        <v>234</v>
      </c>
      <c r="P1633" s="1"/>
      <c r="Q1633" s="7"/>
      <c r="R1633" s="179">
        <f>'Valve Sizing'!G$8*R1631/P_1_maxW</f>
        <v>0.48488098239136723</v>
      </c>
      <c r="S1633" s="132"/>
      <c r="T1633" s="146"/>
      <c r="U1633" s="143">
        <f>'Valve Sizing'!$G$8*U1631/P_1_maxW</f>
        <v>0.48089117285275451</v>
      </c>
      <c r="V1633" s="132"/>
      <c r="W1633" s="146"/>
      <c r="X1633" s="143">
        <f>'Valve Sizing'!$G$8*X1631/P_1_maxW</f>
        <v>0.46036014046686474</v>
      </c>
      <c r="Y1633" s="132"/>
      <c r="Z1633" s="146"/>
      <c r="AA1633" s="143">
        <f>'Valve Sizing'!$G$8*AA1631/P_1_maxW</f>
        <v>0.39179165045199216</v>
      </c>
      <c r="AB1633" s="132"/>
      <c r="AC1633" s="146"/>
      <c r="AD1633" s="143">
        <f>'Valve Sizing'!$G$8*AD1631/P_1_maxW</f>
        <v>0.23305238452019278</v>
      </c>
      <c r="AE1633" s="132"/>
      <c r="AF1633" s="146"/>
      <c r="AG1633" s="143">
        <f>'Valve Sizing'!$G$8*AG1631/P_1_maxW</f>
        <v>-1.0544114993656952E-2</v>
      </c>
      <c r="AH1633" s="132"/>
      <c r="AI1633" s="146"/>
      <c r="AJ1633" s="143">
        <f>'Valve Sizing'!$G$8*AJ1631/P_1_maxW</f>
        <v>-0.31387038719552762</v>
      </c>
      <c r="AK1633" s="132"/>
      <c r="AL1633" s="146"/>
      <c r="AM1633" s="143">
        <f>'Valve Sizing'!$G$8*AM1631/P_1_maxW</f>
        <v>-0.61336340776190823</v>
      </c>
      <c r="AN1633" s="132"/>
      <c r="AO1633" s="146"/>
      <c r="AP1633" s="143">
        <f>'Valve Sizing'!$G$8*AP1631/P_1_maxW</f>
        <v>-0.88212686710985244</v>
      </c>
      <c r="AQ1633" s="132"/>
      <c r="AR1633" s="146"/>
      <c r="AS1633" s="143">
        <f>'Valve Sizing'!$G$8*AS1631/P_1_maxW</f>
        <v>-1.216661007481759</v>
      </c>
      <c r="AT1633" s="132"/>
      <c r="AU1633" s="146"/>
    </row>
    <row r="1634" spans="13:47" x14ac:dyDescent="0.25">
      <c r="M1634" s="20"/>
      <c r="N1634" s="20"/>
      <c r="O1634" s="7" t="s">
        <v>190</v>
      </c>
      <c r="P1634" s="1"/>
      <c r="Q1634" s="7"/>
      <c r="R1634" s="181">
        <f>R1631-R1632</f>
        <v>50.518009643436343</v>
      </c>
      <c r="S1634" s="132"/>
      <c r="T1634" s="146"/>
      <c r="U1634" s="138">
        <f>U1631-U1632</f>
        <v>49.690904171698023</v>
      </c>
      <c r="V1634" s="132"/>
      <c r="W1634" s="146"/>
      <c r="X1634" s="138">
        <f>X1631-X1632</f>
        <v>45.434728767217337</v>
      </c>
      <c r="Y1634" s="132"/>
      <c r="Z1634" s="146"/>
      <c r="AA1634" s="138">
        <f>AA1631-AA1632</f>
        <v>31.220172224787888</v>
      </c>
      <c r="AB1634" s="132"/>
      <c r="AC1634" s="146"/>
      <c r="AD1634" s="138">
        <f>AD1631-AD1632</f>
        <v>-1.6871919391581258</v>
      </c>
      <c r="AE1634" s="132"/>
      <c r="AF1634" s="146"/>
      <c r="AG1634" s="138">
        <f>AG1631-AG1632</f>
        <v>-52.185842487339386</v>
      </c>
      <c r="AH1634" s="132"/>
      <c r="AI1634" s="146"/>
      <c r="AJ1634" s="138">
        <f>AJ1631-AJ1632</f>
        <v>-115.06674370133196</v>
      </c>
      <c r="AK1634" s="132"/>
      <c r="AL1634" s="146"/>
      <c r="AM1634" s="138">
        <f>AM1631-AM1632</f>
        <v>-177.15299460142359</v>
      </c>
      <c r="AN1634" s="132"/>
      <c r="AO1634" s="146"/>
      <c r="AP1634" s="138">
        <f>AP1631-AP1632</f>
        <v>-232.86886917605185</v>
      </c>
      <c r="AQ1634" s="132"/>
      <c r="AR1634" s="146"/>
      <c r="AS1634" s="138">
        <f>AS1631-AS1632</f>
        <v>-302.21930189898444</v>
      </c>
      <c r="AT1634" s="132"/>
      <c r="AU1634" s="146"/>
    </row>
    <row r="1635" spans="13:47" ht="14.5" x14ac:dyDescent="0.35">
      <c r="M1635" s="27"/>
      <c r="N1635" s="27"/>
      <c r="O1635" s="2" t="s">
        <v>191</v>
      </c>
      <c r="P1635" s="10"/>
      <c r="Q1635" s="2"/>
      <c r="R1635" s="181">
        <f>R1634/R1631</f>
        <v>0.50257670065928417</v>
      </c>
      <c r="S1635" s="132"/>
      <c r="T1635" s="146"/>
      <c r="U1635" s="138">
        <f>U1634/U1631</f>
        <v>0.4984497290356118</v>
      </c>
      <c r="V1635" s="132"/>
      <c r="W1635" s="146"/>
      <c r="X1635" s="138">
        <f>X1634/X1631</f>
        <v>0.47608170897662322</v>
      </c>
      <c r="Y1635" s="132"/>
      <c r="Z1635" s="146"/>
      <c r="AA1635" s="138">
        <f>AA1634/AA1631</f>
        <v>0.38438938713872473</v>
      </c>
      <c r="AB1635" s="132"/>
      <c r="AC1635" s="146"/>
      <c r="AD1635" s="138">
        <f>AD1634/AD1631</f>
        <v>-3.4922249541641019E-2</v>
      </c>
      <c r="AE1635" s="132"/>
      <c r="AF1635" s="146"/>
      <c r="AG1635" s="138">
        <f>AG1634/AG1631</f>
        <v>23.874475306251433</v>
      </c>
      <c r="AH1635" s="132"/>
      <c r="AI1635" s="146"/>
      <c r="AJ1635" s="138">
        <f>AJ1634/AJ1631</f>
        <v>1.7684417131662371</v>
      </c>
      <c r="AK1635" s="132"/>
      <c r="AL1635" s="146"/>
      <c r="AM1635" s="138">
        <f>AM1634/AM1631</f>
        <v>1.3932270738627199</v>
      </c>
      <c r="AN1635" s="132"/>
      <c r="AO1635" s="146"/>
      <c r="AP1635" s="138">
        <f>AP1634/AP1631</f>
        <v>1.2734199660406054</v>
      </c>
      <c r="AQ1635" s="132"/>
      <c r="AR1635" s="146"/>
      <c r="AS1635" s="138">
        <f>AS1634/AS1631</f>
        <v>1.1982401807615235</v>
      </c>
      <c r="AT1635" s="132"/>
      <c r="AU1635" s="146"/>
    </row>
    <row r="1636" spans="13:47" x14ac:dyDescent="0.25">
      <c r="M1636" s="27"/>
      <c r="N1636" s="27"/>
      <c r="O1636" s="2" t="s">
        <v>26</v>
      </c>
      <c r="P1636" s="7">
        <v>12</v>
      </c>
      <c r="Q1636" s="2"/>
      <c r="R1636" s="181">
        <f>1-R1635/(3*F_GAMMA*R$29)</f>
        <v>0.73825229520557079</v>
      </c>
      <c r="S1636" s="133"/>
      <c r="T1636" s="146"/>
      <c r="U1636" s="138">
        <f>1-U1635/(3*F_GAMMA*U$29)</f>
        <v>0.74045882640654304</v>
      </c>
      <c r="V1636" s="133"/>
      <c r="W1636" s="146"/>
      <c r="X1636" s="138">
        <f>1-X1635/(3*F_GAMMA*X$29)</f>
        <v>0.74838697485354089</v>
      </c>
      <c r="Y1636" s="133"/>
      <c r="Z1636" s="146"/>
      <c r="AA1636" s="138">
        <f>1-AA1635/(3*F_GAMMA*AA$29)</f>
        <v>0.79406159801765941</v>
      </c>
      <c r="AB1636" s="133"/>
      <c r="AC1636" s="146"/>
      <c r="AD1636" s="138">
        <f>1-AD1635/(3*F_GAMMA*AD$29)</f>
        <v>1.019222739387811</v>
      </c>
      <c r="AE1636" s="133"/>
      <c r="AF1636" s="146"/>
      <c r="AG1636" s="138">
        <f>1-AG1635/(3*F_GAMMA*AG$29)</f>
        <v>-12.891174702194352</v>
      </c>
      <c r="AH1636" s="133"/>
      <c r="AI1636" s="146"/>
      <c r="AJ1636" s="138">
        <f>1-AJ1635/(3*F_GAMMA*AJ$29)</f>
        <v>-9.9965592574546402E-2</v>
      </c>
      <c r="AK1636" s="133"/>
      <c r="AL1636" s="146"/>
      <c r="AM1636" s="138">
        <f>1-AM1635/(3*F_GAMMA*AM$29)</f>
        <v>5.3169753754076954E-2</v>
      </c>
      <c r="AN1636" s="133"/>
      <c r="AO1636" s="146"/>
      <c r="AP1636" s="138">
        <f>1-AP1635/(3*F_GAMMA*AP$29)</f>
        <v>0.28483232173214912</v>
      </c>
      <c r="AQ1636" s="133"/>
      <c r="AR1636" s="146"/>
      <c r="AS1636" s="138">
        <f>1-AS1635/(3*F_GAMMA*AS$29)</f>
        <v>-2.1590235126216717E-2</v>
      </c>
      <c r="AT1636" s="133"/>
      <c r="AU1636" s="146"/>
    </row>
    <row r="1637" spans="13:47" x14ac:dyDescent="0.25">
      <c r="M1637" s="27"/>
      <c r="N1637" s="27"/>
      <c r="O1637" s="2" t="s">
        <v>71</v>
      </c>
      <c r="P1637" s="85">
        <v>5</v>
      </c>
      <c r="Q1637" s="2"/>
      <c r="R1637" s="179">
        <f>R1629/((N_6*R$27*R1636)*SQRT(R1635*R1631*R1633))</f>
        <v>0.47328999086622897</v>
      </c>
      <c r="S1637" s="133"/>
      <c r="T1637" s="146"/>
      <c r="U1637" s="143">
        <f>U1629/((N_6*U$27*U1636)*SQRT(U1635*U1631*U1633))</f>
        <v>6.3085443929755902</v>
      </c>
      <c r="V1637" s="133"/>
      <c r="W1637" s="146"/>
      <c r="X1637" s="143">
        <f>X1629/((N_6*X$27*X1636)*SQRT(X1635*X1631*X1633))</f>
        <v>16.53595648494489</v>
      </c>
      <c r="Y1637" s="133"/>
      <c r="Z1637" s="146"/>
      <c r="AA1637" s="143">
        <f>AA1629/((N_6*AA$27*AA1636)*SQRT(AA1635*AA1631*AA1633))</f>
        <v>39.922852531364825</v>
      </c>
      <c r="AB1637" s="133"/>
      <c r="AC1637" s="146"/>
      <c r="AD1637" s="143" t="e">
        <f>AD1629/((N_6*AD$27*AD1636)*SQRT(AD1635*AD1631*AD1633))</f>
        <v>#NUM!</v>
      </c>
      <c r="AE1637" s="133"/>
      <c r="AF1637" s="146"/>
      <c r="AG1637" s="143">
        <f>AG1629/((N_6*AG$27*AG1636)*SQRT(AG1635*AG1631*AG1633))</f>
        <v>-27.647628346615292</v>
      </c>
      <c r="AH1637" s="133"/>
      <c r="AI1637" s="146"/>
      <c r="AJ1637" s="143">
        <f>AJ1629/((N_6*AJ$27*AJ1636)*SQRT(AJ1635*AJ1631*AJ1633))</f>
        <v>-577.96789111658597</v>
      </c>
      <c r="AK1637" s="133"/>
      <c r="AL1637" s="146"/>
      <c r="AM1637" s="143">
        <f>AM1629/((N_6*AM$27*AM1636)*SQRT(AM1635*AM1631*AM1633))</f>
        <v>779.70933632017602</v>
      </c>
      <c r="AN1637" s="133"/>
      <c r="AO1637" s="146"/>
      <c r="AP1637" s="143">
        <f>AP1629/((N_6*AP$27*AP1636)*SQRT(AP1635*AP1631*AP1633))</f>
        <v>134.15574848757467</v>
      </c>
      <c r="AQ1637" s="133"/>
      <c r="AR1637" s="146"/>
      <c r="AS1637" s="143">
        <f>AS1629/((N_6*AS$27*AS1636)*SQRT(AS1635*AS1631*AS1633))</f>
        <v>-1939.2734999278073</v>
      </c>
      <c r="AT1637" s="133"/>
      <c r="AU1637" s="146"/>
    </row>
    <row r="1638" spans="13:47" x14ac:dyDescent="0.25">
      <c r="M1638" s="27"/>
      <c r="N1638" s="27"/>
      <c r="O1638" s="2" t="s">
        <v>73</v>
      </c>
      <c r="P1638" s="85">
        <v>5</v>
      </c>
      <c r="Q1638" s="2"/>
      <c r="R1638" s="179">
        <f>R1629/((N_6*R$27*0.667)*SQRT(R1639*R1631*R1633))</f>
        <v>0.46420344639096622</v>
      </c>
      <c r="S1638" s="133"/>
      <c r="T1638" s="147"/>
      <c r="U1638" s="143">
        <f>U1629/((N_6*U$27*0.667)*SQRT(U1639*U1631*U1633))</f>
        <v>6.1797086948191389</v>
      </c>
      <c r="V1638" s="133"/>
      <c r="W1638" s="155"/>
      <c r="X1638" s="143">
        <f>X1629/((N_6*X$27*0.667)*SQRT(X1639*X1631*X1633))</f>
        <v>16.119697741917349</v>
      </c>
      <c r="Y1638" s="133"/>
      <c r="Z1638" s="155"/>
      <c r="AA1638" s="143">
        <f>AA1629/((N_6*AA$27*0.667)*SQRT(AA1639*AA1631*AA1633))</f>
        <v>37.357621758443365</v>
      </c>
      <c r="AB1638" s="133"/>
      <c r="AC1638" s="155"/>
      <c r="AD1638" s="143">
        <f>AD1629/((N_6*AD$27*0.667)*SQRT(AD1639*AD1631*AD1633))</f>
        <v>105.94190399673325</v>
      </c>
      <c r="AE1638" s="133"/>
      <c r="AF1638" s="155"/>
      <c r="AG1638" s="143">
        <f>AG1629/((N_6*AG$27*0.667)*SQRT(AG1639*AG1631*AG1633))</f>
        <v>3449.4881466502338</v>
      </c>
      <c r="AH1638" s="133"/>
      <c r="AI1638" s="155"/>
      <c r="AJ1638" s="143">
        <f>AJ1629/((N_6*AJ$27*0.667)*SQRT(AJ1639*AJ1631*AJ1633))</f>
        <v>157.35429457770698</v>
      </c>
      <c r="AK1638" s="133"/>
      <c r="AL1638" s="155"/>
      <c r="AM1638" s="143">
        <f>AM1629/((N_6*AM$27*0.667)*SQRT(AM1639*AM1631*AM1633))</f>
        <v>104.75342666651889</v>
      </c>
      <c r="AN1638" s="133"/>
      <c r="AO1638" s="155"/>
      <c r="AP1638" s="143">
        <f>AP1629/((N_6*AP$27*0.667)*SQRT(AP1639*AP1631*AP1633))</f>
        <v>83.91455372193856</v>
      </c>
      <c r="AQ1638" s="133"/>
      <c r="AR1638" s="155"/>
      <c r="AS1638" s="143">
        <f>AS1629/((N_6*AS$27*0.667)*SQRT(AS1639*AS1631*AS1633))</f>
        <v>109.89289002723835</v>
      </c>
      <c r="AT1638" s="133"/>
      <c r="AU1638" s="155"/>
    </row>
    <row r="1639" spans="13:47" ht="15.5" x14ac:dyDescent="0.4">
      <c r="M1639" s="27"/>
      <c r="N1639" s="27"/>
      <c r="O1639" s="2" t="s">
        <v>192</v>
      </c>
      <c r="P1639" s="85">
        <v>10</v>
      </c>
      <c r="Q1639" s="2"/>
      <c r="R1639" s="181">
        <f>F_GAMMA*R$29</f>
        <v>0.64002688015162901</v>
      </c>
      <c r="S1639" s="133"/>
      <c r="T1639" s="147"/>
      <c r="U1639" s="138">
        <f>F_GAMMA*U$29</f>
        <v>0.64016782916606918</v>
      </c>
      <c r="V1639" s="133"/>
      <c r="W1639" s="155"/>
      <c r="X1639" s="138">
        <f>F_GAMMA*X$29</f>
        <v>0.6307062319203669</v>
      </c>
      <c r="Y1639" s="133"/>
      <c r="Z1639" s="155"/>
      <c r="AA1639" s="138">
        <f>F_GAMMA*AA$29</f>
        <v>0.62217534213893466</v>
      </c>
      <c r="AB1639" s="133"/>
      <c r="AC1639" s="155"/>
      <c r="AD1639" s="138">
        <f>F_GAMMA*AD$29</f>
        <v>0.60557184969146072</v>
      </c>
      <c r="AE1639" s="133"/>
      <c r="AF1639" s="155"/>
      <c r="AG1639" s="138">
        <f>F_GAMMA*AG$29</f>
        <v>0.57289312142622573</v>
      </c>
      <c r="AH1639" s="133"/>
      <c r="AI1639" s="155"/>
      <c r="AJ1639" s="138">
        <f>F_GAMMA*AJ$29</f>
        <v>0.53590819116049981</v>
      </c>
      <c r="AK1639" s="133"/>
      <c r="AL1639" s="155"/>
      <c r="AM1639" s="138">
        <f>F_GAMMA*AM$29</f>
        <v>0.49048815926850342</v>
      </c>
      <c r="AN1639" s="133"/>
      <c r="AO1639" s="155"/>
      <c r="AP1639" s="138">
        <f>F_GAMMA*AP$29</f>
        <v>0.59352979016280105</v>
      </c>
      <c r="AQ1639" s="133"/>
      <c r="AR1639" s="155"/>
      <c r="AS1639" s="138">
        <f>F_GAMMA*AS$29</f>
        <v>0.39097221161068291</v>
      </c>
      <c r="AT1639" s="133"/>
      <c r="AU1639" s="155"/>
    </row>
    <row r="1640" spans="13:47" x14ac:dyDescent="0.25">
      <c r="M1640" s="27"/>
      <c r="N1640" s="27"/>
      <c r="O1640" s="2" t="s">
        <v>193</v>
      </c>
      <c r="P1640" s="134"/>
      <c r="Q1640" s="2"/>
      <c r="R1640" s="181">
        <f>IF(R1635&lt;R1639,R1637,R1638)</f>
        <v>0.47328999086622897</v>
      </c>
      <c r="S1640" s="133"/>
      <c r="T1640" s="147"/>
      <c r="U1640" s="138">
        <f>IF(U1635&lt;U1639,U1637,U1638)</f>
        <v>6.3085443929755902</v>
      </c>
      <c r="V1640" s="133"/>
      <c r="W1640" s="155"/>
      <c r="X1640" s="138">
        <f>IF(X1635&lt;X1639,X1637,X1638)</f>
        <v>16.53595648494489</v>
      </c>
      <c r="Y1640" s="133"/>
      <c r="Z1640" s="155"/>
      <c r="AA1640" s="138">
        <f>IF(AA1635&lt;AA1639,AA1637,AA1638)</f>
        <v>39.922852531364825</v>
      </c>
      <c r="AB1640" s="133"/>
      <c r="AC1640" s="155"/>
      <c r="AD1640" s="138" t="e">
        <f>IF(AD1635&lt;AD1639,AD1637,AD1638)</f>
        <v>#NUM!</v>
      </c>
      <c r="AE1640" s="133"/>
      <c r="AF1640" s="155"/>
      <c r="AG1640" s="138">
        <f>IF(AG1635&lt;AG1639,AG1637,AG1638)</f>
        <v>3449.4881466502338</v>
      </c>
      <c r="AH1640" s="133"/>
      <c r="AI1640" s="155"/>
      <c r="AJ1640" s="138">
        <f>IF(AJ1635&lt;AJ1639,AJ1637,AJ1638)</f>
        <v>157.35429457770698</v>
      </c>
      <c r="AK1640" s="133"/>
      <c r="AL1640" s="155"/>
      <c r="AM1640" s="138">
        <f>IF(AM1635&lt;AM1639,AM1637,AM1638)</f>
        <v>104.75342666651889</v>
      </c>
      <c r="AN1640" s="133"/>
      <c r="AO1640" s="155"/>
      <c r="AP1640" s="138">
        <f>IF(AP1635&lt;AP1639,AP1637,AP1638)</f>
        <v>83.91455372193856</v>
      </c>
      <c r="AQ1640" s="133"/>
      <c r="AR1640" s="155"/>
      <c r="AS1640" s="138">
        <f>IF(AS1635&lt;AS1639,AS1637,AS1638)</f>
        <v>109.89289002723835</v>
      </c>
      <c r="AT1640" s="133"/>
      <c r="AU1640" s="155"/>
    </row>
    <row r="1641" spans="13:47" ht="13" x14ac:dyDescent="0.3">
      <c r="M1641" s="28"/>
      <c r="N1641" s="28"/>
      <c r="O1641" s="9" t="s">
        <v>194</v>
      </c>
      <c r="P1641" s="1"/>
      <c r="Q1641" s="1"/>
      <c r="R1641" s="135"/>
      <c r="S1641" s="132">
        <f>IF(R1634&lt;=0,W_max,ABS(R$23-R1640))</f>
        <v>1.5267100091337711</v>
      </c>
      <c r="T1641" s="151">
        <f>R1629</f>
        <v>109.4523442028613</v>
      </c>
      <c r="U1641" s="135"/>
      <c r="V1641" s="132">
        <f>IF(U1634&lt;=0,W_max,ABS(U$23-U1640))</f>
        <v>1.3085443929755902</v>
      </c>
      <c r="W1641" s="151">
        <f>U1629</f>
        <v>1444.355891938312</v>
      </c>
      <c r="X1641" s="135"/>
      <c r="Y1641" s="132">
        <f>IF(X1634&lt;=0,W_max,ABS(X$23-X1640))</f>
        <v>6.5359564849448901</v>
      </c>
      <c r="Z1641" s="151">
        <f>X1629</f>
        <v>3572.0640011294149</v>
      </c>
      <c r="AA1641" s="135"/>
      <c r="AB1641" s="132">
        <f>IF(AA1634&lt;=0,W_max,ABS(AA$23-AA1640))</f>
        <v>22.722852531364826</v>
      </c>
      <c r="AC1641" s="151">
        <f>AA1629</f>
        <v>6957.4689212476369</v>
      </c>
      <c r="AD1641" s="135"/>
      <c r="AE1641" s="132">
        <f>IF(AD1634&lt;=0,W_max,ABS(AD$23-AD1640))</f>
        <v>7174</v>
      </c>
      <c r="AF1641" s="151">
        <f>AD1629</f>
        <v>11442.474787373692</v>
      </c>
      <c r="AG1641" s="135"/>
      <c r="AH1641" s="132">
        <f>IF(AG1634&lt;=0,W_max,ABS(AG$23-AG1640))</f>
        <v>7174</v>
      </c>
      <c r="AI1641" s="151">
        <f>AG1629</f>
        <v>16048.951801595909</v>
      </c>
      <c r="AJ1641" s="135"/>
      <c r="AK1641" s="132">
        <f>IF(AJ1634&lt;=0,W_max,ABS(AJ$23-AJ1640))</f>
        <v>7174</v>
      </c>
      <c r="AL1641" s="151">
        <f>AJ1629</f>
        <v>20377.910175105018</v>
      </c>
      <c r="AM1641" s="135"/>
      <c r="AN1641" s="132">
        <f>IF(AM1634&lt;=0,W_max,ABS(AM$23-AM1640))</f>
        <v>7174</v>
      </c>
      <c r="AO1641" s="151">
        <f>AM1629</f>
        <v>23894.7022995015</v>
      </c>
      <c r="AP1641" s="135"/>
      <c r="AQ1641" s="132">
        <f>IF(AP1634&lt;=0,W_max,ABS(AP$23-AP1640))</f>
        <v>7174</v>
      </c>
      <c r="AR1641" s="151">
        <f>AP1629</f>
        <v>26658.563008544781</v>
      </c>
      <c r="AS1641" s="135"/>
      <c r="AT1641" s="132">
        <f>IF(AS1634&lt;=0,W_max,ABS(AS$23-AS1640))</f>
        <v>7174</v>
      </c>
      <c r="AU1641" s="151">
        <f>AS1629</f>
        <v>29742.114916216316</v>
      </c>
    </row>
    <row r="1642" spans="13:47" ht="13" x14ac:dyDescent="0.25">
      <c r="M1642" s="12"/>
      <c r="N1642" s="12"/>
      <c r="O1642" s="12"/>
      <c r="P1642" s="12"/>
      <c r="Q1642" s="12"/>
      <c r="R1642" s="182"/>
      <c r="S1642" s="22"/>
      <c r="T1642" s="152"/>
      <c r="U1642" s="157"/>
      <c r="V1642" s="1"/>
      <c r="W1642" s="147"/>
      <c r="X1642" s="157"/>
      <c r="Y1642" s="1"/>
      <c r="Z1642" s="147"/>
      <c r="AA1642" s="157"/>
      <c r="AB1642" s="1"/>
      <c r="AC1642" s="147"/>
      <c r="AD1642" s="157"/>
      <c r="AE1642" s="1"/>
      <c r="AF1642" s="147"/>
      <c r="AG1642" s="157"/>
      <c r="AH1642" s="1"/>
      <c r="AI1642" s="147"/>
      <c r="AJ1642" s="157"/>
      <c r="AK1642" s="1"/>
      <c r="AL1642" s="147"/>
      <c r="AM1642" s="157"/>
      <c r="AN1642" s="1"/>
      <c r="AO1642" s="147"/>
      <c r="AP1642" s="157"/>
      <c r="AQ1642" s="1"/>
      <c r="AR1642" s="147"/>
      <c r="AS1642" s="157"/>
      <c r="AT1642" s="1"/>
      <c r="AU1642" s="147"/>
    </row>
    <row r="1643" spans="13:47" ht="14" x14ac:dyDescent="0.3">
      <c r="M1643" s="23"/>
      <c r="N1643" s="23"/>
      <c r="O1643" s="23" t="s">
        <v>238</v>
      </c>
      <c r="P1643" s="20"/>
      <c r="Q1643" s="20"/>
      <c r="R1643" s="18">
        <f>R1629*1.02</f>
        <v>111.64139108691853</v>
      </c>
      <c r="S1643" s="128" t="s">
        <v>185</v>
      </c>
      <c r="T1643" s="153" t="s">
        <v>186</v>
      </c>
      <c r="U1643" s="143">
        <f>U1629*1.01</f>
        <v>1458.7994508576951</v>
      </c>
      <c r="V1643" s="128" t="s">
        <v>185</v>
      </c>
      <c r="W1643" s="153" t="s">
        <v>186</v>
      </c>
      <c r="X1643" s="143">
        <f>X1629*1.01</f>
        <v>3607.784641140709</v>
      </c>
      <c r="Y1643" s="128" t="s">
        <v>185</v>
      </c>
      <c r="Z1643" s="153" t="s">
        <v>186</v>
      </c>
      <c r="AA1643" s="143">
        <f>AA1629*1.01</f>
        <v>7027.0436104601131</v>
      </c>
      <c r="AB1643" s="128" t="s">
        <v>185</v>
      </c>
      <c r="AC1643" s="153" t="s">
        <v>186</v>
      </c>
      <c r="AD1643" s="143">
        <f>AD1629*1.01</f>
        <v>11556.899535247429</v>
      </c>
      <c r="AE1643" s="128" t="s">
        <v>185</v>
      </c>
      <c r="AF1643" s="153" t="s">
        <v>186</v>
      </c>
      <c r="AG1643" s="143">
        <f>AG1629*1.01</f>
        <v>16209.441319611869</v>
      </c>
      <c r="AH1643" s="128" t="s">
        <v>185</v>
      </c>
      <c r="AI1643" s="153" t="s">
        <v>186</v>
      </c>
      <c r="AJ1643" s="143">
        <f>AJ1629*1.01</f>
        <v>20581.689276856068</v>
      </c>
      <c r="AK1643" s="128" t="s">
        <v>185</v>
      </c>
      <c r="AL1643" s="153" t="s">
        <v>186</v>
      </c>
      <c r="AM1643" s="143">
        <f>AM1629*1.01</f>
        <v>24133.649322496516</v>
      </c>
      <c r="AN1643" s="128" t="s">
        <v>185</v>
      </c>
      <c r="AO1643" s="153" t="s">
        <v>186</v>
      </c>
      <c r="AP1643" s="143">
        <f>AP1629*1.01</f>
        <v>26925.148638630228</v>
      </c>
      <c r="AQ1643" s="128" t="s">
        <v>185</v>
      </c>
      <c r="AR1643" s="153" t="s">
        <v>186</v>
      </c>
      <c r="AS1643" s="143">
        <f>AS1629*1.01</f>
        <v>30039.536065378481</v>
      </c>
      <c r="AT1643" s="128" t="s">
        <v>185</v>
      </c>
      <c r="AU1643" s="153" t="s">
        <v>186</v>
      </c>
    </row>
    <row r="1644" spans="13:47" ht="14" x14ac:dyDescent="0.3">
      <c r="M1644" s="12"/>
      <c r="N1644" s="12"/>
      <c r="O1644" s="20"/>
      <c r="P1644" s="20"/>
      <c r="Q1644" s="23"/>
      <c r="R1644" s="139"/>
      <c r="S1644" s="130" t="s">
        <v>228</v>
      </c>
      <c r="T1644" s="154" t="s">
        <v>187</v>
      </c>
      <c r="U1644" s="144"/>
      <c r="V1644" s="130" t="s">
        <v>228</v>
      </c>
      <c r="W1644" s="154" t="s">
        <v>187</v>
      </c>
      <c r="X1644" s="144"/>
      <c r="Y1644" s="130" t="s">
        <v>228</v>
      </c>
      <c r="Z1644" s="154" t="s">
        <v>187</v>
      </c>
      <c r="AA1644" s="144"/>
      <c r="AB1644" s="130" t="s">
        <v>228</v>
      </c>
      <c r="AC1644" s="154" t="s">
        <v>187</v>
      </c>
      <c r="AD1644" s="144"/>
      <c r="AE1644" s="130" t="s">
        <v>228</v>
      </c>
      <c r="AF1644" s="154" t="s">
        <v>187</v>
      </c>
      <c r="AG1644" s="144"/>
      <c r="AH1644" s="130" t="s">
        <v>228</v>
      </c>
      <c r="AI1644" s="154" t="s">
        <v>187</v>
      </c>
      <c r="AJ1644" s="144"/>
      <c r="AK1644" s="130" t="s">
        <v>228</v>
      </c>
      <c r="AL1644" s="154" t="s">
        <v>187</v>
      </c>
      <c r="AM1644" s="144"/>
      <c r="AN1644" s="130" t="s">
        <v>228</v>
      </c>
      <c r="AO1644" s="154" t="s">
        <v>187</v>
      </c>
      <c r="AP1644" s="144"/>
      <c r="AQ1644" s="130" t="s">
        <v>228</v>
      </c>
      <c r="AR1644" s="154" t="s">
        <v>187</v>
      </c>
      <c r="AS1644" s="144"/>
      <c r="AT1644" s="130" t="s">
        <v>228</v>
      </c>
      <c r="AU1644" s="154" t="s">
        <v>187</v>
      </c>
    </row>
    <row r="1645" spans="13:47" x14ac:dyDescent="0.25">
      <c r="M1645" s="20"/>
      <c r="N1645" s="20"/>
      <c r="O1645" s="7" t="s">
        <v>188</v>
      </c>
      <c r="P1645" s="7"/>
      <c r="Q1645" s="7"/>
      <c r="R1645" s="181">
        <f>P_1_minW-(R1643^2*R_up)+dpup_minQ</f>
        <v>100.51781664886741</v>
      </c>
      <c r="S1645" s="132"/>
      <c r="T1645" s="145"/>
      <c r="U1645" s="138">
        <f>P_1_minW-(U1643^2*R_up)+dpup_minQ</f>
        <v>99.674183332140956</v>
      </c>
      <c r="V1645" s="132"/>
      <c r="W1645" s="145"/>
      <c r="X1645" s="138">
        <f>P_1_minW-(X1643^2*R_up)+dpup_minQ</f>
        <v>95.332458802030203</v>
      </c>
      <c r="Y1645" s="132"/>
      <c r="Z1645" s="145"/>
      <c r="AA1645" s="138">
        <f>P_1_minW-(AA1643^2*R_up)+dpup_minQ</f>
        <v>80.832189673097915</v>
      </c>
      <c r="AB1645" s="132"/>
      <c r="AC1645" s="145"/>
      <c r="AD1645" s="138">
        <f>P_1_minW-(AD1643^2*R_up)+dpup_minQ</f>
        <v>47.263387489456591</v>
      </c>
      <c r="AE1645" s="132"/>
      <c r="AF1645" s="145"/>
      <c r="AG1645" s="138">
        <f>P_1_minW-(AG1643^2*R_up)+dpup_minQ</f>
        <v>-4.2502859347431334</v>
      </c>
      <c r="AH1645" s="132"/>
      <c r="AI1645" s="145"/>
      <c r="AJ1645" s="138">
        <f>P_1_minW-(AJ1643^2*R_up)+dpup_minQ</f>
        <v>-68.395093263136928</v>
      </c>
      <c r="AK1645" s="132"/>
      <c r="AL1645" s="145"/>
      <c r="AM1645" s="138">
        <f>P_1_minW-(AM1643^2*R_up)+dpup_minQ</f>
        <v>-131.72927780632045</v>
      </c>
      <c r="AN1645" s="132"/>
      <c r="AO1645" s="145"/>
      <c r="AP1645" s="138">
        <f>P_1_minW-(AP1643^2*R_up)+dpup_minQ</f>
        <v>-188.56504145989865</v>
      </c>
      <c r="AQ1645" s="132"/>
      <c r="AR1645" s="145"/>
      <c r="AS1645" s="138">
        <f>P_1_minW-(AS1643^2*R_up)+dpup_minQ</f>
        <v>-259.30941788056231</v>
      </c>
      <c r="AT1645" s="132"/>
      <c r="AU1645" s="145"/>
    </row>
    <row r="1646" spans="13:47" x14ac:dyDescent="0.25">
      <c r="M1646" s="20"/>
      <c r="N1646" s="20"/>
      <c r="O1646" s="7" t="s">
        <v>189</v>
      </c>
      <c r="P1646" s="1"/>
      <c r="Q1646" s="7"/>
      <c r="R1646" s="181">
        <f>P_2_minW+(R1643^2*R_dn)-dpdn_minQ</f>
        <v>50</v>
      </c>
      <c r="S1646" s="132"/>
      <c r="T1646" s="146"/>
      <c r="U1646" s="138">
        <f>P_2_minW+(U1643^2*R_dn)-dpdn_minQ</f>
        <v>50</v>
      </c>
      <c r="V1646" s="132"/>
      <c r="W1646" s="146"/>
      <c r="X1646" s="138">
        <f>P_2_minW+(X1643^2*R_dn)-dpdn_minQ</f>
        <v>50</v>
      </c>
      <c r="Y1646" s="132"/>
      <c r="Z1646" s="146"/>
      <c r="AA1646" s="138">
        <f>P_2_minW+(AA1643^2*R_dn)-dpdn_minQ</f>
        <v>50</v>
      </c>
      <c r="AB1646" s="132"/>
      <c r="AC1646" s="146"/>
      <c r="AD1646" s="138">
        <f>P_2_minW+(AD1643^2*R_dn)-dpdn_minQ</f>
        <v>50</v>
      </c>
      <c r="AE1646" s="132"/>
      <c r="AF1646" s="146"/>
      <c r="AG1646" s="138">
        <f>P_2_minW+(AG1643^2*R_dn)-dpdn_minQ</f>
        <v>50</v>
      </c>
      <c r="AH1646" s="132"/>
      <c r="AI1646" s="146"/>
      <c r="AJ1646" s="138">
        <f>P_2_minW+(AJ1643^2*R_dn)-dpdn_minQ</f>
        <v>50</v>
      </c>
      <c r="AK1646" s="132"/>
      <c r="AL1646" s="146"/>
      <c r="AM1646" s="138">
        <f>P_2_minW+(AM1643^2*R_dn)-dpdn_minQ</f>
        <v>50</v>
      </c>
      <c r="AN1646" s="132"/>
      <c r="AO1646" s="146"/>
      <c r="AP1646" s="138">
        <f>P_2_minW+(AP1643^2*R_dn)-dpdn_minQ</f>
        <v>50</v>
      </c>
      <c r="AQ1646" s="132"/>
      <c r="AR1646" s="146"/>
      <c r="AS1646" s="138">
        <f>P_2_minW+(AS1643^2*R_dn)-dpdn_minQ</f>
        <v>50</v>
      </c>
      <c r="AT1646" s="132"/>
      <c r="AU1646" s="146"/>
    </row>
    <row r="1647" spans="13:47" x14ac:dyDescent="0.25">
      <c r="M1647" s="20"/>
      <c r="N1647" s="20"/>
      <c r="O1647" s="7" t="s">
        <v>234</v>
      </c>
      <c r="P1647" s="1"/>
      <c r="Q1647" s="7"/>
      <c r="R1647" s="179">
        <f>'Valve Sizing'!G$8*R1645/P_1_maxW</f>
        <v>0.48488005141992724</v>
      </c>
      <c r="S1647" s="132"/>
      <c r="T1647" s="146"/>
      <c r="U1647" s="143">
        <f>'Valve Sizing'!$G$8*U1645/P_1_maxW</f>
        <v>0.4808105144996932</v>
      </c>
      <c r="V1647" s="132"/>
      <c r="W1647" s="146"/>
      <c r="X1647" s="143">
        <f>'Valve Sizing'!$G$8*X1645/P_1_maxW</f>
        <v>0.45986680836284705</v>
      </c>
      <c r="Y1647" s="132"/>
      <c r="Z1647" s="146"/>
      <c r="AA1647" s="143">
        <f>'Valve Sizing'!$G$8*AA1645/P_1_maxW</f>
        <v>0.38992009169867548</v>
      </c>
      <c r="AB1647" s="132"/>
      <c r="AC1647" s="146"/>
      <c r="AD1647" s="143">
        <f>'Valve Sizing'!$G$8*AD1645/P_1_maxW</f>
        <v>0.22799016652164697</v>
      </c>
      <c r="AE1647" s="132"/>
      <c r="AF1647" s="146"/>
      <c r="AG1647" s="143">
        <f>'Valve Sizing'!$G$8*AG1645/P_1_maxW</f>
        <v>-2.0502622632431255E-2</v>
      </c>
      <c r="AH1647" s="132"/>
      <c r="AI1647" s="146"/>
      <c r="AJ1647" s="143">
        <f>'Valve Sizing'!$G$8*AJ1645/P_1_maxW</f>
        <v>-0.32992575290555937</v>
      </c>
      <c r="AK1647" s="132"/>
      <c r="AL1647" s="146"/>
      <c r="AM1647" s="143">
        <f>'Valve Sizing'!$G$8*AM1645/P_1_maxW</f>
        <v>-0.63543858318532465</v>
      </c>
      <c r="AN1647" s="132"/>
      <c r="AO1647" s="146"/>
      <c r="AP1647" s="143">
        <f>'Valve Sizing'!$G$8*AP1645/P_1_maxW</f>
        <v>-0.90960418806616194</v>
      </c>
      <c r="AQ1647" s="132"/>
      <c r="AR1647" s="146"/>
      <c r="AS1647" s="143">
        <f>'Valve Sizing'!$G$8*AS1645/P_1_maxW</f>
        <v>-1.2508624646595443</v>
      </c>
      <c r="AT1647" s="132"/>
      <c r="AU1647" s="146"/>
    </row>
    <row r="1648" spans="13:47" x14ac:dyDescent="0.25">
      <c r="M1648" s="20"/>
      <c r="N1648" s="20"/>
      <c r="O1648" s="7" t="s">
        <v>190</v>
      </c>
      <c r="P1648" s="1"/>
      <c r="Q1648" s="7"/>
      <c r="R1648" s="181">
        <f>R1645-R1646</f>
        <v>50.517816648867409</v>
      </c>
      <c r="S1648" s="132"/>
      <c r="T1648" s="146"/>
      <c r="U1648" s="138">
        <f>U1645-U1646</f>
        <v>49.674183332140956</v>
      </c>
      <c r="V1648" s="132"/>
      <c r="W1648" s="146"/>
      <c r="X1648" s="138">
        <f>X1645-X1646</f>
        <v>45.332458802030203</v>
      </c>
      <c r="Y1648" s="132"/>
      <c r="Z1648" s="146"/>
      <c r="AA1648" s="138">
        <f>AA1645-AA1646</f>
        <v>30.832189673097915</v>
      </c>
      <c r="AB1648" s="132"/>
      <c r="AC1648" s="146"/>
      <c r="AD1648" s="138">
        <f>AD1645-AD1646</f>
        <v>-2.7366125105434094</v>
      </c>
      <c r="AE1648" s="132"/>
      <c r="AF1648" s="146"/>
      <c r="AG1648" s="138">
        <f>AG1645-AG1646</f>
        <v>-54.250285934743133</v>
      </c>
      <c r="AH1648" s="132"/>
      <c r="AI1648" s="146"/>
      <c r="AJ1648" s="138">
        <f>AJ1645-AJ1646</f>
        <v>-118.39509326313693</v>
      </c>
      <c r="AK1648" s="132"/>
      <c r="AL1648" s="146"/>
      <c r="AM1648" s="138">
        <f>AM1645-AM1646</f>
        <v>-181.72927780632045</v>
      </c>
      <c r="AN1648" s="132"/>
      <c r="AO1648" s="146"/>
      <c r="AP1648" s="138">
        <f>AP1645-AP1646</f>
        <v>-238.56504145989865</v>
      </c>
      <c r="AQ1648" s="132"/>
      <c r="AR1648" s="146"/>
      <c r="AS1648" s="138">
        <f>AS1645-AS1646</f>
        <v>-309.30941788056231</v>
      </c>
      <c r="AT1648" s="132"/>
      <c r="AU1648" s="146"/>
    </row>
    <row r="1649" spans="13:47" ht="14.5" x14ac:dyDescent="0.35">
      <c r="M1649" s="27"/>
      <c r="N1649" s="27"/>
      <c r="O1649" s="2" t="s">
        <v>191</v>
      </c>
      <c r="P1649" s="10"/>
      <c r="Q1649" s="2"/>
      <c r="R1649" s="181">
        <f>R1648/R1645</f>
        <v>0.50257574560476315</v>
      </c>
      <c r="S1649" s="132"/>
      <c r="T1649" s="146"/>
      <c r="U1649" s="138">
        <f>U1648/U1645</f>
        <v>0.4983655914853431</v>
      </c>
      <c r="V1649" s="132"/>
      <c r="W1649" s="146"/>
      <c r="X1649" s="138">
        <f>X1648/X1645</f>
        <v>0.4755196642537956</v>
      </c>
      <c r="Y1649" s="132"/>
      <c r="Z1649" s="146"/>
      <c r="AA1649" s="138">
        <f>AA1648/AA1645</f>
        <v>0.38143454727367482</v>
      </c>
      <c r="AB1649" s="132"/>
      <c r="AC1649" s="146"/>
      <c r="AD1649" s="138">
        <f>AD1648/AD1645</f>
        <v>-5.7901319729862503E-2</v>
      </c>
      <c r="AE1649" s="132"/>
      <c r="AF1649" s="146"/>
      <c r="AG1649" s="138">
        <f>AG1648/AG1645</f>
        <v>12.763914420741614</v>
      </c>
      <c r="AH1649" s="132"/>
      <c r="AI1649" s="146"/>
      <c r="AJ1649" s="138">
        <f>AJ1648/AJ1645</f>
        <v>1.731046594346098</v>
      </c>
      <c r="AK1649" s="132"/>
      <c r="AL1649" s="146"/>
      <c r="AM1649" s="138">
        <f>AM1648/AM1645</f>
        <v>1.3795663411554888</v>
      </c>
      <c r="AN1649" s="132"/>
      <c r="AO1649" s="146"/>
      <c r="AP1649" s="138">
        <f>AP1648/AP1645</f>
        <v>1.2651604964148844</v>
      </c>
      <c r="AQ1649" s="132"/>
      <c r="AR1649" s="146"/>
      <c r="AS1649" s="138">
        <f>AS1648/AS1645</f>
        <v>1.1928198382020585</v>
      </c>
      <c r="AT1649" s="132"/>
      <c r="AU1649" s="146"/>
    </row>
    <row r="1650" spans="13:47" x14ac:dyDescent="0.25">
      <c r="M1650" s="27"/>
      <c r="N1650" s="27"/>
      <c r="O1650" s="2" t="s">
        <v>26</v>
      </c>
      <c r="P1650" s="7">
        <v>12</v>
      </c>
      <c r="Q1650" s="2"/>
      <c r="R1650" s="181">
        <f>1-R1649/(3*F_GAMMA*R$29)</f>
        <v>0.73825279260890952</v>
      </c>
      <c r="S1650" s="133"/>
      <c r="T1650" s="146"/>
      <c r="U1650" s="138">
        <f>1-U1649/(3*F_GAMMA*U$29)</f>
        <v>0.74050263655883719</v>
      </c>
      <c r="V1650" s="133"/>
      <c r="W1650" s="146"/>
      <c r="X1650" s="138">
        <f>1-X1649/(3*F_GAMMA*X$29)</f>
        <v>0.74868402002522427</v>
      </c>
      <c r="Y1650" s="133"/>
      <c r="Z1650" s="146"/>
      <c r="AA1650" s="138">
        <f>1-AA1649/(3*F_GAMMA*AA$29)</f>
        <v>0.79564466721853322</v>
      </c>
      <c r="AB1650" s="133"/>
      <c r="AC1650" s="146"/>
      <c r="AD1650" s="138">
        <f>1-AD1649/(3*F_GAMMA*AD$29)</f>
        <v>1.0318714285014863</v>
      </c>
      <c r="AE1650" s="133"/>
      <c r="AF1650" s="146"/>
      <c r="AG1650" s="138">
        <f>1-AG1649/(3*F_GAMMA*AG$29)</f>
        <v>-6.4265826925190179</v>
      </c>
      <c r="AH1650" s="133"/>
      <c r="AI1650" s="146"/>
      <c r="AJ1650" s="138">
        <f>1-AJ1649/(3*F_GAMMA*AJ$29)</f>
        <v>-7.6705937633053001E-2</v>
      </c>
      <c r="AK1650" s="133"/>
      <c r="AL1650" s="146"/>
      <c r="AM1650" s="138">
        <f>1-AM1649/(3*F_GAMMA*AM$29)</f>
        <v>6.2453520309967092E-2</v>
      </c>
      <c r="AN1650" s="133"/>
      <c r="AO1650" s="146"/>
      <c r="AP1650" s="138">
        <f>1-AP1649/(3*F_GAMMA*AP$29)</f>
        <v>0.28947093732910478</v>
      </c>
      <c r="AQ1650" s="133"/>
      <c r="AR1650" s="146"/>
      <c r="AS1650" s="138">
        <f>1-AS1649/(3*F_GAMMA*AS$29)</f>
        <v>-1.6968983795561554E-2</v>
      </c>
      <c r="AT1650" s="133"/>
      <c r="AU1650" s="146"/>
    </row>
    <row r="1651" spans="13:47" x14ac:dyDescent="0.25">
      <c r="M1651" s="27"/>
      <c r="N1651" s="27"/>
      <c r="O1651" s="2" t="s">
        <v>71</v>
      </c>
      <c r="P1651" s="85">
        <v>5</v>
      </c>
      <c r="Q1651" s="2"/>
      <c r="R1651" s="179">
        <f>R1643/((N_6*R$27*R1650)*SQRT(R1649*R1645*R1647))</f>
        <v>0.48275685101094756</v>
      </c>
      <c r="S1651" s="133"/>
      <c r="T1651" s="146"/>
      <c r="U1651" s="143">
        <f>U1643/((N_6*U$27*U1650)*SQRT(U1649*U1645*U1647))</f>
        <v>6.3728595704280213</v>
      </c>
      <c r="V1651" s="133"/>
      <c r="W1651" s="146"/>
      <c r="X1651" s="143">
        <f>X1643/((N_6*X$27*X1650)*SQRT(X1649*X1645*X1647))</f>
        <v>16.722473173121244</v>
      </c>
      <c r="Y1651" s="133"/>
      <c r="Z1651" s="146"/>
      <c r="AA1651" s="143">
        <f>AA1643/((N_6*AA$27*AA1650)*SQRT(AA1649*AA1645*AA1647))</f>
        <v>40.59132420012029</v>
      </c>
      <c r="AB1651" s="133"/>
      <c r="AC1651" s="146"/>
      <c r="AD1651" s="143" t="e">
        <f>AD1643/((N_6*AD$27*AD1650)*SQRT(AD1649*AD1645*AD1647))</f>
        <v>#NUM!</v>
      </c>
      <c r="AE1651" s="133"/>
      <c r="AF1651" s="146"/>
      <c r="AG1651" s="143">
        <f>AG1643/((N_6*AG$27*AG1650)*SQRT(AG1649*AG1645*AG1647))</f>
        <v>-39.397380061277715</v>
      </c>
      <c r="AH1651" s="133"/>
      <c r="AI1651" s="146"/>
      <c r="AJ1651" s="143">
        <f>AJ1643/((N_6*AJ$27*AJ1650)*SQRT(AJ1649*AJ1645*AJ1647))</f>
        <v>-731.51253145312603</v>
      </c>
      <c r="AK1651" s="133"/>
      <c r="AL1651" s="146"/>
      <c r="AM1651" s="143">
        <f>AM1643/((N_6*AM$27*AM1650)*SQRT(AM1649*AM1645*AM1647))</f>
        <v>650.34794713442773</v>
      </c>
      <c r="AN1651" s="133"/>
      <c r="AO1651" s="146"/>
      <c r="AP1651" s="143">
        <f>AP1643/((N_6*AP$27*AP1650)*SQRT(AP1649*AP1645*AP1647))</f>
        <v>129.71989166063443</v>
      </c>
      <c r="AQ1651" s="133"/>
      <c r="AR1651" s="146"/>
      <c r="AS1651" s="143">
        <f>AS1643/((N_6*AS$27*AS1650)*SQRT(AS1649*AS1645*AS1647))</f>
        <v>-2429.4418892656186</v>
      </c>
      <c r="AT1651" s="133"/>
      <c r="AU1651" s="146"/>
    </row>
    <row r="1652" spans="13:47" x14ac:dyDescent="0.25">
      <c r="M1652" s="27"/>
      <c r="N1652" s="27"/>
      <c r="O1652" s="2" t="s">
        <v>73</v>
      </c>
      <c r="P1652" s="85">
        <v>5</v>
      </c>
      <c r="Q1652" s="2"/>
      <c r="R1652" s="179">
        <f>R1643/((N_6*R$27*0.667)*SQRT(R1653*R1645*R1647))</f>
        <v>0.47348842441651534</v>
      </c>
      <c r="S1652" s="133"/>
      <c r="T1652" s="155"/>
      <c r="U1652" s="143">
        <f>U1643/((N_6*U$27*0.667)*SQRT(U1653*U1645*U1647))</f>
        <v>6.2425528253776461</v>
      </c>
      <c r="V1652" s="133"/>
      <c r="W1652" s="155"/>
      <c r="X1652" s="143">
        <f>X1643/((N_6*X$27*0.667)*SQRT(X1653*X1645*X1647))</f>
        <v>16.298360402662908</v>
      </c>
      <c r="Y1652" s="133"/>
      <c r="Z1652" s="155"/>
      <c r="AA1652" s="143">
        <f>AA1643/((N_6*AA$27*0.667)*SQRT(AA1653*AA1645*AA1647))</f>
        <v>37.912302144160094</v>
      </c>
      <c r="AB1652" s="133"/>
      <c r="AC1652" s="155"/>
      <c r="AD1652" s="143">
        <f>AD1643/((N_6*AD$27*0.667)*SQRT(AD1653*AD1645*AD1647))</f>
        <v>109.37714490484755</v>
      </c>
      <c r="AE1652" s="133"/>
      <c r="AF1652" s="155"/>
      <c r="AG1652" s="143">
        <f>AG1643/((N_6*AG$27*0.667)*SQRT(AG1653*AG1645*AG1647))</f>
        <v>1791.7472482912219</v>
      </c>
      <c r="AH1652" s="133"/>
      <c r="AI1652" s="155"/>
      <c r="AJ1652" s="143">
        <f>AJ1643/((N_6*AJ$27*0.667)*SQRT(AJ1653*AJ1645*AJ1647))</f>
        <v>151.19384122136924</v>
      </c>
      <c r="AK1652" s="133"/>
      <c r="AL1652" s="155"/>
      <c r="AM1652" s="143">
        <f>AM1643/((N_6*AM$27*0.667)*SQRT(AM1653*AM1645*AM1647))</f>
        <v>102.12542904958599</v>
      </c>
      <c r="AN1652" s="133"/>
      <c r="AO1652" s="155"/>
      <c r="AP1652" s="143">
        <f>AP1643/((N_6*AP$27*0.667)*SQRT(AP1653*AP1645*AP1647))</f>
        <v>82.193459731534944</v>
      </c>
      <c r="AQ1652" s="133"/>
      <c r="AR1652" s="155"/>
      <c r="AS1652" s="143">
        <f>AS1643/((N_6*AS$27*0.667)*SQRT(AS1653*AS1645*AS1647))</f>
        <v>107.95704728044005</v>
      </c>
      <c r="AT1652" s="133"/>
      <c r="AU1652" s="155"/>
    </row>
    <row r="1653" spans="13:47" ht="15.5" x14ac:dyDescent="0.4">
      <c r="M1653" s="27"/>
      <c r="N1653" s="27"/>
      <c r="O1653" s="2" t="s">
        <v>192</v>
      </c>
      <c r="P1653" s="85">
        <v>10</v>
      </c>
      <c r="Q1653" s="2"/>
      <c r="R1653" s="181">
        <f>F_GAMMA*R$29</f>
        <v>0.64002688015162901</v>
      </c>
      <c r="S1653" s="133"/>
      <c r="T1653" s="155"/>
      <c r="U1653" s="138">
        <f>F_GAMMA*U$29</f>
        <v>0.64016782916606918</v>
      </c>
      <c r="V1653" s="133"/>
      <c r="W1653" s="155"/>
      <c r="X1653" s="138">
        <f>F_GAMMA*X$29</f>
        <v>0.6307062319203669</v>
      </c>
      <c r="Y1653" s="133"/>
      <c r="Z1653" s="155"/>
      <c r="AA1653" s="138">
        <f>F_GAMMA*AA$29</f>
        <v>0.62217534213893466</v>
      </c>
      <c r="AB1653" s="133"/>
      <c r="AC1653" s="155"/>
      <c r="AD1653" s="138">
        <f>F_GAMMA*AD$29</f>
        <v>0.60557184969146072</v>
      </c>
      <c r="AE1653" s="133"/>
      <c r="AF1653" s="155"/>
      <c r="AG1653" s="138">
        <f>F_GAMMA*AG$29</f>
        <v>0.57289312142622573</v>
      </c>
      <c r="AH1653" s="133"/>
      <c r="AI1653" s="155"/>
      <c r="AJ1653" s="138">
        <f>F_GAMMA*AJ$29</f>
        <v>0.53590819116049981</v>
      </c>
      <c r="AK1653" s="133"/>
      <c r="AL1653" s="155"/>
      <c r="AM1653" s="138">
        <f>F_GAMMA*AM$29</f>
        <v>0.49048815926850342</v>
      </c>
      <c r="AN1653" s="133"/>
      <c r="AO1653" s="155"/>
      <c r="AP1653" s="138">
        <f>F_GAMMA*AP$29</f>
        <v>0.59352979016280105</v>
      </c>
      <c r="AQ1653" s="133"/>
      <c r="AR1653" s="155"/>
      <c r="AS1653" s="138">
        <f>F_GAMMA*AS$29</f>
        <v>0.39097221161068291</v>
      </c>
      <c r="AT1653" s="133"/>
      <c r="AU1653" s="155"/>
    </row>
    <row r="1654" spans="13:47" x14ac:dyDescent="0.25">
      <c r="M1654" s="27"/>
      <c r="N1654" s="27"/>
      <c r="O1654" s="2" t="s">
        <v>193</v>
      </c>
      <c r="P1654" s="134"/>
      <c r="Q1654" s="2"/>
      <c r="R1654" s="181">
        <f>IF(R1649&lt;R1653,R1651,R1652)</f>
        <v>0.48275685101094756</v>
      </c>
      <c r="S1654" s="133"/>
      <c r="T1654" s="155"/>
      <c r="U1654" s="138">
        <f>IF(U1649&lt;U1653,U1651,U1652)</f>
        <v>6.3728595704280213</v>
      </c>
      <c r="V1654" s="133"/>
      <c r="W1654" s="155"/>
      <c r="X1654" s="138">
        <f>IF(X1649&lt;X1653,X1651,X1652)</f>
        <v>16.722473173121244</v>
      </c>
      <c r="Y1654" s="133"/>
      <c r="Z1654" s="155"/>
      <c r="AA1654" s="138">
        <f>IF(AA1649&lt;AA1653,AA1651,AA1652)</f>
        <v>40.59132420012029</v>
      </c>
      <c r="AB1654" s="133"/>
      <c r="AC1654" s="155"/>
      <c r="AD1654" s="138" t="e">
        <f>IF(AD1649&lt;AD1653,AD1651,AD1652)</f>
        <v>#NUM!</v>
      </c>
      <c r="AE1654" s="133"/>
      <c r="AF1654" s="155"/>
      <c r="AG1654" s="138">
        <f>IF(AG1649&lt;AG1653,AG1651,AG1652)</f>
        <v>1791.7472482912219</v>
      </c>
      <c r="AH1654" s="133"/>
      <c r="AI1654" s="155"/>
      <c r="AJ1654" s="138">
        <f>IF(AJ1649&lt;AJ1653,AJ1651,AJ1652)</f>
        <v>151.19384122136924</v>
      </c>
      <c r="AK1654" s="133"/>
      <c r="AL1654" s="155"/>
      <c r="AM1654" s="138">
        <f>IF(AM1649&lt;AM1653,AM1651,AM1652)</f>
        <v>102.12542904958599</v>
      </c>
      <c r="AN1654" s="133"/>
      <c r="AO1654" s="155"/>
      <c r="AP1654" s="138">
        <f>IF(AP1649&lt;AP1653,AP1651,AP1652)</f>
        <v>82.193459731534944</v>
      </c>
      <c r="AQ1654" s="133"/>
      <c r="AR1654" s="155"/>
      <c r="AS1654" s="138">
        <f>IF(AS1649&lt;AS1653,AS1651,AS1652)</f>
        <v>107.95704728044005</v>
      </c>
      <c r="AT1654" s="133"/>
      <c r="AU1654" s="155"/>
    </row>
    <row r="1655" spans="13:47" ht="13" x14ac:dyDescent="0.3">
      <c r="M1655" s="28"/>
      <c r="N1655" s="28"/>
      <c r="O1655" s="9" t="s">
        <v>194</v>
      </c>
      <c r="P1655" s="1"/>
      <c r="Q1655" s="1"/>
      <c r="R1655" s="135"/>
      <c r="S1655" s="132">
        <f>IF(R1648&lt;=0,W_max,ABS(R$23-R1654))</f>
        <v>1.5172431489890523</v>
      </c>
      <c r="T1655" s="151">
        <f>R1643</f>
        <v>111.64139108691853</v>
      </c>
      <c r="U1655" s="135"/>
      <c r="V1655" s="132">
        <f>IF(U1648&lt;=0,W_max,ABS(U$23-U1654))</f>
        <v>1.3728595704280213</v>
      </c>
      <c r="W1655" s="151">
        <f>U1643</f>
        <v>1458.7994508576951</v>
      </c>
      <c r="X1655" s="135"/>
      <c r="Y1655" s="132">
        <f>IF(X1648&lt;=0,W_max,ABS(X$23-X1654))</f>
        <v>6.7224731731212444</v>
      </c>
      <c r="Z1655" s="151">
        <f>X1643</f>
        <v>3607.784641140709</v>
      </c>
      <c r="AA1655" s="135"/>
      <c r="AB1655" s="132">
        <f>IF(AA1648&lt;=0,W_max,ABS(AA$23-AA1654))</f>
        <v>23.391324200120291</v>
      </c>
      <c r="AC1655" s="151">
        <f>AA1643</f>
        <v>7027.0436104601131</v>
      </c>
      <c r="AD1655" s="135"/>
      <c r="AE1655" s="132">
        <f>IF(AD1648&lt;=0,W_max,ABS(AD$23-AD1654))</f>
        <v>7174</v>
      </c>
      <c r="AF1655" s="151">
        <f>AD1643</f>
        <v>11556.899535247429</v>
      </c>
      <c r="AG1655" s="135"/>
      <c r="AH1655" s="132">
        <f>IF(AG1648&lt;=0,W_max,ABS(AG$23-AG1654))</f>
        <v>7174</v>
      </c>
      <c r="AI1655" s="151">
        <f>AG1643</f>
        <v>16209.441319611869</v>
      </c>
      <c r="AJ1655" s="135"/>
      <c r="AK1655" s="132">
        <f>IF(AJ1648&lt;=0,W_max,ABS(AJ$23-AJ1654))</f>
        <v>7174</v>
      </c>
      <c r="AL1655" s="151">
        <f>AJ1643</f>
        <v>20581.689276856068</v>
      </c>
      <c r="AM1655" s="135"/>
      <c r="AN1655" s="132">
        <f>IF(AM1648&lt;=0,W_max,ABS(AM$23-AM1654))</f>
        <v>7174</v>
      </c>
      <c r="AO1655" s="151">
        <f>AM1643</f>
        <v>24133.649322496516</v>
      </c>
      <c r="AP1655" s="135"/>
      <c r="AQ1655" s="132">
        <f>IF(AP1648&lt;=0,W_max,ABS(AP$23-AP1654))</f>
        <v>7174</v>
      </c>
      <c r="AR1655" s="151">
        <f>AP1643</f>
        <v>26925.148638630228</v>
      </c>
      <c r="AS1655" s="135"/>
      <c r="AT1655" s="132">
        <f>IF(AS1648&lt;=0,W_max,ABS(AS$23-AS1654))</f>
        <v>7174</v>
      </c>
      <c r="AU1655" s="151">
        <f>AS1643</f>
        <v>30039.536065378481</v>
      </c>
    </row>
    <row r="1656" spans="13:47" ht="13" x14ac:dyDescent="0.25">
      <c r="M1656" s="12"/>
      <c r="N1656" s="12"/>
      <c r="O1656" s="2"/>
      <c r="P1656" s="85"/>
      <c r="Q1656" s="2"/>
      <c r="R1656" s="18"/>
      <c r="S1656" s="150"/>
      <c r="T1656" s="152"/>
      <c r="U1656" s="157"/>
      <c r="V1656" s="1"/>
      <c r="W1656" s="147"/>
      <c r="X1656" s="157"/>
      <c r="Y1656" s="1"/>
      <c r="Z1656" s="147"/>
      <c r="AA1656" s="157"/>
      <c r="AB1656" s="1"/>
      <c r="AC1656" s="147"/>
      <c r="AD1656" s="157"/>
      <c r="AE1656" s="1"/>
      <c r="AF1656" s="147"/>
      <c r="AG1656" s="157"/>
      <c r="AH1656" s="1"/>
      <c r="AI1656" s="147"/>
      <c r="AJ1656" s="157"/>
      <c r="AK1656" s="1"/>
      <c r="AL1656" s="147"/>
      <c r="AM1656" s="157"/>
      <c r="AN1656" s="1"/>
      <c r="AO1656" s="147"/>
      <c r="AP1656" s="157"/>
      <c r="AQ1656" s="1"/>
      <c r="AR1656" s="147"/>
      <c r="AS1656" s="157"/>
      <c r="AT1656" s="1"/>
      <c r="AU1656" s="147"/>
    </row>
    <row r="1657" spans="13:47" ht="14" x14ac:dyDescent="0.3">
      <c r="M1657" s="23"/>
      <c r="N1657" s="23"/>
      <c r="O1657" s="23" t="s">
        <v>238</v>
      </c>
      <c r="P1657" s="20"/>
      <c r="Q1657" s="20"/>
      <c r="R1657" s="181">
        <f>R1643*1.02</f>
        <v>113.8742189086569</v>
      </c>
      <c r="S1657" s="128" t="s">
        <v>185</v>
      </c>
      <c r="T1657" s="153" t="s">
        <v>186</v>
      </c>
      <c r="U1657" s="143">
        <f>U1643*1.01</f>
        <v>1473.387445366272</v>
      </c>
      <c r="V1657" s="128" t="s">
        <v>185</v>
      </c>
      <c r="W1657" s="153" t="s">
        <v>186</v>
      </c>
      <c r="X1657" s="143">
        <f>X1643*1.01</f>
        <v>3643.8624875521164</v>
      </c>
      <c r="Y1657" s="128" t="s">
        <v>185</v>
      </c>
      <c r="Z1657" s="153" t="s">
        <v>186</v>
      </c>
      <c r="AA1657" s="143">
        <f>AA1643*1.01</f>
        <v>7097.3140465647139</v>
      </c>
      <c r="AB1657" s="128" t="s">
        <v>185</v>
      </c>
      <c r="AC1657" s="153" t="s">
        <v>186</v>
      </c>
      <c r="AD1657" s="143">
        <f>AD1643*1.01</f>
        <v>11672.468530599903</v>
      </c>
      <c r="AE1657" s="128" t="s">
        <v>185</v>
      </c>
      <c r="AF1657" s="153" t="s">
        <v>186</v>
      </c>
      <c r="AG1657" s="143">
        <f>AG1643*1.01</f>
        <v>16371.535732807988</v>
      </c>
      <c r="AH1657" s="128" t="s">
        <v>185</v>
      </c>
      <c r="AI1657" s="153" t="s">
        <v>186</v>
      </c>
      <c r="AJ1657" s="143">
        <f>AJ1643*1.01</f>
        <v>20787.50616962463</v>
      </c>
      <c r="AK1657" s="128" t="s">
        <v>185</v>
      </c>
      <c r="AL1657" s="153" t="s">
        <v>186</v>
      </c>
      <c r="AM1657" s="143">
        <f>AM1643*1.01</f>
        <v>24374.98581572148</v>
      </c>
      <c r="AN1657" s="128" t="s">
        <v>185</v>
      </c>
      <c r="AO1657" s="153" t="s">
        <v>186</v>
      </c>
      <c r="AP1657" s="143">
        <f>AP1643*1.01</f>
        <v>27194.400125016531</v>
      </c>
      <c r="AQ1657" s="128" t="s">
        <v>185</v>
      </c>
      <c r="AR1657" s="153" t="s">
        <v>186</v>
      </c>
      <c r="AS1657" s="143">
        <f>AS1643*1.01</f>
        <v>30339.931426032264</v>
      </c>
      <c r="AT1657" s="128" t="s">
        <v>185</v>
      </c>
      <c r="AU1657" s="153" t="s">
        <v>186</v>
      </c>
    </row>
    <row r="1658" spans="13:47" ht="14" x14ac:dyDescent="0.3">
      <c r="M1658" s="12"/>
      <c r="N1658" s="12"/>
      <c r="O1658" s="20"/>
      <c r="P1658" s="20"/>
      <c r="Q1658" s="23"/>
      <c r="R1658" s="139"/>
      <c r="S1658" s="130" t="s">
        <v>228</v>
      </c>
      <c r="T1658" s="154" t="s">
        <v>187</v>
      </c>
      <c r="U1658" s="144"/>
      <c r="V1658" s="130" t="s">
        <v>228</v>
      </c>
      <c r="W1658" s="154" t="s">
        <v>187</v>
      </c>
      <c r="X1658" s="144"/>
      <c r="Y1658" s="130" t="s">
        <v>228</v>
      </c>
      <c r="Z1658" s="154" t="s">
        <v>187</v>
      </c>
      <c r="AA1658" s="144"/>
      <c r="AB1658" s="130" t="s">
        <v>228</v>
      </c>
      <c r="AC1658" s="154" t="s">
        <v>187</v>
      </c>
      <c r="AD1658" s="144"/>
      <c r="AE1658" s="130" t="s">
        <v>228</v>
      </c>
      <c r="AF1658" s="154" t="s">
        <v>187</v>
      </c>
      <c r="AG1658" s="144"/>
      <c r="AH1658" s="130" t="s">
        <v>228</v>
      </c>
      <c r="AI1658" s="154" t="s">
        <v>187</v>
      </c>
      <c r="AJ1658" s="144"/>
      <c r="AK1658" s="130" t="s">
        <v>228</v>
      </c>
      <c r="AL1658" s="154" t="s">
        <v>187</v>
      </c>
      <c r="AM1658" s="144"/>
      <c r="AN1658" s="130" t="s">
        <v>228</v>
      </c>
      <c r="AO1658" s="154" t="s">
        <v>187</v>
      </c>
      <c r="AP1658" s="144"/>
      <c r="AQ1658" s="130" t="s">
        <v>228</v>
      </c>
      <c r="AR1658" s="154" t="s">
        <v>187</v>
      </c>
      <c r="AS1658" s="144"/>
      <c r="AT1658" s="130" t="s">
        <v>228</v>
      </c>
      <c r="AU1658" s="154" t="s">
        <v>187</v>
      </c>
    </row>
    <row r="1659" spans="13:47" x14ac:dyDescent="0.25">
      <c r="M1659" s="20"/>
      <c r="N1659" s="20"/>
      <c r="O1659" s="7" t="s">
        <v>188</v>
      </c>
      <c r="P1659" s="7"/>
      <c r="Q1659" s="7"/>
      <c r="R1659" s="181">
        <f>P_1_minW-(R1657^2*R_up)+dpup_minQ</f>
        <v>100.51761585731789</v>
      </c>
      <c r="S1659" s="132"/>
      <c r="T1659" s="145"/>
      <c r="U1659" s="138">
        <f>P_1_minW-(U1657^2*R_up)+dpup_minQ</f>
        <v>99.657126403708773</v>
      </c>
      <c r="V1659" s="132"/>
      <c r="W1659" s="145"/>
      <c r="X1659" s="138">
        <f>P_1_minW-(X1657^2*R_up)+dpup_minQ</f>
        <v>95.228133210542808</v>
      </c>
      <c r="Y1659" s="132"/>
      <c r="Z1659" s="145"/>
      <c r="AA1659" s="138">
        <f>P_1_minW-(AA1657^2*R_up)+dpup_minQ</f>
        <v>80.436408672118986</v>
      </c>
      <c r="AB1659" s="132"/>
      <c r="AC1659" s="145"/>
      <c r="AD1659" s="138">
        <f>P_1_minW-(AD1657^2*R_up)+dpup_minQ</f>
        <v>46.192873564586471</v>
      </c>
      <c r="AE1659" s="132"/>
      <c r="AF1659" s="145"/>
      <c r="AG1659" s="138">
        <f>P_1_minW-(AG1657^2*R_up)+dpup_minQ</f>
        <v>-6.3562246954396935</v>
      </c>
      <c r="AH1659" s="132"/>
      <c r="AI1659" s="145"/>
      <c r="AJ1659" s="138">
        <f>P_1_minW-(AJ1657^2*R_up)+dpup_minQ</f>
        <v>-71.790342651134196</v>
      </c>
      <c r="AK1659" s="132"/>
      <c r="AL1659" s="145"/>
      <c r="AM1659" s="138">
        <f>P_1_minW-(AM1657^2*R_up)+dpup_minQ</f>
        <v>-136.3975443036357</v>
      </c>
      <c r="AN1659" s="132"/>
      <c r="AO1659" s="145"/>
      <c r="AP1659" s="138">
        <f>P_1_minW-(AP1657^2*R_up)+dpup_minQ</f>
        <v>-194.37570680665092</v>
      </c>
      <c r="AQ1659" s="132"/>
      <c r="AR1659" s="145"/>
      <c r="AS1659" s="138">
        <f>P_1_minW-(AS1657^2*R_up)+dpup_minQ</f>
        <v>-266.54204519336974</v>
      </c>
      <c r="AT1659" s="132"/>
      <c r="AU1659" s="145"/>
    </row>
    <row r="1660" spans="13:47" x14ac:dyDescent="0.25">
      <c r="M1660" s="20"/>
      <c r="N1660" s="20"/>
      <c r="O1660" s="7" t="s">
        <v>189</v>
      </c>
      <c r="P1660" s="1"/>
      <c r="Q1660" s="7"/>
      <c r="R1660" s="181">
        <f>P_2_minW+(R1657^2*R_dn)-dpdn_minQ</f>
        <v>50</v>
      </c>
      <c r="S1660" s="132"/>
      <c r="T1660" s="146"/>
      <c r="U1660" s="138">
        <f>P_2_minW+(U1657^2*R_dn)-dpdn_minQ</f>
        <v>50</v>
      </c>
      <c r="V1660" s="132"/>
      <c r="W1660" s="146"/>
      <c r="X1660" s="138">
        <f>P_2_minW+(X1657^2*R_dn)-dpdn_minQ</f>
        <v>50</v>
      </c>
      <c r="Y1660" s="132"/>
      <c r="Z1660" s="146"/>
      <c r="AA1660" s="138">
        <f>P_2_minW+(AA1657^2*R_dn)-dpdn_minQ</f>
        <v>50</v>
      </c>
      <c r="AB1660" s="132"/>
      <c r="AC1660" s="146"/>
      <c r="AD1660" s="138">
        <f>P_2_minW+(AD1657^2*R_dn)-dpdn_minQ</f>
        <v>50</v>
      </c>
      <c r="AE1660" s="132"/>
      <c r="AF1660" s="146"/>
      <c r="AG1660" s="138">
        <f>P_2_minW+(AG1657^2*R_dn)-dpdn_minQ</f>
        <v>50</v>
      </c>
      <c r="AH1660" s="132"/>
      <c r="AI1660" s="146"/>
      <c r="AJ1660" s="138">
        <f>P_2_minW+(AJ1657^2*R_dn)-dpdn_minQ</f>
        <v>50</v>
      </c>
      <c r="AK1660" s="132"/>
      <c r="AL1660" s="146"/>
      <c r="AM1660" s="138">
        <f>P_2_minW+(AM1657^2*R_dn)-dpdn_minQ</f>
        <v>50</v>
      </c>
      <c r="AN1660" s="132"/>
      <c r="AO1660" s="146"/>
      <c r="AP1660" s="138">
        <f>P_2_minW+(AP1657^2*R_dn)-dpdn_minQ</f>
        <v>50</v>
      </c>
      <c r="AQ1660" s="132"/>
      <c r="AR1660" s="146"/>
      <c r="AS1660" s="138">
        <f>P_2_minW+(AS1657^2*R_dn)-dpdn_minQ</f>
        <v>50</v>
      </c>
      <c r="AT1660" s="132"/>
      <c r="AU1660" s="146"/>
    </row>
    <row r="1661" spans="13:47" x14ac:dyDescent="0.25">
      <c r="M1661" s="20"/>
      <c r="N1661" s="20"/>
      <c r="O1661" s="7" t="s">
        <v>234</v>
      </c>
      <c r="P1661" s="1"/>
      <c r="Q1661" s="7"/>
      <c r="R1661" s="179">
        <f>'Valve Sizing'!G$8*R1659/P_1_maxW</f>
        <v>0.48487908283724107</v>
      </c>
      <c r="S1661" s="132"/>
      <c r="T1661" s="146"/>
      <c r="U1661" s="143">
        <f>'Valve Sizing'!$G$8*U1659/P_1_maxW</f>
        <v>0.48072823491373529</v>
      </c>
      <c r="V1661" s="132"/>
      <c r="W1661" s="146"/>
      <c r="X1661" s="143">
        <f>'Valve Sizing'!$G$8*X1659/P_1_maxW</f>
        <v>0.45936356028353859</v>
      </c>
      <c r="Y1661" s="132"/>
      <c r="Z1661" s="146"/>
      <c r="AA1661" s="143">
        <f>'Valve Sizing'!$G$8*AA1659/P_1_maxW</f>
        <v>0.38801091461441717</v>
      </c>
      <c r="AB1661" s="132"/>
      <c r="AC1661" s="146"/>
      <c r="AD1661" s="143">
        <f>'Valve Sizing'!$G$8*AD1659/P_1_maxW</f>
        <v>0.22282619794133041</v>
      </c>
      <c r="AE1661" s="132"/>
      <c r="AF1661" s="146"/>
      <c r="AG1661" s="143">
        <f>'Valve Sizing'!$G$8*AG1659/P_1_maxW</f>
        <v>-3.0661296274744908E-2</v>
      </c>
      <c r="AH1661" s="132"/>
      <c r="AI1661" s="146"/>
      <c r="AJ1661" s="143">
        <f>'Valve Sizing'!$G$8*AJ1659/P_1_maxW</f>
        <v>-0.3463038314663629</v>
      </c>
      <c r="AK1661" s="132"/>
      <c r="AL1661" s="146"/>
      <c r="AM1661" s="143">
        <f>'Valve Sizing'!$G$8*AM1659/P_1_maxW</f>
        <v>-0.65795746963475144</v>
      </c>
      <c r="AN1661" s="132"/>
      <c r="AO1661" s="146"/>
      <c r="AP1661" s="143">
        <f>'Valve Sizing'!$G$8*AP1659/P_1_maxW</f>
        <v>-0.93763380317369405</v>
      </c>
      <c r="AQ1661" s="132"/>
      <c r="AR1661" s="146"/>
      <c r="AS1661" s="143">
        <f>'Valve Sizing'!$G$8*AS1659/P_1_maxW</f>
        <v>-1.2857513711266024</v>
      </c>
      <c r="AT1661" s="132"/>
      <c r="AU1661" s="146"/>
    </row>
    <row r="1662" spans="13:47" x14ac:dyDescent="0.25">
      <c r="M1662" s="20"/>
      <c r="N1662" s="20"/>
      <c r="O1662" s="7" t="s">
        <v>190</v>
      </c>
      <c r="P1662" s="1"/>
      <c r="Q1662" s="7"/>
      <c r="R1662" s="181">
        <f>R1659-R1660</f>
        <v>50.517615857317892</v>
      </c>
      <c r="S1662" s="132"/>
      <c r="T1662" s="146"/>
      <c r="U1662" s="138">
        <f>U1659-U1660</f>
        <v>49.657126403708773</v>
      </c>
      <c r="V1662" s="132"/>
      <c r="W1662" s="146"/>
      <c r="X1662" s="138">
        <f>X1659-X1660</f>
        <v>45.228133210542808</v>
      </c>
      <c r="Y1662" s="132"/>
      <c r="Z1662" s="146"/>
      <c r="AA1662" s="138">
        <f>AA1659-AA1660</f>
        <v>30.436408672118986</v>
      </c>
      <c r="AB1662" s="132"/>
      <c r="AC1662" s="146"/>
      <c r="AD1662" s="138">
        <f>AD1659-AD1660</f>
        <v>-3.8071264354135295</v>
      </c>
      <c r="AE1662" s="132"/>
      <c r="AF1662" s="146"/>
      <c r="AG1662" s="138">
        <f>AG1659-AG1660</f>
        <v>-56.356224695439693</v>
      </c>
      <c r="AH1662" s="132"/>
      <c r="AI1662" s="146"/>
      <c r="AJ1662" s="138">
        <f>AJ1659-AJ1660</f>
        <v>-121.7903426511342</v>
      </c>
      <c r="AK1662" s="132"/>
      <c r="AL1662" s="146"/>
      <c r="AM1662" s="138">
        <f>AM1659-AM1660</f>
        <v>-186.3975443036357</v>
      </c>
      <c r="AN1662" s="132"/>
      <c r="AO1662" s="146"/>
      <c r="AP1662" s="138">
        <f>AP1659-AP1660</f>
        <v>-244.37570680665092</v>
      </c>
      <c r="AQ1662" s="132"/>
      <c r="AR1662" s="146"/>
      <c r="AS1662" s="138">
        <f>AS1659-AS1660</f>
        <v>-316.54204519336974</v>
      </c>
      <c r="AT1662" s="132"/>
      <c r="AU1662" s="146"/>
    </row>
    <row r="1663" spans="13:47" ht="14.5" x14ac:dyDescent="0.35">
      <c r="M1663" s="27"/>
      <c r="N1663" s="27"/>
      <c r="O1663" s="2" t="s">
        <v>191</v>
      </c>
      <c r="P1663" s="10"/>
      <c r="Q1663" s="2"/>
      <c r="R1663" s="181">
        <f>R1662/R1659</f>
        <v>0.50257475196214674</v>
      </c>
      <c r="S1663" s="132"/>
      <c r="T1663" s="146"/>
      <c r="U1663" s="138">
        <f>U1662/U1659</f>
        <v>0.49827973367954514</v>
      </c>
      <c r="V1663" s="132"/>
      <c r="W1663" s="146"/>
      <c r="X1663" s="138">
        <f>X1662/X1659</f>
        <v>0.47494507857826568</v>
      </c>
      <c r="Y1663" s="132"/>
      <c r="Z1663" s="146"/>
      <c r="AA1663" s="138">
        <f>AA1662/AA1659</f>
        <v>0.37839094477957352</v>
      </c>
      <c r="AB1663" s="132"/>
      <c r="AC1663" s="146"/>
      <c r="AD1663" s="138">
        <f>AD1662/AD1659</f>
        <v>-8.2418047236018754E-2</v>
      </c>
      <c r="AE1663" s="132"/>
      <c r="AF1663" s="146"/>
      <c r="AG1663" s="138">
        <f>AG1662/AG1659</f>
        <v>8.8663046691651353</v>
      </c>
      <c r="AH1663" s="132"/>
      <c r="AI1663" s="146"/>
      <c r="AJ1663" s="138">
        <f>AJ1662/AJ1659</f>
        <v>1.6964725080499399</v>
      </c>
      <c r="AK1663" s="132"/>
      <c r="AL1663" s="146"/>
      <c r="AM1663" s="138">
        <f>AM1662/AM1659</f>
        <v>1.3665755146492564</v>
      </c>
      <c r="AN1663" s="132"/>
      <c r="AO1663" s="146"/>
      <c r="AP1663" s="138">
        <f>AP1662/AP1659</f>
        <v>1.257233791307758</v>
      </c>
      <c r="AQ1663" s="132"/>
      <c r="AR1663" s="146"/>
      <c r="AS1663" s="138">
        <f>AS1662/AS1659</f>
        <v>1.1875876654421489</v>
      </c>
      <c r="AT1663" s="132"/>
      <c r="AU1663" s="146"/>
    </row>
    <row r="1664" spans="13:47" x14ac:dyDescent="0.25">
      <c r="M1664" s="27"/>
      <c r="N1664" s="27"/>
      <c r="O1664" s="2" t="s">
        <v>26</v>
      </c>
      <c r="P1664" s="7">
        <v>12</v>
      </c>
      <c r="Q1664" s="2"/>
      <c r="R1664" s="181">
        <f>1-R1663/(3*F_GAMMA*R$29)</f>
        <v>0.73825331010937045</v>
      </c>
      <c r="S1664" s="133"/>
      <c r="T1664" s="146"/>
      <c r="U1664" s="138">
        <f>1-U1663/(3*F_GAMMA*U$29)</f>
        <v>0.74054734244266229</v>
      </c>
      <c r="V1664" s="133"/>
      <c r="W1664" s="146"/>
      <c r="X1664" s="138">
        <f>1-X1663/(3*F_GAMMA*X$29)</f>
        <v>0.74898769319161551</v>
      </c>
      <c r="Y1664" s="133"/>
      <c r="Z1664" s="146"/>
      <c r="AA1664" s="138">
        <f>1-AA1663/(3*F_GAMMA*AA$29)</f>
        <v>0.79727529141076281</v>
      </c>
      <c r="AB1664" s="133"/>
      <c r="AC1664" s="146"/>
      <c r="AD1664" s="138">
        <f>1-AD1663/(3*F_GAMMA*AD$29)</f>
        <v>1.0453665117128605</v>
      </c>
      <c r="AE1664" s="133"/>
      <c r="AF1664" s="146"/>
      <c r="AG1664" s="138">
        <f>1-AG1663/(3*F_GAMMA*AG$29)</f>
        <v>-4.1587892735805827</v>
      </c>
      <c r="AH1664" s="133"/>
      <c r="AI1664" s="146"/>
      <c r="AJ1664" s="138">
        <f>1-AJ1663/(3*F_GAMMA*AJ$29)</f>
        <v>-5.520095670134495E-2</v>
      </c>
      <c r="AK1664" s="133"/>
      <c r="AL1664" s="146"/>
      <c r="AM1664" s="138">
        <f>1-AM1663/(3*F_GAMMA*AM$29)</f>
        <v>7.128202191647981E-2</v>
      </c>
      <c r="AN1664" s="133"/>
      <c r="AO1664" s="146"/>
      <c r="AP1664" s="138">
        <f>1-AP1663/(3*F_GAMMA*AP$29)</f>
        <v>0.29392266844606196</v>
      </c>
      <c r="AQ1664" s="133"/>
      <c r="AR1664" s="146"/>
      <c r="AS1664" s="138">
        <f>1-AS1663/(3*F_GAMMA*AS$29)</f>
        <v>-1.2508161428029352E-2</v>
      </c>
      <c r="AT1664" s="133"/>
      <c r="AU1664" s="146"/>
    </row>
    <row r="1665" spans="13:47" x14ac:dyDescent="0.25">
      <c r="M1665" s="27"/>
      <c r="N1665" s="27"/>
      <c r="O1665" s="2" t="s">
        <v>71</v>
      </c>
      <c r="P1665" s="85">
        <v>5</v>
      </c>
      <c r="Q1665" s="2"/>
      <c r="R1665" s="179">
        <f>R1657/((N_6*R$27*R1664)*SQRT(R1663*R1659*R1661))</f>
        <v>0.49241311326526355</v>
      </c>
      <c r="S1665" s="133"/>
      <c r="T1665" s="146"/>
      <c r="U1665" s="143">
        <f>U1657/((N_6*U$27*U1664)*SQRT(U1663*U1659*U1661))</f>
        <v>6.4378557694685927</v>
      </c>
      <c r="V1665" s="133"/>
      <c r="W1665" s="146"/>
      <c r="X1665" s="143">
        <f>X1657/((N_6*X$27*X1664)*SQRT(X1663*X1659*X1661))</f>
        <v>16.911566271748125</v>
      </c>
      <c r="Y1665" s="133"/>
      <c r="Z1665" s="146"/>
      <c r="AA1665" s="143">
        <f>AA1657/((N_6*AA$27*AA1664)*SQRT(AA1663*AA1659*AA1661))</f>
        <v>41.279721773609253</v>
      </c>
      <c r="AB1665" s="133"/>
      <c r="AC1665" s="146"/>
      <c r="AD1665" s="143" t="e">
        <f>AD1657/((N_6*AD$27*AD1664)*SQRT(AD1663*AD1659*AD1661))</f>
        <v>#NUM!</v>
      </c>
      <c r="AE1665" s="133"/>
      <c r="AF1665" s="146"/>
      <c r="AG1665" s="143">
        <f>AG1657/((N_6*AG$27*AG1664)*SQRT(AG1663*AG1659*AG1661))</f>
        <v>-49.333442740336608</v>
      </c>
      <c r="AH1665" s="133"/>
      <c r="AI1665" s="146"/>
      <c r="AJ1665" s="143">
        <f>AJ1657/((N_6*AJ$27*AJ1664)*SQRT(AJ1663*AJ1659*AJ1661))</f>
        <v>-988.01925464597173</v>
      </c>
      <c r="AK1665" s="133"/>
      <c r="AL1665" s="146"/>
      <c r="AM1665" s="143">
        <f>AM1657/((N_6*AM$27*AM1664)*SQRT(AM1663*AM1659*AM1661))</f>
        <v>558.43714435811717</v>
      </c>
      <c r="AN1665" s="133"/>
      <c r="AO1665" s="146"/>
      <c r="AP1665" s="143">
        <f>AP1657/((N_6*AP$27*AP1664)*SQRT(AP1663*AP1659*AP1661))</f>
        <v>125.56940050589462</v>
      </c>
      <c r="AQ1665" s="133"/>
      <c r="AR1665" s="146"/>
      <c r="AS1665" s="143">
        <f>AS1657/((N_6*AS$27*AS1664)*SQRT(AS1663*AS1659*AS1661))</f>
        <v>-3245.6179658292235</v>
      </c>
      <c r="AT1665" s="133"/>
      <c r="AU1665" s="146"/>
    </row>
    <row r="1666" spans="13:47" x14ac:dyDescent="0.25">
      <c r="M1666" s="27"/>
      <c r="N1666" s="27"/>
      <c r="O1666" s="2" t="s">
        <v>73</v>
      </c>
      <c r="P1666" s="85">
        <v>5</v>
      </c>
      <c r="Q1666" s="2"/>
      <c r="R1666" s="179">
        <f>R1657/((N_6*R$27*0.667)*SQRT(R1667*R1659*R1661))</f>
        <v>0.4829591576504087</v>
      </c>
      <c r="S1666" s="133"/>
      <c r="T1666" s="155"/>
      <c r="U1666" s="143">
        <f>U1657/((N_6*U$27*0.667)*SQRT(U1667*U1659*U1661))</f>
        <v>6.3060574893483077</v>
      </c>
      <c r="V1666" s="133"/>
      <c r="W1666" s="155"/>
      <c r="X1666" s="143">
        <f>X1657/((N_6*X$27*0.667)*SQRT(X1667*X1659*X1661))</f>
        <v>16.479377957290861</v>
      </c>
      <c r="Y1666" s="133"/>
      <c r="Z1666" s="155"/>
      <c r="AA1666" s="143">
        <f>AA1657/((N_6*AA$27*0.667)*SQRT(AA1667*AA1659*AA1661))</f>
        <v>38.479835101240774</v>
      </c>
      <c r="AB1666" s="133"/>
      <c r="AC1666" s="155"/>
      <c r="AD1666" s="143">
        <f>AD1657/((N_6*AD$27*0.667)*SQRT(AD1667*AD1659*AD1661))</f>
        <v>113.03106568265896</v>
      </c>
      <c r="AE1666" s="133"/>
      <c r="AF1666" s="155"/>
      <c r="AG1666" s="143">
        <f>AG1657/((N_6*AG$27*0.667)*SQRT(AG1667*AG1659*AG1661))</f>
        <v>1210.0882013855703</v>
      </c>
      <c r="AH1666" s="133"/>
      <c r="AI1666" s="155"/>
      <c r="AJ1666" s="143">
        <f>AJ1657/((N_6*AJ$27*0.667)*SQRT(AJ1667*AJ1659*AJ1661))</f>
        <v>145.483719037437</v>
      </c>
      <c r="AK1666" s="133"/>
      <c r="AL1666" s="155"/>
      <c r="AM1666" s="143">
        <f>AM1657/((N_6*AM$27*0.667)*SQRT(AM1667*AM1659*AM1661))</f>
        <v>99.616442318485582</v>
      </c>
      <c r="AN1666" s="133"/>
      <c r="AO1666" s="155"/>
      <c r="AP1666" s="143">
        <f>AP1657/((N_6*AP$27*0.667)*SQRT(AP1667*AP1659*AP1661))</f>
        <v>80.533732998849558</v>
      </c>
      <c r="AQ1666" s="133"/>
      <c r="AR1666" s="155"/>
      <c r="AS1666" s="143">
        <f>AS1657/((N_6*AS$27*0.667)*SQRT(AS1667*AS1659*AS1661))</f>
        <v>106.07790548296779</v>
      </c>
      <c r="AT1666" s="133"/>
      <c r="AU1666" s="155"/>
    </row>
    <row r="1667" spans="13:47" ht="15.5" x14ac:dyDescent="0.4">
      <c r="M1667" s="27"/>
      <c r="N1667" s="27"/>
      <c r="O1667" s="2" t="s">
        <v>192</v>
      </c>
      <c r="P1667" s="85">
        <v>10</v>
      </c>
      <c r="Q1667" s="2"/>
      <c r="R1667" s="181">
        <f>F_GAMMA*R$29</f>
        <v>0.64002688015162901</v>
      </c>
      <c r="S1667" s="133"/>
      <c r="T1667" s="155"/>
      <c r="U1667" s="138">
        <f>F_GAMMA*U$29</f>
        <v>0.64016782916606918</v>
      </c>
      <c r="V1667" s="133"/>
      <c r="W1667" s="155"/>
      <c r="X1667" s="138">
        <f>F_GAMMA*X$29</f>
        <v>0.6307062319203669</v>
      </c>
      <c r="Y1667" s="133"/>
      <c r="Z1667" s="155"/>
      <c r="AA1667" s="138">
        <f>F_GAMMA*AA$29</f>
        <v>0.62217534213893466</v>
      </c>
      <c r="AB1667" s="133"/>
      <c r="AC1667" s="155"/>
      <c r="AD1667" s="138">
        <f>F_GAMMA*AD$29</f>
        <v>0.60557184969146072</v>
      </c>
      <c r="AE1667" s="133"/>
      <c r="AF1667" s="155"/>
      <c r="AG1667" s="138">
        <f>F_GAMMA*AG$29</f>
        <v>0.57289312142622573</v>
      </c>
      <c r="AH1667" s="133"/>
      <c r="AI1667" s="155"/>
      <c r="AJ1667" s="138">
        <f>F_GAMMA*AJ$29</f>
        <v>0.53590819116049981</v>
      </c>
      <c r="AK1667" s="133"/>
      <c r="AL1667" s="155"/>
      <c r="AM1667" s="138">
        <f>F_GAMMA*AM$29</f>
        <v>0.49048815926850342</v>
      </c>
      <c r="AN1667" s="133"/>
      <c r="AO1667" s="155"/>
      <c r="AP1667" s="138">
        <f>F_GAMMA*AP$29</f>
        <v>0.59352979016280105</v>
      </c>
      <c r="AQ1667" s="133"/>
      <c r="AR1667" s="155"/>
      <c r="AS1667" s="138">
        <f>F_GAMMA*AS$29</f>
        <v>0.39097221161068291</v>
      </c>
      <c r="AT1667" s="133"/>
      <c r="AU1667" s="155"/>
    </row>
    <row r="1668" spans="13:47" x14ac:dyDescent="0.25">
      <c r="M1668" s="27"/>
      <c r="N1668" s="27"/>
      <c r="O1668" s="2" t="s">
        <v>193</v>
      </c>
      <c r="P1668" s="134"/>
      <c r="Q1668" s="2"/>
      <c r="R1668" s="181">
        <f>IF(R1663&lt;R1667,R1665,R1666)</f>
        <v>0.49241311326526355</v>
      </c>
      <c r="S1668" s="133"/>
      <c r="T1668" s="155"/>
      <c r="U1668" s="138">
        <f>IF(U1663&lt;U1667,U1665,U1666)</f>
        <v>6.4378557694685927</v>
      </c>
      <c r="V1668" s="133"/>
      <c r="W1668" s="155"/>
      <c r="X1668" s="138">
        <f>IF(X1663&lt;X1667,X1665,X1666)</f>
        <v>16.911566271748125</v>
      </c>
      <c r="Y1668" s="133"/>
      <c r="Z1668" s="155"/>
      <c r="AA1668" s="138">
        <f>IF(AA1663&lt;AA1667,AA1665,AA1666)</f>
        <v>41.279721773609253</v>
      </c>
      <c r="AB1668" s="133"/>
      <c r="AC1668" s="155"/>
      <c r="AD1668" s="138" t="e">
        <f>IF(AD1663&lt;AD1667,AD1665,AD1666)</f>
        <v>#NUM!</v>
      </c>
      <c r="AE1668" s="133"/>
      <c r="AF1668" s="155"/>
      <c r="AG1668" s="138">
        <f>IF(AG1663&lt;AG1667,AG1665,AG1666)</f>
        <v>1210.0882013855703</v>
      </c>
      <c r="AH1668" s="133"/>
      <c r="AI1668" s="155"/>
      <c r="AJ1668" s="138">
        <f>IF(AJ1663&lt;AJ1667,AJ1665,AJ1666)</f>
        <v>145.483719037437</v>
      </c>
      <c r="AK1668" s="133"/>
      <c r="AL1668" s="155"/>
      <c r="AM1668" s="138">
        <f>IF(AM1663&lt;AM1667,AM1665,AM1666)</f>
        <v>99.616442318485582</v>
      </c>
      <c r="AN1668" s="133"/>
      <c r="AO1668" s="155"/>
      <c r="AP1668" s="138">
        <f>IF(AP1663&lt;AP1667,AP1665,AP1666)</f>
        <v>80.533732998849558</v>
      </c>
      <c r="AQ1668" s="133"/>
      <c r="AR1668" s="155"/>
      <c r="AS1668" s="138">
        <f>IF(AS1663&lt;AS1667,AS1665,AS1666)</f>
        <v>106.07790548296779</v>
      </c>
      <c r="AT1668" s="133"/>
      <c r="AU1668" s="155"/>
    </row>
    <row r="1669" spans="13:47" ht="13" x14ac:dyDescent="0.3">
      <c r="M1669" s="28"/>
      <c r="N1669" s="28"/>
      <c r="O1669" s="9" t="s">
        <v>194</v>
      </c>
      <c r="P1669" s="1"/>
      <c r="Q1669" s="1"/>
      <c r="R1669" s="135"/>
      <c r="S1669" s="132">
        <f>IF(R1662&lt;=0,W_max,ABS(R$23-R1668))</f>
        <v>1.5075868867347364</v>
      </c>
      <c r="T1669" s="151">
        <f>R1657</f>
        <v>113.8742189086569</v>
      </c>
      <c r="U1669" s="135"/>
      <c r="V1669" s="132">
        <f>IF(U1662&lt;=0,W_max,ABS(U$23-U1668))</f>
        <v>1.4378557694685927</v>
      </c>
      <c r="W1669" s="151">
        <f>U1657</f>
        <v>1473.387445366272</v>
      </c>
      <c r="X1669" s="135"/>
      <c r="Y1669" s="132">
        <f>IF(X1662&lt;=0,W_max,ABS(X$23-X1668))</f>
        <v>6.911566271748125</v>
      </c>
      <c r="Z1669" s="151">
        <f>X1657</f>
        <v>3643.8624875521164</v>
      </c>
      <c r="AA1669" s="135"/>
      <c r="AB1669" s="132">
        <f>IF(AA1662&lt;=0,W_max,ABS(AA$23-AA1668))</f>
        <v>24.079721773609254</v>
      </c>
      <c r="AC1669" s="151">
        <f>AA1657</f>
        <v>7097.3140465647139</v>
      </c>
      <c r="AD1669" s="135"/>
      <c r="AE1669" s="132">
        <f>IF(AD1662&lt;=0,W_max,ABS(AD$23-AD1668))</f>
        <v>7174</v>
      </c>
      <c r="AF1669" s="151">
        <f>AD1657</f>
        <v>11672.468530599903</v>
      </c>
      <c r="AG1669" s="135"/>
      <c r="AH1669" s="132">
        <f>IF(AG1662&lt;=0,W_max,ABS(AG$23-AG1668))</f>
        <v>7174</v>
      </c>
      <c r="AI1669" s="151">
        <f>AG1657</f>
        <v>16371.535732807988</v>
      </c>
      <c r="AJ1669" s="135"/>
      <c r="AK1669" s="132">
        <f>IF(AJ1662&lt;=0,W_max,ABS(AJ$23-AJ1668))</f>
        <v>7174</v>
      </c>
      <c r="AL1669" s="151">
        <f>AJ1657</f>
        <v>20787.50616962463</v>
      </c>
      <c r="AM1669" s="135"/>
      <c r="AN1669" s="132">
        <f>IF(AM1662&lt;=0,W_max,ABS(AM$23-AM1668))</f>
        <v>7174</v>
      </c>
      <c r="AO1669" s="151">
        <f>AM1657</f>
        <v>24374.98581572148</v>
      </c>
      <c r="AP1669" s="135"/>
      <c r="AQ1669" s="132">
        <f>IF(AP1662&lt;=0,W_max,ABS(AP$23-AP1668))</f>
        <v>7174</v>
      </c>
      <c r="AR1669" s="151">
        <f>AP1657</f>
        <v>27194.400125016531</v>
      </c>
      <c r="AS1669" s="135"/>
      <c r="AT1669" s="132">
        <f>IF(AS1662&lt;=0,W_max,ABS(AS$23-AS1668))</f>
        <v>7174</v>
      </c>
      <c r="AU1669" s="151">
        <f>AS1657</f>
        <v>30339.931426032264</v>
      </c>
    </row>
    <row r="1670" spans="13:47" ht="13" x14ac:dyDescent="0.25">
      <c r="M1670" s="12"/>
      <c r="N1670" s="12"/>
      <c r="O1670" s="2"/>
      <c r="P1670" s="85"/>
      <c r="Q1670" s="2"/>
      <c r="R1670" s="18"/>
      <c r="S1670" s="150"/>
      <c r="T1670" s="148"/>
      <c r="U1670" s="157"/>
      <c r="V1670" s="1"/>
      <c r="W1670" s="147"/>
      <c r="X1670" s="157"/>
      <c r="Y1670" s="1"/>
      <c r="Z1670" s="147"/>
      <c r="AA1670" s="157"/>
      <c r="AB1670" s="1"/>
      <c r="AC1670" s="147"/>
      <c r="AD1670" s="157"/>
      <c r="AE1670" s="1"/>
      <c r="AF1670" s="147"/>
      <c r="AG1670" s="157"/>
      <c r="AH1670" s="1"/>
      <c r="AI1670" s="147"/>
      <c r="AJ1670" s="157"/>
      <c r="AK1670" s="1"/>
      <c r="AL1670" s="147"/>
      <c r="AM1670" s="157"/>
      <c r="AN1670" s="1"/>
      <c r="AO1670" s="147"/>
      <c r="AP1670" s="157"/>
      <c r="AQ1670" s="1"/>
      <c r="AR1670" s="147"/>
      <c r="AS1670" s="157"/>
      <c r="AT1670" s="1"/>
      <c r="AU1670" s="147"/>
    </row>
    <row r="1671" spans="13:47" ht="14" x14ac:dyDescent="0.3">
      <c r="M1671" s="23"/>
      <c r="N1671" s="23"/>
      <c r="O1671" s="23" t="s">
        <v>238</v>
      </c>
      <c r="P1671" s="20"/>
      <c r="Q1671" s="20"/>
      <c r="R1671" s="181">
        <f>R1657*1.02</f>
        <v>116.15170328683004</v>
      </c>
      <c r="S1671" s="128" t="s">
        <v>185</v>
      </c>
      <c r="T1671" s="149" t="s">
        <v>186</v>
      </c>
      <c r="U1671" s="143">
        <f>U1657*1.01</f>
        <v>1488.1213198199348</v>
      </c>
      <c r="V1671" s="128" t="s">
        <v>185</v>
      </c>
      <c r="W1671" s="153" t="s">
        <v>186</v>
      </c>
      <c r="X1671" s="143">
        <f>X1657*1.01</f>
        <v>3680.3011124276377</v>
      </c>
      <c r="Y1671" s="128" t="s">
        <v>185</v>
      </c>
      <c r="Z1671" s="153" t="s">
        <v>186</v>
      </c>
      <c r="AA1671" s="143">
        <f>AA1657*1.01</f>
        <v>7168.2871870303607</v>
      </c>
      <c r="AB1671" s="128" t="s">
        <v>185</v>
      </c>
      <c r="AC1671" s="153" t="s">
        <v>186</v>
      </c>
      <c r="AD1671" s="143">
        <f>AD1657*1.01</f>
        <v>11789.193215905902</v>
      </c>
      <c r="AE1671" s="128" t="s">
        <v>185</v>
      </c>
      <c r="AF1671" s="153" t="s">
        <v>186</v>
      </c>
      <c r="AG1671" s="143">
        <f>AG1657*1.01</f>
        <v>16535.251090136069</v>
      </c>
      <c r="AH1671" s="128" t="s">
        <v>185</v>
      </c>
      <c r="AI1671" s="153" t="s">
        <v>186</v>
      </c>
      <c r="AJ1671" s="143">
        <f>AJ1657*1.01</f>
        <v>20995.381231320876</v>
      </c>
      <c r="AK1671" s="128" t="s">
        <v>185</v>
      </c>
      <c r="AL1671" s="153" t="s">
        <v>186</v>
      </c>
      <c r="AM1671" s="143">
        <f>AM1657*1.01</f>
        <v>24618.735673878695</v>
      </c>
      <c r="AN1671" s="128" t="s">
        <v>185</v>
      </c>
      <c r="AO1671" s="153" t="s">
        <v>186</v>
      </c>
      <c r="AP1671" s="143">
        <f>AP1657*1.01</f>
        <v>27466.344126266697</v>
      </c>
      <c r="AQ1671" s="128" t="s">
        <v>185</v>
      </c>
      <c r="AR1671" s="153" t="s">
        <v>186</v>
      </c>
      <c r="AS1671" s="143">
        <f>AS1657*1.01</f>
        <v>30643.330740292586</v>
      </c>
      <c r="AT1671" s="128" t="s">
        <v>185</v>
      </c>
      <c r="AU1671" s="153" t="s">
        <v>186</v>
      </c>
    </row>
    <row r="1672" spans="13:47" ht="14" x14ac:dyDescent="0.3">
      <c r="M1672" s="12"/>
      <c r="N1672" s="12"/>
      <c r="O1672" s="20"/>
      <c r="P1672" s="20"/>
      <c r="Q1672" s="23"/>
      <c r="R1672" s="139"/>
      <c r="S1672" s="130" t="s">
        <v>228</v>
      </c>
      <c r="T1672" s="131" t="s">
        <v>187</v>
      </c>
      <c r="U1672" s="144"/>
      <c r="V1672" s="130" t="s">
        <v>228</v>
      </c>
      <c r="W1672" s="154" t="s">
        <v>187</v>
      </c>
      <c r="X1672" s="144"/>
      <c r="Y1672" s="130" t="s">
        <v>228</v>
      </c>
      <c r="Z1672" s="154" t="s">
        <v>187</v>
      </c>
      <c r="AA1672" s="144"/>
      <c r="AB1672" s="130" t="s">
        <v>228</v>
      </c>
      <c r="AC1672" s="154" t="s">
        <v>187</v>
      </c>
      <c r="AD1672" s="144"/>
      <c r="AE1672" s="130" t="s">
        <v>228</v>
      </c>
      <c r="AF1672" s="154" t="s">
        <v>187</v>
      </c>
      <c r="AG1672" s="144"/>
      <c r="AH1672" s="130" t="s">
        <v>228</v>
      </c>
      <c r="AI1672" s="154" t="s">
        <v>187</v>
      </c>
      <c r="AJ1672" s="144"/>
      <c r="AK1672" s="130" t="s">
        <v>228</v>
      </c>
      <c r="AL1672" s="154" t="s">
        <v>187</v>
      </c>
      <c r="AM1672" s="144"/>
      <c r="AN1672" s="130" t="s">
        <v>228</v>
      </c>
      <c r="AO1672" s="154" t="s">
        <v>187</v>
      </c>
      <c r="AP1672" s="144"/>
      <c r="AQ1672" s="130" t="s">
        <v>228</v>
      </c>
      <c r="AR1672" s="154" t="s">
        <v>187</v>
      </c>
      <c r="AS1672" s="144"/>
      <c r="AT1672" s="130" t="s">
        <v>228</v>
      </c>
      <c r="AU1672" s="154" t="s">
        <v>187</v>
      </c>
    </row>
    <row r="1673" spans="13:47" x14ac:dyDescent="0.25">
      <c r="M1673" s="20"/>
      <c r="N1673" s="20"/>
      <c r="O1673" s="7" t="s">
        <v>188</v>
      </c>
      <c r="P1673" s="7"/>
      <c r="Q1673" s="7"/>
      <c r="R1673" s="181">
        <f>P_1_minW-(R1671^2*R_up)+dpup_minQ</f>
        <v>100.51740695378977</v>
      </c>
      <c r="S1673" s="132"/>
      <c r="T1673" s="145"/>
      <c r="U1673" s="138">
        <f>P_1_minW-(U1671^2*R_up)+dpup_minQ</f>
        <v>99.639726631015122</v>
      </c>
      <c r="V1673" s="132"/>
      <c r="W1673" s="145"/>
      <c r="X1673" s="138">
        <f>P_1_minW-(X1671^2*R_up)+dpup_minQ</f>
        <v>95.121710674666502</v>
      </c>
      <c r="Y1673" s="132"/>
      <c r="Z1673" s="145"/>
      <c r="AA1673" s="138">
        <f>P_1_minW-(AA1671^2*R_up)+dpup_minQ</f>
        <v>80.032672473020369</v>
      </c>
      <c r="AB1673" s="132"/>
      <c r="AC1673" s="145"/>
      <c r="AD1673" s="138">
        <f>P_1_minW-(AD1671^2*R_up)+dpup_minQ</f>
        <v>45.100842309826447</v>
      </c>
      <c r="AE1673" s="132"/>
      <c r="AF1673" s="145"/>
      <c r="AG1673" s="138">
        <f>P_1_minW-(AG1671^2*R_up)+dpup_minQ</f>
        <v>-8.5044928252262508</v>
      </c>
      <c r="AH1673" s="132"/>
      <c r="AI1673" s="145"/>
      <c r="AJ1673" s="138">
        <f>P_1_minW-(AJ1671^2*R_up)+dpup_minQ</f>
        <v>-75.25383655183019</v>
      </c>
      <c r="AK1673" s="132"/>
      <c r="AL1673" s="145"/>
      <c r="AM1673" s="138">
        <f>P_1_minW-(AM1671^2*R_up)+dpup_minQ</f>
        <v>-141.15964295754699</v>
      </c>
      <c r="AN1673" s="132"/>
      <c r="AO1673" s="145"/>
      <c r="AP1673" s="138">
        <f>P_1_minW-(AP1671^2*R_up)+dpup_minQ</f>
        <v>-200.30316652687279</v>
      </c>
      <c r="AQ1673" s="132"/>
      <c r="AR1673" s="145"/>
      <c r="AS1673" s="138">
        <f>P_1_minW-(AS1671^2*R_up)+dpup_minQ</f>
        <v>-273.92004831516465</v>
      </c>
      <c r="AT1673" s="132"/>
      <c r="AU1673" s="145"/>
    </row>
    <row r="1674" spans="13:47" x14ac:dyDescent="0.25">
      <c r="M1674" s="20"/>
      <c r="N1674" s="20"/>
      <c r="O1674" s="7" t="s">
        <v>189</v>
      </c>
      <c r="P1674" s="1"/>
      <c r="Q1674" s="7"/>
      <c r="R1674" s="181">
        <f>P_2_minW+(R1671^2*R_dn)-dpdn_minQ</f>
        <v>50</v>
      </c>
      <c r="S1674" s="132"/>
      <c r="T1674" s="146"/>
      <c r="U1674" s="138">
        <f>P_2_minW+(U1671^2*R_dn)-dpdn_minQ</f>
        <v>50</v>
      </c>
      <c r="V1674" s="132"/>
      <c r="W1674" s="146"/>
      <c r="X1674" s="138">
        <f>P_2_minW+(X1671^2*R_dn)-dpdn_minQ</f>
        <v>50</v>
      </c>
      <c r="Y1674" s="132"/>
      <c r="Z1674" s="146"/>
      <c r="AA1674" s="138">
        <f>P_2_minW+(AA1671^2*R_dn)-dpdn_minQ</f>
        <v>50</v>
      </c>
      <c r="AB1674" s="132"/>
      <c r="AC1674" s="146"/>
      <c r="AD1674" s="138">
        <f>P_2_minW+(AD1671^2*R_dn)-dpdn_minQ</f>
        <v>50</v>
      </c>
      <c r="AE1674" s="132"/>
      <c r="AF1674" s="146"/>
      <c r="AG1674" s="138">
        <f>P_2_minW+(AG1671^2*R_dn)-dpdn_minQ</f>
        <v>50</v>
      </c>
      <c r="AH1674" s="132"/>
      <c r="AI1674" s="146"/>
      <c r="AJ1674" s="138">
        <f>P_2_minW+(AJ1671^2*R_dn)-dpdn_minQ</f>
        <v>50</v>
      </c>
      <c r="AK1674" s="132"/>
      <c r="AL1674" s="146"/>
      <c r="AM1674" s="138">
        <f>P_2_minW+(AM1671^2*R_dn)-dpdn_minQ</f>
        <v>50</v>
      </c>
      <c r="AN1674" s="132"/>
      <c r="AO1674" s="146"/>
      <c r="AP1674" s="138">
        <f>P_2_minW+(AP1671^2*R_dn)-dpdn_minQ</f>
        <v>50</v>
      </c>
      <c r="AQ1674" s="132"/>
      <c r="AR1674" s="146"/>
      <c r="AS1674" s="138">
        <f>P_2_minW+(AS1671^2*R_dn)-dpdn_minQ</f>
        <v>50</v>
      </c>
      <c r="AT1674" s="132"/>
      <c r="AU1674" s="146"/>
    </row>
    <row r="1675" spans="13:47" x14ac:dyDescent="0.25">
      <c r="M1675" s="20"/>
      <c r="N1675" s="20"/>
      <c r="O1675" s="7" t="s">
        <v>234</v>
      </c>
      <c r="P1675" s="1"/>
      <c r="Q1675" s="7"/>
      <c r="R1675" s="179">
        <f>'Valve Sizing'!G$8*R1673/P_1_maxW</f>
        <v>0.48487807512381442</v>
      </c>
      <c r="S1675" s="132"/>
      <c r="T1675" s="146"/>
      <c r="U1675" s="143">
        <f>'Valve Sizing'!$G$8*U1673/P_1_maxW</f>
        <v>0.48064430150809967</v>
      </c>
      <c r="V1675" s="132"/>
      <c r="W1675" s="146"/>
      <c r="X1675" s="143">
        <f>'Valve Sizing'!$G$8*X1673/P_1_maxW</f>
        <v>0.45885019691783591</v>
      </c>
      <c r="Y1675" s="132"/>
      <c r="Z1675" s="146"/>
      <c r="AA1675" s="143">
        <f>'Valve Sizing'!$G$8*AA1673/P_1_maxW</f>
        <v>0.38606336307076528</v>
      </c>
      <c r="AB1675" s="132"/>
      <c r="AC1675" s="146"/>
      <c r="AD1675" s="143">
        <f>'Valve Sizing'!$G$8*AD1673/P_1_maxW</f>
        <v>0.21755843359254942</v>
      </c>
      <c r="AE1675" s="132"/>
      <c r="AF1675" s="146"/>
      <c r="AG1675" s="143">
        <f>'Valve Sizing'!$G$8*AG1673/P_1_maxW</f>
        <v>-4.1024159257269051E-2</v>
      </c>
      <c r="AH1675" s="132"/>
      <c r="AI1675" s="146"/>
      <c r="AJ1675" s="143">
        <f>'Valve Sizing'!$G$8*AJ1673/P_1_maxW</f>
        <v>-0.36301110940623843</v>
      </c>
      <c r="AK1675" s="132"/>
      <c r="AL1675" s="146"/>
      <c r="AM1675" s="143">
        <f>'Valve Sizing'!$G$8*AM1673/P_1_maxW</f>
        <v>-0.68092898570181171</v>
      </c>
      <c r="AN1675" s="132"/>
      <c r="AO1675" s="146"/>
      <c r="AP1675" s="143">
        <f>'Valve Sizing'!$G$8*AP1673/P_1_maxW</f>
        <v>-0.96622681354488671</v>
      </c>
      <c r="AQ1675" s="132"/>
      <c r="AR1675" s="146"/>
      <c r="AS1675" s="143">
        <f>'Valve Sizing'!$G$8*AS1673/P_1_maxW</f>
        <v>-1.3213415446136487</v>
      </c>
      <c r="AT1675" s="132"/>
      <c r="AU1675" s="146"/>
    </row>
    <row r="1676" spans="13:47" x14ac:dyDescent="0.25">
      <c r="M1676" s="20"/>
      <c r="N1676" s="20"/>
      <c r="O1676" s="7" t="s">
        <v>190</v>
      </c>
      <c r="P1676" s="1"/>
      <c r="Q1676" s="7"/>
      <c r="R1676" s="181">
        <f>R1673-R1674</f>
        <v>50.517406953789774</v>
      </c>
      <c r="S1676" s="132"/>
      <c r="T1676" s="146"/>
      <c r="U1676" s="138">
        <f>U1673-U1674</f>
        <v>49.639726631015122</v>
      </c>
      <c r="V1676" s="132"/>
      <c r="W1676" s="146"/>
      <c r="X1676" s="138">
        <f>X1673-X1674</f>
        <v>45.121710674666502</v>
      </c>
      <c r="Y1676" s="132"/>
      <c r="Z1676" s="146"/>
      <c r="AA1676" s="138">
        <f>AA1673-AA1674</f>
        <v>30.032672473020369</v>
      </c>
      <c r="AB1676" s="132"/>
      <c r="AC1676" s="146"/>
      <c r="AD1676" s="138">
        <f>AD1673-AD1674</f>
        <v>-4.8991576901735527</v>
      </c>
      <c r="AE1676" s="132"/>
      <c r="AF1676" s="146"/>
      <c r="AG1676" s="138">
        <f>AG1673-AG1674</f>
        <v>-58.504492825226251</v>
      </c>
      <c r="AH1676" s="132"/>
      <c r="AI1676" s="146"/>
      <c r="AJ1676" s="138">
        <f>AJ1673-AJ1674</f>
        <v>-125.25383655183019</v>
      </c>
      <c r="AK1676" s="132"/>
      <c r="AL1676" s="146"/>
      <c r="AM1676" s="138">
        <f>AM1673-AM1674</f>
        <v>-191.15964295754699</v>
      </c>
      <c r="AN1676" s="132"/>
      <c r="AO1676" s="146"/>
      <c r="AP1676" s="138">
        <f>AP1673-AP1674</f>
        <v>-250.30316652687279</v>
      </c>
      <c r="AQ1676" s="132"/>
      <c r="AR1676" s="146"/>
      <c r="AS1676" s="138">
        <f>AS1673-AS1674</f>
        <v>-323.92004831516465</v>
      </c>
      <c r="AT1676" s="132"/>
      <c r="AU1676" s="146"/>
    </row>
    <row r="1677" spans="13:47" ht="14.5" x14ac:dyDescent="0.35">
      <c r="M1677" s="27"/>
      <c r="N1677" s="27"/>
      <c r="O1677" s="2" t="s">
        <v>191</v>
      </c>
      <c r="P1677" s="10"/>
      <c r="Q1677" s="2"/>
      <c r="R1677" s="181">
        <f>R1676/R1673</f>
        <v>0.50257371817215524</v>
      </c>
      <c r="S1677" s="132"/>
      <c r="T1677" s="146"/>
      <c r="U1677" s="138">
        <f>U1676/U1673</f>
        <v>0.49819211984433159</v>
      </c>
      <c r="V1677" s="132"/>
      <c r="W1677" s="146"/>
      <c r="X1677" s="138">
        <f>X1676/X1673</f>
        <v>0.47435764511207051</v>
      </c>
      <c r="Y1677" s="132"/>
      <c r="Z1677" s="146"/>
      <c r="AA1677" s="138">
        <f>AA1676/AA1673</f>
        <v>0.37525514949091093</v>
      </c>
      <c r="AB1677" s="132"/>
      <c r="AC1677" s="146"/>
      <c r="AD1677" s="138">
        <f>AD1676/AD1673</f>
        <v>-0.10862674485141795</v>
      </c>
      <c r="AE1677" s="132"/>
      <c r="AF1677" s="146"/>
      <c r="AG1677" s="138">
        <f>AG1676/AG1673</f>
        <v>6.8792453621324343</v>
      </c>
      <c r="AH1677" s="132"/>
      <c r="AI1677" s="146"/>
      <c r="AJ1677" s="138">
        <f>AJ1676/AJ1673</f>
        <v>1.6644179525061569</v>
      </c>
      <c r="AK1677" s="132"/>
      <c r="AL1677" s="146"/>
      <c r="AM1677" s="138">
        <f>AM1676/AM1673</f>
        <v>1.3542088868490354</v>
      </c>
      <c r="AN1677" s="132"/>
      <c r="AO1677" s="146"/>
      <c r="AP1677" s="138">
        <f>AP1676/AP1673</f>
        <v>1.2496216154091202</v>
      </c>
      <c r="AQ1677" s="132"/>
      <c r="AR1677" s="146"/>
      <c r="AS1677" s="138">
        <f>AS1676/AS1673</f>
        <v>1.1825350145326763</v>
      </c>
      <c r="AT1677" s="132"/>
      <c r="AU1677" s="146"/>
    </row>
    <row r="1678" spans="13:47" x14ac:dyDescent="0.25">
      <c r="M1678" s="27"/>
      <c r="N1678" s="27"/>
      <c r="O1678" s="2" t="s">
        <v>26</v>
      </c>
      <c r="P1678" s="7">
        <v>12</v>
      </c>
      <c r="Q1678" s="2"/>
      <c r="R1678" s="181">
        <f>1-R1677/(3*F_GAMMA*R$29)</f>
        <v>0.7382538485190443</v>
      </c>
      <c r="S1678" s="133"/>
      <c r="T1678" s="146"/>
      <c r="U1678" s="138">
        <f>1-U1677/(3*F_GAMMA*U$29)</f>
        <v>0.74059296268536634</v>
      </c>
      <c r="V1678" s="133"/>
      <c r="W1678" s="146"/>
      <c r="X1678" s="138">
        <f>1-X1677/(3*F_GAMMA*X$29)</f>
        <v>0.7492981565190544</v>
      </c>
      <c r="Y1678" s="133"/>
      <c r="Z1678" s="146"/>
      <c r="AA1678" s="138">
        <f>1-AA1677/(3*F_GAMMA*AA$29)</f>
        <v>0.79895530832147388</v>
      </c>
      <c r="AB1678" s="133"/>
      <c r="AC1678" s="146"/>
      <c r="AD1678" s="138">
        <f>1-AD1677/(3*F_GAMMA*AD$29)</f>
        <v>1.059792929557279</v>
      </c>
      <c r="AE1678" s="133"/>
      <c r="AF1678" s="146"/>
      <c r="AG1678" s="138">
        <f>1-AG1677/(3*F_GAMMA*AG$29)</f>
        <v>-3.00263452573635</v>
      </c>
      <c r="AH1678" s="133"/>
      <c r="AI1678" s="146"/>
      <c r="AJ1678" s="138">
        <f>1-AJ1677/(3*F_GAMMA*AJ$29)</f>
        <v>-3.5263116556021101E-2</v>
      </c>
      <c r="AK1678" s="133"/>
      <c r="AL1678" s="146"/>
      <c r="AM1678" s="138">
        <f>1-AM1677/(3*F_GAMMA*AM$29)</f>
        <v>7.9686321161721696E-2</v>
      </c>
      <c r="AN1678" s="133"/>
      <c r="AO1678" s="146"/>
      <c r="AP1678" s="138">
        <f>1-AP1677/(3*F_GAMMA*AP$29)</f>
        <v>0.29819775624833822</v>
      </c>
      <c r="AQ1678" s="133"/>
      <c r="AR1678" s="146"/>
      <c r="AS1678" s="138">
        <f>1-AS1677/(3*F_GAMMA*AS$29)</f>
        <v>-8.2003949939757348E-3</v>
      </c>
      <c r="AT1678" s="133"/>
      <c r="AU1678" s="146"/>
    </row>
    <row r="1679" spans="13:47" x14ac:dyDescent="0.25">
      <c r="M1679" s="27"/>
      <c r="N1679" s="27"/>
      <c r="O1679" s="2" t="s">
        <v>71</v>
      </c>
      <c r="P1679" s="85">
        <v>5</v>
      </c>
      <c r="Q1679" s="2"/>
      <c r="R1679" s="179">
        <f>R1671/((N_6*R$27*R1678)*SQRT(R1677*R1673*R1675))</f>
        <v>0.50226256964482197</v>
      </c>
      <c r="S1679" s="133"/>
      <c r="T1679" s="146"/>
      <c r="U1679" s="143">
        <f>U1671/((N_6*U$27*U1678)*SQRT(U1677*U1673*U1675))</f>
        <v>6.503540979334276</v>
      </c>
      <c r="V1679" s="133"/>
      <c r="W1679" s="146"/>
      <c r="X1679" s="143">
        <f>X1671/((N_6*X$27*X1678)*SQRT(X1677*X1673*X1675))</f>
        <v>17.103287089737936</v>
      </c>
      <c r="Y1679" s="133"/>
      <c r="Z1679" s="146"/>
      <c r="AA1679" s="143">
        <f>AA1671/((N_6*AA$27*AA1678)*SQRT(AA1677*AA1673*AA1675))</f>
        <v>41.989078483757808</v>
      </c>
      <c r="AB1679" s="133"/>
      <c r="AC1679" s="146"/>
      <c r="AD1679" s="143" t="e">
        <f>AD1671/((N_6*AD$27*AD1678)*SQRT(AD1677*AD1673*AD1675))</f>
        <v>#NUM!</v>
      </c>
      <c r="AE1679" s="133"/>
      <c r="AF1679" s="146"/>
      <c r="AG1679" s="143">
        <f>AG1671/((N_6*AG$27*AG1678)*SQRT(AG1677*AG1673*AG1675))</f>
        <v>-58.557022607107079</v>
      </c>
      <c r="AH1679" s="133"/>
      <c r="AI1679" s="146"/>
      <c r="AJ1679" s="143">
        <f>AJ1671/((N_6*AJ$27*AJ1678)*SQRT(AJ1677*AJ1673*AJ1675))</f>
        <v>-1504.5003454668481</v>
      </c>
      <c r="AK1679" s="133"/>
      <c r="AL1679" s="146"/>
      <c r="AM1679" s="143">
        <f>AM1671/((N_6*AM$27*AM1678)*SQRT(AM1677*AM1673*AM1675))</f>
        <v>489.73584455009217</v>
      </c>
      <c r="AN1679" s="133"/>
      <c r="AO1679" s="146"/>
      <c r="AP1679" s="143">
        <f>AP1671/((N_6*AP$27*AP1678)*SQRT(AP1677*AP1673*AP1675))</f>
        <v>121.67653505644799</v>
      </c>
      <c r="AQ1679" s="133"/>
      <c r="AR1679" s="146"/>
      <c r="AS1679" s="143">
        <f>AS1671/((N_6*AS$27*AS1678)*SQRT(AS1677*AS1673*AS1675))</f>
        <v>-4875.7925450301427</v>
      </c>
      <c r="AT1679" s="133"/>
      <c r="AU1679" s="146"/>
    </row>
    <row r="1680" spans="13:47" x14ac:dyDescent="0.25">
      <c r="M1680" s="27"/>
      <c r="N1680" s="27"/>
      <c r="O1680" s="2" t="s">
        <v>73</v>
      </c>
      <c r="P1680" s="85">
        <v>5</v>
      </c>
      <c r="Q1680" s="2"/>
      <c r="R1680" s="179">
        <f>R1671/((N_6*R$27*0.667)*SQRT(R1681*R1673*R1675))</f>
        <v>0.49261936460329914</v>
      </c>
      <c r="S1680" s="133"/>
      <c r="T1680" s="147"/>
      <c r="U1680" s="143">
        <f>U1671/((N_6*U$27*0.667)*SQRT(U1681*U1673*U1675))</f>
        <v>6.3702302833367632</v>
      </c>
      <c r="V1680" s="133"/>
      <c r="W1680" s="155"/>
      <c r="X1680" s="143">
        <f>X1671/((N_6*X$27*0.667)*SQRT(X1681*X1673*X1675))</f>
        <v>16.662793300240153</v>
      </c>
      <c r="Y1680" s="133"/>
      <c r="Z1680" s="155"/>
      <c r="AA1680" s="143">
        <f>AA1671/((N_6*AA$27*0.667)*SQRT(AA1681*AA1673*AA1675))</f>
        <v>39.060691623304038</v>
      </c>
      <c r="AB1680" s="133"/>
      <c r="AC1680" s="155"/>
      <c r="AD1680" s="143">
        <f>AD1671/((N_6*AD$27*0.667)*SQRT(AD1681*AD1673*AD1675))</f>
        <v>116.92557728705803</v>
      </c>
      <c r="AE1680" s="133"/>
      <c r="AF1680" s="155"/>
      <c r="AG1680" s="143">
        <f>AG1671/((N_6*AG$27*0.667)*SQRT(AG1681*AG1673*AG1675))</f>
        <v>913.45934367268558</v>
      </c>
      <c r="AH1680" s="133"/>
      <c r="AI1680" s="155"/>
      <c r="AJ1680" s="143">
        <f>AJ1671/((N_6*AJ$27*0.667)*SQRT(AJ1681*AJ1673*AJ1675))</f>
        <v>140.17583399873823</v>
      </c>
      <c r="AK1680" s="133"/>
      <c r="AL1680" s="155"/>
      <c r="AM1680" s="143">
        <f>AM1671/((N_6*AM$27*0.667)*SQRT(AM1681*AM1673*AM1675))</f>
        <v>97.218384787771683</v>
      </c>
      <c r="AN1680" s="133"/>
      <c r="AO1680" s="155"/>
      <c r="AP1680" s="143">
        <f>AP1671/((N_6*AP$27*0.667)*SQRT(AP1681*AP1673*AP1675))</f>
        <v>78.932048655569616</v>
      </c>
      <c r="AQ1680" s="133"/>
      <c r="AR1680" s="155"/>
      <c r="AS1680" s="143">
        <f>AS1671/((N_6*AS$27*0.667)*SQRT(AS1681*AS1673*AS1675))</f>
        <v>104.25291712556563</v>
      </c>
      <c r="AT1680" s="133"/>
      <c r="AU1680" s="155"/>
    </row>
    <row r="1681" spans="13:47" ht="15.5" x14ac:dyDescent="0.4">
      <c r="M1681" s="27"/>
      <c r="N1681" s="27"/>
      <c r="O1681" s="2" t="s">
        <v>192</v>
      </c>
      <c r="P1681" s="85">
        <v>10</v>
      </c>
      <c r="Q1681" s="2"/>
      <c r="R1681" s="181">
        <f>F_GAMMA*R$29</f>
        <v>0.64002688015162901</v>
      </c>
      <c r="S1681" s="133"/>
      <c r="T1681" s="147"/>
      <c r="U1681" s="138">
        <f>F_GAMMA*U$29</f>
        <v>0.64016782916606918</v>
      </c>
      <c r="V1681" s="133"/>
      <c r="W1681" s="155"/>
      <c r="X1681" s="138">
        <f>F_GAMMA*X$29</f>
        <v>0.6307062319203669</v>
      </c>
      <c r="Y1681" s="133"/>
      <c r="Z1681" s="155"/>
      <c r="AA1681" s="138">
        <f>F_GAMMA*AA$29</f>
        <v>0.62217534213893466</v>
      </c>
      <c r="AB1681" s="133"/>
      <c r="AC1681" s="155"/>
      <c r="AD1681" s="138">
        <f>F_GAMMA*AD$29</f>
        <v>0.60557184969146072</v>
      </c>
      <c r="AE1681" s="133"/>
      <c r="AF1681" s="155"/>
      <c r="AG1681" s="138">
        <f>F_GAMMA*AG$29</f>
        <v>0.57289312142622573</v>
      </c>
      <c r="AH1681" s="133"/>
      <c r="AI1681" s="155"/>
      <c r="AJ1681" s="138">
        <f>F_GAMMA*AJ$29</f>
        <v>0.53590819116049981</v>
      </c>
      <c r="AK1681" s="133"/>
      <c r="AL1681" s="155"/>
      <c r="AM1681" s="138">
        <f>F_GAMMA*AM$29</f>
        <v>0.49048815926850342</v>
      </c>
      <c r="AN1681" s="133"/>
      <c r="AO1681" s="155"/>
      <c r="AP1681" s="138">
        <f>F_GAMMA*AP$29</f>
        <v>0.59352979016280105</v>
      </c>
      <c r="AQ1681" s="133"/>
      <c r="AR1681" s="155"/>
      <c r="AS1681" s="138">
        <f>F_GAMMA*AS$29</f>
        <v>0.39097221161068291</v>
      </c>
      <c r="AT1681" s="133"/>
      <c r="AU1681" s="155"/>
    </row>
    <row r="1682" spans="13:47" x14ac:dyDescent="0.25">
      <c r="M1682" s="27"/>
      <c r="N1682" s="27"/>
      <c r="O1682" s="2" t="s">
        <v>193</v>
      </c>
      <c r="P1682" s="134"/>
      <c r="Q1682" s="2"/>
      <c r="R1682" s="181">
        <f>IF(R1677&lt;R1681,R1679,R1680)</f>
        <v>0.50226256964482197</v>
      </c>
      <c r="S1682" s="133"/>
      <c r="T1682" s="147"/>
      <c r="U1682" s="138">
        <f>IF(U1677&lt;U1681,U1679,U1680)</f>
        <v>6.503540979334276</v>
      </c>
      <c r="V1682" s="133"/>
      <c r="W1682" s="155"/>
      <c r="X1682" s="138">
        <f>IF(X1677&lt;X1681,X1679,X1680)</f>
        <v>17.103287089737936</v>
      </c>
      <c r="Y1682" s="133"/>
      <c r="Z1682" s="155"/>
      <c r="AA1682" s="138">
        <f>IF(AA1677&lt;AA1681,AA1679,AA1680)</f>
        <v>41.989078483757808</v>
      </c>
      <c r="AB1682" s="133"/>
      <c r="AC1682" s="155"/>
      <c r="AD1682" s="138" t="e">
        <f>IF(AD1677&lt;AD1681,AD1679,AD1680)</f>
        <v>#NUM!</v>
      </c>
      <c r="AE1682" s="133"/>
      <c r="AF1682" s="155"/>
      <c r="AG1682" s="138">
        <f>IF(AG1677&lt;AG1681,AG1679,AG1680)</f>
        <v>913.45934367268558</v>
      </c>
      <c r="AH1682" s="133"/>
      <c r="AI1682" s="155"/>
      <c r="AJ1682" s="138">
        <f>IF(AJ1677&lt;AJ1681,AJ1679,AJ1680)</f>
        <v>140.17583399873823</v>
      </c>
      <c r="AK1682" s="133"/>
      <c r="AL1682" s="155"/>
      <c r="AM1682" s="138">
        <f>IF(AM1677&lt;AM1681,AM1679,AM1680)</f>
        <v>97.218384787771683</v>
      </c>
      <c r="AN1682" s="133"/>
      <c r="AO1682" s="155"/>
      <c r="AP1682" s="138">
        <f>IF(AP1677&lt;AP1681,AP1679,AP1680)</f>
        <v>78.932048655569616</v>
      </c>
      <c r="AQ1682" s="133"/>
      <c r="AR1682" s="155"/>
      <c r="AS1682" s="138">
        <f>IF(AS1677&lt;AS1681,AS1679,AS1680)</f>
        <v>104.25291712556563</v>
      </c>
      <c r="AT1682" s="133"/>
      <c r="AU1682" s="155"/>
    </row>
    <row r="1683" spans="13:47" ht="13" x14ac:dyDescent="0.3">
      <c r="M1683" s="28"/>
      <c r="N1683" s="28"/>
      <c r="O1683" s="9" t="s">
        <v>194</v>
      </c>
      <c r="P1683" s="1"/>
      <c r="Q1683" s="1"/>
      <c r="R1683" s="135"/>
      <c r="S1683" s="132">
        <f>IF(R1676&lt;=0,W_max,ABS(R$23-R1682))</f>
        <v>1.497737430355178</v>
      </c>
      <c r="T1683" s="151">
        <f>R1671</f>
        <v>116.15170328683004</v>
      </c>
      <c r="U1683" s="135"/>
      <c r="V1683" s="132">
        <f>IF(U1676&lt;=0,W_max,ABS(U$23-U1682))</f>
        <v>1.503540979334276</v>
      </c>
      <c r="W1683" s="151">
        <f>U1671</f>
        <v>1488.1213198199348</v>
      </c>
      <c r="X1683" s="135"/>
      <c r="Y1683" s="132">
        <f>IF(X1676&lt;=0,W_max,ABS(X$23-X1682))</f>
        <v>7.1032870897379361</v>
      </c>
      <c r="Z1683" s="151">
        <f>X1671</f>
        <v>3680.3011124276377</v>
      </c>
      <c r="AA1683" s="135"/>
      <c r="AB1683" s="132">
        <f>IF(AA1676&lt;=0,W_max,ABS(AA$23-AA1682))</f>
        <v>24.789078483757809</v>
      </c>
      <c r="AC1683" s="151">
        <f>AA1671</f>
        <v>7168.2871870303607</v>
      </c>
      <c r="AD1683" s="135"/>
      <c r="AE1683" s="132">
        <f>IF(AD1676&lt;=0,W_max,ABS(AD$23-AD1682))</f>
        <v>7174</v>
      </c>
      <c r="AF1683" s="151">
        <f>AD1671</f>
        <v>11789.193215905902</v>
      </c>
      <c r="AG1683" s="135"/>
      <c r="AH1683" s="132">
        <f>IF(AG1676&lt;=0,W_max,ABS(AG$23-AG1682))</f>
        <v>7174</v>
      </c>
      <c r="AI1683" s="151">
        <f>AG1671</f>
        <v>16535.251090136069</v>
      </c>
      <c r="AJ1683" s="135"/>
      <c r="AK1683" s="132">
        <f>IF(AJ1676&lt;=0,W_max,ABS(AJ$23-AJ1682))</f>
        <v>7174</v>
      </c>
      <c r="AL1683" s="151">
        <f>AJ1671</f>
        <v>20995.381231320876</v>
      </c>
      <c r="AM1683" s="135"/>
      <c r="AN1683" s="132">
        <f>IF(AM1676&lt;=0,W_max,ABS(AM$23-AM1682))</f>
        <v>7174</v>
      </c>
      <c r="AO1683" s="151">
        <f>AM1671</f>
        <v>24618.735673878695</v>
      </c>
      <c r="AP1683" s="135"/>
      <c r="AQ1683" s="132">
        <f>IF(AP1676&lt;=0,W_max,ABS(AP$23-AP1682))</f>
        <v>7174</v>
      </c>
      <c r="AR1683" s="151">
        <f>AP1671</f>
        <v>27466.344126266697</v>
      </c>
      <c r="AS1683" s="135"/>
      <c r="AT1683" s="132">
        <f>IF(AS1676&lt;=0,W_max,ABS(AS$23-AS1682))</f>
        <v>7174</v>
      </c>
      <c r="AU1683" s="151">
        <f>AS1671</f>
        <v>30643.330740292586</v>
      </c>
    </row>
    <row r="1684" spans="13:47" ht="13" x14ac:dyDescent="0.25">
      <c r="M1684" s="12"/>
      <c r="N1684" s="12"/>
      <c r="O1684" s="12"/>
      <c r="P1684" s="12"/>
      <c r="Q1684" s="12"/>
      <c r="R1684" s="182"/>
      <c r="S1684" s="22"/>
      <c r="T1684" s="152"/>
      <c r="U1684" s="157"/>
      <c r="V1684" s="1"/>
      <c r="W1684" s="147"/>
      <c r="X1684" s="157"/>
      <c r="Y1684" s="1"/>
      <c r="Z1684" s="147"/>
      <c r="AA1684" s="157"/>
      <c r="AB1684" s="1"/>
      <c r="AC1684" s="147"/>
      <c r="AD1684" s="157"/>
      <c r="AE1684" s="1"/>
      <c r="AF1684" s="147"/>
      <c r="AG1684" s="157"/>
      <c r="AH1684" s="1"/>
      <c r="AI1684" s="147"/>
      <c r="AJ1684" s="157"/>
      <c r="AK1684" s="1"/>
      <c r="AL1684" s="147"/>
      <c r="AM1684" s="157"/>
      <c r="AN1684" s="1"/>
      <c r="AO1684" s="147"/>
      <c r="AP1684" s="157"/>
      <c r="AQ1684" s="1"/>
      <c r="AR1684" s="147"/>
      <c r="AS1684" s="157"/>
      <c r="AT1684" s="1"/>
      <c r="AU1684" s="147"/>
    </row>
    <row r="1685" spans="13:47" ht="14" x14ac:dyDescent="0.3">
      <c r="M1685" s="23"/>
      <c r="N1685" s="23"/>
      <c r="O1685" s="23" t="s">
        <v>238</v>
      </c>
      <c r="P1685" s="20"/>
      <c r="Q1685" s="20"/>
      <c r="R1685" s="18">
        <f>R1671*1.02</f>
        <v>118.47473735256665</v>
      </c>
      <c r="S1685" s="128" t="s">
        <v>185</v>
      </c>
      <c r="T1685" s="153" t="s">
        <v>186</v>
      </c>
      <c r="U1685" s="143">
        <f>U1671*1.01</f>
        <v>1503.002533018134</v>
      </c>
      <c r="V1685" s="128" t="s">
        <v>185</v>
      </c>
      <c r="W1685" s="153" t="s">
        <v>186</v>
      </c>
      <c r="X1685" s="143">
        <f>X1671*1.01</f>
        <v>3717.1041235519142</v>
      </c>
      <c r="Y1685" s="128" t="s">
        <v>185</v>
      </c>
      <c r="Z1685" s="153" t="s">
        <v>186</v>
      </c>
      <c r="AA1685" s="143">
        <f>AA1671*1.01</f>
        <v>7239.9700589006643</v>
      </c>
      <c r="AB1685" s="128" t="s">
        <v>185</v>
      </c>
      <c r="AC1685" s="153" t="s">
        <v>186</v>
      </c>
      <c r="AD1685" s="143">
        <f>AD1671*1.01</f>
        <v>11907.08514806496</v>
      </c>
      <c r="AE1685" s="128" t="s">
        <v>185</v>
      </c>
      <c r="AF1685" s="153" t="s">
        <v>186</v>
      </c>
      <c r="AG1685" s="143">
        <f>AG1671*1.01</f>
        <v>16700.60360103743</v>
      </c>
      <c r="AH1685" s="128" t="s">
        <v>185</v>
      </c>
      <c r="AI1685" s="153" t="s">
        <v>186</v>
      </c>
      <c r="AJ1685" s="143">
        <f>AJ1671*1.01</f>
        <v>21205.335043634084</v>
      </c>
      <c r="AK1685" s="128" t="s">
        <v>185</v>
      </c>
      <c r="AL1685" s="153" t="s">
        <v>186</v>
      </c>
      <c r="AM1685" s="143">
        <f>AM1671*1.01</f>
        <v>24864.923030617483</v>
      </c>
      <c r="AN1685" s="128" t="s">
        <v>185</v>
      </c>
      <c r="AO1685" s="153" t="s">
        <v>186</v>
      </c>
      <c r="AP1685" s="143">
        <f>AP1671*1.01</f>
        <v>27741.007567529363</v>
      </c>
      <c r="AQ1685" s="128" t="s">
        <v>185</v>
      </c>
      <c r="AR1685" s="153" t="s">
        <v>186</v>
      </c>
      <c r="AS1685" s="143">
        <f>AS1671*1.01</f>
        <v>30949.764047695513</v>
      </c>
      <c r="AT1685" s="128" t="s">
        <v>185</v>
      </c>
      <c r="AU1685" s="153" t="s">
        <v>186</v>
      </c>
    </row>
    <row r="1686" spans="13:47" ht="14" x14ac:dyDescent="0.3">
      <c r="M1686" s="12"/>
      <c r="N1686" s="12"/>
      <c r="O1686" s="20"/>
      <c r="P1686" s="20"/>
      <c r="Q1686" s="23"/>
      <c r="R1686" s="139"/>
      <c r="S1686" s="130" t="s">
        <v>228</v>
      </c>
      <c r="T1686" s="154" t="s">
        <v>187</v>
      </c>
      <c r="U1686" s="144"/>
      <c r="V1686" s="130" t="s">
        <v>228</v>
      </c>
      <c r="W1686" s="154" t="s">
        <v>187</v>
      </c>
      <c r="X1686" s="144"/>
      <c r="Y1686" s="130" t="s">
        <v>228</v>
      </c>
      <c r="Z1686" s="154" t="s">
        <v>187</v>
      </c>
      <c r="AA1686" s="144"/>
      <c r="AB1686" s="130" t="s">
        <v>228</v>
      </c>
      <c r="AC1686" s="154" t="s">
        <v>187</v>
      </c>
      <c r="AD1686" s="144"/>
      <c r="AE1686" s="130" t="s">
        <v>228</v>
      </c>
      <c r="AF1686" s="154" t="s">
        <v>187</v>
      </c>
      <c r="AG1686" s="144"/>
      <c r="AH1686" s="130" t="s">
        <v>228</v>
      </c>
      <c r="AI1686" s="154" t="s">
        <v>187</v>
      </c>
      <c r="AJ1686" s="144"/>
      <c r="AK1686" s="130" t="s">
        <v>228</v>
      </c>
      <c r="AL1686" s="154" t="s">
        <v>187</v>
      </c>
      <c r="AM1686" s="144"/>
      <c r="AN1686" s="130" t="s">
        <v>228</v>
      </c>
      <c r="AO1686" s="154" t="s">
        <v>187</v>
      </c>
      <c r="AP1686" s="144"/>
      <c r="AQ1686" s="130" t="s">
        <v>228</v>
      </c>
      <c r="AR1686" s="154" t="s">
        <v>187</v>
      </c>
      <c r="AS1686" s="144"/>
      <c r="AT1686" s="130" t="s">
        <v>228</v>
      </c>
      <c r="AU1686" s="154" t="s">
        <v>187</v>
      </c>
    </row>
    <row r="1687" spans="13:47" x14ac:dyDescent="0.25">
      <c r="M1687" s="20"/>
      <c r="N1687" s="20"/>
      <c r="O1687" s="7" t="s">
        <v>188</v>
      </c>
      <c r="P1687" s="7"/>
      <c r="Q1687" s="7"/>
      <c r="R1687" s="181">
        <f>P_1_minW-(R1685^2*R_up)+dpup_minQ</f>
        <v>100.51718961055911</v>
      </c>
      <c r="S1687" s="132"/>
      <c r="T1687" s="145"/>
      <c r="U1687" s="138">
        <f>P_1_minW-(U1685^2*R_up)+dpup_minQ</f>
        <v>99.621977122890314</v>
      </c>
      <c r="V1687" s="132"/>
      <c r="W1687" s="145"/>
      <c r="X1687" s="138">
        <f>P_1_minW-(X1685^2*R_up)+dpup_minQ</f>
        <v>95.013149045819091</v>
      </c>
      <c r="Y1687" s="132"/>
      <c r="Z1687" s="145"/>
      <c r="AA1687" s="138">
        <f>P_1_minW-(AA1685^2*R_up)+dpup_minQ</f>
        <v>79.620821176319865</v>
      </c>
      <c r="AB1687" s="132"/>
      <c r="AC1687" s="145"/>
      <c r="AD1687" s="138">
        <f>P_1_minW-(AD1685^2*R_up)+dpup_minQ</f>
        <v>43.986861226845761</v>
      </c>
      <c r="AE1687" s="132"/>
      <c r="AF1687" s="145"/>
      <c r="AG1687" s="138">
        <f>P_1_minW-(AG1685^2*R_up)+dpup_minQ</f>
        <v>-10.695941144421511</v>
      </c>
      <c r="AH1687" s="132"/>
      <c r="AI1687" s="145"/>
      <c r="AJ1687" s="138">
        <f>P_1_minW-(AJ1685^2*R_up)+dpup_minQ</f>
        <v>-78.786946679930182</v>
      </c>
      <c r="AK1687" s="132"/>
      <c r="AL1687" s="145"/>
      <c r="AM1687" s="138">
        <f>P_1_minW-(AM1685^2*R_up)+dpup_minQ</f>
        <v>-146.0174597944019</v>
      </c>
      <c r="AN1687" s="132"/>
      <c r="AO1687" s="145"/>
      <c r="AP1687" s="138">
        <f>P_1_minW-(AP1685^2*R_up)+dpup_minQ</f>
        <v>-206.34976818747114</v>
      </c>
      <c r="AQ1687" s="132"/>
      <c r="AR1687" s="145"/>
      <c r="AS1687" s="138">
        <f>P_1_minW-(AS1685^2*R_up)+dpup_minQ</f>
        <v>-281.44634929970772</v>
      </c>
      <c r="AT1687" s="132"/>
      <c r="AU1687" s="145"/>
    </row>
    <row r="1688" spans="13:47" x14ac:dyDescent="0.25">
      <c r="M1688" s="20"/>
      <c r="N1688" s="20"/>
      <c r="O1688" s="7" t="s">
        <v>189</v>
      </c>
      <c r="P1688" s="1"/>
      <c r="Q1688" s="7"/>
      <c r="R1688" s="181">
        <f>P_2_minW+(R1685^2*R_dn)-dpdn_minQ</f>
        <v>50</v>
      </c>
      <c r="S1688" s="132"/>
      <c r="T1688" s="146"/>
      <c r="U1688" s="138">
        <f>P_2_minW+(U1685^2*R_dn)-dpdn_minQ</f>
        <v>50</v>
      </c>
      <c r="V1688" s="132"/>
      <c r="W1688" s="146"/>
      <c r="X1688" s="138">
        <f>P_2_minW+(X1685^2*R_dn)-dpdn_minQ</f>
        <v>50</v>
      </c>
      <c r="Y1688" s="132"/>
      <c r="Z1688" s="146"/>
      <c r="AA1688" s="138">
        <f>P_2_minW+(AA1685^2*R_dn)-dpdn_minQ</f>
        <v>50</v>
      </c>
      <c r="AB1688" s="132"/>
      <c r="AC1688" s="146"/>
      <c r="AD1688" s="138">
        <f>P_2_minW+(AD1685^2*R_dn)-dpdn_minQ</f>
        <v>50</v>
      </c>
      <c r="AE1688" s="132"/>
      <c r="AF1688" s="146"/>
      <c r="AG1688" s="138">
        <f>P_2_minW+(AG1685^2*R_dn)-dpdn_minQ</f>
        <v>50</v>
      </c>
      <c r="AH1688" s="132"/>
      <c r="AI1688" s="146"/>
      <c r="AJ1688" s="138">
        <f>P_2_minW+(AJ1685^2*R_dn)-dpdn_minQ</f>
        <v>50</v>
      </c>
      <c r="AK1688" s="132"/>
      <c r="AL1688" s="146"/>
      <c r="AM1688" s="138">
        <f>P_2_minW+(AM1685^2*R_dn)-dpdn_minQ</f>
        <v>50</v>
      </c>
      <c r="AN1688" s="132"/>
      <c r="AO1688" s="146"/>
      <c r="AP1688" s="138">
        <f>P_2_minW+(AP1685^2*R_dn)-dpdn_minQ</f>
        <v>50</v>
      </c>
      <c r="AQ1688" s="132"/>
      <c r="AR1688" s="146"/>
      <c r="AS1688" s="138">
        <f>P_2_minW+(AS1685^2*R_dn)-dpdn_minQ</f>
        <v>50</v>
      </c>
      <c r="AT1688" s="132"/>
      <c r="AU1688" s="146"/>
    </row>
    <row r="1689" spans="13:47" x14ac:dyDescent="0.25">
      <c r="M1689" s="20"/>
      <c r="N1689" s="20"/>
      <c r="O1689" s="7" t="s">
        <v>234</v>
      </c>
      <c r="P1689" s="1"/>
      <c r="Q1689" s="7"/>
      <c r="R1689" s="179">
        <f>'Valve Sizing'!G$8*R1687/P_1_maxW</f>
        <v>0.48487702669876531</v>
      </c>
      <c r="S1689" s="132"/>
      <c r="T1689" s="146"/>
      <c r="U1689" s="143">
        <f>'Valve Sizing'!$G$8*U1687/P_1_maxW</f>
        <v>0.48055868104101079</v>
      </c>
      <c r="V1689" s="132"/>
      <c r="W1689" s="146"/>
      <c r="X1689" s="143">
        <f>'Valve Sizing'!$G$8*X1687/P_1_maxW</f>
        <v>0.4583265149484827</v>
      </c>
      <c r="Y1689" s="132"/>
      <c r="Z1689" s="146"/>
      <c r="AA1689" s="143">
        <f>'Valve Sizing'!$G$8*AA1687/P_1_maxW</f>
        <v>0.38407666574108595</v>
      </c>
      <c r="AB1689" s="132"/>
      <c r="AC1689" s="146"/>
      <c r="AD1689" s="143">
        <f>'Valve Sizing'!$G$8*AD1687/P_1_maxW</f>
        <v>0.21218478718035799</v>
      </c>
      <c r="AE1689" s="132"/>
      <c r="AF1689" s="146"/>
      <c r="AG1689" s="143">
        <f>'Valve Sizing'!$G$8*AG1687/P_1_maxW</f>
        <v>-5.1595315785741891E-2</v>
      </c>
      <c r="AH1689" s="132"/>
      <c r="AI1689" s="146"/>
      <c r="AJ1689" s="143">
        <f>'Valve Sizing'!$G$8*AJ1687/P_1_maxW</f>
        <v>-0.38005420363270553</v>
      </c>
      <c r="AK1689" s="132"/>
      <c r="AL1689" s="146"/>
      <c r="AM1689" s="143">
        <f>'Valve Sizing'!$G$8*AM1687/P_1_maxW</f>
        <v>-0.70436222924181979</v>
      </c>
      <c r="AN1689" s="132"/>
      <c r="AO1689" s="146"/>
      <c r="AP1689" s="143">
        <f>'Valve Sizing'!$G$8*AP1687/P_1_maxW</f>
        <v>-0.99539454342454081</v>
      </c>
      <c r="AQ1689" s="132"/>
      <c r="AR1689" s="146"/>
      <c r="AS1689" s="143">
        <f>'Valve Sizing'!$G$8*AS1687/P_1_maxW</f>
        <v>-1.3576470805877849</v>
      </c>
      <c r="AT1689" s="132"/>
      <c r="AU1689" s="146"/>
    </row>
    <row r="1690" spans="13:47" x14ac:dyDescent="0.25">
      <c r="M1690" s="20"/>
      <c r="N1690" s="20"/>
      <c r="O1690" s="7" t="s">
        <v>190</v>
      </c>
      <c r="P1690" s="1"/>
      <c r="Q1690" s="7"/>
      <c r="R1690" s="181">
        <f>R1687-R1688</f>
        <v>50.517189610559114</v>
      </c>
      <c r="S1690" s="132"/>
      <c r="T1690" s="146"/>
      <c r="U1690" s="138">
        <f>U1687-U1688</f>
        <v>49.621977122890314</v>
      </c>
      <c r="V1690" s="132"/>
      <c r="W1690" s="146"/>
      <c r="X1690" s="138">
        <f>X1687-X1688</f>
        <v>45.013149045819091</v>
      </c>
      <c r="Y1690" s="132"/>
      <c r="Z1690" s="146"/>
      <c r="AA1690" s="138">
        <f>AA1687-AA1688</f>
        <v>29.620821176319865</v>
      </c>
      <c r="AB1690" s="132"/>
      <c r="AC1690" s="146"/>
      <c r="AD1690" s="138">
        <f>AD1687-AD1688</f>
        <v>-6.0131387731542389</v>
      </c>
      <c r="AE1690" s="132"/>
      <c r="AF1690" s="146"/>
      <c r="AG1690" s="138">
        <f>AG1687-AG1688</f>
        <v>-60.695941144421511</v>
      </c>
      <c r="AH1690" s="132"/>
      <c r="AI1690" s="146"/>
      <c r="AJ1690" s="138">
        <f>AJ1687-AJ1688</f>
        <v>-128.78694667993017</v>
      </c>
      <c r="AK1690" s="132"/>
      <c r="AL1690" s="146"/>
      <c r="AM1690" s="138">
        <f>AM1687-AM1688</f>
        <v>-196.0174597944019</v>
      </c>
      <c r="AN1690" s="132"/>
      <c r="AO1690" s="146"/>
      <c r="AP1690" s="138">
        <f>AP1687-AP1688</f>
        <v>-256.34976818747111</v>
      </c>
      <c r="AQ1690" s="132"/>
      <c r="AR1690" s="146"/>
      <c r="AS1690" s="138">
        <f>AS1687-AS1688</f>
        <v>-331.44634929970772</v>
      </c>
      <c r="AT1690" s="132"/>
      <c r="AU1690" s="146"/>
    </row>
    <row r="1691" spans="13:47" ht="14.5" x14ac:dyDescent="0.35">
      <c r="M1691" s="27"/>
      <c r="N1691" s="27"/>
      <c r="O1691" s="2" t="s">
        <v>191</v>
      </c>
      <c r="P1691" s="10"/>
      <c r="Q1691" s="2"/>
      <c r="R1691" s="181">
        <f>R1690/R1687</f>
        <v>0.50257264261248702</v>
      </c>
      <c r="S1691" s="132"/>
      <c r="T1691" s="146"/>
      <c r="U1691" s="138">
        <f>U1690/U1687</f>
        <v>0.49810271343719986</v>
      </c>
      <c r="V1691" s="132"/>
      <c r="W1691" s="146"/>
      <c r="X1691" s="138">
        <f>X1690/X1687</f>
        <v>0.4737570483440347</v>
      </c>
      <c r="Y1691" s="132"/>
      <c r="Z1691" s="146"/>
      <c r="AA1691" s="138">
        <f>AA1690/AA1687</f>
        <v>0.37202355789228447</v>
      </c>
      <c r="AB1691" s="132"/>
      <c r="AC1691" s="146"/>
      <c r="AD1691" s="138">
        <f>AD1690/AD1687</f>
        <v>-0.13670306553913289</v>
      </c>
      <c r="AE1691" s="132"/>
      <c r="AF1691" s="146"/>
      <c r="AG1691" s="138">
        <f>AG1690/AG1687</f>
        <v>5.6746704497413578</v>
      </c>
      <c r="AH1691" s="132"/>
      <c r="AI1691" s="146"/>
      <c r="AJ1691" s="138">
        <f>AJ1690/AJ1687</f>
        <v>1.6346228925855397</v>
      </c>
      <c r="AK1691" s="132"/>
      <c r="AL1691" s="146"/>
      <c r="AM1691" s="138">
        <f>AM1690/AM1687</f>
        <v>1.342424803652946</v>
      </c>
      <c r="AN1691" s="132"/>
      <c r="AO1691" s="146"/>
      <c r="AP1691" s="138">
        <f>AP1690/AP1687</f>
        <v>1.2423070325650882</v>
      </c>
      <c r="AQ1691" s="132"/>
      <c r="AR1691" s="146"/>
      <c r="AS1691" s="138">
        <f>AS1690/AS1687</f>
        <v>1.1776537522139106</v>
      </c>
      <c r="AT1691" s="132"/>
      <c r="AU1691" s="146"/>
    </row>
    <row r="1692" spans="13:47" x14ac:dyDescent="0.25">
      <c r="M1692" s="27"/>
      <c r="N1692" s="27"/>
      <c r="O1692" s="2" t="s">
        <v>26</v>
      </c>
      <c r="P1692" s="7">
        <v>12</v>
      </c>
      <c r="Q1692" s="2"/>
      <c r="R1692" s="181">
        <f>1-R1691/(3*F_GAMMA*R$29)</f>
        <v>0.73825440868284442</v>
      </c>
      <c r="S1692" s="133"/>
      <c r="T1692" s="146"/>
      <c r="U1692" s="138">
        <f>1-U1691/(3*F_GAMMA*U$29)</f>
        <v>0.74063951631451297</v>
      </c>
      <c r="V1692" s="133"/>
      <c r="W1692" s="146"/>
      <c r="X1692" s="138">
        <f>1-X1691/(3*F_GAMMA*X$29)</f>
        <v>0.74961557675774304</v>
      </c>
      <c r="Y1692" s="133"/>
      <c r="Z1692" s="146"/>
      <c r="AA1692" s="138">
        <f>1-AA1691/(3*F_GAMMA*AA$29)</f>
        <v>0.80068664855080363</v>
      </c>
      <c r="AB1692" s="133"/>
      <c r="AC1692" s="146"/>
      <c r="AD1692" s="138">
        <f>1-AD1691/(3*F_GAMMA*AD$29)</f>
        <v>1.0752473691375533</v>
      </c>
      <c r="AE1692" s="133"/>
      <c r="AF1692" s="146"/>
      <c r="AG1692" s="138">
        <f>1-AG1691/(3*F_GAMMA*AG$29)</f>
        <v>-2.3017621364896028</v>
      </c>
      <c r="AH1692" s="133"/>
      <c r="AI1692" s="146"/>
      <c r="AJ1692" s="138">
        <f>1-AJ1691/(3*F_GAMMA*AJ$29)</f>
        <v>-1.6730676104422804E-2</v>
      </c>
      <c r="AK1692" s="133"/>
      <c r="AL1692" s="146"/>
      <c r="AM1692" s="138">
        <f>1-AM1691/(3*F_GAMMA*AM$29)</f>
        <v>8.769472596783956E-2</v>
      </c>
      <c r="AN1692" s="133"/>
      <c r="AO1692" s="146"/>
      <c r="AP1692" s="138">
        <f>1-AP1691/(3*F_GAMMA*AP$29)</f>
        <v>0.30230571227978731</v>
      </c>
      <c r="AQ1692" s="133"/>
      <c r="AR1692" s="146"/>
      <c r="AS1692" s="138">
        <f>1-AS1691/(3*F_GAMMA*AS$29)</f>
        <v>-4.038750275325409E-3</v>
      </c>
      <c r="AT1692" s="133"/>
      <c r="AU1692" s="146"/>
    </row>
    <row r="1693" spans="13:47" x14ac:dyDescent="0.25">
      <c r="M1693" s="27"/>
      <c r="N1693" s="27"/>
      <c r="O1693" s="2" t="s">
        <v>71</v>
      </c>
      <c r="P1693" s="85">
        <v>5</v>
      </c>
      <c r="Q1693" s="2"/>
      <c r="R1693" s="179">
        <f>R1685/((N_6*R$27*R1692)*SQRT(R1691*R1687*R1689))</f>
        <v>0.51230908824885502</v>
      </c>
      <c r="S1693" s="133"/>
      <c r="T1693" s="146"/>
      <c r="U1693" s="143">
        <f>U1685/((N_6*U$27*U1692)*SQRT(U1691*U1687*U1689))</f>
        <v>6.5699233065271834</v>
      </c>
      <c r="V1693" s="133"/>
      <c r="W1693" s="146"/>
      <c r="X1693" s="143">
        <f>X1685/((N_6*X$27*X1692)*SQRT(X1691*X1687*X1689))</f>
        <v>17.297688460346414</v>
      </c>
      <c r="Y1693" s="133"/>
      <c r="Z1693" s="146"/>
      <c r="AA1693" s="143">
        <f>AA1685/((N_6*AA$27*AA1692)*SQRT(AA1691*AA1687*AA1689))</f>
        <v>42.720506520785236</v>
      </c>
      <c r="AB1693" s="133"/>
      <c r="AC1693" s="146"/>
      <c r="AD1693" s="143" t="e">
        <f>AD1685/((N_6*AD$27*AD1692)*SQRT(AD1691*AD1687*AD1689))</f>
        <v>#NUM!</v>
      </c>
      <c r="AE1693" s="133"/>
      <c r="AF1693" s="146"/>
      <c r="AG1693" s="143">
        <f>AG1685/((N_6*AG$27*AG1692)*SQRT(AG1691*AG1687*AG1689))</f>
        <v>-67.541683947785984</v>
      </c>
      <c r="AH1693" s="133"/>
      <c r="AI1693" s="146"/>
      <c r="AJ1693" s="143">
        <f>AJ1685/((N_6*AJ$27*AJ1692)*SQRT(AJ1691*AJ1687*AJ1689))</f>
        <v>-3086.8650925297989</v>
      </c>
      <c r="AK1693" s="133"/>
      <c r="AL1693" s="146"/>
      <c r="AM1693" s="143">
        <f>AM1685/((N_6*AM$27*AM1692)*SQRT(AM1691*AM1687*AM1689))</f>
        <v>436.41249438385745</v>
      </c>
      <c r="AN1693" s="133"/>
      <c r="AO1693" s="146"/>
      <c r="AP1693" s="143">
        <f>AP1685/((N_6*AP$27*AP1692)*SQRT(AP1691*AP1687*AP1689))</f>
        <v>118.01707529023707</v>
      </c>
      <c r="AQ1693" s="133"/>
      <c r="AR1693" s="146"/>
      <c r="AS1693" s="143">
        <f>AS1685/((N_6*AS$27*AS1692)*SQRT(AS1691*AS1687*AS1689))</f>
        <v>-9751.7095663662094</v>
      </c>
      <c r="AT1693" s="133"/>
      <c r="AU1693" s="146"/>
    </row>
    <row r="1694" spans="13:47" x14ac:dyDescent="0.25">
      <c r="M1694" s="27"/>
      <c r="N1694" s="27"/>
      <c r="O1694" s="2" t="s">
        <v>73</v>
      </c>
      <c r="P1694" s="85">
        <v>5</v>
      </c>
      <c r="Q1694" s="2"/>
      <c r="R1694" s="179">
        <f>R1685/((N_6*R$27*0.667)*SQRT(R1695*R1687*R1689))</f>
        <v>0.50247283836459788</v>
      </c>
      <c r="S1694" s="133"/>
      <c r="T1694" s="155"/>
      <c r="U1694" s="143">
        <f>U1685/((N_6*U$27*0.667)*SQRT(U1695*U1687*U1689))</f>
        <v>6.4350789109270847</v>
      </c>
      <c r="V1694" s="133"/>
      <c r="W1694" s="155"/>
      <c r="X1694" s="143">
        <f>X1685/((N_6*X$27*0.667)*SQRT(X1695*X1687*X1689))</f>
        <v>16.848650459933683</v>
      </c>
      <c r="Y1694" s="133"/>
      <c r="Z1694" s="155"/>
      <c r="AA1694" s="143">
        <f>AA1685/((N_6*AA$27*0.667)*SQRT(AA1695*AA1687*AA1689))</f>
        <v>39.655366623990083</v>
      </c>
      <c r="AB1694" s="133"/>
      <c r="AC1694" s="155"/>
      <c r="AD1694" s="143">
        <f>AD1685/((N_6*AD$27*0.667)*SQRT(AD1695*AD1687*AD1689))</f>
        <v>121.08562181723674</v>
      </c>
      <c r="AE1694" s="133"/>
      <c r="AF1694" s="155"/>
      <c r="AG1694" s="143">
        <f>AG1685/((N_6*AG$27*0.667)*SQRT(AG1695*AG1687*AG1689))</f>
        <v>733.56737970051699</v>
      </c>
      <c r="AH1694" s="133"/>
      <c r="AI1694" s="155"/>
      <c r="AJ1694" s="143">
        <f>AJ1685/((N_6*AJ$27*0.667)*SQRT(AJ1695*AJ1687*AJ1689))</f>
        <v>135.2287078282489</v>
      </c>
      <c r="AK1694" s="133"/>
      <c r="AL1694" s="155"/>
      <c r="AM1694" s="143">
        <f>AM1685/((N_6*AM$27*0.667)*SQRT(AM1695*AM1687*AM1689))</f>
        <v>94.923892183324867</v>
      </c>
      <c r="AN1694" s="133"/>
      <c r="AO1694" s="155"/>
      <c r="AP1694" s="143">
        <f>AP1685/((N_6*AP$27*0.667)*SQRT(AP1695*AP1687*AP1689))</f>
        <v>77.385319204807203</v>
      </c>
      <c r="AQ1694" s="133"/>
      <c r="AR1694" s="155"/>
      <c r="AS1694" s="143">
        <f>AS1685/((N_6*AS$27*0.667)*SQRT(AS1695*AS1687*AS1689))</f>
        <v>102.47968683465906</v>
      </c>
      <c r="AT1694" s="133"/>
      <c r="AU1694" s="155"/>
    </row>
    <row r="1695" spans="13:47" ht="15.5" x14ac:dyDescent="0.4">
      <c r="M1695" s="27"/>
      <c r="N1695" s="27"/>
      <c r="O1695" s="2" t="s">
        <v>192</v>
      </c>
      <c r="P1695" s="85">
        <v>10</v>
      </c>
      <c r="Q1695" s="2"/>
      <c r="R1695" s="181">
        <f>F_GAMMA*R$29</f>
        <v>0.64002688015162901</v>
      </c>
      <c r="S1695" s="133"/>
      <c r="T1695" s="155"/>
      <c r="U1695" s="138">
        <f>F_GAMMA*U$29</f>
        <v>0.64016782916606918</v>
      </c>
      <c r="V1695" s="133"/>
      <c r="W1695" s="155"/>
      <c r="X1695" s="138">
        <f>F_GAMMA*X$29</f>
        <v>0.6307062319203669</v>
      </c>
      <c r="Y1695" s="133"/>
      <c r="Z1695" s="155"/>
      <c r="AA1695" s="138">
        <f>F_GAMMA*AA$29</f>
        <v>0.62217534213893466</v>
      </c>
      <c r="AB1695" s="133"/>
      <c r="AC1695" s="155"/>
      <c r="AD1695" s="138">
        <f>F_GAMMA*AD$29</f>
        <v>0.60557184969146072</v>
      </c>
      <c r="AE1695" s="133"/>
      <c r="AF1695" s="155"/>
      <c r="AG1695" s="138">
        <f>F_GAMMA*AG$29</f>
        <v>0.57289312142622573</v>
      </c>
      <c r="AH1695" s="133"/>
      <c r="AI1695" s="155"/>
      <c r="AJ1695" s="138">
        <f>F_GAMMA*AJ$29</f>
        <v>0.53590819116049981</v>
      </c>
      <c r="AK1695" s="133"/>
      <c r="AL1695" s="155"/>
      <c r="AM1695" s="138">
        <f>F_GAMMA*AM$29</f>
        <v>0.49048815926850342</v>
      </c>
      <c r="AN1695" s="133"/>
      <c r="AO1695" s="155"/>
      <c r="AP1695" s="138">
        <f>F_GAMMA*AP$29</f>
        <v>0.59352979016280105</v>
      </c>
      <c r="AQ1695" s="133"/>
      <c r="AR1695" s="155"/>
      <c r="AS1695" s="138">
        <f>F_GAMMA*AS$29</f>
        <v>0.39097221161068291</v>
      </c>
      <c r="AT1695" s="133"/>
      <c r="AU1695" s="155"/>
    </row>
    <row r="1696" spans="13:47" x14ac:dyDescent="0.25">
      <c r="M1696" s="27"/>
      <c r="N1696" s="27"/>
      <c r="O1696" s="2" t="s">
        <v>193</v>
      </c>
      <c r="P1696" s="134"/>
      <c r="Q1696" s="2"/>
      <c r="R1696" s="181">
        <f>IF(R1691&lt;R1695,R1693,R1694)</f>
        <v>0.51230908824885502</v>
      </c>
      <c r="S1696" s="133"/>
      <c r="T1696" s="155"/>
      <c r="U1696" s="138">
        <f>IF(U1691&lt;U1695,U1693,U1694)</f>
        <v>6.5699233065271834</v>
      </c>
      <c r="V1696" s="133"/>
      <c r="W1696" s="155"/>
      <c r="X1696" s="138">
        <f>IF(X1691&lt;X1695,X1693,X1694)</f>
        <v>17.297688460346414</v>
      </c>
      <c r="Y1696" s="133"/>
      <c r="Z1696" s="155"/>
      <c r="AA1696" s="138">
        <f>IF(AA1691&lt;AA1695,AA1693,AA1694)</f>
        <v>42.720506520785236</v>
      </c>
      <c r="AB1696" s="133"/>
      <c r="AC1696" s="155"/>
      <c r="AD1696" s="138" t="e">
        <f>IF(AD1691&lt;AD1695,AD1693,AD1694)</f>
        <v>#NUM!</v>
      </c>
      <c r="AE1696" s="133"/>
      <c r="AF1696" s="155"/>
      <c r="AG1696" s="138">
        <f>IF(AG1691&lt;AG1695,AG1693,AG1694)</f>
        <v>733.56737970051699</v>
      </c>
      <c r="AH1696" s="133"/>
      <c r="AI1696" s="155"/>
      <c r="AJ1696" s="138">
        <f>IF(AJ1691&lt;AJ1695,AJ1693,AJ1694)</f>
        <v>135.2287078282489</v>
      </c>
      <c r="AK1696" s="133"/>
      <c r="AL1696" s="155"/>
      <c r="AM1696" s="138">
        <f>IF(AM1691&lt;AM1695,AM1693,AM1694)</f>
        <v>94.923892183324867</v>
      </c>
      <c r="AN1696" s="133"/>
      <c r="AO1696" s="155"/>
      <c r="AP1696" s="138">
        <f>IF(AP1691&lt;AP1695,AP1693,AP1694)</f>
        <v>77.385319204807203</v>
      </c>
      <c r="AQ1696" s="133"/>
      <c r="AR1696" s="155"/>
      <c r="AS1696" s="138">
        <f>IF(AS1691&lt;AS1695,AS1693,AS1694)</f>
        <v>102.47968683465906</v>
      </c>
      <c r="AT1696" s="133"/>
      <c r="AU1696" s="155"/>
    </row>
    <row r="1697" spans="13:47" ht="13" x14ac:dyDescent="0.3">
      <c r="M1697" s="28"/>
      <c r="N1697" s="28"/>
      <c r="O1697" s="9" t="s">
        <v>194</v>
      </c>
      <c r="P1697" s="1"/>
      <c r="Q1697" s="1"/>
      <c r="R1697" s="135"/>
      <c r="S1697" s="132">
        <f>IF(R1690&lt;=0,W_max,ABS(R$23-R1696))</f>
        <v>1.487690911751145</v>
      </c>
      <c r="T1697" s="151">
        <f>R1685</f>
        <v>118.47473735256665</v>
      </c>
      <c r="U1697" s="135"/>
      <c r="V1697" s="132">
        <f>IF(U1690&lt;=0,W_max,ABS(U$23-U1696))</f>
        <v>1.5699233065271834</v>
      </c>
      <c r="W1697" s="151">
        <f>U1685</f>
        <v>1503.002533018134</v>
      </c>
      <c r="X1697" s="135"/>
      <c r="Y1697" s="132">
        <f>IF(X1690&lt;=0,W_max,ABS(X$23-X1696))</f>
        <v>7.2976884603464143</v>
      </c>
      <c r="Z1697" s="151">
        <f>X1685</f>
        <v>3717.1041235519142</v>
      </c>
      <c r="AA1697" s="135"/>
      <c r="AB1697" s="132">
        <f>IF(AA1690&lt;=0,W_max,ABS(AA$23-AA1696))</f>
        <v>25.520506520785236</v>
      </c>
      <c r="AC1697" s="151">
        <f>AA1685</f>
        <v>7239.9700589006643</v>
      </c>
      <c r="AD1697" s="135"/>
      <c r="AE1697" s="132">
        <f>IF(AD1690&lt;=0,W_max,ABS(AD$23-AD1696))</f>
        <v>7174</v>
      </c>
      <c r="AF1697" s="151">
        <f>AD1685</f>
        <v>11907.08514806496</v>
      </c>
      <c r="AG1697" s="135"/>
      <c r="AH1697" s="132">
        <f>IF(AG1690&lt;=0,W_max,ABS(AG$23-AG1696))</f>
        <v>7174</v>
      </c>
      <c r="AI1697" s="151">
        <f>AG1685</f>
        <v>16700.60360103743</v>
      </c>
      <c r="AJ1697" s="135"/>
      <c r="AK1697" s="132">
        <f>IF(AJ1690&lt;=0,W_max,ABS(AJ$23-AJ1696))</f>
        <v>7174</v>
      </c>
      <c r="AL1697" s="151">
        <f>AJ1685</f>
        <v>21205.335043634084</v>
      </c>
      <c r="AM1697" s="135"/>
      <c r="AN1697" s="132">
        <f>IF(AM1690&lt;=0,W_max,ABS(AM$23-AM1696))</f>
        <v>7174</v>
      </c>
      <c r="AO1697" s="151">
        <f>AM1685</f>
        <v>24864.923030617483</v>
      </c>
      <c r="AP1697" s="135"/>
      <c r="AQ1697" s="132">
        <f>IF(AP1690&lt;=0,W_max,ABS(AP$23-AP1696))</f>
        <v>7174</v>
      </c>
      <c r="AR1697" s="151">
        <f>AP1685</f>
        <v>27741.007567529363</v>
      </c>
      <c r="AS1697" s="135"/>
      <c r="AT1697" s="132">
        <f>IF(AS1690&lt;=0,W_max,ABS(AS$23-AS1696))</f>
        <v>7174</v>
      </c>
      <c r="AU1697" s="151">
        <f>AS1685</f>
        <v>30949.764047695513</v>
      </c>
    </row>
    <row r="1698" spans="13:47" ht="13" x14ac:dyDescent="0.25">
      <c r="M1698" s="12"/>
      <c r="N1698" s="12"/>
      <c r="O1698" s="2"/>
      <c r="P1698" s="85"/>
      <c r="Q1698" s="2"/>
      <c r="R1698" s="18"/>
      <c r="S1698" s="150"/>
      <c r="T1698" s="152"/>
      <c r="U1698" s="157"/>
      <c r="V1698" s="1"/>
      <c r="W1698" s="147"/>
      <c r="X1698" s="157"/>
      <c r="Y1698" s="1"/>
      <c r="Z1698" s="147"/>
      <c r="AA1698" s="157"/>
      <c r="AB1698" s="1"/>
      <c r="AC1698" s="147"/>
      <c r="AD1698" s="157"/>
      <c r="AE1698" s="1"/>
      <c r="AF1698" s="147"/>
      <c r="AG1698" s="157"/>
      <c r="AH1698" s="1"/>
      <c r="AI1698" s="147"/>
      <c r="AJ1698" s="157"/>
      <c r="AK1698" s="1"/>
      <c r="AL1698" s="147"/>
      <c r="AM1698" s="157"/>
      <c r="AN1698" s="1"/>
      <c r="AO1698" s="147"/>
      <c r="AP1698" s="157"/>
      <c r="AQ1698" s="1"/>
      <c r="AR1698" s="147"/>
      <c r="AS1698" s="157"/>
      <c r="AT1698" s="1"/>
      <c r="AU1698" s="147"/>
    </row>
    <row r="1699" spans="13:47" ht="14" x14ac:dyDescent="0.3">
      <c r="M1699" s="23"/>
      <c r="N1699" s="23"/>
      <c r="O1699" s="23" t="s">
        <v>238</v>
      </c>
      <c r="P1699" s="20"/>
      <c r="Q1699" s="20"/>
      <c r="R1699" s="181">
        <f>R1685*1.02</f>
        <v>120.84423209961798</v>
      </c>
      <c r="S1699" s="128" t="s">
        <v>185</v>
      </c>
      <c r="T1699" s="153" t="s">
        <v>186</v>
      </c>
      <c r="U1699" s="143">
        <f>U1685*1.01</f>
        <v>1518.0325583483154</v>
      </c>
      <c r="V1699" s="128" t="s">
        <v>185</v>
      </c>
      <c r="W1699" s="153" t="s">
        <v>186</v>
      </c>
      <c r="X1699" s="143">
        <f>X1685*1.01</f>
        <v>3754.2751647874334</v>
      </c>
      <c r="Y1699" s="128" t="s">
        <v>185</v>
      </c>
      <c r="Z1699" s="153" t="s">
        <v>186</v>
      </c>
      <c r="AA1699" s="143">
        <f>AA1685*1.01</f>
        <v>7312.3697594896712</v>
      </c>
      <c r="AB1699" s="128" t="s">
        <v>185</v>
      </c>
      <c r="AC1699" s="153" t="s">
        <v>186</v>
      </c>
      <c r="AD1699" s="143">
        <f>AD1685*1.01</f>
        <v>12026.15599954561</v>
      </c>
      <c r="AE1699" s="128" t="s">
        <v>185</v>
      </c>
      <c r="AF1699" s="153" t="s">
        <v>186</v>
      </c>
      <c r="AG1699" s="143">
        <f>AG1685*1.01</f>
        <v>16867.609637047804</v>
      </c>
      <c r="AH1699" s="128" t="s">
        <v>185</v>
      </c>
      <c r="AI1699" s="153" t="s">
        <v>186</v>
      </c>
      <c r="AJ1699" s="143">
        <f>AJ1685*1.01</f>
        <v>21417.388394070425</v>
      </c>
      <c r="AK1699" s="128" t="s">
        <v>185</v>
      </c>
      <c r="AL1699" s="153" t="s">
        <v>186</v>
      </c>
      <c r="AM1699" s="143">
        <f>AM1685*1.01</f>
        <v>25113.572260923658</v>
      </c>
      <c r="AN1699" s="128" t="s">
        <v>185</v>
      </c>
      <c r="AO1699" s="153" t="s">
        <v>186</v>
      </c>
      <c r="AP1699" s="143">
        <f>AP1685*1.01</f>
        <v>28018.417643204655</v>
      </c>
      <c r="AQ1699" s="128" t="s">
        <v>185</v>
      </c>
      <c r="AR1699" s="153" t="s">
        <v>186</v>
      </c>
      <c r="AS1699" s="143">
        <f>AS1685*1.01</f>
        <v>31259.261688172468</v>
      </c>
      <c r="AT1699" s="128" t="s">
        <v>185</v>
      </c>
      <c r="AU1699" s="153" t="s">
        <v>186</v>
      </c>
    </row>
    <row r="1700" spans="13:47" ht="14" x14ac:dyDescent="0.3">
      <c r="M1700" s="12"/>
      <c r="N1700" s="12"/>
      <c r="O1700" s="20"/>
      <c r="P1700" s="20"/>
      <c r="Q1700" s="23"/>
      <c r="R1700" s="139"/>
      <c r="S1700" s="130" t="s">
        <v>228</v>
      </c>
      <c r="T1700" s="154" t="s">
        <v>187</v>
      </c>
      <c r="U1700" s="144"/>
      <c r="V1700" s="130" t="s">
        <v>228</v>
      </c>
      <c r="W1700" s="154" t="s">
        <v>187</v>
      </c>
      <c r="X1700" s="144"/>
      <c r="Y1700" s="130" t="s">
        <v>228</v>
      </c>
      <c r="Z1700" s="154" t="s">
        <v>187</v>
      </c>
      <c r="AA1700" s="144"/>
      <c r="AB1700" s="130" t="s">
        <v>228</v>
      </c>
      <c r="AC1700" s="154" t="s">
        <v>187</v>
      </c>
      <c r="AD1700" s="144"/>
      <c r="AE1700" s="130" t="s">
        <v>228</v>
      </c>
      <c r="AF1700" s="154" t="s">
        <v>187</v>
      </c>
      <c r="AG1700" s="144"/>
      <c r="AH1700" s="130" t="s">
        <v>228</v>
      </c>
      <c r="AI1700" s="154" t="s">
        <v>187</v>
      </c>
      <c r="AJ1700" s="144"/>
      <c r="AK1700" s="130" t="s">
        <v>228</v>
      </c>
      <c r="AL1700" s="154" t="s">
        <v>187</v>
      </c>
      <c r="AM1700" s="144"/>
      <c r="AN1700" s="130" t="s">
        <v>228</v>
      </c>
      <c r="AO1700" s="154" t="s">
        <v>187</v>
      </c>
      <c r="AP1700" s="144"/>
      <c r="AQ1700" s="130" t="s">
        <v>228</v>
      </c>
      <c r="AR1700" s="154" t="s">
        <v>187</v>
      </c>
      <c r="AS1700" s="144"/>
      <c r="AT1700" s="130" t="s">
        <v>228</v>
      </c>
      <c r="AU1700" s="154" t="s">
        <v>187</v>
      </c>
    </row>
    <row r="1701" spans="13:47" x14ac:dyDescent="0.25">
      <c r="M1701" s="20"/>
      <c r="N1701" s="20"/>
      <c r="O1701" s="7" t="s">
        <v>188</v>
      </c>
      <c r="P1701" s="7"/>
      <c r="Q1701" s="7"/>
      <c r="R1701" s="181">
        <f>P_1_minW-(R1699^2*R_up)+dpup_minQ</f>
        <v>100.51696348666195</v>
      </c>
      <c r="S1701" s="132"/>
      <c r="T1701" s="145"/>
      <c r="U1701" s="138">
        <f>P_1_minW-(U1699^2*R_up)+dpup_minQ</f>
        <v>99.603870849652196</v>
      </c>
      <c r="V1701" s="132"/>
      <c r="W1701" s="145"/>
      <c r="X1701" s="138">
        <f>P_1_minW-(X1699^2*R_up)+dpup_minQ</f>
        <v>94.90240532823185</v>
      </c>
      <c r="Y1701" s="132"/>
      <c r="Z1701" s="145"/>
      <c r="AA1701" s="138">
        <f>P_1_minW-(AA1699^2*R_up)+dpup_minQ</f>
        <v>79.200691668555692</v>
      </c>
      <c r="AB1701" s="132"/>
      <c r="AC1701" s="145"/>
      <c r="AD1701" s="138">
        <f>P_1_minW-(AD1699^2*R_up)+dpup_minQ</f>
        <v>42.850489124097152</v>
      </c>
      <c r="AE1701" s="132"/>
      <c r="AF1701" s="145"/>
      <c r="AG1701" s="138">
        <f>P_1_minW-(AG1699^2*R_up)+dpup_minQ</f>
        <v>-12.931437574832572</v>
      </c>
      <c r="AH1701" s="132"/>
      <c r="AI1701" s="145"/>
      <c r="AJ1701" s="138">
        <f>P_1_minW-(AJ1699^2*R_up)+dpup_minQ</f>
        <v>-82.391072321604994</v>
      </c>
      <c r="AK1701" s="132"/>
      <c r="AL1701" s="145"/>
      <c r="AM1701" s="138">
        <f>P_1_minW-(AM1699^2*R_up)+dpup_minQ</f>
        <v>-150.97291874967758</v>
      </c>
      <c r="AN1701" s="132"/>
      <c r="AO1701" s="145"/>
      <c r="AP1701" s="138">
        <f>P_1_minW-(AP1699^2*R_up)+dpup_minQ</f>
        <v>-212.51790654144745</v>
      </c>
      <c r="AQ1701" s="132"/>
      <c r="AR1701" s="145"/>
      <c r="AS1701" s="138">
        <f>P_1_minW-(AS1699^2*R_up)+dpup_minQ</f>
        <v>-289.12392893404007</v>
      </c>
      <c r="AT1701" s="132"/>
      <c r="AU1701" s="145"/>
    </row>
    <row r="1702" spans="13:47" x14ac:dyDescent="0.25">
      <c r="M1702" s="20"/>
      <c r="N1702" s="20"/>
      <c r="O1702" s="7" t="s">
        <v>189</v>
      </c>
      <c r="P1702" s="1"/>
      <c r="Q1702" s="7"/>
      <c r="R1702" s="181">
        <f>P_2_minW+(R1699^2*R_dn)-dpdn_minQ</f>
        <v>50</v>
      </c>
      <c r="S1702" s="132"/>
      <c r="T1702" s="146"/>
      <c r="U1702" s="138">
        <f>P_2_minW+(U1699^2*R_dn)-dpdn_minQ</f>
        <v>50</v>
      </c>
      <c r="V1702" s="132"/>
      <c r="W1702" s="146"/>
      <c r="X1702" s="138">
        <f>P_2_minW+(X1699^2*R_dn)-dpdn_minQ</f>
        <v>50</v>
      </c>
      <c r="Y1702" s="132"/>
      <c r="Z1702" s="146"/>
      <c r="AA1702" s="138">
        <f>P_2_minW+(AA1699^2*R_dn)-dpdn_minQ</f>
        <v>50</v>
      </c>
      <c r="AB1702" s="132"/>
      <c r="AC1702" s="146"/>
      <c r="AD1702" s="138">
        <f>P_2_minW+(AD1699^2*R_dn)-dpdn_minQ</f>
        <v>50</v>
      </c>
      <c r="AE1702" s="132"/>
      <c r="AF1702" s="146"/>
      <c r="AG1702" s="138">
        <f>P_2_minW+(AG1699^2*R_dn)-dpdn_minQ</f>
        <v>50</v>
      </c>
      <c r="AH1702" s="132"/>
      <c r="AI1702" s="146"/>
      <c r="AJ1702" s="138">
        <f>P_2_minW+(AJ1699^2*R_dn)-dpdn_minQ</f>
        <v>50</v>
      </c>
      <c r="AK1702" s="132"/>
      <c r="AL1702" s="146"/>
      <c r="AM1702" s="138">
        <f>P_2_minW+(AM1699^2*R_dn)-dpdn_minQ</f>
        <v>50</v>
      </c>
      <c r="AN1702" s="132"/>
      <c r="AO1702" s="146"/>
      <c r="AP1702" s="138">
        <f>P_2_minW+(AP1699^2*R_dn)-dpdn_minQ</f>
        <v>50</v>
      </c>
      <c r="AQ1702" s="132"/>
      <c r="AR1702" s="146"/>
      <c r="AS1702" s="138">
        <f>P_2_minW+(AS1699^2*R_dn)-dpdn_minQ</f>
        <v>50</v>
      </c>
      <c r="AT1702" s="132"/>
      <c r="AU1702" s="146"/>
    </row>
    <row r="1703" spans="13:47" x14ac:dyDescent="0.25">
      <c r="M1703" s="20"/>
      <c r="N1703" s="20"/>
      <c r="O1703" s="7" t="s">
        <v>234</v>
      </c>
      <c r="P1703" s="1"/>
      <c r="Q1703" s="7"/>
      <c r="R1703" s="179">
        <f>'Valve Sizing'!G$8*R1701/P_1_maxW</f>
        <v>0.48487593591734435</v>
      </c>
      <c r="S1703" s="132"/>
      <c r="T1703" s="146"/>
      <c r="U1703" s="143">
        <f>'Valve Sizing'!$G$8*U1701/P_1_maxW</f>
        <v>0.4804713396025333</v>
      </c>
      <c r="V1703" s="132"/>
      <c r="W1703" s="146"/>
      <c r="X1703" s="143">
        <f>'Valve Sizing'!$G$8*X1701/P_1_maxW</f>
        <v>0.45779230697154549</v>
      </c>
      <c r="Y1703" s="132"/>
      <c r="Z1703" s="146"/>
      <c r="AA1703" s="143">
        <f>'Valve Sizing'!$G$8*AA1701/P_1_maxW</f>
        <v>0.38205003579508007</v>
      </c>
      <c r="AB1703" s="132"/>
      <c r="AC1703" s="146"/>
      <c r="AD1703" s="143">
        <f>'Valve Sizing'!$G$8*AD1701/P_1_maxW</f>
        <v>0.20670313047528147</v>
      </c>
      <c r="AE1703" s="132"/>
      <c r="AF1703" s="146"/>
      <c r="AG1703" s="143">
        <f>'Valve Sizing'!$G$8*AG1701/P_1_maxW</f>
        <v>-6.237895256043692E-2</v>
      </c>
      <c r="AH1703" s="132"/>
      <c r="AI1703" s="146"/>
      <c r="AJ1703" s="143">
        <f>'Valve Sizing'!$G$8*AJ1701/P_1_maxW</f>
        <v>-0.39743986405312465</v>
      </c>
      <c r="AK1703" s="132"/>
      <c r="AL1703" s="146"/>
      <c r="AM1703" s="143">
        <f>'Valve Sizing'!$G$8*AM1701/P_1_maxW</f>
        <v>-0.7282664809769821</v>
      </c>
      <c r="AN1703" s="132"/>
      <c r="AO1703" s="146"/>
      <c r="AP1703" s="143">
        <f>'Valve Sizing'!$G$8*AP1701/P_1_maxW</f>
        <v>-1.0251485446747755</v>
      </c>
      <c r="AQ1703" s="132"/>
      <c r="AR1703" s="146"/>
      <c r="AS1703" s="143">
        <f>'Valve Sizing'!$G$8*AS1701/P_1_maxW</f>
        <v>-1.3946823578350012</v>
      </c>
      <c r="AT1703" s="132"/>
      <c r="AU1703" s="146"/>
    </row>
    <row r="1704" spans="13:47" x14ac:dyDescent="0.25">
      <c r="M1704" s="20"/>
      <c r="N1704" s="20"/>
      <c r="O1704" s="7" t="s">
        <v>190</v>
      </c>
      <c r="P1704" s="1"/>
      <c r="Q1704" s="7"/>
      <c r="R1704" s="181">
        <f>R1701-R1702</f>
        <v>50.51696348666195</v>
      </c>
      <c r="S1704" s="132"/>
      <c r="T1704" s="146"/>
      <c r="U1704" s="138">
        <f>U1701-U1702</f>
        <v>49.603870849652196</v>
      </c>
      <c r="V1704" s="132"/>
      <c r="W1704" s="146"/>
      <c r="X1704" s="138">
        <f>X1701-X1702</f>
        <v>44.90240532823185</v>
      </c>
      <c r="Y1704" s="132"/>
      <c r="Z1704" s="146"/>
      <c r="AA1704" s="138">
        <f>AA1701-AA1702</f>
        <v>29.200691668555692</v>
      </c>
      <c r="AB1704" s="132"/>
      <c r="AC1704" s="146"/>
      <c r="AD1704" s="138">
        <f>AD1701-AD1702</f>
        <v>-7.1495108759028483</v>
      </c>
      <c r="AE1704" s="132"/>
      <c r="AF1704" s="146"/>
      <c r="AG1704" s="138">
        <f>AG1701-AG1702</f>
        <v>-62.931437574832572</v>
      </c>
      <c r="AH1704" s="132"/>
      <c r="AI1704" s="146"/>
      <c r="AJ1704" s="138">
        <f>AJ1701-AJ1702</f>
        <v>-132.39107232160501</v>
      </c>
      <c r="AK1704" s="132"/>
      <c r="AL1704" s="146"/>
      <c r="AM1704" s="138">
        <f>AM1701-AM1702</f>
        <v>-200.97291874967758</v>
      </c>
      <c r="AN1704" s="132"/>
      <c r="AO1704" s="146"/>
      <c r="AP1704" s="138">
        <f>AP1701-AP1702</f>
        <v>-262.51790654144747</v>
      </c>
      <c r="AQ1704" s="132"/>
      <c r="AR1704" s="146"/>
      <c r="AS1704" s="138">
        <f>AS1701-AS1702</f>
        <v>-339.12392893404007</v>
      </c>
      <c r="AT1704" s="132"/>
      <c r="AU1704" s="146"/>
    </row>
    <row r="1705" spans="13:47" ht="14.5" x14ac:dyDescent="0.35">
      <c r="M1705" s="27"/>
      <c r="N1705" s="27"/>
      <c r="O1705" s="2" t="s">
        <v>191</v>
      </c>
      <c r="P1705" s="10"/>
      <c r="Q1705" s="2"/>
      <c r="R1705" s="181">
        <f>R1704/R1701</f>
        <v>0.50257152359527135</v>
      </c>
      <c r="S1705" s="132"/>
      <c r="T1705" s="146"/>
      <c r="U1705" s="138">
        <f>U1704/U1701</f>
        <v>0.49801147712950966</v>
      </c>
      <c r="V1705" s="132"/>
      <c r="W1705" s="146"/>
      <c r="X1705" s="138">
        <f>X1704/X1701</f>
        <v>0.47314296379455567</v>
      </c>
      <c r="Y1705" s="132"/>
      <c r="Z1705" s="146"/>
      <c r="AA1705" s="138">
        <f>AA1704/AA1701</f>
        <v>0.36869238201550919</v>
      </c>
      <c r="AB1705" s="132"/>
      <c r="AC1705" s="146"/>
      <c r="AD1705" s="138">
        <f>AD1704/AD1701</f>
        <v>-0.1668478241916331</v>
      </c>
      <c r="AE1705" s="132"/>
      <c r="AF1705" s="146"/>
      <c r="AG1705" s="138">
        <f>AG1704/AG1701</f>
        <v>4.8665461369361616</v>
      </c>
      <c r="AH1705" s="132"/>
      <c r="AI1705" s="146"/>
      <c r="AJ1705" s="138">
        <f>AJ1704/AJ1701</f>
        <v>1.6068618673250203</v>
      </c>
      <c r="AK1705" s="132"/>
      <c r="AL1705" s="146"/>
      <c r="AM1705" s="138">
        <f>AM1704/AM1701</f>
        <v>1.3311852245693354</v>
      </c>
      <c r="AN1705" s="132"/>
      <c r="AO1705" s="146"/>
      <c r="AP1705" s="138">
        <f>AP1704/AP1701</f>
        <v>1.2352742920053588</v>
      </c>
      <c r="AQ1705" s="132"/>
      <c r="AR1705" s="146"/>
      <c r="AS1705" s="138">
        <f>AS1704/AS1701</f>
        <v>1.1729362221395616</v>
      </c>
      <c r="AT1705" s="132"/>
      <c r="AU1705" s="146"/>
    </row>
    <row r="1706" spans="13:47" x14ac:dyDescent="0.25">
      <c r="M1706" s="27"/>
      <c r="N1706" s="27"/>
      <c r="O1706" s="2" t="s">
        <v>26</v>
      </c>
      <c r="P1706" s="7">
        <v>12</v>
      </c>
      <c r="Q1706" s="2"/>
      <c r="R1706" s="181">
        <f>1-R1705/(3*F_GAMMA*R$29)</f>
        <v>0.73825499147983331</v>
      </c>
      <c r="S1706" s="133"/>
      <c r="T1706" s="146"/>
      <c r="U1706" s="138">
        <f>1-U1705/(3*F_GAMMA*U$29)</f>
        <v>0.74068702276700527</v>
      </c>
      <c r="V1706" s="133"/>
      <c r="W1706" s="146"/>
      <c r="X1706" s="138">
        <f>1-X1705/(3*F_GAMMA*X$29)</f>
        <v>0.74994012539777</v>
      </c>
      <c r="Y1706" s="133"/>
      <c r="Z1706" s="146"/>
      <c r="AA1706" s="138">
        <f>1-AA1705/(3*F_GAMMA*AA$29)</f>
        <v>0.80247134152032529</v>
      </c>
      <c r="AB1706" s="133"/>
      <c r="AC1706" s="146"/>
      <c r="AD1706" s="138">
        <f>1-AD1705/(3*F_GAMMA*AD$29)</f>
        <v>1.0918403677871542</v>
      </c>
      <c r="AE1706" s="133"/>
      <c r="AF1706" s="146"/>
      <c r="AG1706" s="138">
        <f>1-AG1705/(3*F_GAMMA*AG$29)</f>
        <v>-1.8315613942212141</v>
      </c>
      <c r="AH1706" s="133"/>
      <c r="AI1706" s="146"/>
      <c r="AJ1706" s="138">
        <f>1-AJ1705/(3*F_GAMMA*AJ$29)</f>
        <v>5.3660071551364652E-4</v>
      </c>
      <c r="AK1706" s="133"/>
      <c r="AL1706" s="146"/>
      <c r="AM1706" s="138">
        <f>1-AM1705/(3*F_GAMMA*AM$29)</f>
        <v>9.5333088465297089E-2</v>
      </c>
      <c r="AN1706" s="133"/>
      <c r="AO1706" s="146"/>
      <c r="AP1706" s="138">
        <f>1-AP1705/(3*F_GAMMA*AP$29)</f>
        <v>0.30625538235885807</v>
      </c>
      <c r="AQ1706" s="133"/>
      <c r="AR1706" s="146"/>
      <c r="AS1706" s="138">
        <f>1-AS1705/(3*F_GAMMA*AS$29)</f>
        <v>-1.6699658723418054E-5</v>
      </c>
      <c r="AT1706" s="133"/>
      <c r="AU1706" s="146"/>
    </row>
    <row r="1707" spans="13:47" x14ac:dyDescent="0.25">
      <c r="M1707" s="27"/>
      <c r="N1707" s="27"/>
      <c r="O1707" s="2" t="s">
        <v>71</v>
      </c>
      <c r="P1707" s="85">
        <v>5</v>
      </c>
      <c r="Q1707" s="2"/>
      <c r="R1707" s="179">
        <f>R1699/((N_6*R$27*R1706)*SQRT(R1705*R1701*R1703))</f>
        <v>0.52255661479675064</v>
      </c>
      <c r="S1707" s="133"/>
      <c r="T1707" s="146"/>
      <c r="U1707" s="143">
        <f>U1699/((N_6*U$27*U1706)*SQRT(U1705*U1701*U1703))</f>
        <v>6.6370109772065442</v>
      </c>
      <c r="V1707" s="133"/>
      <c r="W1707" s="146"/>
      <c r="X1707" s="143">
        <f>X1699/((N_6*X$27*X1706)*SQRT(X1705*X1701*X1703))</f>
        <v>17.494824801957762</v>
      </c>
      <c r="Y1707" s="133"/>
      <c r="Z1707" s="146"/>
      <c r="AA1707" s="143">
        <f>AA1699/((N_6*AA$27*AA1706)*SQRT(AA1705*AA1701*AA1703))</f>
        <v>43.475205066632036</v>
      </c>
      <c r="AB1707" s="133"/>
      <c r="AC1707" s="146"/>
      <c r="AD1707" s="143" t="e">
        <f>AD1699/((N_6*AD$27*AD1706)*SQRT(AD1705*AD1701*AD1703))</f>
        <v>#NUM!</v>
      </c>
      <c r="AE1707" s="133"/>
      <c r="AF1707" s="146"/>
      <c r="AG1707" s="143">
        <f>AG1699/((N_6*AG$27*AG1706)*SQRT(AG1705*AG1701*AG1703))</f>
        <v>-76.57099947990676</v>
      </c>
      <c r="AH1707" s="133"/>
      <c r="AI1707" s="146"/>
      <c r="AJ1707" s="143">
        <f>AJ1699/((N_6*AJ$27*AJ1706)*SQRT(AJ1705*AJ1701*AJ1703))</f>
        <v>93755.099393933822</v>
      </c>
      <c r="AK1707" s="133"/>
      <c r="AL1707" s="146"/>
      <c r="AM1707" s="143">
        <f>AM1699/((N_6*AM$27*AM1706)*SQRT(AM1705*AM1701*AM1703))</f>
        <v>393.80374269936493</v>
      </c>
      <c r="AN1707" s="133"/>
      <c r="AO1707" s="146"/>
      <c r="AP1707" s="143">
        <f>AP1699/((N_6*AP$27*AP1706)*SQRT(AP1705*AP1701*AP1703))</f>
        <v>114.56977797373692</v>
      </c>
      <c r="AQ1707" s="133"/>
      <c r="AR1707" s="146"/>
      <c r="AS1707" s="143">
        <f>AS1699/((N_6*AS$27*AS1706)*SQRT(AS1705*AS1701*AS1703))</f>
        <v>-2323403.9882747843</v>
      </c>
      <c r="AT1707" s="133"/>
      <c r="AU1707" s="146"/>
    </row>
    <row r="1708" spans="13:47" x14ac:dyDescent="0.25">
      <c r="M1708" s="27"/>
      <c r="N1708" s="27"/>
      <c r="O1708" s="2" t="s">
        <v>73</v>
      </c>
      <c r="P1708" s="85">
        <v>5</v>
      </c>
      <c r="Q1708" s="2"/>
      <c r="R1708" s="179">
        <f>R1699/((N_6*R$27*0.667)*SQRT(R1709*R1701*R1703))</f>
        <v>0.51252344810681805</v>
      </c>
      <c r="S1708" s="133"/>
      <c r="T1708" s="155"/>
      <c r="U1708" s="143">
        <f>U1699/((N_6*U$27*0.667)*SQRT(U1709*U1701*U1703))</f>
        <v>6.5006111847420902</v>
      </c>
      <c r="V1708" s="133"/>
      <c r="W1708" s="155"/>
      <c r="X1708" s="143">
        <f>X1699/((N_6*X$27*0.667)*SQRT(X1709*X1701*X1703))</f>
        <v>17.036994638357257</v>
      </c>
      <c r="Y1708" s="133"/>
      <c r="Z1708" s="155"/>
      <c r="AA1708" s="143">
        <f>AA1699/((N_6*AA$27*0.667)*SQRT(AA1709*AA1701*AA1703))</f>
        <v>40.264380474630435</v>
      </c>
      <c r="AB1708" s="133"/>
      <c r="AC1708" s="155"/>
      <c r="AD1708" s="143">
        <f>AD1699/((N_6*AD$27*0.667)*SQRT(AD1709*AD1701*AD1703))</f>
        <v>125.53971536465804</v>
      </c>
      <c r="AE1708" s="133"/>
      <c r="AF1708" s="155"/>
      <c r="AG1708" s="143">
        <f>AG1699/((N_6*AG$27*0.667)*SQRT(AG1709*AG1701*AG1703))</f>
        <v>612.82091863899234</v>
      </c>
      <c r="AH1708" s="133"/>
      <c r="AI1708" s="155"/>
      <c r="AJ1708" s="143">
        <f>AJ1699/((N_6*AJ$27*0.667)*SQRT(AJ1709*AJ1701*AJ1703))</f>
        <v>130.60637833658777</v>
      </c>
      <c r="AK1708" s="133"/>
      <c r="AL1708" s="155"/>
      <c r="AM1708" s="143">
        <f>AM1699/((N_6*AM$27*0.667)*SQRT(AM1709*AM1701*AM1703))</f>
        <v>92.726239794848951</v>
      </c>
      <c r="AN1708" s="133"/>
      <c r="AO1708" s="155"/>
      <c r="AP1708" s="143">
        <f>AP1699/((N_6*AP$27*0.667)*SQRT(AP1709*AP1701*AP1703))</f>
        <v>75.89067372386431</v>
      </c>
      <c r="AQ1708" s="133"/>
      <c r="AR1708" s="155"/>
      <c r="AS1708" s="143">
        <f>AS1699/((N_6*AS$27*0.667)*SQRT(AS1709*AS1701*AS1703))</f>
        <v>100.75596019244706</v>
      </c>
      <c r="AT1708" s="133"/>
      <c r="AU1708" s="155"/>
    </row>
    <row r="1709" spans="13:47" ht="15.5" x14ac:dyDescent="0.4">
      <c r="M1709" s="27"/>
      <c r="N1709" s="27"/>
      <c r="O1709" s="2" t="s">
        <v>192</v>
      </c>
      <c r="P1709" s="85">
        <v>10</v>
      </c>
      <c r="Q1709" s="2"/>
      <c r="R1709" s="181">
        <f>F_GAMMA*R$29</f>
        <v>0.64002688015162901</v>
      </c>
      <c r="S1709" s="133"/>
      <c r="T1709" s="155"/>
      <c r="U1709" s="138">
        <f>F_GAMMA*U$29</f>
        <v>0.64016782916606918</v>
      </c>
      <c r="V1709" s="133"/>
      <c r="W1709" s="155"/>
      <c r="X1709" s="138">
        <f>F_GAMMA*X$29</f>
        <v>0.6307062319203669</v>
      </c>
      <c r="Y1709" s="133"/>
      <c r="Z1709" s="155"/>
      <c r="AA1709" s="138">
        <f>F_GAMMA*AA$29</f>
        <v>0.62217534213893466</v>
      </c>
      <c r="AB1709" s="133"/>
      <c r="AC1709" s="155"/>
      <c r="AD1709" s="138">
        <f>F_GAMMA*AD$29</f>
        <v>0.60557184969146072</v>
      </c>
      <c r="AE1709" s="133"/>
      <c r="AF1709" s="155"/>
      <c r="AG1709" s="138">
        <f>F_GAMMA*AG$29</f>
        <v>0.57289312142622573</v>
      </c>
      <c r="AH1709" s="133"/>
      <c r="AI1709" s="155"/>
      <c r="AJ1709" s="138">
        <f>F_GAMMA*AJ$29</f>
        <v>0.53590819116049981</v>
      </c>
      <c r="AK1709" s="133"/>
      <c r="AL1709" s="155"/>
      <c r="AM1709" s="138">
        <f>F_GAMMA*AM$29</f>
        <v>0.49048815926850342</v>
      </c>
      <c r="AN1709" s="133"/>
      <c r="AO1709" s="155"/>
      <c r="AP1709" s="138">
        <f>F_GAMMA*AP$29</f>
        <v>0.59352979016280105</v>
      </c>
      <c r="AQ1709" s="133"/>
      <c r="AR1709" s="155"/>
      <c r="AS1709" s="138">
        <f>F_GAMMA*AS$29</f>
        <v>0.39097221161068291</v>
      </c>
      <c r="AT1709" s="133"/>
      <c r="AU1709" s="155"/>
    </row>
    <row r="1710" spans="13:47" x14ac:dyDescent="0.25">
      <c r="M1710" s="27"/>
      <c r="N1710" s="27"/>
      <c r="O1710" s="2" t="s">
        <v>193</v>
      </c>
      <c r="P1710" s="134"/>
      <c r="Q1710" s="2"/>
      <c r="R1710" s="181">
        <f>IF(R1705&lt;R1709,R1707,R1708)</f>
        <v>0.52255661479675064</v>
      </c>
      <c r="S1710" s="133"/>
      <c r="T1710" s="155"/>
      <c r="U1710" s="138">
        <f>IF(U1705&lt;U1709,U1707,U1708)</f>
        <v>6.6370109772065442</v>
      </c>
      <c r="V1710" s="133"/>
      <c r="W1710" s="155"/>
      <c r="X1710" s="138">
        <f>IF(X1705&lt;X1709,X1707,X1708)</f>
        <v>17.494824801957762</v>
      </c>
      <c r="Y1710" s="133"/>
      <c r="Z1710" s="155"/>
      <c r="AA1710" s="138">
        <f>IF(AA1705&lt;AA1709,AA1707,AA1708)</f>
        <v>43.475205066632036</v>
      </c>
      <c r="AB1710" s="133"/>
      <c r="AC1710" s="155"/>
      <c r="AD1710" s="138" t="e">
        <f>IF(AD1705&lt;AD1709,AD1707,AD1708)</f>
        <v>#NUM!</v>
      </c>
      <c r="AE1710" s="133"/>
      <c r="AF1710" s="155"/>
      <c r="AG1710" s="138">
        <f>IF(AG1705&lt;AG1709,AG1707,AG1708)</f>
        <v>612.82091863899234</v>
      </c>
      <c r="AH1710" s="133"/>
      <c r="AI1710" s="155"/>
      <c r="AJ1710" s="138">
        <f>IF(AJ1705&lt;AJ1709,AJ1707,AJ1708)</f>
        <v>130.60637833658777</v>
      </c>
      <c r="AK1710" s="133"/>
      <c r="AL1710" s="155"/>
      <c r="AM1710" s="138">
        <f>IF(AM1705&lt;AM1709,AM1707,AM1708)</f>
        <v>92.726239794848951</v>
      </c>
      <c r="AN1710" s="133"/>
      <c r="AO1710" s="155"/>
      <c r="AP1710" s="138">
        <f>IF(AP1705&lt;AP1709,AP1707,AP1708)</f>
        <v>75.89067372386431</v>
      </c>
      <c r="AQ1710" s="133"/>
      <c r="AR1710" s="155"/>
      <c r="AS1710" s="138">
        <f>IF(AS1705&lt;AS1709,AS1707,AS1708)</f>
        <v>100.75596019244706</v>
      </c>
      <c r="AT1710" s="133"/>
      <c r="AU1710" s="155"/>
    </row>
    <row r="1711" spans="13:47" ht="13" x14ac:dyDescent="0.3">
      <c r="M1711" s="28"/>
      <c r="N1711" s="28"/>
      <c r="O1711" s="9" t="s">
        <v>194</v>
      </c>
      <c r="P1711" s="1"/>
      <c r="Q1711" s="1"/>
      <c r="R1711" s="135"/>
      <c r="S1711" s="132">
        <f>IF(R1704&lt;=0,W_max,ABS(R$23-R1710))</f>
        <v>1.4774433852032494</v>
      </c>
      <c r="T1711" s="151">
        <f>R1699</f>
        <v>120.84423209961798</v>
      </c>
      <c r="U1711" s="135"/>
      <c r="V1711" s="132">
        <f>IF(U1704&lt;=0,W_max,ABS(U$23-U1710))</f>
        <v>1.6370109772065442</v>
      </c>
      <c r="W1711" s="151">
        <f>U1699</f>
        <v>1518.0325583483154</v>
      </c>
      <c r="X1711" s="135"/>
      <c r="Y1711" s="132">
        <f>IF(X1704&lt;=0,W_max,ABS(X$23-X1710))</f>
        <v>7.4948248019577619</v>
      </c>
      <c r="Z1711" s="151">
        <f>X1699</f>
        <v>3754.2751647874334</v>
      </c>
      <c r="AA1711" s="135"/>
      <c r="AB1711" s="132">
        <f>IF(AA1704&lt;=0,W_max,ABS(AA$23-AA1710))</f>
        <v>26.275205066632036</v>
      </c>
      <c r="AC1711" s="151">
        <f>AA1699</f>
        <v>7312.3697594896712</v>
      </c>
      <c r="AD1711" s="135"/>
      <c r="AE1711" s="132">
        <f>IF(AD1704&lt;=0,W_max,ABS(AD$23-AD1710))</f>
        <v>7174</v>
      </c>
      <c r="AF1711" s="151">
        <f>AD1699</f>
        <v>12026.15599954561</v>
      </c>
      <c r="AG1711" s="135"/>
      <c r="AH1711" s="132">
        <f>IF(AG1704&lt;=0,W_max,ABS(AG$23-AG1710))</f>
        <v>7174</v>
      </c>
      <c r="AI1711" s="151">
        <f>AG1699</f>
        <v>16867.609637047804</v>
      </c>
      <c r="AJ1711" s="135"/>
      <c r="AK1711" s="132">
        <f>IF(AJ1704&lt;=0,W_max,ABS(AJ$23-AJ1710))</f>
        <v>7174</v>
      </c>
      <c r="AL1711" s="151">
        <f>AJ1699</f>
        <v>21417.388394070425</v>
      </c>
      <c r="AM1711" s="135"/>
      <c r="AN1711" s="132">
        <f>IF(AM1704&lt;=0,W_max,ABS(AM$23-AM1710))</f>
        <v>7174</v>
      </c>
      <c r="AO1711" s="151">
        <f>AM1699</f>
        <v>25113.572260923658</v>
      </c>
      <c r="AP1711" s="135"/>
      <c r="AQ1711" s="132">
        <f>IF(AP1704&lt;=0,W_max,ABS(AP$23-AP1710))</f>
        <v>7174</v>
      </c>
      <c r="AR1711" s="151">
        <f>AP1699</f>
        <v>28018.417643204655</v>
      </c>
      <c r="AS1711" s="135"/>
      <c r="AT1711" s="132">
        <f>IF(AS1704&lt;=0,W_max,ABS(AS$23-AS1710))</f>
        <v>7174</v>
      </c>
      <c r="AU1711" s="151">
        <f>AS1699</f>
        <v>31259.261688172468</v>
      </c>
    </row>
    <row r="1712" spans="13:47" ht="13" x14ac:dyDescent="0.25">
      <c r="M1712" s="12"/>
      <c r="N1712" s="12"/>
      <c r="O1712" s="2"/>
      <c r="P1712" s="85"/>
      <c r="Q1712" s="2"/>
      <c r="R1712" s="18"/>
      <c r="S1712" s="150"/>
      <c r="T1712" s="148"/>
      <c r="U1712" s="157"/>
      <c r="V1712" s="1"/>
      <c r="W1712" s="147"/>
      <c r="X1712" s="157"/>
      <c r="Y1712" s="1"/>
      <c r="Z1712" s="147"/>
      <c r="AA1712" s="157"/>
      <c r="AB1712" s="1"/>
      <c r="AC1712" s="147"/>
      <c r="AD1712" s="157"/>
      <c r="AE1712" s="1"/>
      <c r="AF1712" s="147"/>
      <c r="AG1712" s="157"/>
      <c r="AH1712" s="1"/>
      <c r="AI1712" s="147"/>
      <c r="AJ1712" s="157"/>
      <c r="AK1712" s="1"/>
      <c r="AL1712" s="147"/>
      <c r="AM1712" s="157"/>
      <c r="AN1712" s="1"/>
      <c r="AO1712" s="147"/>
      <c r="AP1712" s="157"/>
      <c r="AQ1712" s="1"/>
      <c r="AR1712" s="147"/>
      <c r="AS1712" s="157"/>
      <c r="AT1712" s="1"/>
      <c r="AU1712" s="147"/>
    </row>
    <row r="1713" spans="13:47" ht="14" x14ac:dyDescent="0.3">
      <c r="M1713" s="23"/>
      <c r="N1713" s="23"/>
      <c r="O1713" s="23" t="s">
        <v>238</v>
      </c>
      <c r="P1713" s="20"/>
      <c r="Q1713" s="20"/>
      <c r="R1713" s="181">
        <f>R1699*1.02</f>
        <v>123.26111674161035</v>
      </c>
      <c r="S1713" s="128" t="s">
        <v>185</v>
      </c>
      <c r="T1713" s="149" t="s">
        <v>186</v>
      </c>
      <c r="U1713" s="143">
        <f>U1699*1.01</f>
        <v>1533.2128839317986</v>
      </c>
      <c r="V1713" s="128" t="s">
        <v>185</v>
      </c>
      <c r="W1713" s="153" t="s">
        <v>186</v>
      </c>
      <c r="X1713" s="143">
        <f>X1699*1.01</f>
        <v>3791.8179164353078</v>
      </c>
      <c r="Y1713" s="128" t="s">
        <v>185</v>
      </c>
      <c r="Z1713" s="153" t="s">
        <v>186</v>
      </c>
      <c r="AA1713" s="143">
        <f>AA1699*1.01</f>
        <v>7385.493457084568</v>
      </c>
      <c r="AB1713" s="128" t="s">
        <v>185</v>
      </c>
      <c r="AC1713" s="153" t="s">
        <v>186</v>
      </c>
      <c r="AD1713" s="143">
        <f>AD1699*1.01</f>
        <v>12146.417559541067</v>
      </c>
      <c r="AE1713" s="128" t="s">
        <v>185</v>
      </c>
      <c r="AF1713" s="153" t="s">
        <v>186</v>
      </c>
      <c r="AG1713" s="143">
        <f>AG1699*1.01</f>
        <v>17036.285733418281</v>
      </c>
      <c r="AH1713" s="128" t="s">
        <v>185</v>
      </c>
      <c r="AI1713" s="153" t="s">
        <v>186</v>
      </c>
      <c r="AJ1713" s="143">
        <f>AJ1699*1.01</f>
        <v>21631.56227801113</v>
      </c>
      <c r="AK1713" s="128" t="s">
        <v>185</v>
      </c>
      <c r="AL1713" s="153" t="s">
        <v>186</v>
      </c>
      <c r="AM1713" s="143">
        <f>AM1699*1.01</f>
        <v>25364.707983532895</v>
      </c>
      <c r="AN1713" s="128" t="s">
        <v>185</v>
      </c>
      <c r="AO1713" s="153" t="s">
        <v>186</v>
      </c>
      <c r="AP1713" s="143">
        <f>AP1699*1.01</f>
        <v>28298.6018196367</v>
      </c>
      <c r="AQ1713" s="128" t="s">
        <v>185</v>
      </c>
      <c r="AR1713" s="153" t="s">
        <v>186</v>
      </c>
      <c r="AS1713" s="143">
        <f>AS1699*1.01</f>
        <v>31571.854305054192</v>
      </c>
      <c r="AT1713" s="128" t="s">
        <v>185</v>
      </c>
      <c r="AU1713" s="153" t="s">
        <v>186</v>
      </c>
    </row>
    <row r="1714" spans="13:47" ht="14" x14ac:dyDescent="0.3">
      <c r="M1714" s="12"/>
      <c r="N1714" s="12"/>
      <c r="O1714" s="20"/>
      <c r="P1714" s="20"/>
      <c r="Q1714" s="23"/>
      <c r="R1714" s="139"/>
      <c r="S1714" s="130" t="s">
        <v>228</v>
      </c>
      <c r="T1714" s="131" t="s">
        <v>187</v>
      </c>
      <c r="U1714" s="144"/>
      <c r="V1714" s="130" t="s">
        <v>228</v>
      </c>
      <c r="W1714" s="154" t="s">
        <v>187</v>
      </c>
      <c r="X1714" s="144"/>
      <c r="Y1714" s="130" t="s">
        <v>228</v>
      </c>
      <c r="Z1714" s="154" t="s">
        <v>187</v>
      </c>
      <c r="AA1714" s="144"/>
      <c r="AB1714" s="130" t="s">
        <v>228</v>
      </c>
      <c r="AC1714" s="154" t="s">
        <v>187</v>
      </c>
      <c r="AD1714" s="144"/>
      <c r="AE1714" s="130" t="s">
        <v>228</v>
      </c>
      <c r="AF1714" s="154" t="s">
        <v>187</v>
      </c>
      <c r="AG1714" s="144"/>
      <c r="AH1714" s="130" t="s">
        <v>228</v>
      </c>
      <c r="AI1714" s="154" t="s">
        <v>187</v>
      </c>
      <c r="AJ1714" s="144"/>
      <c r="AK1714" s="130" t="s">
        <v>228</v>
      </c>
      <c r="AL1714" s="154" t="s">
        <v>187</v>
      </c>
      <c r="AM1714" s="144"/>
      <c r="AN1714" s="130" t="s">
        <v>228</v>
      </c>
      <c r="AO1714" s="154" t="s">
        <v>187</v>
      </c>
      <c r="AP1714" s="144"/>
      <c r="AQ1714" s="130" t="s">
        <v>228</v>
      </c>
      <c r="AR1714" s="154" t="s">
        <v>187</v>
      </c>
      <c r="AS1714" s="144"/>
      <c r="AT1714" s="130" t="s">
        <v>228</v>
      </c>
      <c r="AU1714" s="154" t="s">
        <v>187</v>
      </c>
    </row>
    <row r="1715" spans="13:47" x14ac:dyDescent="0.25">
      <c r="M1715" s="20"/>
      <c r="N1715" s="20"/>
      <c r="O1715" s="7" t="s">
        <v>188</v>
      </c>
      <c r="P1715" s="7"/>
      <c r="Q1715" s="7"/>
      <c r="R1715" s="181">
        <f>P_1_minW-(R1713^2*R_up)+dpup_minQ</f>
        <v>100.51672822735932</v>
      </c>
      <c r="S1715" s="132"/>
      <c r="T1715" s="145"/>
      <c r="U1715" s="138">
        <f>P_1_minW-(U1713^2*R_up)+dpup_minQ</f>
        <v>99.585400640322007</v>
      </c>
      <c r="V1715" s="132"/>
      <c r="W1715" s="145"/>
      <c r="X1715" s="138">
        <f>P_1_minW-(X1713^2*R_up)+dpup_minQ</f>
        <v>94.789435661921104</v>
      </c>
      <c r="Y1715" s="132"/>
      <c r="Z1715" s="145"/>
      <c r="AA1715" s="138">
        <f>P_1_minW-(AA1713^2*R_up)+dpup_minQ</f>
        <v>78.772117557685448</v>
      </c>
      <c r="AB1715" s="132"/>
      <c r="AC1715" s="145"/>
      <c r="AD1715" s="138">
        <f>P_1_minW-(AD1713^2*R_up)+dpup_minQ</f>
        <v>41.691275942083287</v>
      </c>
      <c r="AE1715" s="132"/>
      <c r="AF1715" s="145"/>
      <c r="AG1715" s="138">
        <f>P_1_minW-(AG1713^2*R_up)+dpup_minQ</f>
        <v>-15.211867483494899</v>
      </c>
      <c r="AH1715" s="132"/>
      <c r="AI1715" s="145"/>
      <c r="AJ1715" s="138">
        <f>P_1_minW-(AJ1713^2*R_up)+dpup_minQ</f>
        <v>-86.067640888677474</v>
      </c>
      <c r="AK1715" s="132"/>
      <c r="AL1715" s="145"/>
      <c r="AM1715" s="138">
        <f>P_1_minW-(AM1713^2*R_up)+dpup_minQ</f>
        <v>-156.02798242995433</v>
      </c>
      <c r="AN1715" s="132"/>
      <c r="AO1715" s="145"/>
      <c r="AP1715" s="138">
        <f>P_1_minW-(AP1713^2*R_up)+dpup_minQ</f>
        <v>-218.81002447633873</v>
      </c>
      <c r="AQ1715" s="132"/>
      <c r="AR1715" s="145"/>
      <c r="AS1715" s="138">
        <f>P_1_minW-(AS1713^2*R_up)+dpup_minQ</f>
        <v>-296.95582791902245</v>
      </c>
      <c r="AT1715" s="132"/>
      <c r="AU1715" s="145"/>
    </row>
    <row r="1716" spans="13:47" x14ac:dyDescent="0.25">
      <c r="M1716" s="20"/>
      <c r="N1716" s="20"/>
      <c r="O1716" s="7" t="s">
        <v>189</v>
      </c>
      <c r="P1716" s="1"/>
      <c r="Q1716" s="7"/>
      <c r="R1716" s="181">
        <f>P_2_minW+(R1713^2*R_dn)-dpdn_minQ</f>
        <v>50</v>
      </c>
      <c r="S1716" s="132"/>
      <c r="T1716" s="146"/>
      <c r="U1716" s="138">
        <f>P_2_minW+(U1713^2*R_dn)-dpdn_minQ</f>
        <v>50</v>
      </c>
      <c r="V1716" s="132"/>
      <c r="W1716" s="146"/>
      <c r="X1716" s="138">
        <f>P_2_minW+(X1713^2*R_dn)-dpdn_minQ</f>
        <v>50</v>
      </c>
      <c r="Y1716" s="132"/>
      <c r="Z1716" s="146"/>
      <c r="AA1716" s="138">
        <f>P_2_minW+(AA1713^2*R_dn)-dpdn_minQ</f>
        <v>50</v>
      </c>
      <c r="AB1716" s="132"/>
      <c r="AC1716" s="146"/>
      <c r="AD1716" s="138">
        <f>P_2_minW+(AD1713^2*R_dn)-dpdn_minQ</f>
        <v>50</v>
      </c>
      <c r="AE1716" s="132"/>
      <c r="AF1716" s="146"/>
      <c r="AG1716" s="138">
        <f>P_2_minW+(AG1713^2*R_dn)-dpdn_minQ</f>
        <v>50</v>
      </c>
      <c r="AH1716" s="132"/>
      <c r="AI1716" s="146"/>
      <c r="AJ1716" s="138">
        <f>P_2_minW+(AJ1713^2*R_dn)-dpdn_minQ</f>
        <v>50</v>
      </c>
      <c r="AK1716" s="132"/>
      <c r="AL1716" s="146"/>
      <c r="AM1716" s="138">
        <f>P_2_minW+(AM1713^2*R_dn)-dpdn_minQ</f>
        <v>50</v>
      </c>
      <c r="AN1716" s="132"/>
      <c r="AO1716" s="146"/>
      <c r="AP1716" s="138">
        <f>P_2_minW+(AP1713^2*R_dn)-dpdn_minQ</f>
        <v>50</v>
      </c>
      <c r="AQ1716" s="132"/>
      <c r="AR1716" s="146"/>
      <c r="AS1716" s="138">
        <f>P_2_minW+(AS1713^2*R_dn)-dpdn_minQ</f>
        <v>50</v>
      </c>
      <c r="AT1716" s="132"/>
      <c r="AU1716" s="146"/>
    </row>
    <row r="1717" spans="13:47" x14ac:dyDescent="0.25">
      <c r="M1717" s="20"/>
      <c r="N1717" s="20"/>
      <c r="O1717" s="7" t="s">
        <v>234</v>
      </c>
      <c r="P1717" s="1"/>
      <c r="Q1717" s="7"/>
      <c r="R1717" s="179">
        <f>'Valve Sizing'!G$8*R1715/P_1_maxW</f>
        <v>0.48487480106835373</v>
      </c>
      <c r="S1717" s="132"/>
      <c r="T1717" s="146"/>
      <c r="U1717" s="143">
        <f>'Valve Sizing'!$G$8*U1715/P_1_maxW</f>
        <v>0.48038224260114254</v>
      </c>
      <c r="V1717" s="132"/>
      <c r="W1717" s="146"/>
      <c r="X1717" s="143">
        <f>'Valve Sizing'!$G$8*X1715/P_1_maxW</f>
        <v>0.45724736141427186</v>
      </c>
      <c r="Y1717" s="132"/>
      <c r="Z1717" s="146"/>
      <c r="AA1717" s="143">
        <f>'Valve Sizing'!$G$8*AA1715/P_1_maxW</f>
        <v>0.37998267058715945</v>
      </c>
      <c r="AB1717" s="132"/>
      <c r="AC1717" s="146"/>
      <c r="AD1717" s="143">
        <f>'Valve Sizing'!$G$8*AD1715/P_1_maxW</f>
        <v>0.20111129247043288</v>
      </c>
      <c r="AE1717" s="132"/>
      <c r="AF1717" s="146"/>
      <c r="AG1717" s="143">
        <f>'Valve Sizing'!$G$8*AG1715/P_1_maxW</f>
        <v>-7.3379340434303345E-2</v>
      </c>
      <c r="AH1717" s="132"/>
      <c r="AI1717" s="146"/>
      <c r="AJ1717" s="143">
        <f>'Valve Sizing'!$G$8*AJ1715/P_1_maxW</f>
        <v>-0.41517497624799427</v>
      </c>
      <c r="AK1717" s="132"/>
      <c r="AL1717" s="146"/>
      <c r="AM1717" s="143">
        <f>'Valve Sizing'!$G$8*AM1715/P_1_maxW</f>
        <v>-0.75265120817202125</v>
      </c>
      <c r="AN1717" s="132"/>
      <c r="AO1717" s="146"/>
      <c r="AP1717" s="143">
        <f>'Valve Sizing'!$G$8*AP1715/P_1_maxW</f>
        <v>-1.05550060135014</v>
      </c>
      <c r="AQ1717" s="132"/>
      <c r="AR1717" s="146"/>
      <c r="AS1717" s="143">
        <f>'Valve Sizing'!$G$8*AS1715/P_1_maxW</f>
        <v>-1.4324620441548865</v>
      </c>
      <c r="AT1717" s="132"/>
      <c r="AU1717" s="146"/>
    </row>
    <row r="1718" spans="13:47" x14ac:dyDescent="0.25">
      <c r="M1718" s="20"/>
      <c r="N1718" s="20"/>
      <c r="O1718" s="7" t="s">
        <v>190</v>
      </c>
      <c r="P1718" s="1"/>
      <c r="Q1718" s="7"/>
      <c r="R1718" s="181">
        <f>R1715-R1716</f>
        <v>50.516728227359323</v>
      </c>
      <c r="S1718" s="132"/>
      <c r="T1718" s="146"/>
      <c r="U1718" s="138">
        <f>U1715-U1716</f>
        <v>49.585400640322007</v>
      </c>
      <c r="V1718" s="132"/>
      <c r="W1718" s="146"/>
      <c r="X1718" s="138">
        <f>X1715-X1716</f>
        <v>44.789435661921104</v>
      </c>
      <c r="Y1718" s="132"/>
      <c r="Z1718" s="146"/>
      <c r="AA1718" s="138">
        <f>AA1715-AA1716</f>
        <v>28.772117557685448</v>
      </c>
      <c r="AB1718" s="132"/>
      <c r="AC1718" s="146"/>
      <c r="AD1718" s="138">
        <f>AD1715-AD1716</f>
        <v>-8.308724057916713</v>
      </c>
      <c r="AE1718" s="132"/>
      <c r="AF1718" s="146"/>
      <c r="AG1718" s="138">
        <f>AG1715-AG1716</f>
        <v>-65.211867483494899</v>
      </c>
      <c r="AH1718" s="132"/>
      <c r="AI1718" s="146"/>
      <c r="AJ1718" s="138">
        <f>AJ1715-AJ1716</f>
        <v>-136.06764088867749</v>
      </c>
      <c r="AK1718" s="132"/>
      <c r="AL1718" s="146"/>
      <c r="AM1718" s="138">
        <f>AM1715-AM1716</f>
        <v>-206.02798242995433</v>
      </c>
      <c r="AN1718" s="132"/>
      <c r="AO1718" s="146"/>
      <c r="AP1718" s="138">
        <f>AP1715-AP1716</f>
        <v>-268.81002447633875</v>
      </c>
      <c r="AQ1718" s="132"/>
      <c r="AR1718" s="146"/>
      <c r="AS1718" s="138">
        <f>AS1715-AS1716</f>
        <v>-346.95582791902245</v>
      </c>
      <c r="AT1718" s="132"/>
      <c r="AU1718" s="146"/>
    </row>
    <row r="1719" spans="13:47" ht="14.5" x14ac:dyDescent="0.35">
      <c r="M1719" s="27"/>
      <c r="N1719" s="27"/>
      <c r="O1719" s="2" t="s">
        <v>191</v>
      </c>
      <c r="P1719" s="10"/>
      <c r="Q1719" s="2"/>
      <c r="R1719" s="181">
        <f>R1718/R1715</f>
        <v>0.50257035936441607</v>
      </c>
      <c r="S1719" s="132"/>
      <c r="T1719" s="146"/>
      <c r="U1719" s="138">
        <f>U1718/U1715</f>
        <v>0.49791837278852036</v>
      </c>
      <c r="V1719" s="132"/>
      <c r="W1719" s="146"/>
      <c r="X1719" s="138">
        <f>X1718/X1715</f>
        <v>0.47251505770820784</v>
      </c>
      <c r="Y1719" s="132"/>
      <c r="Z1719" s="146"/>
      <c r="AA1719" s="138">
        <f>AA1718/AA1715</f>
        <v>0.36525763747071288</v>
      </c>
      <c r="AB1719" s="132"/>
      <c r="AC1719" s="146"/>
      <c r="AD1719" s="138">
        <f>AD1718/AD1715</f>
        <v>-0.19929167122299235</v>
      </c>
      <c r="AE1719" s="132"/>
      <c r="AF1719" s="146"/>
      <c r="AG1719" s="138">
        <f>AG1718/AG1715</f>
        <v>4.286907413192413</v>
      </c>
      <c r="AH1719" s="132"/>
      <c r="AI1719" s="146"/>
      <c r="AJ1719" s="138">
        <f>AJ1718/AJ1715</f>
        <v>1.5809384280053818</v>
      </c>
      <c r="AK1719" s="132"/>
      <c r="AL1719" s="146"/>
      <c r="AM1719" s="138">
        <f>AM1718/AM1715</f>
        <v>1.3204553389802789</v>
      </c>
      <c r="AN1719" s="132"/>
      <c r="AO1719" s="146"/>
      <c r="AP1719" s="138">
        <f>AP1718/AP1715</f>
        <v>1.2285087263239478</v>
      </c>
      <c r="AQ1719" s="132"/>
      <c r="AR1719" s="146"/>
      <c r="AS1719" s="138">
        <f>AS1718/AS1715</f>
        <v>1.1683752103819112</v>
      </c>
      <c r="AT1719" s="132"/>
      <c r="AU1719" s="146"/>
    </row>
    <row r="1720" spans="13:47" x14ac:dyDescent="0.25">
      <c r="M1720" s="27"/>
      <c r="N1720" s="27"/>
      <c r="O1720" s="2" t="s">
        <v>26</v>
      </c>
      <c r="P1720" s="7">
        <v>12</v>
      </c>
      <c r="Q1720" s="2"/>
      <c r="R1720" s="181">
        <f>1-R1719/(3*F_GAMMA*R$29)</f>
        <v>0.73825559782460393</v>
      </c>
      <c r="S1720" s="133"/>
      <c r="T1720" s="146"/>
      <c r="U1720" s="138">
        <f>1-U1719/(3*F_GAMMA*U$29)</f>
        <v>0.74073550189843895</v>
      </c>
      <c r="V1720" s="133"/>
      <c r="W1720" s="146"/>
      <c r="X1720" s="138">
        <f>1-X1719/(3*F_GAMMA*X$29)</f>
        <v>0.75027197883157126</v>
      </c>
      <c r="Y1720" s="133"/>
      <c r="Z1720" s="146"/>
      <c r="AA1720" s="138">
        <f>1-AA1719/(3*F_GAMMA*AA$29)</f>
        <v>0.80431152188544452</v>
      </c>
      <c r="AB1720" s="133"/>
      <c r="AC1720" s="146"/>
      <c r="AD1720" s="138">
        <f>1-AD1719/(3*F_GAMMA*AD$29)</f>
        <v>1.1096988856205539</v>
      </c>
      <c r="AE1720" s="133"/>
      <c r="AF1720" s="146"/>
      <c r="AG1720" s="138">
        <f>1-AG1719/(3*F_GAMMA*AG$29)</f>
        <v>-1.4943031855110509</v>
      </c>
      <c r="AH1720" s="133"/>
      <c r="AI1720" s="146"/>
      <c r="AJ1720" s="138">
        <f>1-AJ1719/(3*F_GAMMA*AJ$29)</f>
        <v>1.6660904434714574E-2</v>
      </c>
      <c r="AK1720" s="133"/>
      <c r="AL1720" s="146"/>
      <c r="AM1720" s="138">
        <f>1-AM1719/(3*F_GAMMA*AM$29)</f>
        <v>0.10262506577830621</v>
      </c>
      <c r="AN1720" s="133"/>
      <c r="AO1720" s="146"/>
      <c r="AP1720" s="138">
        <f>1-AP1719/(3*F_GAMMA*AP$29)</f>
        <v>0.31005500387381479</v>
      </c>
      <c r="AQ1720" s="133"/>
      <c r="AR1720" s="146"/>
      <c r="AS1720" s="138">
        <f>1-AS1719/(3*F_GAMMA*AS$29)</f>
        <v>3.8719072739452631E-3</v>
      </c>
      <c r="AT1720" s="133"/>
      <c r="AU1720" s="146"/>
    </row>
    <row r="1721" spans="13:47" x14ac:dyDescent="0.25">
      <c r="M1721" s="27"/>
      <c r="N1721" s="27"/>
      <c r="O1721" s="2" t="s">
        <v>71</v>
      </c>
      <c r="P1721" s="85">
        <v>5</v>
      </c>
      <c r="Q1721" s="2"/>
      <c r="R1721" s="179">
        <f>R1713/((N_6*R$27*R1720)*SQRT(R1719*R1715*R1717))</f>
        <v>0.53300917419626659</v>
      </c>
      <c r="S1721" s="133"/>
      <c r="T1721" s="146"/>
      <c r="U1721" s="143">
        <f>U1713/((N_6*U$27*U1720)*SQRT(U1719*U1715*U1717))</f>
        <v>6.7048123396462058</v>
      </c>
      <c r="V1721" s="133"/>
      <c r="W1721" s="146"/>
      <c r="X1721" s="143">
        <f>X1713/((N_6*X$27*X1720)*SQRT(X1719*X1715*X1717))</f>
        <v>17.694752181860654</v>
      </c>
      <c r="Y1721" s="133"/>
      <c r="Z1721" s="146"/>
      <c r="AA1721" s="143">
        <f>AA1713/((N_6*AA$27*AA1720)*SQRT(AA1719*AA1715*AA1717))</f>
        <v>44.254469358260828</v>
      </c>
      <c r="AB1721" s="133"/>
      <c r="AC1721" s="146"/>
      <c r="AD1721" s="143" t="e">
        <f>AD1713/((N_6*AD$27*AD1720)*SQRT(AD1719*AD1715*AD1717))</f>
        <v>#NUM!</v>
      </c>
      <c r="AE1721" s="133"/>
      <c r="AF1721" s="146"/>
      <c r="AG1721" s="143">
        <f>AG1713/((N_6*AG$27*AG1720)*SQRT(AG1719*AG1715*AG1717))</f>
        <v>-85.856087401208029</v>
      </c>
      <c r="AH1721" s="133"/>
      <c r="AI1721" s="146"/>
      <c r="AJ1721" s="143">
        <f>AJ1713/((N_6*AJ$27*AJ1720)*SQRT(AJ1719*AJ1715*AJ1717))</f>
        <v>2943.3438245498046</v>
      </c>
      <c r="AK1721" s="133"/>
      <c r="AL1721" s="146"/>
      <c r="AM1721" s="143">
        <f>AM1713/((N_6*AM$27*AM1720)*SQRT(AM1719*AM1715*AM1717))</f>
        <v>358.95943416012483</v>
      </c>
      <c r="AN1721" s="133"/>
      <c r="AO1721" s="146"/>
      <c r="AP1721" s="143">
        <f>AP1713/((N_6*AP$27*AP1720)*SQRT(AP1719*AP1715*AP1717))</f>
        <v>111.31593122271988</v>
      </c>
      <c r="AQ1721" s="133"/>
      <c r="AR1721" s="146"/>
      <c r="AS1721" s="143">
        <f>AS1713/((N_6*AS$27*AS1720)*SQRT(AS1719*AS1715*AS1717))</f>
        <v>9873.405373475247</v>
      </c>
      <c r="AT1721" s="133"/>
      <c r="AU1721" s="146"/>
    </row>
    <row r="1722" spans="13:47" x14ac:dyDescent="0.25">
      <c r="M1722" s="27"/>
      <c r="N1722" s="27"/>
      <c r="O1722" s="2" t="s">
        <v>73</v>
      </c>
      <c r="P1722" s="85">
        <v>5</v>
      </c>
      <c r="Q1722" s="2"/>
      <c r="R1722" s="179">
        <f>R1713/((N_6*R$27*0.667)*SQRT(R1723*R1715*R1717))</f>
        <v>0.52277514062078845</v>
      </c>
      <c r="S1722" s="133"/>
      <c r="T1722" s="147"/>
      <c r="U1722" s="143">
        <f>U1713/((N_6*U$27*0.667)*SQRT(U1723*U1715*U1717))</f>
        <v>6.5668350285569508</v>
      </c>
      <c r="V1722" s="133"/>
      <c r="W1722" s="155"/>
      <c r="X1722" s="143">
        <f>X1713/((N_6*X$27*0.667)*SQRT(X1723*X1715*X1717))</f>
        <v>17.227872252305797</v>
      </c>
      <c r="Y1722" s="133"/>
      <c r="Z1722" s="155"/>
      <c r="AA1722" s="143">
        <f>AA1713/((N_6*AA$27*0.667)*SQRT(AA1723*AA1715*AA1717))</f>
        <v>40.88828066187159</v>
      </c>
      <c r="AB1722" s="133"/>
      <c r="AC1722" s="155"/>
      <c r="AD1722" s="143">
        <f>AD1713/((N_6*AD$27*0.667)*SQRT(AD1723*AD1715*AD1717))</f>
        <v>130.32061185899008</v>
      </c>
      <c r="AE1722" s="133"/>
      <c r="AF1722" s="155"/>
      <c r="AG1722" s="143">
        <f>AG1713/((N_6*AG$27*0.667)*SQRT(AG1723*AG1715*AG1717))</f>
        <v>526.1616969221792</v>
      </c>
      <c r="AH1722" s="133"/>
      <c r="AI1722" s="155"/>
      <c r="AJ1722" s="143">
        <f>AJ1713/((N_6*AJ$27*0.667)*SQRT(AJ1723*AJ1715*AJ1717))</f>
        <v>126.27751204290774</v>
      </c>
      <c r="AK1722" s="133"/>
      <c r="AL1722" s="155"/>
      <c r="AM1722" s="143">
        <f>AM1713/((N_6*AM$27*0.667)*SQRT(AM1723*AM1715*AM1717))</f>
        <v>90.619274549188304</v>
      </c>
      <c r="AN1722" s="133"/>
      <c r="AO1722" s="155"/>
      <c r="AP1722" s="143">
        <f>AP1713/((N_6*AP$27*0.667)*SQRT(AP1723*AP1715*AP1717))</f>
        <v>74.445439215401706</v>
      </c>
      <c r="AQ1722" s="133"/>
      <c r="AR1722" s="155"/>
      <c r="AS1722" s="143">
        <f>AS1713/((N_6*AS$27*0.667)*SQRT(AS1723*AS1715*AS1717))</f>
        <v>99.079613528005495</v>
      </c>
      <c r="AT1722" s="133"/>
      <c r="AU1722" s="155"/>
    </row>
    <row r="1723" spans="13:47" ht="15.5" x14ac:dyDescent="0.4">
      <c r="M1723" s="27"/>
      <c r="N1723" s="27"/>
      <c r="O1723" s="2" t="s">
        <v>192</v>
      </c>
      <c r="P1723" s="85">
        <v>10</v>
      </c>
      <c r="Q1723" s="2"/>
      <c r="R1723" s="181">
        <f>F_GAMMA*R$29</f>
        <v>0.64002688015162901</v>
      </c>
      <c r="S1723" s="133"/>
      <c r="T1723" s="147"/>
      <c r="U1723" s="138">
        <f>F_GAMMA*U$29</f>
        <v>0.64016782916606918</v>
      </c>
      <c r="V1723" s="133"/>
      <c r="W1723" s="155"/>
      <c r="X1723" s="138">
        <f>F_GAMMA*X$29</f>
        <v>0.6307062319203669</v>
      </c>
      <c r="Y1723" s="133"/>
      <c r="Z1723" s="155"/>
      <c r="AA1723" s="138">
        <f>F_GAMMA*AA$29</f>
        <v>0.62217534213893466</v>
      </c>
      <c r="AB1723" s="133"/>
      <c r="AC1723" s="155"/>
      <c r="AD1723" s="138">
        <f>F_GAMMA*AD$29</f>
        <v>0.60557184969146072</v>
      </c>
      <c r="AE1723" s="133"/>
      <c r="AF1723" s="155"/>
      <c r="AG1723" s="138">
        <f>F_GAMMA*AG$29</f>
        <v>0.57289312142622573</v>
      </c>
      <c r="AH1723" s="133"/>
      <c r="AI1723" s="155"/>
      <c r="AJ1723" s="138">
        <f>F_GAMMA*AJ$29</f>
        <v>0.53590819116049981</v>
      </c>
      <c r="AK1723" s="133"/>
      <c r="AL1723" s="155"/>
      <c r="AM1723" s="138">
        <f>F_GAMMA*AM$29</f>
        <v>0.49048815926850342</v>
      </c>
      <c r="AN1723" s="133"/>
      <c r="AO1723" s="155"/>
      <c r="AP1723" s="138">
        <f>F_GAMMA*AP$29</f>
        <v>0.59352979016280105</v>
      </c>
      <c r="AQ1723" s="133"/>
      <c r="AR1723" s="155"/>
      <c r="AS1723" s="138">
        <f>F_GAMMA*AS$29</f>
        <v>0.39097221161068291</v>
      </c>
      <c r="AT1723" s="133"/>
      <c r="AU1723" s="155"/>
    </row>
    <row r="1724" spans="13:47" x14ac:dyDescent="0.25">
      <c r="M1724" s="27"/>
      <c r="N1724" s="27"/>
      <c r="O1724" s="2" t="s">
        <v>193</v>
      </c>
      <c r="P1724" s="134"/>
      <c r="Q1724" s="2"/>
      <c r="R1724" s="181">
        <f>IF(R1719&lt;R1723,R1721,R1722)</f>
        <v>0.53300917419626659</v>
      </c>
      <c r="S1724" s="133"/>
      <c r="T1724" s="147"/>
      <c r="U1724" s="138">
        <f>IF(U1719&lt;U1723,U1721,U1722)</f>
        <v>6.7048123396462058</v>
      </c>
      <c r="V1724" s="133"/>
      <c r="W1724" s="155"/>
      <c r="X1724" s="138">
        <f>IF(X1719&lt;X1723,X1721,X1722)</f>
        <v>17.694752181860654</v>
      </c>
      <c r="Y1724" s="133"/>
      <c r="Z1724" s="155"/>
      <c r="AA1724" s="138">
        <f>IF(AA1719&lt;AA1723,AA1721,AA1722)</f>
        <v>44.254469358260828</v>
      </c>
      <c r="AB1724" s="133"/>
      <c r="AC1724" s="155"/>
      <c r="AD1724" s="138" t="e">
        <f>IF(AD1719&lt;AD1723,AD1721,AD1722)</f>
        <v>#NUM!</v>
      </c>
      <c r="AE1724" s="133"/>
      <c r="AF1724" s="155"/>
      <c r="AG1724" s="138">
        <f>IF(AG1719&lt;AG1723,AG1721,AG1722)</f>
        <v>526.1616969221792</v>
      </c>
      <c r="AH1724" s="133"/>
      <c r="AI1724" s="155"/>
      <c r="AJ1724" s="138">
        <f>IF(AJ1719&lt;AJ1723,AJ1721,AJ1722)</f>
        <v>126.27751204290774</v>
      </c>
      <c r="AK1724" s="133"/>
      <c r="AL1724" s="155"/>
      <c r="AM1724" s="138">
        <f>IF(AM1719&lt;AM1723,AM1721,AM1722)</f>
        <v>90.619274549188304</v>
      </c>
      <c r="AN1724" s="133"/>
      <c r="AO1724" s="155"/>
      <c r="AP1724" s="138">
        <f>IF(AP1719&lt;AP1723,AP1721,AP1722)</f>
        <v>74.445439215401706</v>
      </c>
      <c r="AQ1724" s="133"/>
      <c r="AR1724" s="155"/>
      <c r="AS1724" s="138">
        <f>IF(AS1719&lt;AS1723,AS1721,AS1722)</f>
        <v>99.079613528005495</v>
      </c>
      <c r="AT1724" s="133"/>
      <c r="AU1724" s="155"/>
    </row>
    <row r="1725" spans="13:47" ht="13" x14ac:dyDescent="0.3">
      <c r="M1725" s="28"/>
      <c r="N1725" s="28"/>
      <c r="O1725" s="9" t="s">
        <v>194</v>
      </c>
      <c r="P1725" s="1"/>
      <c r="Q1725" s="1"/>
      <c r="R1725" s="135"/>
      <c r="S1725" s="132">
        <f>IF(R1718&lt;=0,W_max,ABS(R$23-R1724))</f>
        <v>1.4669908258037334</v>
      </c>
      <c r="T1725" s="151">
        <f>R1713</f>
        <v>123.26111674161035</v>
      </c>
      <c r="U1725" s="135"/>
      <c r="V1725" s="132">
        <f>IF(U1718&lt;=0,W_max,ABS(U$23-U1724))</f>
        <v>1.7048123396462058</v>
      </c>
      <c r="W1725" s="151">
        <f>U1713</f>
        <v>1533.2128839317986</v>
      </c>
      <c r="X1725" s="135"/>
      <c r="Y1725" s="132">
        <f>IF(X1718&lt;=0,W_max,ABS(X$23-X1724))</f>
        <v>7.6947521818606539</v>
      </c>
      <c r="Z1725" s="151">
        <f>X1713</f>
        <v>3791.8179164353078</v>
      </c>
      <c r="AA1725" s="135"/>
      <c r="AB1725" s="132">
        <f>IF(AA1718&lt;=0,W_max,ABS(AA$23-AA1724))</f>
        <v>27.054469358260828</v>
      </c>
      <c r="AC1725" s="151">
        <f>AA1713</f>
        <v>7385.493457084568</v>
      </c>
      <c r="AD1725" s="135"/>
      <c r="AE1725" s="132">
        <f>IF(AD1718&lt;=0,W_max,ABS(AD$23-AD1724))</f>
        <v>7174</v>
      </c>
      <c r="AF1725" s="151">
        <f>AD1713</f>
        <v>12146.417559541067</v>
      </c>
      <c r="AG1725" s="135"/>
      <c r="AH1725" s="132">
        <f>IF(AG1718&lt;=0,W_max,ABS(AG$23-AG1724))</f>
        <v>7174</v>
      </c>
      <c r="AI1725" s="151">
        <f>AG1713</f>
        <v>17036.285733418281</v>
      </c>
      <c r="AJ1725" s="135"/>
      <c r="AK1725" s="132">
        <f>IF(AJ1718&lt;=0,W_max,ABS(AJ$23-AJ1724))</f>
        <v>7174</v>
      </c>
      <c r="AL1725" s="151">
        <f>AJ1713</f>
        <v>21631.56227801113</v>
      </c>
      <c r="AM1725" s="135"/>
      <c r="AN1725" s="132">
        <f>IF(AM1718&lt;=0,W_max,ABS(AM$23-AM1724))</f>
        <v>7174</v>
      </c>
      <c r="AO1725" s="151">
        <f>AM1713</f>
        <v>25364.707983532895</v>
      </c>
      <c r="AP1725" s="135"/>
      <c r="AQ1725" s="132">
        <f>IF(AP1718&lt;=0,W_max,ABS(AP$23-AP1724))</f>
        <v>7174</v>
      </c>
      <c r="AR1725" s="151">
        <f>AP1713</f>
        <v>28298.6018196367</v>
      </c>
      <c r="AS1725" s="135"/>
      <c r="AT1725" s="132">
        <f>IF(AS1718&lt;=0,W_max,ABS(AS$23-AS1724))</f>
        <v>7174</v>
      </c>
      <c r="AU1725" s="151">
        <f>AS1713</f>
        <v>31571.854305054192</v>
      </c>
    </row>
    <row r="1726" spans="13:47" ht="13" x14ac:dyDescent="0.25">
      <c r="M1726" s="12"/>
      <c r="N1726" s="12"/>
      <c r="O1726" s="12"/>
      <c r="P1726" s="12"/>
      <c r="Q1726" s="12"/>
      <c r="R1726" s="182"/>
      <c r="S1726" s="22"/>
      <c r="T1726" s="152"/>
      <c r="U1726" s="157"/>
      <c r="V1726" s="1"/>
      <c r="W1726" s="147"/>
      <c r="X1726" s="157"/>
      <c r="Y1726" s="1"/>
      <c r="Z1726" s="147"/>
      <c r="AA1726" s="157"/>
      <c r="AB1726" s="1"/>
      <c r="AC1726" s="147"/>
      <c r="AD1726" s="157"/>
      <c r="AE1726" s="1"/>
      <c r="AF1726" s="147"/>
      <c r="AG1726" s="157"/>
      <c r="AH1726" s="1"/>
      <c r="AI1726" s="147"/>
      <c r="AJ1726" s="157"/>
      <c r="AK1726" s="1"/>
      <c r="AL1726" s="147"/>
      <c r="AM1726" s="157"/>
      <c r="AN1726" s="1"/>
      <c r="AO1726" s="147"/>
      <c r="AP1726" s="157"/>
      <c r="AQ1726" s="1"/>
      <c r="AR1726" s="147"/>
      <c r="AS1726" s="157"/>
      <c r="AT1726" s="1"/>
      <c r="AU1726" s="147"/>
    </row>
    <row r="1727" spans="13:47" ht="14" x14ac:dyDescent="0.3">
      <c r="M1727" s="23"/>
      <c r="N1727" s="23"/>
      <c r="O1727" s="23" t="s">
        <v>238</v>
      </c>
      <c r="P1727" s="20"/>
      <c r="Q1727" s="20"/>
      <c r="R1727" s="18">
        <f>R1713*1.02</f>
        <v>125.72633907644256</v>
      </c>
      <c r="S1727" s="128" t="s">
        <v>185</v>
      </c>
      <c r="T1727" s="153" t="s">
        <v>186</v>
      </c>
      <c r="U1727" s="143">
        <f>U1713*1.01</f>
        <v>1548.5450127711167</v>
      </c>
      <c r="V1727" s="128" t="s">
        <v>185</v>
      </c>
      <c r="W1727" s="153" t="s">
        <v>186</v>
      </c>
      <c r="X1727" s="143">
        <f>X1713*1.01</f>
        <v>3829.736095599661</v>
      </c>
      <c r="Y1727" s="128" t="s">
        <v>185</v>
      </c>
      <c r="Z1727" s="153" t="s">
        <v>186</v>
      </c>
      <c r="AA1727" s="143">
        <f>AA1713*1.01</f>
        <v>7459.3483916554142</v>
      </c>
      <c r="AB1727" s="128" t="s">
        <v>185</v>
      </c>
      <c r="AC1727" s="153" t="s">
        <v>186</v>
      </c>
      <c r="AD1727" s="143">
        <f>AD1713*1.01</f>
        <v>12267.881735136478</v>
      </c>
      <c r="AE1727" s="128" t="s">
        <v>185</v>
      </c>
      <c r="AF1727" s="153" t="s">
        <v>186</v>
      </c>
      <c r="AG1727" s="143">
        <f>AG1713*1.01</f>
        <v>17206.648590752462</v>
      </c>
      <c r="AH1727" s="128" t="s">
        <v>185</v>
      </c>
      <c r="AI1727" s="153" t="s">
        <v>186</v>
      </c>
      <c r="AJ1727" s="143">
        <f>AJ1713*1.01</f>
        <v>21847.877900791242</v>
      </c>
      <c r="AK1727" s="128" t="s">
        <v>185</v>
      </c>
      <c r="AL1727" s="153" t="s">
        <v>186</v>
      </c>
      <c r="AM1727" s="143">
        <f>AM1713*1.01</f>
        <v>25618.355063368224</v>
      </c>
      <c r="AN1727" s="128" t="s">
        <v>185</v>
      </c>
      <c r="AO1727" s="153" t="s">
        <v>186</v>
      </c>
      <c r="AP1727" s="143">
        <f>AP1713*1.01</f>
        <v>28581.587837833067</v>
      </c>
      <c r="AQ1727" s="128" t="s">
        <v>185</v>
      </c>
      <c r="AR1727" s="153" t="s">
        <v>186</v>
      </c>
      <c r="AS1727" s="143">
        <f>AS1713*1.01</f>
        <v>31887.572848104734</v>
      </c>
      <c r="AT1727" s="128" t="s">
        <v>185</v>
      </c>
      <c r="AU1727" s="153" t="s">
        <v>186</v>
      </c>
    </row>
    <row r="1728" spans="13:47" ht="14" x14ac:dyDescent="0.3">
      <c r="M1728" s="12"/>
      <c r="N1728" s="12"/>
      <c r="O1728" s="20"/>
      <c r="P1728" s="20"/>
      <c r="Q1728" s="23"/>
      <c r="R1728" s="139"/>
      <c r="S1728" s="130" t="s">
        <v>228</v>
      </c>
      <c r="T1728" s="154" t="s">
        <v>187</v>
      </c>
      <c r="U1728" s="144"/>
      <c r="V1728" s="130" t="s">
        <v>228</v>
      </c>
      <c r="W1728" s="154" t="s">
        <v>187</v>
      </c>
      <c r="X1728" s="144"/>
      <c r="Y1728" s="130" t="s">
        <v>228</v>
      </c>
      <c r="Z1728" s="154" t="s">
        <v>187</v>
      </c>
      <c r="AA1728" s="144"/>
      <c r="AB1728" s="130" t="s">
        <v>228</v>
      </c>
      <c r="AC1728" s="154" t="s">
        <v>187</v>
      </c>
      <c r="AD1728" s="144"/>
      <c r="AE1728" s="130" t="s">
        <v>228</v>
      </c>
      <c r="AF1728" s="154" t="s">
        <v>187</v>
      </c>
      <c r="AG1728" s="144"/>
      <c r="AH1728" s="130" t="s">
        <v>228</v>
      </c>
      <c r="AI1728" s="154" t="s">
        <v>187</v>
      </c>
      <c r="AJ1728" s="144"/>
      <c r="AK1728" s="130" t="s">
        <v>228</v>
      </c>
      <c r="AL1728" s="154" t="s">
        <v>187</v>
      </c>
      <c r="AM1728" s="144"/>
      <c r="AN1728" s="130" t="s">
        <v>228</v>
      </c>
      <c r="AO1728" s="154" t="s">
        <v>187</v>
      </c>
      <c r="AP1728" s="144"/>
      <c r="AQ1728" s="130" t="s">
        <v>228</v>
      </c>
      <c r="AR1728" s="154" t="s">
        <v>187</v>
      </c>
      <c r="AS1728" s="144"/>
      <c r="AT1728" s="130" t="s">
        <v>228</v>
      </c>
      <c r="AU1728" s="154" t="s">
        <v>187</v>
      </c>
    </row>
    <row r="1729" spans="13:47" x14ac:dyDescent="0.25">
      <c r="M1729" s="20"/>
      <c r="N1729" s="20"/>
      <c r="O1729" s="7" t="s">
        <v>188</v>
      </c>
      <c r="P1729" s="7"/>
      <c r="Q1729" s="7"/>
      <c r="R1729" s="181">
        <f>P_1_minW-(R1727^2*R_up)+dpup_minQ</f>
        <v>100.51648346358088</v>
      </c>
      <c r="S1729" s="132"/>
      <c r="T1729" s="145"/>
      <c r="U1729" s="138">
        <f>P_1_minW-(U1727^2*R_up)+dpup_minQ</f>
        <v>99.566559179784264</v>
      </c>
      <c r="V1729" s="132"/>
      <c r="W1729" s="145"/>
      <c r="X1729" s="138">
        <f>P_1_minW-(X1727^2*R_up)+dpup_minQ</f>
        <v>94.674195305317511</v>
      </c>
      <c r="Y1729" s="132"/>
      <c r="Z1729" s="145"/>
      <c r="AA1729" s="138">
        <f>P_1_minW-(AA1727^2*R_up)+dpup_minQ</f>
        <v>78.33492910718671</v>
      </c>
      <c r="AB1729" s="132"/>
      <c r="AC1729" s="145"/>
      <c r="AD1729" s="138">
        <f>P_1_minW-(AD1727^2*R_up)+dpup_minQ</f>
        <v>40.508762575110943</v>
      </c>
      <c r="AE1729" s="132"/>
      <c r="AF1729" s="145"/>
      <c r="AG1729" s="138">
        <f>P_1_minW-(AG1727^2*R_up)+dpup_minQ</f>
        <v>-17.538134033321342</v>
      </c>
      <c r="AH1729" s="132"/>
      <c r="AI1729" s="145"/>
      <c r="AJ1729" s="138">
        <f>P_1_minW-(AJ1727^2*R_up)+dpup_minQ</f>
        <v>-89.81810848394808</v>
      </c>
      <c r="AK1729" s="132"/>
      <c r="AL1729" s="145"/>
      <c r="AM1729" s="138">
        <f>P_1_minW-(AM1727^2*R_up)+dpup_minQ</f>
        <v>-161.1846528902046</v>
      </c>
      <c r="AN1729" s="132"/>
      <c r="AO1729" s="145"/>
      <c r="AP1729" s="138">
        <f>P_1_minW-(AP1727^2*R_up)+dpup_minQ</f>
        <v>-225.22861398172134</v>
      </c>
      <c r="AQ1729" s="132"/>
      <c r="AR1729" s="145"/>
      <c r="AS1729" s="138">
        <f>P_1_minW-(AS1727^2*R_up)+dpup_minQ</f>
        <v>-304.94514807360298</v>
      </c>
      <c r="AT1729" s="132"/>
      <c r="AU1729" s="145"/>
    </row>
    <row r="1730" spans="13:47" x14ac:dyDescent="0.25">
      <c r="M1730" s="20"/>
      <c r="N1730" s="20"/>
      <c r="O1730" s="7" t="s">
        <v>189</v>
      </c>
      <c r="P1730" s="1"/>
      <c r="Q1730" s="7"/>
      <c r="R1730" s="181">
        <f>P_2_minW+(R1727^2*R_dn)-dpdn_minQ</f>
        <v>50</v>
      </c>
      <c r="S1730" s="132"/>
      <c r="T1730" s="146"/>
      <c r="U1730" s="138">
        <f>P_2_minW+(U1727^2*R_dn)-dpdn_minQ</f>
        <v>50</v>
      </c>
      <c r="V1730" s="132"/>
      <c r="W1730" s="146"/>
      <c r="X1730" s="138">
        <f>P_2_minW+(X1727^2*R_dn)-dpdn_minQ</f>
        <v>50</v>
      </c>
      <c r="Y1730" s="132"/>
      <c r="Z1730" s="146"/>
      <c r="AA1730" s="138">
        <f>P_2_minW+(AA1727^2*R_dn)-dpdn_minQ</f>
        <v>50</v>
      </c>
      <c r="AB1730" s="132"/>
      <c r="AC1730" s="146"/>
      <c r="AD1730" s="138">
        <f>P_2_minW+(AD1727^2*R_dn)-dpdn_minQ</f>
        <v>50</v>
      </c>
      <c r="AE1730" s="132"/>
      <c r="AF1730" s="146"/>
      <c r="AG1730" s="138">
        <f>P_2_minW+(AG1727^2*R_dn)-dpdn_minQ</f>
        <v>50</v>
      </c>
      <c r="AH1730" s="132"/>
      <c r="AI1730" s="146"/>
      <c r="AJ1730" s="138">
        <f>P_2_minW+(AJ1727^2*R_dn)-dpdn_minQ</f>
        <v>50</v>
      </c>
      <c r="AK1730" s="132"/>
      <c r="AL1730" s="146"/>
      <c r="AM1730" s="138">
        <f>P_2_minW+(AM1727^2*R_dn)-dpdn_minQ</f>
        <v>50</v>
      </c>
      <c r="AN1730" s="132"/>
      <c r="AO1730" s="146"/>
      <c r="AP1730" s="138">
        <f>P_2_minW+(AP1727^2*R_dn)-dpdn_minQ</f>
        <v>50</v>
      </c>
      <c r="AQ1730" s="132"/>
      <c r="AR1730" s="146"/>
      <c r="AS1730" s="138">
        <f>P_2_minW+(AS1727^2*R_dn)-dpdn_minQ</f>
        <v>50</v>
      </c>
      <c r="AT1730" s="132"/>
      <c r="AU1730" s="146"/>
    </row>
    <row r="1731" spans="13:47" x14ac:dyDescent="0.25">
      <c r="M1731" s="20"/>
      <c r="N1731" s="20"/>
      <c r="O1731" s="7" t="s">
        <v>234</v>
      </c>
      <c r="P1731" s="1"/>
      <c r="Q1731" s="7"/>
      <c r="R1731" s="179">
        <f>'Valve Sizing'!G$8*R1729/P_1_maxW</f>
        <v>0.48487362037146403</v>
      </c>
      <c r="S1731" s="132"/>
      <c r="T1731" s="146"/>
      <c r="U1731" s="143">
        <f>'Valve Sizing'!$G$8*U1729/P_1_maxW</f>
        <v>0.48029135475002382</v>
      </c>
      <c r="V1731" s="132"/>
      <c r="W1731" s="146"/>
      <c r="X1731" s="143">
        <f>'Valve Sizing'!$G$8*X1729/P_1_maxW</f>
        <v>0.4566914624512971</v>
      </c>
      <c r="Y1731" s="132"/>
      <c r="Z1731" s="146"/>
      <c r="AA1731" s="143">
        <f>'Valve Sizing'!$G$8*AA1729/P_1_maxW</f>
        <v>0.3778737513385596</v>
      </c>
      <c r="AB1731" s="132"/>
      <c r="AC1731" s="146"/>
      <c r="AD1731" s="143">
        <f>'Valve Sizing'!$G$8*AD1729/P_1_maxW</f>
        <v>0.1954070585216868</v>
      </c>
      <c r="AE1731" s="132"/>
      <c r="AF1731" s="146"/>
      <c r="AG1731" s="143">
        <f>'Valve Sizing'!$G$8*AG1729/P_1_maxW</f>
        <v>-8.4600836104434501E-2</v>
      </c>
      <c r="AH1731" s="132"/>
      <c r="AI1731" s="146"/>
      <c r="AJ1731" s="143">
        <f>'Valve Sizing'!$G$8*AJ1729/P_1_maxW</f>
        <v>-0.4332665641979806</v>
      </c>
      <c r="AK1731" s="132"/>
      <c r="AL1731" s="146"/>
      <c r="AM1731" s="143">
        <f>'Valve Sizing'!$G$8*AM1729/P_1_maxW</f>
        <v>-0.77752606838368044</v>
      </c>
      <c r="AN1731" s="132"/>
      <c r="AO1731" s="146"/>
      <c r="AP1731" s="143">
        <f>'Valve Sizing'!$G$8*AP1729/P_1_maxW</f>
        <v>-1.0864627343646795</v>
      </c>
      <c r="AQ1731" s="132"/>
      <c r="AR1731" s="146"/>
      <c r="AS1731" s="143">
        <f>'Valve Sizing'!$G$8*AS1729/P_1_maxW</f>
        <v>-1.4710011021698013</v>
      </c>
      <c r="AT1731" s="132"/>
      <c r="AU1731" s="146"/>
    </row>
    <row r="1732" spans="13:47" x14ac:dyDescent="0.25">
      <c r="M1732" s="20"/>
      <c r="N1732" s="20"/>
      <c r="O1732" s="7" t="s">
        <v>190</v>
      </c>
      <c r="P1732" s="1"/>
      <c r="Q1732" s="7"/>
      <c r="R1732" s="181">
        <f>R1729-R1730</f>
        <v>50.516483463580883</v>
      </c>
      <c r="S1732" s="132"/>
      <c r="T1732" s="146"/>
      <c r="U1732" s="138">
        <f>U1729-U1730</f>
        <v>49.566559179784264</v>
      </c>
      <c r="V1732" s="132"/>
      <c r="W1732" s="146"/>
      <c r="X1732" s="138">
        <f>X1729-X1730</f>
        <v>44.674195305317511</v>
      </c>
      <c r="Y1732" s="132"/>
      <c r="Z1732" s="146"/>
      <c r="AA1732" s="138">
        <f>AA1729-AA1730</f>
        <v>28.33492910718671</v>
      </c>
      <c r="AB1732" s="132"/>
      <c r="AC1732" s="146"/>
      <c r="AD1732" s="138">
        <f>AD1729-AD1730</f>
        <v>-9.4912374248890572</v>
      </c>
      <c r="AE1732" s="132"/>
      <c r="AF1732" s="146"/>
      <c r="AG1732" s="138">
        <f>AG1729-AG1730</f>
        <v>-67.538134033321342</v>
      </c>
      <c r="AH1732" s="132"/>
      <c r="AI1732" s="146"/>
      <c r="AJ1732" s="138">
        <f>AJ1729-AJ1730</f>
        <v>-139.81810848394809</v>
      </c>
      <c r="AK1732" s="132"/>
      <c r="AL1732" s="146"/>
      <c r="AM1732" s="138">
        <f>AM1729-AM1730</f>
        <v>-211.1846528902046</v>
      </c>
      <c r="AN1732" s="132"/>
      <c r="AO1732" s="146"/>
      <c r="AP1732" s="138">
        <f>AP1729-AP1730</f>
        <v>-275.22861398172131</v>
      </c>
      <c r="AQ1732" s="132"/>
      <c r="AR1732" s="146"/>
      <c r="AS1732" s="138">
        <f>AS1729-AS1730</f>
        <v>-354.94514807360298</v>
      </c>
      <c r="AT1732" s="132"/>
      <c r="AU1732" s="146"/>
    </row>
    <row r="1733" spans="13:47" ht="14.5" x14ac:dyDescent="0.35">
      <c r="M1733" s="27"/>
      <c r="N1733" s="27"/>
      <c r="O1733" s="2" t="s">
        <v>191</v>
      </c>
      <c r="P1733" s="10"/>
      <c r="Q1733" s="2"/>
      <c r="R1733" s="181">
        <f>R1732/R1729</f>
        <v>0.50256914809284992</v>
      </c>
      <c r="S1733" s="132"/>
      <c r="T1733" s="146"/>
      <c r="U1733" s="138">
        <f>U1732/U1729</f>
        <v>0.49782336145897599</v>
      </c>
      <c r="V1733" s="132"/>
      <c r="W1733" s="146"/>
      <c r="X1733" s="138">
        <f>X1732/X1729</f>
        <v>0.47187298673357009</v>
      </c>
      <c r="Y1733" s="132"/>
      <c r="Z1733" s="146"/>
      <c r="AA1733" s="138">
        <f>AA1732/AA1729</f>
        <v>0.36171513053156218</v>
      </c>
      <c r="AB1733" s="132"/>
      <c r="AC1733" s="146"/>
      <c r="AD1733" s="138">
        <f>AD1732/AD1729</f>
        <v>-0.23430084805208501</v>
      </c>
      <c r="AE1733" s="132"/>
      <c r="AF1733" s="146"/>
      <c r="AG1733" s="138">
        <f>AG1732/AG1729</f>
        <v>3.8509304299421578</v>
      </c>
      <c r="AH1733" s="132"/>
      <c r="AI1733" s="146"/>
      <c r="AJ1733" s="138">
        <f>AJ1732/AJ1729</f>
        <v>1.5566806164587157</v>
      </c>
      <c r="AK1733" s="132"/>
      <c r="AL1733" s="146"/>
      <c r="AM1733" s="138">
        <f>AM1732/AM1729</f>
        <v>1.3102032302917752</v>
      </c>
      <c r="AN1733" s="132"/>
      <c r="AO1733" s="146"/>
      <c r="AP1733" s="138">
        <f>AP1732/AP1729</f>
        <v>1.2219966598207535</v>
      </c>
      <c r="AQ1733" s="132"/>
      <c r="AR1733" s="146"/>
      <c r="AS1733" s="138">
        <f>AS1732/AS1729</f>
        <v>1.1639639138902835</v>
      </c>
      <c r="AT1733" s="132"/>
      <c r="AU1733" s="146"/>
    </row>
    <row r="1734" spans="13:47" x14ac:dyDescent="0.25">
      <c r="M1734" s="27"/>
      <c r="N1734" s="27"/>
      <c r="O1734" s="2" t="s">
        <v>26</v>
      </c>
      <c r="P1734" s="7">
        <v>12</v>
      </c>
      <c r="Q1734" s="2"/>
      <c r="R1734" s="181">
        <f>1-R1733/(3*F_GAMMA*R$29)</f>
        <v>0.73825622866871565</v>
      </c>
      <c r="S1734" s="133"/>
      <c r="T1734" s="146"/>
      <c r="U1734" s="138">
        <f>1-U1733/(3*F_GAMMA*U$29)</f>
        <v>0.74078497399269083</v>
      </c>
      <c r="V1734" s="133"/>
      <c r="W1734" s="146"/>
      <c r="X1734" s="138">
        <f>1-X1733/(3*F_GAMMA*X$29)</f>
        <v>0.75061131852314356</v>
      </c>
      <c r="Y1734" s="133"/>
      <c r="Z1734" s="146"/>
      <c r="AA1734" s="138">
        <f>1-AA1733/(3*F_GAMMA*AA$29)</f>
        <v>0.8062094364545499</v>
      </c>
      <c r="AB1734" s="133"/>
      <c r="AC1734" s="146"/>
      <c r="AD1734" s="138">
        <f>1-AD1733/(3*F_GAMMA*AD$29)</f>
        <v>1.128969473603868</v>
      </c>
      <c r="AE1734" s="133"/>
      <c r="AF1734" s="146"/>
      <c r="AG1734" s="138">
        <f>1-AG1733/(3*F_GAMMA*AG$29)</f>
        <v>-1.2406334246983746</v>
      </c>
      <c r="AH1734" s="133"/>
      <c r="AI1734" s="146"/>
      <c r="AJ1734" s="138">
        <f>1-AJ1733/(3*F_GAMMA*AJ$29)</f>
        <v>3.1749192532554815E-2</v>
      </c>
      <c r="AK1734" s="133"/>
      <c r="AL1734" s="146"/>
      <c r="AM1734" s="138">
        <f>1-AM1733/(3*F_GAMMA*AM$29)</f>
        <v>0.10959234826669717</v>
      </c>
      <c r="AN1734" s="133"/>
      <c r="AO1734" s="146"/>
      <c r="AP1734" s="138">
        <f>1-AP1733/(3*F_GAMMA*AP$29)</f>
        <v>0.31371225725919705</v>
      </c>
      <c r="AQ1734" s="133"/>
      <c r="AR1734" s="146"/>
      <c r="AS1734" s="138">
        <f>1-AS1733/(3*F_GAMMA*AS$29)</f>
        <v>7.6328706370910604E-3</v>
      </c>
      <c r="AT1734" s="133"/>
      <c r="AU1734" s="146"/>
    </row>
    <row r="1735" spans="13:47" x14ac:dyDescent="0.25">
      <c r="M1735" s="27"/>
      <c r="N1735" s="27"/>
      <c r="O1735" s="2" t="s">
        <v>71</v>
      </c>
      <c r="P1735" s="85">
        <v>5</v>
      </c>
      <c r="Q1735" s="2"/>
      <c r="R1735" s="179">
        <f>R1727/((N_6*R$27*R1734)*SQRT(R1733*R1729*R1731))</f>
        <v>0.54367087214407428</v>
      </c>
      <c r="S1735" s="133"/>
      <c r="T1735" s="146"/>
      <c r="U1735" s="143">
        <f>U1727/((N_6*U$27*U1734)*SQRT(U1733*U1729*U1731))</f>
        <v>6.7733358667598225</v>
      </c>
      <c r="V1735" s="133"/>
      <c r="W1735" s="146"/>
      <c r="X1735" s="143">
        <f>X1727/((N_6*X$27*X1734)*SQRT(X1733*X1729*X1731))</f>
        <v>17.897528383190771</v>
      </c>
      <c r="Y1735" s="133"/>
      <c r="Z1735" s="146"/>
      <c r="AA1735" s="143">
        <f>AA1727/((N_6*AA$27*AA1734)*SQRT(AA1733*AA1729*AA1731))</f>
        <v>45.059700941243626</v>
      </c>
      <c r="AB1735" s="133"/>
      <c r="AC1735" s="146"/>
      <c r="AD1735" s="143" t="e">
        <f>AD1727/((N_6*AD$27*AD1734)*SQRT(AD1733*AD1729*AD1731))</f>
        <v>#NUM!</v>
      </c>
      <c r="AE1735" s="133"/>
      <c r="AF1735" s="146"/>
      <c r="AG1735" s="143">
        <f>AG1727/((N_6*AG$27*AG1734)*SQRT(AG1733*AG1729*AG1731))</f>
        <v>-95.581991657970377</v>
      </c>
      <c r="AH1735" s="133"/>
      <c r="AI1735" s="146"/>
      <c r="AJ1735" s="143">
        <f>AJ1727/((N_6*AJ$27*AJ1734)*SQRT(AJ1733*AJ1729*AJ1731))</f>
        <v>1506.4751525904692</v>
      </c>
      <c r="AK1735" s="133"/>
      <c r="AL1735" s="146"/>
      <c r="AM1735" s="143">
        <f>AM1727/((N_6*AM$27*AM1734)*SQRT(AM1733*AM1729*AM1731))</f>
        <v>329.92201143233314</v>
      </c>
      <c r="AN1735" s="133"/>
      <c r="AO1735" s="146"/>
      <c r="AP1735" s="143">
        <f>AP1727/((N_6*AP$27*AP1734)*SQRT(AP1733*AP1729*AP1731))</f>
        <v>108.23898685406483</v>
      </c>
      <c r="AQ1735" s="133"/>
      <c r="AR1735" s="146"/>
      <c r="AS1735" s="143">
        <f>AS1727/((N_6*AS$27*AS1734)*SQRT(AS1733*AS1729*AS1731))</f>
        <v>4935.3382413536301</v>
      </c>
      <c r="AT1735" s="133"/>
      <c r="AU1735" s="146"/>
    </row>
    <row r="1736" spans="13:47" x14ac:dyDescent="0.25">
      <c r="M1736" s="27"/>
      <c r="N1736" s="27"/>
      <c r="O1736" s="2" t="s">
        <v>73</v>
      </c>
      <c r="P1736" s="85">
        <v>5</v>
      </c>
      <c r="Q1736" s="2"/>
      <c r="R1736" s="179">
        <f>R1727/((N_6*R$27*0.667)*SQRT(R1737*R1729*R1731))</f>
        <v>0.53323194188239942</v>
      </c>
      <c r="S1736" s="133"/>
      <c r="T1736" s="155"/>
      <c r="U1736" s="143">
        <f>U1727/((N_6*U$27*0.667)*SQRT(U1737*U1729*U1731))</f>
        <v>6.6337584794677529</v>
      </c>
      <c r="V1736" s="133"/>
      <c r="W1736" s="155"/>
      <c r="X1736" s="143">
        <f>X1727/((N_6*X$27*0.667)*SQRT(X1737*X1729*X1731))</f>
        <v>17.421330976378684</v>
      </c>
      <c r="Y1736" s="133"/>
      <c r="Z1736" s="155"/>
      <c r="AA1736" s="143">
        <f>AA1727/((N_6*AA$27*0.667)*SQRT(AA1737*AA1729*AA1731))</f>
        <v>41.527643576311405</v>
      </c>
      <c r="AB1736" s="133"/>
      <c r="AC1736" s="155"/>
      <c r="AD1736" s="143">
        <f>AD1727/((N_6*AD$27*0.667)*SQRT(AD1737*AD1729*AD1731))</f>
        <v>135.46612058758504</v>
      </c>
      <c r="AE1736" s="133"/>
      <c r="AF1736" s="155"/>
      <c r="AG1736" s="143">
        <f>AG1727/((N_6*AG$27*0.667)*SQRT(AG1737*AG1729*AG1731))</f>
        <v>460.93506944334723</v>
      </c>
      <c r="AH1736" s="133"/>
      <c r="AI1736" s="155"/>
      <c r="AJ1736" s="143">
        <f>AJ1727/((N_6*AJ$27*0.667)*SQRT(AJ1737*AJ1729*AJ1731))</f>
        <v>122.21468275937538</v>
      </c>
      <c r="AK1736" s="133"/>
      <c r="AL1736" s="155"/>
      <c r="AM1736" s="143">
        <f>AM1727/((N_6*AM$27*0.667)*SQRT(AM1737*AM1729*AM1731))</f>
        <v>88.597355560118373</v>
      </c>
      <c r="AN1736" s="133"/>
      <c r="AO1736" s="155"/>
      <c r="AP1736" s="143">
        <f>AP1727/((N_6*AP$27*0.667)*SQRT(AP1737*AP1729*AP1731))</f>
        <v>73.047123852468303</v>
      </c>
      <c r="AQ1736" s="133"/>
      <c r="AR1736" s="155"/>
      <c r="AS1736" s="143">
        <f>AS1727/((N_6*AS$27*0.667)*SQRT(AS1737*AS1729*AS1731))</f>
        <v>97.448644582415852</v>
      </c>
      <c r="AT1736" s="133"/>
      <c r="AU1736" s="155"/>
    </row>
    <row r="1737" spans="13:47" ht="15.5" x14ac:dyDescent="0.4">
      <c r="M1737" s="27"/>
      <c r="N1737" s="27"/>
      <c r="O1737" s="2" t="s">
        <v>192</v>
      </c>
      <c r="P1737" s="85">
        <v>10</v>
      </c>
      <c r="Q1737" s="2"/>
      <c r="R1737" s="181">
        <f>F_GAMMA*R$29</f>
        <v>0.64002688015162901</v>
      </c>
      <c r="S1737" s="133"/>
      <c r="T1737" s="155"/>
      <c r="U1737" s="138">
        <f>F_GAMMA*U$29</f>
        <v>0.64016782916606918</v>
      </c>
      <c r="V1737" s="133"/>
      <c r="W1737" s="155"/>
      <c r="X1737" s="138">
        <f>F_GAMMA*X$29</f>
        <v>0.6307062319203669</v>
      </c>
      <c r="Y1737" s="133"/>
      <c r="Z1737" s="155"/>
      <c r="AA1737" s="138">
        <f>F_GAMMA*AA$29</f>
        <v>0.62217534213893466</v>
      </c>
      <c r="AB1737" s="133"/>
      <c r="AC1737" s="155"/>
      <c r="AD1737" s="138">
        <f>F_GAMMA*AD$29</f>
        <v>0.60557184969146072</v>
      </c>
      <c r="AE1737" s="133"/>
      <c r="AF1737" s="155"/>
      <c r="AG1737" s="138">
        <f>F_GAMMA*AG$29</f>
        <v>0.57289312142622573</v>
      </c>
      <c r="AH1737" s="133"/>
      <c r="AI1737" s="155"/>
      <c r="AJ1737" s="138">
        <f>F_GAMMA*AJ$29</f>
        <v>0.53590819116049981</v>
      </c>
      <c r="AK1737" s="133"/>
      <c r="AL1737" s="155"/>
      <c r="AM1737" s="138">
        <f>F_GAMMA*AM$29</f>
        <v>0.49048815926850342</v>
      </c>
      <c r="AN1737" s="133"/>
      <c r="AO1737" s="155"/>
      <c r="AP1737" s="138">
        <f>F_GAMMA*AP$29</f>
        <v>0.59352979016280105</v>
      </c>
      <c r="AQ1737" s="133"/>
      <c r="AR1737" s="155"/>
      <c r="AS1737" s="138">
        <f>F_GAMMA*AS$29</f>
        <v>0.39097221161068291</v>
      </c>
      <c r="AT1737" s="133"/>
      <c r="AU1737" s="155"/>
    </row>
    <row r="1738" spans="13:47" x14ac:dyDescent="0.25">
      <c r="M1738" s="27"/>
      <c r="N1738" s="27"/>
      <c r="O1738" s="2" t="s">
        <v>193</v>
      </c>
      <c r="P1738" s="134"/>
      <c r="Q1738" s="2"/>
      <c r="R1738" s="181">
        <f>IF(R1733&lt;R1737,R1735,R1736)</f>
        <v>0.54367087214407428</v>
      </c>
      <c r="S1738" s="133"/>
      <c r="T1738" s="155"/>
      <c r="U1738" s="138">
        <f>IF(U1733&lt;U1737,U1735,U1736)</f>
        <v>6.7733358667598225</v>
      </c>
      <c r="V1738" s="133"/>
      <c r="W1738" s="155"/>
      <c r="X1738" s="138">
        <f>IF(X1733&lt;X1737,X1735,X1736)</f>
        <v>17.897528383190771</v>
      </c>
      <c r="Y1738" s="133"/>
      <c r="Z1738" s="155"/>
      <c r="AA1738" s="138">
        <f>IF(AA1733&lt;AA1737,AA1735,AA1736)</f>
        <v>45.059700941243626</v>
      </c>
      <c r="AB1738" s="133"/>
      <c r="AC1738" s="155"/>
      <c r="AD1738" s="138" t="e">
        <f>IF(AD1733&lt;AD1737,AD1735,AD1736)</f>
        <v>#NUM!</v>
      </c>
      <c r="AE1738" s="133"/>
      <c r="AF1738" s="155"/>
      <c r="AG1738" s="138">
        <f>IF(AG1733&lt;AG1737,AG1735,AG1736)</f>
        <v>460.93506944334723</v>
      </c>
      <c r="AH1738" s="133"/>
      <c r="AI1738" s="155"/>
      <c r="AJ1738" s="138">
        <f>IF(AJ1733&lt;AJ1737,AJ1735,AJ1736)</f>
        <v>122.21468275937538</v>
      </c>
      <c r="AK1738" s="133"/>
      <c r="AL1738" s="155"/>
      <c r="AM1738" s="138">
        <f>IF(AM1733&lt;AM1737,AM1735,AM1736)</f>
        <v>88.597355560118373</v>
      </c>
      <c r="AN1738" s="133"/>
      <c r="AO1738" s="155"/>
      <c r="AP1738" s="138">
        <f>IF(AP1733&lt;AP1737,AP1735,AP1736)</f>
        <v>73.047123852468303</v>
      </c>
      <c r="AQ1738" s="133"/>
      <c r="AR1738" s="155"/>
      <c r="AS1738" s="138">
        <f>IF(AS1733&lt;AS1737,AS1735,AS1736)</f>
        <v>97.448644582415852</v>
      </c>
      <c r="AT1738" s="133"/>
      <c r="AU1738" s="155"/>
    </row>
    <row r="1739" spans="13:47" ht="13" x14ac:dyDescent="0.3">
      <c r="M1739" s="28"/>
      <c r="N1739" s="28"/>
      <c r="O1739" s="9" t="s">
        <v>194</v>
      </c>
      <c r="P1739" s="1"/>
      <c r="Q1739" s="1"/>
      <c r="R1739" s="135"/>
      <c r="S1739" s="132">
        <f>IF(R1732&lt;=0,W_max,ABS(R$23-R1738))</f>
        <v>1.4563291278559256</v>
      </c>
      <c r="T1739" s="151">
        <f>R1727</f>
        <v>125.72633907644256</v>
      </c>
      <c r="U1739" s="135"/>
      <c r="V1739" s="132">
        <f>IF(U1732&lt;=0,W_max,ABS(U$23-U1738))</f>
        <v>1.7733358667598225</v>
      </c>
      <c r="W1739" s="151">
        <f>U1727</f>
        <v>1548.5450127711167</v>
      </c>
      <c r="X1739" s="135"/>
      <c r="Y1739" s="132">
        <f>IF(X1732&lt;=0,W_max,ABS(X$23-X1738))</f>
        <v>7.897528383190771</v>
      </c>
      <c r="Z1739" s="151">
        <f>X1727</f>
        <v>3829.736095599661</v>
      </c>
      <c r="AA1739" s="135"/>
      <c r="AB1739" s="132">
        <f>IF(AA1732&lt;=0,W_max,ABS(AA$23-AA1738))</f>
        <v>27.859700941243627</v>
      </c>
      <c r="AC1739" s="151">
        <f>AA1727</f>
        <v>7459.3483916554142</v>
      </c>
      <c r="AD1739" s="135"/>
      <c r="AE1739" s="132">
        <f>IF(AD1732&lt;=0,W_max,ABS(AD$23-AD1738))</f>
        <v>7174</v>
      </c>
      <c r="AF1739" s="151">
        <f>AD1727</f>
        <v>12267.881735136478</v>
      </c>
      <c r="AG1739" s="135"/>
      <c r="AH1739" s="132">
        <f>IF(AG1732&lt;=0,W_max,ABS(AG$23-AG1738))</f>
        <v>7174</v>
      </c>
      <c r="AI1739" s="151">
        <f>AG1727</f>
        <v>17206.648590752462</v>
      </c>
      <c r="AJ1739" s="135"/>
      <c r="AK1739" s="132">
        <f>IF(AJ1732&lt;=0,W_max,ABS(AJ$23-AJ1738))</f>
        <v>7174</v>
      </c>
      <c r="AL1739" s="151">
        <f>AJ1727</f>
        <v>21847.877900791242</v>
      </c>
      <c r="AM1739" s="135"/>
      <c r="AN1739" s="132">
        <f>IF(AM1732&lt;=0,W_max,ABS(AM$23-AM1738))</f>
        <v>7174</v>
      </c>
      <c r="AO1739" s="151">
        <f>AM1727</f>
        <v>25618.355063368224</v>
      </c>
      <c r="AP1739" s="135"/>
      <c r="AQ1739" s="132">
        <f>IF(AP1732&lt;=0,W_max,ABS(AP$23-AP1738))</f>
        <v>7174</v>
      </c>
      <c r="AR1739" s="151">
        <f>AP1727</f>
        <v>28581.587837833067</v>
      </c>
      <c r="AS1739" s="135"/>
      <c r="AT1739" s="132">
        <f>IF(AS1732&lt;=0,W_max,ABS(AS$23-AS1738))</f>
        <v>7174</v>
      </c>
      <c r="AU1739" s="151">
        <f>AS1727</f>
        <v>31887.572848104734</v>
      </c>
    </row>
    <row r="1740" spans="13:47" ht="13" x14ac:dyDescent="0.25">
      <c r="M1740" s="12"/>
      <c r="N1740" s="12"/>
      <c r="O1740" s="2"/>
      <c r="P1740" s="85"/>
      <c r="Q1740" s="2"/>
      <c r="R1740" s="18"/>
      <c r="S1740" s="150"/>
      <c r="T1740" s="152"/>
      <c r="U1740" s="157"/>
      <c r="V1740" s="1"/>
      <c r="W1740" s="147"/>
      <c r="X1740" s="157"/>
      <c r="Y1740" s="1"/>
      <c r="Z1740" s="147"/>
      <c r="AA1740" s="157"/>
      <c r="AB1740" s="1"/>
      <c r="AC1740" s="147"/>
      <c r="AD1740" s="157"/>
      <c r="AE1740" s="1"/>
      <c r="AF1740" s="147"/>
      <c r="AG1740" s="157"/>
      <c r="AH1740" s="1"/>
      <c r="AI1740" s="147"/>
      <c r="AJ1740" s="157"/>
      <c r="AK1740" s="1"/>
      <c r="AL1740" s="147"/>
      <c r="AM1740" s="157"/>
      <c r="AN1740" s="1"/>
      <c r="AO1740" s="147"/>
      <c r="AP1740" s="157"/>
      <c r="AQ1740" s="1"/>
      <c r="AR1740" s="147"/>
      <c r="AS1740" s="157"/>
      <c r="AT1740" s="1"/>
      <c r="AU1740" s="147"/>
    </row>
    <row r="1741" spans="13:47" ht="14" x14ac:dyDescent="0.3">
      <c r="M1741" s="23"/>
      <c r="N1741" s="23"/>
      <c r="O1741" s="23" t="s">
        <v>238</v>
      </c>
      <c r="P1741" s="20"/>
      <c r="Q1741" s="20"/>
      <c r="R1741" s="181">
        <f>R1727*1.02</f>
        <v>128.24086585797141</v>
      </c>
      <c r="S1741" s="128" t="s">
        <v>185</v>
      </c>
      <c r="T1741" s="153" t="s">
        <v>186</v>
      </c>
      <c r="U1741" s="143">
        <f>U1727*1.01</f>
        <v>1564.0304628988279</v>
      </c>
      <c r="V1741" s="128" t="s">
        <v>185</v>
      </c>
      <c r="W1741" s="153" t="s">
        <v>186</v>
      </c>
      <c r="X1741" s="143">
        <f>X1727*1.01</f>
        <v>3868.0334565556577</v>
      </c>
      <c r="Y1741" s="128" t="s">
        <v>185</v>
      </c>
      <c r="Z1741" s="153" t="s">
        <v>186</v>
      </c>
      <c r="AA1741" s="143">
        <f>AA1727*1.01</f>
        <v>7533.941875571968</v>
      </c>
      <c r="AB1741" s="128" t="s">
        <v>185</v>
      </c>
      <c r="AC1741" s="153" t="s">
        <v>186</v>
      </c>
      <c r="AD1741" s="143">
        <f>AD1727*1.01</f>
        <v>12390.560552487843</v>
      </c>
      <c r="AE1741" s="128" t="s">
        <v>185</v>
      </c>
      <c r="AF1741" s="153" t="s">
        <v>186</v>
      </c>
      <c r="AG1741" s="143">
        <f>AG1727*1.01</f>
        <v>17378.715076659988</v>
      </c>
      <c r="AH1741" s="128" t="s">
        <v>185</v>
      </c>
      <c r="AI1741" s="153" t="s">
        <v>186</v>
      </c>
      <c r="AJ1741" s="143">
        <f>AJ1727*1.01</f>
        <v>22066.356679799155</v>
      </c>
      <c r="AK1741" s="128" t="s">
        <v>185</v>
      </c>
      <c r="AL1741" s="153" t="s">
        <v>186</v>
      </c>
      <c r="AM1741" s="143">
        <f>AM1727*1.01</f>
        <v>25874.538614001907</v>
      </c>
      <c r="AN1741" s="128" t="s">
        <v>185</v>
      </c>
      <c r="AO1741" s="153" t="s">
        <v>186</v>
      </c>
      <c r="AP1741" s="143">
        <f>AP1727*1.01</f>
        <v>28867.403716211396</v>
      </c>
      <c r="AQ1741" s="128" t="s">
        <v>185</v>
      </c>
      <c r="AR1741" s="153" t="s">
        <v>186</v>
      </c>
      <c r="AS1741" s="143">
        <f>AS1727*1.01</f>
        <v>32206.448576585783</v>
      </c>
      <c r="AT1741" s="128" t="s">
        <v>185</v>
      </c>
      <c r="AU1741" s="153" t="s">
        <v>186</v>
      </c>
    </row>
    <row r="1742" spans="13:47" ht="14" x14ac:dyDescent="0.3">
      <c r="M1742" s="12"/>
      <c r="N1742" s="12"/>
      <c r="O1742" s="20"/>
      <c r="P1742" s="20"/>
      <c r="Q1742" s="23"/>
      <c r="R1742" s="139"/>
      <c r="S1742" s="130" t="s">
        <v>228</v>
      </c>
      <c r="T1742" s="154" t="s">
        <v>187</v>
      </c>
      <c r="U1742" s="144"/>
      <c r="V1742" s="130" t="s">
        <v>228</v>
      </c>
      <c r="W1742" s="154" t="s">
        <v>187</v>
      </c>
      <c r="X1742" s="144"/>
      <c r="Y1742" s="130" t="s">
        <v>228</v>
      </c>
      <c r="Z1742" s="154" t="s">
        <v>187</v>
      </c>
      <c r="AA1742" s="144"/>
      <c r="AB1742" s="130" t="s">
        <v>228</v>
      </c>
      <c r="AC1742" s="154" t="s">
        <v>187</v>
      </c>
      <c r="AD1742" s="144"/>
      <c r="AE1742" s="130" t="s">
        <v>228</v>
      </c>
      <c r="AF1742" s="154" t="s">
        <v>187</v>
      </c>
      <c r="AG1742" s="144"/>
      <c r="AH1742" s="130" t="s">
        <v>228</v>
      </c>
      <c r="AI1742" s="154" t="s">
        <v>187</v>
      </c>
      <c r="AJ1742" s="144"/>
      <c r="AK1742" s="130" t="s">
        <v>228</v>
      </c>
      <c r="AL1742" s="154" t="s">
        <v>187</v>
      </c>
      <c r="AM1742" s="144"/>
      <c r="AN1742" s="130" t="s">
        <v>228</v>
      </c>
      <c r="AO1742" s="154" t="s">
        <v>187</v>
      </c>
      <c r="AP1742" s="144"/>
      <c r="AQ1742" s="130" t="s">
        <v>228</v>
      </c>
      <c r="AR1742" s="154" t="s">
        <v>187</v>
      </c>
      <c r="AS1742" s="144"/>
      <c r="AT1742" s="130" t="s">
        <v>228</v>
      </c>
      <c r="AU1742" s="154" t="s">
        <v>187</v>
      </c>
    </row>
    <row r="1743" spans="13:47" x14ac:dyDescent="0.25">
      <c r="M1743" s="20"/>
      <c r="N1743" s="20"/>
      <c r="O1743" s="7" t="s">
        <v>188</v>
      </c>
      <c r="P1743" s="7"/>
      <c r="Q1743" s="7"/>
      <c r="R1743" s="181">
        <f>P_1_minW-(R1741^2*R_up)+dpup_minQ</f>
        <v>100.5162288113458</v>
      </c>
      <c r="S1743" s="132"/>
      <c r="T1743" s="145"/>
      <c r="U1743" s="138">
        <f>P_1_minW-(U1741^2*R_up)+dpup_minQ</f>
        <v>99.547339005889725</v>
      </c>
      <c r="V1743" s="132"/>
      <c r="W1743" s="145"/>
      <c r="X1743" s="138">
        <f>P_1_minW-(X1741^2*R_up)+dpup_minQ</f>
        <v>94.556638617546184</v>
      </c>
      <c r="Y1743" s="132"/>
      <c r="Z1743" s="145"/>
      <c r="AA1743" s="138">
        <f>P_1_minW-(AA1741^2*R_up)+dpup_minQ</f>
        <v>77.88895316883297</v>
      </c>
      <c r="AB1743" s="132"/>
      <c r="AC1743" s="145"/>
      <c r="AD1743" s="138">
        <f>P_1_minW-(AD1741^2*R_up)+dpup_minQ</f>
        <v>39.30248068946247</v>
      </c>
      <c r="AE1743" s="132"/>
      <c r="AF1743" s="145"/>
      <c r="AG1743" s="138">
        <f>P_1_minW-(AG1741^2*R_up)+dpup_minQ</f>
        <v>-19.91115854079932</v>
      </c>
      <c r="AH1743" s="132"/>
      <c r="AI1743" s="145"/>
      <c r="AJ1743" s="138">
        <f>P_1_minW-(AJ1741^2*R_up)+dpup_minQ</f>
        <v>-93.643960477883681</v>
      </c>
      <c r="AK1743" s="132"/>
      <c r="AL1743" s="145"/>
      <c r="AM1743" s="138">
        <f>P_1_minW-(AM1741^2*R_up)+dpup_minQ</f>
        <v>-166.44497242670596</v>
      </c>
      <c r="AN1743" s="132"/>
      <c r="AO1743" s="145"/>
      <c r="AP1743" s="138">
        <f>P_1_minW-(AP1741^2*R_up)+dpup_minQ</f>
        <v>-231.7762171361621</v>
      </c>
      <c r="AQ1743" s="132"/>
      <c r="AR1743" s="145"/>
      <c r="AS1743" s="138">
        <f>P_1_minW-(AS1741^2*R_up)+dpup_minQ</f>
        <v>-313.09505356329066</v>
      </c>
      <c r="AT1743" s="132"/>
      <c r="AU1743" s="145"/>
    </row>
    <row r="1744" spans="13:47" x14ac:dyDescent="0.25">
      <c r="M1744" s="20"/>
      <c r="N1744" s="20"/>
      <c r="O1744" s="7" t="s">
        <v>189</v>
      </c>
      <c r="P1744" s="1"/>
      <c r="Q1744" s="7"/>
      <c r="R1744" s="181">
        <f>P_2_minW+(R1741^2*R_dn)-dpdn_minQ</f>
        <v>50</v>
      </c>
      <c r="S1744" s="132"/>
      <c r="T1744" s="146"/>
      <c r="U1744" s="138">
        <f>P_2_minW+(U1741^2*R_dn)-dpdn_minQ</f>
        <v>50</v>
      </c>
      <c r="V1744" s="132"/>
      <c r="W1744" s="146"/>
      <c r="X1744" s="138">
        <f>P_2_minW+(X1741^2*R_dn)-dpdn_minQ</f>
        <v>50</v>
      </c>
      <c r="Y1744" s="132"/>
      <c r="Z1744" s="146"/>
      <c r="AA1744" s="138">
        <f>P_2_minW+(AA1741^2*R_dn)-dpdn_minQ</f>
        <v>50</v>
      </c>
      <c r="AB1744" s="132"/>
      <c r="AC1744" s="146"/>
      <c r="AD1744" s="138">
        <f>P_2_minW+(AD1741^2*R_dn)-dpdn_minQ</f>
        <v>50</v>
      </c>
      <c r="AE1744" s="132"/>
      <c r="AF1744" s="146"/>
      <c r="AG1744" s="138">
        <f>P_2_minW+(AG1741^2*R_dn)-dpdn_minQ</f>
        <v>50</v>
      </c>
      <c r="AH1744" s="132"/>
      <c r="AI1744" s="146"/>
      <c r="AJ1744" s="138">
        <f>P_2_minW+(AJ1741^2*R_dn)-dpdn_minQ</f>
        <v>50</v>
      </c>
      <c r="AK1744" s="132"/>
      <c r="AL1744" s="146"/>
      <c r="AM1744" s="138">
        <f>P_2_minW+(AM1741^2*R_dn)-dpdn_minQ</f>
        <v>50</v>
      </c>
      <c r="AN1744" s="132"/>
      <c r="AO1744" s="146"/>
      <c r="AP1744" s="138">
        <f>P_2_minW+(AP1741^2*R_dn)-dpdn_minQ</f>
        <v>50</v>
      </c>
      <c r="AQ1744" s="132"/>
      <c r="AR1744" s="146"/>
      <c r="AS1744" s="138">
        <f>P_2_minW+(AS1741^2*R_dn)-dpdn_minQ</f>
        <v>50</v>
      </c>
      <c r="AT1744" s="132"/>
      <c r="AU1744" s="146"/>
    </row>
    <row r="1745" spans="13:47" x14ac:dyDescent="0.25">
      <c r="M1745" s="20"/>
      <c r="N1745" s="20"/>
      <c r="O1745" s="7" t="s">
        <v>234</v>
      </c>
      <c r="P1745" s="1"/>
      <c r="Q1745" s="7"/>
      <c r="R1745" s="179">
        <f>'Valve Sizing'!G$8*R1743/P_1_maxW</f>
        <v>0.48487239197442006</v>
      </c>
      <c r="S1745" s="132"/>
      <c r="T1745" s="146"/>
      <c r="U1745" s="143">
        <f>'Valve Sizing'!$G$8*U1743/P_1_maxW</f>
        <v>0.48019864005309759</v>
      </c>
      <c r="V1745" s="132"/>
      <c r="W1745" s="146"/>
      <c r="X1745" s="143">
        <f>'Valve Sizing'!$G$8*X1743/P_1_maxW</f>
        <v>0.45612438991916637</v>
      </c>
      <c r="Y1745" s="132"/>
      <c r="Z1745" s="146"/>
      <c r="AA1745" s="143">
        <f>'Valve Sizing'!$G$8*AA1743/P_1_maxW</f>
        <v>0.375722442813063</v>
      </c>
      <c r="AB1745" s="132"/>
      <c r="AC1745" s="146"/>
      <c r="AD1745" s="143">
        <f>'Valve Sizing'!$G$8*AD1743/P_1_maxW</f>
        <v>0.18958816947057103</v>
      </c>
      <c r="AE1745" s="132"/>
      <c r="AF1745" s="146"/>
      <c r="AG1745" s="143">
        <f>'Valve Sizing'!$G$8*AG1743/P_1_maxW</f>
        <v>-9.6047883837535403E-2</v>
      </c>
      <c r="AH1745" s="132"/>
      <c r="AI1745" s="146"/>
      <c r="AJ1745" s="143">
        <f>'Valve Sizing'!$G$8*AJ1743/P_1_maxW</f>
        <v>-0.45172179306576182</v>
      </c>
      <c r="AK1745" s="132"/>
      <c r="AL1745" s="146"/>
      <c r="AM1745" s="143">
        <f>'Valve Sizing'!$G$8*AM1743/P_1_maxW</f>
        <v>-0.80290091328559432</v>
      </c>
      <c r="AN1745" s="132"/>
      <c r="AO1745" s="146"/>
      <c r="AP1745" s="143">
        <f>'Valve Sizing'!$G$8*AP1743/P_1_maxW</f>
        <v>-1.1180472062528111</v>
      </c>
      <c r="AQ1745" s="132"/>
      <c r="AR1745" s="146"/>
      <c r="AS1745" s="143">
        <f>'Valve Sizing'!$G$8*AS1743/P_1_maxW</f>
        <v>-1.510314795250816</v>
      </c>
      <c r="AT1745" s="132"/>
      <c r="AU1745" s="146"/>
    </row>
    <row r="1746" spans="13:47" x14ac:dyDescent="0.25">
      <c r="M1746" s="20"/>
      <c r="N1746" s="20"/>
      <c r="O1746" s="7" t="s">
        <v>190</v>
      </c>
      <c r="P1746" s="1"/>
      <c r="Q1746" s="7"/>
      <c r="R1746" s="181">
        <f>R1743-R1744</f>
        <v>50.516228811345798</v>
      </c>
      <c r="S1746" s="132"/>
      <c r="T1746" s="146"/>
      <c r="U1746" s="138">
        <f>U1743-U1744</f>
        <v>49.547339005889725</v>
      </c>
      <c r="V1746" s="132"/>
      <c r="W1746" s="146"/>
      <c r="X1746" s="138">
        <f>X1743-X1744</f>
        <v>44.556638617546184</v>
      </c>
      <c r="Y1746" s="132"/>
      <c r="Z1746" s="146"/>
      <c r="AA1746" s="138">
        <f>AA1743-AA1744</f>
        <v>27.88895316883297</v>
      </c>
      <c r="AB1746" s="132"/>
      <c r="AC1746" s="146"/>
      <c r="AD1746" s="138">
        <f>AD1743-AD1744</f>
        <v>-10.69751931053753</v>
      </c>
      <c r="AE1746" s="132"/>
      <c r="AF1746" s="146"/>
      <c r="AG1746" s="138">
        <f>AG1743-AG1744</f>
        <v>-69.91115854079932</v>
      </c>
      <c r="AH1746" s="132"/>
      <c r="AI1746" s="146"/>
      <c r="AJ1746" s="138">
        <f>AJ1743-AJ1744</f>
        <v>-143.6439604778837</v>
      </c>
      <c r="AK1746" s="132"/>
      <c r="AL1746" s="146"/>
      <c r="AM1746" s="138">
        <f>AM1743-AM1744</f>
        <v>-216.44497242670596</v>
      </c>
      <c r="AN1746" s="132"/>
      <c r="AO1746" s="146"/>
      <c r="AP1746" s="138">
        <f>AP1743-AP1744</f>
        <v>-281.77621713616213</v>
      </c>
      <c r="AQ1746" s="132"/>
      <c r="AR1746" s="146"/>
      <c r="AS1746" s="138">
        <f>AS1743-AS1744</f>
        <v>-363.09505356329066</v>
      </c>
      <c r="AT1746" s="132"/>
      <c r="AU1746" s="146"/>
    </row>
    <row r="1747" spans="13:47" ht="14.5" x14ac:dyDescent="0.35">
      <c r="M1747" s="27"/>
      <c r="N1747" s="27"/>
      <c r="O1747" s="2" t="s">
        <v>191</v>
      </c>
      <c r="P1747" s="10"/>
      <c r="Q1747" s="2"/>
      <c r="R1747" s="181">
        <f>R1746/R1743</f>
        <v>0.50256788787965112</v>
      </c>
      <c r="S1747" s="132"/>
      <c r="T1747" s="146"/>
      <c r="U1747" s="138">
        <f>U1746/U1743</f>
        <v>0.49772640334422452</v>
      </c>
      <c r="V1747" s="132"/>
      <c r="W1747" s="146"/>
      <c r="X1747" s="138">
        <f>X1746/X1743</f>
        <v>0.47121639758964673</v>
      </c>
      <c r="Y1747" s="132"/>
      <c r="Z1747" s="146"/>
      <c r="AA1747" s="138">
        <f>AA1746/AA1743</f>
        <v>0.35806044418623217</v>
      </c>
      <c r="AB1747" s="132"/>
      <c r="AC1747" s="146"/>
      <c r="AD1747" s="138">
        <f>AD1746/AD1743</f>
        <v>-0.27218432839038786</v>
      </c>
      <c r="AE1747" s="132"/>
      <c r="AF1747" s="146"/>
      <c r="AG1747" s="138">
        <f>AG1746/AG1743</f>
        <v>3.511154732535859</v>
      </c>
      <c r="AH1747" s="132"/>
      <c r="AI1747" s="146"/>
      <c r="AJ1747" s="138">
        <f>AJ1746/AJ1743</f>
        <v>1.5339372634907804</v>
      </c>
      <c r="AK1747" s="132"/>
      <c r="AL1747" s="146"/>
      <c r="AM1747" s="138">
        <f>AM1746/AM1743</f>
        <v>1.3003995811409534</v>
      </c>
      <c r="AN1747" s="132"/>
      <c r="AO1747" s="146"/>
      <c r="AP1747" s="138">
        <f>AP1746/AP1743</f>
        <v>1.2157253259967842</v>
      </c>
      <c r="AQ1747" s="132"/>
      <c r="AR1747" s="146"/>
      <c r="AS1747" s="138">
        <f>AS1746/AS1743</f>
        <v>1.1596959116120074</v>
      </c>
      <c r="AT1747" s="132"/>
      <c r="AU1747" s="146"/>
    </row>
    <row r="1748" spans="13:47" x14ac:dyDescent="0.25">
      <c r="M1748" s="27"/>
      <c r="N1748" s="27"/>
      <c r="O1748" s="2" t="s">
        <v>26</v>
      </c>
      <c r="P1748" s="7">
        <v>12</v>
      </c>
      <c r="Q1748" s="2"/>
      <c r="R1748" s="181">
        <f>1-R1747/(3*F_GAMMA*R$29)</f>
        <v>0.73825688500219055</v>
      </c>
      <c r="S1748" s="133"/>
      <c r="T1748" s="146"/>
      <c r="U1748" s="138">
        <f>1-U1747/(3*F_GAMMA*U$29)</f>
        <v>0.74083545977174947</v>
      </c>
      <c r="V1748" s="133"/>
      <c r="W1748" s="146"/>
      <c r="X1748" s="138">
        <f>1-X1747/(3*F_GAMMA*X$29)</f>
        <v>0.75095833118434419</v>
      </c>
      <c r="Y1748" s="133"/>
      <c r="Z1748" s="146"/>
      <c r="AA1748" s="138">
        <f>1-AA1747/(3*F_GAMMA*AA$29)</f>
        <v>0.80816745166227022</v>
      </c>
      <c r="AB1748" s="133"/>
      <c r="AC1748" s="146"/>
      <c r="AD1748" s="138">
        <f>1-AD1747/(3*F_GAMMA*AD$29)</f>
        <v>1.1498222044331958</v>
      </c>
      <c r="AE1748" s="133"/>
      <c r="AF1748" s="146"/>
      <c r="AG1748" s="138">
        <f>1-AG1747/(3*F_GAMMA*AG$29)</f>
        <v>-1.0429376214739601</v>
      </c>
      <c r="AH1748" s="133"/>
      <c r="AI1748" s="146"/>
      <c r="AJ1748" s="138">
        <f>1-AJ1747/(3*F_GAMMA*AJ$29)</f>
        <v>4.589549180736463E-2</v>
      </c>
      <c r="AK1748" s="133"/>
      <c r="AL1748" s="146"/>
      <c r="AM1748" s="138">
        <f>1-AM1747/(3*F_GAMMA*AM$29)</f>
        <v>0.11625485986564688</v>
      </c>
      <c r="AN1748" s="133"/>
      <c r="AO1748" s="146"/>
      <c r="AP1748" s="138">
        <f>1-AP1747/(3*F_GAMMA*AP$29)</f>
        <v>0.31723431233147292</v>
      </c>
      <c r="AQ1748" s="133"/>
      <c r="AR1748" s="146"/>
      <c r="AS1748" s="138">
        <f>1-AS1747/(3*F_GAMMA*AS$29)</f>
        <v>1.1271664862980257E-2</v>
      </c>
      <c r="AT1748" s="133"/>
      <c r="AU1748" s="146"/>
    </row>
    <row r="1749" spans="13:47" x14ac:dyDescent="0.25">
      <c r="M1749" s="27"/>
      <c r="N1749" s="27"/>
      <c r="O1749" s="2" t="s">
        <v>71</v>
      </c>
      <c r="P1749" s="85">
        <v>5</v>
      </c>
      <c r="Q1749" s="2"/>
      <c r="R1749" s="179">
        <f>R1741/((N_6*R$27*R1748)*SQRT(R1747*R1743*R1745))</f>
        <v>0.5545458967593454</v>
      </c>
      <c r="S1749" s="133"/>
      <c r="T1749" s="146"/>
      <c r="U1749" s="143">
        <f>U1741/((N_6*U$27*U1748)*SQRT(U1747*U1743*U1745))</f>
        <v>6.8425901586959812</v>
      </c>
      <c r="V1749" s="133"/>
      <c r="W1749" s="146"/>
      <c r="X1749" s="143">
        <f>X1741/((N_6*X$27*X1748)*SQRT(X1747*X1743*X1745))</f>
        <v>18.10321297522713</v>
      </c>
      <c r="Y1749" s="133"/>
      <c r="Z1749" s="146"/>
      <c r="AA1749" s="143">
        <f>AA1741/((N_6*AA$27*AA1748)*SQRT(AA1747*AA1743*AA1745))</f>
        <v>45.892419303644125</v>
      </c>
      <c r="AB1749" s="133"/>
      <c r="AC1749" s="146"/>
      <c r="AD1749" s="143" t="e">
        <f>AD1741/((N_6*AD$27*AD1748)*SQRT(AD1747*AD1743*AD1745))</f>
        <v>#NUM!</v>
      </c>
      <c r="AE1749" s="133"/>
      <c r="AF1749" s="146"/>
      <c r="AG1749" s="143">
        <f>AG1741/((N_6*AG$27*AG1748)*SQRT(AG1747*AG1743*AG1745))</f>
        <v>-105.93203118002421</v>
      </c>
      <c r="AH1749" s="133"/>
      <c r="AI1749" s="146"/>
      <c r="AJ1749" s="143">
        <f>AJ1741/((N_6*AJ$27*AJ1748)*SQRT(AJ1747*AJ1743*AJ1745))</f>
        <v>1017.0120413365638</v>
      </c>
      <c r="AK1749" s="133"/>
      <c r="AL1749" s="146"/>
      <c r="AM1749" s="143">
        <f>AM1741/((N_6*AM$27*AM1748)*SQRT(AM1747*AM1743*AM1745))</f>
        <v>305.34141240834947</v>
      </c>
      <c r="AN1749" s="133"/>
      <c r="AO1749" s="146"/>
      <c r="AP1749" s="143">
        <f>AP1741/((N_6*AP$27*AP1748)*SQRT(AP1747*AP1743*AP1745))</f>
        <v>105.3242551161254</v>
      </c>
      <c r="AQ1749" s="133"/>
      <c r="AR1749" s="146"/>
      <c r="AS1749" s="143">
        <f>AS1741/((N_6*AS$27*AS1748)*SQRT(AS1747*AS1743*AS1745))</f>
        <v>3293.6795760090163</v>
      </c>
      <c r="AT1749" s="133"/>
      <c r="AU1749" s="146"/>
    </row>
    <row r="1750" spans="13:47" x14ac:dyDescent="0.25">
      <c r="M1750" s="27"/>
      <c r="N1750" s="27"/>
      <c r="O1750" s="2" t="s">
        <v>73</v>
      </c>
      <c r="P1750" s="85">
        <v>5</v>
      </c>
      <c r="Q1750" s="2"/>
      <c r="R1750" s="179">
        <f>R1741/((N_6*R$27*0.667)*SQRT(R1751*R1743*R1745))</f>
        <v>0.54389795865156731</v>
      </c>
      <c r="S1750" s="133"/>
      <c r="T1750" s="155"/>
      <c r="U1750" s="143">
        <f>U1741/((N_6*U$27*0.667)*SQRT(U1751*U1743*U1745))</f>
        <v>6.701389690116736</v>
      </c>
      <c r="V1750" s="133"/>
      <c r="W1750" s="155"/>
      <c r="X1750" s="143">
        <f>X1741/((N_6*X$27*0.667)*SQRT(X1751*X1743*X1745))</f>
        <v>17.617419787810622</v>
      </c>
      <c r="Y1750" s="133"/>
      <c r="Z1750" s="155"/>
      <c r="AA1750" s="143">
        <f>AA1741/((N_6*AA$27*0.667)*SQRT(AA1751*AA1743*AA1745))</f>
        <v>42.183076444388284</v>
      </c>
      <c r="AB1750" s="133"/>
      <c r="AC1750" s="155"/>
      <c r="AD1750" s="143">
        <f>AD1741/((N_6*AD$27*0.667)*SQRT(AD1751*AD1743*AD1745))</f>
        <v>141.02012055687803</v>
      </c>
      <c r="AE1750" s="133"/>
      <c r="AF1750" s="155"/>
      <c r="AG1750" s="143">
        <f>AG1741/((N_6*AG$27*0.667)*SQRT(AG1751*AG1743*AG1745))</f>
        <v>410.06054078224884</v>
      </c>
      <c r="AH1750" s="133"/>
      <c r="AI1750" s="155"/>
      <c r="AJ1750" s="143">
        <f>AJ1741/((N_6*AJ$27*0.667)*SQRT(AJ1751*AJ1743*AJ1745))</f>
        <v>118.39378102099219</v>
      </c>
      <c r="AK1750" s="133"/>
      <c r="AL1750" s="155"/>
      <c r="AM1750" s="143">
        <f>AM1741/((N_6*AM$27*0.667)*SQRT(AM1751*AM1743*AM1745))</f>
        <v>86.655301945683661</v>
      </c>
      <c r="AN1750" s="133"/>
      <c r="AO1750" s="155"/>
      <c r="AP1750" s="143">
        <f>AP1741/((N_6*AP$27*0.667)*SQRT(AP1751*AP1743*AP1745))</f>
        <v>71.693401896740212</v>
      </c>
      <c r="AQ1750" s="133"/>
      <c r="AR1750" s="155"/>
      <c r="AS1750" s="143">
        <f>AS1741/((N_6*AS$27*0.667)*SQRT(AS1751*AS1743*AS1745))</f>
        <v>95.861163961848291</v>
      </c>
      <c r="AT1750" s="133"/>
      <c r="AU1750" s="155"/>
    </row>
    <row r="1751" spans="13:47" ht="15.5" x14ac:dyDescent="0.4">
      <c r="M1751" s="27"/>
      <c r="N1751" s="27"/>
      <c r="O1751" s="2" t="s">
        <v>192</v>
      </c>
      <c r="P1751" s="85">
        <v>10</v>
      </c>
      <c r="Q1751" s="2"/>
      <c r="R1751" s="181">
        <f>F_GAMMA*R$29</f>
        <v>0.64002688015162901</v>
      </c>
      <c r="S1751" s="133"/>
      <c r="T1751" s="155"/>
      <c r="U1751" s="138">
        <f>F_GAMMA*U$29</f>
        <v>0.64016782916606918</v>
      </c>
      <c r="V1751" s="133"/>
      <c r="W1751" s="155"/>
      <c r="X1751" s="138">
        <f>F_GAMMA*X$29</f>
        <v>0.6307062319203669</v>
      </c>
      <c r="Y1751" s="133"/>
      <c r="Z1751" s="155"/>
      <c r="AA1751" s="138">
        <f>F_GAMMA*AA$29</f>
        <v>0.62217534213893466</v>
      </c>
      <c r="AB1751" s="133"/>
      <c r="AC1751" s="155"/>
      <c r="AD1751" s="138">
        <f>F_GAMMA*AD$29</f>
        <v>0.60557184969146072</v>
      </c>
      <c r="AE1751" s="133"/>
      <c r="AF1751" s="155"/>
      <c r="AG1751" s="138">
        <f>F_GAMMA*AG$29</f>
        <v>0.57289312142622573</v>
      </c>
      <c r="AH1751" s="133"/>
      <c r="AI1751" s="155"/>
      <c r="AJ1751" s="138">
        <f>F_GAMMA*AJ$29</f>
        <v>0.53590819116049981</v>
      </c>
      <c r="AK1751" s="133"/>
      <c r="AL1751" s="155"/>
      <c r="AM1751" s="138">
        <f>F_GAMMA*AM$29</f>
        <v>0.49048815926850342</v>
      </c>
      <c r="AN1751" s="133"/>
      <c r="AO1751" s="155"/>
      <c r="AP1751" s="138">
        <f>F_GAMMA*AP$29</f>
        <v>0.59352979016280105</v>
      </c>
      <c r="AQ1751" s="133"/>
      <c r="AR1751" s="155"/>
      <c r="AS1751" s="138">
        <f>F_GAMMA*AS$29</f>
        <v>0.39097221161068291</v>
      </c>
      <c r="AT1751" s="133"/>
      <c r="AU1751" s="155"/>
    </row>
    <row r="1752" spans="13:47" x14ac:dyDescent="0.25">
      <c r="M1752" s="27"/>
      <c r="N1752" s="27"/>
      <c r="O1752" s="2" t="s">
        <v>193</v>
      </c>
      <c r="P1752" s="134"/>
      <c r="Q1752" s="2"/>
      <c r="R1752" s="181">
        <f>IF(R1747&lt;R1751,R1749,R1750)</f>
        <v>0.5545458967593454</v>
      </c>
      <c r="S1752" s="133"/>
      <c r="T1752" s="155"/>
      <c r="U1752" s="138">
        <f>IF(U1747&lt;U1751,U1749,U1750)</f>
        <v>6.8425901586959812</v>
      </c>
      <c r="V1752" s="133"/>
      <c r="W1752" s="155"/>
      <c r="X1752" s="138">
        <f>IF(X1747&lt;X1751,X1749,X1750)</f>
        <v>18.10321297522713</v>
      </c>
      <c r="Y1752" s="133"/>
      <c r="Z1752" s="155"/>
      <c r="AA1752" s="138">
        <f>IF(AA1747&lt;AA1751,AA1749,AA1750)</f>
        <v>45.892419303644125</v>
      </c>
      <c r="AB1752" s="133"/>
      <c r="AC1752" s="155"/>
      <c r="AD1752" s="138" t="e">
        <f>IF(AD1747&lt;AD1751,AD1749,AD1750)</f>
        <v>#NUM!</v>
      </c>
      <c r="AE1752" s="133"/>
      <c r="AF1752" s="155"/>
      <c r="AG1752" s="138">
        <f>IF(AG1747&lt;AG1751,AG1749,AG1750)</f>
        <v>410.06054078224884</v>
      </c>
      <c r="AH1752" s="133"/>
      <c r="AI1752" s="155"/>
      <c r="AJ1752" s="138">
        <f>IF(AJ1747&lt;AJ1751,AJ1749,AJ1750)</f>
        <v>118.39378102099219</v>
      </c>
      <c r="AK1752" s="133"/>
      <c r="AL1752" s="155"/>
      <c r="AM1752" s="138">
        <f>IF(AM1747&lt;AM1751,AM1749,AM1750)</f>
        <v>86.655301945683661</v>
      </c>
      <c r="AN1752" s="133"/>
      <c r="AO1752" s="155"/>
      <c r="AP1752" s="138">
        <f>IF(AP1747&lt;AP1751,AP1749,AP1750)</f>
        <v>71.693401896740212</v>
      </c>
      <c r="AQ1752" s="133"/>
      <c r="AR1752" s="155"/>
      <c r="AS1752" s="138">
        <f>IF(AS1747&lt;AS1751,AS1749,AS1750)</f>
        <v>95.861163961848291</v>
      </c>
      <c r="AT1752" s="133"/>
      <c r="AU1752" s="155"/>
    </row>
    <row r="1753" spans="13:47" ht="13" x14ac:dyDescent="0.3">
      <c r="M1753" s="28"/>
      <c r="N1753" s="28"/>
      <c r="O1753" s="9" t="s">
        <v>194</v>
      </c>
      <c r="P1753" s="1"/>
      <c r="Q1753" s="1"/>
      <c r="R1753" s="135"/>
      <c r="S1753" s="132">
        <f>IF(R1746&lt;=0,W_max,ABS(R$23-R1752))</f>
        <v>1.4454541032406545</v>
      </c>
      <c r="T1753" s="151">
        <f>R1741</f>
        <v>128.24086585797141</v>
      </c>
      <c r="U1753" s="135"/>
      <c r="V1753" s="132">
        <f>IF(U1746&lt;=0,W_max,ABS(U$23-U1752))</f>
        <v>1.8425901586959812</v>
      </c>
      <c r="W1753" s="151">
        <f>U1741</f>
        <v>1564.0304628988279</v>
      </c>
      <c r="X1753" s="135"/>
      <c r="Y1753" s="132">
        <f>IF(X1746&lt;=0,W_max,ABS(X$23-X1752))</f>
        <v>8.1032129752271302</v>
      </c>
      <c r="Z1753" s="151">
        <f>X1741</f>
        <v>3868.0334565556577</v>
      </c>
      <c r="AA1753" s="135"/>
      <c r="AB1753" s="132">
        <f>IF(AA1746&lt;=0,W_max,ABS(AA$23-AA1752))</f>
        <v>28.692419303644126</v>
      </c>
      <c r="AC1753" s="151">
        <f>AA1741</f>
        <v>7533.941875571968</v>
      </c>
      <c r="AD1753" s="135"/>
      <c r="AE1753" s="132">
        <f>IF(AD1746&lt;=0,W_max,ABS(AD$23-AD1752))</f>
        <v>7174</v>
      </c>
      <c r="AF1753" s="151">
        <f>AD1741</f>
        <v>12390.560552487843</v>
      </c>
      <c r="AG1753" s="135"/>
      <c r="AH1753" s="132">
        <f>IF(AG1746&lt;=0,W_max,ABS(AG$23-AG1752))</f>
        <v>7174</v>
      </c>
      <c r="AI1753" s="151">
        <f>AG1741</f>
        <v>17378.715076659988</v>
      </c>
      <c r="AJ1753" s="135"/>
      <c r="AK1753" s="132">
        <f>IF(AJ1746&lt;=0,W_max,ABS(AJ$23-AJ1752))</f>
        <v>7174</v>
      </c>
      <c r="AL1753" s="151">
        <f>AJ1741</f>
        <v>22066.356679799155</v>
      </c>
      <c r="AM1753" s="135"/>
      <c r="AN1753" s="132">
        <f>IF(AM1746&lt;=0,W_max,ABS(AM$23-AM1752))</f>
        <v>7174</v>
      </c>
      <c r="AO1753" s="151">
        <f>AM1741</f>
        <v>25874.538614001907</v>
      </c>
      <c r="AP1753" s="135"/>
      <c r="AQ1753" s="132">
        <f>IF(AP1746&lt;=0,W_max,ABS(AP$23-AP1752))</f>
        <v>7174</v>
      </c>
      <c r="AR1753" s="151">
        <f>AP1741</f>
        <v>28867.403716211396</v>
      </c>
      <c r="AS1753" s="135"/>
      <c r="AT1753" s="132">
        <f>IF(AS1746&lt;=0,W_max,ABS(AS$23-AS1752))</f>
        <v>7174</v>
      </c>
      <c r="AU1753" s="151">
        <f>AS1741</f>
        <v>32206.448576585783</v>
      </c>
    </row>
    <row r="1754" spans="13:47" ht="13" x14ac:dyDescent="0.25">
      <c r="M1754" s="12"/>
      <c r="N1754" s="12"/>
      <c r="O1754" s="2"/>
      <c r="P1754" s="85"/>
      <c r="Q1754" s="2"/>
      <c r="R1754" s="18"/>
      <c r="S1754" s="150"/>
      <c r="T1754" s="148"/>
      <c r="U1754" s="157"/>
      <c r="V1754" s="1"/>
      <c r="W1754" s="147"/>
      <c r="X1754" s="157"/>
      <c r="Y1754" s="1"/>
      <c r="Z1754" s="147"/>
      <c r="AA1754" s="157"/>
      <c r="AB1754" s="1"/>
      <c r="AC1754" s="147"/>
      <c r="AD1754" s="157"/>
      <c r="AE1754" s="1"/>
      <c r="AF1754" s="147"/>
      <c r="AG1754" s="157"/>
      <c r="AH1754" s="1"/>
      <c r="AI1754" s="147"/>
      <c r="AJ1754" s="157"/>
      <c r="AK1754" s="1"/>
      <c r="AL1754" s="147"/>
      <c r="AM1754" s="157"/>
      <c r="AN1754" s="1"/>
      <c r="AO1754" s="147"/>
      <c r="AP1754" s="157"/>
      <c r="AQ1754" s="1"/>
      <c r="AR1754" s="147"/>
      <c r="AS1754" s="157"/>
      <c r="AT1754" s="1"/>
      <c r="AU1754" s="147"/>
    </row>
    <row r="1755" spans="13:47" ht="14" x14ac:dyDescent="0.3">
      <c r="M1755" s="23"/>
      <c r="N1755" s="23"/>
      <c r="O1755" s="23" t="s">
        <v>238</v>
      </c>
      <c r="P1755" s="20"/>
      <c r="Q1755" s="20"/>
      <c r="R1755" s="181">
        <f>R1741*1.02</f>
        <v>130.80568317513084</v>
      </c>
      <c r="S1755" s="128" t="s">
        <v>185</v>
      </c>
      <c r="T1755" s="149" t="s">
        <v>186</v>
      </c>
      <c r="U1755" s="143">
        <f>U1741*1.01</f>
        <v>1579.6707675278162</v>
      </c>
      <c r="V1755" s="128" t="s">
        <v>185</v>
      </c>
      <c r="W1755" s="153" t="s">
        <v>186</v>
      </c>
      <c r="X1755" s="143">
        <f>X1741*1.01</f>
        <v>3906.7137911212144</v>
      </c>
      <c r="Y1755" s="128" t="s">
        <v>185</v>
      </c>
      <c r="Z1755" s="153" t="s">
        <v>186</v>
      </c>
      <c r="AA1755" s="143">
        <f>AA1741*1.01</f>
        <v>7609.2812943276876</v>
      </c>
      <c r="AB1755" s="128" t="s">
        <v>185</v>
      </c>
      <c r="AC1755" s="153" t="s">
        <v>186</v>
      </c>
      <c r="AD1755" s="143">
        <f>AD1741*1.01</f>
        <v>12514.466158012721</v>
      </c>
      <c r="AE1755" s="128" t="s">
        <v>185</v>
      </c>
      <c r="AF1755" s="153" t="s">
        <v>186</v>
      </c>
      <c r="AG1755" s="143">
        <f>AG1741*1.01</f>
        <v>17552.502227426587</v>
      </c>
      <c r="AH1755" s="128" t="s">
        <v>185</v>
      </c>
      <c r="AI1755" s="153" t="s">
        <v>186</v>
      </c>
      <c r="AJ1755" s="143">
        <f>AJ1741*1.01</f>
        <v>22287.020246597149</v>
      </c>
      <c r="AK1755" s="128" t="s">
        <v>185</v>
      </c>
      <c r="AL1755" s="153" t="s">
        <v>186</v>
      </c>
      <c r="AM1755" s="143">
        <f>AM1741*1.01</f>
        <v>26133.284000141928</v>
      </c>
      <c r="AN1755" s="128" t="s">
        <v>185</v>
      </c>
      <c r="AO1755" s="153" t="s">
        <v>186</v>
      </c>
      <c r="AP1755" s="143">
        <f>AP1741*1.01</f>
        <v>29156.077753373509</v>
      </c>
      <c r="AQ1755" s="128" t="s">
        <v>185</v>
      </c>
      <c r="AR1755" s="153" t="s">
        <v>186</v>
      </c>
      <c r="AS1755" s="143">
        <f>AS1741*1.01</f>
        <v>32528.513062351642</v>
      </c>
      <c r="AT1755" s="128" t="s">
        <v>185</v>
      </c>
      <c r="AU1755" s="153" t="s">
        <v>186</v>
      </c>
    </row>
    <row r="1756" spans="13:47" ht="14" x14ac:dyDescent="0.3">
      <c r="M1756" s="12"/>
      <c r="N1756" s="12"/>
      <c r="O1756" s="20"/>
      <c r="P1756" s="20"/>
      <c r="Q1756" s="23"/>
      <c r="R1756" s="139"/>
      <c r="S1756" s="130" t="s">
        <v>228</v>
      </c>
      <c r="T1756" s="131" t="s">
        <v>187</v>
      </c>
      <c r="U1756" s="144"/>
      <c r="V1756" s="130" t="s">
        <v>228</v>
      </c>
      <c r="W1756" s="154" t="s">
        <v>187</v>
      </c>
      <c r="X1756" s="144"/>
      <c r="Y1756" s="130" t="s">
        <v>228</v>
      </c>
      <c r="Z1756" s="154" t="s">
        <v>187</v>
      </c>
      <c r="AA1756" s="144"/>
      <c r="AB1756" s="130" t="s">
        <v>228</v>
      </c>
      <c r="AC1756" s="154" t="s">
        <v>187</v>
      </c>
      <c r="AD1756" s="144"/>
      <c r="AE1756" s="130" t="s">
        <v>228</v>
      </c>
      <c r="AF1756" s="154" t="s">
        <v>187</v>
      </c>
      <c r="AG1756" s="144"/>
      <c r="AH1756" s="130" t="s">
        <v>228</v>
      </c>
      <c r="AI1756" s="154" t="s">
        <v>187</v>
      </c>
      <c r="AJ1756" s="144"/>
      <c r="AK1756" s="130" t="s">
        <v>228</v>
      </c>
      <c r="AL1756" s="154" t="s">
        <v>187</v>
      </c>
      <c r="AM1756" s="144"/>
      <c r="AN1756" s="130" t="s">
        <v>228</v>
      </c>
      <c r="AO1756" s="154" t="s">
        <v>187</v>
      </c>
      <c r="AP1756" s="144"/>
      <c r="AQ1756" s="130" t="s">
        <v>228</v>
      </c>
      <c r="AR1756" s="154" t="s">
        <v>187</v>
      </c>
      <c r="AS1756" s="144"/>
      <c r="AT1756" s="130" t="s">
        <v>228</v>
      </c>
      <c r="AU1756" s="154" t="s">
        <v>187</v>
      </c>
    </row>
    <row r="1757" spans="13:47" x14ac:dyDescent="0.25">
      <c r="M1757" s="20"/>
      <c r="N1757" s="20"/>
      <c r="O1757" s="7" t="s">
        <v>188</v>
      </c>
      <c r="P1757" s="7"/>
      <c r="Q1757" s="7"/>
      <c r="R1757" s="181">
        <f>P_1_minW-(R1755^2*R_up)+dpup_minQ</f>
        <v>100.51596387116041</v>
      </c>
      <c r="S1757" s="132"/>
      <c r="T1757" s="145"/>
      <c r="U1757" s="138">
        <f>P_1_minW-(U1755^2*R_up)+dpup_minQ</f>
        <v>99.527732506499902</v>
      </c>
      <c r="V1757" s="132"/>
      <c r="W1757" s="145"/>
      <c r="X1757" s="138">
        <f>P_1_minW-(X1755^2*R_up)+dpup_minQ</f>
        <v>94.436719040350653</v>
      </c>
      <c r="Y1757" s="132"/>
      <c r="Z1757" s="145"/>
      <c r="AA1757" s="138">
        <f>P_1_minW-(AA1755^2*R_up)+dpup_minQ</f>
        <v>77.434013114118301</v>
      </c>
      <c r="AB1757" s="132"/>
      <c r="AC1757" s="145"/>
      <c r="AD1757" s="138">
        <f>P_1_minW-(AD1755^2*R_up)+dpup_minQ</f>
        <v>38.071952537912459</v>
      </c>
      <c r="AE1757" s="132"/>
      <c r="AF1757" s="145"/>
      <c r="AG1757" s="138">
        <f>P_1_minW-(AG1755^2*R_up)+dpup_minQ</f>
        <v>-22.331880840877574</v>
      </c>
      <c r="AH1757" s="132"/>
      <c r="AI1757" s="145"/>
      <c r="AJ1757" s="138">
        <f>P_1_minW-(AJ1755^2*R_up)+dpup_minQ</f>
        <v>-97.546712096897394</v>
      </c>
      <c r="AK1757" s="132"/>
      <c r="AL1757" s="145"/>
      <c r="AM1757" s="138">
        <f>P_1_minW-(AM1755^2*R_up)+dpup_minQ</f>
        <v>-171.81102438589099</v>
      </c>
      <c r="AN1757" s="132"/>
      <c r="AO1757" s="145"/>
      <c r="AP1757" s="138">
        <f>P_1_minW-(AP1755^2*R_up)+dpup_minQ</f>
        <v>-238.45542711400716</v>
      </c>
      <c r="AQ1757" s="132"/>
      <c r="AR1757" s="145"/>
      <c r="AS1757" s="138">
        <f>P_1_minW-(AS1755^2*R_up)+dpup_minQ</f>
        <v>-321.40877215332102</v>
      </c>
      <c r="AT1757" s="132"/>
      <c r="AU1757" s="145"/>
    </row>
    <row r="1758" spans="13:47" x14ac:dyDescent="0.25">
      <c r="M1758" s="20"/>
      <c r="N1758" s="20"/>
      <c r="O1758" s="7" t="s">
        <v>189</v>
      </c>
      <c r="P1758" s="1"/>
      <c r="Q1758" s="7"/>
      <c r="R1758" s="181">
        <f>P_2_minW+(R1755^2*R_dn)-dpdn_minQ</f>
        <v>50</v>
      </c>
      <c r="S1758" s="132"/>
      <c r="T1758" s="146"/>
      <c r="U1758" s="138">
        <f>P_2_minW+(U1755^2*R_dn)-dpdn_minQ</f>
        <v>50</v>
      </c>
      <c r="V1758" s="132"/>
      <c r="W1758" s="146"/>
      <c r="X1758" s="138">
        <f>P_2_minW+(X1755^2*R_dn)-dpdn_minQ</f>
        <v>50</v>
      </c>
      <c r="Y1758" s="132"/>
      <c r="Z1758" s="146"/>
      <c r="AA1758" s="138">
        <f>P_2_minW+(AA1755^2*R_dn)-dpdn_minQ</f>
        <v>50</v>
      </c>
      <c r="AB1758" s="132"/>
      <c r="AC1758" s="146"/>
      <c r="AD1758" s="138">
        <f>P_2_minW+(AD1755^2*R_dn)-dpdn_minQ</f>
        <v>50</v>
      </c>
      <c r="AE1758" s="132"/>
      <c r="AF1758" s="146"/>
      <c r="AG1758" s="138">
        <f>P_2_minW+(AG1755^2*R_dn)-dpdn_minQ</f>
        <v>50</v>
      </c>
      <c r="AH1758" s="132"/>
      <c r="AI1758" s="146"/>
      <c r="AJ1758" s="138">
        <f>P_2_minW+(AJ1755^2*R_dn)-dpdn_minQ</f>
        <v>50</v>
      </c>
      <c r="AK1758" s="132"/>
      <c r="AL1758" s="146"/>
      <c r="AM1758" s="138">
        <f>P_2_minW+(AM1755^2*R_dn)-dpdn_minQ</f>
        <v>50</v>
      </c>
      <c r="AN1758" s="132"/>
      <c r="AO1758" s="146"/>
      <c r="AP1758" s="138">
        <f>P_2_minW+(AP1755^2*R_dn)-dpdn_minQ</f>
        <v>50</v>
      </c>
      <c r="AQ1758" s="132"/>
      <c r="AR1758" s="146"/>
      <c r="AS1758" s="138">
        <f>P_2_minW+(AS1755^2*R_dn)-dpdn_minQ</f>
        <v>50</v>
      </c>
      <c r="AT1758" s="132"/>
      <c r="AU1758" s="146"/>
    </row>
    <row r="1759" spans="13:47" x14ac:dyDescent="0.25">
      <c r="M1759" s="20"/>
      <c r="N1759" s="20"/>
      <c r="O1759" s="7" t="s">
        <v>234</v>
      </c>
      <c r="P1759" s="1"/>
      <c r="Q1759" s="7"/>
      <c r="R1759" s="179">
        <f>'Valve Sizing'!G$8*R1757/P_1_maxW</f>
        <v>0.48487111395013544</v>
      </c>
      <c r="S1759" s="132"/>
      <c r="T1759" s="146"/>
      <c r="U1759" s="143">
        <f>'Valve Sizing'!$G$8*U1757/P_1_maxW</f>
        <v>0.48010406179076315</v>
      </c>
      <c r="V1759" s="132"/>
      <c r="W1759" s="146"/>
      <c r="X1759" s="143">
        <f>'Valve Sizing'!$G$8*X1757/P_1_maxW</f>
        <v>0.4555459192291399</v>
      </c>
      <c r="Y1759" s="132"/>
      <c r="Z1759" s="146"/>
      <c r="AA1759" s="143">
        <f>'Valve Sizing'!$G$8*AA1757/P_1_maxW</f>
        <v>0.37352789298620381</v>
      </c>
      <c r="AB1759" s="132"/>
      <c r="AC1759" s="146"/>
      <c r="AD1759" s="143">
        <f>'Valve Sizing'!$G$8*AD1757/P_1_maxW</f>
        <v>0.18365232074952781</v>
      </c>
      <c r="AE1759" s="132"/>
      <c r="AF1759" s="146"/>
      <c r="AG1759" s="143">
        <f>'Valve Sizing'!$G$8*AG1757/P_1_maxW</f>
        <v>-0.10772501723007147</v>
      </c>
      <c r="AH1759" s="132"/>
      <c r="AI1759" s="146"/>
      <c r="AJ1759" s="143">
        <f>'Valve Sizing'!$G$8*AJ1757/P_1_maxW</f>
        <v>-0.47054797203378557</v>
      </c>
      <c r="AK1759" s="132"/>
      <c r="AL1759" s="146"/>
      <c r="AM1759" s="143">
        <f>'Valve Sizing'!$G$8*AM1757/P_1_maxW</f>
        <v>-0.82878579257003671</v>
      </c>
      <c r="AN1759" s="132"/>
      <c r="AO1759" s="146"/>
      <c r="AP1759" s="143">
        <f>'Valve Sizing'!$G$8*AP1757/P_1_maxW</f>
        <v>-1.1502665260258942</v>
      </c>
      <c r="AQ1759" s="132"/>
      <c r="AR1759" s="146"/>
      <c r="AS1759" s="143">
        <f>'Valve Sizing'!$G$8*AS1757/P_1_maxW</f>
        <v>-1.5504186935627593</v>
      </c>
      <c r="AT1759" s="132"/>
      <c r="AU1759" s="146"/>
    </row>
    <row r="1760" spans="13:47" x14ac:dyDescent="0.25">
      <c r="M1760" s="20"/>
      <c r="N1760" s="20"/>
      <c r="O1760" s="7" t="s">
        <v>190</v>
      </c>
      <c r="P1760" s="1"/>
      <c r="Q1760" s="7"/>
      <c r="R1760" s="181">
        <f>R1757-R1758</f>
        <v>50.515963871160409</v>
      </c>
      <c r="S1760" s="132"/>
      <c r="T1760" s="146"/>
      <c r="U1760" s="138">
        <f>U1757-U1758</f>
        <v>49.527732506499902</v>
      </c>
      <c r="V1760" s="132"/>
      <c r="W1760" s="146"/>
      <c r="X1760" s="138">
        <f>X1757-X1758</f>
        <v>44.436719040350653</v>
      </c>
      <c r="Y1760" s="132"/>
      <c r="Z1760" s="146"/>
      <c r="AA1760" s="138">
        <f>AA1757-AA1758</f>
        <v>27.434013114118301</v>
      </c>
      <c r="AB1760" s="132"/>
      <c r="AC1760" s="146"/>
      <c r="AD1760" s="138">
        <f>AD1757-AD1758</f>
        <v>-11.928047462087541</v>
      </c>
      <c r="AE1760" s="132"/>
      <c r="AF1760" s="146"/>
      <c r="AG1760" s="138">
        <f>AG1757-AG1758</f>
        <v>-72.331880840877574</v>
      </c>
      <c r="AH1760" s="132"/>
      <c r="AI1760" s="146"/>
      <c r="AJ1760" s="138">
        <f>AJ1757-AJ1758</f>
        <v>-147.54671209689741</v>
      </c>
      <c r="AK1760" s="132"/>
      <c r="AL1760" s="146"/>
      <c r="AM1760" s="138">
        <f>AM1757-AM1758</f>
        <v>-221.81102438589099</v>
      </c>
      <c r="AN1760" s="132"/>
      <c r="AO1760" s="146"/>
      <c r="AP1760" s="138">
        <f>AP1757-AP1758</f>
        <v>-288.45542711400719</v>
      </c>
      <c r="AQ1760" s="132"/>
      <c r="AR1760" s="146"/>
      <c r="AS1760" s="138">
        <f>AS1757-AS1758</f>
        <v>-371.40877215332102</v>
      </c>
      <c r="AT1760" s="132"/>
      <c r="AU1760" s="146"/>
    </row>
    <row r="1761" spans="13:47" ht="14.5" x14ac:dyDescent="0.35">
      <c r="M1761" s="27"/>
      <c r="N1761" s="27"/>
      <c r="O1761" s="2" t="s">
        <v>191</v>
      </c>
      <c r="P1761" s="10"/>
      <c r="Q1761" s="2"/>
      <c r="R1761" s="181">
        <f>R1760/R1757</f>
        <v>0.50256657674706162</v>
      </c>
      <c r="S1761" s="132"/>
      <c r="T1761" s="146"/>
      <c r="U1761" s="138">
        <f>U1760/U1757</f>
        <v>0.49762745778685724</v>
      </c>
      <c r="V1761" s="132"/>
      <c r="W1761" s="146"/>
      <c r="X1761" s="138">
        <f>X1760/X1757</f>
        <v>0.47054492671821707</v>
      </c>
      <c r="Y1761" s="132"/>
      <c r="Z1761" s="146"/>
      <c r="AA1761" s="138">
        <f>AA1760/AA1757</f>
        <v>0.35428892305616977</v>
      </c>
      <c r="AB1761" s="132"/>
      <c r="AC1761" s="146"/>
      <c r="AD1761" s="138">
        <f>AD1760/AD1757</f>
        <v>-0.31330275089541215</v>
      </c>
      <c r="AE1761" s="132"/>
      <c r="AF1761" s="146"/>
      <c r="AG1761" s="138">
        <f>AG1760/AG1757</f>
        <v>3.2389515847889125</v>
      </c>
      <c r="AH1761" s="132"/>
      <c r="AI1761" s="146"/>
      <c r="AJ1761" s="138">
        <f>AJ1760/AJ1757</f>
        <v>1.5125749389721392</v>
      </c>
      <c r="AK1761" s="132"/>
      <c r="AL1761" s="146"/>
      <c r="AM1761" s="138">
        <f>AM1760/AM1757</f>
        <v>1.2910174139215829</v>
      </c>
      <c r="AN1761" s="132"/>
      <c r="AO1761" s="146"/>
      <c r="AP1761" s="138">
        <f>AP1760/AP1757</f>
        <v>1.2096827931540208</v>
      </c>
      <c r="AQ1761" s="132"/>
      <c r="AR1761" s="146"/>
      <c r="AS1761" s="138">
        <f>AS1760/AS1757</f>
        <v>1.1555651380172929</v>
      </c>
      <c r="AT1761" s="132"/>
      <c r="AU1761" s="146"/>
    </row>
    <row r="1762" spans="13:47" x14ac:dyDescent="0.25">
      <c r="M1762" s="27"/>
      <c r="N1762" s="27"/>
      <c r="O1762" s="2" t="s">
        <v>26</v>
      </c>
      <c r="P1762" s="7">
        <v>12</v>
      </c>
      <c r="Q1762" s="2"/>
      <c r="R1762" s="181">
        <f>1-R1761/(3*F_GAMMA*R$29)</f>
        <v>0.73825756785506758</v>
      </c>
      <c r="S1762" s="133"/>
      <c r="T1762" s="146"/>
      <c r="U1762" s="138">
        <f>1-U1761/(3*F_GAMMA*U$29)</f>
        <v>0.74088698040579759</v>
      </c>
      <c r="V1762" s="133"/>
      <c r="W1762" s="146"/>
      <c r="X1762" s="138">
        <f>1-X1761/(3*F_GAMMA*X$29)</f>
        <v>0.75131320895862652</v>
      </c>
      <c r="Y1762" s="133"/>
      <c r="Z1762" s="146"/>
      <c r="AA1762" s="138">
        <f>1-AA1761/(3*F_GAMMA*AA$29)</f>
        <v>0.810188061649318</v>
      </c>
      <c r="AB1762" s="133"/>
      <c r="AC1762" s="146"/>
      <c r="AD1762" s="138">
        <f>1-AD1761/(3*F_GAMMA*AD$29)</f>
        <v>1.1724555894592525</v>
      </c>
      <c r="AE1762" s="133"/>
      <c r="AF1762" s="146"/>
      <c r="AG1762" s="138">
        <f>1-AG1761/(3*F_GAMMA*AG$29)</f>
        <v>-0.88455837203135745</v>
      </c>
      <c r="AH1762" s="133"/>
      <c r="AI1762" s="146"/>
      <c r="AJ1762" s="138">
        <f>1-AJ1761/(3*F_GAMMA*AJ$29)</f>
        <v>5.9182795410855249E-2</v>
      </c>
      <c r="AK1762" s="133"/>
      <c r="AL1762" s="146"/>
      <c r="AM1762" s="138">
        <f>1-AM1761/(3*F_GAMMA*AM$29)</f>
        <v>0.12263093442326234</v>
      </c>
      <c r="AN1762" s="133"/>
      <c r="AO1762" s="146"/>
      <c r="AP1762" s="138">
        <f>1-AP1761/(3*F_GAMMA*AP$29)</f>
        <v>0.32062787007303462</v>
      </c>
      <c r="AQ1762" s="133"/>
      <c r="AR1762" s="146"/>
      <c r="AS1762" s="138">
        <f>1-AS1761/(3*F_GAMMA*AS$29)</f>
        <v>1.4793461273776232E-2</v>
      </c>
      <c r="AT1762" s="133"/>
      <c r="AU1762" s="146"/>
    </row>
    <row r="1763" spans="13:47" x14ac:dyDescent="0.25">
      <c r="M1763" s="27"/>
      <c r="N1763" s="27"/>
      <c r="O1763" s="2" t="s">
        <v>71</v>
      </c>
      <c r="P1763" s="85">
        <v>5</v>
      </c>
      <c r="Q1763" s="2"/>
      <c r="R1763" s="179">
        <f>R1755/((N_6*R$27*R1762)*SQRT(R1761*R1757*R1759))</f>
        <v>0.5656385202510974</v>
      </c>
      <c r="S1763" s="133"/>
      <c r="T1763" s="146"/>
      <c r="U1763" s="143">
        <f>U1755/((N_6*U$27*U1762)*SQRT(U1761*U1757*U1759))</f>
        <v>6.9125839455055633</v>
      </c>
      <c r="V1763" s="133"/>
      <c r="W1763" s="146"/>
      <c r="X1763" s="143">
        <f>X1755/((N_6*X$27*X1762)*SQRT(X1761*X1757*X1759))</f>
        <v>18.311867387242742</v>
      </c>
      <c r="Y1763" s="133"/>
      <c r="Z1763" s="146"/>
      <c r="AA1763" s="143">
        <f>AA1755/((N_6*AA$27*AA1762)*SQRT(AA1761*AA1757*AA1759))</f>
        <v>46.754275116145635</v>
      </c>
      <c r="AB1763" s="133"/>
      <c r="AC1763" s="146"/>
      <c r="AD1763" s="143" t="e">
        <f>AD1755/((N_6*AD$27*AD1762)*SQRT(AD1761*AD1757*AD1759))</f>
        <v>#NUM!</v>
      </c>
      <c r="AE1763" s="133"/>
      <c r="AF1763" s="146"/>
      <c r="AG1763" s="143">
        <f>AG1755/((N_6*AG$27*AG1762)*SQRT(AG1761*AG1757*AG1759))</f>
        <v>-117.10474555973391</v>
      </c>
      <c r="AH1763" s="133"/>
      <c r="AI1763" s="146"/>
      <c r="AJ1763" s="143">
        <f>AJ1755/((N_6*AJ$27*AJ1762)*SQRT(AJ1761*AJ1757*AJ1759))</f>
        <v>770.07763073966794</v>
      </c>
      <c r="AK1763" s="133"/>
      <c r="AL1763" s="146"/>
      <c r="AM1763" s="143">
        <f>AM1755/((N_6*AM$27*AM1762)*SQRT(AM1761*AM1757*AM1759))</f>
        <v>284.25635190298027</v>
      </c>
      <c r="AN1763" s="133"/>
      <c r="AO1763" s="146"/>
      <c r="AP1763" s="143">
        <f>AP1755/((N_6*AP$27*AP1762)*SQRT(AP1761*AP1757*AP1759))</f>
        <v>102.55864978006989</v>
      </c>
      <c r="AQ1763" s="133"/>
      <c r="AR1763" s="146"/>
      <c r="AS1763" s="143">
        <f>AS1755/((N_6*AS$27*AS1762)*SQRT(AS1761*AS1757*AS1759))</f>
        <v>2473.5136828463351</v>
      </c>
      <c r="AT1763" s="133"/>
      <c r="AU1763" s="146"/>
    </row>
    <row r="1764" spans="13:47" x14ac:dyDescent="0.25">
      <c r="M1764" s="27"/>
      <c r="N1764" s="27"/>
      <c r="O1764" s="2" t="s">
        <v>73</v>
      </c>
      <c r="P1764" s="85">
        <v>5</v>
      </c>
      <c r="Q1764" s="2"/>
      <c r="R1764" s="179">
        <f>R1755/((N_6*R$27*0.667)*SQRT(R1765*R1757*R1759))</f>
        <v>0.55477738010410982</v>
      </c>
      <c r="S1764" s="133"/>
      <c r="T1764" s="147"/>
      <c r="U1764" s="143">
        <f>U1755/((N_6*U$27*0.667)*SQRT(U1765*U1757*U1759))</f>
        <v>6.7697369309759834</v>
      </c>
      <c r="V1764" s="133"/>
      <c r="W1764" s="155"/>
      <c r="X1764" s="143">
        <f>X1755/((N_6*X$27*0.667)*SQRT(X1765*X1757*X1759))</f>
        <v>17.816189013229245</v>
      </c>
      <c r="Y1764" s="133"/>
      <c r="Z1764" s="155"/>
      <c r="AA1764" s="143">
        <f>AA1755/((N_6*AA$27*0.667)*SQRT(AA1765*AA1757*AA1759))</f>
        <v>42.855219417087916</v>
      </c>
      <c r="AB1764" s="133"/>
      <c r="AC1764" s="155"/>
      <c r="AD1764" s="143">
        <f>AD1755/((N_6*AD$27*0.667)*SQRT(AD1765*AD1757*AD1759))</f>
        <v>147.03382930224231</v>
      </c>
      <c r="AE1764" s="133"/>
      <c r="AF1764" s="155"/>
      <c r="AG1764" s="143">
        <f>AG1755/((N_6*AG$27*0.667)*SQRT(AG1765*AG1757*AG1759))</f>
        <v>369.26707168054259</v>
      </c>
      <c r="AH1764" s="133"/>
      <c r="AI1764" s="155"/>
      <c r="AJ1764" s="143">
        <f>AJ1755/((N_6*AJ$27*0.667)*SQRT(AJ1765*AJ1757*AJ1759))</f>
        <v>114.79352748600469</v>
      </c>
      <c r="AK1764" s="133"/>
      <c r="AL1764" s="155"/>
      <c r="AM1764" s="143">
        <f>AM1755/((N_6*AM$27*0.667)*SQRT(AM1765*AM1757*AM1759))</f>
        <v>84.788346897274238</v>
      </c>
      <c r="AN1764" s="133"/>
      <c r="AO1764" s="155"/>
      <c r="AP1764" s="143">
        <f>AP1755/((N_6*AP$27*0.667)*SQRT(AP1765*AP1757*AP1759))</f>
        <v>70.382100098218459</v>
      </c>
      <c r="AQ1764" s="133"/>
      <c r="AR1764" s="155"/>
      <c r="AS1764" s="143">
        <f>AS1755/((N_6*AS$27*0.667)*SQRT(AS1765*AS1757*AS1759))</f>
        <v>94.31538730208176</v>
      </c>
      <c r="AT1764" s="133"/>
      <c r="AU1764" s="155"/>
    </row>
    <row r="1765" spans="13:47" ht="15.5" x14ac:dyDescent="0.4">
      <c r="M1765" s="27"/>
      <c r="N1765" s="27"/>
      <c r="O1765" s="2" t="s">
        <v>192</v>
      </c>
      <c r="P1765" s="85">
        <v>10</v>
      </c>
      <c r="Q1765" s="2"/>
      <c r="R1765" s="181">
        <f>F_GAMMA*R$29</f>
        <v>0.64002688015162901</v>
      </c>
      <c r="S1765" s="133"/>
      <c r="T1765" s="147"/>
      <c r="U1765" s="138">
        <f>F_GAMMA*U$29</f>
        <v>0.64016782916606918</v>
      </c>
      <c r="V1765" s="133"/>
      <c r="W1765" s="155"/>
      <c r="X1765" s="138">
        <f>F_GAMMA*X$29</f>
        <v>0.6307062319203669</v>
      </c>
      <c r="Y1765" s="133"/>
      <c r="Z1765" s="155"/>
      <c r="AA1765" s="138">
        <f>F_GAMMA*AA$29</f>
        <v>0.62217534213893466</v>
      </c>
      <c r="AB1765" s="133"/>
      <c r="AC1765" s="155"/>
      <c r="AD1765" s="138">
        <f>F_GAMMA*AD$29</f>
        <v>0.60557184969146072</v>
      </c>
      <c r="AE1765" s="133"/>
      <c r="AF1765" s="155"/>
      <c r="AG1765" s="138">
        <f>F_GAMMA*AG$29</f>
        <v>0.57289312142622573</v>
      </c>
      <c r="AH1765" s="133"/>
      <c r="AI1765" s="155"/>
      <c r="AJ1765" s="138">
        <f>F_GAMMA*AJ$29</f>
        <v>0.53590819116049981</v>
      </c>
      <c r="AK1765" s="133"/>
      <c r="AL1765" s="155"/>
      <c r="AM1765" s="138">
        <f>F_GAMMA*AM$29</f>
        <v>0.49048815926850342</v>
      </c>
      <c r="AN1765" s="133"/>
      <c r="AO1765" s="155"/>
      <c r="AP1765" s="138">
        <f>F_GAMMA*AP$29</f>
        <v>0.59352979016280105</v>
      </c>
      <c r="AQ1765" s="133"/>
      <c r="AR1765" s="155"/>
      <c r="AS1765" s="138">
        <f>F_GAMMA*AS$29</f>
        <v>0.39097221161068291</v>
      </c>
      <c r="AT1765" s="133"/>
      <c r="AU1765" s="155"/>
    </row>
    <row r="1766" spans="13:47" x14ac:dyDescent="0.25">
      <c r="M1766" s="27"/>
      <c r="N1766" s="27"/>
      <c r="O1766" s="2" t="s">
        <v>193</v>
      </c>
      <c r="P1766" s="134"/>
      <c r="Q1766" s="2"/>
      <c r="R1766" s="181">
        <f>IF(R1761&lt;R1765,R1763,R1764)</f>
        <v>0.5656385202510974</v>
      </c>
      <c r="S1766" s="133"/>
      <c r="T1766" s="147"/>
      <c r="U1766" s="138">
        <f>IF(U1761&lt;U1765,U1763,U1764)</f>
        <v>6.9125839455055633</v>
      </c>
      <c r="V1766" s="133"/>
      <c r="W1766" s="155"/>
      <c r="X1766" s="138">
        <f>IF(X1761&lt;X1765,X1763,X1764)</f>
        <v>18.311867387242742</v>
      </c>
      <c r="Y1766" s="133"/>
      <c r="Z1766" s="155"/>
      <c r="AA1766" s="138">
        <f>IF(AA1761&lt;AA1765,AA1763,AA1764)</f>
        <v>46.754275116145635</v>
      </c>
      <c r="AB1766" s="133"/>
      <c r="AC1766" s="155"/>
      <c r="AD1766" s="138" t="e">
        <f>IF(AD1761&lt;AD1765,AD1763,AD1764)</f>
        <v>#NUM!</v>
      </c>
      <c r="AE1766" s="133"/>
      <c r="AF1766" s="155"/>
      <c r="AG1766" s="138">
        <f>IF(AG1761&lt;AG1765,AG1763,AG1764)</f>
        <v>369.26707168054259</v>
      </c>
      <c r="AH1766" s="133"/>
      <c r="AI1766" s="155"/>
      <c r="AJ1766" s="138">
        <f>IF(AJ1761&lt;AJ1765,AJ1763,AJ1764)</f>
        <v>114.79352748600469</v>
      </c>
      <c r="AK1766" s="133"/>
      <c r="AL1766" s="155"/>
      <c r="AM1766" s="138">
        <f>IF(AM1761&lt;AM1765,AM1763,AM1764)</f>
        <v>84.788346897274238</v>
      </c>
      <c r="AN1766" s="133"/>
      <c r="AO1766" s="155"/>
      <c r="AP1766" s="138">
        <f>IF(AP1761&lt;AP1765,AP1763,AP1764)</f>
        <v>70.382100098218459</v>
      </c>
      <c r="AQ1766" s="133"/>
      <c r="AR1766" s="155"/>
      <c r="AS1766" s="138">
        <f>IF(AS1761&lt;AS1765,AS1763,AS1764)</f>
        <v>94.31538730208176</v>
      </c>
      <c r="AT1766" s="133"/>
      <c r="AU1766" s="155"/>
    </row>
    <row r="1767" spans="13:47" ht="13" x14ac:dyDescent="0.3">
      <c r="M1767" s="28"/>
      <c r="N1767" s="28"/>
      <c r="O1767" s="9" t="s">
        <v>194</v>
      </c>
      <c r="P1767" s="1"/>
      <c r="Q1767" s="1"/>
      <c r="R1767" s="135"/>
      <c r="S1767" s="132">
        <f>IF(R1760&lt;=0,W_max,ABS(R$23-R1766))</f>
        <v>1.4343614797489026</v>
      </c>
      <c r="T1767" s="151">
        <f>R1755</f>
        <v>130.80568317513084</v>
      </c>
      <c r="U1767" s="135"/>
      <c r="V1767" s="132">
        <f>IF(U1760&lt;=0,W_max,ABS(U$23-U1766))</f>
        <v>1.9125839455055633</v>
      </c>
      <c r="W1767" s="151">
        <f>U1755</f>
        <v>1579.6707675278162</v>
      </c>
      <c r="X1767" s="135"/>
      <c r="Y1767" s="132">
        <f>IF(X1760&lt;=0,W_max,ABS(X$23-X1766))</f>
        <v>8.3118673872427422</v>
      </c>
      <c r="Z1767" s="151">
        <f>X1755</f>
        <v>3906.7137911212144</v>
      </c>
      <c r="AA1767" s="135"/>
      <c r="AB1767" s="132">
        <f>IF(AA1760&lt;=0,W_max,ABS(AA$23-AA1766))</f>
        <v>29.554275116145636</v>
      </c>
      <c r="AC1767" s="151">
        <f>AA1755</f>
        <v>7609.2812943276876</v>
      </c>
      <c r="AD1767" s="135"/>
      <c r="AE1767" s="132">
        <f>IF(AD1760&lt;=0,W_max,ABS(AD$23-AD1766))</f>
        <v>7174</v>
      </c>
      <c r="AF1767" s="151">
        <f>AD1755</f>
        <v>12514.466158012721</v>
      </c>
      <c r="AG1767" s="135"/>
      <c r="AH1767" s="132">
        <f>IF(AG1760&lt;=0,W_max,ABS(AG$23-AG1766))</f>
        <v>7174</v>
      </c>
      <c r="AI1767" s="151">
        <f>AG1755</f>
        <v>17552.502227426587</v>
      </c>
      <c r="AJ1767" s="135"/>
      <c r="AK1767" s="132">
        <f>IF(AJ1760&lt;=0,W_max,ABS(AJ$23-AJ1766))</f>
        <v>7174</v>
      </c>
      <c r="AL1767" s="151">
        <f>AJ1755</f>
        <v>22287.020246597149</v>
      </c>
      <c r="AM1767" s="135"/>
      <c r="AN1767" s="132">
        <f>IF(AM1760&lt;=0,W_max,ABS(AM$23-AM1766))</f>
        <v>7174</v>
      </c>
      <c r="AO1767" s="151">
        <f>AM1755</f>
        <v>26133.284000141928</v>
      </c>
      <c r="AP1767" s="135"/>
      <c r="AQ1767" s="132">
        <f>IF(AP1760&lt;=0,W_max,ABS(AP$23-AP1766))</f>
        <v>7174</v>
      </c>
      <c r="AR1767" s="151">
        <f>AP1755</f>
        <v>29156.077753373509</v>
      </c>
      <c r="AS1767" s="135"/>
      <c r="AT1767" s="132">
        <f>IF(AS1760&lt;=0,W_max,ABS(AS$23-AS1766))</f>
        <v>7174</v>
      </c>
      <c r="AU1767" s="151">
        <f>AS1755</f>
        <v>32528.513062351642</v>
      </c>
    </row>
    <row r="1768" spans="13:47" ht="13" x14ac:dyDescent="0.25">
      <c r="M1768" s="12"/>
      <c r="N1768" s="12"/>
      <c r="O1768" s="12"/>
      <c r="P1768" s="12"/>
      <c r="Q1768" s="12"/>
      <c r="R1768" s="182"/>
      <c r="S1768" s="22"/>
      <c r="T1768" s="152"/>
      <c r="U1768" s="157"/>
      <c r="V1768" s="1"/>
      <c r="W1768" s="147"/>
      <c r="X1768" s="157"/>
      <c r="Y1768" s="1"/>
      <c r="Z1768" s="147"/>
      <c r="AA1768" s="157"/>
      <c r="AB1768" s="1"/>
      <c r="AC1768" s="147"/>
      <c r="AD1768" s="157"/>
      <c r="AE1768" s="1"/>
      <c r="AF1768" s="147"/>
      <c r="AG1768" s="157"/>
      <c r="AH1768" s="1"/>
      <c r="AI1768" s="147"/>
      <c r="AJ1768" s="157"/>
      <c r="AK1768" s="1"/>
      <c r="AL1768" s="147"/>
      <c r="AM1768" s="157"/>
      <c r="AN1768" s="1"/>
      <c r="AO1768" s="147"/>
      <c r="AP1768" s="157"/>
      <c r="AQ1768" s="1"/>
      <c r="AR1768" s="147"/>
      <c r="AS1768" s="157"/>
      <c r="AT1768" s="1"/>
      <c r="AU1768" s="147"/>
    </row>
    <row r="1769" spans="13:47" ht="14" x14ac:dyDescent="0.3">
      <c r="M1769" s="23"/>
      <c r="N1769" s="23"/>
      <c r="O1769" s="23" t="s">
        <v>238</v>
      </c>
      <c r="P1769" s="20"/>
      <c r="Q1769" s="20"/>
      <c r="R1769" s="18">
        <f>R1755*1.02</f>
        <v>133.42179683863347</v>
      </c>
      <c r="S1769" s="128" t="s">
        <v>185</v>
      </c>
      <c r="T1769" s="153" t="s">
        <v>186</v>
      </c>
      <c r="U1769" s="143">
        <f>U1755*1.01</f>
        <v>1595.4674752030944</v>
      </c>
      <c r="V1769" s="128" t="s">
        <v>185</v>
      </c>
      <c r="W1769" s="153" t="s">
        <v>186</v>
      </c>
      <c r="X1769" s="143">
        <f>X1755*1.01</f>
        <v>3945.7809290324267</v>
      </c>
      <c r="Y1769" s="128" t="s">
        <v>185</v>
      </c>
      <c r="Z1769" s="153" t="s">
        <v>186</v>
      </c>
      <c r="AA1769" s="143">
        <f>AA1755*1.01</f>
        <v>7685.3741072709645</v>
      </c>
      <c r="AB1769" s="128" t="s">
        <v>185</v>
      </c>
      <c r="AC1769" s="153" t="s">
        <v>186</v>
      </c>
      <c r="AD1769" s="143">
        <f>AD1755*1.01</f>
        <v>12639.610819592848</v>
      </c>
      <c r="AE1769" s="128" t="s">
        <v>185</v>
      </c>
      <c r="AF1769" s="153" t="s">
        <v>186</v>
      </c>
      <c r="AG1769" s="143">
        <f>AG1755*1.01</f>
        <v>17728.027249700852</v>
      </c>
      <c r="AH1769" s="128" t="s">
        <v>185</v>
      </c>
      <c r="AI1769" s="153" t="s">
        <v>186</v>
      </c>
      <c r="AJ1769" s="143">
        <f>AJ1755*1.01</f>
        <v>22509.890449063121</v>
      </c>
      <c r="AK1769" s="128" t="s">
        <v>185</v>
      </c>
      <c r="AL1769" s="153" t="s">
        <v>186</v>
      </c>
      <c r="AM1769" s="143">
        <f>AM1755*1.01</f>
        <v>26394.616840143346</v>
      </c>
      <c r="AN1769" s="128" t="s">
        <v>185</v>
      </c>
      <c r="AO1769" s="153" t="s">
        <v>186</v>
      </c>
      <c r="AP1769" s="143">
        <f>AP1755*1.01</f>
        <v>29447.638530907243</v>
      </c>
      <c r="AQ1769" s="128" t="s">
        <v>185</v>
      </c>
      <c r="AR1769" s="153" t="s">
        <v>186</v>
      </c>
      <c r="AS1769" s="143">
        <f>AS1755*1.01</f>
        <v>32853.798192975155</v>
      </c>
      <c r="AT1769" s="128" t="s">
        <v>185</v>
      </c>
      <c r="AU1769" s="153" t="s">
        <v>186</v>
      </c>
    </row>
    <row r="1770" spans="13:47" ht="14" x14ac:dyDescent="0.3">
      <c r="M1770" s="12"/>
      <c r="N1770" s="12"/>
      <c r="O1770" s="20"/>
      <c r="P1770" s="20"/>
      <c r="Q1770" s="23"/>
      <c r="R1770" s="139"/>
      <c r="S1770" s="130" t="s">
        <v>228</v>
      </c>
      <c r="T1770" s="154" t="s">
        <v>187</v>
      </c>
      <c r="U1770" s="144"/>
      <c r="V1770" s="130" t="s">
        <v>228</v>
      </c>
      <c r="W1770" s="154" t="s">
        <v>187</v>
      </c>
      <c r="X1770" s="144"/>
      <c r="Y1770" s="130" t="s">
        <v>228</v>
      </c>
      <c r="Z1770" s="154" t="s">
        <v>187</v>
      </c>
      <c r="AA1770" s="144"/>
      <c r="AB1770" s="130" t="s">
        <v>228</v>
      </c>
      <c r="AC1770" s="154" t="s">
        <v>187</v>
      </c>
      <c r="AD1770" s="144"/>
      <c r="AE1770" s="130" t="s">
        <v>228</v>
      </c>
      <c r="AF1770" s="154" t="s">
        <v>187</v>
      </c>
      <c r="AG1770" s="144"/>
      <c r="AH1770" s="130" t="s">
        <v>228</v>
      </c>
      <c r="AI1770" s="154" t="s">
        <v>187</v>
      </c>
      <c r="AJ1770" s="144"/>
      <c r="AK1770" s="130" t="s">
        <v>228</v>
      </c>
      <c r="AL1770" s="154" t="s">
        <v>187</v>
      </c>
      <c r="AM1770" s="144"/>
      <c r="AN1770" s="130" t="s">
        <v>228</v>
      </c>
      <c r="AO1770" s="154" t="s">
        <v>187</v>
      </c>
      <c r="AP1770" s="144"/>
      <c r="AQ1770" s="130" t="s">
        <v>228</v>
      </c>
      <c r="AR1770" s="154" t="s">
        <v>187</v>
      </c>
      <c r="AS1770" s="144"/>
      <c r="AT1770" s="130" t="s">
        <v>228</v>
      </c>
      <c r="AU1770" s="154" t="s">
        <v>187</v>
      </c>
    </row>
    <row r="1771" spans="13:47" x14ac:dyDescent="0.25">
      <c r="M1771" s="20"/>
      <c r="N1771" s="20"/>
      <c r="O1771" s="7" t="s">
        <v>188</v>
      </c>
      <c r="P1771" s="7"/>
      <c r="Q1771" s="7"/>
      <c r="R1771" s="181">
        <f>P_1_minW-(R1769^2*R_up)+dpup_minQ</f>
        <v>100.51568822739152</v>
      </c>
      <c r="S1771" s="132"/>
      <c r="T1771" s="145"/>
      <c r="U1771" s="138">
        <f>P_1_minW-(U1769^2*R_up)+dpup_minQ</f>
        <v>99.507731916472338</v>
      </c>
      <c r="V1771" s="132"/>
      <c r="W1771" s="145"/>
      <c r="X1771" s="138">
        <f>P_1_minW-(X1769^2*R_up)+dpup_minQ</f>
        <v>94.314389079653495</v>
      </c>
      <c r="Y1771" s="132"/>
      <c r="Z1771" s="145"/>
      <c r="AA1771" s="138">
        <f>P_1_minW-(AA1769^2*R_up)+dpup_minQ</f>
        <v>76.969928764303873</v>
      </c>
      <c r="AB1771" s="132"/>
      <c r="AC1771" s="145"/>
      <c r="AD1771" s="138">
        <f>P_1_minW-(AD1769^2*R_up)+dpup_minQ</f>
        <v>36.816690770516296</v>
      </c>
      <c r="AE1771" s="132"/>
      <c r="AF1771" s="145"/>
      <c r="AG1771" s="138">
        <f>P_1_minW-(AG1769^2*R_up)+dpup_minQ</f>
        <v>-24.801259659187423</v>
      </c>
      <c r="AH1771" s="132"/>
      <c r="AI1771" s="145"/>
      <c r="AJ1771" s="138">
        <f>P_1_minW-(AJ1769^2*R_up)+dpup_minQ</f>
        <v>-101.52790902345326</v>
      </c>
      <c r="AK1771" s="132"/>
      <c r="AL1771" s="145"/>
      <c r="AM1771" s="138">
        <f>P_1_minW-(AM1769^2*R_up)+dpup_minQ</f>
        <v>-177.28493398945554</v>
      </c>
      <c r="AN1771" s="132"/>
      <c r="AO1771" s="145"/>
      <c r="AP1771" s="138">
        <f>P_1_minW-(AP1769^2*R_up)+dpup_minQ</f>
        <v>-245.26888921240689</v>
      </c>
      <c r="AQ1771" s="132"/>
      <c r="AR1771" s="145"/>
      <c r="AS1771" s="138">
        <f>P_1_minW-(AS1769^2*R_up)+dpup_minQ</f>
        <v>-329.88959648701098</v>
      </c>
      <c r="AT1771" s="132"/>
      <c r="AU1771" s="145"/>
    </row>
    <row r="1772" spans="13:47" x14ac:dyDescent="0.25">
      <c r="M1772" s="20"/>
      <c r="N1772" s="20"/>
      <c r="O1772" s="7" t="s">
        <v>189</v>
      </c>
      <c r="P1772" s="1"/>
      <c r="Q1772" s="7"/>
      <c r="R1772" s="181">
        <f>P_2_minW+(R1769^2*R_dn)-dpdn_minQ</f>
        <v>50</v>
      </c>
      <c r="S1772" s="132"/>
      <c r="T1772" s="146"/>
      <c r="U1772" s="138">
        <f>P_2_minW+(U1769^2*R_dn)-dpdn_minQ</f>
        <v>50</v>
      </c>
      <c r="V1772" s="132"/>
      <c r="W1772" s="146"/>
      <c r="X1772" s="138">
        <f>P_2_minW+(X1769^2*R_dn)-dpdn_minQ</f>
        <v>50</v>
      </c>
      <c r="Y1772" s="132"/>
      <c r="Z1772" s="146"/>
      <c r="AA1772" s="138">
        <f>P_2_minW+(AA1769^2*R_dn)-dpdn_minQ</f>
        <v>50</v>
      </c>
      <c r="AB1772" s="132"/>
      <c r="AC1772" s="146"/>
      <c r="AD1772" s="138">
        <f>P_2_minW+(AD1769^2*R_dn)-dpdn_minQ</f>
        <v>50</v>
      </c>
      <c r="AE1772" s="132"/>
      <c r="AF1772" s="146"/>
      <c r="AG1772" s="138">
        <f>P_2_minW+(AG1769^2*R_dn)-dpdn_minQ</f>
        <v>50</v>
      </c>
      <c r="AH1772" s="132"/>
      <c r="AI1772" s="146"/>
      <c r="AJ1772" s="138">
        <f>P_2_minW+(AJ1769^2*R_dn)-dpdn_minQ</f>
        <v>50</v>
      </c>
      <c r="AK1772" s="132"/>
      <c r="AL1772" s="146"/>
      <c r="AM1772" s="138">
        <f>P_2_minW+(AM1769^2*R_dn)-dpdn_minQ</f>
        <v>50</v>
      </c>
      <c r="AN1772" s="132"/>
      <c r="AO1772" s="146"/>
      <c r="AP1772" s="138">
        <f>P_2_minW+(AP1769^2*R_dn)-dpdn_minQ</f>
        <v>50</v>
      </c>
      <c r="AQ1772" s="132"/>
      <c r="AR1772" s="146"/>
      <c r="AS1772" s="138">
        <f>P_2_minW+(AS1769^2*R_dn)-dpdn_minQ</f>
        <v>50</v>
      </c>
      <c r="AT1772" s="132"/>
      <c r="AU1772" s="146"/>
    </row>
    <row r="1773" spans="13:47" x14ac:dyDescent="0.25">
      <c r="M1773" s="20"/>
      <c r="N1773" s="20"/>
      <c r="O1773" s="7" t="s">
        <v>234</v>
      </c>
      <c r="P1773" s="1"/>
      <c r="Q1773" s="7"/>
      <c r="R1773" s="179">
        <f>'Valve Sizing'!G$8*R1771/P_1_maxW</f>
        <v>0.48486978429366967</v>
      </c>
      <c r="S1773" s="132"/>
      <c r="T1773" s="146"/>
      <c r="U1773" s="143">
        <f>'Valve Sizing'!$G$8*U1771/P_1_maxW</f>
        <v>0.48000758250535575</v>
      </c>
      <c r="V1773" s="132"/>
      <c r="W1773" s="146"/>
      <c r="X1773" s="143">
        <f>'Valve Sizing'!$G$8*X1771/P_1_maxW</f>
        <v>0.45495582127824391</v>
      </c>
      <c r="Y1773" s="132"/>
      <c r="Z1773" s="146"/>
      <c r="AA1773" s="143">
        <f>'Valve Sizing'!$G$8*AA1771/P_1_maxW</f>
        <v>0.37128923270782482</v>
      </c>
      <c r="AB1773" s="132"/>
      <c r="AC1773" s="146"/>
      <c r="AD1773" s="143">
        <f>'Valve Sizing'!$G$8*AD1771/P_1_maxW</f>
        <v>0.17759716146919163</v>
      </c>
      <c r="AE1773" s="132"/>
      <c r="AF1773" s="146"/>
      <c r="AG1773" s="143">
        <f>'Valve Sizing'!$G$8*AG1771/P_1_maxW</f>
        <v>-0.11963686100379763</v>
      </c>
      <c r="AH1773" s="132"/>
      <c r="AI1773" s="146"/>
      <c r="AJ1773" s="143">
        <f>'Valve Sizing'!$G$8*AJ1771/P_1_maxW</f>
        <v>-0.48975255719906646</v>
      </c>
      <c r="AK1773" s="132"/>
      <c r="AL1773" s="146"/>
      <c r="AM1773" s="143">
        <f>'Valve Sizing'!$G$8*AM1771/P_1_maxW</f>
        <v>-0.85519095792809574</v>
      </c>
      <c r="AN1773" s="132"/>
      <c r="AO1773" s="146"/>
      <c r="AP1773" s="143">
        <f>'Valve Sizing'!$G$8*AP1771/P_1_maxW</f>
        <v>-1.1831334541264162</v>
      </c>
      <c r="AQ1773" s="132"/>
      <c r="AR1773" s="146"/>
      <c r="AS1773" s="143">
        <f>'Valve Sizing'!$G$8*AS1771/P_1_maxW</f>
        <v>-1.5913286802307725</v>
      </c>
      <c r="AT1773" s="132"/>
      <c r="AU1773" s="146"/>
    </row>
    <row r="1774" spans="13:47" x14ac:dyDescent="0.25">
      <c r="M1774" s="20"/>
      <c r="N1774" s="20"/>
      <c r="O1774" s="7" t="s">
        <v>190</v>
      </c>
      <c r="P1774" s="1"/>
      <c r="Q1774" s="7"/>
      <c r="R1774" s="181">
        <f>R1771-R1772</f>
        <v>50.515688227391522</v>
      </c>
      <c r="S1774" s="132"/>
      <c r="T1774" s="146"/>
      <c r="U1774" s="138">
        <f>U1771-U1772</f>
        <v>49.507731916472338</v>
      </c>
      <c r="V1774" s="132"/>
      <c r="W1774" s="146"/>
      <c r="X1774" s="138">
        <f>X1771-X1772</f>
        <v>44.314389079653495</v>
      </c>
      <c r="Y1774" s="132"/>
      <c r="Z1774" s="146"/>
      <c r="AA1774" s="138">
        <f>AA1771-AA1772</f>
        <v>26.969928764303873</v>
      </c>
      <c r="AB1774" s="132"/>
      <c r="AC1774" s="146"/>
      <c r="AD1774" s="138">
        <f>AD1771-AD1772</f>
        <v>-13.183309229483704</v>
      </c>
      <c r="AE1774" s="132"/>
      <c r="AF1774" s="146"/>
      <c r="AG1774" s="138">
        <f>AG1771-AG1772</f>
        <v>-74.801259659187423</v>
      </c>
      <c r="AH1774" s="132"/>
      <c r="AI1774" s="146"/>
      <c r="AJ1774" s="138">
        <f>AJ1771-AJ1772</f>
        <v>-151.52790902345328</v>
      </c>
      <c r="AK1774" s="132"/>
      <c r="AL1774" s="146"/>
      <c r="AM1774" s="138">
        <f>AM1771-AM1772</f>
        <v>-227.28493398945554</v>
      </c>
      <c r="AN1774" s="132"/>
      <c r="AO1774" s="146"/>
      <c r="AP1774" s="138">
        <f>AP1771-AP1772</f>
        <v>-295.26888921240686</v>
      </c>
      <c r="AQ1774" s="132"/>
      <c r="AR1774" s="146"/>
      <c r="AS1774" s="138">
        <f>AS1771-AS1772</f>
        <v>-379.88959648701098</v>
      </c>
      <c r="AT1774" s="132"/>
      <c r="AU1774" s="146"/>
    </row>
    <row r="1775" spans="13:47" ht="14.5" x14ac:dyDescent="0.35">
      <c r="M1775" s="27"/>
      <c r="N1775" s="27"/>
      <c r="O1775" s="2" t="s">
        <v>191</v>
      </c>
      <c r="P1775" s="10"/>
      <c r="Q1775" s="2"/>
      <c r="R1775" s="181">
        <f>R1774/R1771</f>
        <v>0.50256521263737908</v>
      </c>
      <c r="S1775" s="132"/>
      <c r="T1775" s="146"/>
      <c r="U1775" s="138">
        <f>U1774/U1771</f>
        <v>0.49752648324885507</v>
      </c>
      <c r="V1775" s="132"/>
      <c r="W1775" s="146"/>
      <c r="X1775" s="138">
        <f>X1774/X1771</f>
        <v>0.46985819992141015</v>
      </c>
      <c r="Y1775" s="132"/>
      <c r="Z1775" s="146"/>
      <c r="AA1775" s="138">
        <f>AA1774/AA1771</f>
        <v>0.35039565707395642</v>
      </c>
      <c r="AB1775" s="132"/>
      <c r="AC1775" s="146"/>
      <c r="AD1775" s="138">
        <f>AD1774/AD1771</f>
        <v>-0.35807969031375358</v>
      </c>
      <c r="AE1775" s="132"/>
      <c r="AF1775" s="146"/>
      <c r="AG1775" s="138">
        <f>AG1774/AG1771</f>
        <v>3.0160266328036252</v>
      </c>
      <c r="AH1775" s="132"/>
      <c r="AI1775" s="146"/>
      <c r="AJ1775" s="138">
        <f>AJ1774/AJ1771</f>
        <v>1.4924754235650599</v>
      </c>
      <c r="AK1775" s="132"/>
      <c r="AL1775" s="146"/>
      <c r="AM1775" s="138">
        <f>AM1774/AM1771</f>
        <v>1.2820318617879503</v>
      </c>
      <c r="AN1775" s="132"/>
      <c r="AO1775" s="146"/>
      <c r="AP1775" s="138">
        <f>AP1774/AP1771</f>
        <v>1.2038578971860519</v>
      </c>
      <c r="AQ1775" s="132"/>
      <c r="AR1775" s="146"/>
      <c r="AS1775" s="138">
        <f>AS1774/AS1771</f>
        <v>1.1515658587977591</v>
      </c>
      <c r="AT1775" s="132"/>
      <c r="AU1775" s="146"/>
    </row>
    <row r="1776" spans="13:47" x14ac:dyDescent="0.25">
      <c r="M1776" s="27"/>
      <c r="N1776" s="27"/>
      <c r="O1776" s="2" t="s">
        <v>26</v>
      </c>
      <c r="P1776" s="7">
        <v>12</v>
      </c>
      <c r="Q1776" s="2"/>
      <c r="R1776" s="181">
        <f>1-R1775/(3*F_GAMMA*R$29)</f>
        <v>0.73825827829902169</v>
      </c>
      <c r="S1776" s="133"/>
      <c r="T1776" s="146"/>
      <c r="U1776" s="138">
        <f>1-U1775/(3*F_GAMMA*U$29)</f>
        <v>0.7409395575235479</v>
      </c>
      <c r="V1776" s="133"/>
      <c r="W1776" s="146"/>
      <c r="X1776" s="138">
        <f>1-X1775/(3*F_GAMMA*X$29)</f>
        <v>0.75167614961258511</v>
      </c>
      <c r="Y1776" s="133"/>
      <c r="Z1776" s="146"/>
      <c r="AA1776" s="138">
        <f>1-AA1775/(3*F_GAMMA*AA$29)</f>
        <v>0.8122738970071498</v>
      </c>
      <c r="AB1776" s="133"/>
      <c r="AC1776" s="146"/>
      <c r="AD1776" s="138">
        <f>1-AD1775/(3*F_GAMMA*AD$29)</f>
        <v>1.1971027828193552</v>
      </c>
      <c r="AE1776" s="133"/>
      <c r="AF1776" s="146"/>
      <c r="AG1776" s="138">
        <f>1-AG1775/(3*F_GAMMA*AG$29)</f>
        <v>-0.7548512511927663</v>
      </c>
      <c r="AH1776" s="133"/>
      <c r="AI1776" s="146"/>
      <c r="AJ1776" s="138">
        <f>1-AJ1775/(3*F_GAMMA*AJ$29)</f>
        <v>7.1684635426619958E-2</v>
      </c>
      <c r="AK1776" s="133"/>
      <c r="AL1776" s="146"/>
      <c r="AM1776" s="138">
        <f>1-AM1775/(3*F_GAMMA*AM$29)</f>
        <v>0.12873747132521551</v>
      </c>
      <c r="AN1776" s="133"/>
      <c r="AO1776" s="146"/>
      <c r="AP1776" s="138">
        <f>1-AP1775/(3*F_GAMMA*AP$29)</f>
        <v>0.32389920037777031</v>
      </c>
      <c r="AQ1776" s="133"/>
      <c r="AR1776" s="146"/>
      <c r="AS1776" s="138">
        <f>1-AS1775/(3*F_GAMMA*AS$29)</f>
        <v>1.8203148800380764E-2</v>
      </c>
      <c r="AT1776" s="133"/>
      <c r="AU1776" s="146"/>
    </row>
    <row r="1777" spans="13:47" x14ac:dyDescent="0.25">
      <c r="M1777" s="27"/>
      <c r="N1777" s="27"/>
      <c r="O1777" s="2" t="s">
        <v>71</v>
      </c>
      <c r="P1777" s="85">
        <v>5</v>
      </c>
      <c r="Q1777" s="2"/>
      <c r="R1777" s="179">
        <f>R1769/((N_6*R$27*R1776)*SQRT(R1775*R1771*R1773))</f>
        <v>0.57695310062004612</v>
      </c>
      <c r="S1777" s="133"/>
      <c r="T1777" s="146"/>
      <c r="U1777" s="143">
        <f>U1769/((N_6*U$27*U1776)*SQRT(U1775*U1771*U1773))</f>
        <v>6.9833260898838532</v>
      </c>
      <c r="V1777" s="133"/>
      <c r="W1777" s="146"/>
      <c r="X1777" s="143">
        <f>X1769/((N_6*X$27*X1776)*SQRT(X1775*X1771*X1773))</f>
        <v>18.523554986124012</v>
      </c>
      <c r="Y1777" s="133"/>
      <c r="Z1777" s="146"/>
      <c r="AA1777" s="143">
        <f>AA1769/((N_6*AA$27*AA1776)*SQRT(AA1775*AA1771*AA1773))</f>
        <v>47.647065348228928</v>
      </c>
      <c r="AB1777" s="133"/>
      <c r="AC1777" s="146"/>
      <c r="AD1777" s="143" t="e">
        <f>AD1769/((N_6*AD$27*AD1776)*SQRT(AD1775*AD1771*AD1773))</f>
        <v>#NUM!</v>
      </c>
      <c r="AE1777" s="133"/>
      <c r="AF1777" s="146"/>
      <c r="AG1777" s="143">
        <f>AG1769/((N_6*AG$27*AG1776)*SQRT(AG1775*AG1771*AG1773))</f>
        <v>-129.32937871955838</v>
      </c>
      <c r="AH1777" s="133"/>
      <c r="AI1777" s="146"/>
      <c r="AJ1777" s="143">
        <f>AJ1769/((N_6*AJ$27*AJ1776)*SQRT(AJ1775*AJ1771*AJ1773))</f>
        <v>621.09398805434</v>
      </c>
      <c r="AK1777" s="133"/>
      <c r="AL1777" s="146"/>
      <c r="AM1777" s="143">
        <f>AM1769/((N_6*AM$27*AM1776)*SQRT(AM1775*AM1771*AM1773))</f>
        <v>265.96375322990832</v>
      </c>
      <c r="AN1777" s="133"/>
      <c r="AO1777" s="146"/>
      <c r="AP1777" s="143">
        <f>AP1769/((N_6*AP$27*AP1776)*SQRT(AP1775*AP1771*AP1773))</f>
        <v>99.930474150652913</v>
      </c>
      <c r="AQ1777" s="133"/>
      <c r="AR1777" s="146"/>
      <c r="AS1777" s="143">
        <f>AS1769/((N_6*AS$27*AS1776)*SQRT(AS1775*AS1771*AS1773))</f>
        <v>1981.531142138733</v>
      </c>
      <c r="AT1777" s="133"/>
      <c r="AU1777" s="146"/>
    </row>
    <row r="1778" spans="13:47" x14ac:dyDescent="0.25">
      <c r="M1778" s="27"/>
      <c r="N1778" s="27"/>
      <c r="O1778" s="2" t="s">
        <v>73</v>
      </c>
      <c r="P1778" s="85">
        <v>5</v>
      </c>
      <c r="Q1778" s="2"/>
      <c r="R1778" s="179">
        <f>R1769/((N_6*R$27*0.667)*SQRT(R1779*R1771*R1773))</f>
        <v>0.56587447949725334</v>
      </c>
      <c r="S1778" s="133"/>
      <c r="T1778" s="155"/>
      <c r="U1778" s="143">
        <f>U1769/((N_6*U$27*0.667)*SQRT(U1779*U1771*U1773))</f>
        <v>6.8388085926914348</v>
      </c>
      <c r="V1778" s="133"/>
      <c r="W1778" s="155"/>
      <c r="X1778" s="143">
        <f>X1769/((N_6*X$27*0.667)*SQRT(X1779*X1771*X1773))</f>
        <v>18.017690377436061</v>
      </c>
      <c r="Y1778" s="133"/>
      <c r="Z1778" s="155"/>
      <c r="AA1778" s="143">
        <f>AA1769/((N_6*AA$27*0.667)*SQRT(AA1779*AA1771*AA1773))</f>
        <v>43.544747830520187</v>
      </c>
      <c r="AB1778" s="133"/>
      <c r="AC1778" s="155"/>
      <c r="AD1778" s="143">
        <f>AD1769/((N_6*AD$27*0.667)*SQRT(AD1779*AD1771*AD1773))</f>
        <v>153.56740386066565</v>
      </c>
      <c r="AE1778" s="133"/>
      <c r="AF1778" s="155"/>
      <c r="AG1778" s="143">
        <f>AG1769/((N_6*AG$27*0.667)*SQRT(AG1779*AG1771*AG1773))</f>
        <v>335.82538306987169</v>
      </c>
      <c r="AH1778" s="133"/>
      <c r="AI1778" s="155"/>
      <c r="AJ1778" s="143">
        <f>AJ1769/((N_6*AJ$27*0.667)*SQRT(AJ1779*AJ1771*AJ1773))</f>
        <v>111.39506956077119</v>
      </c>
      <c r="AK1778" s="133"/>
      <c r="AL1778" s="155"/>
      <c r="AM1778" s="143">
        <f>AM1769/((N_6*AM$27*0.667)*SQRT(AM1779*AM1771*AM1773))</f>
        <v>82.992097143720883</v>
      </c>
      <c r="AN1778" s="133"/>
      <c r="AO1778" s="155"/>
      <c r="AP1778" s="143">
        <f>AP1769/((N_6*AP$27*0.667)*SQRT(AP1779*AP1771*AP1773))</f>
        <v>69.111185409343975</v>
      </c>
      <c r="AQ1778" s="133"/>
      <c r="AR1778" s="155"/>
      <c r="AS1778" s="143">
        <f>AS1769/((N_6*AS$27*0.667)*SQRT(AS1779*AS1771*AS1773))</f>
        <v>92.809628076318546</v>
      </c>
      <c r="AT1778" s="133"/>
      <c r="AU1778" s="155"/>
    </row>
    <row r="1779" spans="13:47" ht="15.5" x14ac:dyDescent="0.4">
      <c r="M1779" s="27"/>
      <c r="N1779" s="27"/>
      <c r="O1779" s="2" t="s">
        <v>192</v>
      </c>
      <c r="P1779" s="85">
        <v>10</v>
      </c>
      <c r="Q1779" s="2"/>
      <c r="R1779" s="181">
        <f>F_GAMMA*R$29</f>
        <v>0.64002688015162901</v>
      </c>
      <c r="S1779" s="133"/>
      <c r="T1779" s="155"/>
      <c r="U1779" s="138">
        <f>F_GAMMA*U$29</f>
        <v>0.64016782916606918</v>
      </c>
      <c r="V1779" s="133"/>
      <c r="W1779" s="155"/>
      <c r="X1779" s="138">
        <f>F_GAMMA*X$29</f>
        <v>0.6307062319203669</v>
      </c>
      <c r="Y1779" s="133"/>
      <c r="Z1779" s="155"/>
      <c r="AA1779" s="138">
        <f>F_GAMMA*AA$29</f>
        <v>0.62217534213893466</v>
      </c>
      <c r="AB1779" s="133"/>
      <c r="AC1779" s="155"/>
      <c r="AD1779" s="138">
        <f>F_GAMMA*AD$29</f>
        <v>0.60557184969146072</v>
      </c>
      <c r="AE1779" s="133"/>
      <c r="AF1779" s="155"/>
      <c r="AG1779" s="138">
        <f>F_GAMMA*AG$29</f>
        <v>0.57289312142622573</v>
      </c>
      <c r="AH1779" s="133"/>
      <c r="AI1779" s="155"/>
      <c r="AJ1779" s="138">
        <f>F_GAMMA*AJ$29</f>
        <v>0.53590819116049981</v>
      </c>
      <c r="AK1779" s="133"/>
      <c r="AL1779" s="155"/>
      <c r="AM1779" s="138">
        <f>F_GAMMA*AM$29</f>
        <v>0.49048815926850342</v>
      </c>
      <c r="AN1779" s="133"/>
      <c r="AO1779" s="155"/>
      <c r="AP1779" s="138">
        <f>F_GAMMA*AP$29</f>
        <v>0.59352979016280105</v>
      </c>
      <c r="AQ1779" s="133"/>
      <c r="AR1779" s="155"/>
      <c r="AS1779" s="138">
        <f>F_GAMMA*AS$29</f>
        <v>0.39097221161068291</v>
      </c>
      <c r="AT1779" s="133"/>
      <c r="AU1779" s="155"/>
    </row>
    <row r="1780" spans="13:47" x14ac:dyDescent="0.25">
      <c r="M1780" s="27"/>
      <c r="N1780" s="27"/>
      <c r="O1780" s="2" t="s">
        <v>193</v>
      </c>
      <c r="P1780" s="134"/>
      <c r="Q1780" s="2"/>
      <c r="R1780" s="181">
        <f>IF(R1775&lt;R1779,R1777,R1778)</f>
        <v>0.57695310062004612</v>
      </c>
      <c r="S1780" s="133"/>
      <c r="T1780" s="155"/>
      <c r="U1780" s="138">
        <f>IF(U1775&lt;U1779,U1777,U1778)</f>
        <v>6.9833260898838532</v>
      </c>
      <c r="V1780" s="133"/>
      <c r="W1780" s="155"/>
      <c r="X1780" s="138">
        <f>IF(X1775&lt;X1779,X1777,X1778)</f>
        <v>18.523554986124012</v>
      </c>
      <c r="Y1780" s="133"/>
      <c r="Z1780" s="155"/>
      <c r="AA1780" s="138">
        <f>IF(AA1775&lt;AA1779,AA1777,AA1778)</f>
        <v>47.647065348228928</v>
      </c>
      <c r="AB1780" s="133"/>
      <c r="AC1780" s="155"/>
      <c r="AD1780" s="138" t="e">
        <f>IF(AD1775&lt;AD1779,AD1777,AD1778)</f>
        <v>#NUM!</v>
      </c>
      <c r="AE1780" s="133"/>
      <c r="AF1780" s="155"/>
      <c r="AG1780" s="138">
        <f>IF(AG1775&lt;AG1779,AG1777,AG1778)</f>
        <v>335.82538306987169</v>
      </c>
      <c r="AH1780" s="133"/>
      <c r="AI1780" s="155"/>
      <c r="AJ1780" s="138">
        <f>IF(AJ1775&lt;AJ1779,AJ1777,AJ1778)</f>
        <v>111.39506956077119</v>
      </c>
      <c r="AK1780" s="133"/>
      <c r="AL1780" s="155"/>
      <c r="AM1780" s="138">
        <f>IF(AM1775&lt;AM1779,AM1777,AM1778)</f>
        <v>82.992097143720883</v>
      </c>
      <c r="AN1780" s="133"/>
      <c r="AO1780" s="155"/>
      <c r="AP1780" s="138">
        <f>IF(AP1775&lt;AP1779,AP1777,AP1778)</f>
        <v>69.111185409343975</v>
      </c>
      <c r="AQ1780" s="133"/>
      <c r="AR1780" s="155"/>
      <c r="AS1780" s="138">
        <f>IF(AS1775&lt;AS1779,AS1777,AS1778)</f>
        <v>92.809628076318546</v>
      </c>
      <c r="AT1780" s="133"/>
      <c r="AU1780" s="155"/>
    </row>
    <row r="1781" spans="13:47" ht="13" x14ac:dyDescent="0.3">
      <c r="M1781" s="28"/>
      <c r="N1781" s="28"/>
      <c r="O1781" s="9" t="s">
        <v>194</v>
      </c>
      <c r="P1781" s="1"/>
      <c r="Q1781" s="1"/>
      <c r="R1781" s="135"/>
      <c r="S1781" s="132">
        <f>IF(R1774&lt;=0,W_max,ABS(R$23-R1780))</f>
        <v>1.4230468993799539</v>
      </c>
      <c r="T1781" s="151">
        <f>R1769</f>
        <v>133.42179683863347</v>
      </c>
      <c r="U1781" s="135"/>
      <c r="V1781" s="132">
        <f>IF(U1774&lt;=0,W_max,ABS(U$23-U1780))</f>
        <v>1.9833260898838532</v>
      </c>
      <c r="W1781" s="151">
        <f>U1769</f>
        <v>1595.4674752030944</v>
      </c>
      <c r="X1781" s="135"/>
      <c r="Y1781" s="132">
        <f>IF(X1774&lt;=0,W_max,ABS(X$23-X1780))</f>
        <v>8.5235549861240116</v>
      </c>
      <c r="Z1781" s="151">
        <f>X1769</f>
        <v>3945.7809290324267</v>
      </c>
      <c r="AA1781" s="135"/>
      <c r="AB1781" s="132">
        <f>IF(AA1774&lt;=0,W_max,ABS(AA$23-AA1780))</f>
        <v>30.447065348228929</v>
      </c>
      <c r="AC1781" s="151">
        <f>AA1769</f>
        <v>7685.3741072709645</v>
      </c>
      <c r="AD1781" s="135"/>
      <c r="AE1781" s="132">
        <f>IF(AD1774&lt;=0,W_max,ABS(AD$23-AD1780))</f>
        <v>7174</v>
      </c>
      <c r="AF1781" s="151">
        <f>AD1769</f>
        <v>12639.610819592848</v>
      </c>
      <c r="AG1781" s="135"/>
      <c r="AH1781" s="132">
        <f>IF(AG1774&lt;=0,W_max,ABS(AG$23-AG1780))</f>
        <v>7174</v>
      </c>
      <c r="AI1781" s="151">
        <f>AG1769</f>
        <v>17728.027249700852</v>
      </c>
      <c r="AJ1781" s="135"/>
      <c r="AK1781" s="132">
        <f>IF(AJ1774&lt;=0,W_max,ABS(AJ$23-AJ1780))</f>
        <v>7174</v>
      </c>
      <c r="AL1781" s="151">
        <f>AJ1769</f>
        <v>22509.890449063121</v>
      </c>
      <c r="AM1781" s="135"/>
      <c r="AN1781" s="132">
        <f>IF(AM1774&lt;=0,W_max,ABS(AM$23-AM1780))</f>
        <v>7174</v>
      </c>
      <c r="AO1781" s="151">
        <f>AM1769</f>
        <v>26394.616840143346</v>
      </c>
      <c r="AP1781" s="135"/>
      <c r="AQ1781" s="132">
        <f>IF(AP1774&lt;=0,W_max,ABS(AP$23-AP1780))</f>
        <v>7174</v>
      </c>
      <c r="AR1781" s="151">
        <f>AP1769</f>
        <v>29447.638530907243</v>
      </c>
      <c r="AS1781" s="135"/>
      <c r="AT1781" s="132">
        <f>IF(AS1774&lt;=0,W_max,ABS(AS$23-AS1780))</f>
        <v>7174</v>
      </c>
      <c r="AU1781" s="151">
        <f>AS1769</f>
        <v>32853.798192975155</v>
      </c>
    </row>
    <row r="1782" spans="13:47" ht="13" x14ac:dyDescent="0.25">
      <c r="M1782" s="12"/>
      <c r="N1782" s="12"/>
      <c r="O1782" s="2"/>
      <c r="P1782" s="85"/>
      <c r="Q1782" s="2"/>
      <c r="R1782" s="18"/>
      <c r="S1782" s="150"/>
      <c r="T1782" s="152"/>
      <c r="U1782" s="157"/>
      <c r="V1782" s="1"/>
      <c r="W1782" s="147"/>
      <c r="X1782" s="157"/>
      <c r="Y1782" s="1"/>
      <c r="Z1782" s="147"/>
      <c r="AA1782" s="157"/>
      <c r="AB1782" s="1"/>
      <c r="AC1782" s="147"/>
      <c r="AD1782" s="157"/>
      <c r="AE1782" s="1"/>
      <c r="AF1782" s="147"/>
      <c r="AG1782" s="157"/>
      <c r="AH1782" s="1"/>
      <c r="AI1782" s="147"/>
      <c r="AJ1782" s="157"/>
      <c r="AK1782" s="1"/>
      <c r="AL1782" s="147"/>
      <c r="AM1782" s="157"/>
      <c r="AN1782" s="1"/>
      <c r="AO1782" s="147"/>
      <c r="AP1782" s="157"/>
      <c r="AQ1782" s="1"/>
      <c r="AR1782" s="147"/>
      <c r="AS1782" s="157"/>
      <c r="AT1782" s="1"/>
      <c r="AU1782" s="147"/>
    </row>
    <row r="1783" spans="13:47" ht="14" x14ac:dyDescent="0.3">
      <c r="M1783" s="23"/>
      <c r="N1783" s="23"/>
      <c r="O1783" s="23" t="s">
        <v>238</v>
      </c>
      <c r="P1783" s="20"/>
      <c r="Q1783" s="20"/>
      <c r="R1783" s="181">
        <f>R1769*1.02</f>
        <v>136.09023277540615</v>
      </c>
      <c r="S1783" s="128" t="s">
        <v>185</v>
      </c>
      <c r="T1783" s="153" t="s">
        <v>186</v>
      </c>
      <c r="U1783" s="143">
        <f>U1769*1.01</f>
        <v>1611.4221499551254</v>
      </c>
      <c r="V1783" s="128" t="s">
        <v>185</v>
      </c>
      <c r="W1783" s="153" t="s">
        <v>186</v>
      </c>
      <c r="X1783" s="143">
        <f>X1769*1.01</f>
        <v>3985.238738322751</v>
      </c>
      <c r="Y1783" s="128" t="s">
        <v>185</v>
      </c>
      <c r="Z1783" s="153" t="s">
        <v>186</v>
      </c>
      <c r="AA1783" s="143">
        <f>AA1769*1.01</f>
        <v>7762.2278483436739</v>
      </c>
      <c r="AB1783" s="128" t="s">
        <v>185</v>
      </c>
      <c r="AC1783" s="153" t="s">
        <v>186</v>
      </c>
      <c r="AD1783" s="143">
        <f>AD1769*1.01</f>
        <v>12766.006927788776</v>
      </c>
      <c r="AE1783" s="128" t="s">
        <v>185</v>
      </c>
      <c r="AF1783" s="153" t="s">
        <v>186</v>
      </c>
      <c r="AG1783" s="143">
        <f>AG1769*1.01</f>
        <v>17905.307522197862</v>
      </c>
      <c r="AH1783" s="128" t="s">
        <v>185</v>
      </c>
      <c r="AI1783" s="153" t="s">
        <v>186</v>
      </c>
      <c r="AJ1783" s="143">
        <f>AJ1769*1.01</f>
        <v>22734.989353553752</v>
      </c>
      <c r="AK1783" s="128" t="s">
        <v>185</v>
      </c>
      <c r="AL1783" s="153" t="s">
        <v>186</v>
      </c>
      <c r="AM1783" s="143">
        <f>AM1769*1.01</f>
        <v>26658.563008544781</v>
      </c>
      <c r="AN1783" s="128" t="s">
        <v>185</v>
      </c>
      <c r="AO1783" s="153" t="s">
        <v>186</v>
      </c>
      <c r="AP1783" s="143">
        <f>AP1769*1.01</f>
        <v>29742.114916216316</v>
      </c>
      <c r="AQ1783" s="128" t="s">
        <v>185</v>
      </c>
      <c r="AR1783" s="153" t="s">
        <v>186</v>
      </c>
      <c r="AS1783" s="143">
        <f>AS1769*1.01</f>
        <v>33182.336174904907</v>
      </c>
      <c r="AT1783" s="128" t="s">
        <v>185</v>
      </c>
      <c r="AU1783" s="153" t="s">
        <v>186</v>
      </c>
    </row>
    <row r="1784" spans="13:47" ht="14" x14ac:dyDescent="0.3">
      <c r="M1784" s="12"/>
      <c r="N1784" s="12"/>
      <c r="O1784" s="20"/>
      <c r="P1784" s="20"/>
      <c r="Q1784" s="23"/>
      <c r="R1784" s="139"/>
      <c r="S1784" s="130" t="s">
        <v>228</v>
      </c>
      <c r="T1784" s="154" t="s">
        <v>187</v>
      </c>
      <c r="U1784" s="144"/>
      <c r="V1784" s="130" t="s">
        <v>228</v>
      </c>
      <c r="W1784" s="154" t="s">
        <v>187</v>
      </c>
      <c r="X1784" s="144"/>
      <c r="Y1784" s="130" t="s">
        <v>228</v>
      </c>
      <c r="Z1784" s="154" t="s">
        <v>187</v>
      </c>
      <c r="AA1784" s="144"/>
      <c r="AB1784" s="130" t="s">
        <v>228</v>
      </c>
      <c r="AC1784" s="154" t="s">
        <v>187</v>
      </c>
      <c r="AD1784" s="144"/>
      <c r="AE1784" s="130" t="s">
        <v>228</v>
      </c>
      <c r="AF1784" s="154" t="s">
        <v>187</v>
      </c>
      <c r="AG1784" s="144"/>
      <c r="AH1784" s="130" t="s">
        <v>228</v>
      </c>
      <c r="AI1784" s="154" t="s">
        <v>187</v>
      </c>
      <c r="AJ1784" s="144"/>
      <c r="AK1784" s="130" t="s">
        <v>228</v>
      </c>
      <c r="AL1784" s="154" t="s">
        <v>187</v>
      </c>
      <c r="AM1784" s="144"/>
      <c r="AN1784" s="130" t="s">
        <v>228</v>
      </c>
      <c r="AO1784" s="154" t="s">
        <v>187</v>
      </c>
      <c r="AP1784" s="144"/>
      <c r="AQ1784" s="130" t="s">
        <v>228</v>
      </c>
      <c r="AR1784" s="154" t="s">
        <v>187</v>
      </c>
      <c r="AS1784" s="144"/>
      <c r="AT1784" s="130" t="s">
        <v>228</v>
      </c>
      <c r="AU1784" s="154" t="s">
        <v>187</v>
      </c>
    </row>
    <row r="1785" spans="13:47" x14ac:dyDescent="0.25">
      <c r="M1785" s="20"/>
      <c r="N1785" s="20"/>
      <c r="O1785" s="7" t="s">
        <v>188</v>
      </c>
      <c r="P1785" s="7"/>
      <c r="Q1785" s="7"/>
      <c r="R1785" s="181">
        <f>P_1_minW-(R1783^2*R_up)+dpup_minQ</f>
        <v>100.51540144761438</v>
      </c>
      <c r="S1785" s="132"/>
      <c r="T1785" s="145"/>
      <c r="U1785" s="138">
        <f>P_1_minW-(U1783^2*R_up)+dpup_minQ</f>
        <v>99.487329314585224</v>
      </c>
      <c r="V1785" s="132"/>
      <c r="W1785" s="145"/>
      <c r="X1785" s="138">
        <f>P_1_minW-(X1783^2*R_up)+dpup_minQ</f>
        <v>94.189600286746327</v>
      </c>
      <c r="Y1785" s="132"/>
      <c r="Z1785" s="145"/>
      <c r="AA1785" s="138">
        <f>P_1_minW-(AA1783^2*R_up)+dpup_minQ</f>
        <v>76.496516319058173</v>
      </c>
      <c r="AB1785" s="132"/>
      <c r="AC1785" s="145"/>
      <c r="AD1785" s="138">
        <f>P_1_minW-(AD1783^2*R_up)+dpup_minQ</f>
        <v>35.536198241595471</v>
      </c>
      <c r="AE1785" s="132"/>
      <c r="AF1785" s="145"/>
      <c r="AG1785" s="138">
        <f>P_1_minW-(AG1783^2*R_up)+dpup_minQ</f>
        <v>-27.320272991745313</v>
      </c>
      <c r="AH1785" s="132"/>
      <c r="AI1785" s="145"/>
      <c r="AJ1785" s="138">
        <f>P_1_minW-(AJ1783^2*R_up)+dpup_minQ</f>
        <v>-105.58912800823286</v>
      </c>
      <c r="AK1785" s="132"/>
      <c r="AL1785" s="145"/>
      <c r="AM1785" s="138">
        <f>P_1_minW-(AM1783^2*R_up)+dpup_minQ</f>
        <v>-182.86886917605185</v>
      </c>
      <c r="AN1785" s="132"/>
      <c r="AO1785" s="145"/>
      <c r="AP1785" s="138">
        <f>P_1_minW-(AP1783^2*R_up)+dpup_minQ</f>
        <v>-252.21930189898447</v>
      </c>
      <c r="AQ1785" s="132"/>
      <c r="AR1785" s="145"/>
      <c r="AS1785" s="138">
        <f>P_1_minW-(AS1783^2*R_up)+dpup_minQ</f>
        <v>-338.54088538980807</v>
      </c>
      <c r="AT1785" s="132"/>
      <c r="AU1785" s="145"/>
    </row>
    <row r="1786" spans="13:47" x14ac:dyDescent="0.25">
      <c r="M1786" s="20"/>
      <c r="N1786" s="20"/>
      <c r="O1786" s="7" t="s">
        <v>189</v>
      </c>
      <c r="P1786" s="1"/>
      <c r="Q1786" s="7"/>
      <c r="R1786" s="181">
        <f>P_2_minW+(R1783^2*R_dn)-dpdn_minQ</f>
        <v>50</v>
      </c>
      <c r="S1786" s="132"/>
      <c r="T1786" s="146"/>
      <c r="U1786" s="138">
        <f>P_2_minW+(U1783^2*R_dn)-dpdn_minQ</f>
        <v>50</v>
      </c>
      <c r="V1786" s="132"/>
      <c r="W1786" s="146"/>
      <c r="X1786" s="138">
        <f>P_2_minW+(X1783^2*R_dn)-dpdn_minQ</f>
        <v>50</v>
      </c>
      <c r="Y1786" s="132"/>
      <c r="Z1786" s="146"/>
      <c r="AA1786" s="138">
        <f>P_2_minW+(AA1783^2*R_dn)-dpdn_minQ</f>
        <v>50</v>
      </c>
      <c r="AB1786" s="132"/>
      <c r="AC1786" s="146"/>
      <c r="AD1786" s="138">
        <f>P_2_minW+(AD1783^2*R_dn)-dpdn_minQ</f>
        <v>50</v>
      </c>
      <c r="AE1786" s="132"/>
      <c r="AF1786" s="146"/>
      <c r="AG1786" s="138">
        <f>P_2_minW+(AG1783^2*R_dn)-dpdn_minQ</f>
        <v>50</v>
      </c>
      <c r="AH1786" s="132"/>
      <c r="AI1786" s="146"/>
      <c r="AJ1786" s="138">
        <f>P_2_minW+(AJ1783^2*R_dn)-dpdn_minQ</f>
        <v>50</v>
      </c>
      <c r="AK1786" s="132"/>
      <c r="AL1786" s="146"/>
      <c r="AM1786" s="138">
        <f>P_2_minW+(AM1783^2*R_dn)-dpdn_minQ</f>
        <v>50</v>
      </c>
      <c r="AN1786" s="132"/>
      <c r="AO1786" s="146"/>
      <c r="AP1786" s="138">
        <f>P_2_minW+(AP1783^2*R_dn)-dpdn_minQ</f>
        <v>50</v>
      </c>
      <c r="AQ1786" s="132"/>
      <c r="AR1786" s="146"/>
      <c r="AS1786" s="138">
        <f>P_2_minW+(AS1783^2*R_dn)-dpdn_minQ</f>
        <v>50</v>
      </c>
      <c r="AT1786" s="132"/>
      <c r="AU1786" s="146"/>
    </row>
    <row r="1787" spans="13:47" x14ac:dyDescent="0.25">
      <c r="M1787" s="20"/>
      <c r="N1787" s="20"/>
      <c r="O1787" s="7" t="s">
        <v>234</v>
      </c>
      <c r="P1787" s="1"/>
      <c r="Q1787" s="7"/>
      <c r="R1787" s="179">
        <f>'Valve Sizing'!G$8*R1785/P_1_maxW</f>
        <v>0.48486840091908273</v>
      </c>
      <c r="S1787" s="132"/>
      <c r="T1787" s="146"/>
      <c r="U1787" s="143">
        <f>'Valve Sizing'!$G$8*U1785/P_1_maxW</f>
        <v>0.47990916398631167</v>
      </c>
      <c r="V1787" s="132"/>
      <c r="W1787" s="146"/>
      <c r="X1787" s="143">
        <f>'Valve Sizing'!$G$8*X1785/P_1_maxW</f>
        <v>0.45435386235853492</v>
      </c>
      <c r="Y1787" s="132"/>
      <c r="Z1787" s="146"/>
      <c r="AA1787" s="143">
        <f>'Valve Sizing'!$G$8*AA1785/P_1_maxW</f>
        <v>0.36900557535785039</v>
      </c>
      <c r="AB1787" s="132"/>
      <c r="AC1787" s="146"/>
      <c r="AD1787" s="143">
        <f>'Valve Sizing'!$G$8*AD1785/P_1_maxW</f>
        <v>0.17142029348732069</v>
      </c>
      <c r="AE1787" s="132"/>
      <c r="AF1787" s="146"/>
      <c r="AG1787" s="143">
        <f>'Valve Sizing'!$G$8*AG1785/P_1_maxW</f>
        <v>-0.13178813283737573</v>
      </c>
      <c r="AH1787" s="132"/>
      <c r="AI1787" s="146"/>
      <c r="AJ1787" s="143">
        <f>'Valve Sizing'!$G$8*AJ1785/P_1_maxW</f>
        <v>-0.50934315452616929</v>
      </c>
      <c r="AK1787" s="132"/>
      <c r="AL1787" s="146"/>
      <c r="AM1787" s="143">
        <f>'Valve Sizing'!$G$8*AM1785/P_1_maxW</f>
        <v>-0.88212686710985244</v>
      </c>
      <c r="AN1787" s="132"/>
      <c r="AO1787" s="146"/>
      <c r="AP1787" s="143">
        <f>'Valve Sizing'!$G$8*AP1785/P_1_maxW</f>
        <v>-1.216661007481759</v>
      </c>
      <c r="AQ1787" s="132"/>
      <c r="AR1787" s="146"/>
      <c r="AS1787" s="143">
        <f>'Valve Sizing'!$G$8*AS1785/P_1_maxW</f>
        <v>-1.6330609576308124</v>
      </c>
      <c r="AT1787" s="132"/>
      <c r="AU1787" s="146"/>
    </row>
    <row r="1788" spans="13:47" x14ac:dyDescent="0.25">
      <c r="M1788" s="20"/>
      <c r="N1788" s="20"/>
      <c r="O1788" s="7" t="s">
        <v>190</v>
      </c>
      <c r="P1788" s="1"/>
      <c r="Q1788" s="7"/>
      <c r="R1788" s="181">
        <f>R1785-R1786</f>
        <v>50.51540144761438</v>
      </c>
      <c r="S1788" s="132"/>
      <c r="T1788" s="146"/>
      <c r="U1788" s="138">
        <f>U1785-U1786</f>
        <v>49.487329314585224</v>
      </c>
      <c r="V1788" s="132"/>
      <c r="W1788" s="146"/>
      <c r="X1788" s="138">
        <f>X1785-X1786</f>
        <v>44.189600286746327</v>
      </c>
      <c r="Y1788" s="132"/>
      <c r="Z1788" s="146"/>
      <c r="AA1788" s="138">
        <f>AA1785-AA1786</f>
        <v>26.496516319058173</v>
      </c>
      <c r="AB1788" s="132"/>
      <c r="AC1788" s="146"/>
      <c r="AD1788" s="138">
        <f>AD1785-AD1786</f>
        <v>-14.463801758404529</v>
      </c>
      <c r="AE1788" s="132"/>
      <c r="AF1788" s="146"/>
      <c r="AG1788" s="138">
        <f>AG1785-AG1786</f>
        <v>-77.320272991745313</v>
      </c>
      <c r="AH1788" s="132"/>
      <c r="AI1788" s="146"/>
      <c r="AJ1788" s="138">
        <f>AJ1785-AJ1786</f>
        <v>-155.58912800823288</v>
      </c>
      <c r="AK1788" s="132"/>
      <c r="AL1788" s="146"/>
      <c r="AM1788" s="138">
        <f>AM1785-AM1786</f>
        <v>-232.86886917605185</v>
      </c>
      <c r="AN1788" s="132"/>
      <c r="AO1788" s="146"/>
      <c r="AP1788" s="138">
        <f>AP1785-AP1786</f>
        <v>-302.21930189898444</v>
      </c>
      <c r="AQ1788" s="132"/>
      <c r="AR1788" s="146"/>
      <c r="AS1788" s="138">
        <f>AS1785-AS1786</f>
        <v>-388.54088538980807</v>
      </c>
      <c r="AT1788" s="132"/>
      <c r="AU1788" s="146"/>
    </row>
    <row r="1789" spans="13:47" ht="14.5" x14ac:dyDescent="0.35">
      <c r="M1789" s="27"/>
      <c r="N1789" s="27"/>
      <c r="O1789" s="2" t="s">
        <v>191</v>
      </c>
      <c r="P1789" s="10"/>
      <c r="Q1789" s="2"/>
      <c r="R1789" s="181">
        <f>R1788/R1785</f>
        <v>0.50256379340972435</v>
      </c>
      <c r="S1789" s="132"/>
      <c r="T1789" s="146"/>
      <c r="U1789" s="138">
        <f>U1788/U1785</f>
        <v>0.4974234372912269</v>
      </c>
      <c r="V1789" s="132"/>
      <c r="W1789" s="146"/>
      <c r="X1789" s="138">
        <f>X1788/X1785</f>
        <v>0.4691558319837606</v>
      </c>
      <c r="Y1789" s="132"/>
      <c r="Z1789" s="146"/>
      <c r="AA1789" s="138">
        <f>AA1788/AA1785</f>
        <v>0.34637546379947881</v>
      </c>
      <c r="AB1789" s="132"/>
      <c r="AC1789" s="146"/>
      <c r="AD1789" s="138">
        <f>AD1788/AD1785</f>
        <v>-0.40701601392673753</v>
      </c>
      <c r="AE1789" s="132"/>
      <c r="AF1789" s="146"/>
      <c r="AG1789" s="138">
        <f>AG1788/AG1785</f>
        <v>2.8301427666958987</v>
      </c>
      <c r="AH1789" s="132"/>
      <c r="AI1789" s="146"/>
      <c r="AJ1789" s="138">
        <f>AJ1788/AJ1785</f>
        <v>1.4735336008845672</v>
      </c>
      <c r="AK1789" s="132"/>
      <c r="AL1789" s="146"/>
      <c r="AM1789" s="138">
        <f>AM1788/AM1785</f>
        <v>1.2734199660406054</v>
      </c>
      <c r="AN1789" s="132"/>
      <c r="AO1789" s="146"/>
      <c r="AP1789" s="138">
        <f>AP1788/AP1785</f>
        <v>1.1982401807615235</v>
      </c>
      <c r="AQ1789" s="132"/>
      <c r="AR1789" s="146"/>
      <c r="AS1789" s="138">
        <f>AS1788/AS1785</f>
        <v>1.147692648533214</v>
      </c>
      <c r="AT1789" s="132"/>
      <c r="AU1789" s="146"/>
    </row>
    <row r="1790" spans="13:47" x14ac:dyDescent="0.25">
      <c r="M1790" s="27"/>
      <c r="N1790" s="27"/>
      <c r="O1790" s="2" t="s">
        <v>26</v>
      </c>
      <c r="P1790" s="7">
        <v>12</v>
      </c>
      <c r="Q1790" s="2"/>
      <c r="R1790" s="181">
        <f>1-R1789/(3*F_GAMMA*R$29)</f>
        <v>0.73825901744904743</v>
      </c>
      <c r="S1790" s="133"/>
      <c r="T1790" s="146"/>
      <c r="U1790" s="138">
        <f>1-U1789/(3*F_GAMMA*U$29)</f>
        <v>0.74099321322284706</v>
      </c>
      <c r="V1790" s="133"/>
      <c r="W1790" s="146"/>
      <c r="X1790" s="138">
        <f>1-X1789/(3*F_GAMMA*X$29)</f>
        <v>0.75204735673570222</v>
      </c>
      <c r="Y1790" s="133"/>
      <c r="Z1790" s="146"/>
      <c r="AA1790" s="138">
        <f>1-AA1789/(3*F_GAMMA*AA$29)</f>
        <v>0.81442773425216008</v>
      </c>
      <c r="AB1790" s="133"/>
      <c r="AC1790" s="146"/>
      <c r="AD1790" s="138">
        <f>1-AD1789/(3*F_GAMMA*AD$29)</f>
        <v>1.2240394838554183</v>
      </c>
      <c r="AE1790" s="133"/>
      <c r="AF1790" s="146"/>
      <c r="AG1790" s="138">
        <f>1-AG1789/(3*F_GAMMA*AG$29)</f>
        <v>-0.64669619332032768</v>
      </c>
      <c r="AH1790" s="133"/>
      <c r="AI1790" s="146"/>
      <c r="AJ1790" s="138">
        <f>1-AJ1789/(3*F_GAMMA*AJ$29)</f>
        <v>8.3466393939817696E-2</v>
      </c>
      <c r="AK1790" s="133"/>
      <c r="AL1790" s="146"/>
      <c r="AM1790" s="138">
        <f>1-AM1789/(3*F_GAMMA*AM$29)</f>
        <v>0.13459007319039162</v>
      </c>
      <c r="AN1790" s="133"/>
      <c r="AO1790" s="146"/>
      <c r="AP1790" s="138">
        <f>1-AP1789/(3*F_GAMMA*AP$29)</f>
        <v>0.32705417620635646</v>
      </c>
      <c r="AQ1790" s="133"/>
      <c r="AR1790" s="146"/>
      <c r="AS1790" s="138">
        <f>1-AS1789/(3*F_GAMMA*AS$29)</f>
        <v>2.1505353023189677E-2</v>
      </c>
      <c r="AT1790" s="133"/>
      <c r="AU1790" s="146"/>
    </row>
    <row r="1791" spans="13:47" x14ac:dyDescent="0.25">
      <c r="M1791" s="27"/>
      <c r="N1791" s="27"/>
      <c r="O1791" s="2" t="s">
        <v>71</v>
      </c>
      <c r="P1791" s="85">
        <v>5</v>
      </c>
      <c r="Q1791" s="2"/>
      <c r="R1791" s="179">
        <f>R1783/((N_6*R$27*R1790)*SQRT(R1789*R1785*R1787))</f>
        <v>0.58849408339572262</v>
      </c>
      <c r="S1791" s="133"/>
      <c r="T1791" s="146"/>
      <c r="U1791" s="143">
        <f>U1783/((N_6*U$27*U1790)*SQRT(U1789*U1785*U1787))</f>
        <v>7.0548255899898002</v>
      </c>
      <c r="V1791" s="133"/>
      <c r="W1791" s="146"/>
      <c r="X1791" s="143">
        <f>X1783/((N_6*X$27*X1790)*SQRT(X1789*X1785*X1787))</f>
        <v>18.738341157988504</v>
      </c>
      <c r="Y1791" s="133"/>
      <c r="Z1791" s="146"/>
      <c r="AA1791" s="143">
        <f>AA1783/((N_6*AA$27*AA1790)*SQRT(AA1789*AA1785*AA1787))</f>
        <v>48.572750583967462</v>
      </c>
      <c r="AB1791" s="133"/>
      <c r="AC1791" s="146"/>
      <c r="AD1791" s="143" t="e">
        <f>AD1783/((N_6*AD$27*AD1790)*SQRT(AD1789*AD1785*AD1787))</f>
        <v>#NUM!</v>
      </c>
      <c r="AE1791" s="133"/>
      <c r="AF1791" s="146"/>
      <c r="AG1791" s="143">
        <f>AG1783/((N_6*AG$27*AG1790)*SQRT(AG1789*AG1785*AG1787))</f>
        <v>-142.88339424175061</v>
      </c>
      <c r="AH1791" s="133"/>
      <c r="AI1791" s="146"/>
      <c r="AJ1791" s="143">
        <f>AJ1783/((N_6*AJ$27*AJ1790)*SQRT(AJ1789*AJ1785*AJ1787))</f>
        <v>521.35427664100246</v>
      </c>
      <c r="AK1791" s="133"/>
      <c r="AL1791" s="146"/>
      <c r="AM1791" s="143">
        <f>AM1783/((N_6*AM$27*AM1790)*SQRT(AM1789*AM1785*AM1787))</f>
        <v>249.93749020987732</v>
      </c>
      <c r="AN1791" s="133"/>
      <c r="AO1791" s="146"/>
      <c r="AP1791" s="143">
        <f>AP1783/((N_6*AP$27*AP1790)*SQRT(AP1789*AP1785*AP1787))</f>
        <v>97.429240525822919</v>
      </c>
      <c r="AQ1791" s="133"/>
      <c r="AR1791" s="146"/>
      <c r="AS1791" s="143">
        <f>AS1783/((N_6*AS$27*AS1790)*SQRT(AS1789*AS1785*AS1787))</f>
        <v>1653.5270481562316</v>
      </c>
      <c r="AT1791" s="133"/>
      <c r="AU1791" s="146"/>
    </row>
    <row r="1792" spans="13:47" x14ac:dyDescent="0.25">
      <c r="M1792" s="27"/>
      <c r="N1792" s="27"/>
      <c r="O1792" s="2" t="s">
        <v>73</v>
      </c>
      <c r="P1792" s="85">
        <v>5</v>
      </c>
      <c r="Q1792" s="2"/>
      <c r="R1792" s="179">
        <f>R1783/((N_6*R$27*0.667)*SQRT(R1793*R1785*R1787))</f>
        <v>0.57719361586950113</v>
      </c>
      <c r="S1792" s="133"/>
      <c r="T1792" s="155"/>
      <c r="U1792" s="143">
        <f>U1783/((N_6*U$27*0.667)*SQRT(U1793*U1785*U1787))</f>
        <v>6.9086131884891122</v>
      </c>
      <c r="V1792" s="133"/>
      <c r="W1792" s="155"/>
      <c r="X1792" s="143">
        <f>X1783/((N_6*X$27*0.667)*SQRT(X1793*X1785*X1787))</f>
        <v>18.221977054312696</v>
      </c>
      <c r="Y1792" s="133"/>
      <c r="Z1792" s="155"/>
      <c r="AA1792" s="143">
        <f>AA1783/((N_6*AA$27*0.667)*SQRT(AA1793*AA1785*AA1787))</f>
        <v>44.252374655093831</v>
      </c>
      <c r="AB1792" s="133"/>
      <c r="AC1792" s="155"/>
      <c r="AD1792" s="143">
        <f>AD1783/((N_6*AD$27*0.667)*SQRT(AD1793*AD1785*AD1787))</f>
        <v>160.69197998475676</v>
      </c>
      <c r="AE1792" s="133"/>
      <c r="AF1792" s="155"/>
      <c r="AG1792" s="143">
        <f>AG1783/((N_6*AG$27*0.667)*SQRT(AG1793*AG1785*AG1787))</f>
        <v>307.90986069064144</v>
      </c>
      <c r="AH1792" s="133"/>
      <c r="AI1792" s="155"/>
      <c r="AJ1792" s="143">
        <f>AJ1783/((N_6*AJ$27*0.667)*SQRT(AJ1793*AJ1785*AJ1787))</f>
        <v>108.18164510286374</v>
      </c>
      <c r="AK1792" s="133"/>
      <c r="AL1792" s="155"/>
      <c r="AM1792" s="143">
        <f>AM1783/((N_6*AM$27*0.667)*SQRT(AM1793*AM1785*AM1787))</f>
        <v>81.262497085287578</v>
      </c>
      <c r="AN1792" s="133"/>
      <c r="AO1792" s="155"/>
      <c r="AP1792" s="143">
        <f>AP1783/((N_6*AP$27*0.667)*SQRT(AP1793*AP1785*AP1787))</f>
        <v>67.878753867673183</v>
      </c>
      <c r="AQ1792" s="133"/>
      <c r="AR1792" s="155"/>
      <c r="AS1792" s="143">
        <f>AS1783/((N_6*AS$27*0.667)*SQRT(AS1793*AS1785*AS1787))</f>
        <v>91.342290985510928</v>
      </c>
      <c r="AT1792" s="133"/>
      <c r="AU1792" s="155"/>
    </row>
    <row r="1793" spans="13:47" ht="15.5" x14ac:dyDescent="0.4">
      <c r="M1793" s="27"/>
      <c r="N1793" s="27"/>
      <c r="O1793" s="2" t="s">
        <v>192</v>
      </c>
      <c r="P1793" s="85">
        <v>10</v>
      </c>
      <c r="Q1793" s="2"/>
      <c r="R1793" s="181">
        <f>F_GAMMA*R$29</f>
        <v>0.64002688015162901</v>
      </c>
      <c r="S1793" s="133"/>
      <c r="T1793" s="155"/>
      <c r="U1793" s="138">
        <f>F_GAMMA*U$29</f>
        <v>0.64016782916606918</v>
      </c>
      <c r="V1793" s="133"/>
      <c r="W1793" s="155"/>
      <c r="X1793" s="138">
        <f>F_GAMMA*X$29</f>
        <v>0.6307062319203669</v>
      </c>
      <c r="Y1793" s="133"/>
      <c r="Z1793" s="155"/>
      <c r="AA1793" s="138">
        <f>F_GAMMA*AA$29</f>
        <v>0.62217534213893466</v>
      </c>
      <c r="AB1793" s="133"/>
      <c r="AC1793" s="155"/>
      <c r="AD1793" s="138">
        <f>F_GAMMA*AD$29</f>
        <v>0.60557184969146072</v>
      </c>
      <c r="AE1793" s="133"/>
      <c r="AF1793" s="155"/>
      <c r="AG1793" s="138">
        <f>F_GAMMA*AG$29</f>
        <v>0.57289312142622573</v>
      </c>
      <c r="AH1793" s="133"/>
      <c r="AI1793" s="155"/>
      <c r="AJ1793" s="138">
        <f>F_GAMMA*AJ$29</f>
        <v>0.53590819116049981</v>
      </c>
      <c r="AK1793" s="133"/>
      <c r="AL1793" s="155"/>
      <c r="AM1793" s="138">
        <f>F_GAMMA*AM$29</f>
        <v>0.49048815926850342</v>
      </c>
      <c r="AN1793" s="133"/>
      <c r="AO1793" s="155"/>
      <c r="AP1793" s="138">
        <f>F_GAMMA*AP$29</f>
        <v>0.59352979016280105</v>
      </c>
      <c r="AQ1793" s="133"/>
      <c r="AR1793" s="155"/>
      <c r="AS1793" s="138">
        <f>F_GAMMA*AS$29</f>
        <v>0.39097221161068291</v>
      </c>
      <c r="AT1793" s="133"/>
      <c r="AU1793" s="155"/>
    </row>
    <row r="1794" spans="13:47" x14ac:dyDescent="0.25">
      <c r="M1794" s="27"/>
      <c r="N1794" s="27"/>
      <c r="O1794" s="2" t="s">
        <v>193</v>
      </c>
      <c r="P1794" s="134"/>
      <c r="Q1794" s="2"/>
      <c r="R1794" s="181">
        <f>IF(R1789&lt;R1793,R1791,R1792)</f>
        <v>0.58849408339572262</v>
      </c>
      <c r="S1794" s="133"/>
      <c r="T1794" s="155"/>
      <c r="U1794" s="138">
        <f>IF(U1789&lt;U1793,U1791,U1792)</f>
        <v>7.0548255899898002</v>
      </c>
      <c r="V1794" s="133"/>
      <c r="W1794" s="155"/>
      <c r="X1794" s="138">
        <f>IF(X1789&lt;X1793,X1791,X1792)</f>
        <v>18.738341157988504</v>
      </c>
      <c r="Y1794" s="133"/>
      <c r="Z1794" s="155"/>
      <c r="AA1794" s="138">
        <f>IF(AA1789&lt;AA1793,AA1791,AA1792)</f>
        <v>48.572750583967462</v>
      </c>
      <c r="AB1794" s="133"/>
      <c r="AC1794" s="155"/>
      <c r="AD1794" s="138" t="e">
        <f>IF(AD1789&lt;AD1793,AD1791,AD1792)</f>
        <v>#NUM!</v>
      </c>
      <c r="AE1794" s="133"/>
      <c r="AF1794" s="155"/>
      <c r="AG1794" s="138">
        <f>IF(AG1789&lt;AG1793,AG1791,AG1792)</f>
        <v>307.90986069064144</v>
      </c>
      <c r="AH1794" s="133"/>
      <c r="AI1794" s="155"/>
      <c r="AJ1794" s="138">
        <f>IF(AJ1789&lt;AJ1793,AJ1791,AJ1792)</f>
        <v>108.18164510286374</v>
      </c>
      <c r="AK1794" s="133"/>
      <c r="AL1794" s="155"/>
      <c r="AM1794" s="138">
        <f>IF(AM1789&lt;AM1793,AM1791,AM1792)</f>
        <v>81.262497085287578</v>
      </c>
      <c r="AN1794" s="133"/>
      <c r="AO1794" s="155"/>
      <c r="AP1794" s="138">
        <f>IF(AP1789&lt;AP1793,AP1791,AP1792)</f>
        <v>67.878753867673183</v>
      </c>
      <c r="AQ1794" s="133"/>
      <c r="AR1794" s="155"/>
      <c r="AS1794" s="138">
        <f>IF(AS1789&lt;AS1793,AS1791,AS1792)</f>
        <v>91.342290985510928</v>
      </c>
      <c r="AT1794" s="133"/>
      <c r="AU1794" s="155"/>
    </row>
    <row r="1795" spans="13:47" ht="13" x14ac:dyDescent="0.3">
      <c r="M1795" s="28"/>
      <c r="N1795" s="28"/>
      <c r="O1795" s="9" t="s">
        <v>194</v>
      </c>
      <c r="P1795" s="1"/>
      <c r="Q1795" s="1"/>
      <c r="R1795" s="135"/>
      <c r="S1795" s="132">
        <f>IF(R1788&lt;=0,W_max,ABS(R$23-R1794))</f>
        <v>1.4115059166042774</v>
      </c>
      <c r="T1795" s="151">
        <f>R1783</f>
        <v>136.09023277540615</v>
      </c>
      <c r="U1795" s="135"/>
      <c r="V1795" s="132">
        <f>IF(U1788&lt;=0,W_max,ABS(U$23-U1794))</f>
        <v>2.0548255899898002</v>
      </c>
      <c r="W1795" s="151">
        <f>U1783</f>
        <v>1611.4221499551254</v>
      </c>
      <c r="X1795" s="135"/>
      <c r="Y1795" s="132">
        <f>IF(X1788&lt;=0,W_max,ABS(X$23-X1794))</f>
        <v>8.7383411579885042</v>
      </c>
      <c r="Z1795" s="151">
        <f>X1783</f>
        <v>3985.238738322751</v>
      </c>
      <c r="AA1795" s="135"/>
      <c r="AB1795" s="132">
        <f>IF(AA1788&lt;=0,W_max,ABS(AA$23-AA1794))</f>
        <v>31.372750583967463</v>
      </c>
      <c r="AC1795" s="151">
        <f>AA1783</f>
        <v>7762.2278483436739</v>
      </c>
      <c r="AD1795" s="135"/>
      <c r="AE1795" s="132">
        <f>IF(AD1788&lt;=0,W_max,ABS(AD$23-AD1794))</f>
        <v>7174</v>
      </c>
      <c r="AF1795" s="151">
        <f>AD1783</f>
        <v>12766.006927788776</v>
      </c>
      <c r="AG1795" s="135"/>
      <c r="AH1795" s="132">
        <f>IF(AG1788&lt;=0,W_max,ABS(AG$23-AG1794))</f>
        <v>7174</v>
      </c>
      <c r="AI1795" s="151">
        <f>AG1783</f>
        <v>17905.307522197862</v>
      </c>
      <c r="AJ1795" s="135"/>
      <c r="AK1795" s="132">
        <f>IF(AJ1788&lt;=0,W_max,ABS(AJ$23-AJ1794))</f>
        <v>7174</v>
      </c>
      <c r="AL1795" s="151">
        <f>AJ1783</f>
        <v>22734.989353553752</v>
      </c>
      <c r="AM1795" s="135"/>
      <c r="AN1795" s="132">
        <f>IF(AM1788&lt;=0,W_max,ABS(AM$23-AM1794))</f>
        <v>7174</v>
      </c>
      <c r="AO1795" s="151">
        <f>AM1783</f>
        <v>26658.563008544781</v>
      </c>
      <c r="AP1795" s="135"/>
      <c r="AQ1795" s="132">
        <f>IF(AP1788&lt;=0,W_max,ABS(AP$23-AP1794))</f>
        <v>7174</v>
      </c>
      <c r="AR1795" s="151">
        <f>AP1783</f>
        <v>29742.114916216316</v>
      </c>
      <c r="AS1795" s="135"/>
      <c r="AT1795" s="132">
        <f>IF(AS1788&lt;=0,W_max,ABS(AS$23-AS1794))</f>
        <v>7174</v>
      </c>
      <c r="AU1795" s="151">
        <f>AS1783</f>
        <v>33182.336174904907</v>
      </c>
    </row>
    <row r="1796" spans="13:47" ht="13" x14ac:dyDescent="0.25">
      <c r="M1796" s="12"/>
      <c r="N1796" s="12"/>
      <c r="O1796" s="2"/>
      <c r="P1796" s="85"/>
      <c r="Q1796" s="2"/>
      <c r="R1796" s="18"/>
      <c r="S1796" s="150"/>
      <c r="T1796" s="148"/>
      <c r="U1796" s="157"/>
      <c r="V1796" s="1"/>
      <c r="W1796" s="147"/>
      <c r="X1796" s="157"/>
      <c r="Y1796" s="1"/>
      <c r="Z1796" s="147"/>
      <c r="AA1796" s="157"/>
      <c r="AB1796" s="1"/>
      <c r="AC1796" s="147"/>
      <c r="AD1796" s="157"/>
      <c r="AE1796" s="1"/>
      <c r="AF1796" s="147"/>
      <c r="AG1796" s="157"/>
      <c r="AH1796" s="1"/>
      <c r="AI1796" s="147"/>
      <c r="AJ1796" s="157"/>
      <c r="AK1796" s="1"/>
      <c r="AL1796" s="147"/>
      <c r="AM1796" s="157"/>
      <c r="AN1796" s="1"/>
      <c r="AO1796" s="147"/>
      <c r="AP1796" s="157"/>
      <c r="AQ1796" s="1"/>
      <c r="AR1796" s="147"/>
      <c r="AS1796" s="157"/>
      <c r="AT1796" s="1"/>
      <c r="AU1796" s="147"/>
    </row>
    <row r="1797" spans="13:47" ht="14" x14ac:dyDescent="0.3">
      <c r="M1797" s="23"/>
      <c r="N1797" s="23"/>
      <c r="O1797" s="23" t="s">
        <v>238</v>
      </c>
      <c r="P1797" s="20"/>
      <c r="Q1797" s="20"/>
      <c r="R1797" s="181">
        <f>R1783*1.02</f>
        <v>138.81203743091427</v>
      </c>
      <c r="S1797" s="128" t="s">
        <v>185</v>
      </c>
      <c r="T1797" s="149" t="s">
        <v>186</v>
      </c>
      <c r="U1797" s="143">
        <f>U1783*1.01</f>
        <v>1627.5363714546768</v>
      </c>
      <c r="V1797" s="128" t="s">
        <v>185</v>
      </c>
      <c r="W1797" s="153" t="s">
        <v>186</v>
      </c>
      <c r="X1797" s="143">
        <f>X1783*1.01</f>
        <v>4025.0911257059784</v>
      </c>
      <c r="Y1797" s="128" t="s">
        <v>185</v>
      </c>
      <c r="Z1797" s="153" t="s">
        <v>186</v>
      </c>
      <c r="AA1797" s="143">
        <f>AA1783*1.01</f>
        <v>7839.8501268271111</v>
      </c>
      <c r="AB1797" s="128" t="s">
        <v>185</v>
      </c>
      <c r="AC1797" s="153" t="s">
        <v>186</v>
      </c>
      <c r="AD1797" s="143">
        <f>AD1783*1.01</f>
        <v>12893.666997066664</v>
      </c>
      <c r="AE1797" s="128" t="s">
        <v>185</v>
      </c>
      <c r="AF1797" s="153" t="s">
        <v>186</v>
      </c>
      <c r="AG1797" s="143">
        <f>AG1783*1.01</f>
        <v>18084.36059741984</v>
      </c>
      <c r="AH1797" s="128" t="s">
        <v>185</v>
      </c>
      <c r="AI1797" s="153" t="s">
        <v>186</v>
      </c>
      <c r="AJ1797" s="143">
        <f>AJ1783*1.01</f>
        <v>22962.33924708929</v>
      </c>
      <c r="AK1797" s="128" t="s">
        <v>185</v>
      </c>
      <c r="AL1797" s="153" t="s">
        <v>186</v>
      </c>
      <c r="AM1797" s="143">
        <f>AM1783*1.01</f>
        <v>26925.148638630228</v>
      </c>
      <c r="AN1797" s="128" t="s">
        <v>185</v>
      </c>
      <c r="AO1797" s="153" t="s">
        <v>186</v>
      </c>
      <c r="AP1797" s="143">
        <f>AP1783*1.01</f>
        <v>30039.536065378481</v>
      </c>
      <c r="AQ1797" s="128" t="s">
        <v>185</v>
      </c>
      <c r="AR1797" s="153" t="s">
        <v>186</v>
      </c>
      <c r="AS1797" s="143">
        <f>AS1783*1.01</f>
        <v>33514.159536653955</v>
      </c>
      <c r="AT1797" s="128" t="s">
        <v>185</v>
      </c>
      <c r="AU1797" s="153" t="s">
        <v>186</v>
      </c>
    </row>
    <row r="1798" spans="13:47" ht="14" x14ac:dyDescent="0.3">
      <c r="M1798" s="12"/>
      <c r="N1798" s="12"/>
      <c r="O1798" s="20"/>
      <c r="P1798" s="20"/>
      <c r="Q1798" s="23"/>
      <c r="R1798" s="139"/>
      <c r="S1798" s="130" t="s">
        <v>228</v>
      </c>
      <c r="T1798" s="131" t="s">
        <v>187</v>
      </c>
      <c r="U1798" s="144"/>
      <c r="V1798" s="130" t="s">
        <v>228</v>
      </c>
      <c r="W1798" s="154" t="s">
        <v>187</v>
      </c>
      <c r="X1798" s="144"/>
      <c r="Y1798" s="130" t="s">
        <v>228</v>
      </c>
      <c r="Z1798" s="154" t="s">
        <v>187</v>
      </c>
      <c r="AA1798" s="144"/>
      <c r="AB1798" s="130" t="s">
        <v>228</v>
      </c>
      <c r="AC1798" s="154" t="s">
        <v>187</v>
      </c>
      <c r="AD1798" s="144"/>
      <c r="AE1798" s="130" t="s">
        <v>228</v>
      </c>
      <c r="AF1798" s="154" t="s">
        <v>187</v>
      </c>
      <c r="AG1798" s="144"/>
      <c r="AH1798" s="130" t="s">
        <v>228</v>
      </c>
      <c r="AI1798" s="154" t="s">
        <v>187</v>
      </c>
      <c r="AJ1798" s="144"/>
      <c r="AK1798" s="130" t="s">
        <v>228</v>
      </c>
      <c r="AL1798" s="154" t="s">
        <v>187</v>
      </c>
      <c r="AM1798" s="144"/>
      <c r="AN1798" s="130" t="s">
        <v>228</v>
      </c>
      <c r="AO1798" s="154" t="s">
        <v>187</v>
      </c>
      <c r="AP1798" s="144"/>
      <c r="AQ1798" s="130" t="s">
        <v>228</v>
      </c>
      <c r="AR1798" s="154" t="s">
        <v>187</v>
      </c>
      <c r="AS1798" s="144"/>
      <c r="AT1798" s="130" t="s">
        <v>228</v>
      </c>
      <c r="AU1798" s="154" t="s">
        <v>187</v>
      </c>
    </row>
    <row r="1799" spans="13:47" x14ac:dyDescent="0.25">
      <c r="M1799" s="20"/>
      <c r="N1799" s="20"/>
      <c r="O1799" s="7" t="s">
        <v>188</v>
      </c>
      <c r="P1799" s="7"/>
      <c r="Q1799" s="7"/>
      <c r="R1799" s="181">
        <f>P_1_minW-(R1797^2*R_up)+dpup_minQ</f>
        <v>100.51510308193424</v>
      </c>
      <c r="S1799" s="132"/>
      <c r="T1799" s="145"/>
      <c r="U1799" s="138">
        <f>P_1_minW-(U1797^2*R_up)+dpup_minQ</f>
        <v>99.466516620400185</v>
      </c>
      <c r="V1799" s="132"/>
      <c r="W1799" s="145"/>
      <c r="X1799" s="138">
        <f>P_1_minW-(X1797^2*R_up)+dpup_minQ</f>
        <v>94.062303239101723</v>
      </c>
      <c r="Y1799" s="132"/>
      <c r="Z1799" s="145"/>
      <c r="AA1799" s="138">
        <f>P_1_minW-(AA1797^2*R_up)+dpup_minQ</f>
        <v>76.013588283663026</v>
      </c>
      <c r="AB1799" s="132"/>
      <c r="AC1799" s="145"/>
      <c r="AD1799" s="138">
        <f>P_1_minW-(AD1797^2*R_up)+dpup_minQ</f>
        <v>34.229967812843327</v>
      </c>
      <c r="AE1799" s="132"/>
      <c r="AF1799" s="145"/>
      <c r="AG1799" s="138">
        <f>P_1_minW-(AG1797^2*R_up)+dpup_minQ</f>
        <v>-29.889918492287606</v>
      </c>
      <c r="AH1799" s="132"/>
      <c r="AI1799" s="145"/>
      <c r="AJ1799" s="138">
        <f>P_1_minW-(AJ1797^2*R_up)+dpup_minQ</f>
        <v>-109.73197749460657</v>
      </c>
      <c r="AK1799" s="132"/>
      <c r="AL1799" s="145"/>
      <c r="AM1799" s="138">
        <f>P_1_minW-(AM1797^2*R_up)+dpup_minQ</f>
        <v>-188.56504145989865</v>
      </c>
      <c r="AN1799" s="132"/>
      <c r="AO1799" s="145"/>
      <c r="AP1799" s="138">
        <f>P_1_minW-(AP1797^2*R_up)+dpup_minQ</f>
        <v>-259.30941788056231</v>
      </c>
      <c r="AQ1799" s="132"/>
      <c r="AR1799" s="145"/>
      <c r="AS1799" s="138">
        <f>P_1_minW-(AS1797^2*R_up)+dpup_minQ</f>
        <v>-347.36606519955137</v>
      </c>
      <c r="AT1799" s="132"/>
      <c r="AU1799" s="145"/>
    </row>
    <row r="1800" spans="13:47" x14ac:dyDescent="0.25">
      <c r="M1800" s="20"/>
      <c r="N1800" s="20"/>
      <c r="O1800" s="7" t="s">
        <v>189</v>
      </c>
      <c r="P1800" s="1"/>
      <c r="Q1800" s="7"/>
      <c r="R1800" s="181">
        <f>P_2_minW+(R1797^2*R_dn)-dpdn_minQ</f>
        <v>50</v>
      </c>
      <c r="S1800" s="132"/>
      <c r="T1800" s="146"/>
      <c r="U1800" s="138">
        <f>P_2_minW+(U1797^2*R_dn)-dpdn_minQ</f>
        <v>50</v>
      </c>
      <c r="V1800" s="132"/>
      <c r="W1800" s="146"/>
      <c r="X1800" s="138">
        <f>P_2_minW+(X1797^2*R_dn)-dpdn_minQ</f>
        <v>50</v>
      </c>
      <c r="Y1800" s="132"/>
      <c r="Z1800" s="146"/>
      <c r="AA1800" s="138">
        <f>P_2_minW+(AA1797^2*R_dn)-dpdn_minQ</f>
        <v>50</v>
      </c>
      <c r="AB1800" s="132"/>
      <c r="AC1800" s="146"/>
      <c r="AD1800" s="138">
        <f>P_2_minW+(AD1797^2*R_dn)-dpdn_minQ</f>
        <v>50</v>
      </c>
      <c r="AE1800" s="132"/>
      <c r="AF1800" s="146"/>
      <c r="AG1800" s="138">
        <f>P_2_minW+(AG1797^2*R_dn)-dpdn_minQ</f>
        <v>50</v>
      </c>
      <c r="AH1800" s="132"/>
      <c r="AI1800" s="146"/>
      <c r="AJ1800" s="138">
        <f>P_2_minW+(AJ1797^2*R_dn)-dpdn_minQ</f>
        <v>50</v>
      </c>
      <c r="AK1800" s="132"/>
      <c r="AL1800" s="146"/>
      <c r="AM1800" s="138">
        <f>P_2_minW+(AM1797^2*R_dn)-dpdn_minQ</f>
        <v>50</v>
      </c>
      <c r="AN1800" s="132"/>
      <c r="AO1800" s="146"/>
      <c r="AP1800" s="138">
        <f>P_2_minW+(AP1797^2*R_dn)-dpdn_minQ</f>
        <v>50</v>
      </c>
      <c r="AQ1800" s="132"/>
      <c r="AR1800" s="146"/>
      <c r="AS1800" s="138">
        <f>P_2_minW+(AS1797^2*R_dn)-dpdn_minQ</f>
        <v>50</v>
      </c>
      <c r="AT1800" s="132"/>
      <c r="AU1800" s="146"/>
    </row>
    <row r="1801" spans="13:47" x14ac:dyDescent="0.25">
      <c r="M1801" s="20"/>
      <c r="N1801" s="20"/>
      <c r="O1801" s="7" t="s">
        <v>234</v>
      </c>
      <c r="P1801" s="1"/>
      <c r="Q1801" s="7"/>
      <c r="R1801" s="179">
        <f>'Valve Sizing'!G$8*R1799/P_1_maxW</f>
        <v>0.4848669616561625</v>
      </c>
      <c r="S1801" s="132"/>
      <c r="T1801" s="146"/>
      <c r="U1801" s="143">
        <f>'Valve Sizing'!$G$8*U1799/P_1_maxW</f>
        <v>0.47980876725503485</v>
      </c>
      <c r="V1801" s="132"/>
      <c r="W1801" s="146"/>
      <c r="X1801" s="143">
        <f>'Valve Sizing'!$G$8*X1799/P_1_maxW</f>
        <v>0.45373980406453979</v>
      </c>
      <c r="Y1801" s="132"/>
      <c r="Z1801" s="146"/>
      <c r="AA1801" s="143">
        <f>'Valve Sizing'!$G$8*AA1799/P_1_maxW</f>
        <v>0.36667601649514142</v>
      </c>
      <c r="AB1801" s="132"/>
      <c r="AC1801" s="146"/>
      <c r="AD1801" s="143">
        <f>'Valve Sizing'!$G$8*AD1799/P_1_maxW</f>
        <v>0.16511927045901409</v>
      </c>
      <c r="AE1801" s="132"/>
      <c r="AF1801" s="146"/>
      <c r="AG1801" s="143">
        <f>'Valve Sizing'!$G$8*AG1799/P_1_maxW</f>
        <v>-0.14418364523480873</v>
      </c>
      <c r="AH1801" s="132"/>
      <c r="AI1801" s="146"/>
      <c r="AJ1801" s="143">
        <f>'Valve Sizing'!$G$8*AJ1799/P_1_maxW</f>
        <v>-0.52932752285954721</v>
      </c>
      <c r="AK1801" s="132"/>
      <c r="AL1801" s="146"/>
      <c r="AM1801" s="143">
        <f>'Valve Sizing'!$G$8*AM1799/P_1_maxW</f>
        <v>-0.90960418806616194</v>
      </c>
      <c r="AN1801" s="132"/>
      <c r="AO1801" s="146"/>
      <c r="AP1801" s="143">
        <f>'Valve Sizing'!$G$8*AP1799/P_1_maxW</f>
        <v>-1.2508624646595443</v>
      </c>
      <c r="AQ1801" s="132"/>
      <c r="AR1801" s="146"/>
      <c r="AS1801" s="143">
        <f>'Valve Sizing'!$G$8*AS1799/P_1_maxW</f>
        <v>-1.6756320538065932</v>
      </c>
      <c r="AT1801" s="132"/>
      <c r="AU1801" s="146"/>
    </row>
    <row r="1802" spans="13:47" x14ac:dyDescent="0.25">
      <c r="M1802" s="20"/>
      <c r="N1802" s="20"/>
      <c r="O1802" s="7" t="s">
        <v>190</v>
      </c>
      <c r="P1802" s="1"/>
      <c r="Q1802" s="7"/>
      <c r="R1802" s="181">
        <f>R1799-R1800</f>
        <v>50.515103081934242</v>
      </c>
      <c r="S1802" s="132"/>
      <c r="T1802" s="146"/>
      <c r="U1802" s="138">
        <f>U1799-U1800</f>
        <v>49.466516620400185</v>
      </c>
      <c r="V1802" s="132"/>
      <c r="W1802" s="146"/>
      <c r="X1802" s="138">
        <f>X1799-X1800</f>
        <v>44.062303239101723</v>
      </c>
      <c r="Y1802" s="132"/>
      <c r="Z1802" s="146"/>
      <c r="AA1802" s="138">
        <f>AA1799-AA1800</f>
        <v>26.013588283663026</v>
      </c>
      <c r="AB1802" s="132"/>
      <c r="AC1802" s="146"/>
      <c r="AD1802" s="138">
        <f>AD1799-AD1800</f>
        <v>-15.770032187156673</v>
      </c>
      <c r="AE1802" s="132"/>
      <c r="AF1802" s="146"/>
      <c r="AG1802" s="138">
        <f>AG1799-AG1800</f>
        <v>-79.889918492287606</v>
      </c>
      <c r="AH1802" s="132"/>
      <c r="AI1802" s="146"/>
      <c r="AJ1802" s="138">
        <f>AJ1799-AJ1800</f>
        <v>-159.73197749460655</v>
      </c>
      <c r="AK1802" s="132"/>
      <c r="AL1802" s="146"/>
      <c r="AM1802" s="138">
        <f>AM1799-AM1800</f>
        <v>-238.56504145989865</v>
      </c>
      <c r="AN1802" s="132"/>
      <c r="AO1802" s="146"/>
      <c r="AP1802" s="138">
        <f>AP1799-AP1800</f>
        <v>-309.30941788056231</v>
      </c>
      <c r="AQ1802" s="132"/>
      <c r="AR1802" s="146"/>
      <c r="AS1802" s="138">
        <f>AS1799-AS1800</f>
        <v>-397.36606519955137</v>
      </c>
      <c r="AT1802" s="132"/>
      <c r="AU1802" s="146"/>
    </row>
    <row r="1803" spans="13:47" ht="14.5" x14ac:dyDescent="0.35">
      <c r="M1803" s="27"/>
      <c r="N1803" s="27"/>
      <c r="O1803" s="2" t="s">
        <v>191</v>
      </c>
      <c r="P1803" s="10"/>
      <c r="Q1803" s="2"/>
      <c r="R1803" s="181">
        <f>R1802/R1799</f>
        <v>0.50256231683667663</v>
      </c>
      <c r="S1803" s="132"/>
      <c r="T1803" s="146"/>
      <c r="U1803" s="138">
        <f>U1802/U1799</f>
        <v>0.49731827655312499</v>
      </c>
      <c r="V1803" s="132"/>
      <c r="W1803" s="146"/>
      <c r="X1803" s="138">
        <f>X1802/X1799</f>
        <v>0.46843742627795887</v>
      </c>
      <c r="Y1803" s="132"/>
      <c r="Z1803" s="146"/>
      <c r="AA1803" s="138">
        <f>AA1802/AA1799</f>
        <v>0.34222286923999762</v>
      </c>
      <c r="AB1803" s="132"/>
      <c r="AC1803" s="146"/>
      <c r="AD1803" s="138">
        <f>AD1802/AD1799</f>
        <v>-0.46070835571278701</v>
      </c>
      <c r="AE1803" s="132"/>
      <c r="AF1803" s="146"/>
      <c r="AG1803" s="138">
        <f>AG1802/AG1799</f>
        <v>2.6728048292571067</v>
      </c>
      <c r="AH1803" s="132"/>
      <c r="AI1803" s="146"/>
      <c r="AJ1803" s="138">
        <f>AJ1802/AJ1799</f>
        <v>1.4556556907256823</v>
      </c>
      <c r="AK1803" s="132"/>
      <c r="AL1803" s="146"/>
      <c r="AM1803" s="138">
        <f>AM1802/AM1799</f>
        <v>1.2651604964148844</v>
      </c>
      <c r="AN1803" s="132"/>
      <c r="AO1803" s="146"/>
      <c r="AP1803" s="138">
        <f>AP1802/AP1799</f>
        <v>1.1928198382020585</v>
      </c>
      <c r="AQ1803" s="132"/>
      <c r="AR1803" s="146"/>
      <c r="AS1803" s="138">
        <f>AS1802/AS1799</f>
        <v>1.1439403701431701</v>
      </c>
      <c r="AT1803" s="132"/>
      <c r="AU1803" s="146"/>
    </row>
    <row r="1804" spans="13:47" x14ac:dyDescent="0.25">
      <c r="M1804" s="27"/>
      <c r="N1804" s="27"/>
      <c r="O1804" s="2" t="s">
        <v>26</v>
      </c>
      <c r="P1804" s="7">
        <v>12</v>
      </c>
      <c r="Q1804" s="2"/>
      <c r="R1804" s="181">
        <f>1-R1803/(3*F_GAMMA*R$29)</f>
        <v>0.73825978646521095</v>
      </c>
      <c r="S1804" s="133"/>
      <c r="T1804" s="146"/>
      <c r="U1804" s="138">
        <f>1-U1803/(3*F_GAMMA*U$29)</f>
        <v>0.74104797008154921</v>
      </c>
      <c r="V1804" s="133"/>
      <c r="W1804" s="146"/>
      <c r="X1804" s="138">
        <f>1-X1803/(3*F_GAMMA*X$29)</f>
        <v>0.75242703994871163</v>
      </c>
      <c r="Y1804" s="133"/>
      <c r="Z1804" s="146"/>
      <c r="AA1804" s="138">
        <f>1-AA1803/(3*F_GAMMA*AA$29)</f>
        <v>0.81665250610141893</v>
      </c>
      <c r="AB1804" s="133"/>
      <c r="AC1804" s="146"/>
      <c r="AD1804" s="138">
        <f>1-AD1803/(3*F_GAMMA*AD$29)</f>
        <v>1.2535941061040172</v>
      </c>
      <c r="AE1804" s="133"/>
      <c r="AF1804" s="146"/>
      <c r="AG1804" s="138">
        <f>1-AG1803/(3*F_GAMMA*AG$29)</f>
        <v>-0.55515035835603466</v>
      </c>
      <c r="AH1804" s="133"/>
      <c r="AI1804" s="146"/>
      <c r="AJ1804" s="138">
        <f>1-AJ1803/(3*F_GAMMA*AJ$29)</f>
        <v>9.4586401964681377E-2</v>
      </c>
      <c r="AK1804" s="133"/>
      <c r="AL1804" s="146"/>
      <c r="AM1804" s="138">
        <f>1-AM1803/(3*F_GAMMA*AM$29)</f>
        <v>0.14020316800192179</v>
      </c>
      <c r="AN1804" s="133"/>
      <c r="AO1804" s="146"/>
      <c r="AP1804" s="138">
        <f>1-AP1803/(3*F_GAMMA*AP$29)</f>
        <v>0.330098304543469</v>
      </c>
      <c r="AQ1804" s="133"/>
      <c r="AR1804" s="146"/>
      <c r="AS1804" s="138">
        <f>1-AS1803/(3*F_GAMMA*AS$29)</f>
        <v>2.4704453691227424E-2</v>
      </c>
      <c r="AT1804" s="133"/>
      <c r="AU1804" s="146"/>
    </row>
    <row r="1805" spans="13:47" x14ac:dyDescent="0.25">
      <c r="M1805" s="27"/>
      <c r="N1805" s="27"/>
      <c r="O1805" s="2" t="s">
        <v>71</v>
      </c>
      <c r="P1805" s="85">
        <v>5</v>
      </c>
      <c r="Q1805" s="2"/>
      <c r="R1805" s="179">
        <f>R1797/((N_6*R$27*R1804)*SQRT(R1803*R1799*R1801))</f>
        <v>0.60026600340963721</v>
      </c>
      <c r="S1805" s="133"/>
      <c r="T1805" s="146"/>
      <c r="U1805" s="143">
        <f>U1797/((N_6*U$27*U1804)*SQRT(U1803*U1799*U1801))</f>
        <v>7.1270915823451393</v>
      </c>
      <c r="V1805" s="133"/>
      <c r="W1805" s="146"/>
      <c r="X1805" s="143">
        <f>X1797/((N_6*X$27*X1804)*SQRT(X1803*X1799*X1801))</f>
        <v>18.95629339404702</v>
      </c>
      <c r="Y1805" s="133"/>
      <c r="Z1805" s="146"/>
      <c r="AA1805" s="143">
        <f>AA1797/((N_6*AA$27*AA1804)*SQRT(AA1803*AA1799*AA1801))</f>
        <v>49.533474927249785</v>
      </c>
      <c r="AB1805" s="133"/>
      <c r="AC1805" s="146"/>
      <c r="AD1805" s="143" t="e">
        <f>AD1797/((N_6*AD$27*AD1804)*SQRT(AD1803*AD1799*AD1801))</f>
        <v>#NUM!</v>
      </c>
      <c r="AE1805" s="133"/>
      <c r="AF1805" s="146"/>
      <c r="AG1805" s="143">
        <f>AG1797/((N_6*AG$27*AG1804)*SQRT(AG1803*AG1799*AG1801))</f>
        <v>-158.11521559561692</v>
      </c>
      <c r="AH1805" s="133"/>
      <c r="AI1805" s="146"/>
      <c r="AJ1805" s="143">
        <f>AJ1797/((N_6*AJ$27*AJ1804)*SQRT(AJ1803*AJ1799*AJ1801))</f>
        <v>449.85644574541624</v>
      </c>
      <c r="AK1805" s="133"/>
      <c r="AL1805" s="146"/>
      <c r="AM1805" s="143">
        <f>AM1797/((N_6*AM$27*AM1804)*SQRT(AM1803*AM1799*AM1801))</f>
        <v>235.77599968205115</v>
      </c>
      <c r="AN1805" s="133"/>
      <c r="AO1805" s="146"/>
      <c r="AP1805" s="143">
        <f>AP1797/((N_6*AP$27*AP1804)*SQRT(AP1803*AP1799*AP1801))</f>
        <v>95.045517154333325</v>
      </c>
      <c r="AQ1805" s="133"/>
      <c r="AR1805" s="146"/>
      <c r="AS1805" s="143">
        <f>AS1797/((N_6*AS$27*AS1804)*SQRT(AS1803*AS1799*AS1801))</f>
        <v>1419.1844435376042</v>
      </c>
      <c r="AT1805" s="133"/>
      <c r="AU1805" s="146"/>
    </row>
    <row r="1806" spans="13:47" x14ac:dyDescent="0.25">
      <c r="M1806" s="27"/>
      <c r="N1806" s="27"/>
      <c r="O1806" s="2" t="s">
        <v>73</v>
      </c>
      <c r="P1806" s="85">
        <v>5</v>
      </c>
      <c r="Q1806" s="2"/>
      <c r="R1806" s="179">
        <f>R1797/((N_6*R$27*0.667)*SQRT(R1807*R1799*R1801))</f>
        <v>0.5887392357756186</v>
      </c>
      <c r="S1806" s="133"/>
      <c r="T1806" s="147"/>
      <c r="U1806" s="143">
        <f>U1797/((N_6*U$27*0.667)*SQRT(U1807*U1799*U1801))</f>
        <v>6.9791593566455479</v>
      </c>
      <c r="V1806" s="133"/>
      <c r="W1806" s="155"/>
      <c r="X1806" s="143">
        <f>X1797/((N_6*X$27*0.667)*SQRT(X1807*X1799*X1801))</f>
        <v>18.429103719960427</v>
      </c>
      <c r="Y1806" s="133"/>
      <c r="Z1806" s="155"/>
      <c r="AA1806" s="143">
        <f>AA1797/((N_6*AA$27*0.667)*SQRT(AA1807*AA1799*AA1801))</f>
        <v>44.978853151902648</v>
      </c>
      <c r="AB1806" s="133"/>
      <c r="AC1806" s="155"/>
      <c r="AD1806" s="143">
        <f>AD1797/((N_6*AD$27*0.667)*SQRT(AD1807*AD1799*AD1801))</f>
        <v>168.49229624383503</v>
      </c>
      <c r="AE1806" s="133"/>
      <c r="AF1806" s="155"/>
      <c r="AG1806" s="143">
        <f>AG1797/((N_6*AG$27*0.667)*SQRT(AG1807*AG1799*AG1801))</f>
        <v>284.25314266481018</v>
      </c>
      <c r="AH1806" s="133"/>
      <c r="AI1806" s="155"/>
      <c r="AJ1806" s="143">
        <f>AJ1797/((N_6*AJ$27*0.667)*SQRT(AJ1807*AJ1799*AJ1801))</f>
        <v>105.13830053963646</v>
      </c>
      <c r="AK1806" s="133"/>
      <c r="AL1806" s="155"/>
      <c r="AM1806" s="143">
        <f>AM1797/((N_6*AM$27*0.667)*SQRT(AM1807*AM1799*AM1801))</f>
        <v>79.595796981725982</v>
      </c>
      <c r="AN1806" s="133"/>
      <c r="AO1806" s="155"/>
      <c r="AP1806" s="143">
        <f>AP1797/((N_6*AP$27*0.667)*SQRT(AP1807*AP1799*AP1801))</f>
        <v>66.683020519465927</v>
      </c>
      <c r="AQ1806" s="133"/>
      <c r="AR1806" s="155"/>
      <c r="AS1806" s="143">
        <f>AS1797/((N_6*AS$27*0.667)*SQRT(AS1807*AS1799*AS1801))</f>
        <v>89.911865876892733</v>
      </c>
      <c r="AT1806" s="133"/>
      <c r="AU1806" s="155"/>
    </row>
    <row r="1807" spans="13:47" ht="15.5" x14ac:dyDescent="0.4">
      <c r="M1807" s="27"/>
      <c r="N1807" s="27"/>
      <c r="O1807" s="2" t="s">
        <v>192</v>
      </c>
      <c r="P1807" s="85">
        <v>10</v>
      </c>
      <c r="Q1807" s="2"/>
      <c r="R1807" s="181">
        <f>F_GAMMA*R$29</f>
        <v>0.64002688015162901</v>
      </c>
      <c r="S1807" s="133"/>
      <c r="T1807" s="147"/>
      <c r="U1807" s="138">
        <f>F_GAMMA*U$29</f>
        <v>0.64016782916606918</v>
      </c>
      <c r="V1807" s="133"/>
      <c r="W1807" s="155"/>
      <c r="X1807" s="138">
        <f>F_GAMMA*X$29</f>
        <v>0.6307062319203669</v>
      </c>
      <c r="Y1807" s="133"/>
      <c r="Z1807" s="155"/>
      <c r="AA1807" s="138">
        <f>F_GAMMA*AA$29</f>
        <v>0.62217534213893466</v>
      </c>
      <c r="AB1807" s="133"/>
      <c r="AC1807" s="155"/>
      <c r="AD1807" s="138">
        <f>F_GAMMA*AD$29</f>
        <v>0.60557184969146072</v>
      </c>
      <c r="AE1807" s="133"/>
      <c r="AF1807" s="155"/>
      <c r="AG1807" s="138">
        <f>F_GAMMA*AG$29</f>
        <v>0.57289312142622573</v>
      </c>
      <c r="AH1807" s="133"/>
      <c r="AI1807" s="155"/>
      <c r="AJ1807" s="138">
        <f>F_GAMMA*AJ$29</f>
        <v>0.53590819116049981</v>
      </c>
      <c r="AK1807" s="133"/>
      <c r="AL1807" s="155"/>
      <c r="AM1807" s="138">
        <f>F_GAMMA*AM$29</f>
        <v>0.49048815926850342</v>
      </c>
      <c r="AN1807" s="133"/>
      <c r="AO1807" s="155"/>
      <c r="AP1807" s="138">
        <f>F_GAMMA*AP$29</f>
        <v>0.59352979016280105</v>
      </c>
      <c r="AQ1807" s="133"/>
      <c r="AR1807" s="155"/>
      <c r="AS1807" s="138">
        <f>F_GAMMA*AS$29</f>
        <v>0.39097221161068291</v>
      </c>
      <c r="AT1807" s="133"/>
      <c r="AU1807" s="155"/>
    </row>
    <row r="1808" spans="13:47" x14ac:dyDescent="0.25">
      <c r="M1808" s="27"/>
      <c r="N1808" s="27"/>
      <c r="O1808" s="2" t="s">
        <v>193</v>
      </c>
      <c r="P1808" s="134"/>
      <c r="Q1808" s="2"/>
      <c r="R1808" s="181">
        <f>IF(R1803&lt;R1807,R1805,R1806)</f>
        <v>0.60026600340963721</v>
      </c>
      <c r="S1808" s="133"/>
      <c r="T1808" s="147"/>
      <c r="U1808" s="138">
        <f>IF(U1803&lt;U1807,U1805,U1806)</f>
        <v>7.1270915823451393</v>
      </c>
      <c r="V1808" s="133"/>
      <c r="W1808" s="155"/>
      <c r="X1808" s="138">
        <f>IF(X1803&lt;X1807,X1805,X1806)</f>
        <v>18.95629339404702</v>
      </c>
      <c r="Y1808" s="133"/>
      <c r="Z1808" s="155"/>
      <c r="AA1808" s="138">
        <f>IF(AA1803&lt;AA1807,AA1805,AA1806)</f>
        <v>49.533474927249785</v>
      </c>
      <c r="AB1808" s="133"/>
      <c r="AC1808" s="155"/>
      <c r="AD1808" s="138" t="e">
        <f>IF(AD1803&lt;AD1807,AD1805,AD1806)</f>
        <v>#NUM!</v>
      </c>
      <c r="AE1808" s="133"/>
      <c r="AF1808" s="155"/>
      <c r="AG1808" s="138">
        <f>IF(AG1803&lt;AG1807,AG1805,AG1806)</f>
        <v>284.25314266481018</v>
      </c>
      <c r="AH1808" s="133"/>
      <c r="AI1808" s="155"/>
      <c r="AJ1808" s="138">
        <f>IF(AJ1803&lt;AJ1807,AJ1805,AJ1806)</f>
        <v>105.13830053963646</v>
      </c>
      <c r="AK1808" s="133"/>
      <c r="AL1808" s="155"/>
      <c r="AM1808" s="138">
        <f>IF(AM1803&lt;AM1807,AM1805,AM1806)</f>
        <v>79.595796981725982</v>
      </c>
      <c r="AN1808" s="133"/>
      <c r="AO1808" s="155"/>
      <c r="AP1808" s="138">
        <f>IF(AP1803&lt;AP1807,AP1805,AP1806)</f>
        <v>66.683020519465927</v>
      </c>
      <c r="AQ1808" s="133"/>
      <c r="AR1808" s="155"/>
      <c r="AS1808" s="138">
        <f>IF(AS1803&lt;AS1807,AS1805,AS1806)</f>
        <v>89.911865876892733</v>
      </c>
      <c r="AT1808" s="133"/>
      <c r="AU1808" s="155"/>
    </row>
    <row r="1809" spans="13:47" ht="13" x14ac:dyDescent="0.3">
      <c r="M1809" s="28"/>
      <c r="N1809" s="28"/>
      <c r="O1809" s="9" t="s">
        <v>194</v>
      </c>
      <c r="P1809" s="1"/>
      <c r="Q1809" s="1"/>
      <c r="R1809" s="135"/>
      <c r="S1809" s="132">
        <f>IF(R1802&lt;=0,W_max,ABS(R$23-R1808))</f>
        <v>1.3997339965903628</v>
      </c>
      <c r="T1809" s="151">
        <f>R1797</f>
        <v>138.81203743091427</v>
      </c>
      <c r="U1809" s="135"/>
      <c r="V1809" s="132">
        <f>IF(U1802&lt;=0,W_max,ABS(U$23-U1808))</f>
        <v>2.1270915823451393</v>
      </c>
      <c r="W1809" s="151">
        <f>U1797</f>
        <v>1627.5363714546768</v>
      </c>
      <c r="X1809" s="135"/>
      <c r="Y1809" s="132">
        <f>IF(X1802&lt;=0,W_max,ABS(X$23-X1808))</f>
        <v>8.9562933940470195</v>
      </c>
      <c r="Z1809" s="151">
        <f>X1797</f>
        <v>4025.0911257059784</v>
      </c>
      <c r="AA1809" s="135"/>
      <c r="AB1809" s="132">
        <f>IF(AA1802&lt;=0,W_max,ABS(AA$23-AA1808))</f>
        <v>32.333474927249782</v>
      </c>
      <c r="AC1809" s="151">
        <f>AA1797</f>
        <v>7839.8501268271111</v>
      </c>
      <c r="AD1809" s="135"/>
      <c r="AE1809" s="132">
        <f>IF(AD1802&lt;=0,W_max,ABS(AD$23-AD1808))</f>
        <v>7174</v>
      </c>
      <c r="AF1809" s="151">
        <f>AD1797</f>
        <v>12893.666997066664</v>
      </c>
      <c r="AG1809" s="135"/>
      <c r="AH1809" s="132">
        <f>IF(AG1802&lt;=0,W_max,ABS(AG$23-AG1808))</f>
        <v>7174</v>
      </c>
      <c r="AI1809" s="151">
        <f>AG1797</f>
        <v>18084.36059741984</v>
      </c>
      <c r="AJ1809" s="135"/>
      <c r="AK1809" s="132">
        <f>IF(AJ1802&lt;=0,W_max,ABS(AJ$23-AJ1808))</f>
        <v>7174</v>
      </c>
      <c r="AL1809" s="151">
        <f>AJ1797</f>
        <v>22962.33924708929</v>
      </c>
      <c r="AM1809" s="135"/>
      <c r="AN1809" s="132">
        <f>IF(AM1802&lt;=0,W_max,ABS(AM$23-AM1808))</f>
        <v>7174</v>
      </c>
      <c r="AO1809" s="151">
        <f>AM1797</f>
        <v>26925.148638630228</v>
      </c>
      <c r="AP1809" s="135"/>
      <c r="AQ1809" s="132">
        <f>IF(AP1802&lt;=0,W_max,ABS(AP$23-AP1808))</f>
        <v>7174</v>
      </c>
      <c r="AR1809" s="151">
        <f>AP1797</f>
        <v>30039.536065378481</v>
      </c>
      <c r="AS1809" s="135"/>
      <c r="AT1809" s="132">
        <f>IF(AS1802&lt;=0,W_max,ABS(AS$23-AS1808))</f>
        <v>7174</v>
      </c>
      <c r="AU1809" s="151">
        <f>AS1797</f>
        <v>33514.159536653955</v>
      </c>
    </row>
    <row r="1810" spans="13:47" ht="13" x14ac:dyDescent="0.25">
      <c r="M1810" s="12"/>
      <c r="N1810" s="12"/>
      <c r="O1810" s="12"/>
      <c r="P1810" s="12"/>
      <c r="Q1810" s="12"/>
      <c r="R1810" s="182"/>
      <c r="S1810" s="22"/>
      <c r="T1810" s="152"/>
      <c r="U1810" s="157"/>
      <c r="V1810" s="1"/>
      <c r="W1810" s="147"/>
      <c r="X1810" s="157"/>
      <c r="Y1810" s="1"/>
      <c r="Z1810" s="147"/>
      <c r="AA1810" s="157"/>
      <c r="AB1810" s="1"/>
      <c r="AC1810" s="147"/>
      <c r="AD1810" s="157"/>
      <c r="AE1810" s="1"/>
      <c r="AF1810" s="147"/>
      <c r="AG1810" s="157"/>
      <c r="AH1810" s="1"/>
      <c r="AI1810" s="147"/>
      <c r="AJ1810" s="157"/>
      <c r="AK1810" s="1"/>
      <c r="AL1810" s="147"/>
      <c r="AM1810" s="157"/>
      <c r="AN1810" s="1"/>
      <c r="AO1810" s="147"/>
      <c r="AP1810" s="157"/>
      <c r="AQ1810" s="1"/>
      <c r="AR1810" s="147"/>
      <c r="AS1810" s="157"/>
      <c r="AT1810" s="1"/>
      <c r="AU1810" s="147"/>
    </row>
    <row r="1811" spans="13:47" ht="14" x14ac:dyDescent="0.3">
      <c r="M1811" s="23"/>
      <c r="N1811" s="23"/>
      <c r="O1811" s="23" t="s">
        <v>238</v>
      </c>
      <c r="P1811" s="20"/>
      <c r="Q1811" s="20"/>
      <c r="R1811" s="18">
        <f>R1797*1.02</f>
        <v>141.58827817953255</v>
      </c>
      <c r="S1811" s="128" t="s">
        <v>185</v>
      </c>
      <c r="T1811" s="153" t="s">
        <v>186</v>
      </c>
      <c r="U1811" s="143">
        <f>U1797*1.01</f>
        <v>1643.8117351692235</v>
      </c>
      <c r="V1811" s="128" t="s">
        <v>185</v>
      </c>
      <c r="W1811" s="153" t="s">
        <v>186</v>
      </c>
      <c r="X1811" s="143">
        <f>X1797*1.01</f>
        <v>4065.342036963038</v>
      </c>
      <c r="Y1811" s="128" t="s">
        <v>185</v>
      </c>
      <c r="Z1811" s="153" t="s">
        <v>186</v>
      </c>
      <c r="AA1811" s="143">
        <f>AA1797*1.01</f>
        <v>7918.2486280953826</v>
      </c>
      <c r="AB1811" s="128" t="s">
        <v>185</v>
      </c>
      <c r="AC1811" s="153" t="s">
        <v>186</v>
      </c>
      <c r="AD1811" s="143">
        <f>AD1797*1.01</f>
        <v>13022.603667037331</v>
      </c>
      <c r="AE1811" s="128" t="s">
        <v>185</v>
      </c>
      <c r="AF1811" s="153" t="s">
        <v>186</v>
      </c>
      <c r="AG1811" s="143">
        <f>AG1797*1.01</f>
        <v>18265.204203394038</v>
      </c>
      <c r="AH1811" s="128" t="s">
        <v>185</v>
      </c>
      <c r="AI1811" s="153" t="s">
        <v>186</v>
      </c>
      <c r="AJ1811" s="143">
        <f>AJ1797*1.01</f>
        <v>23191.962639560184</v>
      </c>
      <c r="AK1811" s="128" t="s">
        <v>185</v>
      </c>
      <c r="AL1811" s="153" t="s">
        <v>186</v>
      </c>
      <c r="AM1811" s="143">
        <f>AM1797*1.01</f>
        <v>27194.400125016531</v>
      </c>
      <c r="AN1811" s="128" t="s">
        <v>185</v>
      </c>
      <c r="AO1811" s="153" t="s">
        <v>186</v>
      </c>
      <c r="AP1811" s="143">
        <f>AP1797*1.01</f>
        <v>30339.931426032264</v>
      </c>
      <c r="AQ1811" s="128" t="s">
        <v>185</v>
      </c>
      <c r="AR1811" s="153" t="s">
        <v>186</v>
      </c>
      <c r="AS1811" s="143">
        <f>AS1797*1.01</f>
        <v>33849.301132020497</v>
      </c>
      <c r="AT1811" s="128" t="s">
        <v>185</v>
      </c>
      <c r="AU1811" s="153" t="s">
        <v>186</v>
      </c>
    </row>
    <row r="1812" spans="13:47" ht="14" x14ac:dyDescent="0.3">
      <c r="M1812" s="12"/>
      <c r="N1812" s="12"/>
      <c r="O1812" s="20"/>
      <c r="P1812" s="20"/>
      <c r="Q1812" s="23"/>
      <c r="R1812" s="139"/>
      <c r="S1812" s="130" t="s">
        <v>228</v>
      </c>
      <c r="T1812" s="154" t="s">
        <v>187</v>
      </c>
      <c r="U1812" s="144"/>
      <c r="V1812" s="130" t="s">
        <v>228</v>
      </c>
      <c r="W1812" s="154" t="s">
        <v>187</v>
      </c>
      <c r="X1812" s="144"/>
      <c r="Y1812" s="130" t="s">
        <v>228</v>
      </c>
      <c r="Z1812" s="154" t="s">
        <v>187</v>
      </c>
      <c r="AA1812" s="144"/>
      <c r="AB1812" s="130" t="s">
        <v>228</v>
      </c>
      <c r="AC1812" s="154" t="s">
        <v>187</v>
      </c>
      <c r="AD1812" s="144"/>
      <c r="AE1812" s="130" t="s">
        <v>228</v>
      </c>
      <c r="AF1812" s="154" t="s">
        <v>187</v>
      </c>
      <c r="AG1812" s="144"/>
      <c r="AH1812" s="130" t="s">
        <v>228</v>
      </c>
      <c r="AI1812" s="154" t="s">
        <v>187</v>
      </c>
      <c r="AJ1812" s="144"/>
      <c r="AK1812" s="130" t="s">
        <v>228</v>
      </c>
      <c r="AL1812" s="154" t="s">
        <v>187</v>
      </c>
      <c r="AM1812" s="144"/>
      <c r="AN1812" s="130" t="s">
        <v>228</v>
      </c>
      <c r="AO1812" s="154" t="s">
        <v>187</v>
      </c>
      <c r="AP1812" s="144"/>
      <c r="AQ1812" s="130" t="s">
        <v>228</v>
      </c>
      <c r="AR1812" s="154" t="s">
        <v>187</v>
      </c>
      <c r="AS1812" s="144"/>
      <c r="AT1812" s="130" t="s">
        <v>228</v>
      </c>
      <c r="AU1812" s="154" t="s">
        <v>187</v>
      </c>
    </row>
    <row r="1813" spans="13:47" x14ac:dyDescent="0.25">
      <c r="M1813" s="20"/>
      <c r="N1813" s="20"/>
      <c r="O1813" s="7" t="s">
        <v>188</v>
      </c>
      <c r="P1813" s="7"/>
      <c r="Q1813" s="7"/>
      <c r="R1813" s="181">
        <f>P_1_minW-(R1811^2*R_up)+dpup_minQ</f>
        <v>100.51479266228063</v>
      </c>
      <c r="S1813" s="132"/>
      <c r="T1813" s="145"/>
      <c r="U1813" s="138">
        <f>P_1_minW-(U1811^2*R_up)+dpup_minQ</f>
        <v>99.445285591062017</v>
      </c>
      <c r="V1813" s="132"/>
      <c r="W1813" s="145"/>
      <c r="X1813" s="138">
        <f>P_1_minW-(X1811^2*R_up)+dpup_minQ</f>
        <v>93.932447520799457</v>
      </c>
      <c r="Y1813" s="132"/>
      <c r="Z1813" s="145"/>
      <c r="AA1813" s="138">
        <f>P_1_minW-(AA1811^2*R_up)+dpup_minQ</f>
        <v>75.520953394756447</v>
      </c>
      <c r="AB1813" s="132"/>
      <c r="AC1813" s="145"/>
      <c r="AD1813" s="138">
        <f>P_1_minW-(AD1811^2*R_up)+dpup_minQ</f>
        <v>32.897482152473273</v>
      </c>
      <c r="AE1813" s="132"/>
      <c r="AF1813" s="145"/>
      <c r="AG1813" s="138">
        <f>P_1_minW-(AG1811^2*R_up)+dpup_minQ</f>
        <v>-32.511213867390765</v>
      </c>
      <c r="AH1813" s="132"/>
      <c r="AI1813" s="145"/>
      <c r="AJ1813" s="138">
        <f>P_1_minW-(AJ1811^2*R_up)+dpup_minQ</f>
        <v>-113.9580982556564</v>
      </c>
      <c r="AK1813" s="132"/>
      <c r="AL1813" s="145"/>
      <c r="AM1813" s="138">
        <f>P_1_minW-(AM1811^2*R_up)+dpup_minQ</f>
        <v>-194.37570680665092</v>
      </c>
      <c r="AN1813" s="132"/>
      <c r="AO1813" s="145"/>
      <c r="AP1813" s="138">
        <f>P_1_minW-(AP1811^2*R_up)+dpup_minQ</f>
        <v>-266.54204519336974</v>
      </c>
      <c r="AQ1813" s="132"/>
      <c r="AR1813" s="145"/>
      <c r="AS1813" s="138">
        <f>P_1_minW-(AS1811^2*R_up)+dpup_minQ</f>
        <v>-356.36863112347061</v>
      </c>
      <c r="AT1813" s="132"/>
      <c r="AU1813" s="145"/>
    </row>
    <row r="1814" spans="13:47" x14ac:dyDescent="0.25">
      <c r="M1814" s="20"/>
      <c r="N1814" s="20"/>
      <c r="O1814" s="7" t="s">
        <v>189</v>
      </c>
      <c r="P1814" s="1"/>
      <c r="Q1814" s="7"/>
      <c r="R1814" s="181">
        <f>P_2_minW+(R1811^2*R_dn)-dpdn_minQ</f>
        <v>50</v>
      </c>
      <c r="S1814" s="132"/>
      <c r="T1814" s="146"/>
      <c r="U1814" s="138">
        <f>P_2_minW+(U1811^2*R_dn)-dpdn_minQ</f>
        <v>50</v>
      </c>
      <c r="V1814" s="132"/>
      <c r="W1814" s="146"/>
      <c r="X1814" s="138">
        <f>P_2_minW+(X1811^2*R_dn)-dpdn_minQ</f>
        <v>50</v>
      </c>
      <c r="Y1814" s="132"/>
      <c r="Z1814" s="146"/>
      <c r="AA1814" s="138">
        <f>P_2_minW+(AA1811^2*R_dn)-dpdn_minQ</f>
        <v>50</v>
      </c>
      <c r="AB1814" s="132"/>
      <c r="AC1814" s="146"/>
      <c r="AD1814" s="138">
        <f>P_2_minW+(AD1811^2*R_dn)-dpdn_minQ</f>
        <v>50</v>
      </c>
      <c r="AE1814" s="132"/>
      <c r="AF1814" s="146"/>
      <c r="AG1814" s="138">
        <f>P_2_minW+(AG1811^2*R_dn)-dpdn_minQ</f>
        <v>50</v>
      </c>
      <c r="AH1814" s="132"/>
      <c r="AI1814" s="146"/>
      <c r="AJ1814" s="138">
        <f>P_2_minW+(AJ1811^2*R_dn)-dpdn_minQ</f>
        <v>50</v>
      </c>
      <c r="AK1814" s="132"/>
      <c r="AL1814" s="146"/>
      <c r="AM1814" s="138">
        <f>P_2_minW+(AM1811^2*R_dn)-dpdn_minQ</f>
        <v>50</v>
      </c>
      <c r="AN1814" s="132"/>
      <c r="AO1814" s="146"/>
      <c r="AP1814" s="138">
        <f>P_2_minW+(AP1811^2*R_dn)-dpdn_minQ</f>
        <v>50</v>
      </c>
      <c r="AQ1814" s="132"/>
      <c r="AR1814" s="146"/>
      <c r="AS1814" s="138">
        <f>P_2_minW+(AS1811^2*R_dn)-dpdn_minQ</f>
        <v>50</v>
      </c>
      <c r="AT1814" s="132"/>
      <c r="AU1814" s="146"/>
    </row>
    <row r="1815" spans="13:47" x14ac:dyDescent="0.25">
      <c r="M1815" s="20"/>
      <c r="N1815" s="20"/>
      <c r="O1815" s="7" t="s">
        <v>234</v>
      </c>
      <c r="P1815" s="1"/>
      <c r="Q1815" s="7"/>
      <c r="R1815" s="179">
        <f>'Valve Sizing'!G$8*R1813/P_1_maxW</f>
        <v>0.48486546424702021</v>
      </c>
      <c r="S1815" s="132"/>
      <c r="T1815" s="146"/>
      <c r="U1815" s="143">
        <f>'Valve Sizing'!$G$8*U1813/P_1_maxW</f>
        <v>0.47970635254945931</v>
      </c>
      <c r="V1815" s="132"/>
      <c r="W1815" s="146"/>
      <c r="X1815" s="143">
        <f>'Valve Sizing'!$G$8*X1813/P_1_maxW</f>
        <v>0.45311340319883531</v>
      </c>
      <c r="Y1815" s="132"/>
      <c r="Z1815" s="146"/>
      <c r="AA1815" s="143">
        <f>'Valve Sizing'!$G$8*AA1813/P_1_maxW</f>
        <v>0.36429963349929206</v>
      </c>
      <c r="AB1815" s="132"/>
      <c r="AC1815" s="146"/>
      <c r="AD1815" s="143">
        <f>'Valve Sizing'!$G$8*AD1813/P_1_maxW</f>
        <v>0.15869159686783857</v>
      </c>
      <c r="AE1815" s="132"/>
      <c r="AF1815" s="146"/>
      <c r="AG1815" s="143">
        <f>'Valve Sizing'!$G$8*AG1813/P_1_maxW</f>
        <v>-0.15682830743142995</v>
      </c>
      <c r="AH1815" s="132"/>
      <c r="AI1815" s="146"/>
      <c r="AJ1815" s="143">
        <f>'Valve Sizing'!$G$8*AJ1813/P_1_maxW</f>
        <v>-0.54971357699642587</v>
      </c>
      <c r="AK1815" s="132"/>
      <c r="AL1815" s="146"/>
      <c r="AM1815" s="143">
        <f>'Valve Sizing'!$G$8*AM1813/P_1_maxW</f>
        <v>-0.93763380317369405</v>
      </c>
      <c r="AN1815" s="132"/>
      <c r="AO1815" s="146"/>
      <c r="AP1815" s="143">
        <f>'Valve Sizing'!$G$8*AP1813/P_1_maxW</f>
        <v>-1.2857513711266024</v>
      </c>
      <c r="AQ1815" s="132"/>
      <c r="AR1815" s="146"/>
      <c r="AS1815" s="143">
        <f>'Valve Sizing'!$G$8*AS1813/P_1_maxW</f>
        <v>-1.7190588290155078</v>
      </c>
      <c r="AT1815" s="132"/>
      <c r="AU1815" s="146"/>
    </row>
    <row r="1816" spans="13:47" x14ac:dyDescent="0.25">
      <c r="M1816" s="20"/>
      <c r="N1816" s="20"/>
      <c r="O1816" s="7" t="s">
        <v>190</v>
      </c>
      <c r="P1816" s="1"/>
      <c r="Q1816" s="7"/>
      <c r="R1816" s="181">
        <f>R1813-R1814</f>
        <v>50.514792662280627</v>
      </c>
      <c r="S1816" s="132"/>
      <c r="T1816" s="146"/>
      <c r="U1816" s="138">
        <f>U1813-U1814</f>
        <v>49.445285591062017</v>
      </c>
      <c r="V1816" s="132"/>
      <c r="W1816" s="146"/>
      <c r="X1816" s="138">
        <f>X1813-X1814</f>
        <v>43.932447520799457</v>
      </c>
      <c r="Y1816" s="132"/>
      <c r="Z1816" s="146"/>
      <c r="AA1816" s="138">
        <f>AA1813-AA1814</f>
        <v>25.520953394756447</v>
      </c>
      <c r="AB1816" s="132"/>
      <c r="AC1816" s="146"/>
      <c r="AD1816" s="138">
        <f>AD1813-AD1814</f>
        <v>-17.102517847526727</v>
      </c>
      <c r="AE1816" s="132"/>
      <c r="AF1816" s="146"/>
      <c r="AG1816" s="138">
        <f>AG1813-AG1814</f>
        <v>-82.511213867390765</v>
      </c>
      <c r="AH1816" s="132"/>
      <c r="AI1816" s="146"/>
      <c r="AJ1816" s="138">
        <f>AJ1813-AJ1814</f>
        <v>-163.95809825565641</v>
      </c>
      <c r="AK1816" s="132"/>
      <c r="AL1816" s="146"/>
      <c r="AM1816" s="138">
        <f>AM1813-AM1814</f>
        <v>-244.37570680665092</v>
      </c>
      <c r="AN1816" s="132"/>
      <c r="AO1816" s="146"/>
      <c r="AP1816" s="138">
        <f>AP1813-AP1814</f>
        <v>-316.54204519336974</v>
      </c>
      <c r="AQ1816" s="132"/>
      <c r="AR1816" s="146"/>
      <c r="AS1816" s="138">
        <f>AS1813-AS1814</f>
        <v>-406.36863112347061</v>
      </c>
      <c r="AT1816" s="132"/>
      <c r="AU1816" s="146"/>
    </row>
    <row r="1817" spans="13:47" ht="14.5" x14ac:dyDescent="0.35">
      <c r="M1817" s="27"/>
      <c r="N1817" s="27"/>
      <c r="O1817" s="2" t="s">
        <v>191</v>
      </c>
      <c r="P1817" s="10"/>
      <c r="Q1817" s="2"/>
      <c r="R1817" s="181">
        <f>R1816/R1813</f>
        <v>0.50256078060077325</v>
      </c>
      <c r="S1817" s="132"/>
      <c r="T1817" s="146"/>
      <c r="U1817" s="138">
        <f>U1816/U1813</f>
        <v>0.4972109567304222</v>
      </c>
      <c r="V1817" s="132"/>
      <c r="W1817" s="146"/>
      <c r="X1817" s="138">
        <f>X1816/X1813</f>
        <v>0.46770257435346285</v>
      </c>
      <c r="Y1817" s="132"/>
      <c r="Z1817" s="146"/>
      <c r="AA1817" s="138">
        <f>AA1816/AA1813</f>
        <v>0.33793208702431993</v>
      </c>
      <c r="AB1817" s="132"/>
      <c r="AC1817" s="146"/>
      <c r="AD1817" s="138">
        <f>AD1816/AD1813</f>
        <v>-0.51987315528464961</v>
      </c>
      <c r="AE1817" s="132"/>
      <c r="AF1817" s="146"/>
      <c r="AG1817" s="138">
        <f>AG1816/AG1813</f>
        <v>2.537930887599086</v>
      </c>
      <c r="AH1817" s="132"/>
      <c r="AI1817" s="146"/>
      <c r="AJ1817" s="138">
        <f>AJ1816/AJ1813</f>
        <v>1.4387577606624216</v>
      </c>
      <c r="AK1817" s="132"/>
      <c r="AL1817" s="146"/>
      <c r="AM1817" s="138">
        <f>AM1816/AM1813</f>
        <v>1.257233791307758</v>
      </c>
      <c r="AN1817" s="132"/>
      <c r="AO1817" s="146"/>
      <c r="AP1817" s="138">
        <f>AP1816/AP1813</f>
        <v>1.1875876654421489</v>
      </c>
      <c r="AQ1817" s="132"/>
      <c r="AR1817" s="146"/>
      <c r="AS1817" s="138">
        <f>AS1816/AS1813</f>
        <v>1.14030415595888</v>
      </c>
      <c r="AT1817" s="132"/>
      <c r="AU1817" s="146"/>
    </row>
    <row r="1818" spans="13:47" x14ac:dyDescent="0.25">
      <c r="M1818" s="27"/>
      <c r="N1818" s="27"/>
      <c r="O1818" s="2" t="s">
        <v>26</v>
      </c>
      <c r="P1818" s="7">
        <v>12</v>
      </c>
      <c r="Q1818" s="2"/>
      <c r="R1818" s="181">
        <f>1-R1817/(3*F_GAMMA*R$29)</f>
        <v>0.73826058655447335</v>
      </c>
      <c r="S1818" s="133"/>
      <c r="T1818" s="146"/>
      <c r="U1818" s="138">
        <f>1-U1817/(3*F_GAMMA*U$29)</f>
        <v>0.74110385116867106</v>
      </c>
      <c r="V1818" s="133"/>
      <c r="W1818" s="146"/>
      <c r="X1818" s="138">
        <f>1-X1817/(3*F_GAMMA*X$29)</f>
        <v>0.75281541512102101</v>
      </c>
      <c r="Y1818" s="133"/>
      <c r="Z1818" s="146"/>
      <c r="AA1818" s="138">
        <f>1-AA1817/(3*F_GAMMA*AA$29)</f>
        <v>0.81895131263020593</v>
      </c>
      <c r="AB1818" s="133"/>
      <c r="AC1818" s="146"/>
      <c r="AD1818" s="138">
        <f>1-AD1817/(3*F_GAMMA*AD$29)</f>
        <v>1.2861610093828533</v>
      </c>
      <c r="AE1818" s="133"/>
      <c r="AF1818" s="146"/>
      <c r="AG1818" s="138">
        <f>1-AG1817/(3*F_GAMMA*AG$29)</f>
        <v>-0.47667502173347231</v>
      </c>
      <c r="AH1818" s="133"/>
      <c r="AI1818" s="146"/>
      <c r="AJ1818" s="138">
        <f>1-AJ1817/(3*F_GAMMA*AJ$29)</f>
        <v>0.10509686522560457</v>
      </c>
      <c r="AK1818" s="133"/>
      <c r="AL1818" s="146"/>
      <c r="AM1818" s="138">
        <f>1-AM1817/(3*F_GAMMA*AM$29)</f>
        <v>0.14559011768822872</v>
      </c>
      <c r="AN1818" s="133"/>
      <c r="AO1818" s="146"/>
      <c r="AP1818" s="138">
        <f>1-AP1817/(3*F_GAMMA*AP$29)</f>
        <v>0.33303675450089765</v>
      </c>
      <c r="AQ1818" s="133"/>
      <c r="AR1818" s="146"/>
      <c r="AS1818" s="138">
        <f>1-AS1817/(3*F_GAMMA*AS$29)</f>
        <v>2.780460085966685E-2</v>
      </c>
      <c r="AT1818" s="133"/>
      <c r="AU1818" s="146"/>
    </row>
    <row r="1819" spans="13:47" x14ac:dyDescent="0.25">
      <c r="M1819" s="27"/>
      <c r="N1819" s="27"/>
      <c r="O1819" s="2" t="s">
        <v>71</v>
      </c>
      <c r="P1819" s="85">
        <v>5</v>
      </c>
      <c r="Q1819" s="2"/>
      <c r="R1819" s="179">
        <f>R1811/((N_6*R$27*R1818)*SQRT(R1817*R1813*R1815))</f>
        <v>0.61227348660529135</v>
      </c>
      <c r="S1819" s="133"/>
      <c r="T1819" s="146"/>
      <c r="U1819" s="143">
        <f>U1811/((N_6*U$27*U1818)*SQRT(U1817*U1813*U1815))</f>
        <v>7.2001333448160354</v>
      </c>
      <c r="V1819" s="133"/>
      <c r="W1819" s="146"/>
      <c r="X1819" s="143">
        <f>X1811/((N_6*X$27*X1818)*SQRT(X1817*X1813*X1815))</f>
        <v>19.177481380973639</v>
      </c>
      <c r="Y1819" s="133"/>
      <c r="Z1819" s="146"/>
      <c r="AA1819" s="143">
        <f>AA1811/((N_6*AA$27*AA1818)*SQRT(AA1817*AA1813*AA1815))</f>
        <v>50.531588968292581</v>
      </c>
      <c r="AB1819" s="133"/>
      <c r="AC1819" s="146"/>
      <c r="AD1819" s="143" t="e">
        <f>AD1811/((N_6*AD$27*AD1818)*SQRT(AD1817*AD1813*AD1815))</f>
        <v>#NUM!</v>
      </c>
      <c r="AE1819" s="133"/>
      <c r="AF1819" s="146"/>
      <c r="AG1819" s="143">
        <f>AG1811/((N_6*AG$27*AG1818)*SQRT(AG1817*AG1813*AG1815))</f>
        <v>-175.47632950717278</v>
      </c>
      <c r="AH1819" s="133"/>
      <c r="AI1819" s="146"/>
      <c r="AJ1819" s="143">
        <f>AJ1811/((N_6*AJ$27*AJ1818)*SQRT(AJ1817*AJ1813*AJ1815))</f>
        <v>396.05706865048109</v>
      </c>
      <c r="AK1819" s="133"/>
      <c r="AL1819" s="146"/>
      <c r="AM1819" s="143">
        <f>AM1811/((N_6*AM$27*AM1818)*SQRT(AM1817*AM1813*AM1815))</f>
        <v>223.16746630993654</v>
      </c>
      <c r="AN1819" s="133"/>
      <c r="AO1819" s="146"/>
      <c r="AP1819" s="143">
        <f>AP1811/((N_6*AP$27*AP1818)*SQRT(AP1817*AP1813*AP1815))</f>
        <v>92.770797921029384</v>
      </c>
      <c r="AQ1819" s="133"/>
      <c r="AR1819" s="146"/>
      <c r="AS1819" s="143">
        <f>AS1811/((N_6*AS$27*AS1818)*SQRT(AS1817*AS1813*AS1815))</f>
        <v>1243.3633599991922</v>
      </c>
      <c r="AT1819" s="133"/>
      <c r="AU1819" s="146"/>
    </row>
    <row r="1820" spans="13:47" x14ac:dyDescent="0.25">
      <c r="M1820" s="27"/>
      <c r="N1820" s="27"/>
      <c r="O1820" s="2" t="s">
        <v>73</v>
      </c>
      <c r="P1820" s="85">
        <v>5</v>
      </c>
      <c r="Q1820" s="2"/>
      <c r="R1820" s="179">
        <f>R1811/((N_6*R$27*0.667)*SQRT(R1821*R1813*R1815))</f>
        <v>0.60051587505750181</v>
      </c>
      <c r="S1820" s="133"/>
      <c r="T1820" s="155"/>
      <c r="U1820" s="143">
        <f>U1811/((N_6*U$27*0.667)*SQRT(U1821*U1813*U1815))</f>
        <v>7.0504558630244896</v>
      </c>
      <c r="V1820" s="133"/>
      <c r="W1820" s="155"/>
      <c r="X1820" s="143">
        <f>X1811/((N_6*X$27*0.667)*SQRT(X1821*X1813*X1815))</f>
        <v>18.639126608187333</v>
      </c>
      <c r="Y1820" s="133"/>
      <c r="Z1820" s="155"/>
      <c r="AA1820" s="143">
        <f>AA1811/((N_6*AA$27*0.667)*SQRT(AA1821*AA1813*AA1815))</f>
        <v>45.724979757067373</v>
      </c>
      <c r="AB1820" s="133"/>
      <c r="AC1820" s="155"/>
      <c r="AD1820" s="143">
        <f>AD1811/((N_6*AD$27*0.667)*SQRT(AD1821*AD1813*AD1815))</f>
        <v>177.07010855455329</v>
      </c>
      <c r="AE1820" s="133"/>
      <c r="AF1820" s="155"/>
      <c r="AG1820" s="143">
        <f>AG1811/((N_6*AG$27*0.667)*SQRT(AG1821*AG1813*AG1815))</f>
        <v>263.94788989066922</v>
      </c>
      <c r="AH1820" s="133"/>
      <c r="AI1820" s="155"/>
      <c r="AJ1820" s="143">
        <f>AJ1811/((N_6*AJ$27*0.667)*SQRT(AJ1821*AJ1813*AJ1815))</f>
        <v>102.25165339967019</v>
      </c>
      <c r="AK1820" s="133"/>
      <c r="AL1820" s="155"/>
      <c r="AM1820" s="143">
        <f>AM1811/((N_6*AM$27*0.667)*SQRT(AM1821*AM1813*AM1815))</f>
        <v>77.98852466965316</v>
      </c>
      <c r="AN1820" s="133"/>
      <c r="AO1820" s="155"/>
      <c r="AP1820" s="143">
        <f>AP1811/((N_6*AP$27*0.667)*SQRT(AP1821*AP1813*AP1815))</f>
        <v>65.522310272229177</v>
      </c>
      <c r="AQ1820" s="133"/>
      <c r="AR1820" s="155"/>
      <c r="AS1820" s="143">
        <f>AS1811/((N_6*AS$27*0.667)*SQRT(AS1821*AS1813*AS1815))</f>
        <v>88.516922142119924</v>
      </c>
      <c r="AT1820" s="133"/>
      <c r="AU1820" s="155"/>
    </row>
    <row r="1821" spans="13:47" ht="15.5" x14ac:dyDescent="0.4">
      <c r="M1821" s="27"/>
      <c r="N1821" s="27"/>
      <c r="O1821" s="2" t="s">
        <v>192</v>
      </c>
      <c r="P1821" s="85">
        <v>10</v>
      </c>
      <c r="Q1821" s="2"/>
      <c r="R1821" s="181">
        <f>F_GAMMA*R$29</f>
        <v>0.64002688015162901</v>
      </c>
      <c r="S1821" s="133"/>
      <c r="T1821" s="155"/>
      <c r="U1821" s="138">
        <f>F_GAMMA*U$29</f>
        <v>0.64016782916606918</v>
      </c>
      <c r="V1821" s="133"/>
      <c r="W1821" s="155"/>
      <c r="X1821" s="138">
        <f>F_GAMMA*X$29</f>
        <v>0.6307062319203669</v>
      </c>
      <c r="Y1821" s="133"/>
      <c r="Z1821" s="155"/>
      <c r="AA1821" s="138">
        <f>F_GAMMA*AA$29</f>
        <v>0.62217534213893466</v>
      </c>
      <c r="AB1821" s="133"/>
      <c r="AC1821" s="155"/>
      <c r="AD1821" s="138">
        <f>F_GAMMA*AD$29</f>
        <v>0.60557184969146072</v>
      </c>
      <c r="AE1821" s="133"/>
      <c r="AF1821" s="155"/>
      <c r="AG1821" s="138">
        <f>F_GAMMA*AG$29</f>
        <v>0.57289312142622573</v>
      </c>
      <c r="AH1821" s="133"/>
      <c r="AI1821" s="155"/>
      <c r="AJ1821" s="138">
        <f>F_GAMMA*AJ$29</f>
        <v>0.53590819116049981</v>
      </c>
      <c r="AK1821" s="133"/>
      <c r="AL1821" s="155"/>
      <c r="AM1821" s="138">
        <f>F_GAMMA*AM$29</f>
        <v>0.49048815926850342</v>
      </c>
      <c r="AN1821" s="133"/>
      <c r="AO1821" s="155"/>
      <c r="AP1821" s="138">
        <f>F_GAMMA*AP$29</f>
        <v>0.59352979016280105</v>
      </c>
      <c r="AQ1821" s="133"/>
      <c r="AR1821" s="155"/>
      <c r="AS1821" s="138">
        <f>F_GAMMA*AS$29</f>
        <v>0.39097221161068291</v>
      </c>
      <c r="AT1821" s="133"/>
      <c r="AU1821" s="155"/>
    </row>
    <row r="1822" spans="13:47" x14ac:dyDescent="0.25">
      <c r="M1822" s="27"/>
      <c r="N1822" s="27"/>
      <c r="O1822" s="2" t="s">
        <v>193</v>
      </c>
      <c r="P1822" s="134"/>
      <c r="Q1822" s="2"/>
      <c r="R1822" s="181">
        <f>IF(R1817&lt;R1821,R1819,R1820)</f>
        <v>0.61227348660529135</v>
      </c>
      <c r="S1822" s="133"/>
      <c r="T1822" s="155"/>
      <c r="U1822" s="138">
        <f>IF(U1817&lt;U1821,U1819,U1820)</f>
        <v>7.2001333448160354</v>
      </c>
      <c r="V1822" s="133"/>
      <c r="W1822" s="155"/>
      <c r="X1822" s="138">
        <f>IF(X1817&lt;X1821,X1819,X1820)</f>
        <v>19.177481380973639</v>
      </c>
      <c r="Y1822" s="133"/>
      <c r="Z1822" s="155"/>
      <c r="AA1822" s="138">
        <f>IF(AA1817&lt;AA1821,AA1819,AA1820)</f>
        <v>50.531588968292581</v>
      </c>
      <c r="AB1822" s="133"/>
      <c r="AC1822" s="155"/>
      <c r="AD1822" s="138" t="e">
        <f>IF(AD1817&lt;AD1821,AD1819,AD1820)</f>
        <v>#NUM!</v>
      </c>
      <c r="AE1822" s="133"/>
      <c r="AF1822" s="155"/>
      <c r="AG1822" s="138">
        <f>IF(AG1817&lt;AG1821,AG1819,AG1820)</f>
        <v>263.94788989066922</v>
      </c>
      <c r="AH1822" s="133"/>
      <c r="AI1822" s="155"/>
      <c r="AJ1822" s="138">
        <f>IF(AJ1817&lt;AJ1821,AJ1819,AJ1820)</f>
        <v>102.25165339967019</v>
      </c>
      <c r="AK1822" s="133"/>
      <c r="AL1822" s="155"/>
      <c r="AM1822" s="138">
        <f>IF(AM1817&lt;AM1821,AM1819,AM1820)</f>
        <v>77.98852466965316</v>
      </c>
      <c r="AN1822" s="133"/>
      <c r="AO1822" s="155"/>
      <c r="AP1822" s="138">
        <f>IF(AP1817&lt;AP1821,AP1819,AP1820)</f>
        <v>65.522310272229177</v>
      </c>
      <c r="AQ1822" s="133"/>
      <c r="AR1822" s="155"/>
      <c r="AS1822" s="138">
        <f>IF(AS1817&lt;AS1821,AS1819,AS1820)</f>
        <v>88.516922142119924</v>
      </c>
      <c r="AT1822" s="133"/>
      <c r="AU1822" s="155"/>
    </row>
    <row r="1823" spans="13:47" ht="13" x14ac:dyDescent="0.3">
      <c r="M1823" s="28"/>
      <c r="N1823" s="28"/>
      <c r="O1823" s="9" t="s">
        <v>194</v>
      </c>
      <c r="P1823" s="1"/>
      <c r="Q1823" s="1"/>
      <c r="R1823" s="135"/>
      <c r="S1823" s="132">
        <f>IF(R1816&lt;=0,W_max,ABS(R$23-R1822))</f>
        <v>1.3877265133947088</v>
      </c>
      <c r="T1823" s="151">
        <f>R1811</f>
        <v>141.58827817953255</v>
      </c>
      <c r="U1823" s="135"/>
      <c r="V1823" s="132">
        <f>IF(U1816&lt;=0,W_max,ABS(U$23-U1822))</f>
        <v>2.2001333448160354</v>
      </c>
      <c r="W1823" s="151">
        <f>U1811</f>
        <v>1643.8117351692235</v>
      </c>
      <c r="X1823" s="135"/>
      <c r="Y1823" s="132">
        <f>IF(X1816&lt;=0,W_max,ABS(X$23-X1822))</f>
        <v>9.1774813809736386</v>
      </c>
      <c r="Z1823" s="151">
        <f>X1811</f>
        <v>4065.342036963038</v>
      </c>
      <c r="AA1823" s="135"/>
      <c r="AB1823" s="132">
        <f>IF(AA1816&lt;=0,W_max,ABS(AA$23-AA1822))</f>
        <v>33.331588968292579</v>
      </c>
      <c r="AC1823" s="151">
        <f>AA1811</f>
        <v>7918.2486280953826</v>
      </c>
      <c r="AD1823" s="135"/>
      <c r="AE1823" s="132">
        <f>IF(AD1816&lt;=0,W_max,ABS(AD$23-AD1822))</f>
        <v>7174</v>
      </c>
      <c r="AF1823" s="151">
        <f>AD1811</f>
        <v>13022.603667037331</v>
      </c>
      <c r="AG1823" s="135"/>
      <c r="AH1823" s="132">
        <f>IF(AG1816&lt;=0,W_max,ABS(AG$23-AG1822))</f>
        <v>7174</v>
      </c>
      <c r="AI1823" s="151">
        <f>AG1811</f>
        <v>18265.204203394038</v>
      </c>
      <c r="AJ1823" s="135"/>
      <c r="AK1823" s="132">
        <f>IF(AJ1816&lt;=0,W_max,ABS(AJ$23-AJ1822))</f>
        <v>7174</v>
      </c>
      <c r="AL1823" s="151">
        <f>AJ1811</f>
        <v>23191.962639560184</v>
      </c>
      <c r="AM1823" s="135"/>
      <c r="AN1823" s="132">
        <f>IF(AM1816&lt;=0,W_max,ABS(AM$23-AM1822))</f>
        <v>7174</v>
      </c>
      <c r="AO1823" s="151">
        <f>AM1811</f>
        <v>27194.400125016531</v>
      </c>
      <c r="AP1823" s="135"/>
      <c r="AQ1823" s="132">
        <f>IF(AP1816&lt;=0,W_max,ABS(AP$23-AP1822))</f>
        <v>7174</v>
      </c>
      <c r="AR1823" s="151">
        <f>AP1811</f>
        <v>30339.931426032264</v>
      </c>
      <c r="AS1823" s="135"/>
      <c r="AT1823" s="132">
        <f>IF(AS1816&lt;=0,W_max,ABS(AS$23-AS1822))</f>
        <v>7174</v>
      </c>
      <c r="AU1823" s="151">
        <f>AS1811</f>
        <v>33849.301132020497</v>
      </c>
    </row>
    <row r="1824" spans="13:47" ht="13" x14ac:dyDescent="0.25">
      <c r="M1824" s="12"/>
      <c r="N1824" s="12"/>
      <c r="O1824" s="2"/>
      <c r="P1824" s="85"/>
      <c r="Q1824" s="2"/>
      <c r="R1824" s="18"/>
      <c r="S1824" s="150"/>
      <c r="T1824" s="152"/>
      <c r="U1824" s="157"/>
      <c r="V1824" s="1"/>
      <c r="W1824" s="147"/>
      <c r="X1824" s="157"/>
      <c r="Y1824" s="1"/>
      <c r="Z1824" s="147"/>
      <c r="AA1824" s="157"/>
      <c r="AB1824" s="1"/>
      <c r="AC1824" s="147"/>
      <c r="AD1824" s="157"/>
      <c r="AE1824" s="1"/>
      <c r="AF1824" s="147"/>
      <c r="AG1824" s="157"/>
      <c r="AH1824" s="1"/>
      <c r="AI1824" s="147"/>
      <c r="AJ1824" s="157"/>
      <c r="AK1824" s="1"/>
      <c r="AL1824" s="147"/>
      <c r="AM1824" s="157"/>
      <c r="AN1824" s="1"/>
      <c r="AO1824" s="147"/>
      <c r="AP1824" s="157"/>
      <c r="AQ1824" s="1"/>
      <c r="AR1824" s="147"/>
      <c r="AS1824" s="157"/>
      <c r="AT1824" s="1"/>
      <c r="AU1824" s="147"/>
    </row>
    <row r="1825" spans="13:47" ht="14" x14ac:dyDescent="0.3">
      <c r="M1825" s="23"/>
      <c r="N1825" s="23"/>
      <c r="O1825" s="23" t="s">
        <v>238</v>
      </c>
      <c r="P1825" s="20"/>
      <c r="Q1825" s="20"/>
      <c r="R1825" s="181">
        <f>R1811*1.02</f>
        <v>144.42004374312322</v>
      </c>
      <c r="S1825" s="128" t="s">
        <v>185</v>
      </c>
      <c r="T1825" s="153" t="s">
        <v>186</v>
      </c>
      <c r="U1825" s="143">
        <f>U1811*1.01</f>
        <v>1660.2498525209157</v>
      </c>
      <c r="V1825" s="128" t="s">
        <v>185</v>
      </c>
      <c r="W1825" s="153" t="s">
        <v>186</v>
      </c>
      <c r="X1825" s="143">
        <f>X1811*1.01</f>
        <v>4105.9954573326686</v>
      </c>
      <c r="Y1825" s="128" t="s">
        <v>185</v>
      </c>
      <c r="Z1825" s="153" t="s">
        <v>186</v>
      </c>
      <c r="AA1825" s="143">
        <f>AA1811*1.01</f>
        <v>7997.4311143763362</v>
      </c>
      <c r="AB1825" s="128" t="s">
        <v>185</v>
      </c>
      <c r="AC1825" s="153" t="s">
        <v>186</v>
      </c>
      <c r="AD1825" s="143">
        <f>AD1811*1.01</f>
        <v>13152.829703707705</v>
      </c>
      <c r="AE1825" s="128" t="s">
        <v>185</v>
      </c>
      <c r="AF1825" s="153" t="s">
        <v>186</v>
      </c>
      <c r="AG1825" s="143">
        <f>AG1811*1.01</f>
        <v>18447.856245427978</v>
      </c>
      <c r="AH1825" s="128" t="s">
        <v>185</v>
      </c>
      <c r="AI1825" s="153" t="s">
        <v>186</v>
      </c>
      <c r="AJ1825" s="143">
        <f>AJ1811*1.01</f>
        <v>23423.882265955788</v>
      </c>
      <c r="AK1825" s="128" t="s">
        <v>185</v>
      </c>
      <c r="AL1825" s="153" t="s">
        <v>186</v>
      </c>
      <c r="AM1825" s="143">
        <f>AM1811*1.01</f>
        <v>27466.344126266697</v>
      </c>
      <c r="AN1825" s="128" t="s">
        <v>185</v>
      </c>
      <c r="AO1825" s="153" t="s">
        <v>186</v>
      </c>
      <c r="AP1825" s="143">
        <f>AP1811*1.01</f>
        <v>30643.330740292586</v>
      </c>
      <c r="AQ1825" s="128" t="s">
        <v>185</v>
      </c>
      <c r="AR1825" s="153" t="s">
        <v>186</v>
      </c>
      <c r="AS1825" s="143">
        <f>AS1811*1.01</f>
        <v>34187.794143340703</v>
      </c>
      <c r="AT1825" s="128" t="s">
        <v>185</v>
      </c>
      <c r="AU1825" s="153" t="s">
        <v>186</v>
      </c>
    </row>
    <row r="1826" spans="13:47" ht="14" x14ac:dyDescent="0.3">
      <c r="M1826" s="12"/>
      <c r="N1826" s="12"/>
      <c r="O1826" s="20"/>
      <c r="P1826" s="20"/>
      <c r="Q1826" s="23"/>
      <c r="R1826" s="139"/>
      <c r="S1826" s="130" t="s">
        <v>228</v>
      </c>
      <c r="T1826" s="154" t="s">
        <v>187</v>
      </c>
      <c r="U1826" s="144"/>
      <c r="V1826" s="130" t="s">
        <v>228</v>
      </c>
      <c r="W1826" s="154" t="s">
        <v>187</v>
      </c>
      <c r="X1826" s="144"/>
      <c r="Y1826" s="130" t="s">
        <v>228</v>
      </c>
      <c r="Z1826" s="154" t="s">
        <v>187</v>
      </c>
      <c r="AA1826" s="144"/>
      <c r="AB1826" s="130" t="s">
        <v>228</v>
      </c>
      <c r="AC1826" s="154" t="s">
        <v>187</v>
      </c>
      <c r="AD1826" s="144"/>
      <c r="AE1826" s="130" t="s">
        <v>228</v>
      </c>
      <c r="AF1826" s="154" t="s">
        <v>187</v>
      </c>
      <c r="AG1826" s="144"/>
      <c r="AH1826" s="130" t="s">
        <v>228</v>
      </c>
      <c r="AI1826" s="154" t="s">
        <v>187</v>
      </c>
      <c r="AJ1826" s="144"/>
      <c r="AK1826" s="130" t="s">
        <v>228</v>
      </c>
      <c r="AL1826" s="154" t="s">
        <v>187</v>
      </c>
      <c r="AM1826" s="144"/>
      <c r="AN1826" s="130" t="s">
        <v>228</v>
      </c>
      <c r="AO1826" s="154" t="s">
        <v>187</v>
      </c>
      <c r="AP1826" s="144"/>
      <c r="AQ1826" s="130" t="s">
        <v>228</v>
      </c>
      <c r="AR1826" s="154" t="s">
        <v>187</v>
      </c>
      <c r="AS1826" s="144"/>
      <c r="AT1826" s="130" t="s">
        <v>228</v>
      </c>
      <c r="AU1826" s="154" t="s">
        <v>187</v>
      </c>
    </row>
    <row r="1827" spans="13:47" x14ac:dyDescent="0.25">
      <c r="M1827" s="20"/>
      <c r="N1827" s="20"/>
      <c r="O1827" s="7" t="s">
        <v>188</v>
      </c>
      <c r="P1827" s="7"/>
      <c r="Q1827" s="7"/>
      <c r="R1827" s="181">
        <f>P_1_minW-(R1825^2*R_up)+dpup_minQ</f>
        <v>100.51446970167301</v>
      </c>
      <c r="S1827" s="132"/>
      <c r="T1827" s="145"/>
      <c r="U1827" s="138">
        <f>P_1_minW-(U1825^2*R_up)+dpup_minQ</f>
        <v>99.423627818034163</v>
      </c>
      <c r="V1827" s="132"/>
      <c r="W1827" s="145"/>
      <c r="X1827" s="138">
        <f>P_1_minW-(X1825^2*R_up)+dpup_minQ</f>
        <v>93.799981702559322</v>
      </c>
      <c r="Y1827" s="132"/>
      <c r="Z1827" s="145"/>
      <c r="AA1827" s="138">
        <f>P_1_minW-(AA1825^2*R_up)+dpup_minQ</f>
        <v>75.018416544582848</v>
      </c>
      <c r="AB1827" s="132"/>
      <c r="AC1827" s="145"/>
      <c r="AD1827" s="138">
        <f>P_1_minW-(AD1825^2*R_up)+dpup_minQ</f>
        <v>31.53821353032977</v>
      </c>
      <c r="AE1827" s="132"/>
      <c r="AF1827" s="145"/>
      <c r="AG1827" s="138">
        <f>P_1_minW-(AG1825^2*R_up)+dpup_minQ</f>
        <v>-35.18519727953354</v>
      </c>
      <c r="AH1827" s="132"/>
      <c r="AI1827" s="145"/>
      <c r="AJ1827" s="138">
        <f>P_1_minW-(AJ1825^2*R_up)+dpup_minQ</f>
        <v>-118.26916404400332</v>
      </c>
      <c r="AK1827" s="132"/>
      <c r="AL1827" s="145"/>
      <c r="AM1827" s="138">
        <f>P_1_minW-(AM1825^2*R_up)+dpup_minQ</f>
        <v>-200.30316652687279</v>
      </c>
      <c r="AN1827" s="132"/>
      <c r="AO1827" s="145"/>
      <c r="AP1827" s="138">
        <f>P_1_minW-(AP1825^2*R_up)+dpup_minQ</f>
        <v>-273.92004831516465</v>
      </c>
      <c r="AQ1827" s="132"/>
      <c r="AR1827" s="145"/>
      <c r="AS1827" s="138">
        <f>P_1_minW-(AS1825^2*R_up)+dpup_minQ</f>
        <v>-365.55214862246066</v>
      </c>
      <c r="AT1827" s="132"/>
      <c r="AU1827" s="145"/>
    </row>
    <row r="1828" spans="13:47" x14ac:dyDescent="0.25">
      <c r="M1828" s="20"/>
      <c r="N1828" s="20"/>
      <c r="O1828" s="7" t="s">
        <v>189</v>
      </c>
      <c r="P1828" s="1"/>
      <c r="Q1828" s="7"/>
      <c r="R1828" s="181">
        <f>P_2_minW+(R1825^2*R_dn)-dpdn_minQ</f>
        <v>50</v>
      </c>
      <c r="S1828" s="132"/>
      <c r="T1828" s="146"/>
      <c r="U1828" s="138">
        <f>P_2_minW+(U1825^2*R_dn)-dpdn_minQ</f>
        <v>50</v>
      </c>
      <c r="V1828" s="132"/>
      <c r="W1828" s="146"/>
      <c r="X1828" s="138">
        <f>P_2_minW+(X1825^2*R_dn)-dpdn_minQ</f>
        <v>50</v>
      </c>
      <c r="Y1828" s="132"/>
      <c r="Z1828" s="146"/>
      <c r="AA1828" s="138">
        <f>P_2_minW+(AA1825^2*R_dn)-dpdn_minQ</f>
        <v>50</v>
      </c>
      <c r="AB1828" s="132"/>
      <c r="AC1828" s="146"/>
      <c r="AD1828" s="138">
        <f>P_2_minW+(AD1825^2*R_dn)-dpdn_minQ</f>
        <v>50</v>
      </c>
      <c r="AE1828" s="132"/>
      <c r="AF1828" s="146"/>
      <c r="AG1828" s="138">
        <f>P_2_minW+(AG1825^2*R_dn)-dpdn_minQ</f>
        <v>50</v>
      </c>
      <c r="AH1828" s="132"/>
      <c r="AI1828" s="146"/>
      <c r="AJ1828" s="138">
        <f>P_2_minW+(AJ1825^2*R_dn)-dpdn_minQ</f>
        <v>50</v>
      </c>
      <c r="AK1828" s="132"/>
      <c r="AL1828" s="146"/>
      <c r="AM1828" s="138">
        <f>P_2_minW+(AM1825^2*R_dn)-dpdn_minQ</f>
        <v>50</v>
      </c>
      <c r="AN1828" s="132"/>
      <c r="AO1828" s="146"/>
      <c r="AP1828" s="138">
        <f>P_2_minW+(AP1825^2*R_dn)-dpdn_minQ</f>
        <v>50</v>
      </c>
      <c r="AQ1828" s="132"/>
      <c r="AR1828" s="146"/>
      <c r="AS1828" s="138">
        <f>P_2_minW+(AS1825^2*R_dn)-dpdn_minQ</f>
        <v>50</v>
      </c>
      <c r="AT1828" s="132"/>
      <c r="AU1828" s="146"/>
    </row>
    <row r="1829" spans="13:47" x14ac:dyDescent="0.25">
      <c r="M1829" s="20"/>
      <c r="N1829" s="20"/>
      <c r="O1829" s="7" t="s">
        <v>234</v>
      </c>
      <c r="P1829" s="1"/>
      <c r="Q1829" s="7"/>
      <c r="R1829" s="179">
        <f>'Valve Sizing'!G$8*R1827/P_1_maxW</f>
        <v>0.48486390634254867</v>
      </c>
      <c r="S1829" s="132"/>
      <c r="T1829" s="146"/>
      <c r="U1829" s="143">
        <f>'Valve Sizing'!$G$8*U1827/P_1_maxW</f>
        <v>0.47960187930830178</v>
      </c>
      <c r="V1829" s="132"/>
      <c r="W1829" s="146"/>
      <c r="X1829" s="143">
        <f>'Valve Sizing'!$G$8*X1827/P_1_maxW</f>
        <v>0.45247441167573016</v>
      </c>
      <c r="Y1829" s="132"/>
      <c r="Z1829" s="146"/>
      <c r="AA1829" s="143">
        <f>'Valve Sizing'!$G$8*AA1827/P_1_maxW</f>
        <v>0.36187548520522617</v>
      </c>
      <c r="AB1829" s="132"/>
      <c r="AC1829" s="146"/>
      <c r="AD1829" s="143">
        <f>'Valve Sizing'!$G$8*AD1827/P_1_maxW</f>
        <v>0.15213472703748038</v>
      </c>
      <c r="AE1829" s="132"/>
      <c r="AF1829" s="146"/>
      <c r="AG1829" s="143">
        <f>'Valve Sizing'!$G$8*AG1827/P_1_maxW</f>
        <v>-0.16972712733820347</v>
      </c>
      <c r="AH1829" s="132"/>
      <c r="AI1829" s="146"/>
      <c r="AJ1829" s="143">
        <f>'Valve Sizing'!$G$8*AJ1827/P_1_maxW</f>
        <v>-0.5705093908214558</v>
      </c>
      <c r="AK1829" s="132"/>
      <c r="AL1829" s="146"/>
      <c r="AM1829" s="143">
        <f>'Valve Sizing'!$G$8*AM1827/P_1_maxW</f>
        <v>-0.96622681354488671</v>
      </c>
      <c r="AN1829" s="132"/>
      <c r="AO1829" s="146"/>
      <c r="AP1829" s="143">
        <f>'Valve Sizing'!$G$8*AP1827/P_1_maxW</f>
        <v>-1.3213415446136487</v>
      </c>
      <c r="AQ1829" s="132"/>
      <c r="AR1829" s="146"/>
      <c r="AS1829" s="143">
        <f>'Valve Sizing'!$G$8*AS1827/P_1_maxW</f>
        <v>-1.7633584824061217</v>
      </c>
      <c r="AT1829" s="132"/>
      <c r="AU1829" s="146"/>
    </row>
    <row r="1830" spans="13:47" x14ac:dyDescent="0.25">
      <c r="M1830" s="20"/>
      <c r="N1830" s="20"/>
      <c r="O1830" s="7" t="s">
        <v>190</v>
      </c>
      <c r="P1830" s="1"/>
      <c r="Q1830" s="7"/>
      <c r="R1830" s="181">
        <f>R1827-R1828</f>
        <v>50.514469701673008</v>
      </c>
      <c r="S1830" s="132"/>
      <c r="T1830" s="146"/>
      <c r="U1830" s="138">
        <f>U1827-U1828</f>
        <v>49.423627818034163</v>
      </c>
      <c r="V1830" s="132"/>
      <c r="W1830" s="146"/>
      <c r="X1830" s="138">
        <f>X1827-X1828</f>
        <v>43.799981702559322</v>
      </c>
      <c r="Y1830" s="132"/>
      <c r="Z1830" s="146"/>
      <c r="AA1830" s="138">
        <f>AA1827-AA1828</f>
        <v>25.018416544582848</v>
      </c>
      <c r="AB1830" s="132"/>
      <c r="AC1830" s="146"/>
      <c r="AD1830" s="138">
        <f>AD1827-AD1828</f>
        <v>-18.46178646967023</v>
      </c>
      <c r="AE1830" s="132"/>
      <c r="AF1830" s="146"/>
      <c r="AG1830" s="138">
        <f>AG1827-AG1828</f>
        <v>-85.18519727953354</v>
      </c>
      <c r="AH1830" s="132"/>
      <c r="AI1830" s="146"/>
      <c r="AJ1830" s="138">
        <f>AJ1827-AJ1828</f>
        <v>-168.26916404400333</v>
      </c>
      <c r="AK1830" s="132"/>
      <c r="AL1830" s="146"/>
      <c r="AM1830" s="138">
        <f>AM1827-AM1828</f>
        <v>-250.30316652687279</v>
      </c>
      <c r="AN1830" s="132"/>
      <c r="AO1830" s="146"/>
      <c r="AP1830" s="138">
        <f>AP1827-AP1828</f>
        <v>-323.92004831516465</v>
      </c>
      <c r="AQ1830" s="132"/>
      <c r="AR1830" s="146"/>
      <c r="AS1830" s="138">
        <f>AS1827-AS1828</f>
        <v>-415.55214862246066</v>
      </c>
      <c r="AT1830" s="132"/>
      <c r="AU1830" s="146"/>
    </row>
    <row r="1831" spans="13:47" ht="14.5" x14ac:dyDescent="0.35">
      <c r="M1831" s="27"/>
      <c r="N1831" s="27"/>
      <c r="O1831" s="2" t="s">
        <v>191</v>
      </c>
      <c r="P1831" s="10"/>
      <c r="Q1831" s="2"/>
      <c r="R1831" s="181">
        <f>R1830/R1827</f>
        <v>0.50255918229086793</v>
      </c>
      <c r="S1831" s="132"/>
      <c r="T1831" s="146"/>
      <c r="U1831" s="138">
        <f>U1830/U1827</f>
        <v>0.49710143255373501</v>
      </c>
      <c r="V1831" s="132"/>
      <c r="W1831" s="146"/>
      <c r="X1831" s="138">
        <f>X1830/X1827</f>
        <v>0.46695085550708848</v>
      </c>
      <c r="Y1831" s="132"/>
      <c r="Z1831" s="146"/>
      <c r="AA1831" s="138">
        <f>AA1830/AA1827</f>
        <v>0.33349699576389491</v>
      </c>
      <c r="AB1831" s="132"/>
      <c r="AC1831" s="146"/>
      <c r="AD1831" s="138">
        <f>AD1830/AD1827</f>
        <v>-0.58537832055439154</v>
      </c>
      <c r="AE1831" s="132"/>
      <c r="AF1831" s="146"/>
      <c r="AG1831" s="138">
        <f>AG1830/AG1827</f>
        <v>2.421052143114852</v>
      </c>
      <c r="AH1831" s="132"/>
      <c r="AI1831" s="146"/>
      <c r="AJ1831" s="138">
        <f>AJ1830/AJ1827</f>
        <v>1.4227644661578649</v>
      </c>
      <c r="AK1831" s="132"/>
      <c r="AL1831" s="146"/>
      <c r="AM1831" s="138">
        <f>AM1830/AM1827</f>
        <v>1.2496216154091202</v>
      </c>
      <c r="AN1831" s="132"/>
      <c r="AO1831" s="146"/>
      <c r="AP1831" s="138">
        <f>AP1830/AP1827</f>
        <v>1.1825350145326763</v>
      </c>
      <c r="AQ1831" s="132"/>
      <c r="AR1831" s="146"/>
      <c r="AS1831" s="138">
        <f>AS1830/AS1827</f>
        <v>1.1367793902687182</v>
      </c>
      <c r="AT1831" s="132"/>
      <c r="AU1831" s="146"/>
    </row>
    <row r="1832" spans="13:47" x14ac:dyDescent="0.25">
      <c r="M1832" s="27"/>
      <c r="N1832" s="27"/>
      <c r="O1832" s="2" t="s">
        <v>26</v>
      </c>
      <c r="P1832" s="7">
        <v>12</v>
      </c>
      <c r="Q1832" s="2"/>
      <c r="R1832" s="181">
        <f>1-R1831/(3*F_GAMMA*R$29)</f>
        <v>0.73826141897258735</v>
      </c>
      <c r="S1832" s="133"/>
      <c r="T1832" s="146"/>
      <c r="U1832" s="138">
        <f>1-U1831/(3*F_GAMMA*U$29)</f>
        <v>0.74116088005583536</v>
      </c>
      <c r="V1832" s="133"/>
      <c r="W1832" s="146"/>
      <c r="X1832" s="138">
        <f>1-X1831/(3*F_GAMMA*X$29)</f>
        <v>0.75321270459765821</v>
      </c>
      <c r="Y1832" s="133"/>
      <c r="Z1832" s="146"/>
      <c r="AA1832" s="138">
        <f>1-AA1831/(3*F_GAMMA*AA$29)</f>
        <v>0.82132743340090797</v>
      </c>
      <c r="AB1832" s="133"/>
      <c r="AC1832" s="146"/>
      <c r="AD1832" s="138">
        <f>1-AD1831/(3*F_GAMMA*AD$29)</f>
        <v>1.3222179283116953</v>
      </c>
      <c r="AE1832" s="133"/>
      <c r="AF1832" s="146"/>
      <c r="AG1832" s="138">
        <f>1-AG1831/(3*F_GAMMA*AG$29)</f>
        <v>-0.40867004831407727</v>
      </c>
      <c r="AH1832" s="133"/>
      <c r="AI1832" s="146"/>
      <c r="AJ1832" s="138">
        <f>1-AJ1831/(3*F_GAMMA*AJ$29)</f>
        <v>0.11504464780500712</v>
      </c>
      <c r="AK1832" s="133"/>
      <c r="AL1832" s="146"/>
      <c r="AM1832" s="138">
        <f>1-AM1831/(3*F_GAMMA*AM$29)</f>
        <v>0.15076331487610128</v>
      </c>
      <c r="AN1832" s="133"/>
      <c r="AO1832" s="146"/>
      <c r="AP1832" s="138">
        <f>1-AP1831/(3*F_GAMMA*AP$29)</f>
        <v>0.33587438286890636</v>
      </c>
      <c r="AQ1832" s="133"/>
      <c r="AR1832" s="146"/>
      <c r="AS1832" s="138">
        <f>1-AS1831/(3*F_GAMMA*AS$29)</f>
        <v>3.0809729771208438E-2</v>
      </c>
      <c r="AT1832" s="133"/>
      <c r="AU1832" s="146"/>
    </row>
    <row r="1833" spans="13:47" x14ac:dyDescent="0.25">
      <c r="M1833" s="27"/>
      <c r="N1833" s="27"/>
      <c r="O1833" s="2" t="s">
        <v>71</v>
      </c>
      <c r="P1833" s="85">
        <v>5</v>
      </c>
      <c r="Q1833" s="2"/>
      <c r="R1833" s="179">
        <f>R1825/((N_6*R$27*R1832)*SQRT(R1831*R1827*R1829))</f>
        <v>0.62452125188585617</v>
      </c>
      <c r="S1833" s="133"/>
      <c r="T1833" s="146"/>
      <c r="U1833" s="143">
        <f>U1825/((N_6*U$27*U1832)*SQRT(U1831*U1827*U1829))</f>
        <v>7.2739602996800761</v>
      </c>
      <c r="V1833" s="133"/>
      <c r="W1833" s="146"/>
      <c r="X1833" s="143">
        <f>X1825/((N_6*X$27*X1832)*SQRT(X1831*X1827*X1829))</f>
        <v>19.401977096066563</v>
      </c>
      <c r="Y1833" s="133"/>
      <c r="Z1833" s="146"/>
      <c r="AA1833" s="143">
        <f>AA1825/((N_6*AA$27*AA1832)*SQRT(AA1831*AA1827*AA1829))</f>
        <v>51.569676385512494</v>
      </c>
      <c r="AB1833" s="133"/>
      <c r="AC1833" s="146"/>
      <c r="AD1833" s="143" t="e">
        <f>AD1825/((N_6*AD$27*AD1832)*SQRT(AD1831*AD1827*AD1829))</f>
        <v>#NUM!</v>
      </c>
      <c r="AE1833" s="133"/>
      <c r="AF1833" s="146"/>
      <c r="AG1833" s="143">
        <f>AG1825/((N_6*AG$27*AG1832)*SQRT(AG1831*AG1827*AG1829))</f>
        <v>-195.56922732410075</v>
      </c>
      <c r="AH1833" s="133"/>
      <c r="AI1833" s="146"/>
      <c r="AJ1833" s="143">
        <f>AJ1825/((N_6*AJ$27*AJ1832)*SQRT(AJ1831*AJ1827*AJ1829))</f>
        <v>354.0817039409788</v>
      </c>
      <c r="AK1833" s="133"/>
      <c r="AL1833" s="146"/>
      <c r="AM1833" s="143">
        <f>AM1825/((N_6*AM$27*AM1832)*SQRT(AM1831*AM1827*AM1829))</f>
        <v>211.86606703250786</v>
      </c>
      <c r="AN1833" s="133"/>
      <c r="AO1833" s="146"/>
      <c r="AP1833" s="143">
        <f>AP1825/((N_6*AP$27*AP1832)*SQRT(AP1831*AP1827*AP1829))</f>
        <v>90.597390912846649</v>
      </c>
      <c r="AQ1833" s="133"/>
      <c r="AR1833" s="146"/>
      <c r="AS1833" s="143">
        <f>AS1825/((N_6*AS$27*AS1832)*SQRT(AS1831*AS1827*AS1829))</f>
        <v>1106.5488745130081</v>
      </c>
      <c r="AT1833" s="133"/>
      <c r="AU1833" s="146"/>
    </row>
    <row r="1834" spans="13:47" x14ac:dyDescent="0.25">
      <c r="M1834" s="27"/>
      <c r="N1834" s="27"/>
      <c r="O1834" s="2" t="s">
        <v>73</v>
      </c>
      <c r="P1834" s="85">
        <v>5</v>
      </c>
      <c r="Q1834" s="2"/>
      <c r="R1834" s="179">
        <f>R1825/((N_6*R$27*0.667)*SQRT(R1835*R1827*R1829))</f>
        <v>0.61252816065172266</v>
      </c>
      <c r="S1834" s="133"/>
      <c r="T1834" s="155"/>
      <c r="U1834" s="143">
        <f>U1825/((N_6*U$27*0.667)*SQRT(U1835*U1827*U1829))</f>
        <v>7.1225116036819562</v>
      </c>
      <c r="V1834" s="133"/>
      <c r="W1834" s="155"/>
      <c r="X1834" s="143">
        <f>X1825/((N_6*X$27*0.667)*SQRT(X1835*X1827*X1829))</f>
        <v>18.852103568463871</v>
      </c>
      <c r="Y1834" s="133"/>
      <c r="Z1834" s="155"/>
      <c r="AA1834" s="143">
        <f>AA1825/((N_6*AA$27*0.667)*SQRT(AA1835*AA1827*AA1829))</f>
        <v>46.491597217185145</v>
      </c>
      <c r="AB1834" s="133"/>
      <c r="AC1834" s="155"/>
      <c r="AD1834" s="143">
        <f>AD1825/((N_6*AD$27*0.667)*SQRT(AD1835*AD1827*AD1829))</f>
        <v>186.54868759801633</v>
      </c>
      <c r="AE1834" s="133"/>
      <c r="AF1834" s="155"/>
      <c r="AG1834" s="143">
        <f>AG1825/((N_6*AG$27*0.667)*SQRT(AG1835*AG1827*AG1829))</f>
        <v>246.3274226432809</v>
      </c>
      <c r="AH1834" s="133"/>
      <c r="AI1834" s="155"/>
      <c r="AJ1834" s="143">
        <f>AJ1825/((N_6*AJ$27*0.667)*SQRT(AJ1835*AJ1827*AJ1829))</f>
        <v>99.50969130206596</v>
      </c>
      <c r="AK1834" s="133"/>
      <c r="AL1834" s="155"/>
      <c r="AM1834" s="143">
        <f>AM1825/((N_6*AM$27*0.667)*SQRT(AM1835*AM1827*AM1829))</f>
        <v>76.43746036072973</v>
      </c>
      <c r="AN1834" s="133"/>
      <c r="AO1834" s="155"/>
      <c r="AP1834" s="143">
        <f>AP1825/((N_6*AP$27*0.667)*SQRT(AP1835*AP1827*AP1829))</f>
        <v>64.395049577813325</v>
      </c>
      <c r="AQ1834" s="133"/>
      <c r="AR1834" s="155"/>
      <c r="AS1834" s="143">
        <f>AS1825/((N_6*AS$27*0.667)*SQRT(AS1835*AS1827*AS1829))</f>
        <v>87.156103551467439</v>
      </c>
      <c r="AT1834" s="133"/>
      <c r="AU1834" s="155"/>
    </row>
    <row r="1835" spans="13:47" ht="15.5" x14ac:dyDescent="0.4">
      <c r="M1835" s="27"/>
      <c r="N1835" s="27"/>
      <c r="O1835" s="2" t="s">
        <v>192</v>
      </c>
      <c r="P1835" s="85">
        <v>10</v>
      </c>
      <c r="Q1835" s="2"/>
      <c r="R1835" s="181">
        <f>F_GAMMA*R$29</f>
        <v>0.64002688015162901</v>
      </c>
      <c r="S1835" s="133"/>
      <c r="T1835" s="155"/>
      <c r="U1835" s="138">
        <f>F_GAMMA*U$29</f>
        <v>0.64016782916606918</v>
      </c>
      <c r="V1835" s="133"/>
      <c r="W1835" s="155"/>
      <c r="X1835" s="138">
        <f>F_GAMMA*X$29</f>
        <v>0.6307062319203669</v>
      </c>
      <c r="Y1835" s="133"/>
      <c r="Z1835" s="155"/>
      <c r="AA1835" s="138">
        <f>F_GAMMA*AA$29</f>
        <v>0.62217534213893466</v>
      </c>
      <c r="AB1835" s="133"/>
      <c r="AC1835" s="155"/>
      <c r="AD1835" s="138">
        <f>F_GAMMA*AD$29</f>
        <v>0.60557184969146072</v>
      </c>
      <c r="AE1835" s="133"/>
      <c r="AF1835" s="155"/>
      <c r="AG1835" s="138">
        <f>F_GAMMA*AG$29</f>
        <v>0.57289312142622573</v>
      </c>
      <c r="AH1835" s="133"/>
      <c r="AI1835" s="155"/>
      <c r="AJ1835" s="138">
        <f>F_GAMMA*AJ$29</f>
        <v>0.53590819116049981</v>
      </c>
      <c r="AK1835" s="133"/>
      <c r="AL1835" s="155"/>
      <c r="AM1835" s="138">
        <f>F_GAMMA*AM$29</f>
        <v>0.49048815926850342</v>
      </c>
      <c r="AN1835" s="133"/>
      <c r="AO1835" s="155"/>
      <c r="AP1835" s="138">
        <f>F_GAMMA*AP$29</f>
        <v>0.59352979016280105</v>
      </c>
      <c r="AQ1835" s="133"/>
      <c r="AR1835" s="155"/>
      <c r="AS1835" s="138">
        <f>F_GAMMA*AS$29</f>
        <v>0.39097221161068291</v>
      </c>
      <c r="AT1835" s="133"/>
      <c r="AU1835" s="155"/>
    </row>
    <row r="1836" spans="13:47" x14ac:dyDescent="0.25">
      <c r="M1836" s="27"/>
      <c r="N1836" s="27"/>
      <c r="O1836" s="2" t="s">
        <v>193</v>
      </c>
      <c r="P1836" s="134"/>
      <c r="Q1836" s="2"/>
      <c r="R1836" s="181">
        <f>IF(R1831&lt;R1835,R1833,R1834)</f>
        <v>0.62452125188585617</v>
      </c>
      <c r="S1836" s="133"/>
      <c r="T1836" s="155"/>
      <c r="U1836" s="138">
        <f>IF(U1831&lt;U1835,U1833,U1834)</f>
        <v>7.2739602996800761</v>
      </c>
      <c r="V1836" s="133"/>
      <c r="W1836" s="155"/>
      <c r="X1836" s="138">
        <f>IF(X1831&lt;X1835,X1833,X1834)</f>
        <v>19.401977096066563</v>
      </c>
      <c r="Y1836" s="133"/>
      <c r="Z1836" s="155"/>
      <c r="AA1836" s="138">
        <f>IF(AA1831&lt;AA1835,AA1833,AA1834)</f>
        <v>51.569676385512494</v>
      </c>
      <c r="AB1836" s="133"/>
      <c r="AC1836" s="155"/>
      <c r="AD1836" s="138" t="e">
        <f>IF(AD1831&lt;AD1835,AD1833,AD1834)</f>
        <v>#NUM!</v>
      </c>
      <c r="AE1836" s="133"/>
      <c r="AF1836" s="155"/>
      <c r="AG1836" s="138">
        <f>IF(AG1831&lt;AG1835,AG1833,AG1834)</f>
        <v>246.3274226432809</v>
      </c>
      <c r="AH1836" s="133"/>
      <c r="AI1836" s="155"/>
      <c r="AJ1836" s="138">
        <f>IF(AJ1831&lt;AJ1835,AJ1833,AJ1834)</f>
        <v>99.50969130206596</v>
      </c>
      <c r="AK1836" s="133"/>
      <c r="AL1836" s="155"/>
      <c r="AM1836" s="138">
        <f>IF(AM1831&lt;AM1835,AM1833,AM1834)</f>
        <v>76.43746036072973</v>
      </c>
      <c r="AN1836" s="133"/>
      <c r="AO1836" s="155"/>
      <c r="AP1836" s="138">
        <f>IF(AP1831&lt;AP1835,AP1833,AP1834)</f>
        <v>64.395049577813325</v>
      </c>
      <c r="AQ1836" s="133"/>
      <c r="AR1836" s="155"/>
      <c r="AS1836" s="138">
        <f>IF(AS1831&lt;AS1835,AS1833,AS1834)</f>
        <v>87.156103551467439</v>
      </c>
      <c r="AT1836" s="133"/>
      <c r="AU1836" s="155"/>
    </row>
    <row r="1837" spans="13:47" ht="13" x14ac:dyDescent="0.3">
      <c r="M1837" s="28"/>
      <c r="N1837" s="28"/>
      <c r="O1837" s="9" t="s">
        <v>194</v>
      </c>
      <c r="P1837" s="1"/>
      <c r="Q1837" s="1"/>
      <c r="R1837" s="135"/>
      <c r="S1837" s="132">
        <f>IF(R1830&lt;=0,W_max,ABS(R$23-R1836))</f>
        <v>1.3754787481141437</v>
      </c>
      <c r="T1837" s="151">
        <f>R1825</f>
        <v>144.42004374312322</v>
      </c>
      <c r="U1837" s="135"/>
      <c r="V1837" s="132">
        <f>IF(U1830&lt;=0,W_max,ABS(U$23-U1836))</f>
        <v>2.2739602996800761</v>
      </c>
      <c r="W1837" s="151">
        <f>U1825</f>
        <v>1660.2498525209157</v>
      </c>
      <c r="X1837" s="135"/>
      <c r="Y1837" s="132">
        <f>IF(X1830&lt;=0,W_max,ABS(X$23-X1836))</f>
        <v>9.4019770960665632</v>
      </c>
      <c r="Z1837" s="151">
        <f>X1825</f>
        <v>4105.9954573326686</v>
      </c>
      <c r="AA1837" s="135"/>
      <c r="AB1837" s="132">
        <f>IF(AA1830&lt;=0,W_max,ABS(AA$23-AA1836))</f>
        <v>34.369676385512491</v>
      </c>
      <c r="AC1837" s="151">
        <f>AA1825</f>
        <v>7997.4311143763362</v>
      </c>
      <c r="AD1837" s="135"/>
      <c r="AE1837" s="132">
        <f>IF(AD1830&lt;=0,W_max,ABS(AD$23-AD1836))</f>
        <v>7174</v>
      </c>
      <c r="AF1837" s="151">
        <f>AD1825</f>
        <v>13152.829703707705</v>
      </c>
      <c r="AG1837" s="135"/>
      <c r="AH1837" s="132">
        <f>IF(AG1830&lt;=0,W_max,ABS(AG$23-AG1836))</f>
        <v>7174</v>
      </c>
      <c r="AI1837" s="151">
        <f>AG1825</f>
        <v>18447.856245427978</v>
      </c>
      <c r="AJ1837" s="135"/>
      <c r="AK1837" s="132">
        <f>IF(AJ1830&lt;=0,W_max,ABS(AJ$23-AJ1836))</f>
        <v>7174</v>
      </c>
      <c r="AL1837" s="151">
        <f>AJ1825</f>
        <v>23423.882265955788</v>
      </c>
      <c r="AM1837" s="135"/>
      <c r="AN1837" s="132">
        <f>IF(AM1830&lt;=0,W_max,ABS(AM$23-AM1836))</f>
        <v>7174</v>
      </c>
      <c r="AO1837" s="151">
        <f>AM1825</f>
        <v>27466.344126266697</v>
      </c>
      <c r="AP1837" s="135"/>
      <c r="AQ1837" s="132">
        <f>IF(AP1830&lt;=0,W_max,ABS(AP$23-AP1836))</f>
        <v>7174</v>
      </c>
      <c r="AR1837" s="151">
        <f>AP1825</f>
        <v>30643.330740292586</v>
      </c>
      <c r="AS1837" s="135"/>
      <c r="AT1837" s="132">
        <f>IF(AS1830&lt;=0,W_max,ABS(AS$23-AS1836))</f>
        <v>7174</v>
      </c>
      <c r="AU1837" s="151">
        <f>AS1825</f>
        <v>34187.794143340703</v>
      </c>
    </row>
    <row r="1838" spans="13:47" ht="13" x14ac:dyDescent="0.25">
      <c r="M1838" s="12"/>
      <c r="N1838" s="12"/>
      <c r="O1838" s="2"/>
      <c r="P1838" s="85"/>
      <c r="Q1838" s="2"/>
      <c r="R1838" s="18"/>
      <c r="S1838" s="150"/>
      <c r="T1838" s="148"/>
      <c r="U1838" s="157"/>
      <c r="V1838" s="1"/>
      <c r="W1838" s="147"/>
      <c r="X1838" s="157"/>
      <c r="Y1838" s="1"/>
      <c r="Z1838" s="147"/>
      <c r="AA1838" s="157"/>
      <c r="AB1838" s="1"/>
      <c r="AC1838" s="147"/>
      <c r="AD1838" s="157"/>
      <c r="AE1838" s="1"/>
      <c r="AF1838" s="147"/>
      <c r="AG1838" s="157"/>
      <c r="AH1838" s="1"/>
      <c r="AI1838" s="147"/>
      <c r="AJ1838" s="157"/>
      <c r="AK1838" s="1"/>
      <c r="AL1838" s="147"/>
      <c r="AM1838" s="157"/>
      <c r="AN1838" s="1"/>
      <c r="AO1838" s="147"/>
      <c r="AP1838" s="157"/>
      <c r="AQ1838" s="1"/>
      <c r="AR1838" s="147"/>
      <c r="AS1838" s="157"/>
      <c r="AT1838" s="1"/>
      <c r="AU1838" s="147"/>
    </row>
    <row r="1839" spans="13:47" ht="14" x14ac:dyDescent="0.3">
      <c r="M1839" s="23"/>
      <c r="N1839" s="23"/>
      <c r="O1839" s="23" t="s">
        <v>238</v>
      </c>
      <c r="P1839" s="20"/>
      <c r="Q1839" s="20"/>
      <c r="R1839" s="181">
        <f>R1825*1.02</f>
        <v>147.30844461798569</v>
      </c>
      <c r="S1839" s="128" t="s">
        <v>185</v>
      </c>
      <c r="T1839" s="149" t="s">
        <v>186</v>
      </c>
      <c r="U1839" s="143">
        <f>U1825*1.01</f>
        <v>1676.852351046125</v>
      </c>
      <c r="V1839" s="128" t="s">
        <v>185</v>
      </c>
      <c r="W1839" s="153" t="s">
        <v>186</v>
      </c>
      <c r="X1839" s="143">
        <f>X1825*1.01</f>
        <v>4147.0554119059952</v>
      </c>
      <c r="Y1839" s="128" t="s">
        <v>185</v>
      </c>
      <c r="Z1839" s="153" t="s">
        <v>186</v>
      </c>
      <c r="AA1839" s="143">
        <f>AA1825*1.01</f>
        <v>8077.4054255200999</v>
      </c>
      <c r="AB1839" s="128" t="s">
        <v>185</v>
      </c>
      <c r="AC1839" s="153" t="s">
        <v>186</v>
      </c>
      <c r="AD1839" s="143">
        <f>AD1825*1.01</f>
        <v>13284.358000744782</v>
      </c>
      <c r="AE1839" s="128" t="s">
        <v>185</v>
      </c>
      <c r="AF1839" s="153" t="s">
        <v>186</v>
      </c>
      <c r="AG1839" s="143">
        <f>AG1825*1.01</f>
        <v>18632.334807882256</v>
      </c>
      <c r="AH1839" s="128" t="s">
        <v>185</v>
      </c>
      <c r="AI1839" s="153" t="s">
        <v>186</v>
      </c>
      <c r="AJ1839" s="143">
        <f>AJ1825*1.01</f>
        <v>23658.121088615346</v>
      </c>
      <c r="AK1839" s="128" t="s">
        <v>185</v>
      </c>
      <c r="AL1839" s="153" t="s">
        <v>186</v>
      </c>
      <c r="AM1839" s="143">
        <f>AM1825*1.01</f>
        <v>27741.007567529363</v>
      </c>
      <c r="AN1839" s="128" t="s">
        <v>185</v>
      </c>
      <c r="AO1839" s="153" t="s">
        <v>186</v>
      </c>
      <c r="AP1839" s="143">
        <f>AP1825*1.01</f>
        <v>30949.764047695513</v>
      </c>
      <c r="AQ1839" s="128" t="s">
        <v>185</v>
      </c>
      <c r="AR1839" s="153" t="s">
        <v>186</v>
      </c>
      <c r="AS1839" s="143">
        <f>AS1825*1.01</f>
        <v>34529.672084774109</v>
      </c>
      <c r="AT1839" s="128" t="s">
        <v>185</v>
      </c>
      <c r="AU1839" s="153" t="s">
        <v>186</v>
      </c>
    </row>
    <row r="1840" spans="13:47" ht="14" x14ac:dyDescent="0.3">
      <c r="M1840" s="12"/>
      <c r="N1840" s="12"/>
      <c r="O1840" s="20"/>
      <c r="P1840" s="20"/>
      <c r="Q1840" s="23"/>
      <c r="R1840" s="139"/>
      <c r="S1840" s="130" t="s">
        <v>228</v>
      </c>
      <c r="T1840" s="131" t="s">
        <v>187</v>
      </c>
      <c r="U1840" s="144"/>
      <c r="V1840" s="130" t="s">
        <v>228</v>
      </c>
      <c r="W1840" s="154" t="s">
        <v>187</v>
      </c>
      <c r="X1840" s="144"/>
      <c r="Y1840" s="130" t="s">
        <v>228</v>
      </c>
      <c r="Z1840" s="154" t="s">
        <v>187</v>
      </c>
      <c r="AA1840" s="144"/>
      <c r="AB1840" s="130" t="s">
        <v>228</v>
      </c>
      <c r="AC1840" s="154" t="s">
        <v>187</v>
      </c>
      <c r="AD1840" s="144"/>
      <c r="AE1840" s="130" t="s">
        <v>228</v>
      </c>
      <c r="AF1840" s="154" t="s">
        <v>187</v>
      </c>
      <c r="AG1840" s="144"/>
      <c r="AH1840" s="130" t="s">
        <v>228</v>
      </c>
      <c r="AI1840" s="154" t="s">
        <v>187</v>
      </c>
      <c r="AJ1840" s="144"/>
      <c r="AK1840" s="130" t="s">
        <v>228</v>
      </c>
      <c r="AL1840" s="154" t="s">
        <v>187</v>
      </c>
      <c r="AM1840" s="144"/>
      <c r="AN1840" s="130" t="s">
        <v>228</v>
      </c>
      <c r="AO1840" s="154" t="s">
        <v>187</v>
      </c>
      <c r="AP1840" s="144"/>
      <c r="AQ1840" s="130" t="s">
        <v>228</v>
      </c>
      <c r="AR1840" s="154" t="s">
        <v>187</v>
      </c>
      <c r="AS1840" s="144"/>
      <c r="AT1840" s="130" t="s">
        <v>228</v>
      </c>
      <c r="AU1840" s="154" t="s">
        <v>187</v>
      </c>
    </row>
    <row r="1841" spans="13:47" x14ac:dyDescent="0.25">
      <c r="M1841" s="20"/>
      <c r="N1841" s="20"/>
      <c r="O1841" s="7" t="s">
        <v>188</v>
      </c>
      <c r="P1841" s="7"/>
      <c r="Q1841" s="7"/>
      <c r="R1841" s="181">
        <f>P_1_minW-(R1839^2*R_up)+dpup_minQ</f>
        <v>100.51413369345684</v>
      </c>
      <c r="S1841" s="132"/>
      <c r="T1841" s="145"/>
      <c r="U1841" s="138">
        <f>P_1_minW-(U1839^2*R_up)+dpup_minQ</f>
        <v>99.401534723768435</v>
      </c>
      <c r="V1841" s="132"/>
      <c r="W1841" s="145"/>
      <c r="X1841" s="138">
        <f>P_1_minW-(X1839^2*R_up)+dpup_minQ</f>
        <v>93.664853321372547</v>
      </c>
      <c r="Y1841" s="132"/>
      <c r="Z1841" s="145"/>
      <c r="AA1841" s="138">
        <f>P_1_minW-(AA1839^2*R_up)+dpup_minQ</f>
        <v>74.50577870372075</v>
      </c>
      <c r="AB1841" s="132"/>
      <c r="AC1841" s="145"/>
      <c r="AD1841" s="138">
        <f>P_1_minW-(AD1839^2*R_up)+dpup_minQ</f>
        <v>30.151623608881195</v>
      </c>
      <c r="AE1841" s="132"/>
      <c r="AF1841" s="145"/>
      <c r="AG1841" s="138">
        <f>P_1_minW-(AG1839^2*R_up)+dpup_minQ</f>
        <v>-37.912927758260352</v>
      </c>
      <c r="AH1841" s="132"/>
      <c r="AI1841" s="145"/>
      <c r="AJ1841" s="138">
        <f>P_1_minW-(AJ1839^2*R_up)+dpup_minQ</f>
        <v>-122.66688225469598</v>
      </c>
      <c r="AK1841" s="132"/>
      <c r="AL1841" s="145"/>
      <c r="AM1841" s="138">
        <f>P_1_minW-(AM1839^2*R_up)+dpup_minQ</f>
        <v>-206.34976818747114</v>
      </c>
      <c r="AN1841" s="132"/>
      <c r="AO1841" s="145"/>
      <c r="AP1841" s="138">
        <f>P_1_minW-(AP1839^2*R_up)+dpup_minQ</f>
        <v>-281.44634929970772</v>
      </c>
      <c r="AQ1841" s="132"/>
      <c r="AR1841" s="145"/>
      <c r="AS1841" s="138">
        <f>P_1_minW-(AS1839^2*R_up)+dpup_minQ</f>
        <v>-374.9202548231803</v>
      </c>
      <c r="AT1841" s="132"/>
      <c r="AU1841" s="145"/>
    </row>
    <row r="1842" spans="13:47" x14ac:dyDescent="0.25">
      <c r="M1842" s="20"/>
      <c r="N1842" s="20"/>
      <c r="O1842" s="7" t="s">
        <v>189</v>
      </c>
      <c r="P1842" s="1"/>
      <c r="Q1842" s="7"/>
      <c r="R1842" s="181">
        <f>P_2_minW+(R1839^2*R_dn)-dpdn_minQ</f>
        <v>50</v>
      </c>
      <c r="S1842" s="132"/>
      <c r="T1842" s="146"/>
      <c r="U1842" s="138">
        <f>P_2_minW+(U1839^2*R_dn)-dpdn_minQ</f>
        <v>50</v>
      </c>
      <c r="V1842" s="132"/>
      <c r="W1842" s="146"/>
      <c r="X1842" s="138">
        <f>P_2_minW+(X1839^2*R_dn)-dpdn_minQ</f>
        <v>50</v>
      </c>
      <c r="Y1842" s="132"/>
      <c r="Z1842" s="146"/>
      <c r="AA1842" s="138">
        <f>P_2_minW+(AA1839^2*R_dn)-dpdn_minQ</f>
        <v>50</v>
      </c>
      <c r="AB1842" s="132"/>
      <c r="AC1842" s="146"/>
      <c r="AD1842" s="138">
        <f>P_2_minW+(AD1839^2*R_dn)-dpdn_minQ</f>
        <v>50</v>
      </c>
      <c r="AE1842" s="132"/>
      <c r="AF1842" s="146"/>
      <c r="AG1842" s="138">
        <f>P_2_minW+(AG1839^2*R_dn)-dpdn_minQ</f>
        <v>50</v>
      </c>
      <c r="AH1842" s="132"/>
      <c r="AI1842" s="146"/>
      <c r="AJ1842" s="138">
        <f>P_2_minW+(AJ1839^2*R_dn)-dpdn_minQ</f>
        <v>50</v>
      </c>
      <c r="AK1842" s="132"/>
      <c r="AL1842" s="146"/>
      <c r="AM1842" s="138">
        <f>P_2_minW+(AM1839^2*R_dn)-dpdn_minQ</f>
        <v>50</v>
      </c>
      <c r="AN1842" s="132"/>
      <c r="AO1842" s="146"/>
      <c r="AP1842" s="138">
        <f>P_2_minW+(AP1839^2*R_dn)-dpdn_minQ</f>
        <v>50</v>
      </c>
      <c r="AQ1842" s="132"/>
      <c r="AR1842" s="146"/>
      <c r="AS1842" s="138">
        <f>P_2_minW+(AS1839^2*R_dn)-dpdn_minQ</f>
        <v>50</v>
      </c>
      <c r="AT1842" s="132"/>
      <c r="AU1842" s="146"/>
    </row>
    <row r="1843" spans="13:47" x14ac:dyDescent="0.25">
      <c r="M1843" s="20"/>
      <c r="N1843" s="20"/>
      <c r="O1843" s="7" t="s">
        <v>234</v>
      </c>
      <c r="P1843" s="1"/>
      <c r="Q1843" s="7"/>
      <c r="R1843" s="179">
        <f>'Valve Sizing'!G$8*R1841/P_1_maxW</f>
        <v>0.4848622854987365</v>
      </c>
      <c r="S1843" s="132"/>
      <c r="T1843" s="146"/>
      <c r="U1843" s="143">
        <f>'Valve Sizing'!$G$8*U1841/P_1_maxW</f>
        <v>0.47949530615499691</v>
      </c>
      <c r="V1843" s="132"/>
      <c r="W1843" s="146"/>
      <c r="X1843" s="143">
        <f>'Valve Sizing'!$G$8*X1841/P_1_maxW</f>
        <v>0.4518225764230106</v>
      </c>
      <c r="Y1843" s="132"/>
      <c r="Z1843" s="146"/>
      <c r="AA1843" s="143">
        <f>'Valve Sizing'!$G$8*AA1841/P_1_maxW</f>
        <v>0.3594026115304495</v>
      </c>
      <c r="AB1843" s="132"/>
      <c r="AC1843" s="146"/>
      <c r="AD1843" s="143">
        <f>'Valve Sizing'!$G$8*AD1841/P_1_maxW</f>
        <v>0.14544606412353206</v>
      </c>
      <c r="AE1843" s="132"/>
      <c r="AF1843" s="146"/>
      <c r="AG1843" s="143">
        <f>'Valve Sizing'!$G$8*AG1841/P_1_maxW</f>
        <v>-0.18288521352510298</v>
      </c>
      <c r="AH1843" s="132"/>
      <c r="AI1843" s="146"/>
      <c r="AJ1843" s="143">
        <f>'Valve Sizing'!$G$8*AJ1841/P_1_maxW</f>
        <v>-0.59172320050436877</v>
      </c>
      <c r="AK1843" s="132"/>
      <c r="AL1843" s="146"/>
      <c r="AM1843" s="143">
        <f>'Valve Sizing'!$G$8*AM1841/P_1_maxW</f>
        <v>-0.99539454342454081</v>
      </c>
      <c r="AN1843" s="132"/>
      <c r="AO1843" s="146"/>
      <c r="AP1843" s="143">
        <f>'Valve Sizing'!$G$8*AP1841/P_1_maxW</f>
        <v>-1.3576470805877849</v>
      </c>
      <c r="AQ1843" s="132"/>
      <c r="AR1843" s="146"/>
      <c r="AS1843" s="143">
        <f>'Valve Sizing'!$G$8*AS1841/P_1_maxW</f>
        <v>-1.8085485588298862</v>
      </c>
      <c r="AT1843" s="132"/>
      <c r="AU1843" s="146"/>
    </row>
    <row r="1844" spans="13:47" x14ac:dyDescent="0.25">
      <c r="M1844" s="20"/>
      <c r="N1844" s="20"/>
      <c r="O1844" s="7" t="s">
        <v>190</v>
      </c>
      <c r="P1844" s="1"/>
      <c r="Q1844" s="7"/>
      <c r="R1844" s="181">
        <f>R1841-R1842</f>
        <v>50.514133693456841</v>
      </c>
      <c r="S1844" s="132"/>
      <c r="T1844" s="146"/>
      <c r="U1844" s="138">
        <f>U1841-U1842</f>
        <v>49.401534723768435</v>
      </c>
      <c r="V1844" s="132"/>
      <c r="W1844" s="146"/>
      <c r="X1844" s="138">
        <f>X1841-X1842</f>
        <v>43.664853321372547</v>
      </c>
      <c r="Y1844" s="132"/>
      <c r="Z1844" s="146"/>
      <c r="AA1844" s="138">
        <f>AA1841-AA1842</f>
        <v>24.50577870372075</v>
      </c>
      <c r="AB1844" s="132"/>
      <c r="AC1844" s="146"/>
      <c r="AD1844" s="138">
        <f>AD1841-AD1842</f>
        <v>-19.848376391118805</v>
      </c>
      <c r="AE1844" s="132"/>
      <c r="AF1844" s="146"/>
      <c r="AG1844" s="138">
        <f>AG1841-AG1842</f>
        <v>-87.912927758260352</v>
      </c>
      <c r="AH1844" s="132"/>
      <c r="AI1844" s="146"/>
      <c r="AJ1844" s="138">
        <f>AJ1841-AJ1842</f>
        <v>-172.66688225469596</v>
      </c>
      <c r="AK1844" s="132"/>
      <c r="AL1844" s="146"/>
      <c r="AM1844" s="138">
        <f>AM1841-AM1842</f>
        <v>-256.34976818747111</v>
      </c>
      <c r="AN1844" s="132"/>
      <c r="AO1844" s="146"/>
      <c r="AP1844" s="138">
        <f>AP1841-AP1842</f>
        <v>-331.44634929970772</v>
      </c>
      <c r="AQ1844" s="132"/>
      <c r="AR1844" s="146"/>
      <c r="AS1844" s="138">
        <f>AS1841-AS1842</f>
        <v>-424.9202548231803</v>
      </c>
      <c r="AT1844" s="132"/>
      <c r="AU1844" s="146"/>
    </row>
    <row r="1845" spans="13:47" ht="14.5" x14ac:dyDescent="0.35">
      <c r="M1845" s="27"/>
      <c r="N1845" s="27"/>
      <c r="O1845" s="2" t="s">
        <v>191</v>
      </c>
      <c r="P1845" s="10"/>
      <c r="Q1845" s="2"/>
      <c r="R1845" s="181">
        <f>R1844/R1841</f>
        <v>0.50255751939834059</v>
      </c>
      <c r="S1845" s="132"/>
      <c r="T1845" s="146"/>
      <c r="U1845" s="138">
        <f>U1844/U1841</f>
        <v>0.49698965776587523</v>
      </c>
      <c r="V1845" s="132"/>
      <c r="W1845" s="146"/>
      <c r="X1845" s="138">
        <f>X1844/X1841</f>
        <v>0.46618183633464416</v>
      </c>
      <c r="Y1845" s="132"/>
      <c r="Z1845" s="146"/>
      <c r="AA1845" s="138">
        <f>AA1844/AA1841</f>
        <v>0.32891111441396093</v>
      </c>
      <c r="AB1845" s="132"/>
      <c r="AC1845" s="146"/>
      <c r="AD1845" s="138">
        <f>AD1844/AD1841</f>
        <v>-0.65828549230338773</v>
      </c>
      <c r="AE1845" s="132"/>
      <c r="AF1845" s="146"/>
      <c r="AG1845" s="138">
        <f>AG1844/AG1841</f>
        <v>2.3188113647885227</v>
      </c>
      <c r="AH1845" s="132"/>
      <c r="AI1845" s="146"/>
      <c r="AJ1845" s="138">
        <f>AJ1844/AJ1841</f>
        <v>1.4076079792766223</v>
      </c>
      <c r="AK1845" s="132"/>
      <c r="AL1845" s="146"/>
      <c r="AM1845" s="138">
        <f>AM1844/AM1841</f>
        <v>1.2423070325650882</v>
      </c>
      <c r="AN1845" s="132"/>
      <c r="AO1845" s="146"/>
      <c r="AP1845" s="138">
        <f>AP1844/AP1841</f>
        <v>1.1776537522139106</v>
      </c>
      <c r="AQ1845" s="132"/>
      <c r="AR1845" s="146"/>
      <c r="AS1845" s="138">
        <f>AS1844/AS1841</f>
        <v>1.1333616932048149</v>
      </c>
      <c r="AT1845" s="132"/>
      <c r="AU1845" s="146"/>
    </row>
    <row r="1846" spans="13:47" x14ac:dyDescent="0.25">
      <c r="M1846" s="27"/>
      <c r="N1846" s="27"/>
      <c r="O1846" s="2" t="s">
        <v>26</v>
      </c>
      <c r="P1846" s="7">
        <v>12</v>
      </c>
      <c r="Q1846" s="2"/>
      <c r="R1846" s="181">
        <f>1-R1845/(3*F_GAMMA*R$29)</f>
        <v>0.73826228502607083</v>
      </c>
      <c r="S1846" s="133"/>
      <c r="T1846" s="146"/>
      <c r="U1846" s="138">
        <f>1-U1845/(3*F_GAMMA*U$29)</f>
        <v>0.74121908082901156</v>
      </c>
      <c r="V1846" s="133"/>
      <c r="W1846" s="146"/>
      <c r="X1846" s="138">
        <f>1-X1845/(3*F_GAMMA*X$29)</f>
        <v>0.75361913743623599</v>
      </c>
      <c r="Y1846" s="133"/>
      <c r="Z1846" s="146"/>
      <c r="AA1846" s="138">
        <f>1-AA1845/(3*F_GAMMA*AA$29)</f>
        <v>0.82378434066340012</v>
      </c>
      <c r="AB1846" s="133"/>
      <c r="AC1846" s="146"/>
      <c r="AD1846" s="138">
        <f>1-AD1845/(3*F_GAMMA*AD$29)</f>
        <v>1.3623492365873042</v>
      </c>
      <c r="AE1846" s="133"/>
      <c r="AF1846" s="146"/>
      <c r="AG1846" s="138">
        <f>1-AG1845/(3*F_GAMMA*AG$29)</f>
        <v>-0.34918205977396966</v>
      </c>
      <c r="AH1846" s="133"/>
      <c r="AI1846" s="146"/>
      <c r="AJ1846" s="138">
        <f>1-AJ1845/(3*F_GAMMA*AJ$29)</f>
        <v>0.12447193848105964</v>
      </c>
      <c r="AK1846" s="133"/>
      <c r="AL1846" s="146"/>
      <c r="AM1846" s="138">
        <f>1-AM1845/(3*F_GAMMA*AM$29)</f>
        <v>0.1557342692921676</v>
      </c>
      <c r="AN1846" s="133"/>
      <c r="AO1846" s="146"/>
      <c r="AP1846" s="138">
        <f>1-AP1845/(3*F_GAMMA*AP$29)</f>
        <v>0.33861575738212546</v>
      </c>
      <c r="AQ1846" s="133"/>
      <c r="AR1846" s="146"/>
      <c r="AS1846" s="138">
        <f>1-AS1845/(3*F_GAMMA*AS$29)</f>
        <v>3.3723574593941819E-2</v>
      </c>
      <c r="AT1846" s="133"/>
      <c r="AU1846" s="146"/>
    </row>
    <row r="1847" spans="13:47" x14ac:dyDescent="0.25">
      <c r="M1847" s="27"/>
      <c r="N1847" s="27"/>
      <c r="O1847" s="2" t="s">
        <v>71</v>
      </c>
      <c r="P1847" s="85">
        <v>5</v>
      </c>
      <c r="Q1847" s="2"/>
      <c r="R1847" s="179">
        <f>R1839/((N_6*R$27*R1846)*SQRT(R1845*R1841*R1843))</f>
        <v>0.63701411300036725</v>
      </c>
      <c r="S1847" s="133"/>
      <c r="T1847" s="146"/>
      <c r="U1847" s="143">
        <f>U1839/((N_6*U$27*U1846)*SQRT(U1845*U1841*U1843))</f>
        <v>7.3485820167815596</v>
      </c>
      <c r="V1847" s="133"/>
      <c r="W1847" s="146"/>
      <c r="X1847" s="143">
        <f>X1839/((N_6*X$27*X1846)*SQRT(X1845*X1841*X1843))</f>
        <v>19.629854907503425</v>
      </c>
      <c r="Y1847" s="133"/>
      <c r="Z1847" s="146"/>
      <c r="AA1847" s="143">
        <f>AA1839/((N_6*AA$27*AA1846)*SQRT(AA1845*AA1841*AA1843))</f>
        <v>52.650584884874384</v>
      </c>
      <c r="AB1847" s="133"/>
      <c r="AC1847" s="146"/>
      <c r="AD1847" s="143" t="e">
        <f>AD1839/((N_6*AD$27*AD1846)*SQRT(AD1845*AD1841*AD1843))</f>
        <v>#NUM!</v>
      </c>
      <c r="AE1847" s="133"/>
      <c r="AF1847" s="146"/>
      <c r="AG1847" s="143">
        <f>AG1839/((N_6*AG$27*AG1846)*SQRT(AG1845*AG1841*AG1843))</f>
        <v>-219.22233986495371</v>
      </c>
      <c r="AH1847" s="133"/>
      <c r="AI1847" s="146"/>
      <c r="AJ1847" s="143">
        <f>AJ1839/((N_6*AJ$27*AJ1846)*SQRT(AJ1845*AJ1841*AJ1843))</f>
        <v>320.39790741874788</v>
      </c>
      <c r="AK1847" s="133"/>
      <c r="AL1847" s="146"/>
      <c r="AM1847" s="143">
        <f>AM1839/((N_6*AM$27*AM1846)*SQRT(AM1845*AM1841*AM1843))</f>
        <v>201.67538234933798</v>
      </c>
      <c r="AN1847" s="133"/>
      <c r="AO1847" s="146"/>
      <c r="AP1847" s="143">
        <f>AP1839/((N_6*AP$27*AP1846)*SQRT(AP1845*AP1841*AP1843))</f>
        <v>88.518322745554343</v>
      </c>
      <c r="AQ1847" s="133"/>
      <c r="AR1847" s="146"/>
      <c r="AS1847" s="143">
        <f>AS1839/((N_6*AS$27*AS1846)*SQRT(AS1845*AS1841*AS1843))</f>
        <v>997.03528827451839</v>
      </c>
      <c r="AT1847" s="133"/>
      <c r="AU1847" s="146"/>
    </row>
    <row r="1848" spans="13:47" x14ac:dyDescent="0.25">
      <c r="M1848" s="27"/>
      <c r="N1848" s="27"/>
      <c r="O1848" s="2" t="s">
        <v>73</v>
      </c>
      <c r="P1848" s="85">
        <v>5</v>
      </c>
      <c r="Q1848" s="2"/>
      <c r="R1848" s="179">
        <f>R1839/((N_6*R$27*0.667)*SQRT(R1849*R1841*R1843))</f>
        <v>0.62478081243456107</v>
      </c>
      <c r="S1848" s="133"/>
      <c r="T1848" s="147"/>
      <c r="U1848" s="143">
        <f>U1839/((N_6*U$27*0.667)*SQRT(U1849*U1841*U1843))</f>
        <v>7.1953356075419208</v>
      </c>
      <c r="V1848" s="133"/>
      <c r="W1848" s="155"/>
      <c r="X1848" s="143">
        <f>X1839/((N_6*X$27*0.667)*SQRT(X1849*X1841*X1843))</f>
        <v>19.068094126475263</v>
      </c>
      <c r="Y1848" s="133"/>
      <c r="Z1848" s="155"/>
      <c r="AA1848" s="143">
        <f>AA1839/((N_6*AA$27*0.667)*SQRT(AA1849*AA1841*AA1843))</f>
        <v>47.279598001765002</v>
      </c>
      <c r="AB1848" s="133"/>
      <c r="AC1848" s="155"/>
      <c r="AD1848" s="143">
        <f>AD1839/((N_6*AD$27*0.667)*SQRT(AD1849*AD1841*AD1843))</f>
        <v>197.07882214845029</v>
      </c>
      <c r="AE1848" s="133"/>
      <c r="AF1848" s="155"/>
      <c r="AG1848" s="143">
        <f>AG1839/((N_6*AG$27*0.667)*SQRT(AG1849*AG1841*AG1843))</f>
        <v>230.89089311405826</v>
      </c>
      <c r="AH1848" s="133"/>
      <c r="AI1848" s="155"/>
      <c r="AJ1848" s="143">
        <f>AJ1839/((N_6*AJ$27*0.667)*SQRT(AJ1849*AJ1841*AJ1843))</f>
        <v>96.901601036353412</v>
      </c>
      <c r="AK1848" s="133"/>
      <c r="AL1848" s="155"/>
      <c r="AM1848" s="143">
        <f>AM1839/((N_6*AM$27*0.667)*SQRT(AM1849*AM1841*AM1843))</f>
        <v>74.939614136095045</v>
      </c>
      <c r="AN1848" s="133"/>
      <c r="AO1848" s="155"/>
      <c r="AP1848" s="143">
        <f>AP1839/((N_6*AP$27*0.667)*SQRT(AP1849*AP1841*AP1843))</f>
        <v>63.299758859393634</v>
      </c>
      <c r="AQ1848" s="133"/>
      <c r="AR1848" s="155"/>
      <c r="AS1848" s="143">
        <f>AS1839/((N_6*AS$27*0.667)*SQRT(AS1849*AS1841*AS1843))</f>
        <v>85.828123484992048</v>
      </c>
      <c r="AT1848" s="133"/>
      <c r="AU1848" s="155"/>
    </row>
    <row r="1849" spans="13:47" ht="15.5" x14ac:dyDescent="0.4">
      <c r="M1849" s="27"/>
      <c r="N1849" s="27"/>
      <c r="O1849" s="2" t="s">
        <v>192</v>
      </c>
      <c r="P1849" s="85">
        <v>10</v>
      </c>
      <c r="Q1849" s="2"/>
      <c r="R1849" s="181">
        <f>F_GAMMA*R$29</f>
        <v>0.64002688015162901</v>
      </c>
      <c r="S1849" s="133"/>
      <c r="T1849" s="147"/>
      <c r="U1849" s="138">
        <f>F_GAMMA*U$29</f>
        <v>0.64016782916606918</v>
      </c>
      <c r="V1849" s="133"/>
      <c r="W1849" s="155"/>
      <c r="X1849" s="138">
        <f>F_GAMMA*X$29</f>
        <v>0.6307062319203669</v>
      </c>
      <c r="Y1849" s="133"/>
      <c r="Z1849" s="155"/>
      <c r="AA1849" s="138">
        <f>F_GAMMA*AA$29</f>
        <v>0.62217534213893466</v>
      </c>
      <c r="AB1849" s="133"/>
      <c r="AC1849" s="155"/>
      <c r="AD1849" s="138">
        <f>F_GAMMA*AD$29</f>
        <v>0.60557184969146072</v>
      </c>
      <c r="AE1849" s="133"/>
      <c r="AF1849" s="155"/>
      <c r="AG1849" s="138">
        <f>F_GAMMA*AG$29</f>
        <v>0.57289312142622573</v>
      </c>
      <c r="AH1849" s="133"/>
      <c r="AI1849" s="155"/>
      <c r="AJ1849" s="138">
        <f>F_GAMMA*AJ$29</f>
        <v>0.53590819116049981</v>
      </c>
      <c r="AK1849" s="133"/>
      <c r="AL1849" s="155"/>
      <c r="AM1849" s="138">
        <f>F_GAMMA*AM$29</f>
        <v>0.49048815926850342</v>
      </c>
      <c r="AN1849" s="133"/>
      <c r="AO1849" s="155"/>
      <c r="AP1849" s="138">
        <f>F_GAMMA*AP$29</f>
        <v>0.59352979016280105</v>
      </c>
      <c r="AQ1849" s="133"/>
      <c r="AR1849" s="155"/>
      <c r="AS1849" s="138">
        <f>F_GAMMA*AS$29</f>
        <v>0.39097221161068291</v>
      </c>
      <c r="AT1849" s="133"/>
      <c r="AU1849" s="155"/>
    </row>
    <row r="1850" spans="13:47" x14ac:dyDescent="0.25">
      <c r="M1850" s="27"/>
      <c r="N1850" s="27"/>
      <c r="O1850" s="2" t="s">
        <v>193</v>
      </c>
      <c r="P1850" s="134"/>
      <c r="Q1850" s="2"/>
      <c r="R1850" s="181">
        <f>IF(R1845&lt;R1849,R1847,R1848)</f>
        <v>0.63701411300036725</v>
      </c>
      <c r="S1850" s="133"/>
      <c r="T1850" s="147"/>
      <c r="U1850" s="138">
        <f>IF(U1845&lt;U1849,U1847,U1848)</f>
        <v>7.3485820167815596</v>
      </c>
      <c r="V1850" s="133"/>
      <c r="W1850" s="155"/>
      <c r="X1850" s="138">
        <f>IF(X1845&lt;X1849,X1847,X1848)</f>
        <v>19.629854907503425</v>
      </c>
      <c r="Y1850" s="133"/>
      <c r="Z1850" s="155"/>
      <c r="AA1850" s="138">
        <f>IF(AA1845&lt;AA1849,AA1847,AA1848)</f>
        <v>52.650584884874384</v>
      </c>
      <c r="AB1850" s="133"/>
      <c r="AC1850" s="155"/>
      <c r="AD1850" s="138" t="e">
        <f>IF(AD1845&lt;AD1849,AD1847,AD1848)</f>
        <v>#NUM!</v>
      </c>
      <c r="AE1850" s="133"/>
      <c r="AF1850" s="155"/>
      <c r="AG1850" s="138">
        <f>IF(AG1845&lt;AG1849,AG1847,AG1848)</f>
        <v>230.89089311405826</v>
      </c>
      <c r="AH1850" s="133"/>
      <c r="AI1850" s="155"/>
      <c r="AJ1850" s="138">
        <f>IF(AJ1845&lt;AJ1849,AJ1847,AJ1848)</f>
        <v>96.901601036353412</v>
      </c>
      <c r="AK1850" s="133"/>
      <c r="AL1850" s="155"/>
      <c r="AM1850" s="138">
        <f>IF(AM1845&lt;AM1849,AM1847,AM1848)</f>
        <v>74.939614136095045</v>
      </c>
      <c r="AN1850" s="133"/>
      <c r="AO1850" s="155"/>
      <c r="AP1850" s="138">
        <f>IF(AP1845&lt;AP1849,AP1847,AP1848)</f>
        <v>63.299758859393634</v>
      </c>
      <c r="AQ1850" s="133"/>
      <c r="AR1850" s="155"/>
      <c r="AS1850" s="138">
        <f>IF(AS1845&lt;AS1849,AS1847,AS1848)</f>
        <v>85.828123484992048</v>
      </c>
      <c r="AT1850" s="133"/>
      <c r="AU1850" s="155"/>
    </row>
    <row r="1851" spans="13:47" ht="13" x14ac:dyDescent="0.3">
      <c r="M1851" s="28"/>
      <c r="N1851" s="28"/>
      <c r="O1851" s="9" t="s">
        <v>194</v>
      </c>
      <c r="P1851" s="1"/>
      <c r="Q1851" s="1"/>
      <c r="R1851" s="135"/>
      <c r="S1851" s="132">
        <f>IF(R1844&lt;=0,W_max,ABS(R$23-R1850))</f>
        <v>1.3629858869996327</v>
      </c>
      <c r="T1851" s="151">
        <f>R1839</f>
        <v>147.30844461798569</v>
      </c>
      <c r="U1851" s="135"/>
      <c r="V1851" s="132">
        <f>IF(U1844&lt;=0,W_max,ABS(U$23-U1850))</f>
        <v>2.3485820167815596</v>
      </c>
      <c r="W1851" s="151">
        <f>U1839</f>
        <v>1676.852351046125</v>
      </c>
      <c r="X1851" s="135"/>
      <c r="Y1851" s="132">
        <f>IF(X1844&lt;=0,W_max,ABS(X$23-X1850))</f>
        <v>9.6298549075034252</v>
      </c>
      <c r="Z1851" s="151">
        <f>X1839</f>
        <v>4147.0554119059952</v>
      </c>
      <c r="AA1851" s="135"/>
      <c r="AB1851" s="132">
        <f>IF(AA1844&lt;=0,W_max,ABS(AA$23-AA1850))</f>
        <v>35.450584884874388</v>
      </c>
      <c r="AC1851" s="151">
        <f>AA1839</f>
        <v>8077.4054255200999</v>
      </c>
      <c r="AD1851" s="135"/>
      <c r="AE1851" s="132">
        <f>IF(AD1844&lt;=0,W_max,ABS(AD$23-AD1850))</f>
        <v>7174</v>
      </c>
      <c r="AF1851" s="151">
        <f>AD1839</f>
        <v>13284.358000744782</v>
      </c>
      <c r="AG1851" s="135"/>
      <c r="AH1851" s="132">
        <f>IF(AG1844&lt;=0,W_max,ABS(AG$23-AG1850))</f>
        <v>7174</v>
      </c>
      <c r="AI1851" s="151">
        <f>AG1839</f>
        <v>18632.334807882256</v>
      </c>
      <c r="AJ1851" s="135"/>
      <c r="AK1851" s="132">
        <f>IF(AJ1844&lt;=0,W_max,ABS(AJ$23-AJ1850))</f>
        <v>7174</v>
      </c>
      <c r="AL1851" s="151">
        <f>AJ1839</f>
        <v>23658.121088615346</v>
      </c>
      <c r="AM1851" s="135"/>
      <c r="AN1851" s="132">
        <f>IF(AM1844&lt;=0,W_max,ABS(AM$23-AM1850))</f>
        <v>7174</v>
      </c>
      <c r="AO1851" s="151">
        <f>AM1839</f>
        <v>27741.007567529363</v>
      </c>
      <c r="AP1851" s="135"/>
      <c r="AQ1851" s="132">
        <f>IF(AP1844&lt;=0,W_max,ABS(AP$23-AP1850))</f>
        <v>7174</v>
      </c>
      <c r="AR1851" s="151">
        <f>AP1839</f>
        <v>30949.764047695513</v>
      </c>
      <c r="AS1851" s="135"/>
      <c r="AT1851" s="132">
        <f>IF(AS1844&lt;=0,W_max,ABS(AS$23-AS1850))</f>
        <v>7174</v>
      </c>
      <c r="AU1851" s="151">
        <f>AS1839</f>
        <v>34529.672084774109</v>
      </c>
    </row>
    <row r="1852" spans="13:47" ht="13" x14ac:dyDescent="0.25">
      <c r="M1852" s="12"/>
      <c r="N1852" s="12"/>
      <c r="O1852" s="12"/>
      <c r="P1852" s="12"/>
      <c r="Q1852" s="12"/>
      <c r="R1852" s="182"/>
      <c r="S1852" s="22"/>
      <c r="T1852" s="152"/>
      <c r="U1852" s="157"/>
      <c r="V1852" s="1"/>
      <c r="W1852" s="147"/>
      <c r="X1852" s="157"/>
      <c r="Y1852" s="1"/>
      <c r="Z1852" s="147"/>
      <c r="AA1852" s="157"/>
      <c r="AB1852" s="1"/>
      <c r="AC1852" s="147"/>
      <c r="AD1852" s="157"/>
      <c r="AE1852" s="1"/>
      <c r="AF1852" s="147"/>
      <c r="AG1852" s="157"/>
      <c r="AH1852" s="1"/>
      <c r="AI1852" s="147"/>
      <c r="AJ1852" s="157"/>
      <c r="AK1852" s="1"/>
      <c r="AL1852" s="147"/>
      <c r="AM1852" s="157"/>
      <c r="AN1852" s="1"/>
      <c r="AO1852" s="147"/>
      <c r="AP1852" s="157"/>
      <c r="AQ1852" s="1"/>
      <c r="AR1852" s="147"/>
      <c r="AS1852" s="157"/>
      <c r="AT1852" s="1"/>
      <c r="AU1852" s="147"/>
    </row>
    <row r="1853" spans="13:47" ht="14" x14ac:dyDescent="0.3">
      <c r="M1853" s="23"/>
      <c r="N1853" s="23"/>
      <c r="O1853" s="23" t="s">
        <v>238</v>
      </c>
      <c r="P1853" s="20"/>
      <c r="Q1853" s="20"/>
      <c r="R1853" s="18">
        <f>R1839*1.02</f>
        <v>150.25461351034539</v>
      </c>
      <c r="S1853" s="128" t="s">
        <v>185</v>
      </c>
      <c r="T1853" s="153" t="s">
        <v>186</v>
      </c>
      <c r="U1853" s="143">
        <f>U1839*1.01</f>
        <v>1693.6208745565864</v>
      </c>
      <c r="V1853" s="128" t="s">
        <v>185</v>
      </c>
      <c r="W1853" s="153" t="s">
        <v>186</v>
      </c>
      <c r="X1853" s="143">
        <f>X1839*1.01</f>
        <v>4188.5259660250549</v>
      </c>
      <c r="Y1853" s="128" t="s">
        <v>185</v>
      </c>
      <c r="Z1853" s="153" t="s">
        <v>186</v>
      </c>
      <c r="AA1853" s="143">
        <f>AA1839*1.01</f>
        <v>8158.1794797753009</v>
      </c>
      <c r="AB1853" s="128" t="s">
        <v>185</v>
      </c>
      <c r="AC1853" s="153" t="s">
        <v>186</v>
      </c>
      <c r="AD1853" s="143">
        <f>AD1839*1.01</f>
        <v>13417.201580752229</v>
      </c>
      <c r="AE1853" s="128" t="s">
        <v>185</v>
      </c>
      <c r="AF1853" s="153" t="s">
        <v>186</v>
      </c>
      <c r="AG1853" s="143">
        <f>AG1839*1.01</f>
        <v>18818.658155961079</v>
      </c>
      <c r="AH1853" s="128" t="s">
        <v>185</v>
      </c>
      <c r="AI1853" s="153" t="s">
        <v>186</v>
      </c>
      <c r="AJ1853" s="143">
        <f>AJ1839*1.01</f>
        <v>23894.7022995015</v>
      </c>
      <c r="AK1853" s="128" t="s">
        <v>185</v>
      </c>
      <c r="AL1853" s="153" t="s">
        <v>186</v>
      </c>
      <c r="AM1853" s="143">
        <f>AM1839*1.01</f>
        <v>28018.417643204655</v>
      </c>
      <c r="AN1853" s="128" t="s">
        <v>185</v>
      </c>
      <c r="AO1853" s="153" t="s">
        <v>186</v>
      </c>
      <c r="AP1853" s="143">
        <f>AP1839*1.01</f>
        <v>31259.261688172468</v>
      </c>
      <c r="AQ1853" s="128" t="s">
        <v>185</v>
      </c>
      <c r="AR1853" s="153" t="s">
        <v>186</v>
      </c>
      <c r="AS1853" s="143">
        <f>AS1839*1.01</f>
        <v>34874.968805621851</v>
      </c>
      <c r="AT1853" s="128" t="s">
        <v>185</v>
      </c>
      <c r="AU1853" s="153" t="s">
        <v>186</v>
      </c>
    </row>
    <row r="1854" spans="13:47" ht="14" x14ac:dyDescent="0.3">
      <c r="M1854" s="12"/>
      <c r="N1854" s="12"/>
      <c r="O1854" s="20"/>
      <c r="P1854" s="20"/>
      <c r="Q1854" s="23"/>
      <c r="R1854" s="139"/>
      <c r="S1854" s="130" t="s">
        <v>228</v>
      </c>
      <c r="T1854" s="154" t="s">
        <v>187</v>
      </c>
      <c r="U1854" s="144"/>
      <c r="V1854" s="130" t="s">
        <v>228</v>
      </c>
      <c r="W1854" s="154" t="s">
        <v>187</v>
      </c>
      <c r="X1854" s="144"/>
      <c r="Y1854" s="130" t="s">
        <v>228</v>
      </c>
      <c r="Z1854" s="154" t="s">
        <v>187</v>
      </c>
      <c r="AA1854" s="144"/>
      <c r="AB1854" s="130" t="s">
        <v>228</v>
      </c>
      <c r="AC1854" s="154" t="s">
        <v>187</v>
      </c>
      <c r="AD1854" s="144"/>
      <c r="AE1854" s="130" t="s">
        <v>228</v>
      </c>
      <c r="AF1854" s="154" t="s">
        <v>187</v>
      </c>
      <c r="AG1854" s="144"/>
      <c r="AH1854" s="130" t="s">
        <v>228</v>
      </c>
      <c r="AI1854" s="154" t="s">
        <v>187</v>
      </c>
      <c r="AJ1854" s="144"/>
      <c r="AK1854" s="130" t="s">
        <v>228</v>
      </c>
      <c r="AL1854" s="154" t="s">
        <v>187</v>
      </c>
      <c r="AM1854" s="144"/>
      <c r="AN1854" s="130" t="s">
        <v>228</v>
      </c>
      <c r="AO1854" s="154" t="s">
        <v>187</v>
      </c>
      <c r="AP1854" s="144"/>
      <c r="AQ1854" s="130" t="s">
        <v>228</v>
      </c>
      <c r="AR1854" s="154" t="s">
        <v>187</v>
      </c>
      <c r="AS1854" s="144"/>
      <c r="AT1854" s="130" t="s">
        <v>228</v>
      </c>
      <c r="AU1854" s="154" t="s">
        <v>187</v>
      </c>
    </row>
    <row r="1855" spans="13:47" x14ac:dyDescent="0.25">
      <c r="M1855" s="20"/>
      <c r="N1855" s="20"/>
      <c r="O1855" s="7" t="s">
        <v>188</v>
      </c>
      <c r="P1855" s="7"/>
      <c r="Q1855" s="7"/>
      <c r="R1855" s="181">
        <f>P_1_minW-(R1853^2*R_up)+dpup_minQ</f>
        <v>100.51378411050874</v>
      </c>
      <c r="S1855" s="132"/>
      <c r="T1855" s="145"/>
      <c r="U1855" s="138">
        <f>P_1_minW-(U1853^2*R_up)+dpup_minQ</f>
        <v>99.378997558307972</v>
      </c>
      <c r="V1855" s="132"/>
      <c r="W1855" s="145"/>
      <c r="X1855" s="138">
        <f>P_1_minW-(X1853^2*R_up)+dpup_minQ</f>
        <v>93.527008859723935</v>
      </c>
      <c r="Y1855" s="132"/>
      <c r="Z1855" s="145"/>
      <c r="AA1855" s="138">
        <f>P_1_minW-(AA1853^2*R_up)+dpup_minQ</f>
        <v>73.982836842257328</v>
      </c>
      <c r="AB1855" s="132"/>
      <c r="AC1855" s="145"/>
      <c r="AD1855" s="138">
        <f>P_1_minW-(AD1853^2*R_up)+dpup_minQ</f>
        <v>28.737163230011504</v>
      </c>
      <c r="AE1855" s="132"/>
      <c r="AF1855" s="145"/>
      <c r="AG1855" s="138">
        <f>P_1_minW-(AG1853^2*R_up)+dpup_minQ</f>
        <v>-40.695485619609585</v>
      </c>
      <c r="AH1855" s="132"/>
      <c r="AI1855" s="145"/>
      <c r="AJ1855" s="138">
        <f>P_1_minW-(AJ1853^2*R_up)+dpup_minQ</f>
        <v>-127.15299460142357</v>
      </c>
      <c r="AK1855" s="132"/>
      <c r="AL1855" s="145"/>
      <c r="AM1855" s="138">
        <f>P_1_minW-(AM1853^2*R_up)+dpup_minQ</f>
        <v>-212.51790654144745</v>
      </c>
      <c r="AN1855" s="132"/>
      <c r="AO1855" s="145"/>
      <c r="AP1855" s="138">
        <f>P_1_minW-(AP1853^2*R_up)+dpup_minQ</f>
        <v>-289.12392893404007</v>
      </c>
      <c r="AQ1855" s="132"/>
      <c r="AR1855" s="145"/>
      <c r="AS1855" s="138">
        <f>P_1_minW-(AS1853^2*R_up)+dpup_minQ</f>
        <v>-384.47665995853441</v>
      </c>
      <c r="AT1855" s="132"/>
      <c r="AU1855" s="145"/>
    </row>
    <row r="1856" spans="13:47" x14ac:dyDescent="0.25">
      <c r="M1856" s="20"/>
      <c r="N1856" s="20"/>
      <c r="O1856" s="7" t="s">
        <v>189</v>
      </c>
      <c r="P1856" s="1"/>
      <c r="Q1856" s="7"/>
      <c r="R1856" s="181">
        <f>P_2_minW+(R1853^2*R_dn)-dpdn_minQ</f>
        <v>50</v>
      </c>
      <c r="S1856" s="132"/>
      <c r="T1856" s="146"/>
      <c r="U1856" s="138">
        <f>P_2_minW+(U1853^2*R_dn)-dpdn_minQ</f>
        <v>50</v>
      </c>
      <c r="V1856" s="132"/>
      <c r="W1856" s="146"/>
      <c r="X1856" s="138">
        <f>P_2_minW+(X1853^2*R_dn)-dpdn_minQ</f>
        <v>50</v>
      </c>
      <c r="Y1856" s="132"/>
      <c r="Z1856" s="146"/>
      <c r="AA1856" s="138">
        <f>P_2_minW+(AA1853^2*R_dn)-dpdn_minQ</f>
        <v>50</v>
      </c>
      <c r="AB1856" s="132"/>
      <c r="AC1856" s="146"/>
      <c r="AD1856" s="138">
        <f>P_2_minW+(AD1853^2*R_dn)-dpdn_minQ</f>
        <v>50</v>
      </c>
      <c r="AE1856" s="132"/>
      <c r="AF1856" s="146"/>
      <c r="AG1856" s="138">
        <f>P_2_minW+(AG1853^2*R_dn)-dpdn_minQ</f>
        <v>50</v>
      </c>
      <c r="AH1856" s="132"/>
      <c r="AI1856" s="146"/>
      <c r="AJ1856" s="138">
        <f>P_2_minW+(AJ1853^2*R_dn)-dpdn_minQ</f>
        <v>50</v>
      </c>
      <c r="AK1856" s="132"/>
      <c r="AL1856" s="146"/>
      <c r="AM1856" s="138">
        <f>P_2_minW+(AM1853^2*R_dn)-dpdn_minQ</f>
        <v>50</v>
      </c>
      <c r="AN1856" s="132"/>
      <c r="AO1856" s="146"/>
      <c r="AP1856" s="138">
        <f>P_2_minW+(AP1853^2*R_dn)-dpdn_minQ</f>
        <v>50</v>
      </c>
      <c r="AQ1856" s="132"/>
      <c r="AR1856" s="146"/>
      <c r="AS1856" s="138">
        <f>P_2_minW+(AS1853^2*R_dn)-dpdn_minQ</f>
        <v>50</v>
      </c>
      <c r="AT1856" s="132"/>
      <c r="AU1856" s="146"/>
    </row>
    <row r="1857" spans="13:47" x14ac:dyDescent="0.25">
      <c r="M1857" s="20"/>
      <c r="N1857" s="20"/>
      <c r="O1857" s="7" t="s">
        <v>234</v>
      </c>
      <c r="P1857" s="1"/>
      <c r="Q1857" s="7"/>
      <c r="R1857" s="179">
        <f>'Valve Sizing'!G$8*R1855/P_1_maxW</f>
        <v>0.48486059917283419</v>
      </c>
      <c r="S1857" s="132"/>
      <c r="T1857" s="146"/>
      <c r="U1857" s="143">
        <f>'Valve Sizing'!$G$8*U1855/P_1_maxW</f>
        <v>0.47938659088131058</v>
      </c>
      <c r="V1857" s="132"/>
      <c r="W1857" s="146"/>
      <c r="X1857" s="143">
        <f>'Valve Sizing'!$G$8*X1855/P_1_maxW</f>
        <v>0.45115763928171149</v>
      </c>
      <c r="Y1857" s="132"/>
      <c r="Z1857" s="146"/>
      <c r="AA1857" s="143">
        <f>'Valve Sizing'!$G$8*AA1855/P_1_maxW</f>
        <v>0.35688003309480976</v>
      </c>
      <c r="AB1857" s="132"/>
      <c r="AC1857" s="146"/>
      <c r="AD1857" s="143">
        <f>'Valve Sizing'!$G$8*AD1855/P_1_maxW</f>
        <v>0.13862295908501338</v>
      </c>
      <c r="AE1857" s="132"/>
      <c r="AF1857" s="146"/>
      <c r="AG1857" s="143">
        <f>'Valve Sizing'!$G$8*AG1855/P_1_maxW</f>
        <v>-0.19630777724435922</v>
      </c>
      <c r="AH1857" s="132"/>
      <c r="AI1857" s="146"/>
      <c r="AJ1857" s="143">
        <f>'Valve Sizing'!$G$8*AJ1855/P_1_maxW</f>
        <v>-0.61336340776190823</v>
      </c>
      <c r="AK1857" s="132"/>
      <c r="AL1857" s="146"/>
      <c r="AM1857" s="143">
        <f>'Valve Sizing'!$G$8*AM1855/P_1_maxW</f>
        <v>-1.0251485446747755</v>
      </c>
      <c r="AN1857" s="132"/>
      <c r="AO1857" s="146"/>
      <c r="AP1857" s="143">
        <f>'Valve Sizing'!$G$8*AP1855/P_1_maxW</f>
        <v>-1.3946823578350012</v>
      </c>
      <c r="AQ1857" s="132"/>
      <c r="AR1857" s="146"/>
      <c r="AS1857" s="143">
        <f>'Valve Sizing'!$G$8*AS1855/P_1_maxW</f>
        <v>-1.8546469557897685</v>
      </c>
      <c r="AT1857" s="132"/>
      <c r="AU1857" s="146"/>
    </row>
    <row r="1858" spans="13:47" x14ac:dyDescent="0.25">
      <c r="M1858" s="20"/>
      <c r="N1858" s="20"/>
      <c r="O1858" s="7" t="s">
        <v>190</v>
      </c>
      <c r="P1858" s="1"/>
      <c r="Q1858" s="7"/>
      <c r="R1858" s="181">
        <f>R1855-R1856</f>
        <v>50.513784110508738</v>
      </c>
      <c r="S1858" s="132"/>
      <c r="T1858" s="146"/>
      <c r="U1858" s="138">
        <f>U1855-U1856</f>
        <v>49.378997558307972</v>
      </c>
      <c r="V1858" s="132"/>
      <c r="W1858" s="146"/>
      <c r="X1858" s="138">
        <f>X1855-X1856</f>
        <v>43.527008859723935</v>
      </c>
      <c r="Y1858" s="132"/>
      <c r="Z1858" s="146"/>
      <c r="AA1858" s="138">
        <f>AA1855-AA1856</f>
        <v>23.982836842257328</v>
      </c>
      <c r="AB1858" s="132"/>
      <c r="AC1858" s="146"/>
      <c r="AD1858" s="138">
        <f>AD1855-AD1856</f>
        <v>-21.262836769988496</v>
      </c>
      <c r="AE1858" s="132"/>
      <c r="AF1858" s="146"/>
      <c r="AG1858" s="138">
        <f>AG1855-AG1856</f>
        <v>-90.695485619609585</v>
      </c>
      <c r="AH1858" s="132"/>
      <c r="AI1858" s="146"/>
      <c r="AJ1858" s="138">
        <f>AJ1855-AJ1856</f>
        <v>-177.15299460142359</v>
      </c>
      <c r="AK1858" s="132"/>
      <c r="AL1858" s="146"/>
      <c r="AM1858" s="138">
        <f>AM1855-AM1856</f>
        <v>-262.51790654144747</v>
      </c>
      <c r="AN1858" s="132"/>
      <c r="AO1858" s="146"/>
      <c r="AP1858" s="138">
        <f>AP1855-AP1856</f>
        <v>-339.12392893404007</v>
      </c>
      <c r="AQ1858" s="132"/>
      <c r="AR1858" s="146"/>
      <c r="AS1858" s="138">
        <f>AS1855-AS1856</f>
        <v>-434.47665995853441</v>
      </c>
      <c r="AT1858" s="132"/>
      <c r="AU1858" s="146"/>
    </row>
    <row r="1859" spans="13:47" ht="14.5" x14ac:dyDescent="0.35">
      <c r="M1859" s="27"/>
      <c r="N1859" s="27"/>
      <c r="O1859" s="2" t="s">
        <v>191</v>
      </c>
      <c r="P1859" s="10"/>
      <c r="Q1859" s="2"/>
      <c r="R1859" s="181">
        <f>R1858/R1855</f>
        <v>0.50255578931315459</v>
      </c>
      <c r="S1859" s="132"/>
      <c r="T1859" s="146"/>
      <c r="U1859" s="138">
        <f>U1858/U1855</f>
        <v>0.49687558509871427</v>
      </c>
      <c r="V1859" s="132"/>
      <c r="W1859" s="146"/>
      <c r="X1859" s="138">
        <f>X1858/X1855</f>
        <v>0.46539507026262034</v>
      </c>
      <c r="Y1859" s="132"/>
      <c r="Z1859" s="146"/>
      <c r="AA1859" s="138">
        <f>AA1858/AA1855</f>
        <v>0.32416757542553265</v>
      </c>
      <c r="AB1859" s="132"/>
      <c r="AC1859" s="146"/>
      <c r="AD1859" s="138">
        <f>AD1858/AD1855</f>
        <v>-0.73990729703559488</v>
      </c>
      <c r="AE1859" s="132"/>
      <c r="AF1859" s="146"/>
      <c r="AG1859" s="138">
        <f>AG1858/AG1855</f>
        <v>2.2286375070532869</v>
      </c>
      <c r="AH1859" s="132"/>
      <c r="AI1859" s="146"/>
      <c r="AJ1859" s="138">
        <f>AJ1858/AJ1855</f>
        <v>1.3932270738627199</v>
      </c>
      <c r="AK1859" s="132"/>
      <c r="AL1859" s="146"/>
      <c r="AM1859" s="138">
        <f>AM1858/AM1855</f>
        <v>1.2352742920053588</v>
      </c>
      <c r="AN1859" s="132"/>
      <c r="AO1859" s="146"/>
      <c r="AP1859" s="138">
        <f>AP1858/AP1855</f>
        <v>1.1729362221395616</v>
      </c>
      <c r="AQ1859" s="132"/>
      <c r="AR1859" s="146"/>
      <c r="AS1859" s="138">
        <f>AS1858/AS1855</f>
        <v>1.1300469058522109</v>
      </c>
      <c r="AT1859" s="132"/>
      <c r="AU1859" s="146"/>
    </row>
    <row r="1860" spans="13:47" x14ac:dyDescent="0.25">
      <c r="M1860" s="27"/>
      <c r="N1860" s="27"/>
      <c r="O1860" s="2" t="s">
        <v>26</v>
      </c>
      <c r="P1860" s="7">
        <v>12</v>
      </c>
      <c r="Q1860" s="2"/>
      <c r="R1860" s="181">
        <f>1-R1859/(3*F_GAMMA*R$29)</f>
        <v>0.738263186074261</v>
      </c>
      <c r="S1860" s="133"/>
      <c r="T1860" s="146"/>
      <c r="U1860" s="138">
        <f>1-U1859/(3*F_GAMMA*U$29)</f>
        <v>0.74127847810056213</v>
      </c>
      <c r="V1860" s="133"/>
      <c r="W1860" s="146"/>
      <c r="X1860" s="138">
        <f>1-X1859/(3*F_GAMMA*X$29)</f>
        <v>0.75403494965445805</v>
      </c>
      <c r="Y1860" s="133"/>
      <c r="Z1860" s="146"/>
      <c r="AA1860" s="138">
        <f>1-AA1859/(3*F_GAMMA*AA$29)</f>
        <v>0.82632571373899255</v>
      </c>
      <c r="AB1860" s="133"/>
      <c r="AC1860" s="146"/>
      <c r="AD1860" s="138">
        <f>1-AD1859/(3*F_GAMMA*AD$29)</f>
        <v>1.4072774614675247</v>
      </c>
      <c r="AE1860" s="133"/>
      <c r="AF1860" s="146"/>
      <c r="AG1860" s="138">
        <f>1-AG1859/(3*F_GAMMA*AG$29)</f>
        <v>-0.29671511357712554</v>
      </c>
      <c r="AH1860" s="133"/>
      <c r="AI1860" s="146"/>
      <c r="AJ1860" s="138">
        <f>1-AJ1859/(3*F_GAMMA*AJ$29)</f>
        <v>0.13341681974437247</v>
      </c>
      <c r="AK1860" s="133"/>
      <c r="AL1860" s="146"/>
      <c r="AM1860" s="138">
        <f>1-AM1859/(3*F_GAMMA*AM$29)</f>
        <v>0.16051368508222319</v>
      </c>
      <c r="AN1860" s="133"/>
      <c r="AO1860" s="146"/>
      <c r="AP1860" s="138">
        <f>1-AP1859/(3*F_GAMMA*AP$29)</f>
        <v>0.34126517793497024</v>
      </c>
      <c r="AQ1860" s="133"/>
      <c r="AR1860" s="146"/>
      <c r="AS1860" s="138">
        <f>1-AS1859/(3*F_GAMMA*AS$29)</f>
        <v>3.6549681116916255E-2</v>
      </c>
      <c r="AT1860" s="133"/>
      <c r="AU1860" s="146"/>
    </row>
    <row r="1861" spans="13:47" x14ac:dyDescent="0.25">
      <c r="M1861" s="27"/>
      <c r="N1861" s="27"/>
      <c r="O1861" s="2" t="s">
        <v>71</v>
      </c>
      <c r="P1861" s="85">
        <v>5</v>
      </c>
      <c r="Q1861" s="2"/>
      <c r="R1861" s="179">
        <f>R1853/((N_6*R$27*R1860)*SQRT(R1859*R1855*R1857))</f>
        <v>0.64975698046929364</v>
      </c>
      <c r="S1861" s="133"/>
      <c r="T1861" s="146"/>
      <c r="U1861" s="143">
        <f>U1853/((N_6*U$27*U1860)*SQRT(U1859*U1855*U1857))</f>
        <v>7.4240082167780956</v>
      </c>
      <c r="V1861" s="133"/>
      <c r="W1861" s="146"/>
      <c r="X1861" s="143">
        <f>X1853/((N_6*X$27*X1860)*SQRT(X1859*X1855*X1857))</f>
        <v>19.861191680017196</v>
      </c>
      <c r="Y1861" s="133"/>
      <c r="Z1861" s="146"/>
      <c r="AA1861" s="143">
        <f>AA1853/((N_6*AA$27*AA1860)*SQRT(AA1859*AA1855*AA1857))</f>
        <v>53.777462340264186</v>
      </c>
      <c r="AB1861" s="133"/>
      <c r="AC1861" s="146"/>
      <c r="AD1861" s="143" t="e">
        <f>AD1853/((N_6*AD$27*AD1860)*SQRT(AD1859*AD1855*AD1857))</f>
        <v>#NUM!</v>
      </c>
      <c r="AE1861" s="133"/>
      <c r="AF1861" s="146"/>
      <c r="AG1861" s="143">
        <f>AG1853/((N_6*AG$27*AG1860)*SQRT(AG1859*AG1855*AG1857))</f>
        <v>-247.61247288540412</v>
      </c>
      <c r="AH1861" s="133"/>
      <c r="AI1861" s="146"/>
      <c r="AJ1861" s="143">
        <f>AJ1853/((N_6*AJ$27*AJ1860)*SQRT(AJ1859*AJ1855*AJ1857))</f>
        <v>292.75380980938536</v>
      </c>
      <c r="AK1861" s="133"/>
      <c r="AL1861" s="146"/>
      <c r="AM1861" s="143">
        <f>AM1853/((N_6*AM$27*AM1860)*SQRT(AM1859*AM1855*AM1857))</f>
        <v>192.43657261322582</v>
      </c>
      <c r="AN1861" s="133"/>
      <c r="AO1861" s="146"/>
      <c r="AP1861" s="143">
        <f>AP1853/((N_6*AP$27*AP1860)*SQRT(AP1859*AP1855*AP1857))</f>
        <v>86.527256107235658</v>
      </c>
      <c r="AQ1861" s="133"/>
      <c r="AR1861" s="146"/>
      <c r="AS1861" s="143">
        <f>AS1853/((N_6*AS$27*AS1860)*SQRT(AS1859*AS1855*AS1857))</f>
        <v>907.37511810067917</v>
      </c>
      <c r="AT1861" s="133"/>
      <c r="AU1861" s="146"/>
    </row>
    <row r="1862" spans="13:47" x14ac:dyDescent="0.25">
      <c r="M1862" s="27"/>
      <c r="N1862" s="27"/>
      <c r="O1862" s="2" t="s">
        <v>73</v>
      </c>
      <c r="P1862" s="85">
        <v>5</v>
      </c>
      <c r="Q1862" s="2"/>
      <c r="R1862" s="179">
        <f>R1853/((N_6*R$27*0.667)*SQRT(R1863*R1855*R1857))</f>
        <v>0.6372786451053547</v>
      </c>
      <c r="S1862" s="133"/>
      <c r="T1862" s="155"/>
      <c r="U1862" s="143">
        <f>U1853/((N_6*U$27*0.667)*SQRT(U1863*U1855*U1857))</f>
        <v>7.2689370391448271</v>
      </c>
      <c r="V1862" s="133"/>
      <c r="W1862" s="155"/>
      <c r="X1862" s="143">
        <f>X1853/((N_6*X$27*0.667)*SQRT(X1863*X1855*X1857))</f>
        <v>19.287159547406269</v>
      </c>
      <c r="Y1862" s="133"/>
      <c r="Z1862" s="155"/>
      <c r="AA1862" s="143">
        <f>AA1853/((N_6*AA$27*0.667)*SQRT(AA1863*AA1855*AA1857))</f>
        <v>48.089928021622356</v>
      </c>
      <c r="AB1862" s="133"/>
      <c r="AC1862" s="155"/>
      <c r="AD1862" s="143">
        <f>AD1853/((N_6*AD$27*0.667)*SQRT(AD1863*AD1855*AD1857))</f>
        <v>208.84695136160536</v>
      </c>
      <c r="AE1862" s="133"/>
      <c r="AF1862" s="155"/>
      <c r="AG1862" s="143">
        <f>AG1853/((N_6*AG$27*0.667)*SQRT(AG1863*AG1855*AG1857))</f>
        <v>217.2547424749236</v>
      </c>
      <c r="AH1862" s="133"/>
      <c r="AI1862" s="155"/>
      <c r="AJ1862" s="143">
        <f>AJ1853/((N_6*AJ$27*0.667)*SQRT(AJ1863*AJ1855*AJ1857))</f>
        <v>94.417622605717682</v>
      </c>
      <c r="AK1862" s="133"/>
      <c r="AL1862" s="155"/>
      <c r="AM1862" s="143">
        <f>AM1853/((N_6*AM$27*0.667)*SQRT(AM1863*AM1855*AM1857))</f>
        <v>73.49220580641331</v>
      </c>
      <c r="AN1862" s="133"/>
      <c r="AO1862" s="155"/>
      <c r="AP1862" s="143">
        <f>AP1853/((N_6*AP$27*0.667)*SQRT(AP1863*AP1855*AP1857))</f>
        <v>62.23504560585323</v>
      </c>
      <c r="AQ1862" s="133"/>
      <c r="AR1862" s="155"/>
      <c r="AS1862" s="143">
        <f>AS1853/((N_6*AS$27*0.667)*SQRT(AS1863*AS1855*AS1857))</f>
        <v>84.531760525524888</v>
      </c>
      <c r="AT1862" s="133"/>
      <c r="AU1862" s="155"/>
    </row>
    <row r="1863" spans="13:47" ht="15.5" x14ac:dyDescent="0.4">
      <c r="M1863" s="27"/>
      <c r="N1863" s="27"/>
      <c r="O1863" s="2" t="s">
        <v>192</v>
      </c>
      <c r="P1863" s="85">
        <v>10</v>
      </c>
      <c r="Q1863" s="2"/>
      <c r="R1863" s="181">
        <f>F_GAMMA*R$29</f>
        <v>0.64002688015162901</v>
      </c>
      <c r="S1863" s="133"/>
      <c r="T1863" s="155"/>
      <c r="U1863" s="138">
        <f>F_GAMMA*U$29</f>
        <v>0.64016782916606918</v>
      </c>
      <c r="V1863" s="133"/>
      <c r="W1863" s="155"/>
      <c r="X1863" s="138">
        <f>F_GAMMA*X$29</f>
        <v>0.6307062319203669</v>
      </c>
      <c r="Y1863" s="133"/>
      <c r="Z1863" s="155"/>
      <c r="AA1863" s="138">
        <f>F_GAMMA*AA$29</f>
        <v>0.62217534213893466</v>
      </c>
      <c r="AB1863" s="133"/>
      <c r="AC1863" s="155"/>
      <c r="AD1863" s="138">
        <f>F_GAMMA*AD$29</f>
        <v>0.60557184969146072</v>
      </c>
      <c r="AE1863" s="133"/>
      <c r="AF1863" s="155"/>
      <c r="AG1863" s="138">
        <f>F_GAMMA*AG$29</f>
        <v>0.57289312142622573</v>
      </c>
      <c r="AH1863" s="133"/>
      <c r="AI1863" s="155"/>
      <c r="AJ1863" s="138">
        <f>F_GAMMA*AJ$29</f>
        <v>0.53590819116049981</v>
      </c>
      <c r="AK1863" s="133"/>
      <c r="AL1863" s="155"/>
      <c r="AM1863" s="138">
        <f>F_GAMMA*AM$29</f>
        <v>0.49048815926850342</v>
      </c>
      <c r="AN1863" s="133"/>
      <c r="AO1863" s="155"/>
      <c r="AP1863" s="138">
        <f>F_GAMMA*AP$29</f>
        <v>0.59352979016280105</v>
      </c>
      <c r="AQ1863" s="133"/>
      <c r="AR1863" s="155"/>
      <c r="AS1863" s="138">
        <f>F_GAMMA*AS$29</f>
        <v>0.39097221161068291</v>
      </c>
      <c r="AT1863" s="133"/>
      <c r="AU1863" s="155"/>
    </row>
    <row r="1864" spans="13:47" x14ac:dyDescent="0.25">
      <c r="M1864" s="27"/>
      <c r="N1864" s="27"/>
      <c r="O1864" s="2" t="s">
        <v>193</v>
      </c>
      <c r="P1864" s="134"/>
      <c r="Q1864" s="2"/>
      <c r="R1864" s="181">
        <f>IF(R1859&lt;R1863,R1861,R1862)</f>
        <v>0.64975698046929364</v>
      </c>
      <c r="S1864" s="133"/>
      <c r="T1864" s="155"/>
      <c r="U1864" s="138">
        <f>IF(U1859&lt;U1863,U1861,U1862)</f>
        <v>7.4240082167780956</v>
      </c>
      <c r="V1864" s="133"/>
      <c r="W1864" s="155"/>
      <c r="X1864" s="138">
        <f>IF(X1859&lt;X1863,X1861,X1862)</f>
        <v>19.861191680017196</v>
      </c>
      <c r="Y1864" s="133"/>
      <c r="Z1864" s="155"/>
      <c r="AA1864" s="138">
        <f>IF(AA1859&lt;AA1863,AA1861,AA1862)</f>
        <v>53.777462340264186</v>
      </c>
      <c r="AB1864" s="133"/>
      <c r="AC1864" s="155"/>
      <c r="AD1864" s="138" t="e">
        <f>IF(AD1859&lt;AD1863,AD1861,AD1862)</f>
        <v>#NUM!</v>
      </c>
      <c r="AE1864" s="133"/>
      <c r="AF1864" s="155"/>
      <c r="AG1864" s="138">
        <f>IF(AG1859&lt;AG1863,AG1861,AG1862)</f>
        <v>217.2547424749236</v>
      </c>
      <c r="AH1864" s="133"/>
      <c r="AI1864" s="155"/>
      <c r="AJ1864" s="138">
        <f>IF(AJ1859&lt;AJ1863,AJ1861,AJ1862)</f>
        <v>94.417622605717682</v>
      </c>
      <c r="AK1864" s="133"/>
      <c r="AL1864" s="155"/>
      <c r="AM1864" s="138">
        <f>IF(AM1859&lt;AM1863,AM1861,AM1862)</f>
        <v>73.49220580641331</v>
      </c>
      <c r="AN1864" s="133"/>
      <c r="AO1864" s="155"/>
      <c r="AP1864" s="138">
        <f>IF(AP1859&lt;AP1863,AP1861,AP1862)</f>
        <v>62.23504560585323</v>
      </c>
      <c r="AQ1864" s="133"/>
      <c r="AR1864" s="155"/>
      <c r="AS1864" s="138">
        <f>IF(AS1859&lt;AS1863,AS1861,AS1862)</f>
        <v>84.531760525524888</v>
      </c>
      <c r="AT1864" s="133"/>
      <c r="AU1864" s="155"/>
    </row>
    <row r="1865" spans="13:47" ht="13" x14ac:dyDescent="0.3">
      <c r="M1865" s="28"/>
      <c r="N1865" s="28"/>
      <c r="O1865" s="9" t="s">
        <v>194</v>
      </c>
      <c r="P1865" s="1"/>
      <c r="Q1865" s="1"/>
      <c r="R1865" s="135"/>
      <c r="S1865" s="132">
        <f>IF(R1858&lt;=0,W_max,ABS(R$23-R1864))</f>
        <v>1.3502430195307062</v>
      </c>
      <c r="T1865" s="151">
        <f>R1853</f>
        <v>150.25461351034539</v>
      </c>
      <c r="U1865" s="135"/>
      <c r="V1865" s="132">
        <f>IF(U1858&lt;=0,W_max,ABS(U$23-U1864))</f>
        <v>2.4240082167780956</v>
      </c>
      <c r="W1865" s="151">
        <f>U1853</f>
        <v>1693.6208745565864</v>
      </c>
      <c r="X1865" s="135"/>
      <c r="Y1865" s="132">
        <f>IF(X1858&lt;=0,W_max,ABS(X$23-X1864))</f>
        <v>9.8611916800171961</v>
      </c>
      <c r="Z1865" s="151">
        <f>X1853</f>
        <v>4188.5259660250549</v>
      </c>
      <c r="AA1865" s="135"/>
      <c r="AB1865" s="132">
        <f>IF(AA1858&lt;=0,W_max,ABS(AA$23-AA1864))</f>
        <v>36.577462340264191</v>
      </c>
      <c r="AC1865" s="151">
        <f>AA1853</f>
        <v>8158.1794797753009</v>
      </c>
      <c r="AD1865" s="135"/>
      <c r="AE1865" s="132">
        <f>IF(AD1858&lt;=0,W_max,ABS(AD$23-AD1864))</f>
        <v>7174</v>
      </c>
      <c r="AF1865" s="151">
        <f>AD1853</f>
        <v>13417.201580752229</v>
      </c>
      <c r="AG1865" s="135"/>
      <c r="AH1865" s="132">
        <f>IF(AG1858&lt;=0,W_max,ABS(AG$23-AG1864))</f>
        <v>7174</v>
      </c>
      <c r="AI1865" s="151">
        <f>AG1853</f>
        <v>18818.658155961079</v>
      </c>
      <c r="AJ1865" s="135"/>
      <c r="AK1865" s="132">
        <f>IF(AJ1858&lt;=0,W_max,ABS(AJ$23-AJ1864))</f>
        <v>7174</v>
      </c>
      <c r="AL1865" s="151">
        <f>AJ1853</f>
        <v>23894.7022995015</v>
      </c>
      <c r="AM1865" s="135"/>
      <c r="AN1865" s="132">
        <f>IF(AM1858&lt;=0,W_max,ABS(AM$23-AM1864))</f>
        <v>7174</v>
      </c>
      <c r="AO1865" s="151">
        <f>AM1853</f>
        <v>28018.417643204655</v>
      </c>
      <c r="AP1865" s="135"/>
      <c r="AQ1865" s="132">
        <f>IF(AP1858&lt;=0,W_max,ABS(AP$23-AP1864))</f>
        <v>7174</v>
      </c>
      <c r="AR1865" s="151">
        <f>AP1853</f>
        <v>31259.261688172468</v>
      </c>
      <c r="AS1865" s="135"/>
      <c r="AT1865" s="132">
        <f>IF(AS1858&lt;=0,W_max,ABS(AS$23-AS1864))</f>
        <v>7174</v>
      </c>
      <c r="AU1865" s="151">
        <f>AS1853</f>
        <v>34874.968805621851</v>
      </c>
    </row>
    <row r="1866" spans="13:47" ht="13" x14ac:dyDescent="0.25">
      <c r="M1866" s="12"/>
      <c r="N1866" s="12"/>
      <c r="O1866" s="2"/>
      <c r="P1866" s="85"/>
      <c r="Q1866" s="2"/>
      <c r="R1866" s="18"/>
      <c r="S1866" s="150"/>
      <c r="T1866" s="152"/>
      <c r="U1866" s="157"/>
      <c r="V1866" s="1"/>
      <c r="W1866" s="147"/>
      <c r="X1866" s="157"/>
      <c r="Y1866" s="1"/>
      <c r="Z1866" s="147"/>
      <c r="AA1866" s="157"/>
      <c r="AB1866" s="1"/>
      <c r="AC1866" s="147"/>
      <c r="AD1866" s="157"/>
      <c r="AE1866" s="1"/>
      <c r="AF1866" s="147"/>
      <c r="AG1866" s="157"/>
      <c r="AH1866" s="1"/>
      <c r="AI1866" s="147"/>
      <c r="AJ1866" s="157"/>
      <c r="AK1866" s="1"/>
      <c r="AL1866" s="147"/>
      <c r="AM1866" s="157"/>
      <c r="AN1866" s="1"/>
      <c r="AO1866" s="147"/>
      <c r="AP1866" s="157"/>
      <c r="AQ1866" s="1"/>
      <c r="AR1866" s="147"/>
      <c r="AS1866" s="157"/>
      <c r="AT1866" s="1"/>
      <c r="AU1866" s="147"/>
    </row>
    <row r="1867" spans="13:47" ht="14" x14ac:dyDescent="0.3">
      <c r="M1867" s="23"/>
      <c r="N1867" s="23"/>
      <c r="O1867" s="23" t="s">
        <v>238</v>
      </c>
      <c r="P1867" s="20"/>
      <c r="Q1867" s="20"/>
      <c r="R1867" s="181">
        <f>R1853*1.02</f>
        <v>153.25970578055231</v>
      </c>
      <c r="S1867" s="128" t="s">
        <v>185</v>
      </c>
      <c r="T1867" s="153" t="s">
        <v>186</v>
      </c>
      <c r="U1867" s="143">
        <f>U1853*1.01</f>
        <v>1710.5570833021523</v>
      </c>
      <c r="V1867" s="128" t="s">
        <v>185</v>
      </c>
      <c r="W1867" s="153" t="s">
        <v>186</v>
      </c>
      <c r="X1867" s="143">
        <f>X1853*1.01</f>
        <v>4230.4112256853059</v>
      </c>
      <c r="Y1867" s="128" t="s">
        <v>185</v>
      </c>
      <c r="Z1867" s="153" t="s">
        <v>186</v>
      </c>
      <c r="AA1867" s="143">
        <f>AA1853*1.01</f>
        <v>8239.7612745730548</v>
      </c>
      <c r="AB1867" s="128" t="s">
        <v>185</v>
      </c>
      <c r="AC1867" s="153" t="s">
        <v>186</v>
      </c>
      <c r="AD1867" s="143">
        <f>AD1853*1.01</f>
        <v>13551.373596559752</v>
      </c>
      <c r="AE1867" s="128" t="s">
        <v>185</v>
      </c>
      <c r="AF1867" s="153" t="s">
        <v>186</v>
      </c>
      <c r="AG1867" s="143">
        <f>AG1853*1.01</f>
        <v>19006.844737520689</v>
      </c>
      <c r="AH1867" s="128" t="s">
        <v>185</v>
      </c>
      <c r="AI1867" s="153" t="s">
        <v>186</v>
      </c>
      <c r="AJ1867" s="143">
        <f>AJ1853*1.01</f>
        <v>24133.649322496516</v>
      </c>
      <c r="AK1867" s="128" t="s">
        <v>185</v>
      </c>
      <c r="AL1867" s="153" t="s">
        <v>186</v>
      </c>
      <c r="AM1867" s="143">
        <f>AM1853*1.01</f>
        <v>28298.6018196367</v>
      </c>
      <c r="AN1867" s="128" t="s">
        <v>185</v>
      </c>
      <c r="AO1867" s="153" t="s">
        <v>186</v>
      </c>
      <c r="AP1867" s="143">
        <f>AP1853*1.01</f>
        <v>31571.854305054192</v>
      </c>
      <c r="AQ1867" s="128" t="s">
        <v>185</v>
      </c>
      <c r="AR1867" s="153" t="s">
        <v>186</v>
      </c>
      <c r="AS1867" s="143">
        <f>AS1853*1.01</f>
        <v>35223.718493678069</v>
      </c>
      <c r="AT1867" s="128" t="s">
        <v>185</v>
      </c>
      <c r="AU1867" s="153" t="s">
        <v>186</v>
      </c>
    </row>
    <row r="1868" spans="13:47" ht="14" x14ac:dyDescent="0.3">
      <c r="M1868" s="12"/>
      <c r="N1868" s="12"/>
      <c r="O1868" s="20"/>
      <c r="P1868" s="20"/>
      <c r="Q1868" s="23"/>
      <c r="R1868" s="139"/>
      <c r="S1868" s="130" t="s">
        <v>228</v>
      </c>
      <c r="T1868" s="154" t="s">
        <v>187</v>
      </c>
      <c r="U1868" s="144"/>
      <c r="V1868" s="130" t="s">
        <v>228</v>
      </c>
      <c r="W1868" s="154" t="s">
        <v>187</v>
      </c>
      <c r="X1868" s="144"/>
      <c r="Y1868" s="130" t="s">
        <v>228</v>
      </c>
      <c r="Z1868" s="154" t="s">
        <v>187</v>
      </c>
      <c r="AA1868" s="144"/>
      <c r="AB1868" s="130" t="s">
        <v>228</v>
      </c>
      <c r="AC1868" s="154" t="s">
        <v>187</v>
      </c>
      <c r="AD1868" s="144"/>
      <c r="AE1868" s="130" t="s">
        <v>228</v>
      </c>
      <c r="AF1868" s="154" t="s">
        <v>187</v>
      </c>
      <c r="AG1868" s="144"/>
      <c r="AH1868" s="130" t="s">
        <v>228</v>
      </c>
      <c r="AI1868" s="154" t="s">
        <v>187</v>
      </c>
      <c r="AJ1868" s="144"/>
      <c r="AK1868" s="130" t="s">
        <v>228</v>
      </c>
      <c r="AL1868" s="154" t="s">
        <v>187</v>
      </c>
      <c r="AM1868" s="144"/>
      <c r="AN1868" s="130" t="s">
        <v>228</v>
      </c>
      <c r="AO1868" s="154" t="s">
        <v>187</v>
      </c>
      <c r="AP1868" s="144"/>
      <c r="AQ1868" s="130" t="s">
        <v>228</v>
      </c>
      <c r="AR1868" s="154" t="s">
        <v>187</v>
      </c>
      <c r="AS1868" s="144"/>
      <c r="AT1868" s="130" t="s">
        <v>228</v>
      </c>
      <c r="AU1868" s="154" t="s">
        <v>187</v>
      </c>
    </row>
    <row r="1869" spans="13:47" x14ac:dyDescent="0.25">
      <c r="M1869" s="20"/>
      <c r="N1869" s="20"/>
      <c r="O1869" s="7" t="s">
        <v>188</v>
      </c>
      <c r="P1869" s="7"/>
      <c r="Q1869" s="7"/>
      <c r="R1869" s="181">
        <f>P_1_minW-(R1867^2*R_up)+dpup_minQ</f>
        <v>100.51342040440953</v>
      </c>
      <c r="S1869" s="132"/>
      <c r="T1869" s="145"/>
      <c r="U1869" s="138">
        <f>P_1_minW-(U1867^2*R_up)+dpup_minQ</f>
        <v>99.356007395821763</v>
      </c>
      <c r="V1869" s="132"/>
      <c r="W1869" s="145"/>
      <c r="X1869" s="138">
        <f>P_1_minW-(X1867^2*R_up)+dpup_minQ</f>
        <v>93.386393724396171</v>
      </c>
      <c r="Y1869" s="132"/>
      <c r="Z1869" s="145"/>
      <c r="AA1869" s="138">
        <f>P_1_minW-(AA1867^2*R_up)+dpup_minQ</f>
        <v>73.449383849378492</v>
      </c>
      <c r="AB1869" s="132"/>
      <c r="AC1869" s="145"/>
      <c r="AD1869" s="138">
        <f>P_1_minW-(AD1867^2*R_up)+dpup_minQ</f>
        <v>27.294272197526524</v>
      </c>
      <c r="AE1869" s="132"/>
      <c r="AF1869" s="145"/>
      <c r="AG1869" s="138">
        <f>P_1_minW-(AG1867^2*R_up)+dpup_minQ</f>
        <v>-43.533972893971921</v>
      </c>
      <c r="AH1869" s="132"/>
      <c r="AI1869" s="145"/>
      <c r="AJ1869" s="138">
        <f>P_1_minW-(AJ1867^2*R_up)+dpup_minQ</f>
        <v>-131.72927780632045</v>
      </c>
      <c r="AK1869" s="132"/>
      <c r="AL1869" s="145"/>
      <c r="AM1869" s="138">
        <f>P_1_minW-(AM1867^2*R_up)+dpup_minQ</f>
        <v>-218.81002447633873</v>
      </c>
      <c r="AN1869" s="132"/>
      <c r="AO1869" s="145"/>
      <c r="AP1869" s="138">
        <f>P_1_minW-(AP1867^2*R_up)+dpup_minQ</f>
        <v>-296.95582791902245</v>
      </c>
      <c r="AQ1869" s="132"/>
      <c r="AR1869" s="145"/>
      <c r="AS1869" s="138">
        <f>P_1_minW-(AS1867^2*R_up)+dpup_minQ</f>
        <v>-394.2251488371092</v>
      </c>
      <c r="AT1869" s="132"/>
      <c r="AU1869" s="145"/>
    </row>
    <row r="1870" spans="13:47" x14ac:dyDescent="0.25">
      <c r="M1870" s="20"/>
      <c r="N1870" s="20"/>
      <c r="O1870" s="7" t="s">
        <v>189</v>
      </c>
      <c r="P1870" s="1"/>
      <c r="Q1870" s="7"/>
      <c r="R1870" s="181">
        <f>P_2_minW+(R1867^2*R_dn)-dpdn_minQ</f>
        <v>50</v>
      </c>
      <c r="S1870" s="132"/>
      <c r="T1870" s="146"/>
      <c r="U1870" s="138">
        <f>P_2_minW+(U1867^2*R_dn)-dpdn_minQ</f>
        <v>50</v>
      </c>
      <c r="V1870" s="132"/>
      <c r="W1870" s="146"/>
      <c r="X1870" s="138">
        <f>P_2_minW+(X1867^2*R_dn)-dpdn_minQ</f>
        <v>50</v>
      </c>
      <c r="Y1870" s="132"/>
      <c r="Z1870" s="146"/>
      <c r="AA1870" s="138">
        <f>P_2_minW+(AA1867^2*R_dn)-dpdn_minQ</f>
        <v>50</v>
      </c>
      <c r="AB1870" s="132"/>
      <c r="AC1870" s="146"/>
      <c r="AD1870" s="138">
        <f>P_2_minW+(AD1867^2*R_dn)-dpdn_minQ</f>
        <v>50</v>
      </c>
      <c r="AE1870" s="132"/>
      <c r="AF1870" s="146"/>
      <c r="AG1870" s="138">
        <f>P_2_minW+(AG1867^2*R_dn)-dpdn_minQ</f>
        <v>50</v>
      </c>
      <c r="AH1870" s="132"/>
      <c r="AI1870" s="146"/>
      <c r="AJ1870" s="138">
        <f>P_2_minW+(AJ1867^2*R_dn)-dpdn_minQ</f>
        <v>50</v>
      </c>
      <c r="AK1870" s="132"/>
      <c r="AL1870" s="146"/>
      <c r="AM1870" s="138">
        <f>P_2_minW+(AM1867^2*R_dn)-dpdn_minQ</f>
        <v>50</v>
      </c>
      <c r="AN1870" s="132"/>
      <c r="AO1870" s="146"/>
      <c r="AP1870" s="138">
        <f>P_2_minW+(AP1867^2*R_dn)-dpdn_minQ</f>
        <v>50</v>
      </c>
      <c r="AQ1870" s="132"/>
      <c r="AR1870" s="146"/>
      <c r="AS1870" s="138">
        <f>P_2_minW+(AS1867^2*R_dn)-dpdn_minQ</f>
        <v>50</v>
      </c>
      <c r="AT1870" s="132"/>
      <c r="AU1870" s="146"/>
    </row>
    <row r="1871" spans="13:47" x14ac:dyDescent="0.25">
      <c r="M1871" s="20"/>
      <c r="N1871" s="20"/>
      <c r="O1871" s="7" t="s">
        <v>234</v>
      </c>
      <c r="P1871" s="1"/>
      <c r="Q1871" s="7"/>
      <c r="R1871" s="179">
        <f>'Valve Sizing'!G$8*R1869/P_1_maxW</f>
        <v>0.48485884471936547</v>
      </c>
      <c r="S1871" s="132"/>
      <c r="T1871" s="146"/>
      <c r="U1871" s="143">
        <f>'Valve Sizing'!$G$8*U1869/P_1_maxW</f>
        <v>0.47927569043062335</v>
      </c>
      <c r="V1871" s="132"/>
      <c r="W1871" s="146"/>
      <c r="X1871" s="143">
        <f>'Valve Sizing'!$G$8*X1869/P_1_maxW</f>
        <v>0.45047933690387215</v>
      </c>
      <c r="Y1871" s="132"/>
      <c r="Z1871" s="146"/>
      <c r="AA1871" s="143">
        <f>'Valve Sizing'!$G$8*AA1869/P_1_maxW</f>
        <v>0.35430675083261376</v>
      </c>
      <c r="AB1871" s="132"/>
      <c r="AC1871" s="146"/>
      <c r="AD1871" s="143">
        <f>'Valve Sizing'!$G$8*AD1869/P_1_maxW</f>
        <v>0.13166270963522039</v>
      </c>
      <c r="AE1871" s="132"/>
      <c r="AF1871" s="146"/>
      <c r="AG1871" s="143">
        <f>'Valve Sizing'!$G$8*AG1869/P_1_maxW</f>
        <v>-0.21000013449437244</v>
      </c>
      <c r="AH1871" s="132"/>
      <c r="AI1871" s="146"/>
      <c r="AJ1871" s="143">
        <f>'Valve Sizing'!$G$8*AJ1869/P_1_maxW</f>
        <v>-0.63543858318532465</v>
      </c>
      <c r="AK1871" s="132"/>
      <c r="AL1871" s="146"/>
      <c r="AM1871" s="143">
        <f>'Valve Sizing'!$G$8*AM1869/P_1_maxW</f>
        <v>-1.05550060135014</v>
      </c>
      <c r="AN1871" s="132"/>
      <c r="AO1871" s="146"/>
      <c r="AP1871" s="143">
        <f>'Valve Sizing'!$G$8*AP1869/P_1_maxW</f>
        <v>-1.4324620441548865</v>
      </c>
      <c r="AQ1871" s="132"/>
      <c r="AR1871" s="146"/>
      <c r="AS1871" s="143">
        <f>'Valve Sizing'!$G$8*AS1869/P_1_maxW</f>
        <v>-1.9016719305285448</v>
      </c>
      <c r="AT1871" s="132"/>
      <c r="AU1871" s="146"/>
    </row>
    <row r="1872" spans="13:47" x14ac:dyDescent="0.25">
      <c r="M1872" s="20"/>
      <c r="N1872" s="20"/>
      <c r="O1872" s="7" t="s">
        <v>190</v>
      </c>
      <c r="P1872" s="1"/>
      <c r="Q1872" s="7"/>
      <c r="R1872" s="181">
        <f>R1869-R1870</f>
        <v>50.51342040440953</v>
      </c>
      <c r="S1872" s="132"/>
      <c r="T1872" s="146"/>
      <c r="U1872" s="138">
        <f>U1869-U1870</f>
        <v>49.356007395821763</v>
      </c>
      <c r="V1872" s="132"/>
      <c r="W1872" s="146"/>
      <c r="X1872" s="138">
        <f>X1869-X1870</f>
        <v>43.386393724396171</v>
      </c>
      <c r="Y1872" s="132"/>
      <c r="Z1872" s="146"/>
      <c r="AA1872" s="138">
        <f>AA1869-AA1870</f>
        <v>23.449383849378492</v>
      </c>
      <c r="AB1872" s="132"/>
      <c r="AC1872" s="146"/>
      <c r="AD1872" s="138">
        <f>AD1869-AD1870</f>
        <v>-22.705727802473476</v>
      </c>
      <c r="AE1872" s="132"/>
      <c r="AF1872" s="146"/>
      <c r="AG1872" s="138">
        <f>AG1869-AG1870</f>
        <v>-93.533972893971921</v>
      </c>
      <c r="AH1872" s="132"/>
      <c r="AI1872" s="146"/>
      <c r="AJ1872" s="138">
        <f>AJ1869-AJ1870</f>
        <v>-181.72927780632045</v>
      </c>
      <c r="AK1872" s="132"/>
      <c r="AL1872" s="146"/>
      <c r="AM1872" s="138">
        <f>AM1869-AM1870</f>
        <v>-268.81002447633875</v>
      </c>
      <c r="AN1872" s="132"/>
      <c r="AO1872" s="146"/>
      <c r="AP1872" s="138">
        <f>AP1869-AP1870</f>
        <v>-346.95582791902245</v>
      </c>
      <c r="AQ1872" s="132"/>
      <c r="AR1872" s="146"/>
      <c r="AS1872" s="138">
        <f>AS1869-AS1870</f>
        <v>-444.2251488371092</v>
      </c>
      <c r="AT1872" s="132"/>
      <c r="AU1872" s="146"/>
    </row>
    <row r="1873" spans="13:47" ht="14.5" x14ac:dyDescent="0.35">
      <c r="M1873" s="27"/>
      <c r="N1873" s="27"/>
      <c r="O1873" s="2" t="s">
        <v>191</v>
      </c>
      <c r="P1873" s="10"/>
      <c r="Q1873" s="2"/>
      <c r="R1873" s="181">
        <f>R1872/R1869</f>
        <v>0.50255398931975359</v>
      </c>
      <c r="S1873" s="132"/>
      <c r="T1873" s="146"/>
      <c r="U1873" s="138">
        <f>U1872/U1869</f>
        <v>0.4967591662494415</v>
      </c>
      <c r="V1873" s="132"/>
      <c r="W1873" s="146"/>
      <c r="X1873" s="138">
        <f>X1872/X1869</f>
        <v>0.46459009705888182</v>
      </c>
      <c r="Y1873" s="132"/>
      <c r="Z1873" s="146"/>
      <c r="AA1873" s="138">
        <f>AA1872/AA1869</f>
        <v>0.31925909545362258</v>
      </c>
      <c r="AB1873" s="132"/>
      <c r="AC1873" s="146"/>
      <c r="AD1873" s="138">
        <f>AD1872/AD1869</f>
        <v>-0.83188617883466132</v>
      </c>
      <c r="AE1873" s="132"/>
      <c r="AF1873" s="146"/>
      <c r="AG1873" s="138">
        <f>AG1872/AG1869</f>
        <v>2.1485283027528008</v>
      </c>
      <c r="AH1873" s="132"/>
      <c r="AI1873" s="146"/>
      <c r="AJ1873" s="138">
        <f>AJ1872/AJ1869</f>
        <v>1.3795663411554888</v>
      </c>
      <c r="AK1873" s="132"/>
      <c r="AL1873" s="146"/>
      <c r="AM1873" s="138">
        <f>AM1872/AM1869</f>
        <v>1.2285087263239478</v>
      </c>
      <c r="AN1873" s="132"/>
      <c r="AO1873" s="146"/>
      <c r="AP1873" s="138">
        <f>AP1872/AP1869</f>
        <v>1.1683752103819112</v>
      </c>
      <c r="AQ1873" s="132"/>
      <c r="AR1873" s="146"/>
      <c r="AS1873" s="138">
        <f>AS1872/AS1869</f>
        <v>1.1268310764736615</v>
      </c>
      <c r="AT1873" s="132"/>
      <c r="AU1873" s="146"/>
    </row>
    <row r="1874" spans="13:47" x14ac:dyDescent="0.25">
      <c r="M1874" s="27"/>
      <c r="N1874" s="27"/>
      <c r="O1874" s="2" t="s">
        <v>26</v>
      </c>
      <c r="P1874" s="7">
        <v>12</v>
      </c>
      <c r="Q1874" s="2"/>
      <c r="R1874" s="181">
        <f>1-R1873/(3*F_GAMMA*R$29)</f>
        <v>0.73826412353145054</v>
      </c>
      <c r="S1874" s="133"/>
      <c r="T1874" s="146"/>
      <c r="U1874" s="138">
        <f>1-U1873/(3*F_GAMMA*U$29)</f>
        <v>0.74133909702160583</v>
      </c>
      <c r="V1874" s="133"/>
      <c r="W1874" s="146"/>
      <c r="X1874" s="138">
        <f>1-X1873/(3*F_GAMMA*X$29)</f>
        <v>0.75446038448872177</v>
      </c>
      <c r="Y1874" s="133"/>
      <c r="Z1874" s="146"/>
      <c r="AA1874" s="138">
        <f>1-AA1873/(3*F_GAMMA*AA$29)</f>
        <v>0.82895545471363785</v>
      </c>
      <c r="AB1874" s="133"/>
      <c r="AC1874" s="146"/>
      <c r="AD1874" s="138">
        <f>1-AD1873/(3*F_GAMMA*AD$29)</f>
        <v>1.4579066762865038</v>
      </c>
      <c r="AE1874" s="133"/>
      <c r="AF1874" s="146"/>
      <c r="AG1874" s="138">
        <f>1-AG1873/(3*F_GAMMA*AG$29)</f>
        <v>-0.25010420640881392</v>
      </c>
      <c r="AH1874" s="133"/>
      <c r="AI1874" s="146"/>
      <c r="AJ1874" s="138">
        <f>1-AJ1873/(3*F_GAMMA*AJ$29)</f>
        <v>0.14191375568262787</v>
      </c>
      <c r="AK1874" s="133"/>
      <c r="AL1874" s="146"/>
      <c r="AM1874" s="138">
        <f>1-AM1873/(3*F_GAMMA*AM$29)</f>
        <v>0.16511153014301649</v>
      </c>
      <c r="AN1874" s="133"/>
      <c r="AO1874" s="146"/>
      <c r="AP1874" s="138">
        <f>1-AP1873/(3*F_GAMMA*AP$29)</f>
        <v>0.34382669595436588</v>
      </c>
      <c r="AQ1874" s="133"/>
      <c r="AR1874" s="146"/>
      <c r="AS1874" s="138">
        <f>1-AS1873/(3*F_GAMMA*AS$29)</f>
        <v>3.9291418494534547E-2</v>
      </c>
      <c r="AT1874" s="133"/>
      <c r="AU1874" s="146"/>
    </row>
    <row r="1875" spans="13:47" x14ac:dyDescent="0.25">
      <c r="M1875" s="27"/>
      <c r="N1875" s="27"/>
      <c r="O1875" s="2" t="s">
        <v>71</v>
      </c>
      <c r="P1875" s="85">
        <v>5</v>
      </c>
      <c r="Q1875" s="2"/>
      <c r="R1875" s="179">
        <f>R1867/((N_6*R$27*R1874)*SQRT(R1873*R1869*R1871))</f>
        <v>0.66275486355037838</v>
      </c>
      <c r="S1875" s="133"/>
      <c r="T1875" s="146"/>
      <c r="U1875" s="143">
        <f>U1867/((N_6*U$27*U1874)*SQRT(U1873*U1869*U1871))</f>
        <v>7.5002487744816939</v>
      </c>
      <c r="V1875" s="133"/>
      <c r="W1875" s="146"/>
      <c r="X1875" s="143">
        <f>X1867/((N_6*X$27*X1874)*SQRT(X1873*X1869*X1871))</f>
        <v>20.096066886343316</v>
      </c>
      <c r="Y1875" s="133"/>
      <c r="Z1875" s="146"/>
      <c r="AA1875" s="143">
        <f>AA1867/((N_6*AA$27*AA1874)*SQRT(AA1873*AA1869*AA1871))</f>
        <v>54.953799203273604</v>
      </c>
      <c r="AB1875" s="133"/>
      <c r="AC1875" s="146"/>
      <c r="AD1875" s="143" t="e">
        <f>AD1867/((N_6*AD$27*AD1874)*SQRT(AD1873*AD1869*AD1871))</f>
        <v>#NUM!</v>
      </c>
      <c r="AE1875" s="133"/>
      <c r="AF1875" s="146"/>
      <c r="AG1875" s="143">
        <f>AG1867/((N_6*AG$27*AG1874)*SQRT(AG1873*AG1869*AG1871))</f>
        <v>-282.47477689989836</v>
      </c>
      <c r="AH1875" s="133"/>
      <c r="AI1875" s="146"/>
      <c r="AJ1875" s="143">
        <f>AJ1867/((N_6*AJ$27*AJ1874)*SQRT(AJ1873*AJ1869*AJ1871))</f>
        <v>269.64598591136786</v>
      </c>
      <c r="AK1875" s="133"/>
      <c r="AL1875" s="146"/>
      <c r="AM1875" s="143">
        <f>AM1867/((N_6*AM$27*AM1874)*SQRT(AM1873*AM1869*AM1871))</f>
        <v>184.01979539573833</v>
      </c>
      <c r="AN1875" s="133"/>
      <c r="AO1875" s="146"/>
      <c r="AP1875" s="143">
        <f>AP1867/((N_6*AP$27*AP1874)*SQRT(AP1873*AP1869*AP1871))</f>
        <v>84.618418433510513</v>
      </c>
      <c r="AQ1875" s="133"/>
      <c r="AR1875" s="146"/>
      <c r="AS1875" s="143">
        <f>AS1867/((N_6*AS$27*AS1874)*SQRT(AS1873*AS1869*AS1871))</f>
        <v>832.6042171186208</v>
      </c>
      <c r="AT1875" s="133"/>
      <c r="AU1875" s="146"/>
    </row>
    <row r="1876" spans="13:47" x14ac:dyDescent="0.25">
      <c r="M1876" s="27"/>
      <c r="N1876" s="27"/>
      <c r="O1876" s="2" t="s">
        <v>73</v>
      </c>
      <c r="P1876" s="85">
        <v>5</v>
      </c>
      <c r="Q1876" s="2"/>
      <c r="R1876" s="179">
        <f>R1867/((N_6*R$27*0.667)*SQRT(R1877*R1869*R1871))</f>
        <v>0.65002657010901976</v>
      </c>
      <c r="S1876" s="133"/>
      <c r="T1876" s="155"/>
      <c r="U1876" s="143">
        <f>U1867/((N_6*U$27*0.667)*SQRT(U1877*U1869*U1871))</f>
        <v>7.3433252014713792</v>
      </c>
      <c r="V1876" s="133"/>
      <c r="W1876" s="155"/>
      <c r="X1876" s="143">
        <f>X1867/((N_6*X$27*0.667)*SQRT(X1877*X1869*X1871))</f>
        <v>19.509362902102442</v>
      </c>
      <c r="Y1876" s="133"/>
      <c r="Z1876" s="155"/>
      <c r="AA1876" s="143">
        <f>AA1867/((N_6*AA$27*0.667)*SQRT(AA1877*AA1869*AA1871))</f>
        <v>48.923590685720754</v>
      </c>
      <c r="AB1876" s="133"/>
      <c r="AC1876" s="155"/>
      <c r="AD1876" s="143">
        <f>AD1867/((N_6*AD$27*0.667)*SQRT(AD1877*AD1869*AD1871))</f>
        <v>222.08636217937843</v>
      </c>
      <c r="AE1876" s="133"/>
      <c r="AF1876" s="155"/>
      <c r="AG1876" s="143">
        <f>AG1867/((N_6*AG$27*0.667)*SQRT(AG1877*AG1869*AG1871))</f>
        <v>205.12026647350902</v>
      </c>
      <c r="AH1876" s="133"/>
      <c r="AI1876" s="155"/>
      <c r="AJ1876" s="143">
        <f>AJ1867/((N_6*AJ$27*0.667)*SQRT(AJ1877*AJ1869*AJ1871))</f>
        <v>92.048924080998177</v>
      </c>
      <c r="AK1876" s="133"/>
      <c r="AL1876" s="155"/>
      <c r="AM1876" s="143">
        <f>AM1867/((N_6*AM$27*0.667)*SQRT(AM1877*AM1869*AM1871))</f>
        <v>72.092646852424664</v>
      </c>
      <c r="AN1876" s="133"/>
      <c r="AO1876" s="155"/>
      <c r="AP1876" s="143">
        <f>AP1867/((N_6*AP$27*0.667)*SQRT(AP1877*AP1869*AP1871))</f>
        <v>61.199598065941231</v>
      </c>
      <c r="AQ1876" s="133"/>
      <c r="AR1876" s="155"/>
      <c r="AS1876" s="143">
        <f>AS1867/((N_6*AS$27*0.667)*SQRT(AS1877*AS1869*AS1871))</f>
        <v>83.265854381868522</v>
      </c>
      <c r="AT1876" s="133"/>
      <c r="AU1876" s="155"/>
    </row>
    <row r="1877" spans="13:47" ht="15.5" x14ac:dyDescent="0.4">
      <c r="M1877" s="27"/>
      <c r="N1877" s="27"/>
      <c r="O1877" s="2" t="s">
        <v>192</v>
      </c>
      <c r="P1877" s="85">
        <v>10</v>
      </c>
      <c r="Q1877" s="2"/>
      <c r="R1877" s="181">
        <f>F_GAMMA*R$29</f>
        <v>0.64002688015162901</v>
      </c>
      <c r="S1877" s="133"/>
      <c r="T1877" s="155"/>
      <c r="U1877" s="138">
        <f>F_GAMMA*U$29</f>
        <v>0.64016782916606918</v>
      </c>
      <c r="V1877" s="133"/>
      <c r="W1877" s="155"/>
      <c r="X1877" s="138">
        <f>F_GAMMA*X$29</f>
        <v>0.6307062319203669</v>
      </c>
      <c r="Y1877" s="133"/>
      <c r="Z1877" s="155"/>
      <c r="AA1877" s="138">
        <f>F_GAMMA*AA$29</f>
        <v>0.62217534213893466</v>
      </c>
      <c r="AB1877" s="133"/>
      <c r="AC1877" s="155"/>
      <c r="AD1877" s="138">
        <f>F_GAMMA*AD$29</f>
        <v>0.60557184969146072</v>
      </c>
      <c r="AE1877" s="133"/>
      <c r="AF1877" s="155"/>
      <c r="AG1877" s="138">
        <f>F_GAMMA*AG$29</f>
        <v>0.57289312142622573</v>
      </c>
      <c r="AH1877" s="133"/>
      <c r="AI1877" s="155"/>
      <c r="AJ1877" s="138">
        <f>F_GAMMA*AJ$29</f>
        <v>0.53590819116049981</v>
      </c>
      <c r="AK1877" s="133"/>
      <c r="AL1877" s="155"/>
      <c r="AM1877" s="138">
        <f>F_GAMMA*AM$29</f>
        <v>0.49048815926850342</v>
      </c>
      <c r="AN1877" s="133"/>
      <c r="AO1877" s="155"/>
      <c r="AP1877" s="138">
        <f>F_GAMMA*AP$29</f>
        <v>0.59352979016280105</v>
      </c>
      <c r="AQ1877" s="133"/>
      <c r="AR1877" s="155"/>
      <c r="AS1877" s="138">
        <f>F_GAMMA*AS$29</f>
        <v>0.39097221161068291</v>
      </c>
      <c r="AT1877" s="133"/>
      <c r="AU1877" s="155"/>
    </row>
    <row r="1878" spans="13:47" x14ac:dyDescent="0.25">
      <c r="M1878" s="27"/>
      <c r="N1878" s="27"/>
      <c r="O1878" s="2" t="s">
        <v>193</v>
      </c>
      <c r="P1878" s="134"/>
      <c r="Q1878" s="2"/>
      <c r="R1878" s="181">
        <f>IF(R1873&lt;R1877,R1875,R1876)</f>
        <v>0.66275486355037838</v>
      </c>
      <c r="S1878" s="133"/>
      <c r="T1878" s="155"/>
      <c r="U1878" s="138">
        <f>IF(U1873&lt;U1877,U1875,U1876)</f>
        <v>7.5002487744816939</v>
      </c>
      <c r="V1878" s="133"/>
      <c r="W1878" s="155"/>
      <c r="X1878" s="138">
        <f>IF(X1873&lt;X1877,X1875,X1876)</f>
        <v>20.096066886343316</v>
      </c>
      <c r="Y1878" s="133"/>
      <c r="Z1878" s="155"/>
      <c r="AA1878" s="138">
        <f>IF(AA1873&lt;AA1877,AA1875,AA1876)</f>
        <v>54.953799203273604</v>
      </c>
      <c r="AB1878" s="133"/>
      <c r="AC1878" s="155"/>
      <c r="AD1878" s="138" t="e">
        <f>IF(AD1873&lt;AD1877,AD1875,AD1876)</f>
        <v>#NUM!</v>
      </c>
      <c r="AE1878" s="133"/>
      <c r="AF1878" s="155"/>
      <c r="AG1878" s="138">
        <f>IF(AG1873&lt;AG1877,AG1875,AG1876)</f>
        <v>205.12026647350902</v>
      </c>
      <c r="AH1878" s="133"/>
      <c r="AI1878" s="155"/>
      <c r="AJ1878" s="138">
        <f>IF(AJ1873&lt;AJ1877,AJ1875,AJ1876)</f>
        <v>92.048924080998177</v>
      </c>
      <c r="AK1878" s="133"/>
      <c r="AL1878" s="155"/>
      <c r="AM1878" s="138">
        <f>IF(AM1873&lt;AM1877,AM1875,AM1876)</f>
        <v>72.092646852424664</v>
      </c>
      <c r="AN1878" s="133"/>
      <c r="AO1878" s="155"/>
      <c r="AP1878" s="138">
        <f>IF(AP1873&lt;AP1877,AP1875,AP1876)</f>
        <v>61.199598065941231</v>
      </c>
      <c r="AQ1878" s="133"/>
      <c r="AR1878" s="155"/>
      <c r="AS1878" s="138">
        <f>IF(AS1873&lt;AS1877,AS1875,AS1876)</f>
        <v>83.265854381868522</v>
      </c>
      <c r="AT1878" s="133"/>
      <c r="AU1878" s="155"/>
    </row>
    <row r="1879" spans="13:47" ht="13" x14ac:dyDescent="0.3">
      <c r="M1879" s="28"/>
      <c r="N1879" s="28"/>
      <c r="O1879" s="9" t="s">
        <v>194</v>
      </c>
      <c r="P1879" s="1"/>
      <c r="Q1879" s="1"/>
      <c r="R1879" s="135"/>
      <c r="S1879" s="132">
        <f>IF(R1872&lt;=0,W_max,ABS(R$23-R1878))</f>
        <v>1.3372451364496216</v>
      </c>
      <c r="T1879" s="151">
        <f>R1867</f>
        <v>153.25970578055231</v>
      </c>
      <c r="U1879" s="135"/>
      <c r="V1879" s="132">
        <f>IF(U1872&lt;=0,W_max,ABS(U$23-U1878))</f>
        <v>2.5002487744816939</v>
      </c>
      <c r="W1879" s="151">
        <f>U1867</f>
        <v>1710.5570833021523</v>
      </c>
      <c r="X1879" s="135"/>
      <c r="Y1879" s="132">
        <f>IF(X1872&lt;=0,W_max,ABS(X$23-X1878))</f>
        <v>10.096066886343316</v>
      </c>
      <c r="Z1879" s="151">
        <f>X1867</f>
        <v>4230.4112256853059</v>
      </c>
      <c r="AA1879" s="135"/>
      <c r="AB1879" s="132">
        <f>IF(AA1872&lt;=0,W_max,ABS(AA$23-AA1878))</f>
        <v>37.753799203273601</v>
      </c>
      <c r="AC1879" s="151">
        <f>AA1867</f>
        <v>8239.7612745730548</v>
      </c>
      <c r="AD1879" s="135"/>
      <c r="AE1879" s="132">
        <f>IF(AD1872&lt;=0,W_max,ABS(AD$23-AD1878))</f>
        <v>7174</v>
      </c>
      <c r="AF1879" s="151">
        <f>AD1867</f>
        <v>13551.373596559752</v>
      </c>
      <c r="AG1879" s="135"/>
      <c r="AH1879" s="132">
        <f>IF(AG1872&lt;=0,W_max,ABS(AG$23-AG1878))</f>
        <v>7174</v>
      </c>
      <c r="AI1879" s="151">
        <f>AG1867</f>
        <v>19006.844737520689</v>
      </c>
      <c r="AJ1879" s="135"/>
      <c r="AK1879" s="132">
        <f>IF(AJ1872&lt;=0,W_max,ABS(AJ$23-AJ1878))</f>
        <v>7174</v>
      </c>
      <c r="AL1879" s="151">
        <f>AJ1867</f>
        <v>24133.649322496516</v>
      </c>
      <c r="AM1879" s="135"/>
      <c r="AN1879" s="132">
        <f>IF(AM1872&lt;=0,W_max,ABS(AM$23-AM1878))</f>
        <v>7174</v>
      </c>
      <c r="AO1879" s="151">
        <f>AM1867</f>
        <v>28298.6018196367</v>
      </c>
      <c r="AP1879" s="135"/>
      <c r="AQ1879" s="132">
        <f>IF(AP1872&lt;=0,W_max,ABS(AP$23-AP1878))</f>
        <v>7174</v>
      </c>
      <c r="AR1879" s="151">
        <f>AP1867</f>
        <v>31571.854305054192</v>
      </c>
      <c r="AS1879" s="135"/>
      <c r="AT1879" s="132">
        <f>IF(AS1872&lt;=0,W_max,ABS(AS$23-AS1878))</f>
        <v>7174</v>
      </c>
      <c r="AU1879" s="151">
        <f>AS1867</f>
        <v>35223.718493678069</v>
      </c>
    </row>
    <row r="1880" spans="13:47" ht="13" x14ac:dyDescent="0.25">
      <c r="M1880" s="12"/>
      <c r="N1880" s="12"/>
      <c r="O1880" s="2"/>
      <c r="P1880" s="85"/>
      <c r="Q1880" s="2"/>
      <c r="R1880" s="18"/>
      <c r="S1880" s="150"/>
      <c r="T1880" s="148"/>
      <c r="U1880" s="157"/>
      <c r="V1880" s="1"/>
      <c r="W1880" s="147"/>
      <c r="X1880" s="157"/>
      <c r="Y1880" s="1"/>
      <c r="Z1880" s="147"/>
      <c r="AA1880" s="157"/>
      <c r="AB1880" s="1"/>
      <c r="AC1880" s="147"/>
      <c r="AD1880" s="157"/>
      <c r="AE1880" s="1"/>
      <c r="AF1880" s="147"/>
      <c r="AG1880" s="157"/>
      <c r="AH1880" s="1"/>
      <c r="AI1880" s="147"/>
      <c r="AJ1880" s="157"/>
      <c r="AK1880" s="1"/>
      <c r="AL1880" s="147"/>
      <c r="AM1880" s="157"/>
      <c r="AN1880" s="1"/>
      <c r="AO1880" s="147"/>
      <c r="AP1880" s="157"/>
      <c r="AQ1880" s="1"/>
      <c r="AR1880" s="147"/>
      <c r="AS1880" s="157"/>
      <c r="AT1880" s="1"/>
      <c r="AU1880" s="147"/>
    </row>
    <row r="1881" spans="13:47" ht="14" x14ac:dyDescent="0.3">
      <c r="M1881" s="23"/>
      <c r="N1881" s="23"/>
      <c r="O1881" s="23" t="s">
        <v>238</v>
      </c>
      <c r="P1881" s="20"/>
      <c r="Q1881" s="20"/>
      <c r="R1881" s="181">
        <f>R1867*1.02</f>
        <v>156.32489989616334</v>
      </c>
      <c r="S1881" s="128" t="s">
        <v>185</v>
      </c>
      <c r="T1881" s="149" t="s">
        <v>186</v>
      </c>
      <c r="U1881" s="143">
        <f>U1867*1.01</f>
        <v>1727.6626541351739</v>
      </c>
      <c r="V1881" s="128" t="s">
        <v>185</v>
      </c>
      <c r="W1881" s="153" t="s">
        <v>186</v>
      </c>
      <c r="X1881" s="143">
        <f>X1867*1.01</f>
        <v>4272.7153379421588</v>
      </c>
      <c r="Y1881" s="128" t="s">
        <v>185</v>
      </c>
      <c r="Z1881" s="153" t="s">
        <v>186</v>
      </c>
      <c r="AA1881" s="143">
        <f>AA1867*1.01</f>
        <v>8322.1588873187848</v>
      </c>
      <c r="AB1881" s="128" t="s">
        <v>185</v>
      </c>
      <c r="AC1881" s="153" t="s">
        <v>186</v>
      </c>
      <c r="AD1881" s="143">
        <f>AD1867*1.01</f>
        <v>13686.88733252535</v>
      </c>
      <c r="AE1881" s="128" t="s">
        <v>185</v>
      </c>
      <c r="AF1881" s="153" t="s">
        <v>186</v>
      </c>
      <c r="AG1881" s="143">
        <f>AG1867*1.01</f>
        <v>19196.913184895897</v>
      </c>
      <c r="AH1881" s="128" t="s">
        <v>185</v>
      </c>
      <c r="AI1881" s="153" t="s">
        <v>186</v>
      </c>
      <c r="AJ1881" s="143">
        <f>AJ1867*1.01</f>
        <v>24374.98581572148</v>
      </c>
      <c r="AK1881" s="128" t="s">
        <v>185</v>
      </c>
      <c r="AL1881" s="153" t="s">
        <v>186</v>
      </c>
      <c r="AM1881" s="143">
        <f>AM1867*1.01</f>
        <v>28581.587837833067</v>
      </c>
      <c r="AN1881" s="128" t="s">
        <v>185</v>
      </c>
      <c r="AO1881" s="153" t="s">
        <v>186</v>
      </c>
      <c r="AP1881" s="143">
        <f>AP1867*1.01</f>
        <v>31887.572848104734</v>
      </c>
      <c r="AQ1881" s="128" t="s">
        <v>185</v>
      </c>
      <c r="AR1881" s="153" t="s">
        <v>186</v>
      </c>
      <c r="AS1881" s="143">
        <f>AS1867*1.01</f>
        <v>35575.955678614853</v>
      </c>
      <c r="AT1881" s="128" t="s">
        <v>185</v>
      </c>
      <c r="AU1881" s="153" t="s">
        <v>186</v>
      </c>
    </row>
    <row r="1882" spans="13:47" ht="14" x14ac:dyDescent="0.3">
      <c r="M1882" s="12"/>
      <c r="N1882" s="12"/>
      <c r="O1882" s="20"/>
      <c r="P1882" s="20"/>
      <c r="Q1882" s="23"/>
      <c r="R1882" s="139"/>
      <c r="S1882" s="130" t="s">
        <v>228</v>
      </c>
      <c r="T1882" s="131" t="s">
        <v>187</v>
      </c>
      <c r="U1882" s="144"/>
      <c r="V1882" s="130" t="s">
        <v>228</v>
      </c>
      <c r="W1882" s="154" t="s">
        <v>187</v>
      </c>
      <c r="X1882" s="144"/>
      <c r="Y1882" s="130" t="s">
        <v>228</v>
      </c>
      <c r="Z1882" s="154" t="s">
        <v>187</v>
      </c>
      <c r="AA1882" s="144"/>
      <c r="AB1882" s="130" t="s">
        <v>228</v>
      </c>
      <c r="AC1882" s="154" t="s">
        <v>187</v>
      </c>
      <c r="AD1882" s="144"/>
      <c r="AE1882" s="130" t="s">
        <v>228</v>
      </c>
      <c r="AF1882" s="154" t="s">
        <v>187</v>
      </c>
      <c r="AG1882" s="144"/>
      <c r="AH1882" s="130" t="s">
        <v>228</v>
      </c>
      <c r="AI1882" s="154" t="s">
        <v>187</v>
      </c>
      <c r="AJ1882" s="144"/>
      <c r="AK1882" s="130" t="s">
        <v>228</v>
      </c>
      <c r="AL1882" s="154" t="s">
        <v>187</v>
      </c>
      <c r="AM1882" s="144"/>
      <c r="AN1882" s="130" t="s">
        <v>228</v>
      </c>
      <c r="AO1882" s="154" t="s">
        <v>187</v>
      </c>
      <c r="AP1882" s="144"/>
      <c r="AQ1882" s="130" t="s">
        <v>228</v>
      </c>
      <c r="AR1882" s="154" t="s">
        <v>187</v>
      </c>
      <c r="AS1882" s="144"/>
      <c r="AT1882" s="130" t="s">
        <v>228</v>
      </c>
      <c r="AU1882" s="154" t="s">
        <v>187</v>
      </c>
    </row>
    <row r="1883" spans="13:47" x14ac:dyDescent="0.25">
      <c r="M1883" s="20"/>
      <c r="N1883" s="20"/>
      <c r="O1883" s="7" t="s">
        <v>188</v>
      </c>
      <c r="P1883" s="7"/>
      <c r="Q1883" s="7"/>
      <c r="R1883" s="181">
        <f>P_1_minW-(R1881^2*R_up)+dpup_minQ</f>
        <v>100.51304200458391</v>
      </c>
      <c r="S1883" s="132"/>
      <c r="T1883" s="145"/>
      <c r="U1883" s="138">
        <f>P_1_minW-(U1881^2*R_up)+dpup_minQ</f>
        <v>99.332555131069569</v>
      </c>
      <c r="V1883" s="132"/>
      <c r="W1883" s="145"/>
      <c r="X1883" s="138">
        <f>P_1_minW-(X1881^2*R_up)+dpup_minQ</f>
        <v>93.242952224848338</v>
      </c>
      <c r="Y1883" s="132"/>
      <c r="Z1883" s="145"/>
      <c r="AA1883" s="138">
        <f>P_1_minW-(AA1881^2*R_up)+dpup_minQ</f>
        <v>72.905208451342801</v>
      </c>
      <c r="AB1883" s="132"/>
      <c r="AC1883" s="145"/>
      <c r="AD1883" s="138">
        <f>P_1_minW-(AD1881^2*R_up)+dpup_minQ</f>
        <v>25.822379055288593</v>
      </c>
      <c r="AE1883" s="132"/>
      <c r="AF1883" s="145"/>
      <c r="AG1883" s="138">
        <f>P_1_minW-(AG1881^2*R_up)+dpup_minQ</f>
        <v>-46.429513762548979</v>
      </c>
      <c r="AH1883" s="132"/>
      <c r="AI1883" s="145"/>
      <c r="AJ1883" s="138">
        <f>P_1_minW-(AJ1881^2*R_up)+dpup_minQ</f>
        <v>-136.3975443036357</v>
      </c>
      <c r="AK1883" s="132"/>
      <c r="AL1883" s="145"/>
      <c r="AM1883" s="138">
        <f>P_1_minW-(AM1881^2*R_up)+dpup_minQ</f>
        <v>-225.22861398172134</v>
      </c>
      <c r="AN1883" s="132"/>
      <c r="AO1883" s="145"/>
      <c r="AP1883" s="138">
        <f>P_1_minW-(AP1881^2*R_up)+dpup_minQ</f>
        <v>-304.94514807360298</v>
      </c>
      <c r="AQ1883" s="132"/>
      <c r="AR1883" s="145"/>
      <c r="AS1883" s="138">
        <f>P_1_minW-(AS1881^2*R_up)+dpup_minQ</f>
        <v>-404.16958234214343</v>
      </c>
      <c r="AT1883" s="132"/>
      <c r="AU1883" s="145"/>
    </row>
    <row r="1884" spans="13:47" x14ac:dyDescent="0.25">
      <c r="M1884" s="20"/>
      <c r="N1884" s="20"/>
      <c r="O1884" s="7" t="s">
        <v>189</v>
      </c>
      <c r="P1884" s="1"/>
      <c r="Q1884" s="7"/>
      <c r="R1884" s="181">
        <f>P_2_minW+(R1881^2*R_dn)-dpdn_minQ</f>
        <v>50</v>
      </c>
      <c r="S1884" s="132"/>
      <c r="T1884" s="146"/>
      <c r="U1884" s="138">
        <f>P_2_minW+(U1881^2*R_dn)-dpdn_minQ</f>
        <v>50</v>
      </c>
      <c r="V1884" s="132"/>
      <c r="W1884" s="146"/>
      <c r="X1884" s="138">
        <f>P_2_minW+(X1881^2*R_dn)-dpdn_minQ</f>
        <v>50</v>
      </c>
      <c r="Y1884" s="132"/>
      <c r="Z1884" s="146"/>
      <c r="AA1884" s="138">
        <f>P_2_minW+(AA1881^2*R_dn)-dpdn_minQ</f>
        <v>50</v>
      </c>
      <c r="AB1884" s="132"/>
      <c r="AC1884" s="146"/>
      <c r="AD1884" s="138">
        <f>P_2_minW+(AD1881^2*R_dn)-dpdn_minQ</f>
        <v>50</v>
      </c>
      <c r="AE1884" s="132"/>
      <c r="AF1884" s="146"/>
      <c r="AG1884" s="138">
        <f>P_2_minW+(AG1881^2*R_dn)-dpdn_minQ</f>
        <v>50</v>
      </c>
      <c r="AH1884" s="132"/>
      <c r="AI1884" s="146"/>
      <c r="AJ1884" s="138">
        <f>P_2_minW+(AJ1881^2*R_dn)-dpdn_minQ</f>
        <v>50</v>
      </c>
      <c r="AK1884" s="132"/>
      <c r="AL1884" s="146"/>
      <c r="AM1884" s="138">
        <f>P_2_minW+(AM1881^2*R_dn)-dpdn_minQ</f>
        <v>50</v>
      </c>
      <c r="AN1884" s="132"/>
      <c r="AO1884" s="146"/>
      <c r="AP1884" s="138">
        <f>P_2_minW+(AP1881^2*R_dn)-dpdn_minQ</f>
        <v>50</v>
      </c>
      <c r="AQ1884" s="132"/>
      <c r="AR1884" s="146"/>
      <c r="AS1884" s="138">
        <f>P_2_minW+(AS1881^2*R_dn)-dpdn_minQ</f>
        <v>50</v>
      </c>
      <c r="AT1884" s="132"/>
      <c r="AU1884" s="146"/>
    </row>
    <row r="1885" spans="13:47" x14ac:dyDescent="0.25">
      <c r="M1885" s="20"/>
      <c r="N1885" s="20"/>
      <c r="O1885" s="7" t="s">
        <v>234</v>
      </c>
      <c r="P1885" s="1"/>
      <c r="Q1885" s="7"/>
      <c r="R1885" s="179">
        <f>'Valve Sizing'!G$8*R1883/P_1_maxW</f>
        <v>0.4848570193859767</v>
      </c>
      <c r="S1885" s="132"/>
      <c r="T1885" s="146"/>
      <c r="U1885" s="143">
        <f>'Valve Sizing'!$G$8*U1883/P_1_maxW</f>
        <v>0.47916256088087711</v>
      </c>
      <c r="V1885" s="132"/>
      <c r="W1885" s="146"/>
      <c r="X1885" s="143">
        <f>'Valve Sizing'!$G$8*X1883/P_1_maxW</f>
        <v>0.4497874006482383</v>
      </c>
      <c r="Y1885" s="132"/>
      <c r="Z1885" s="146"/>
      <c r="AA1885" s="143">
        <f>'Valve Sizing'!$G$8*AA1883/P_1_maxW</f>
        <v>0.35168174559694759</v>
      </c>
      <c r="AB1885" s="132"/>
      <c r="AC1885" s="146"/>
      <c r="AD1885" s="143">
        <f>'Valve Sizing'!$G$8*AD1883/P_1_maxW</f>
        <v>0.12456255917148658</v>
      </c>
      <c r="AE1885" s="132"/>
      <c r="AF1885" s="146"/>
      <c r="AG1885" s="143">
        <f>'Valve Sizing'!$G$8*AG1883/P_1_maxW</f>
        <v>-0.2239677081251111</v>
      </c>
      <c r="AH1885" s="132"/>
      <c r="AI1885" s="146"/>
      <c r="AJ1885" s="143">
        <f>'Valve Sizing'!$G$8*AJ1883/P_1_maxW</f>
        <v>-0.65795746963475144</v>
      </c>
      <c r="AK1885" s="132"/>
      <c r="AL1885" s="146"/>
      <c r="AM1885" s="143">
        <f>'Valve Sizing'!$G$8*AM1883/P_1_maxW</f>
        <v>-1.0864627343646795</v>
      </c>
      <c r="AN1885" s="132"/>
      <c r="AO1885" s="146"/>
      <c r="AP1885" s="143">
        <f>'Valve Sizing'!$G$8*AP1883/P_1_maxW</f>
        <v>-1.4710011021698013</v>
      </c>
      <c r="AQ1885" s="132"/>
      <c r="AR1885" s="146"/>
      <c r="AS1885" s="143">
        <f>'Valve Sizing'!$G$8*AS1883/P_1_maxW</f>
        <v>-1.9496421072595709</v>
      </c>
      <c r="AT1885" s="132"/>
      <c r="AU1885" s="146"/>
    </row>
    <row r="1886" spans="13:47" x14ac:dyDescent="0.25">
      <c r="M1886" s="20"/>
      <c r="N1886" s="20"/>
      <c r="O1886" s="7" t="s">
        <v>190</v>
      </c>
      <c r="P1886" s="1"/>
      <c r="Q1886" s="7"/>
      <c r="R1886" s="181">
        <f>R1883-R1884</f>
        <v>50.513042004583909</v>
      </c>
      <c r="S1886" s="132"/>
      <c r="T1886" s="146"/>
      <c r="U1886" s="138">
        <f>U1883-U1884</f>
        <v>49.332555131069569</v>
      </c>
      <c r="V1886" s="132"/>
      <c r="W1886" s="146"/>
      <c r="X1886" s="138">
        <f>X1883-X1884</f>
        <v>43.242952224848338</v>
      </c>
      <c r="Y1886" s="132"/>
      <c r="Z1886" s="146"/>
      <c r="AA1886" s="138">
        <f>AA1883-AA1884</f>
        <v>22.905208451342801</v>
      </c>
      <c r="AB1886" s="132"/>
      <c r="AC1886" s="146"/>
      <c r="AD1886" s="138">
        <f>AD1883-AD1884</f>
        <v>-24.177620944711407</v>
      </c>
      <c r="AE1886" s="132"/>
      <c r="AF1886" s="146"/>
      <c r="AG1886" s="138">
        <f>AG1883-AG1884</f>
        <v>-96.429513762548979</v>
      </c>
      <c r="AH1886" s="132"/>
      <c r="AI1886" s="146"/>
      <c r="AJ1886" s="138">
        <f>AJ1883-AJ1884</f>
        <v>-186.3975443036357</v>
      </c>
      <c r="AK1886" s="132"/>
      <c r="AL1886" s="146"/>
      <c r="AM1886" s="138">
        <f>AM1883-AM1884</f>
        <v>-275.22861398172131</v>
      </c>
      <c r="AN1886" s="132"/>
      <c r="AO1886" s="146"/>
      <c r="AP1886" s="138">
        <f>AP1883-AP1884</f>
        <v>-354.94514807360298</v>
      </c>
      <c r="AQ1886" s="132"/>
      <c r="AR1886" s="146"/>
      <c r="AS1886" s="138">
        <f>AS1883-AS1884</f>
        <v>-454.16958234214343</v>
      </c>
      <c r="AT1886" s="132"/>
      <c r="AU1886" s="146"/>
    </row>
    <row r="1887" spans="13:47" ht="14.5" x14ac:dyDescent="0.35">
      <c r="M1887" s="27"/>
      <c r="N1887" s="27"/>
      <c r="O1887" s="2" t="s">
        <v>191</v>
      </c>
      <c r="P1887" s="10"/>
      <c r="Q1887" s="2"/>
      <c r="R1887" s="181">
        <f>R1886/R1883</f>
        <v>0.50255211659279253</v>
      </c>
      <c r="S1887" s="132"/>
      <c r="T1887" s="146"/>
      <c r="U1887" s="138">
        <f>U1886/U1883</f>
        <v>0.49664035185619793</v>
      </c>
      <c r="V1887" s="132"/>
      <c r="W1887" s="146"/>
      <c r="X1887" s="138">
        <f>X1886/X1883</f>
        <v>0.46376644232125153</v>
      </c>
      <c r="Y1887" s="132"/>
      <c r="Z1887" s="146"/>
      <c r="AA1887" s="138">
        <f>AA1886/AA1883</f>
        <v>0.31417794335818711</v>
      </c>
      <c r="AB1887" s="132"/>
      <c r="AC1887" s="146"/>
      <c r="AD1887" s="138">
        <f>AD1886/AD1883</f>
        <v>-0.93630493506986423</v>
      </c>
      <c r="AE1887" s="132"/>
      <c r="AF1887" s="146"/>
      <c r="AG1887" s="138">
        <f>AG1886/AG1883</f>
        <v>2.0769012196791743</v>
      </c>
      <c r="AH1887" s="132"/>
      <c r="AI1887" s="146"/>
      <c r="AJ1887" s="138">
        <f>AJ1886/AJ1883</f>
        <v>1.3665755146492564</v>
      </c>
      <c r="AK1887" s="132"/>
      <c r="AL1887" s="146"/>
      <c r="AM1887" s="138">
        <f>AM1886/AM1883</f>
        <v>1.2219966598207535</v>
      </c>
      <c r="AN1887" s="132"/>
      <c r="AO1887" s="146"/>
      <c r="AP1887" s="138">
        <f>AP1886/AP1883</f>
        <v>1.1639639138902835</v>
      </c>
      <c r="AQ1887" s="132"/>
      <c r="AR1887" s="146"/>
      <c r="AS1887" s="138">
        <f>AS1886/AS1883</f>
        <v>1.123710447753768</v>
      </c>
      <c r="AT1887" s="132"/>
      <c r="AU1887" s="146"/>
    </row>
    <row r="1888" spans="13:47" x14ac:dyDescent="0.25">
      <c r="M1888" s="27"/>
      <c r="N1888" s="27"/>
      <c r="O1888" s="2" t="s">
        <v>26</v>
      </c>
      <c r="P1888" s="7">
        <v>12</v>
      </c>
      <c r="Q1888" s="2"/>
      <c r="R1888" s="181">
        <f>1-R1887/(3*F_GAMMA*R$29)</f>
        <v>0.73826509886911174</v>
      </c>
      <c r="S1888" s="133"/>
      <c r="T1888" s="146"/>
      <c r="U1888" s="138">
        <f>1-U1887/(3*F_GAMMA*U$29)</f>
        <v>0.74140096329470406</v>
      </c>
      <c r="V1888" s="133"/>
      <c r="W1888" s="146"/>
      <c r="X1888" s="138">
        <f>1-X1887/(3*F_GAMMA*X$29)</f>
        <v>0.75489569266440637</v>
      </c>
      <c r="Y1888" s="133"/>
      <c r="Z1888" s="146"/>
      <c r="AA1888" s="138">
        <f>1-AA1887/(3*F_GAMMA*AA$29)</f>
        <v>0.83167770558157239</v>
      </c>
      <c r="AB1888" s="133"/>
      <c r="AC1888" s="146"/>
      <c r="AD1888" s="138">
        <f>1-AD1887/(3*F_GAMMA*AD$29)</f>
        <v>1.5153833441602413</v>
      </c>
      <c r="AE1888" s="133"/>
      <c r="AF1888" s="146"/>
      <c r="AG1888" s="138">
        <f>1-AG1887/(3*F_GAMMA*AG$29)</f>
        <v>-0.20842855441558239</v>
      </c>
      <c r="AH1888" s="133"/>
      <c r="AI1888" s="146"/>
      <c r="AJ1888" s="138">
        <f>1-AJ1887/(3*F_GAMMA*AJ$29)</f>
        <v>0.14999401191588357</v>
      </c>
      <c r="AK1888" s="133"/>
      <c r="AL1888" s="146"/>
      <c r="AM1888" s="138">
        <f>1-AM1887/(3*F_GAMMA*AM$29)</f>
        <v>0.16953709841287123</v>
      </c>
      <c r="AN1888" s="133"/>
      <c r="AO1888" s="146"/>
      <c r="AP1888" s="138">
        <f>1-AP1887/(3*F_GAMMA*AP$29)</f>
        <v>0.34630413211384248</v>
      </c>
      <c r="AQ1888" s="133"/>
      <c r="AR1888" s="146"/>
      <c r="AS1888" s="138">
        <f>1-AS1887/(3*F_GAMMA*AS$29)</f>
        <v>4.1951990121895211E-2</v>
      </c>
      <c r="AT1888" s="133"/>
      <c r="AU1888" s="146"/>
    </row>
    <row r="1889" spans="13:47" x14ac:dyDescent="0.25">
      <c r="M1889" s="27"/>
      <c r="N1889" s="27"/>
      <c r="O1889" s="2" t="s">
        <v>71</v>
      </c>
      <c r="P1889" s="85">
        <v>5</v>
      </c>
      <c r="Q1889" s="2"/>
      <c r="R1889" s="179">
        <f>R1881/((N_6*R$27*R1888)*SQRT(R1887*R1883*R1885))</f>
        <v>0.67601287224565543</v>
      </c>
      <c r="S1889" s="133"/>
      <c r="T1889" s="146"/>
      <c r="U1889" s="143">
        <f>U1881/((N_6*U$27*U1888)*SQRT(U1887*U1883*U1885))</f>
        <v>7.5773137222976485</v>
      </c>
      <c r="V1889" s="133"/>
      <c r="W1889" s="146"/>
      <c r="X1889" s="143">
        <f>X1881/((N_6*X$27*X1888)*SQRT(X1887*X1883*X1885))</f>
        <v>20.33456272481515</v>
      </c>
      <c r="Y1889" s="133"/>
      <c r="Z1889" s="146"/>
      <c r="AA1889" s="143">
        <f>AA1881/((N_6*AA$27*AA1888)*SQRT(AA1887*AA1883*AA1885))</f>
        <v>56.183478512513013</v>
      </c>
      <c r="AB1889" s="133"/>
      <c r="AC1889" s="146"/>
      <c r="AD1889" s="143" t="e">
        <f>AD1881/((N_6*AD$27*AD1888)*SQRT(AD1887*AD1883*AD1885))</f>
        <v>#NUM!</v>
      </c>
      <c r="AE1889" s="133"/>
      <c r="AF1889" s="146"/>
      <c r="AG1889" s="143">
        <f>AG1881/((N_6*AG$27*AG1888)*SQRT(AG1887*AG1883*AG1885))</f>
        <v>-326.48378265249346</v>
      </c>
      <c r="AH1889" s="133"/>
      <c r="AI1889" s="146"/>
      <c r="AJ1889" s="143">
        <f>AJ1881/((N_6*AJ$27*AJ1888)*SQRT(AJ1887*AJ1883*AJ1885))</f>
        <v>250.03231524447111</v>
      </c>
      <c r="AK1889" s="133"/>
      <c r="AL1889" s="146"/>
      <c r="AM1889" s="143">
        <f>AM1881/((N_6*AM$27*AM1888)*SQRT(AM1887*AM1883*AM1885))</f>
        <v>176.31787266662511</v>
      </c>
      <c r="AN1889" s="133"/>
      <c r="AO1889" s="146"/>
      <c r="AP1889" s="143">
        <f>AP1881/((N_6*AP$27*AP1888)*SQRT(AP1887*AP1883*AP1885))</f>
        <v>82.786539997368578</v>
      </c>
      <c r="AQ1889" s="133"/>
      <c r="AR1889" s="146"/>
      <c r="AS1889" s="143">
        <f>AS1881/((N_6*AS$27*AS1888)*SQRT(AS1887*AS1883*AS1885))</f>
        <v>769.28633663460698</v>
      </c>
      <c r="AT1889" s="133"/>
      <c r="AU1889" s="146"/>
    </row>
    <row r="1890" spans="13:47" x14ac:dyDescent="0.25">
      <c r="M1890" s="27"/>
      <c r="N1890" s="27"/>
      <c r="O1890" s="2" t="s">
        <v>73</v>
      </c>
      <c r="P1890" s="85">
        <v>5</v>
      </c>
      <c r="Q1890" s="2"/>
      <c r="R1890" s="179">
        <f>R1881/((N_6*R$27*0.667)*SQRT(R1891*R1883*R1885))</f>
        <v>0.66302959759861901</v>
      </c>
      <c r="S1890" s="133"/>
      <c r="T1890" s="147"/>
      <c r="U1890" s="143">
        <f>U1881/((N_6*U$27*0.667)*SQRT(U1891*U1883*U1885))</f>
        <v>7.4185095388440088</v>
      </c>
      <c r="V1890" s="133"/>
      <c r="W1890" s="155"/>
      <c r="X1890" s="143">
        <f>X1881/((N_6*X$27*0.667)*SQRT(X1891*X1883*X1885))</f>
        <v>19.734769136260461</v>
      </c>
      <c r="Y1890" s="133"/>
      <c r="Z1890" s="155"/>
      <c r="AA1890" s="143">
        <f>AA1881/((N_6*AA$27*0.667)*SQRT(AA1891*AA1883*AA1885))</f>
        <v>49.781651332953409</v>
      </c>
      <c r="AB1890" s="133"/>
      <c r="AC1890" s="155"/>
      <c r="AD1890" s="143">
        <f>AD1881/((N_6*AD$27*0.667)*SQRT(AD1891*AD1883*AD1885))</f>
        <v>237.09288999982178</v>
      </c>
      <c r="AE1890" s="133"/>
      <c r="AF1890" s="155"/>
      <c r="AG1890" s="143">
        <f>AG1881/((N_6*AG$27*0.667)*SQRT(AG1891*AG1883*AG1885))</f>
        <v>194.25138001646647</v>
      </c>
      <c r="AH1890" s="133"/>
      <c r="AI1890" s="155"/>
      <c r="AJ1890" s="143">
        <f>AJ1881/((N_6*AJ$27*0.667)*SQRT(AJ1891*AJ1883*AJ1885))</f>
        <v>89.787493884027754</v>
      </c>
      <c r="AK1890" s="133"/>
      <c r="AL1890" s="155"/>
      <c r="AM1890" s="143">
        <f>AM1881/((N_6*AM$27*0.667)*SQRT(AM1891*AM1883*AM1885))</f>
        <v>70.738524199503004</v>
      </c>
      <c r="AN1890" s="133"/>
      <c r="AO1890" s="155"/>
      <c r="AP1890" s="143">
        <f>AP1881/((N_6*AP$27*0.667)*SQRT(AP1891*AP1883*AP1885))</f>
        <v>60.192179482299842</v>
      </c>
      <c r="AQ1890" s="133"/>
      <c r="AR1890" s="155"/>
      <c r="AS1890" s="143">
        <f>AS1881/((N_6*AS$27*0.667)*SQRT(AS1891*AS1883*AS1885))</f>
        <v>82.029302113692481</v>
      </c>
      <c r="AT1890" s="133"/>
      <c r="AU1890" s="155"/>
    </row>
    <row r="1891" spans="13:47" ht="15.5" x14ac:dyDescent="0.4">
      <c r="M1891" s="27"/>
      <c r="N1891" s="27"/>
      <c r="O1891" s="2" t="s">
        <v>192</v>
      </c>
      <c r="P1891" s="85">
        <v>10</v>
      </c>
      <c r="Q1891" s="2"/>
      <c r="R1891" s="181">
        <f>F_GAMMA*R$29</f>
        <v>0.64002688015162901</v>
      </c>
      <c r="S1891" s="133"/>
      <c r="T1891" s="147"/>
      <c r="U1891" s="138">
        <f>F_GAMMA*U$29</f>
        <v>0.64016782916606918</v>
      </c>
      <c r="V1891" s="133"/>
      <c r="W1891" s="155"/>
      <c r="X1891" s="138">
        <f>F_GAMMA*X$29</f>
        <v>0.6307062319203669</v>
      </c>
      <c r="Y1891" s="133"/>
      <c r="Z1891" s="155"/>
      <c r="AA1891" s="138">
        <f>F_GAMMA*AA$29</f>
        <v>0.62217534213893466</v>
      </c>
      <c r="AB1891" s="133"/>
      <c r="AC1891" s="155"/>
      <c r="AD1891" s="138">
        <f>F_GAMMA*AD$29</f>
        <v>0.60557184969146072</v>
      </c>
      <c r="AE1891" s="133"/>
      <c r="AF1891" s="155"/>
      <c r="AG1891" s="138">
        <f>F_GAMMA*AG$29</f>
        <v>0.57289312142622573</v>
      </c>
      <c r="AH1891" s="133"/>
      <c r="AI1891" s="155"/>
      <c r="AJ1891" s="138">
        <f>F_GAMMA*AJ$29</f>
        <v>0.53590819116049981</v>
      </c>
      <c r="AK1891" s="133"/>
      <c r="AL1891" s="155"/>
      <c r="AM1891" s="138">
        <f>F_GAMMA*AM$29</f>
        <v>0.49048815926850342</v>
      </c>
      <c r="AN1891" s="133"/>
      <c r="AO1891" s="155"/>
      <c r="AP1891" s="138">
        <f>F_GAMMA*AP$29</f>
        <v>0.59352979016280105</v>
      </c>
      <c r="AQ1891" s="133"/>
      <c r="AR1891" s="155"/>
      <c r="AS1891" s="138">
        <f>F_GAMMA*AS$29</f>
        <v>0.39097221161068291</v>
      </c>
      <c r="AT1891" s="133"/>
      <c r="AU1891" s="155"/>
    </row>
    <row r="1892" spans="13:47" x14ac:dyDescent="0.25">
      <c r="M1892" s="27"/>
      <c r="N1892" s="27"/>
      <c r="O1892" s="2" t="s">
        <v>193</v>
      </c>
      <c r="P1892" s="134"/>
      <c r="Q1892" s="2"/>
      <c r="R1892" s="181">
        <f>IF(R1887&lt;R1891,R1889,R1890)</f>
        <v>0.67601287224565543</v>
      </c>
      <c r="S1892" s="133"/>
      <c r="T1892" s="147"/>
      <c r="U1892" s="138">
        <f>IF(U1887&lt;U1891,U1889,U1890)</f>
        <v>7.5773137222976485</v>
      </c>
      <c r="V1892" s="133"/>
      <c r="W1892" s="155"/>
      <c r="X1892" s="138">
        <f>IF(X1887&lt;X1891,X1889,X1890)</f>
        <v>20.33456272481515</v>
      </c>
      <c r="Y1892" s="133"/>
      <c r="Z1892" s="155"/>
      <c r="AA1892" s="138">
        <f>IF(AA1887&lt;AA1891,AA1889,AA1890)</f>
        <v>56.183478512513013</v>
      </c>
      <c r="AB1892" s="133"/>
      <c r="AC1892" s="155"/>
      <c r="AD1892" s="138" t="e">
        <f>IF(AD1887&lt;AD1891,AD1889,AD1890)</f>
        <v>#NUM!</v>
      </c>
      <c r="AE1892" s="133"/>
      <c r="AF1892" s="155"/>
      <c r="AG1892" s="138">
        <f>IF(AG1887&lt;AG1891,AG1889,AG1890)</f>
        <v>194.25138001646647</v>
      </c>
      <c r="AH1892" s="133"/>
      <c r="AI1892" s="155"/>
      <c r="AJ1892" s="138">
        <f>IF(AJ1887&lt;AJ1891,AJ1889,AJ1890)</f>
        <v>89.787493884027754</v>
      </c>
      <c r="AK1892" s="133"/>
      <c r="AL1892" s="155"/>
      <c r="AM1892" s="138">
        <f>IF(AM1887&lt;AM1891,AM1889,AM1890)</f>
        <v>70.738524199503004</v>
      </c>
      <c r="AN1892" s="133"/>
      <c r="AO1892" s="155"/>
      <c r="AP1892" s="138">
        <f>IF(AP1887&lt;AP1891,AP1889,AP1890)</f>
        <v>60.192179482299842</v>
      </c>
      <c r="AQ1892" s="133"/>
      <c r="AR1892" s="155"/>
      <c r="AS1892" s="138">
        <f>IF(AS1887&lt;AS1891,AS1889,AS1890)</f>
        <v>82.029302113692481</v>
      </c>
      <c r="AT1892" s="133"/>
      <c r="AU1892" s="155"/>
    </row>
    <row r="1893" spans="13:47" ht="13" x14ac:dyDescent="0.3">
      <c r="M1893" s="28"/>
      <c r="N1893" s="28"/>
      <c r="O1893" s="9" t="s">
        <v>194</v>
      </c>
      <c r="P1893" s="1"/>
      <c r="Q1893" s="1"/>
      <c r="R1893" s="135"/>
      <c r="S1893" s="132">
        <f>IF(R1886&lt;=0,W_max,ABS(R$23-R1892))</f>
        <v>1.3239871277543447</v>
      </c>
      <c r="T1893" s="151">
        <f>R1881</f>
        <v>156.32489989616334</v>
      </c>
      <c r="U1893" s="135"/>
      <c r="V1893" s="132">
        <f>IF(U1886&lt;=0,W_max,ABS(U$23-U1892))</f>
        <v>2.5773137222976485</v>
      </c>
      <c r="W1893" s="151">
        <f>U1881</f>
        <v>1727.6626541351739</v>
      </c>
      <c r="X1893" s="135"/>
      <c r="Y1893" s="132">
        <f>IF(X1886&lt;=0,W_max,ABS(X$23-X1892))</f>
        <v>10.33456272481515</v>
      </c>
      <c r="Z1893" s="151">
        <f>X1881</f>
        <v>4272.7153379421588</v>
      </c>
      <c r="AA1893" s="135"/>
      <c r="AB1893" s="132">
        <f>IF(AA1886&lt;=0,W_max,ABS(AA$23-AA1892))</f>
        <v>38.983478512513017</v>
      </c>
      <c r="AC1893" s="151">
        <f>AA1881</f>
        <v>8322.1588873187848</v>
      </c>
      <c r="AD1893" s="135"/>
      <c r="AE1893" s="132">
        <f>IF(AD1886&lt;=0,W_max,ABS(AD$23-AD1892))</f>
        <v>7174</v>
      </c>
      <c r="AF1893" s="151">
        <f>AD1881</f>
        <v>13686.88733252535</v>
      </c>
      <c r="AG1893" s="135"/>
      <c r="AH1893" s="132">
        <f>IF(AG1886&lt;=0,W_max,ABS(AG$23-AG1892))</f>
        <v>7174</v>
      </c>
      <c r="AI1893" s="151">
        <f>AG1881</f>
        <v>19196.913184895897</v>
      </c>
      <c r="AJ1893" s="135"/>
      <c r="AK1893" s="132">
        <f>IF(AJ1886&lt;=0,W_max,ABS(AJ$23-AJ1892))</f>
        <v>7174</v>
      </c>
      <c r="AL1893" s="151">
        <f>AJ1881</f>
        <v>24374.98581572148</v>
      </c>
      <c r="AM1893" s="135"/>
      <c r="AN1893" s="132">
        <f>IF(AM1886&lt;=0,W_max,ABS(AM$23-AM1892))</f>
        <v>7174</v>
      </c>
      <c r="AO1893" s="151">
        <f>AM1881</f>
        <v>28581.587837833067</v>
      </c>
      <c r="AP1893" s="135"/>
      <c r="AQ1893" s="132">
        <f>IF(AP1886&lt;=0,W_max,ABS(AP$23-AP1892))</f>
        <v>7174</v>
      </c>
      <c r="AR1893" s="151">
        <f>AP1881</f>
        <v>31887.572848104734</v>
      </c>
      <c r="AS1893" s="135"/>
      <c r="AT1893" s="132">
        <f>IF(AS1886&lt;=0,W_max,ABS(AS$23-AS1892))</f>
        <v>7174</v>
      </c>
      <c r="AU1893" s="151">
        <f>AS1881</f>
        <v>35575.955678614853</v>
      </c>
    </row>
    <row r="1894" spans="13:47" ht="13" x14ac:dyDescent="0.25">
      <c r="M1894" s="12"/>
      <c r="N1894" s="12"/>
      <c r="O1894" s="12"/>
      <c r="P1894" s="12"/>
      <c r="Q1894" s="12"/>
      <c r="R1894" s="182"/>
      <c r="S1894" s="22"/>
      <c r="T1894" s="152"/>
      <c r="U1894" s="157"/>
      <c r="V1894" s="1"/>
      <c r="W1894" s="147"/>
      <c r="X1894" s="157"/>
      <c r="Y1894" s="1"/>
      <c r="Z1894" s="147"/>
      <c r="AA1894" s="157"/>
      <c r="AB1894" s="1"/>
      <c r="AC1894" s="147"/>
      <c r="AD1894" s="157"/>
      <c r="AE1894" s="1"/>
      <c r="AF1894" s="147"/>
      <c r="AG1894" s="157"/>
      <c r="AH1894" s="1"/>
      <c r="AI1894" s="147"/>
      <c r="AJ1894" s="157"/>
      <c r="AK1894" s="1"/>
      <c r="AL1894" s="147"/>
      <c r="AM1894" s="157"/>
      <c r="AN1894" s="1"/>
      <c r="AO1894" s="147"/>
      <c r="AP1894" s="157"/>
      <c r="AQ1894" s="1"/>
      <c r="AR1894" s="147"/>
      <c r="AS1894" s="157"/>
      <c r="AT1894" s="1"/>
      <c r="AU1894" s="147"/>
    </row>
    <row r="1895" spans="13:47" ht="14" x14ac:dyDescent="0.3">
      <c r="M1895" s="23"/>
      <c r="N1895" s="23"/>
      <c r="O1895" s="23" t="s">
        <v>238</v>
      </c>
      <c r="P1895" s="20"/>
      <c r="Q1895" s="20"/>
      <c r="R1895" s="18">
        <f>R1881*1.02</f>
        <v>159.45139789408663</v>
      </c>
      <c r="S1895" s="128" t="s">
        <v>185</v>
      </c>
      <c r="T1895" s="153" t="s">
        <v>186</v>
      </c>
      <c r="U1895" s="143">
        <f>U1881*1.01</f>
        <v>1744.9392806765256</v>
      </c>
      <c r="V1895" s="128" t="s">
        <v>185</v>
      </c>
      <c r="W1895" s="153" t="s">
        <v>186</v>
      </c>
      <c r="X1895" s="143">
        <f>X1881*1.01</f>
        <v>4315.4424913215807</v>
      </c>
      <c r="Y1895" s="128" t="s">
        <v>185</v>
      </c>
      <c r="Z1895" s="153" t="s">
        <v>186</v>
      </c>
      <c r="AA1895" s="143">
        <f>AA1881*1.01</f>
        <v>8405.3804761919728</v>
      </c>
      <c r="AB1895" s="128" t="s">
        <v>185</v>
      </c>
      <c r="AC1895" s="153" t="s">
        <v>186</v>
      </c>
      <c r="AD1895" s="143">
        <f>AD1881*1.01</f>
        <v>13823.756205850603</v>
      </c>
      <c r="AE1895" s="128" t="s">
        <v>185</v>
      </c>
      <c r="AF1895" s="153" t="s">
        <v>186</v>
      </c>
      <c r="AG1895" s="143">
        <f>AG1881*1.01</f>
        <v>19388.882316744857</v>
      </c>
      <c r="AH1895" s="128" t="s">
        <v>185</v>
      </c>
      <c r="AI1895" s="153" t="s">
        <v>186</v>
      </c>
      <c r="AJ1895" s="143">
        <f>AJ1881*1.01</f>
        <v>24618.735673878695</v>
      </c>
      <c r="AK1895" s="128" t="s">
        <v>185</v>
      </c>
      <c r="AL1895" s="153" t="s">
        <v>186</v>
      </c>
      <c r="AM1895" s="143">
        <f>AM1881*1.01</f>
        <v>28867.403716211396</v>
      </c>
      <c r="AN1895" s="128" t="s">
        <v>185</v>
      </c>
      <c r="AO1895" s="153" t="s">
        <v>186</v>
      </c>
      <c r="AP1895" s="143">
        <f>AP1881*1.01</f>
        <v>32206.448576585783</v>
      </c>
      <c r="AQ1895" s="128" t="s">
        <v>185</v>
      </c>
      <c r="AR1895" s="153" t="s">
        <v>186</v>
      </c>
      <c r="AS1895" s="143">
        <f>AS1881*1.01</f>
        <v>35931.715235401003</v>
      </c>
      <c r="AT1895" s="128" t="s">
        <v>185</v>
      </c>
      <c r="AU1895" s="153" t="s">
        <v>186</v>
      </c>
    </row>
    <row r="1896" spans="13:47" ht="14" x14ac:dyDescent="0.3">
      <c r="M1896" s="12"/>
      <c r="N1896" s="12"/>
      <c r="O1896" s="20"/>
      <c r="P1896" s="20"/>
      <c r="Q1896" s="23"/>
      <c r="R1896" s="139"/>
      <c r="S1896" s="130" t="s">
        <v>228</v>
      </c>
      <c r="T1896" s="154" t="s">
        <v>187</v>
      </c>
      <c r="U1896" s="144"/>
      <c r="V1896" s="130" t="s">
        <v>228</v>
      </c>
      <c r="W1896" s="154" t="s">
        <v>187</v>
      </c>
      <c r="X1896" s="144"/>
      <c r="Y1896" s="130" t="s">
        <v>228</v>
      </c>
      <c r="Z1896" s="154" t="s">
        <v>187</v>
      </c>
      <c r="AA1896" s="144"/>
      <c r="AB1896" s="130" t="s">
        <v>228</v>
      </c>
      <c r="AC1896" s="154" t="s">
        <v>187</v>
      </c>
      <c r="AD1896" s="144"/>
      <c r="AE1896" s="130" t="s">
        <v>228</v>
      </c>
      <c r="AF1896" s="154" t="s">
        <v>187</v>
      </c>
      <c r="AG1896" s="144"/>
      <c r="AH1896" s="130" t="s">
        <v>228</v>
      </c>
      <c r="AI1896" s="154" t="s">
        <v>187</v>
      </c>
      <c r="AJ1896" s="144"/>
      <c r="AK1896" s="130" t="s">
        <v>228</v>
      </c>
      <c r="AL1896" s="154" t="s">
        <v>187</v>
      </c>
      <c r="AM1896" s="144"/>
      <c r="AN1896" s="130" t="s">
        <v>228</v>
      </c>
      <c r="AO1896" s="154" t="s">
        <v>187</v>
      </c>
      <c r="AP1896" s="144"/>
      <c r="AQ1896" s="130" t="s">
        <v>228</v>
      </c>
      <c r="AR1896" s="154" t="s">
        <v>187</v>
      </c>
      <c r="AS1896" s="144"/>
      <c r="AT1896" s="130" t="s">
        <v>228</v>
      </c>
      <c r="AU1896" s="154" t="s">
        <v>187</v>
      </c>
    </row>
    <row r="1897" spans="13:47" x14ac:dyDescent="0.25">
      <c r="M1897" s="20"/>
      <c r="N1897" s="20"/>
      <c r="O1897" s="7" t="s">
        <v>188</v>
      </c>
      <c r="P1897" s="7"/>
      <c r="Q1897" s="7"/>
      <c r="R1897" s="181">
        <f>P_1_minW-(R1895^2*R_up)+dpup_minQ</f>
        <v>100.51264831740534</v>
      </c>
      <c r="S1897" s="132"/>
      <c r="T1897" s="145"/>
      <c r="U1897" s="138">
        <f>P_1_minW-(U1895^2*R_up)+dpup_minQ</f>
        <v>99.308631475795863</v>
      </c>
      <c r="V1897" s="132"/>
      <c r="W1897" s="145"/>
      <c r="X1897" s="138">
        <f>P_1_minW-(X1895^2*R_up)+dpup_minQ</f>
        <v>93.096627551159571</v>
      </c>
      <c r="Y1897" s="132"/>
      <c r="Z1897" s="145"/>
      <c r="AA1897" s="138">
        <f>P_1_minW-(AA1895^2*R_up)+dpup_minQ</f>
        <v>72.350095127806583</v>
      </c>
      <c r="AB1897" s="132"/>
      <c r="AC1897" s="145"/>
      <c r="AD1897" s="138">
        <f>P_1_minW-(AD1895^2*R_up)+dpup_minQ</f>
        <v>24.320900860891697</v>
      </c>
      <c r="AE1897" s="132"/>
      <c r="AF1897" s="145"/>
      <c r="AG1897" s="138">
        <f>P_1_minW-(AG1895^2*R_up)+dpup_minQ</f>
        <v>-49.383255002584448</v>
      </c>
      <c r="AH1897" s="132"/>
      <c r="AI1897" s="145"/>
      <c r="AJ1897" s="138">
        <f>P_1_minW-(AJ1895^2*R_up)+dpup_minQ</f>
        <v>-141.15964295754699</v>
      </c>
      <c r="AK1897" s="132"/>
      <c r="AL1897" s="145"/>
      <c r="AM1897" s="138">
        <f>P_1_minW-(AM1895^2*R_up)+dpup_minQ</f>
        <v>-231.7762171361621</v>
      </c>
      <c r="AN1897" s="132"/>
      <c r="AO1897" s="145"/>
      <c r="AP1897" s="138">
        <f>P_1_minW-(AP1895^2*R_up)+dpup_minQ</f>
        <v>-313.09505356329066</v>
      </c>
      <c r="AQ1897" s="132"/>
      <c r="AR1897" s="145"/>
      <c r="AS1897" s="138">
        <f>P_1_minW-(AS1895^2*R_up)+dpup_minQ</f>
        <v>-414.31389896062876</v>
      </c>
      <c r="AT1897" s="132"/>
      <c r="AU1897" s="145"/>
    </row>
    <row r="1898" spans="13:47" x14ac:dyDescent="0.25">
      <c r="M1898" s="20"/>
      <c r="N1898" s="20"/>
      <c r="O1898" s="7" t="s">
        <v>189</v>
      </c>
      <c r="P1898" s="1"/>
      <c r="Q1898" s="7"/>
      <c r="R1898" s="181">
        <f>P_2_minW+(R1895^2*R_dn)-dpdn_minQ</f>
        <v>50</v>
      </c>
      <c r="S1898" s="132"/>
      <c r="T1898" s="146"/>
      <c r="U1898" s="138">
        <f>P_2_minW+(U1895^2*R_dn)-dpdn_minQ</f>
        <v>50</v>
      </c>
      <c r="V1898" s="132"/>
      <c r="W1898" s="146"/>
      <c r="X1898" s="138">
        <f>P_2_minW+(X1895^2*R_dn)-dpdn_minQ</f>
        <v>50</v>
      </c>
      <c r="Y1898" s="132"/>
      <c r="Z1898" s="146"/>
      <c r="AA1898" s="138">
        <f>P_2_minW+(AA1895^2*R_dn)-dpdn_minQ</f>
        <v>50</v>
      </c>
      <c r="AB1898" s="132"/>
      <c r="AC1898" s="146"/>
      <c r="AD1898" s="138">
        <f>P_2_minW+(AD1895^2*R_dn)-dpdn_minQ</f>
        <v>50</v>
      </c>
      <c r="AE1898" s="132"/>
      <c r="AF1898" s="146"/>
      <c r="AG1898" s="138">
        <f>P_2_minW+(AG1895^2*R_dn)-dpdn_minQ</f>
        <v>50</v>
      </c>
      <c r="AH1898" s="132"/>
      <c r="AI1898" s="146"/>
      <c r="AJ1898" s="138">
        <f>P_2_minW+(AJ1895^2*R_dn)-dpdn_minQ</f>
        <v>50</v>
      </c>
      <c r="AK1898" s="132"/>
      <c r="AL1898" s="146"/>
      <c r="AM1898" s="138">
        <f>P_2_minW+(AM1895^2*R_dn)-dpdn_minQ</f>
        <v>50</v>
      </c>
      <c r="AN1898" s="132"/>
      <c r="AO1898" s="146"/>
      <c r="AP1898" s="138">
        <f>P_2_minW+(AP1895^2*R_dn)-dpdn_minQ</f>
        <v>50</v>
      </c>
      <c r="AQ1898" s="132"/>
      <c r="AR1898" s="146"/>
      <c r="AS1898" s="138">
        <f>P_2_minW+(AS1895^2*R_dn)-dpdn_minQ</f>
        <v>50</v>
      </c>
      <c r="AT1898" s="132"/>
      <c r="AU1898" s="146"/>
    </row>
    <row r="1899" spans="13:47" x14ac:dyDescent="0.25">
      <c r="M1899" s="20"/>
      <c r="N1899" s="20"/>
      <c r="O1899" s="7" t="s">
        <v>234</v>
      </c>
      <c r="P1899" s="1"/>
      <c r="Q1899" s="7"/>
      <c r="R1899" s="179">
        <f>'Valve Sizing'!G$8*R1897/P_1_maxW</f>
        <v>0.48485512030911887</v>
      </c>
      <c r="S1899" s="132"/>
      <c r="T1899" s="146"/>
      <c r="U1899" s="143">
        <f>'Valve Sizing'!$G$8*U1897/P_1_maxW</f>
        <v>0.47904715742718107</v>
      </c>
      <c r="V1899" s="132"/>
      <c r="W1899" s="146"/>
      <c r="X1899" s="143">
        <f>'Valve Sizing'!$G$8*X1897/P_1_maxW</f>
        <v>0.44908155647386616</v>
      </c>
      <c r="Y1899" s="132"/>
      <c r="Z1899" s="146"/>
      <c r="AA1899" s="143">
        <f>'Valve Sizing'!$G$8*AA1897/P_1_maxW</f>
        <v>0.34900397775604453</v>
      </c>
      <c r="AB1899" s="132"/>
      <c r="AC1899" s="146"/>
      <c r="AD1899" s="143">
        <f>'Valve Sizing'!$G$8*AD1897/P_1_maxW</f>
        <v>0.11731969568343181</v>
      </c>
      <c r="AE1899" s="132"/>
      <c r="AF1899" s="146"/>
      <c r="AG1899" s="143">
        <f>'Valve Sizing'!$G$8*AG1897/P_1_maxW</f>
        <v>-0.23821602998582767</v>
      </c>
      <c r="AH1899" s="132"/>
      <c r="AI1899" s="146"/>
      <c r="AJ1899" s="143">
        <f>'Valve Sizing'!$G$8*AJ1897/P_1_maxW</f>
        <v>-0.68092898570181171</v>
      </c>
      <c r="AK1899" s="132"/>
      <c r="AL1899" s="146"/>
      <c r="AM1899" s="143">
        <f>'Valve Sizing'!$G$8*AM1897/P_1_maxW</f>
        <v>-1.1180472062528111</v>
      </c>
      <c r="AN1899" s="132"/>
      <c r="AO1899" s="146"/>
      <c r="AP1899" s="143">
        <f>'Valve Sizing'!$G$8*AP1897/P_1_maxW</f>
        <v>-1.510314795250816</v>
      </c>
      <c r="AQ1899" s="132"/>
      <c r="AR1899" s="146"/>
      <c r="AS1899" s="143">
        <f>'Valve Sizing'!$G$8*AS1897/P_1_maxW</f>
        <v>-1.9985764845428899</v>
      </c>
      <c r="AT1899" s="132"/>
      <c r="AU1899" s="146"/>
    </row>
    <row r="1900" spans="13:47" x14ac:dyDescent="0.25">
      <c r="M1900" s="20"/>
      <c r="N1900" s="20"/>
      <c r="O1900" s="7" t="s">
        <v>190</v>
      </c>
      <c r="P1900" s="1"/>
      <c r="Q1900" s="7"/>
      <c r="R1900" s="181">
        <f>R1897-R1898</f>
        <v>50.512648317405336</v>
      </c>
      <c r="S1900" s="132"/>
      <c r="T1900" s="146"/>
      <c r="U1900" s="138">
        <f>U1897-U1898</f>
        <v>49.308631475795863</v>
      </c>
      <c r="V1900" s="132"/>
      <c r="W1900" s="146"/>
      <c r="X1900" s="138">
        <f>X1897-X1898</f>
        <v>43.096627551159571</v>
      </c>
      <c r="Y1900" s="132"/>
      <c r="Z1900" s="146"/>
      <c r="AA1900" s="138">
        <f>AA1897-AA1898</f>
        <v>22.350095127806583</v>
      </c>
      <c r="AB1900" s="132"/>
      <c r="AC1900" s="146"/>
      <c r="AD1900" s="138">
        <f>AD1897-AD1898</f>
        <v>-25.679099139108303</v>
      </c>
      <c r="AE1900" s="132"/>
      <c r="AF1900" s="146"/>
      <c r="AG1900" s="138">
        <f>AG1897-AG1898</f>
        <v>-99.383255002584448</v>
      </c>
      <c r="AH1900" s="132"/>
      <c r="AI1900" s="146"/>
      <c r="AJ1900" s="138">
        <f>AJ1897-AJ1898</f>
        <v>-191.15964295754699</v>
      </c>
      <c r="AK1900" s="132"/>
      <c r="AL1900" s="146"/>
      <c r="AM1900" s="138">
        <f>AM1897-AM1898</f>
        <v>-281.77621713616213</v>
      </c>
      <c r="AN1900" s="132"/>
      <c r="AO1900" s="146"/>
      <c r="AP1900" s="138">
        <f>AP1897-AP1898</f>
        <v>-363.09505356329066</v>
      </c>
      <c r="AQ1900" s="132"/>
      <c r="AR1900" s="146"/>
      <c r="AS1900" s="138">
        <f>AS1897-AS1898</f>
        <v>-464.31389896062876</v>
      </c>
      <c r="AT1900" s="132"/>
      <c r="AU1900" s="146"/>
    </row>
    <row r="1901" spans="13:47" ht="14.5" x14ac:dyDescent="0.35">
      <c r="M1901" s="27"/>
      <c r="N1901" s="27"/>
      <c r="O1901" s="2" t="s">
        <v>191</v>
      </c>
      <c r="P1901" s="10"/>
      <c r="Q1901" s="2"/>
      <c r="R1901" s="181">
        <f>R1900/R1897</f>
        <v>0.50255016819269582</v>
      </c>
      <c r="S1901" s="132"/>
      <c r="T1901" s="146"/>
      <c r="U1901" s="138">
        <f>U1900/U1897</f>
        <v>0.49651909147306778</v>
      </c>
      <c r="V1901" s="132"/>
      <c r="W1901" s="146"/>
      <c r="X1901" s="138">
        <f>X1900/X1897</f>
        <v>0.4629236169428006</v>
      </c>
      <c r="Y1901" s="132"/>
      <c r="Z1901" s="146"/>
      <c r="AA1901" s="138">
        <f>AA1900/AA1897</f>
        <v>0.30891590520130063</v>
      </c>
      <c r="AB1901" s="132"/>
      <c r="AC1901" s="146"/>
      <c r="AD1901" s="138">
        <f>AD1900/AD1897</f>
        <v>-1.0558449000711403</v>
      </c>
      <c r="AE1901" s="132"/>
      <c r="AF1901" s="146"/>
      <c r="AG1901" s="138">
        <f>AG1900/AG1897</f>
        <v>2.0124889498957343</v>
      </c>
      <c r="AH1901" s="132"/>
      <c r="AI1901" s="146"/>
      <c r="AJ1901" s="138">
        <f>AJ1900/AJ1897</f>
        <v>1.3542088868490354</v>
      </c>
      <c r="AK1901" s="132"/>
      <c r="AL1901" s="146"/>
      <c r="AM1901" s="138">
        <f>AM1900/AM1897</f>
        <v>1.2157253259967842</v>
      </c>
      <c r="AN1901" s="132"/>
      <c r="AO1901" s="146"/>
      <c r="AP1901" s="138">
        <f>AP1900/AP1897</f>
        <v>1.1596959116120074</v>
      </c>
      <c r="AQ1901" s="132"/>
      <c r="AR1901" s="146"/>
      <c r="AS1901" s="138">
        <f>AS1900/AS1897</f>
        <v>1.1206814449754952</v>
      </c>
      <c r="AT1901" s="132"/>
      <c r="AU1901" s="146"/>
    </row>
    <row r="1902" spans="13:47" x14ac:dyDescent="0.25">
      <c r="M1902" s="27"/>
      <c r="N1902" s="27"/>
      <c r="O1902" s="2" t="s">
        <v>26</v>
      </c>
      <c r="P1902" s="7">
        <v>12</v>
      </c>
      <c r="Q1902" s="2"/>
      <c r="R1902" s="181">
        <f>1-R1901/(3*F_GAMMA*R$29)</f>
        <v>0.73826611361820904</v>
      </c>
      <c r="S1902" s="133"/>
      <c r="T1902" s="146"/>
      <c r="U1902" s="138">
        <f>1-U1901/(3*F_GAMMA*U$29)</f>
        <v>0.74146410318688316</v>
      </c>
      <c r="V1902" s="133"/>
      <c r="W1902" s="146"/>
      <c r="X1902" s="138">
        <f>1-X1901/(3*F_GAMMA*X$29)</f>
        <v>0.75534113267847047</v>
      </c>
      <c r="Y1902" s="133"/>
      <c r="Z1902" s="146"/>
      <c r="AA1902" s="138">
        <f>1-AA1901/(3*F_GAMMA*AA$29)</f>
        <v>0.83449686699824333</v>
      </c>
      <c r="AB1902" s="133"/>
      <c r="AC1902" s="146"/>
      <c r="AD1902" s="138">
        <f>1-AD1901/(3*F_GAMMA*AD$29)</f>
        <v>1.5811833892262848</v>
      </c>
      <c r="AE1902" s="133"/>
      <c r="AF1902" s="146"/>
      <c r="AG1902" s="138">
        <f>1-AG1901/(3*F_GAMMA*AG$29)</f>
        <v>-0.17095078449398127</v>
      </c>
      <c r="AH1902" s="133"/>
      <c r="AI1902" s="146"/>
      <c r="AJ1902" s="138">
        <f>1-AJ1901/(3*F_GAMMA*AJ$29)</f>
        <v>0.15768601837283625</v>
      </c>
      <c r="AK1902" s="133"/>
      <c r="AL1902" s="146"/>
      <c r="AM1902" s="138">
        <f>1-AM1901/(3*F_GAMMA*AM$29)</f>
        <v>0.17379906594152139</v>
      </c>
      <c r="AN1902" s="133"/>
      <c r="AO1902" s="146"/>
      <c r="AP1902" s="138">
        <f>1-AP1901/(3*F_GAMMA*AP$29)</f>
        <v>0.34870109255234349</v>
      </c>
      <c r="AQ1902" s="133"/>
      <c r="AR1902" s="146"/>
      <c r="AS1902" s="138">
        <f>1-AS1901/(3*F_GAMMA*AS$29)</f>
        <v>4.453444371520332E-2</v>
      </c>
      <c r="AT1902" s="133"/>
      <c r="AU1902" s="146"/>
    </row>
    <row r="1903" spans="13:47" x14ac:dyDescent="0.25">
      <c r="M1903" s="27"/>
      <c r="N1903" s="27"/>
      <c r="O1903" s="2" t="s">
        <v>71</v>
      </c>
      <c r="P1903" s="85">
        <v>5</v>
      </c>
      <c r="Q1903" s="2"/>
      <c r="R1903" s="179">
        <f>R1895/((N_6*R$27*R1902)*SQRT(R1901*R1897*R1899))</f>
        <v>0.68953621935058917</v>
      </c>
      <c r="S1903" s="133"/>
      <c r="T1903" s="146"/>
      <c r="U1903" s="143">
        <f>U1895/((N_6*U$27*U1902)*SQRT(U1901*U1897*U1899))</f>
        <v>7.6552132537645674</v>
      </c>
      <c r="V1903" s="133"/>
      <c r="W1903" s="146"/>
      <c r="X1903" s="143">
        <f>X1895/((N_6*X$27*X1902)*SQRT(X1901*X1897*X1899))</f>
        <v>20.576764243514013</v>
      </c>
      <c r="Y1903" s="133"/>
      <c r="Z1903" s="146"/>
      <c r="AA1903" s="143">
        <f>AA1895/((N_6*AA$27*AA1902)*SQRT(AA1901*AA1897*AA1899))</f>
        <v>57.470835169439781</v>
      </c>
      <c r="AB1903" s="133"/>
      <c r="AC1903" s="146"/>
      <c r="AD1903" s="143" t="e">
        <f>AD1895/((N_6*AD$27*AD1902)*SQRT(AD1901*AD1897*AD1899))</f>
        <v>#NUM!</v>
      </c>
      <c r="AE1903" s="133"/>
      <c r="AF1903" s="146"/>
      <c r="AG1903" s="143">
        <f>AG1895/((N_6*AG$27*AG1902)*SQRT(AG1901*AG1897*AG1899))</f>
        <v>-383.99422893091634</v>
      </c>
      <c r="AH1903" s="133"/>
      <c r="AI1903" s="146"/>
      <c r="AJ1903" s="143">
        <f>AJ1895/((N_6*AJ$27*AJ1902)*SQRT(AJ1901*AJ1897*AJ1899))</f>
        <v>233.16761921823678</v>
      </c>
      <c r="AK1903" s="133"/>
      <c r="AL1903" s="146"/>
      <c r="AM1903" s="143">
        <f>AM1895/((N_6*AM$27*AM1902)*SQRT(AM1901*AM1897*AM1899))</f>
        <v>169.24154850683408</v>
      </c>
      <c r="AN1903" s="133"/>
      <c r="AO1903" s="146"/>
      <c r="AP1903" s="143">
        <f>AP1895/((N_6*AP$27*AP1902)*SQRT(AP1901*AP1897*AP1899))</f>
        <v>81.026799992883809</v>
      </c>
      <c r="AQ1903" s="133"/>
      <c r="AR1903" s="146"/>
      <c r="AS1903" s="143">
        <f>AS1895/((N_6*AS$27*AS1902)*SQRT(AS1901*AS1897*AS1899))</f>
        <v>714.96728496081948</v>
      </c>
      <c r="AT1903" s="133"/>
      <c r="AU1903" s="146"/>
    </row>
    <row r="1904" spans="13:47" x14ac:dyDescent="0.25">
      <c r="M1904" s="27"/>
      <c r="N1904" s="27"/>
      <c r="O1904" s="2" t="s">
        <v>73</v>
      </c>
      <c r="P1904" s="85">
        <v>5</v>
      </c>
      <c r="Q1904" s="2"/>
      <c r="R1904" s="179">
        <f>R1895/((N_6*R$27*0.667)*SQRT(R1905*R1897*R1899))</f>
        <v>0.67629283843887655</v>
      </c>
      <c r="S1904" s="133"/>
      <c r="T1904" s="155"/>
      <c r="U1904" s="143">
        <f>U1895/((N_6*U$27*0.667)*SQRT(U1905*U1897*U1899))</f>
        <v>7.4944996399085584</v>
      </c>
      <c r="V1904" s="133"/>
      <c r="W1904" s="155"/>
      <c r="X1904" s="143">
        <f>X1895/((N_6*X$27*0.667)*SQRT(X1905*X1897*X1899))</f>
        <v>19.963445142809622</v>
      </c>
      <c r="Y1904" s="133"/>
      <c r="Z1904" s="155"/>
      <c r="AA1904" s="143">
        <f>AA1895/((N_6*AA$27*0.667)*SQRT(AA1905*AA1897*AA1899))</f>
        <v>50.665242079923935</v>
      </c>
      <c r="AB1904" s="133"/>
      <c r="AC1904" s="155"/>
      <c r="AD1904" s="143">
        <f>AD1895/((N_6*AD$27*0.667)*SQRT(AD1905*AD1897*AD1899))</f>
        <v>254.24738734087421</v>
      </c>
      <c r="AE1904" s="133"/>
      <c r="AF1904" s="155"/>
      <c r="AG1904" s="143">
        <f>AG1895/((N_6*AG$27*0.667)*SQRT(AG1905*AG1897*AG1899))</f>
        <v>184.45902548567571</v>
      </c>
      <c r="AH1904" s="133"/>
      <c r="AI1904" s="155"/>
      <c r="AJ1904" s="143">
        <f>AJ1895/((N_6*AJ$27*0.667)*SQRT(AJ1905*AJ1897*AJ1899))</f>
        <v>87.626047732556785</v>
      </c>
      <c r="AK1904" s="133"/>
      <c r="AL1904" s="155"/>
      <c r="AM1904" s="143">
        <f>AM1895/((N_6*AM$27*0.667)*SQRT(AM1905*AM1897*AM1899))</f>
        <v>69.4275856125427</v>
      </c>
      <c r="AN1904" s="133"/>
      <c r="AO1904" s="155"/>
      <c r="AP1904" s="143">
        <f>AP1895/((N_6*AP$27*0.667)*SQRT(AP1905*AP1897*AP1899))</f>
        <v>59.21162281219592</v>
      </c>
      <c r="AQ1904" s="133"/>
      <c r="AR1904" s="155"/>
      <c r="AS1904" s="143">
        <f>AS1895/((N_6*AS$27*0.667)*SQRT(AS1905*AS1897*AS1899))</f>
        <v>80.82105463240012</v>
      </c>
      <c r="AT1904" s="133"/>
      <c r="AU1904" s="155"/>
    </row>
    <row r="1905" spans="13:47" ht="15.5" x14ac:dyDescent="0.4">
      <c r="M1905" s="27"/>
      <c r="N1905" s="27"/>
      <c r="O1905" s="2" t="s">
        <v>192</v>
      </c>
      <c r="P1905" s="85">
        <v>10</v>
      </c>
      <c r="Q1905" s="2"/>
      <c r="R1905" s="181">
        <f>F_GAMMA*R$29</f>
        <v>0.64002688015162901</v>
      </c>
      <c r="S1905" s="133"/>
      <c r="T1905" s="155"/>
      <c r="U1905" s="138">
        <f>F_GAMMA*U$29</f>
        <v>0.64016782916606918</v>
      </c>
      <c r="V1905" s="133"/>
      <c r="W1905" s="155"/>
      <c r="X1905" s="138">
        <f>F_GAMMA*X$29</f>
        <v>0.6307062319203669</v>
      </c>
      <c r="Y1905" s="133"/>
      <c r="Z1905" s="155"/>
      <c r="AA1905" s="138">
        <f>F_GAMMA*AA$29</f>
        <v>0.62217534213893466</v>
      </c>
      <c r="AB1905" s="133"/>
      <c r="AC1905" s="155"/>
      <c r="AD1905" s="138">
        <f>F_GAMMA*AD$29</f>
        <v>0.60557184969146072</v>
      </c>
      <c r="AE1905" s="133"/>
      <c r="AF1905" s="155"/>
      <c r="AG1905" s="138">
        <f>F_GAMMA*AG$29</f>
        <v>0.57289312142622573</v>
      </c>
      <c r="AH1905" s="133"/>
      <c r="AI1905" s="155"/>
      <c r="AJ1905" s="138">
        <f>F_GAMMA*AJ$29</f>
        <v>0.53590819116049981</v>
      </c>
      <c r="AK1905" s="133"/>
      <c r="AL1905" s="155"/>
      <c r="AM1905" s="138">
        <f>F_GAMMA*AM$29</f>
        <v>0.49048815926850342</v>
      </c>
      <c r="AN1905" s="133"/>
      <c r="AO1905" s="155"/>
      <c r="AP1905" s="138">
        <f>F_GAMMA*AP$29</f>
        <v>0.59352979016280105</v>
      </c>
      <c r="AQ1905" s="133"/>
      <c r="AR1905" s="155"/>
      <c r="AS1905" s="138">
        <f>F_GAMMA*AS$29</f>
        <v>0.39097221161068291</v>
      </c>
      <c r="AT1905" s="133"/>
      <c r="AU1905" s="155"/>
    </row>
    <row r="1906" spans="13:47" x14ac:dyDescent="0.25">
      <c r="M1906" s="27"/>
      <c r="N1906" s="27"/>
      <c r="O1906" s="2" t="s">
        <v>193</v>
      </c>
      <c r="P1906" s="134"/>
      <c r="Q1906" s="2"/>
      <c r="R1906" s="181">
        <f>IF(R1901&lt;R1905,R1903,R1904)</f>
        <v>0.68953621935058917</v>
      </c>
      <c r="S1906" s="133"/>
      <c r="T1906" s="155"/>
      <c r="U1906" s="138">
        <f>IF(U1901&lt;U1905,U1903,U1904)</f>
        <v>7.6552132537645674</v>
      </c>
      <c r="V1906" s="133"/>
      <c r="W1906" s="155"/>
      <c r="X1906" s="138">
        <f>IF(X1901&lt;X1905,X1903,X1904)</f>
        <v>20.576764243514013</v>
      </c>
      <c r="Y1906" s="133"/>
      <c r="Z1906" s="155"/>
      <c r="AA1906" s="138">
        <f>IF(AA1901&lt;AA1905,AA1903,AA1904)</f>
        <v>57.470835169439781</v>
      </c>
      <c r="AB1906" s="133"/>
      <c r="AC1906" s="155"/>
      <c r="AD1906" s="138" t="e">
        <f>IF(AD1901&lt;AD1905,AD1903,AD1904)</f>
        <v>#NUM!</v>
      </c>
      <c r="AE1906" s="133"/>
      <c r="AF1906" s="155"/>
      <c r="AG1906" s="138">
        <f>IF(AG1901&lt;AG1905,AG1903,AG1904)</f>
        <v>184.45902548567571</v>
      </c>
      <c r="AH1906" s="133"/>
      <c r="AI1906" s="155"/>
      <c r="AJ1906" s="138">
        <f>IF(AJ1901&lt;AJ1905,AJ1903,AJ1904)</f>
        <v>87.626047732556785</v>
      </c>
      <c r="AK1906" s="133"/>
      <c r="AL1906" s="155"/>
      <c r="AM1906" s="138">
        <f>IF(AM1901&lt;AM1905,AM1903,AM1904)</f>
        <v>69.4275856125427</v>
      </c>
      <c r="AN1906" s="133"/>
      <c r="AO1906" s="155"/>
      <c r="AP1906" s="138">
        <f>IF(AP1901&lt;AP1905,AP1903,AP1904)</f>
        <v>59.21162281219592</v>
      </c>
      <c r="AQ1906" s="133"/>
      <c r="AR1906" s="155"/>
      <c r="AS1906" s="138">
        <f>IF(AS1901&lt;AS1905,AS1903,AS1904)</f>
        <v>80.82105463240012</v>
      </c>
      <c r="AT1906" s="133"/>
      <c r="AU1906" s="155"/>
    </row>
    <row r="1907" spans="13:47" ht="13" x14ac:dyDescent="0.3">
      <c r="M1907" s="28"/>
      <c r="N1907" s="28"/>
      <c r="O1907" s="9" t="s">
        <v>194</v>
      </c>
      <c r="P1907" s="1"/>
      <c r="Q1907" s="1"/>
      <c r="R1907" s="135"/>
      <c r="S1907" s="132">
        <f>IF(R1900&lt;=0,W_max,ABS(R$23-R1906))</f>
        <v>1.3104637806494108</v>
      </c>
      <c r="T1907" s="151">
        <f>R1895</f>
        <v>159.45139789408663</v>
      </c>
      <c r="U1907" s="135"/>
      <c r="V1907" s="132">
        <f>IF(U1900&lt;=0,W_max,ABS(U$23-U1906))</f>
        <v>2.6552132537645674</v>
      </c>
      <c r="W1907" s="151">
        <f>U1895</f>
        <v>1744.9392806765256</v>
      </c>
      <c r="X1907" s="135"/>
      <c r="Y1907" s="132">
        <f>IF(X1900&lt;=0,W_max,ABS(X$23-X1906))</f>
        <v>10.576764243514013</v>
      </c>
      <c r="Z1907" s="151">
        <f>X1895</f>
        <v>4315.4424913215807</v>
      </c>
      <c r="AA1907" s="135"/>
      <c r="AB1907" s="132">
        <f>IF(AA1900&lt;=0,W_max,ABS(AA$23-AA1906))</f>
        <v>40.270835169439778</v>
      </c>
      <c r="AC1907" s="151">
        <f>AA1895</f>
        <v>8405.3804761919728</v>
      </c>
      <c r="AD1907" s="135"/>
      <c r="AE1907" s="132">
        <f>IF(AD1900&lt;=0,W_max,ABS(AD$23-AD1906))</f>
        <v>7174</v>
      </c>
      <c r="AF1907" s="151">
        <f>AD1895</f>
        <v>13823.756205850603</v>
      </c>
      <c r="AG1907" s="135"/>
      <c r="AH1907" s="132">
        <f>IF(AG1900&lt;=0,W_max,ABS(AG$23-AG1906))</f>
        <v>7174</v>
      </c>
      <c r="AI1907" s="151">
        <f>AG1895</f>
        <v>19388.882316744857</v>
      </c>
      <c r="AJ1907" s="135"/>
      <c r="AK1907" s="132">
        <f>IF(AJ1900&lt;=0,W_max,ABS(AJ$23-AJ1906))</f>
        <v>7174</v>
      </c>
      <c r="AL1907" s="151">
        <f>AJ1895</f>
        <v>24618.735673878695</v>
      </c>
      <c r="AM1907" s="135"/>
      <c r="AN1907" s="132">
        <f>IF(AM1900&lt;=0,W_max,ABS(AM$23-AM1906))</f>
        <v>7174</v>
      </c>
      <c r="AO1907" s="151">
        <f>AM1895</f>
        <v>28867.403716211396</v>
      </c>
      <c r="AP1907" s="135"/>
      <c r="AQ1907" s="132">
        <f>IF(AP1900&lt;=0,W_max,ABS(AP$23-AP1906))</f>
        <v>7174</v>
      </c>
      <c r="AR1907" s="151">
        <f>AP1895</f>
        <v>32206.448576585783</v>
      </c>
      <c r="AS1907" s="135"/>
      <c r="AT1907" s="132">
        <f>IF(AS1900&lt;=0,W_max,ABS(AS$23-AS1906))</f>
        <v>7174</v>
      </c>
      <c r="AU1907" s="151">
        <f>AS1895</f>
        <v>35931.715235401003</v>
      </c>
    </row>
    <row r="1908" spans="13:47" ht="13" x14ac:dyDescent="0.25">
      <c r="M1908" s="12"/>
      <c r="N1908" s="12"/>
      <c r="O1908" s="2"/>
      <c r="P1908" s="85"/>
      <c r="Q1908" s="2"/>
      <c r="R1908" s="18"/>
      <c r="S1908" s="150"/>
      <c r="T1908" s="152"/>
      <c r="U1908" s="157"/>
      <c r="V1908" s="1"/>
      <c r="W1908" s="147"/>
      <c r="X1908" s="157"/>
      <c r="Y1908" s="1"/>
      <c r="Z1908" s="147"/>
      <c r="AA1908" s="157"/>
      <c r="AB1908" s="1"/>
      <c r="AC1908" s="147"/>
      <c r="AD1908" s="157"/>
      <c r="AE1908" s="1"/>
      <c r="AF1908" s="147"/>
      <c r="AG1908" s="157"/>
      <c r="AH1908" s="1"/>
      <c r="AI1908" s="147"/>
      <c r="AJ1908" s="157"/>
      <c r="AK1908" s="1"/>
      <c r="AL1908" s="147"/>
      <c r="AM1908" s="157"/>
      <c r="AN1908" s="1"/>
      <c r="AO1908" s="147"/>
      <c r="AP1908" s="157"/>
      <c r="AQ1908" s="1"/>
      <c r="AR1908" s="147"/>
      <c r="AS1908" s="157"/>
      <c r="AT1908" s="1"/>
      <c r="AU1908" s="147"/>
    </row>
    <row r="1909" spans="13:47" ht="14" x14ac:dyDescent="0.3">
      <c r="M1909" s="23"/>
      <c r="N1909" s="23"/>
      <c r="O1909" s="23" t="s">
        <v>238</v>
      </c>
      <c r="P1909" s="20"/>
      <c r="Q1909" s="20"/>
      <c r="R1909" s="181">
        <f>R1895*1.02</f>
        <v>162.64042585196836</v>
      </c>
      <c r="S1909" s="128" t="s">
        <v>185</v>
      </c>
      <c r="T1909" s="153" t="s">
        <v>186</v>
      </c>
      <c r="U1909" s="143">
        <f>U1895*1.01</f>
        <v>1762.3886734832909</v>
      </c>
      <c r="V1909" s="128" t="s">
        <v>185</v>
      </c>
      <c r="W1909" s="153" t="s">
        <v>186</v>
      </c>
      <c r="X1909" s="143">
        <f>X1895*1.01</f>
        <v>4358.5969162347965</v>
      </c>
      <c r="Y1909" s="128" t="s">
        <v>185</v>
      </c>
      <c r="Z1909" s="153" t="s">
        <v>186</v>
      </c>
      <c r="AA1909" s="143">
        <f>AA1895*1.01</f>
        <v>8489.4342809538921</v>
      </c>
      <c r="AB1909" s="128" t="s">
        <v>185</v>
      </c>
      <c r="AC1909" s="153" t="s">
        <v>186</v>
      </c>
      <c r="AD1909" s="143">
        <f>AD1895*1.01</f>
        <v>13961.993767909109</v>
      </c>
      <c r="AE1909" s="128" t="s">
        <v>185</v>
      </c>
      <c r="AF1909" s="153" t="s">
        <v>186</v>
      </c>
      <c r="AG1909" s="143">
        <f>AG1895*1.01</f>
        <v>19582.771139912307</v>
      </c>
      <c r="AH1909" s="128" t="s">
        <v>185</v>
      </c>
      <c r="AI1909" s="153" t="s">
        <v>186</v>
      </c>
      <c r="AJ1909" s="143">
        <f>AJ1895*1.01</f>
        <v>24864.923030617483</v>
      </c>
      <c r="AK1909" s="128" t="s">
        <v>185</v>
      </c>
      <c r="AL1909" s="153" t="s">
        <v>186</v>
      </c>
      <c r="AM1909" s="143">
        <f>AM1895*1.01</f>
        <v>29156.077753373509</v>
      </c>
      <c r="AN1909" s="128" t="s">
        <v>185</v>
      </c>
      <c r="AO1909" s="153" t="s">
        <v>186</v>
      </c>
      <c r="AP1909" s="143">
        <f>AP1895*1.01</f>
        <v>32528.513062351642</v>
      </c>
      <c r="AQ1909" s="128" t="s">
        <v>185</v>
      </c>
      <c r="AR1909" s="153" t="s">
        <v>186</v>
      </c>
      <c r="AS1909" s="143">
        <f>AS1895*1.01</f>
        <v>36291.032387755011</v>
      </c>
      <c r="AT1909" s="128" t="s">
        <v>185</v>
      </c>
      <c r="AU1909" s="153" t="s">
        <v>186</v>
      </c>
    </row>
    <row r="1910" spans="13:47" ht="14" x14ac:dyDescent="0.3">
      <c r="M1910" s="12"/>
      <c r="N1910" s="12"/>
      <c r="O1910" s="20"/>
      <c r="P1910" s="20"/>
      <c r="Q1910" s="23"/>
      <c r="R1910" s="139"/>
      <c r="S1910" s="130" t="s">
        <v>228</v>
      </c>
      <c r="T1910" s="154" t="s">
        <v>187</v>
      </c>
      <c r="U1910" s="144"/>
      <c r="V1910" s="130" t="s">
        <v>228</v>
      </c>
      <c r="W1910" s="154" t="s">
        <v>187</v>
      </c>
      <c r="X1910" s="144"/>
      <c r="Y1910" s="130" t="s">
        <v>228</v>
      </c>
      <c r="Z1910" s="154" t="s">
        <v>187</v>
      </c>
      <c r="AA1910" s="144"/>
      <c r="AB1910" s="130" t="s">
        <v>228</v>
      </c>
      <c r="AC1910" s="154" t="s">
        <v>187</v>
      </c>
      <c r="AD1910" s="144"/>
      <c r="AE1910" s="130" t="s">
        <v>228</v>
      </c>
      <c r="AF1910" s="154" t="s">
        <v>187</v>
      </c>
      <c r="AG1910" s="144"/>
      <c r="AH1910" s="130" t="s">
        <v>228</v>
      </c>
      <c r="AI1910" s="154" t="s">
        <v>187</v>
      </c>
      <c r="AJ1910" s="144"/>
      <c r="AK1910" s="130" t="s">
        <v>228</v>
      </c>
      <c r="AL1910" s="154" t="s">
        <v>187</v>
      </c>
      <c r="AM1910" s="144"/>
      <c r="AN1910" s="130" t="s">
        <v>228</v>
      </c>
      <c r="AO1910" s="154" t="s">
        <v>187</v>
      </c>
      <c r="AP1910" s="144"/>
      <c r="AQ1910" s="130" t="s">
        <v>228</v>
      </c>
      <c r="AR1910" s="154" t="s">
        <v>187</v>
      </c>
      <c r="AS1910" s="144"/>
      <c r="AT1910" s="130" t="s">
        <v>228</v>
      </c>
      <c r="AU1910" s="154" t="s">
        <v>187</v>
      </c>
    </row>
    <row r="1911" spans="13:47" x14ac:dyDescent="0.25">
      <c r="M1911" s="20"/>
      <c r="N1911" s="20"/>
      <c r="O1911" s="7" t="s">
        <v>188</v>
      </c>
      <c r="P1911" s="7"/>
      <c r="Q1911" s="7"/>
      <c r="R1911" s="181">
        <f>P_1_minW-(R1909^2*R_up)+dpup_minQ</f>
        <v>100.51223872526475</v>
      </c>
      <c r="S1911" s="132"/>
      <c r="T1911" s="145"/>
      <c r="U1911" s="138">
        <f>P_1_minW-(U1909^2*R_up)+dpup_minQ</f>
        <v>99.284226955051153</v>
      </c>
      <c r="V1911" s="132"/>
      <c r="W1911" s="145"/>
      <c r="X1911" s="138">
        <f>P_1_minW-(X1909^2*R_up)+dpup_minQ</f>
        <v>92.94736175152967</v>
      </c>
      <c r="Y1911" s="132"/>
      <c r="Z1911" s="145"/>
      <c r="AA1911" s="138">
        <f>P_1_minW-(AA1909^2*R_up)+dpup_minQ</f>
        <v>71.783824026467286</v>
      </c>
      <c r="AB1911" s="132"/>
      <c r="AC1911" s="145"/>
      <c r="AD1911" s="138">
        <f>P_1_minW-(AD1909^2*R_up)+dpup_minQ</f>
        <v>22.789242954787412</v>
      </c>
      <c r="AE1911" s="132"/>
      <c r="AF1911" s="145"/>
      <c r="AG1911" s="138">
        <f>P_1_minW-(AG1909^2*R_up)+dpup_minQ</f>
        <v>-52.3963664415446</v>
      </c>
      <c r="AH1911" s="132"/>
      <c r="AI1911" s="145"/>
      <c r="AJ1911" s="138">
        <f>P_1_minW-(AJ1909^2*R_up)+dpup_minQ</f>
        <v>-146.0174597944019</v>
      </c>
      <c r="AK1911" s="132"/>
      <c r="AL1911" s="145"/>
      <c r="AM1911" s="138">
        <f>P_1_minW-(AM1909^2*R_up)+dpup_minQ</f>
        <v>-238.45542711400716</v>
      </c>
      <c r="AN1911" s="132"/>
      <c r="AO1911" s="145"/>
      <c r="AP1911" s="138">
        <f>P_1_minW-(AP1909^2*R_up)+dpup_minQ</f>
        <v>-321.40877215332102</v>
      </c>
      <c r="AQ1911" s="132"/>
      <c r="AR1911" s="145"/>
      <c r="AS1911" s="138">
        <f>P_1_minW-(AS1909^2*R_up)+dpup_minQ</f>
        <v>-424.6621163431455</v>
      </c>
      <c r="AT1911" s="132"/>
      <c r="AU1911" s="145"/>
    </row>
    <row r="1912" spans="13:47" x14ac:dyDescent="0.25">
      <c r="M1912" s="20"/>
      <c r="N1912" s="20"/>
      <c r="O1912" s="7" t="s">
        <v>189</v>
      </c>
      <c r="P1912" s="1"/>
      <c r="Q1912" s="7"/>
      <c r="R1912" s="181">
        <f>P_2_minW+(R1909^2*R_dn)-dpdn_minQ</f>
        <v>50</v>
      </c>
      <c r="S1912" s="132"/>
      <c r="T1912" s="146"/>
      <c r="U1912" s="138">
        <f>P_2_minW+(U1909^2*R_dn)-dpdn_minQ</f>
        <v>50</v>
      </c>
      <c r="V1912" s="132"/>
      <c r="W1912" s="146"/>
      <c r="X1912" s="138">
        <f>P_2_minW+(X1909^2*R_dn)-dpdn_minQ</f>
        <v>50</v>
      </c>
      <c r="Y1912" s="132"/>
      <c r="Z1912" s="146"/>
      <c r="AA1912" s="138">
        <f>P_2_minW+(AA1909^2*R_dn)-dpdn_minQ</f>
        <v>50</v>
      </c>
      <c r="AB1912" s="132"/>
      <c r="AC1912" s="146"/>
      <c r="AD1912" s="138">
        <f>P_2_minW+(AD1909^2*R_dn)-dpdn_minQ</f>
        <v>50</v>
      </c>
      <c r="AE1912" s="132"/>
      <c r="AF1912" s="146"/>
      <c r="AG1912" s="138">
        <f>P_2_minW+(AG1909^2*R_dn)-dpdn_minQ</f>
        <v>50</v>
      </c>
      <c r="AH1912" s="132"/>
      <c r="AI1912" s="146"/>
      <c r="AJ1912" s="138">
        <f>P_2_minW+(AJ1909^2*R_dn)-dpdn_minQ</f>
        <v>50</v>
      </c>
      <c r="AK1912" s="132"/>
      <c r="AL1912" s="146"/>
      <c r="AM1912" s="138">
        <f>P_2_minW+(AM1909^2*R_dn)-dpdn_minQ</f>
        <v>50</v>
      </c>
      <c r="AN1912" s="132"/>
      <c r="AO1912" s="146"/>
      <c r="AP1912" s="138">
        <f>P_2_minW+(AP1909^2*R_dn)-dpdn_minQ</f>
        <v>50</v>
      </c>
      <c r="AQ1912" s="132"/>
      <c r="AR1912" s="146"/>
      <c r="AS1912" s="138">
        <f>P_2_minW+(AS1909^2*R_dn)-dpdn_minQ</f>
        <v>50</v>
      </c>
      <c r="AT1912" s="132"/>
      <c r="AU1912" s="146"/>
    </row>
    <row r="1913" spans="13:47" x14ac:dyDescent="0.25">
      <c r="M1913" s="20"/>
      <c r="N1913" s="20"/>
      <c r="O1913" s="7" t="s">
        <v>234</v>
      </c>
      <c r="P1913" s="1"/>
      <c r="Q1913" s="7"/>
      <c r="R1913" s="179">
        <f>'Valve Sizing'!G$8*R1911/P_1_maxW</f>
        <v>0.48485314450955619</v>
      </c>
      <c r="S1913" s="132"/>
      <c r="T1913" s="146"/>
      <c r="U1913" s="143">
        <f>'Valve Sizing'!$G$8*U1911/P_1_maxW</f>
        <v>0.47892943436406565</v>
      </c>
      <c r="V1913" s="132"/>
      <c r="W1913" s="146"/>
      <c r="X1913" s="143">
        <f>'Valve Sizing'!$G$8*X1911/P_1_maxW</f>
        <v>0.44836152483158909</v>
      </c>
      <c r="Y1913" s="132"/>
      <c r="Z1913" s="146"/>
      <c r="AA1913" s="143">
        <f>'Valve Sizing'!$G$8*AA1911/P_1_maxW</f>
        <v>0.34627238678153932</v>
      </c>
      <c r="AB1913" s="132"/>
      <c r="AC1913" s="146"/>
      <c r="AD1913" s="143">
        <f>'Valve Sizing'!$G$8*AD1911/P_1_maxW</f>
        <v>0.10993125063926708</v>
      </c>
      <c r="AE1913" s="132"/>
      <c r="AF1913" s="146"/>
      <c r="AG1913" s="143">
        <f>'Valve Sizing'!$G$8*AG1911/P_1_maxW</f>
        <v>-0.25275074311594448</v>
      </c>
      <c r="AH1913" s="132"/>
      <c r="AI1913" s="146"/>
      <c r="AJ1913" s="143">
        <f>'Valve Sizing'!$G$8*AJ1911/P_1_maxW</f>
        <v>-0.70436222924181979</v>
      </c>
      <c r="AK1913" s="132"/>
      <c r="AL1913" s="146"/>
      <c r="AM1913" s="143">
        <f>'Valve Sizing'!$G$8*AM1911/P_1_maxW</f>
        <v>-1.1502665260258942</v>
      </c>
      <c r="AN1913" s="132"/>
      <c r="AO1913" s="146"/>
      <c r="AP1913" s="143">
        <f>'Valve Sizing'!$G$8*AP1911/P_1_maxW</f>
        <v>-1.5504186935627593</v>
      </c>
      <c r="AQ1913" s="132"/>
      <c r="AR1913" s="146"/>
      <c r="AS1913" s="143">
        <f>'Valve Sizing'!$G$8*AS1911/P_1_maxW</f>
        <v>-2.0484944428096035</v>
      </c>
      <c r="AT1913" s="132"/>
      <c r="AU1913" s="146"/>
    </row>
    <row r="1914" spans="13:47" x14ac:dyDescent="0.25">
      <c r="M1914" s="20"/>
      <c r="N1914" s="20"/>
      <c r="O1914" s="7" t="s">
        <v>190</v>
      </c>
      <c r="P1914" s="1"/>
      <c r="Q1914" s="7"/>
      <c r="R1914" s="181">
        <f>R1911-R1912</f>
        <v>50.512238725264751</v>
      </c>
      <c r="S1914" s="132"/>
      <c r="T1914" s="146"/>
      <c r="U1914" s="138">
        <f>U1911-U1912</f>
        <v>49.284226955051153</v>
      </c>
      <c r="V1914" s="132"/>
      <c r="W1914" s="146"/>
      <c r="X1914" s="138">
        <f>X1911-X1912</f>
        <v>42.94736175152967</v>
      </c>
      <c r="Y1914" s="132"/>
      <c r="Z1914" s="146"/>
      <c r="AA1914" s="138">
        <f>AA1911-AA1912</f>
        <v>21.783824026467286</v>
      </c>
      <c r="AB1914" s="132"/>
      <c r="AC1914" s="146"/>
      <c r="AD1914" s="138">
        <f>AD1911-AD1912</f>
        <v>-27.210757045212588</v>
      </c>
      <c r="AE1914" s="132"/>
      <c r="AF1914" s="146"/>
      <c r="AG1914" s="138">
        <f>AG1911-AG1912</f>
        <v>-102.3963664415446</v>
      </c>
      <c r="AH1914" s="132"/>
      <c r="AI1914" s="146"/>
      <c r="AJ1914" s="138">
        <f>AJ1911-AJ1912</f>
        <v>-196.0174597944019</v>
      </c>
      <c r="AK1914" s="132"/>
      <c r="AL1914" s="146"/>
      <c r="AM1914" s="138">
        <f>AM1911-AM1912</f>
        <v>-288.45542711400719</v>
      </c>
      <c r="AN1914" s="132"/>
      <c r="AO1914" s="146"/>
      <c r="AP1914" s="138">
        <f>AP1911-AP1912</f>
        <v>-371.40877215332102</v>
      </c>
      <c r="AQ1914" s="132"/>
      <c r="AR1914" s="146"/>
      <c r="AS1914" s="138">
        <f>AS1911-AS1912</f>
        <v>-474.6621163431455</v>
      </c>
      <c r="AT1914" s="132"/>
      <c r="AU1914" s="146"/>
    </row>
    <row r="1915" spans="13:47" ht="14.5" x14ac:dyDescent="0.35">
      <c r="M1915" s="27"/>
      <c r="N1915" s="27"/>
      <c r="O1915" s="2" t="s">
        <v>191</v>
      </c>
      <c r="P1915" s="10"/>
      <c r="Q1915" s="2"/>
      <c r="R1915" s="181">
        <f>R1914/R1911</f>
        <v>0.50254814106103474</v>
      </c>
      <c r="S1915" s="132"/>
      <c r="T1915" s="146"/>
      <c r="U1915" s="138">
        <f>U1914/U1911</f>
        <v>0.49639533354440629</v>
      </c>
      <c r="V1915" s="132"/>
      <c r="W1915" s="146"/>
      <c r="X1915" s="138">
        <f>X1914/X1911</f>
        <v>0.46206111655259402</v>
      </c>
      <c r="Y1915" s="132"/>
      <c r="Z1915" s="146"/>
      <c r="AA1915" s="138">
        <f>AA1914/AA1911</f>
        <v>0.30346424590636756</v>
      </c>
      <c r="AB1915" s="132"/>
      <c r="AC1915" s="146"/>
      <c r="AD1915" s="138">
        <f>AD1914/AD1911</f>
        <v>-1.1940175941428688</v>
      </c>
      <c r="AE1915" s="132"/>
      <c r="AF1915" s="146"/>
      <c r="AG1915" s="138">
        <f>AG1914/AG1911</f>
        <v>1.9542646445871761</v>
      </c>
      <c r="AH1915" s="132"/>
      <c r="AI1915" s="146"/>
      <c r="AJ1915" s="138">
        <f>AJ1914/AJ1911</f>
        <v>1.342424803652946</v>
      </c>
      <c r="AK1915" s="132"/>
      <c r="AL1915" s="146"/>
      <c r="AM1915" s="138">
        <f>AM1914/AM1911</f>
        <v>1.2096827931540208</v>
      </c>
      <c r="AN1915" s="132"/>
      <c r="AO1915" s="146"/>
      <c r="AP1915" s="138">
        <f>AP1914/AP1911</f>
        <v>1.1555651380172929</v>
      </c>
      <c r="AQ1915" s="132"/>
      <c r="AR1915" s="146"/>
      <c r="AS1915" s="138">
        <f>AS1914/AS1911</f>
        <v>1.1177406650505124</v>
      </c>
      <c r="AT1915" s="132"/>
      <c r="AU1915" s="146"/>
    </row>
    <row r="1916" spans="13:47" x14ac:dyDescent="0.25">
      <c r="M1916" s="27"/>
      <c r="N1916" s="27"/>
      <c r="O1916" s="2" t="s">
        <v>26</v>
      </c>
      <c r="P1916" s="7">
        <v>12</v>
      </c>
      <c r="Q1916" s="2"/>
      <c r="R1916" s="181">
        <f>1-R1915/(3*F_GAMMA*R$29)</f>
        <v>0.7382671693716073</v>
      </c>
      <c r="S1916" s="133"/>
      <c r="T1916" s="146"/>
      <c r="U1916" s="138">
        <f>1-U1915/(3*F_GAMMA*U$29)</f>
        <v>0.74152854354300168</v>
      </c>
      <c r="V1916" s="133"/>
      <c r="W1916" s="146"/>
      <c r="X1916" s="138">
        <f>1-X1915/(3*F_GAMMA*X$29)</f>
        <v>0.75579697109502375</v>
      </c>
      <c r="Y1916" s="133"/>
      <c r="Z1916" s="146"/>
      <c r="AA1916" s="138">
        <f>1-AA1915/(3*F_GAMMA*AA$29)</f>
        <v>0.8374176188215644</v>
      </c>
      <c r="AB1916" s="133"/>
      <c r="AC1916" s="146"/>
      <c r="AD1916" s="138">
        <f>1-AD1915/(3*F_GAMMA*AD$29)</f>
        <v>1.6572397064313242</v>
      </c>
      <c r="AE1916" s="133"/>
      <c r="AF1916" s="146"/>
      <c r="AG1916" s="138">
        <f>1-AG1915/(3*F_GAMMA*AG$29)</f>
        <v>-0.13707343277922757</v>
      </c>
      <c r="AH1916" s="133"/>
      <c r="AI1916" s="146"/>
      <c r="AJ1916" s="138">
        <f>1-AJ1915/(3*F_GAMMA*AJ$29)</f>
        <v>0.16501568378347997</v>
      </c>
      <c r="AK1916" s="133"/>
      <c r="AL1916" s="146"/>
      <c r="AM1916" s="138">
        <f>1-AM1915/(3*F_GAMMA*AM$29)</f>
        <v>0.17790554145207871</v>
      </c>
      <c r="AN1916" s="133"/>
      <c r="AO1916" s="146"/>
      <c r="AP1916" s="138">
        <f>1-AP1915/(3*F_GAMMA*AP$29)</f>
        <v>0.35102098374296731</v>
      </c>
      <c r="AQ1916" s="133"/>
      <c r="AR1916" s="146"/>
      <c r="AS1916" s="138">
        <f>1-AS1915/(3*F_GAMMA*AS$29)</f>
        <v>4.704168066423331E-2</v>
      </c>
      <c r="AT1916" s="133"/>
      <c r="AU1916" s="146"/>
    </row>
    <row r="1917" spans="13:47" x14ac:dyDescent="0.25">
      <c r="M1917" s="27"/>
      <c r="N1917" s="27"/>
      <c r="O1917" s="2" t="s">
        <v>71</v>
      </c>
      <c r="P1917" s="85">
        <v>5</v>
      </c>
      <c r="Q1917" s="2"/>
      <c r="R1917" s="179">
        <f>R1909/((N_6*R$27*R1916)*SQRT(R1915*R1911*R1913))</f>
        <v>0.70333022254629263</v>
      </c>
      <c r="S1917" s="133"/>
      <c r="T1917" s="146"/>
      <c r="U1917" s="143">
        <f>U1909/((N_6*U$27*U1916)*SQRT(U1915*U1911*U1913))</f>
        <v>7.7339577271992042</v>
      </c>
      <c r="V1917" s="133"/>
      <c r="W1917" s="146"/>
      <c r="X1917" s="143">
        <f>X1909/((N_6*X$27*X1916)*SQRT(X1915*X1911*X1913))</f>
        <v>20.822759471411086</v>
      </c>
      <c r="Y1917" s="133"/>
      <c r="Z1917" s="146"/>
      <c r="AA1917" s="143">
        <f>AA1909/((N_6*AA$27*AA1916)*SQRT(AA1915*AA1911*AA1913))</f>
        <v>58.820726584666019</v>
      </c>
      <c r="AB1917" s="133"/>
      <c r="AC1917" s="146"/>
      <c r="AD1917" s="143" t="e">
        <f>AD1909/((N_6*AD$27*AD1916)*SQRT(AD1915*AD1911*AD1913))</f>
        <v>#NUM!</v>
      </c>
      <c r="AE1917" s="133"/>
      <c r="AF1917" s="146"/>
      <c r="AG1917" s="143">
        <f>AG1909/((N_6*AG$27*AG1916)*SQRT(AG1915*AG1911*AG1913))</f>
        <v>-462.61263088103351</v>
      </c>
      <c r="AH1917" s="133"/>
      <c r="AI1917" s="146"/>
      <c r="AJ1917" s="143">
        <f>AJ1909/((N_6*AJ$27*AJ1916)*SQRT(AJ1915*AJ1911*AJ1913))</f>
        <v>218.50490177005608</v>
      </c>
      <c r="AK1917" s="133"/>
      <c r="AL1917" s="146"/>
      <c r="AM1917" s="143">
        <f>AM1909/((N_6*AM$27*AM1916)*SQRT(AM1915*AM1911*AM1913))</f>
        <v>162.71588999959354</v>
      </c>
      <c r="AN1917" s="133"/>
      <c r="AO1917" s="146"/>
      <c r="AP1917" s="143">
        <f>AP1909/((N_6*AP$27*AP1916)*SQRT(AP1915*AP1911*AP1913))</f>
        <v>79.334779432115909</v>
      </c>
      <c r="AQ1917" s="133"/>
      <c r="AR1917" s="146"/>
      <c r="AS1917" s="143">
        <f>AS1909/((N_6*AS$27*AS1916)*SQRT(AS1915*AS1911*AS1913))</f>
        <v>667.847484124468</v>
      </c>
      <c r="AT1917" s="133"/>
      <c r="AU1917" s="146"/>
    </row>
    <row r="1918" spans="13:47" x14ac:dyDescent="0.25">
      <c r="M1918" s="27"/>
      <c r="N1918" s="27"/>
      <c r="O1918" s="2" t="s">
        <v>73</v>
      </c>
      <c r="P1918" s="85">
        <v>5</v>
      </c>
      <c r="Q1918" s="2"/>
      <c r="R1918" s="179">
        <f>R1909/((N_6*R$27*0.667)*SQRT(R1919*R1911*R1913))</f>
        <v>0.68982150625155825</v>
      </c>
      <c r="S1918" s="133"/>
      <c r="T1918" s="155"/>
      <c r="U1918" s="143">
        <f>U1909/((N_6*U$27*0.667)*SQRT(U1919*U1911*U1913))</f>
        <v>7.5713052406988766</v>
      </c>
      <c r="V1918" s="133"/>
      <c r="W1918" s="155"/>
      <c r="X1918" s="143">
        <f>X1909/((N_6*X$27*0.667)*SQRT(X1919*X1911*X1913))</f>
        <v>20.195459837656362</v>
      </c>
      <c r="Y1918" s="133"/>
      <c r="Z1918" s="155"/>
      <c r="AA1918" s="143">
        <f>AA1909/((N_6*AA$27*0.667)*SQRT(AA1919*AA1911*AA1913))</f>
        <v>51.575567131006267</v>
      </c>
      <c r="AB1918" s="133"/>
      <c r="AC1918" s="155"/>
      <c r="AD1918" s="143">
        <f>AD1909/((N_6*AD$27*0.667)*SQRT(AD1919*AD1911*AD1913))</f>
        <v>274.04862763827481</v>
      </c>
      <c r="AE1918" s="133"/>
      <c r="AF1918" s="155"/>
      <c r="AG1918" s="143">
        <f>AG1909/((N_6*AG$27*0.667)*SQRT(AG1919*AG1911*AG1913))</f>
        <v>175.59001871403444</v>
      </c>
      <c r="AH1918" s="133"/>
      <c r="AI1918" s="155"/>
      <c r="AJ1918" s="143">
        <f>AJ1909/((N_6*AJ$27*0.667)*SQRT(AJ1919*AJ1911*AJ1913))</f>
        <v>85.557947970169636</v>
      </c>
      <c r="AK1918" s="133"/>
      <c r="AL1918" s="155"/>
      <c r="AM1918" s="143">
        <f>AM1909/((N_6*AM$27*0.667)*SQRT(AM1919*AM1911*AM1913))</f>
        <v>68.157726525483668</v>
      </c>
      <c r="AN1918" s="133"/>
      <c r="AO1918" s="155"/>
      <c r="AP1918" s="143">
        <f>AP1909/((N_6*AP$27*0.667)*SQRT(AP1919*AP1911*AP1913))</f>
        <v>58.256825887693523</v>
      </c>
      <c r="AQ1918" s="133"/>
      <c r="AR1918" s="155"/>
      <c r="AS1918" s="143">
        <f>AS1909/((N_6*AS$27*0.667)*SQRT(AS1919*AS1911*AS1913))</f>
        <v>79.640113454716854</v>
      </c>
      <c r="AT1918" s="133"/>
      <c r="AU1918" s="155"/>
    </row>
    <row r="1919" spans="13:47" ht="15.5" x14ac:dyDescent="0.4">
      <c r="M1919" s="27"/>
      <c r="N1919" s="27"/>
      <c r="O1919" s="2" t="s">
        <v>192</v>
      </c>
      <c r="P1919" s="85">
        <v>10</v>
      </c>
      <c r="Q1919" s="2"/>
      <c r="R1919" s="181">
        <f>F_GAMMA*R$29</f>
        <v>0.64002688015162901</v>
      </c>
      <c r="S1919" s="133"/>
      <c r="T1919" s="155"/>
      <c r="U1919" s="138">
        <f>F_GAMMA*U$29</f>
        <v>0.64016782916606918</v>
      </c>
      <c r="V1919" s="133"/>
      <c r="W1919" s="155"/>
      <c r="X1919" s="138">
        <f>F_GAMMA*X$29</f>
        <v>0.6307062319203669</v>
      </c>
      <c r="Y1919" s="133"/>
      <c r="Z1919" s="155"/>
      <c r="AA1919" s="138">
        <f>F_GAMMA*AA$29</f>
        <v>0.62217534213893466</v>
      </c>
      <c r="AB1919" s="133"/>
      <c r="AC1919" s="155"/>
      <c r="AD1919" s="138">
        <f>F_GAMMA*AD$29</f>
        <v>0.60557184969146072</v>
      </c>
      <c r="AE1919" s="133"/>
      <c r="AF1919" s="155"/>
      <c r="AG1919" s="138">
        <f>F_GAMMA*AG$29</f>
        <v>0.57289312142622573</v>
      </c>
      <c r="AH1919" s="133"/>
      <c r="AI1919" s="155"/>
      <c r="AJ1919" s="138">
        <f>F_GAMMA*AJ$29</f>
        <v>0.53590819116049981</v>
      </c>
      <c r="AK1919" s="133"/>
      <c r="AL1919" s="155"/>
      <c r="AM1919" s="138">
        <f>F_GAMMA*AM$29</f>
        <v>0.49048815926850342</v>
      </c>
      <c r="AN1919" s="133"/>
      <c r="AO1919" s="155"/>
      <c r="AP1919" s="138">
        <f>F_GAMMA*AP$29</f>
        <v>0.59352979016280105</v>
      </c>
      <c r="AQ1919" s="133"/>
      <c r="AR1919" s="155"/>
      <c r="AS1919" s="138">
        <f>F_GAMMA*AS$29</f>
        <v>0.39097221161068291</v>
      </c>
      <c r="AT1919" s="133"/>
      <c r="AU1919" s="155"/>
    </row>
    <row r="1920" spans="13:47" x14ac:dyDescent="0.25">
      <c r="M1920" s="27"/>
      <c r="N1920" s="27"/>
      <c r="O1920" s="2" t="s">
        <v>193</v>
      </c>
      <c r="P1920" s="134"/>
      <c r="Q1920" s="2"/>
      <c r="R1920" s="181">
        <f>IF(R1915&lt;R1919,R1917,R1918)</f>
        <v>0.70333022254629263</v>
      </c>
      <c r="S1920" s="133"/>
      <c r="T1920" s="155"/>
      <c r="U1920" s="138">
        <f>IF(U1915&lt;U1919,U1917,U1918)</f>
        <v>7.7339577271992042</v>
      </c>
      <c r="V1920" s="133"/>
      <c r="W1920" s="155"/>
      <c r="X1920" s="138">
        <f>IF(X1915&lt;X1919,X1917,X1918)</f>
        <v>20.822759471411086</v>
      </c>
      <c r="Y1920" s="133"/>
      <c r="Z1920" s="155"/>
      <c r="AA1920" s="138">
        <f>IF(AA1915&lt;AA1919,AA1917,AA1918)</f>
        <v>58.820726584666019</v>
      </c>
      <c r="AB1920" s="133"/>
      <c r="AC1920" s="155"/>
      <c r="AD1920" s="138" t="e">
        <f>IF(AD1915&lt;AD1919,AD1917,AD1918)</f>
        <v>#NUM!</v>
      </c>
      <c r="AE1920" s="133"/>
      <c r="AF1920" s="155"/>
      <c r="AG1920" s="138">
        <f>IF(AG1915&lt;AG1919,AG1917,AG1918)</f>
        <v>175.59001871403444</v>
      </c>
      <c r="AH1920" s="133"/>
      <c r="AI1920" s="155"/>
      <c r="AJ1920" s="138">
        <f>IF(AJ1915&lt;AJ1919,AJ1917,AJ1918)</f>
        <v>85.557947970169636</v>
      </c>
      <c r="AK1920" s="133"/>
      <c r="AL1920" s="155"/>
      <c r="AM1920" s="138">
        <f>IF(AM1915&lt;AM1919,AM1917,AM1918)</f>
        <v>68.157726525483668</v>
      </c>
      <c r="AN1920" s="133"/>
      <c r="AO1920" s="155"/>
      <c r="AP1920" s="138">
        <f>IF(AP1915&lt;AP1919,AP1917,AP1918)</f>
        <v>58.256825887693523</v>
      </c>
      <c r="AQ1920" s="133"/>
      <c r="AR1920" s="155"/>
      <c r="AS1920" s="138">
        <f>IF(AS1915&lt;AS1919,AS1917,AS1918)</f>
        <v>79.640113454716854</v>
      </c>
      <c r="AT1920" s="133"/>
      <c r="AU1920" s="155"/>
    </row>
    <row r="1921" spans="13:47" ht="13" x14ac:dyDescent="0.3">
      <c r="M1921" s="28"/>
      <c r="N1921" s="28"/>
      <c r="O1921" s="9" t="s">
        <v>194</v>
      </c>
      <c r="P1921" s="1"/>
      <c r="Q1921" s="1"/>
      <c r="R1921" s="135"/>
      <c r="S1921" s="132">
        <f>IF(R1914&lt;=0,W_max,ABS(R$23-R1920))</f>
        <v>1.2966697774537073</v>
      </c>
      <c r="T1921" s="151">
        <f>R1909</f>
        <v>162.64042585196836</v>
      </c>
      <c r="U1921" s="135"/>
      <c r="V1921" s="132">
        <f>IF(U1914&lt;=0,W_max,ABS(U$23-U1920))</f>
        <v>2.7339577271992042</v>
      </c>
      <c r="W1921" s="151">
        <f>U1909</f>
        <v>1762.3886734832909</v>
      </c>
      <c r="X1921" s="135"/>
      <c r="Y1921" s="132">
        <f>IF(X1914&lt;=0,W_max,ABS(X$23-X1920))</f>
        <v>10.822759471411086</v>
      </c>
      <c r="Z1921" s="151">
        <f>X1909</f>
        <v>4358.5969162347965</v>
      </c>
      <c r="AA1921" s="135"/>
      <c r="AB1921" s="132">
        <f>IF(AA1914&lt;=0,W_max,ABS(AA$23-AA1920))</f>
        <v>41.620726584666016</v>
      </c>
      <c r="AC1921" s="151">
        <f>AA1909</f>
        <v>8489.4342809538921</v>
      </c>
      <c r="AD1921" s="135"/>
      <c r="AE1921" s="132">
        <f>IF(AD1914&lt;=0,W_max,ABS(AD$23-AD1920))</f>
        <v>7174</v>
      </c>
      <c r="AF1921" s="151">
        <f>AD1909</f>
        <v>13961.993767909109</v>
      </c>
      <c r="AG1921" s="135"/>
      <c r="AH1921" s="132">
        <f>IF(AG1914&lt;=0,W_max,ABS(AG$23-AG1920))</f>
        <v>7174</v>
      </c>
      <c r="AI1921" s="151">
        <f>AG1909</f>
        <v>19582.771139912307</v>
      </c>
      <c r="AJ1921" s="135"/>
      <c r="AK1921" s="132">
        <f>IF(AJ1914&lt;=0,W_max,ABS(AJ$23-AJ1920))</f>
        <v>7174</v>
      </c>
      <c r="AL1921" s="151">
        <f>AJ1909</f>
        <v>24864.923030617483</v>
      </c>
      <c r="AM1921" s="135"/>
      <c r="AN1921" s="132">
        <f>IF(AM1914&lt;=0,W_max,ABS(AM$23-AM1920))</f>
        <v>7174</v>
      </c>
      <c r="AO1921" s="151">
        <f>AM1909</f>
        <v>29156.077753373509</v>
      </c>
      <c r="AP1921" s="135"/>
      <c r="AQ1921" s="132">
        <f>IF(AP1914&lt;=0,W_max,ABS(AP$23-AP1920))</f>
        <v>7174</v>
      </c>
      <c r="AR1921" s="151">
        <f>AP1909</f>
        <v>32528.513062351642</v>
      </c>
      <c r="AS1921" s="135"/>
      <c r="AT1921" s="132">
        <f>IF(AS1914&lt;=0,W_max,ABS(AS$23-AS1920))</f>
        <v>7174</v>
      </c>
      <c r="AU1921" s="151">
        <f>AS1909</f>
        <v>36291.032387755011</v>
      </c>
    </row>
    <row r="1922" spans="13:47" ht="13" x14ac:dyDescent="0.25">
      <c r="M1922" s="12"/>
      <c r="N1922" s="12"/>
      <c r="O1922" s="2"/>
      <c r="P1922" s="85"/>
      <c r="Q1922" s="2"/>
      <c r="R1922" s="18"/>
      <c r="S1922" s="150"/>
      <c r="T1922" s="148"/>
      <c r="U1922" s="157"/>
      <c r="V1922" s="1"/>
      <c r="W1922" s="147"/>
      <c r="X1922" s="157"/>
      <c r="Y1922" s="1"/>
      <c r="Z1922" s="147"/>
      <c r="AA1922" s="157"/>
      <c r="AB1922" s="1"/>
      <c r="AC1922" s="147"/>
      <c r="AD1922" s="157"/>
      <c r="AE1922" s="1"/>
      <c r="AF1922" s="147"/>
      <c r="AG1922" s="157"/>
      <c r="AH1922" s="1"/>
      <c r="AI1922" s="147"/>
      <c r="AJ1922" s="157"/>
      <c r="AK1922" s="1"/>
      <c r="AL1922" s="147"/>
      <c r="AM1922" s="157"/>
      <c r="AN1922" s="1"/>
      <c r="AO1922" s="147"/>
      <c r="AP1922" s="157"/>
      <c r="AQ1922" s="1"/>
      <c r="AR1922" s="147"/>
      <c r="AS1922" s="157"/>
      <c r="AT1922" s="1"/>
      <c r="AU1922" s="147"/>
    </row>
    <row r="1923" spans="13:47" ht="14" x14ac:dyDescent="0.3">
      <c r="M1923" s="23"/>
      <c r="N1923" s="23"/>
      <c r="O1923" s="23" t="s">
        <v>238</v>
      </c>
      <c r="P1923" s="20"/>
      <c r="Q1923" s="20"/>
      <c r="R1923" s="181">
        <f>R1909*1.02</f>
        <v>165.89323436900773</v>
      </c>
      <c r="S1923" s="128" t="s">
        <v>185</v>
      </c>
      <c r="T1923" s="149" t="s">
        <v>186</v>
      </c>
      <c r="U1923" s="143">
        <f>U1909*1.01</f>
        <v>1780.0125602181238</v>
      </c>
      <c r="V1923" s="128" t="s">
        <v>185</v>
      </c>
      <c r="W1923" s="153" t="s">
        <v>186</v>
      </c>
      <c r="X1923" s="143">
        <f>X1909*1.01</f>
        <v>4402.1828853971447</v>
      </c>
      <c r="Y1923" s="128" t="s">
        <v>185</v>
      </c>
      <c r="Z1923" s="153" t="s">
        <v>186</v>
      </c>
      <c r="AA1923" s="143">
        <f>AA1909*1.01</f>
        <v>8574.3286237634311</v>
      </c>
      <c r="AB1923" s="128" t="s">
        <v>185</v>
      </c>
      <c r="AC1923" s="153" t="s">
        <v>186</v>
      </c>
      <c r="AD1923" s="143">
        <f>AD1909*1.01</f>
        <v>14101.613705588201</v>
      </c>
      <c r="AE1923" s="128" t="s">
        <v>185</v>
      </c>
      <c r="AF1923" s="153" t="s">
        <v>186</v>
      </c>
      <c r="AG1923" s="143">
        <f>AG1909*1.01</f>
        <v>19778.598851311432</v>
      </c>
      <c r="AH1923" s="128" t="s">
        <v>185</v>
      </c>
      <c r="AI1923" s="153" t="s">
        <v>186</v>
      </c>
      <c r="AJ1923" s="143">
        <f>AJ1909*1.01</f>
        <v>25113.572260923658</v>
      </c>
      <c r="AK1923" s="128" t="s">
        <v>185</v>
      </c>
      <c r="AL1923" s="153" t="s">
        <v>186</v>
      </c>
      <c r="AM1923" s="143">
        <f>AM1909*1.01</f>
        <v>29447.638530907243</v>
      </c>
      <c r="AN1923" s="128" t="s">
        <v>185</v>
      </c>
      <c r="AO1923" s="153" t="s">
        <v>186</v>
      </c>
      <c r="AP1923" s="143">
        <f>AP1909*1.01</f>
        <v>32853.798192975155</v>
      </c>
      <c r="AQ1923" s="128" t="s">
        <v>185</v>
      </c>
      <c r="AR1923" s="153" t="s">
        <v>186</v>
      </c>
      <c r="AS1923" s="143">
        <f>AS1909*1.01</f>
        <v>36653.942711632561</v>
      </c>
      <c r="AT1923" s="128" t="s">
        <v>185</v>
      </c>
      <c r="AU1923" s="153" t="s">
        <v>186</v>
      </c>
    </row>
    <row r="1924" spans="13:47" ht="14" x14ac:dyDescent="0.3">
      <c r="M1924" s="12"/>
      <c r="N1924" s="12"/>
      <c r="O1924" s="20"/>
      <c r="P1924" s="20"/>
      <c r="Q1924" s="23"/>
      <c r="R1924" s="139"/>
      <c r="S1924" s="130" t="s">
        <v>228</v>
      </c>
      <c r="T1924" s="131" t="s">
        <v>187</v>
      </c>
      <c r="U1924" s="144"/>
      <c r="V1924" s="130" t="s">
        <v>228</v>
      </c>
      <c r="W1924" s="154" t="s">
        <v>187</v>
      </c>
      <c r="X1924" s="144"/>
      <c r="Y1924" s="130" t="s">
        <v>228</v>
      </c>
      <c r="Z1924" s="154" t="s">
        <v>187</v>
      </c>
      <c r="AA1924" s="144"/>
      <c r="AB1924" s="130" t="s">
        <v>228</v>
      </c>
      <c r="AC1924" s="154" t="s">
        <v>187</v>
      </c>
      <c r="AD1924" s="144"/>
      <c r="AE1924" s="130" t="s">
        <v>228</v>
      </c>
      <c r="AF1924" s="154" t="s">
        <v>187</v>
      </c>
      <c r="AG1924" s="144"/>
      <c r="AH1924" s="130" t="s">
        <v>228</v>
      </c>
      <c r="AI1924" s="154" t="s">
        <v>187</v>
      </c>
      <c r="AJ1924" s="144"/>
      <c r="AK1924" s="130" t="s">
        <v>228</v>
      </c>
      <c r="AL1924" s="154" t="s">
        <v>187</v>
      </c>
      <c r="AM1924" s="144"/>
      <c r="AN1924" s="130" t="s">
        <v>228</v>
      </c>
      <c r="AO1924" s="154" t="s">
        <v>187</v>
      </c>
      <c r="AP1924" s="144"/>
      <c r="AQ1924" s="130" t="s">
        <v>228</v>
      </c>
      <c r="AR1924" s="154" t="s">
        <v>187</v>
      </c>
      <c r="AS1924" s="144"/>
      <c r="AT1924" s="130" t="s">
        <v>228</v>
      </c>
      <c r="AU1924" s="154" t="s">
        <v>187</v>
      </c>
    </row>
    <row r="1925" spans="13:47" x14ac:dyDescent="0.25">
      <c r="M1925" s="20"/>
      <c r="N1925" s="20"/>
      <c r="O1925" s="7" t="s">
        <v>188</v>
      </c>
      <c r="P1925" s="7"/>
      <c r="Q1925" s="7"/>
      <c r="R1925" s="181">
        <f>P_1_minW-(R1923^2*R_up)+dpup_minQ</f>
        <v>100.51181258560169</v>
      </c>
      <c r="S1925" s="132"/>
      <c r="T1925" s="145"/>
      <c r="U1925" s="138">
        <f>P_1_minW-(U1923^2*R_up)+dpup_minQ</f>
        <v>99.259331903439474</v>
      </c>
      <c r="V1925" s="132"/>
      <c r="W1925" s="145"/>
      <c r="X1925" s="138">
        <f>P_1_minW-(X1923^2*R_up)+dpup_minQ</f>
        <v>92.795095709327214</v>
      </c>
      <c r="Y1925" s="132"/>
      <c r="Z1925" s="145"/>
      <c r="AA1925" s="138">
        <f>P_1_minW-(AA1923^2*R_up)+dpup_minQ</f>
        <v>71.206170875991077</v>
      </c>
      <c r="AB1925" s="132"/>
      <c r="AC1925" s="145"/>
      <c r="AD1925" s="138">
        <f>P_1_minW-(AD1923^2*R_up)+dpup_minQ</f>
        <v>21.226798724770418</v>
      </c>
      <c r="AE1925" s="132"/>
      <c r="AF1925" s="145"/>
      <c r="AG1925" s="138">
        <f>P_1_minW-(AG1923^2*R_up)+dpup_minQ</f>
        <v>-55.470041420427904</v>
      </c>
      <c r="AH1925" s="132"/>
      <c r="AI1925" s="145"/>
      <c r="AJ1925" s="138">
        <f>P_1_minW-(AJ1923^2*R_up)+dpup_minQ</f>
        <v>-150.97291874967758</v>
      </c>
      <c r="AK1925" s="132"/>
      <c r="AL1925" s="145"/>
      <c r="AM1925" s="138">
        <f>P_1_minW-(AM1923^2*R_up)+dpup_minQ</f>
        <v>-245.26888921240689</v>
      </c>
      <c r="AN1925" s="132"/>
      <c r="AO1925" s="145"/>
      <c r="AP1925" s="138">
        <f>P_1_minW-(AP1923^2*R_up)+dpup_minQ</f>
        <v>-329.88959648701098</v>
      </c>
      <c r="AQ1925" s="132"/>
      <c r="AR1925" s="145"/>
      <c r="AS1925" s="138">
        <f>P_1_minW-(AS1923^2*R_up)+dpup_minQ</f>
        <v>-435.21833289505093</v>
      </c>
      <c r="AT1925" s="132"/>
      <c r="AU1925" s="145"/>
    </row>
    <row r="1926" spans="13:47" x14ac:dyDescent="0.25">
      <c r="M1926" s="20"/>
      <c r="N1926" s="20"/>
      <c r="O1926" s="7" t="s">
        <v>189</v>
      </c>
      <c r="P1926" s="1"/>
      <c r="Q1926" s="7"/>
      <c r="R1926" s="181">
        <f>P_2_minW+(R1923^2*R_dn)-dpdn_minQ</f>
        <v>50</v>
      </c>
      <c r="S1926" s="132"/>
      <c r="T1926" s="146"/>
      <c r="U1926" s="138">
        <f>P_2_minW+(U1923^2*R_dn)-dpdn_minQ</f>
        <v>50</v>
      </c>
      <c r="V1926" s="132"/>
      <c r="W1926" s="146"/>
      <c r="X1926" s="138">
        <f>P_2_minW+(X1923^2*R_dn)-dpdn_minQ</f>
        <v>50</v>
      </c>
      <c r="Y1926" s="132"/>
      <c r="Z1926" s="146"/>
      <c r="AA1926" s="138">
        <f>P_2_minW+(AA1923^2*R_dn)-dpdn_minQ</f>
        <v>50</v>
      </c>
      <c r="AB1926" s="132"/>
      <c r="AC1926" s="146"/>
      <c r="AD1926" s="138">
        <f>P_2_minW+(AD1923^2*R_dn)-dpdn_minQ</f>
        <v>50</v>
      </c>
      <c r="AE1926" s="132"/>
      <c r="AF1926" s="146"/>
      <c r="AG1926" s="138">
        <f>P_2_minW+(AG1923^2*R_dn)-dpdn_minQ</f>
        <v>50</v>
      </c>
      <c r="AH1926" s="132"/>
      <c r="AI1926" s="146"/>
      <c r="AJ1926" s="138">
        <f>P_2_minW+(AJ1923^2*R_dn)-dpdn_minQ</f>
        <v>50</v>
      </c>
      <c r="AK1926" s="132"/>
      <c r="AL1926" s="146"/>
      <c r="AM1926" s="138">
        <f>P_2_minW+(AM1923^2*R_dn)-dpdn_minQ</f>
        <v>50</v>
      </c>
      <c r="AN1926" s="132"/>
      <c r="AO1926" s="146"/>
      <c r="AP1926" s="138">
        <f>P_2_minW+(AP1923^2*R_dn)-dpdn_minQ</f>
        <v>50</v>
      </c>
      <c r="AQ1926" s="132"/>
      <c r="AR1926" s="146"/>
      <c r="AS1926" s="138">
        <f>P_2_minW+(AS1923^2*R_dn)-dpdn_minQ</f>
        <v>50</v>
      </c>
      <c r="AT1926" s="132"/>
      <c r="AU1926" s="146"/>
    </row>
    <row r="1927" spans="13:47" x14ac:dyDescent="0.25">
      <c r="M1927" s="20"/>
      <c r="N1927" s="20"/>
      <c r="O1927" s="7" t="s">
        <v>234</v>
      </c>
      <c r="P1927" s="1"/>
      <c r="Q1927" s="7"/>
      <c r="R1927" s="179">
        <f>'Valve Sizing'!G$8*R1925/P_1_maxW</f>
        <v>0.48485108888769102</v>
      </c>
      <c r="S1927" s="132"/>
      <c r="T1927" s="146"/>
      <c r="U1927" s="143">
        <f>'Valve Sizing'!$G$8*U1925/P_1_maxW</f>
        <v>0.47880934506738165</v>
      </c>
      <c r="V1927" s="132"/>
      <c r="W1927" s="146"/>
      <c r="X1927" s="143">
        <f>'Valve Sizing'!$G$8*X1925/P_1_maxW</f>
        <v>0.44762702055330239</v>
      </c>
      <c r="Y1927" s="132"/>
      <c r="Z1927" s="146"/>
      <c r="AA1927" s="143">
        <f>'Valve Sizing'!$G$8*AA1925/P_1_maxW</f>
        <v>0.34348589082844655</v>
      </c>
      <c r="AB1927" s="132"/>
      <c r="AC1927" s="146"/>
      <c r="AD1927" s="143">
        <f>'Valve Sizing'!$G$8*AD1925/P_1_maxW</f>
        <v>0.10239429784971457</v>
      </c>
      <c r="AE1927" s="132"/>
      <c r="AF1927" s="146"/>
      <c r="AG1927" s="143">
        <f>'Valve Sizing'!$G$8*AG1925/P_1_maxW</f>
        <v>-0.26757760397997699</v>
      </c>
      <c r="AH1927" s="132"/>
      <c r="AI1927" s="146"/>
      <c r="AJ1927" s="143">
        <f>'Valve Sizing'!$G$8*AJ1925/P_1_maxW</f>
        <v>-0.7282664809769821</v>
      </c>
      <c r="AK1927" s="132"/>
      <c r="AL1927" s="146"/>
      <c r="AM1927" s="143">
        <f>'Valve Sizing'!$G$8*AM1925/P_1_maxW</f>
        <v>-1.1831334541264162</v>
      </c>
      <c r="AN1927" s="132"/>
      <c r="AO1927" s="146"/>
      <c r="AP1927" s="143">
        <f>'Valve Sizing'!$G$8*AP1925/P_1_maxW</f>
        <v>-1.5913286802307725</v>
      </c>
      <c r="AQ1927" s="132"/>
      <c r="AR1927" s="146"/>
      <c r="AS1927" s="143">
        <f>'Valve Sizing'!$G$8*AS1925/P_1_maxW</f>
        <v>-2.0994157520374781</v>
      </c>
      <c r="AT1927" s="132"/>
      <c r="AU1927" s="146"/>
    </row>
    <row r="1928" spans="13:47" x14ac:dyDescent="0.25">
      <c r="M1928" s="20"/>
      <c r="N1928" s="20"/>
      <c r="O1928" s="7" t="s">
        <v>190</v>
      </c>
      <c r="P1928" s="1"/>
      <c r="Q1928" s="7"/>
      <c r="R1928" s="181">
        <f>R1925-R1926</f>
        <v>50.511812585601689</v>
      </c>
      <c r="S1928" s="132"/>
      <c r="T1928" s="146"/>
      <c r="U1928" s="138">
        <f>U1925-U1926</f>
        <v>49.259331903439474</v>
      </c>
      <c r="V1928" s="132"/>
      <c r="W1928" s="146"/>
      <c r="X1928" s="138">
        <f>X1925-X1926</f>
        <v>42.795095709327214</v>
      </c>
      <c r="Y1928" s="132"/>
      <c r="Z1928" s="146"/>
      <c r="AA1928" s="138">
        <f>AA1925-AA1926</f>
        <v>21.206170875991077</v>
      </c>
      <c r="AB1928" s="132"/>
      <c r="AC1928" s="146"/>
      <c r="AD1928" s="138">
        <f>AD1925-AD1926</f>
        <v>-28.773201275229582</v>
      </c>
      <c r="AE1928" s="132"/>
      <c r="AF1928" s="146"/>
      <c r="AG1928" s="138">
        <f>AG1925-AG1926</f>
        <v>-105.4700414204279</v>
      </c>
      <c r="AH1928" s="132"/>
      <c r="AI1928" s="146"/>
      <c r="AJ1928" s="138">
        <f>AJ1925-AJ1926</f>
        <v>-200.97291874967758</v>
      </c>
      <c r="AK1928" s="132"/>
      <c r="AL1928" s="146"/>
      <c r="AM1928" s="138">
        <f>AM1925-AM1926</f>
        <v>-295.26888921240686</v>
      </c>
      <c r="AN1928" s="132"/>
      <c r="AO1928" s="146"/>
      <c r="AP1928" s="138">
        <f>AP1925-AP1926</f>
        <v>-379.88959648701098</v>
      </c>
      <c r="AQ1928" s="132"/>
      <c r="AR1928" s="146"/>
      <c r="AS1928" s="138">
        <f>AS1925-AS1926</f>
        <v>-485.21833289505093</v>
      </c>
      <c r="AT1928" s="132"/>
      <c r="AU1928" s="146"/>
    </row>
    <row r="1929" spans="13:47" ht="14.5" x14ac:dyDescent="0.35">
      <c r="M1929" s="27"/>
      <c r="N1929" s="27"/>
      <c r="O1929" s="2" t="s">
        <v>191</v>
      </c>
      <c r="P1929" s="10"/>
      <c r="Q1929" s="2"/>
      <c r="R1929" s="181">
        <f>R1928/R1925</f>
        <v>0.50254603201571857</v>
      </c>
      <c r="S1929" s="132"/>
      <c r="T1929" s="146"/>
      <c r="U1929" s="138">
        <f>U1928/U1925</f>
        <v>0.49626902537848505</v>
      </c>
      <c r="V1929" s="132"/>
      <c r="W1929" s="146"/>
      <c r="X1929" s="138">
        <f>X1928/X1925</f>
        <v>0.46117842093055467</v>
      </c>
      <c r="Y1929" s="132"/>
      <c r="Z1929" s="146"/>
      <c r="AA1929" s="138">
        <f>AA1928/AA1925</f>
        <v>0.29781366720199898</v>
      </c>
      <c r="AB1929" s="132"/>
      <c r="AC1929" s="146"/>
      <c r="AD1929" s="138">
        <f>AD1928/AD1925</f>
        <v>-1.3555129837667399</v>
      </c>
      <c r="AE1929" s="132"/>
      <c r="AF1929" s="146"/>
      <c r="AG1929" s="138">
        <f>AG1928/AG1925</f>
        <v>1.9013874646501805</v>
      </c>
      <c r="AH1929" s="132"/>
      <c r="AI1929" s="146"/>
      <c r="AJ1929" s="138">
        <f>AJ1928/AJ1925</f>
        <v>1.3311852245693354</v>
      </c>
      <c r="AK1929" s="132"/>
      <c r="AL1929" s="146"/>
      <c r="AM1929" s="138">
        <f>AM1928/AM1925</f>
        <v>1.2038578971860519</v>
      </c>
      <c r="AN1929" s="132"/>
      <c r="AO1929" s="146"/>
      <c r="AP1929" s="138">
        <f>AP1928/AP1925</f>
        <v>1.1515658587977591</v>
      </c>
      <c r="AQ1929" s="132"/>
      <c r="AR1929" s="146"/>
      <c r="AS1929" s="138">
        <f>AS1928/AS1925</f>
        <v>1.114884866332267</v>
      </c>
      <c r="AT1929" s="132"/>
      <c r="AU1929" s="146"/>
    </row>
    <row r="1930" spans="13:47" x14ac:dyDescent="0.25">
      <c r="M1930" s="27"/>
      <c r="N1930" s="27"/>
      <c r="O1930" s="2" t="s">
        <v>26</v>
      </c>
      <c r="P1930" s="7">
        <v>12</v>
      </c>
      <c r="Q1930" s="2"/>
      <c r="R1930" s="181">
        <f>1-R1929/(3*F_GAMMA*R$29)</f>
        <v>0.73826826778657573</v>
      </c>
      <c r="S1930" s="133"/>
      <c r="T1930" s="146"/>
      <c r="U1930" s="138">
        <f>1-U1929/(3*F_GAMMA*U$29)</f>
        <v>0.74159431179947377</v>
      </c>
      <c r="V1930" s="133"/>
      <c r="W1930" s="146"/>
      <c r="X1930" s="138">
        <f>1-X1929/(3*F_GAMMA*X$29)</f>
        <v>0.75626348285457501</v>
      </c>
      <c r="Y1930" s="133"/>
      <c r="Z1930" s="146"/>
      <c r="AA1930" s="138">
        <f>1-AA1929/(3*F_GAMMA*AA$29)</f>
        <v>0.84044494264367908</v>
      </c>
      <c r="AB1930" s="133"/>
      <c r="AC1930" s="146"/>
      <c r="AD1930" s="138">
        <f>1-AD1929/(3*F_GAMMA*AD$29)</f>
        <v>1.746133859237003</v>
      </c>
      <c r="AE1930" s="133"/>
      <c r="AF1930" s="146"/>
      <c r="AG1930" s="138">
        <f>1-AG1929/(3*F_GAMMA*AG$29)</f>
        <v>-0.10630726368683963</v>
      </c>
      <c r="AH1930" s="133"/>
      <c r="AI1930" s="146"/>
      <c r="AJ1930" s="138">
        <f>1-AJ1929/(3*F_GAMMA*AJ$29)</f>
        <v>0.17200666922277785</v>
      </c>
      <c r="AK1930" s="133"/>
      <c r="AL1930" s="146"/>
      <c r="AM1930" s="138">
        <f>1-AM1929/(3*F_GAMMA*AM$29)</f>
        <v>0.18186411201618502</v>
      </c>
      <c r="AN1930" s="133"/>
      <c r="AO1930" s="146"/>
      <c r="AP1930" s="138">
        <f>1-AP1929/(3*F_GAMMA*AP$29)</f>
        <v>0.35326702614096095</v>
      </c>
      <c r="AQ1930" s="133"/>
      <c r="AR1930" s="146"/>
      <c r="AS1930" s="138">
        <f>1-AS1929/(3*F_GAMMA*AS$29)</f>
        <v>4.947646471745315E-2</v>
      </c>
      <c r="AT1930" s="133"/>
      <c r="AU1930" s="146"/>
    </row>
    <row r="1931" spans="13:47" x14ac:dyDescent="0.25">
      <c r="M1931" s="27"/>
      <c r="N1931" s="27"/>
      <c r="O1931" s="2" t="s">
        <v>71</v>
      </c>
      <c r="P1931" s="85">
        <v>5</v>
      </c>
      <c r="Q1931" s="2"/>
      <c r="R1931" s="179">
        <f>R1923/((N_6*R$27*R1930)*SQRT(R1929*R1925*R1927))</f>
        <v>0.71740030653581965</v>
      </c>
      <c r="S1931" s="133"/>
      <c r="T1931" s="146"/>
      <c r="U1931" s="143">
        <f>U1923/((N_6*U$27*U1930)*SQRT(U1929*U1925*U1927))</f>
        <v>7.8135576694496613</v>
      </c>
      <c r="V1931" s="133"/>
      <c r="W1931" s="146"/>
      <c r="X1931" s="143">
        <f>X1923/((N_6*X$27*X1930)*SQRT(X1929*X1925*X1927))</f>
        <v>21.072639556973037</v>
      </c>
      <c r="Y1931" s="133"/>
      <c r="Z1931" s="146"/>
      <c r="AA1931" s="143">
        <f>AA1923/((N_6*AA$27*AA1930)*SQRT(AA1929*AA1925*AA1927))</f>
        <v>60.238617370244199</v>
      </c>
      <c r="AB1931" s="133"/>
      <c r="AC1931" s="146"/>
      <c r="AD1931" s="143" t="e">
        <f>AD1923/((N_6*AD$27*AD1930)*SQRT(AD1929*AD1925*AD1927))</f>
        <v>#NUM!</v>
      </c>
      <c r="AE1931" s="133"/>
      <c r="AF1931" s="146"/>
      <c r="AG1931" s="143">
        <f>AG1923/((N_6*AG$27*AG1930)*SQRT(AG1929*AG1925*AG1927))</f>
        <v>-576.93683063292303</v>
      </c>
      <c r="AH1931" s="133"/>
      <c r="AI1931" s="146"/>
      <c r="AJ1931" s="143">
        <f>AJ1923/((N_6*AJ$27*AJ1930)*SQRT(AJ1929*AJ1925*AJ1927))</f>
        <v>205.63354961758748</v>
      </c>
      <c r="AK1931" s="133"/>
      <c r="AL1931" s="146"/>
      <c r="AM1931" s="143">
        <f>AM1923/((N_6*AM$27*AM1930)*SQRT(AM1929*AM1925*AM1927))</f>
        <v>156.67752219058272</v>
      </c>
      <c r="AN1931" s="133"/>
      <c r="AO1931" s="146"/>
      <c r="AP1931" s="143">
        <f>AP1923/((N_6*AP$27*AP1930)*SQRT(AP1929*AP1925*AP1927))</f>
        <v>77.706419869844765</v>
      </c>
      <c r="AQ1931" s="133"/>
      <c r="AR1931" s="146"/>
      <c r="AS1931" s="143">
        <f>AS1923/((N_6*AS$27*AS1930)*SQRT(AS1929*AS1925*AS1927))</f>
        <v>626.577350162578</v>
      </c>
      <c r="AT1931" s="133"/>
      <c r="AU1931" s="146"/>
    </row>
    <row r="1932" spans="13:47" x14ac:dyDescent="0.25">
      <c r="M1932" s="27"/>
      <c r="N1932" s="27"/>
      <c r="O1932" s="2" t="s">
        <v>73</v>
      </c>
      <c r="P1932" s="85">
        <v>5</v>
      </c>
      <c r="Q1932" s="2"/>
      <c r="R1932" s="179">
        <f>R1923/((N_6*R$27*0.667)*SQRT(R1933*R1925*R1927))</f>
        <v>0.703620919503673</v>
      </c>
      <c r="S1932" s="133"/>
      <c r="T1932" s="147"/>
      <c r="U1932" s="143">
        <f>U1923/((N_6*U$27*0.667)*SQRT(U1933*U1925*U1927))</f>
        <v>7.6489362277869848</v>
      </c>
      <c r="V1932" s="133"/>
      <c r="W1932" s="155"/>
      <c r="X1932" s="143">
        <f>X1923/((N_6*X$27*0.667)*SQRT(X1933*X1925*X1927))</f>
        <v>20.430884238974528</v>
      </c>
      <c r="Y1932" s="133"/>
      <c r="Z1932" s="155"/>
      <c r="AA1932" s="143">
        <f>AA1923/((N_6*AA$27*0.667)*SQRT(AA1933*AA1925*AA1927))</f>
        <v>52.51390860294358</v>
      </c>
      <c r="AB1932" s="133"/>
      <c r="AC1932" s="155"/>
      <c r="AD1932" s="143">
        <f>AD1923/((N_6*AD$27*0.667)*SQRT(AD1933*AD1925*AD1927))</f>
        <v>297.16277268322216</v>
      </c>
      <c r="AE1932" s="133"/>
      <c r="AF1932" s="155"/>
      <c r="AG1932" s="143">
        <f>AG1923/((N_6*AG$27*0.667)*SQRT(AG1933*AG1925*AG1927))</f>
        <v>167.51892581490563</v>
      </c>
      <c r="AH1932" s="133"/>
      <c r="AI1932" s="155"/>
      <c r="AJ1932" s="143">
        <f>AJ1923/((N_6*AJ$27*0.667)*SQRT(AJ1933*AJ1925*AJ1927))</f>
        <v>83.577133399833528</v>
      </c>
      <c r="AK1932" s="133"/>
      <c r="AL1932" s="155"/>
      <c r="AM1932" s="143">
        <f>AM1923/((N_6*AM$27*0.667)*SQRT(AM1933*AM1925*AM1927))</f>
        <v>66.926978143712674</v>
      </c>
      <c r="AN1932" s="133"/>
      <c r="AO1932" s="155"/>
      <c r="AP1932" s="143">
        <f>AP1923/((N_6*AP$27*0.667)*SQRT(AP1933*AP1925*AP1927))</f>
        <v>57.326746973177535</v>
      </c>
      <c r="AQ1932" s="133"/>
      <c r="AR1932" s="155"/>
      <c r="AS1932" s="143">
        <f>AS1923/((N_6*AS$27*0.667)*SQRT(AS1933*AS1925*AS1927))</f>
        <v>78.485527687961948</v>
      </c>
      <c r="AT1932" s="133"/>
      <c r="AU1932" s="155"/>
    </row>
    <row r="1933" spans="13:47" ht="15.5" x14ac:dyDescent="0.4">
      <c r="M1933" s="27"/>
      <c r="N1933" s="27"/>
      <c r="O1933" s="2" t="s">
        <v>192</v>
      </c>
      <c r="P1933" s="85">
        <v>10</v>
      </c>
      <c r="Q1933" s="2"/>
      <c r="R1933" s="181">
        <f>F_GAMMA*R$29</f>
        <v>0.64002688015162901</v>
      </c>
      <c r="S1933" s="133"/>
      <c r="T1933" s="147"/>
      <c r="U1933" s="138">
        <f>F_GAMMA*U$29</f>
        <v>0.64016782916606918</v>
      </c>
      <c r="V1933" s="133"/>
      <c r="W1933" s="155"/>
      <c r="X1933" s="138">
        <f>F_GAMMA*X$29</f>
        <v>0.6307062319203669</v>
      </c>
      <c r="Y1933" s="133"/>
      <c r="Z1933" s="155"/>
      <c r="AA1933" s="138">
        <f>F_GAMMA*AA$29</f>
        <v>0.62217534213893466</v>
      </c>
      <c r="AB1933" s="133"/>
      <c r="AC1933" s="155"/>
      <c r="AD1933" s="138">
        <f>F_GAMMA*AD$29</f>
        <v>0.60557184969146072</v>
      </c>
      <c r="AE1933" s="133"/>
      <c r="AF1933" s="155"/>
      <c r="AG1933" s="138">
        <f>F_GAMMA*AG$29</f>
        <v>0.57289312142622573</v>
      </c>
      <c r="AH1933" s="133"/>
      <c r="AI1933" s="155"/>
      <c r="AJ1933" s="138">
        <f>F_GAMMA*AJ$29</f>
        <v>0.53590819116049981</v>
      </c>
      <c r="AK1933" s="133"/>
      <c r="AL1933" s="155"/>
      <c r="AM1933" s="138">
        <f>F_GAMMA*AM$29</f>
        <v>0.49048815926850342</v>
      </c>
      <c r="AN1933" s="133"/>
      <c r="AO1933" s="155"/>
      <c r="AP1933" s="138">
        <f>F_GAMMA*AP$29</f>
        <v>0.59352979016280105</v>
      </c>
      <c r="AQ1933" s="133"/>
      <c r="AR1933" s="155"/>
      <c r="AS1933" s="138">
        <f>F_GAMMA*AS$29</f>
        <v>0.39097221161068291</v>
      </c>
      <c r="AT1933" s="133"/>
      <c r="AU1933" s="155"/>
    </row>
    <row r="1934" spans="13:47" x14ac:dyDescent="0.25">
      <c r="M1934" s="27"/>
      <c r="N1934" s="27"/>
      <c r="O1934" s="2" t="s">
        <v>193</v>
      </c>
      <c r="P1934" s="134"/>
      <c r="Q1934" s="2"/>
      <c r="R1934" s="181">
        <f>IF(R1929&lt;R1933,R1931,R1932)</f>
        <v>0.71740030653581965</v>
      </c>
      <c r="S1934" s="133"/>
      <c r="T1934" s="147"/>
      <c r="U1934" s="138">
        <f>IF(U1929&lt;U1933,U1931,U1932)</f>
        <v>7.8135576694496613</v>
      </c>
      <c r="V1934" s="133"/>
      <c r="W1934" s="155"/>
      <c r="X1934" s="138">
        <f>IF(X1929&lt;X1933,X1931,X1932)</f>
        <v>21.072639556973037</v>
      </c>
      <c r="Y1934" s="133"/>
      <c r="Z1934" s="155"/>
      <c r="AA1934" s="138">
        <f>IF(AA1929&lt;AA1933,AA1931,AA1932)</f>
        <v>60.238617370244199</v>
      </c>
      <c r="AB1934" s="133"/>
      <c r="AC1934" s="155"/>
      <c r="AD1934" s="138" t="e">
        <f>IF(AD1929&lt;AD1933,AD1931,AD1932)</f>
        <v>#NUM!</v>
      </c>
      <c r="AE1934" s="133"/>
      <c r="AF1934" s="155"/>
      <c r="AG1934" s="138">
        <f>IF(AG1929&lt;AG1933,AG1931,AG1932)</f>
        <v>167.51892581490563</v>
      </c>
      <c r="AH1934" s="133"/>
      <c r="AI1934" s="155"/>
      <c r="AJ1934" s="138">
        <f>IF(AJ1929&lt;AJ1933,AJ1931,AJ1932)</f>
        <v>83.577133399833528</v>
      </c>
      <c r="AK1934" s="133"/>
      <c r="AL1934" s="155"/>
      <c r="AM1934" s="138">
        <f>IF(AM1929&lt;AM1933,AM1931,AM1932)</f>
        <v>66.926978143712674</v>
      </c>
      <c r="AN1934" s="133"/>
      <c r="AO1934" s="155"/>
      <c r="AP1934" s="138">
        <f>IF(AP1929&lt;AP1933,AP1931,AP1932)</f>
        <v>57.326746973177535</v>
      </c>
      <c r="AQ1934" s="133"/>
      <c r="AR1934" s="155"/>
      <c r="AS1934" s="138">
        <f>IF(AS1929&lt;AS1933,AS1931,AS1932)</f>
        <v>78.485527687961948</v>
      </c>
      <c r="AT1934" s="133"/>
      <c r="AU1934" s="155"/>
    </row>
    <row r="1935" spans="13:47" ht="13" x14ac:dyDescent="0.3">
      <c r="M1935" s="28"/>
      <c r="N1935" s="28"/>
      <c r="O1935" s="9" t="s">
        <v>194</v>
      </c>
      <c r="P1935" s="1"/>
      <c r="Q1935" s="1"/>
      <c r="R1935" s="135"/>
      <c r="S1935" s="132">
        <f>IF(R1928&lt;=0,W_max,ABS(R$23-R1934))</f>
        <v>1.2825996934641803</v>
      </c>
      <c r="T1935" s="151">
        <f>R1923</f>
        <v>165.89323436900773</v>
      </c>
      <c r="U1935" s="135"/>
      <c r="V1935" s="132">
        <f>IF(U1928&lt;=0,W_max,ABS(U$23-U1934))</f>
        <v>2.8135576694496613</v>
      </c>
      <c r="W1935" s="151">
        <f>U1923</f>
        <v>1780.0125602181238</v>
      </c>
      <c r="X1935" s="135"/>
      <c r="Y1935" s="132">
        <f>IF(X1928&lt;=0,W_max,ABS(X$23-X1934))</f>
        <v>11.072639556973037</v>
      </c>
      <c r="Z1935" s="151">
        <f>X1923</f>
        <v>4402.1828853971447</v>
      </c>
      <c r="AA1935" s="135"/>
      <c r="AB1935" s="132">
        <f>IF(AA1928&lt;=0,W_max,ABS(AA$23-AA1934))</f>
        <v>43.038617370244197</v>
      </c>
      <c r="AC1935" s="151">
        <f>AA1923</f>
        <v>8574.3286237634311</v>
      </c>
      <c r="AD1935" s="135"/>
      <c r="AE1935" s="132">
        <f>IF(AD1928&lt;=0,W_max,ABS(AD$23-AD1934))</f>
        <v>7174</v>
      </c>
      <c r="AF1935" s="151">
        <f>AD1923</f>
        <v>14101.613705588201</v>
      </c>
      <c r="AG1935" s="135"/>
      <c r="AH1935" s="132">
        <f>IF(AG1928&lt;=0,W_max,ABS(AG$23-AG1934))</f>
        <v>7174</v>
      </c>
      <c r="AI1935" s="151">
        <f>AG1923</f>
        <v>19778.598851311432</v>
      </c>
      <c r="AJ1935" s="135"/>
      <c r="AK1935" s="132">
        <f>IF(AJ1928&lt;=0,W_max,ABS(AJ$23-AJ1934))</f>
        <v>7174</v>
      </c>
      <c r="AL1935" s="151">
        <f>AJ1923</f>
        <v>25113.572260923658</v>
      </c>
      <c r="AM1935" s="135"/>
      <c r="AN1935" s="132">
        <f>IF(AM1928&lt;=0,W_max,ABS(AM$23-AM1934))</f>
        <v>7174</v>
      </c>
      <c r="AO1935" s="151">
        <f>AM1923</f>
        <v>29447.638530907243</v>
      </c>
      <c r="AP1935" s="135"/>
      <c r="AQ1935" s="132">
        <f>IF(AP1928&lt;=0,W_max,ABS(AP$23-AP1934))</f>
        <v>7174</v>
      </c>
      <c r="AR1935" s="151">
        <f>AP1923</f>
        <v>32853.798192975155</v>
      </c>
      <c r="AS1935" s="135"/>
      <c r="AT1935" s="132">
        <f>IF(AS1928&lt;=0,W_max,ABS(AS$23-AS1934))</f>
        <v>7174</v>
      </c>
      <c r="AU1935" s="151">
        <f>AS1923</f>
        <v>36653.942711632561</v>
      </c>
    </row>
    <row r="1936" spans="13:47" ht="13" x14ac:dyDescent="0.25">
      <c r="M1936" s="12"/>
      <c r="N1936" s="12"/>
      <c r="O1936" s="12"/>
      <c r="P1936" s="12"/>
      <c r="Q1936" s="12"/>
      <c r="R1936" s="182"/>
      <c r="S1936" s="22"/>
      <c r="T1936" s="152"/>
      <c r="U1936" s="157"/>
      <c r="V1936" s="1"/>
      <c r="W1936" s="147"/>
      <c r="X1936" s="157"/>
      <c r="Y1936" s="1"/>
      <c r="Z1936" s="147"/>
      <c r="AA1936" s="157"/>
      <c r="AB1936" s="1"/>
      <c r="AC1936" s="147"/>
      <c r="AD1936" s="157"/>
      <c r="AE1936" s="1"/>
      <c r="AF1936" s="147"/>
      <c r="AG1936" s="157"/>
      <c r="AH1936" s="1"/>
      <c r="AI1936" s="147"/>
      <c r="AJ1936" s="157"/>
      <c r="AK1936" s="1"/>
      <c r="AL1936" s="147"/>
      <c r="AM1936" s="157"/>
      <c r="AN1936" s="1"/>
      <c r="AO1936" s="147"/>
      <c r="AP1936" s="157"/>
      <c r="AQ1936" s="1"/>
      <c r="AR1936" s="147"/>
      <c r="AS1936" s="157"/>
      <c r="AT1936" s="1"/>
      <c r="AU1936" s="147"/>
    </row>
    <row r="1937" spans="13:47" ht="14" x14ac:dyDescent="0.3">
      <c r="M1937" s="23"/>
      <c r="N1937" s="23"/>
      <c r="O1937" s="23" t="s">
        <v>238</v>
      </c>
      <c r="P1937" s="20"/>
      <c r="Q1937" s="20"/>
      <c r="R1937" s="18">
        <f>R1923*1.02</f>
        <v>169.21109905638789</v>
      </c>
      <c r="S1937" s="128" t="s">
        <v>185</v>
      </c>
      <c r="T1937" s="153" t="s">
        <v>186</v>
      </c>
      <c r="U1937" s="143">
        <f>U1923*1.01</f>
        <v>1797.812685820305</v>
      </c>
      <c r="V1937" s="128" t="s">
        <v>185</v>
      </c>
      <c r="W1937" s="153" t="s">
        <v>186</v>
      </c>
      <c r="X1937" s="143">
        <f>X1923*1.01</f>
        <v>4446.2047142511165</v>
      </c>
      <c r="Y1937" s="128" t="s">
        <v>185</v>
      </c>
      <c r="Z1937" s="153" t="s">
        <v>186</v>
      </c>
      <c r="AA1937" s="143">
        <f>AA1923*1.01</f>
        <v>8660.0719100010647</v>
      </c>
      <c r="AB1937" s="128" t="s">
        <v>185</v>
      </c>
      <c r="AC1937" s="153" t="s">
        <v>186</v>
      </c>
      <c r="AD1937" s="143">
        <f>AD1923*1.01</f>
        <v>14242.629842644083</v>
      </c>
      <c r="AE1937" s="128" t="s">
        <v>185</v>
      </c>
      <c r="AF1937" s="153" t="s">
        <v>186</v>
      </c>
      <c r="AG1937" s="143">
        <f>AG1923*1.01</f>
        <v>19976.384839824546</v>
      </c>
      <c r="AH1937" s="128" t="s">
        <v>185</v>
      </c>
      <c r="AI1937" s="153" t="s">
        <v>186</v>
      </c>
      <c r="AJ1937" s="143">
        <f>AJ1923*1.01</f>
        <v>25364.707983532895</v>
      </c>
      <c r="AK1937" s="128" t="s">
        <v>185</v>
      </c>
      <c r="AL1937" s="153" t="s">
        <v>186</v>
      </c>
      <c r="AM1937" s="143">
        <f>AM1923*1.01</f>
        <v>29742.114916216316</v>
      </c>
      <c r="AN1937" s="128" t="s">
        <v>185</v>
      </c>
      <c r="AO1937" s="153" t="s">
        <v>186</v>
      </c>
      <c r="AP1937" s="143">
        <f>AP1923*1.01</f>
        <v>33182.336174904907</v>
      </c>
      <c r="AQ1937" s="128" t="s">
        <v>185</v>
      </c>
      <c r="AR1937" s="153" t="s">
        <v>186</v>
      </c>
      <c r="AS1937" s="143">
        <f>AS1923*1.01</f>
        <v>37020.482138748885</v>
      </c>
      <c r="AT1937" s="128" t="s">
        <v>185</v>
      </c>
      <c r="AU1937" s="153" t="s">
        <v>186</v>
      </c>
    </row>
    <row r="1938" spans="13:47" ht="14" x14ac:dyDescent="0.3">
      <c r="M1938" s="12"/>
      <c r="N1938" s="12"/>
      <c r="O1938" s="20"/>
      <c r="P1938" s="20"/>
      <c r="Q1938" s="23"/>
      <c r="R1938" s="139"/>
      <c r="S1938" s="130" t="s">
        <v>228</v>
      </c>
      <c r="T1938" s="154" t="s">
        <v>187</v>
      </c>
      <c r="U1938" s="144"/>
      <c r="V1938" s="130" t="s">
        <v>228</v>
      </c>
      <c r="W1938" s="154" t="s">
        <v>187</v>
      </c>
      <c r="X1938" s="144"/>
      <c r="Y1938" s="130" t="s">
        <v>228</v>
      </c>
      <c r="Z1938" s="154" t="s">
        <v>187</v>
      </c>
      <c r="AA1938" s="144"/>
      <c r="AB1938" s="130" t="s">
        <v>228</v>
      </c>
      <c r="AC1938" s="154" t="s">
        <v>187</v>
      </c>
      <c r="AD1938" s="144"/>
      <c r="AE1938" s="130" t="s">
        <v>228</v>
      </c>
      <c r="AF1938" s="154" t="s">
        <v>187</v>
      </c>
      <c r="AG1938" s="144"/>
      <c r="AH1938" s="130" t="s">
        <v>228</v>
      </c>
      <c r="AI1938" s="154" t="s">
        <v>187</v>
      </c>
      <c r="AJ1938" s="144"/>
      <c r="AK1938" s="130" t="s">
        <v>228</v>
      </c>
      <c r="AL1938" s="154" t="s">
        <v>187</v>
      </c>
      <c r="AM1938" s="144"/>
      <c r="AN1938" s="130" t="s">
        <v>228</v>
      </c>
      <c r="AO1938" s="154" t="s">
        <v>187</v>
      </c>
      <c r="AP1938" s="144"/>
      <c r="AQ1938" s="130" t="s">
        <v>228</v>
      </c>
      <c r="AR1938" s="154" t="s">
        <v>187</v>
      </c>
      <c r="AS1938" s="144"/>
      <c r="AT1938" s="130" t="s">
        <v>228</v>
      </c>
      <c r="AU1938" s="154" t="s">
        <v>187</v>
      </c>
    </row>
    <row r="1939" spans="13:47" x14ac:dyDescent="0.25">
      <c r="M1939" s="20"/>
      <c r="N1939" s="20"/>
      <c r="O1939" s="7" t="s">
        <v>188</v>
      </c>
      <c r="P1939" s="7"/>
      <c r="Q1939" s="7"/>
      <c r="R1939" s="181">
        <f>P_1_minW-(R1937^2*R_up)+dpup_minQ</f>
        <v>100.51136922989625</v>
      </c>
      <c r="S1939" s="132"/>
      <c r="T1939" s="145"/>
      <c r="U1939" s="138">
        <f>P_1_minW-(U1937^2*R_up)+dpup_minQ</f>
        <v>99.233936461290398</v>
      </c>
      <c r="V1939" s="132"/>
      <c r="W1939" s="145"/>
      <c r="X1939" s="138">
        <f>P_1_minW-(X1937^2*R_up)+dpup_minQ</f>
        <v>92.639769119676487</v>
      </c>
      <c r="Y1939" s="132"/>
      <c r="Z1939" s="145"/>
      <c r="AA1939" s="138">
        <f>P_1_minW-(AA1937^2*R_up)+dpup_minQ</f>
        <v>70.61690689719029</v>
      </c>
      <c r="AB1939" s="132"/>
      <c r="AC1939" s="145"/>
      <c r="AD1939" s="138">
        <f>P_1_minW-(AD1937^2*R_up)+dpup_minQ</f>
        <v>19.632949365730099</v>
      </c>
      <c r="AE1939" s="132"/>
      <c r="AF1939" s="145"/>
      <c r="AG1939" s="138">
        <f>P_1_minW-(AG1937^2*R_up)+dpup_minQ</f>
        <v>-58.605497266386706</v>
      </c>
      <c r="AH1939" s="132"/>
      <c r="AI1939" s="145"/>
      <c r="AJ1939" s="138">
        <f>P_1_minW-(AJ1937^2*R_up)+dpup_minQ</f>
        <v>-156.02798242995433</v>
      </c>
      <c r="AK1939" s="132"/>
      <c r="AL1939" s="145"/>
      <c r="AM1939" s="138">
        <f>P_1_minW-(AM1937^2*R_up)+dpup_minQ</f>
        <v>-252.21930189898447</v>
      </c>
      <c r="AN1939" s="132"/>
      <c r="AO1939" s="145"/>
      <c r="AP1939" s="138">
        <f>P_1_minW-(AP1937^2*R_up)+dpup_minQ</f>
        <v>-338.54088538980807</v>
      </c>
      <c r="AQ1939" s="132"/>
      <c r="AR1939" s="145"/>
      <c r="AS1939" s="138">
        <f>P_1_minW-(AS1937^2*R_up)+dpup_minQ</f>
        <v>-445.98672939964956</v>
      </c>
      <c r="AT1939" s="132"/>
      <c r="AU1939" s="145"/>
    </row>
    <row r="1940" spans="13:47" x14ac:dyDescent="0.25">
      <c r="M1940" s="20"/>
      <c r="N1940" s="20"/>
      <c r="O1940" s="7" t="s">
        <v>189</v>
      </c>
      <c r="P1940" s="1"/>
      <c r="Q1940" s="7"/>
      <c r="R1940" s="181">
        <f>P_2_minW+(R1937^2*R_dn)-dpdn_minQ</f>
        <v>50</v>
      </c>
      <c r="S1940" s="132"/>
      <c r="T1940" s="146"/>
      <c r="U1940" s="138">
        <f>P_2_minW+(U1937^2*R_dn)-dpdn_minQ</f>
        <v>50</v>
      </c>
      <c r="V1940" s="132"/>
      <c r="W1940" s="146"/>
      <c r="X1940" s="138">
        <f>P_2_minW+(X1937^2*R_dn)-dpdn_minQ</f>
        <v>50</v>
      </c>
      <c r="Y1940" s="132"/>
      <c r="Z1940" s="146"/>
      <c r="AA1940" s="138">
        <f>P_2_minW+(AA1937^2*R_dn)-dpdn_minQ</f>
        <v>50</v>
      </c>
      <c r="AB1940" s="132"/>
      <c r="AC1940" s="146"/>
      <c r="AD1940" s="138">
        <f>P_2_minW+(AD1937^2*R_dn)-dpdn_minQ</f>
        <v>50</v>
      </c>
      <c r="AE1940" s="132"/>
      <c r="AF1940" s="146"/>
      <c r="AG1940" s="138">
        <f>P_2_minW+(AG1937^2*R_dn)-dpdn_minQ</f>
        <v>50</v>
      </c>
      <c r="AH1940" s="132"/>
      <c r="AI1940" s="146"/>
      <c r="AJ1940" s="138">
        <f>P_2_minW+(AJ1937^2*R_dn)-dpdn_minQ</f>
        <v>50</v>
      </c>
      <c r="AK1940" s="132"/>
      <c r="AL1940" s="146"/>
      <c r="AM1940" s="138">
        <f>P_2_minW+(AM1937^2*R_dn)-dpdn_minQ</f>
        <v>50</v>
      </c>
      <c r="AN1940" s="132"/>
      <c r="AO1940" s="146"/>
      <c r="AP1940" s="138">
        <f>P_2_minW+(AP1937^2*R_dn)-dpdn_minQ</f>
        <v>50</v>
      </c>
      <c r="AQ1940" s="132"/>
      <c r="AR1940" s="146"/>
      <c r="AS1940" s="138">
        <f>P_2_minW+(AS1937^2*R_dn)-dpdn_minQ</f>
        <v>50</v>
      </c>
      <c r="AT1940" s="132"/>
      <c r="AU1940" s="146"/>
    </row>
    <row r="1941" spans="13:47" x14ac:dyDescent="0.25">
      <c r="M1941" s="20"/>
      <c r="N1941" s="20"/>
      <c r="O1941" s="7" t="s">
        <v>234</v>
      </c>
      <c r="P1941" s="1"/>
      <c r="Q1941" s="7"/>
      <c r="R1941" s="179">
        <f>'Valve Sizing'!G$8*R1939/P_1_maxW</f>
        <v>0.48484895021870261</v>
      </c>
      <c r="S1941" s="132"/>
      <c r="T1941" s="146"/>
      <c r="U1941" s="143">
        <f>'Valve Sizing'!$G$8*U1939/P_1_maxW</f>
        <v>0.47868684197583428</v>
      </c>
      <c r="V1941" s="132"/>
      <c r="W1941" s="146"/>
      <c r="X1941" s="143">
        <f>'Valve Sizing'!$G$8*X1939/P_1_maxW</f>
        <v>0.44687775273902208</v>
      </c>
      <c r="Y1941" s="132"/>
      <c r="Z1941" s="146"/>
      <c r="AA1941" s="143">
        <f>'Valve Sizing'!$G$8*AA1939/P_1_maxW</f>
        <v>0.34064338630669666</v>
      </c>
      <c r="AB1941" s="132"/>
      <c r="AC1941" s="146"/>
      <c r="AD1941" s="143">
        <f>'Valve Sizing'!$G$8*AD1939/P_1_maxW</f>
        <v>9.4705852309092134E-2</v>
      </c>
      <c r="AE1941" s="132"/>
      <c r="AF1941" s="146"/>
      <c r="AG1941" s="143">
        <f>'Valve Sizing'!$G$8*AG1939/P_1_maxW</f>
        <v>-0.28270248474737614</v>
      </c>
      <c r="AH1941" s="132"/>
      <c r="AI1941" s="146"/>
      <c r="AJ1941" s="143">
        <f>'Valve Sizing'!$G$8*AJ1939/P_1_maxW</f>
        <v>-0.75265120817202125</v>
      </c>
      <c r="AK1941" s="132"/>
      <c r="AL1941" s="146"/>
      <c r="AM1941" s="143">
        <f>'Valve Sizing'!$G$8*AM1939/P_1_maxW</f>
        <v>-1.216661007481759</v>
      </c>
      <c r="AN1941" s="132"/>
      <c r="AO1941" s="146"/>
      <c r="AP1941" s="143">
        <f>'Valve Sizing'!$G$8*AP1939/P_1_maxW</f>
        <v>-1.6330609576308124</v>
      </c>
      <c r="AQ1941" s="132"/>
      <c r="AR1941" s="146"/>
      <c r="AS1941" s="143">
        <f>'Valve Sizing'!$G$8*AS1939/P_1_maxW</f>
        <v>-2.1513605795808326</v>
      </c>
      <c r="AT1941" s="132"/>
      <c r="AU1941" s="146"/>
    </row>
    <row r="1942" spans="13:47" x14ac:dyDescent="0.25">
      <c r="M1942" s="20"/>
      <c r="N1942" s="20"/>
      <c r="O1942" s="7" t="s">
        <v>190</v>
      </c>
      <c r="P1942" s="1"/>
      <c r="Q1942" s="7"/>
      <c r="R1942" s="181">
        <f>R1939-R1940</f>
        <v>50.511369229896246</v>
      </c>
      <c r="S1942" s="132"/>
      <c r="T1942" s="146"/>
      <c r="U1942" s="138">
        <f>U1939-U1940</f>
        <v>49.233936461290398</v>
      </c>
      <c r="V1942" s="132"/>
      <c r="W1942" s="146"/>
      <c r="X1942" s="138">
        <f>X1939-X1940</f>
        <v>42.639769119676487</v>
      </c>
      <c r="Y1942" s="132"/>
      <c r="Z1942" s="146"/>
      <c r="AA1942" s="138">
        <f>AA1939-AA1940</f>
        <v>20.61690689719029</v>
      </c>
      <c r="AB1942" s="132"/>
      <c r="AC1942" s="146"/>
      <c r="AD1942" s="138">
        <f>AD1939-AD1940</f>
        <v>-30.367050634269901</v>
      </c>
      <c r="AE1942" s="132"/>
      <c r="AF1942" s="146"/>
      <c r="AG1942" s="138">
        <f>AG1939-AG1940</f>
        <v>-108.60549726638671</v>
      </c>
      <c r="AH1942" s="132"/>
      <c r="AI1942" s="146"/>
      <c r="AJ1942" s="138">
        <f>AJ1939-AJ1940</f>
        <v>-206.02798242995433</v>
      </c>
      <c r="AK1942" s="132"/>
      <c r="AL1942" s="146"/>
      <c r="AM1942" s="138">
        <f>AM1939-AM1940</f>
        <v>-302.21930189898444</v>
      </c>
      <c r="AN1942" s="132"/>
      <c r="AO1942" s="146"/>
      <c r="AP1942" s="138">
        <f>AP1939-AP1940</f>
        <v>-388.54088538980807</v>
      </c>
      <c r="AQ1942" s="132"/>
      <c r="AR1942" s="146"/>
      <c r="AS1942" s="138">
        <f>AS1939-AS1940</f>
        <v>-495.98672939964956</v>
      </c>
      <c r="AT1942" s="132"/>
      <c r="AU1942" s="146"/>
    </row>
    <row r="1943" spans="13:47" ht="14.5" x14ac:dyDescent="0.35">
      <c r="M1943" s="27"/>
      <c r="N1943" s="27"/>
      <c r="O1943" s="2" t="s">
        <v>191</v>
      </c>
      <c r="P1943" s="10"/>
      <c r="Q1943" s="2"/>
      <c r="R1943" s="181">
        <f>R1942/R1939</f>
        <v>0.50254383774598976</v>
      </c>
      <c r="S1943" s="132"/>
      <c r="T1943" s="146"/>
      <c r="U1943" s="138">
        <f>U1942/U1939</f>
        <v>0.49614011312043216</v>
      </c>
      <c r="V1943" s="132"/>
      <c r="W1943" s="146"/>
      <c r="X1943" s="138">
        <f>X1942/X1939</f>
        <v>0.46027499339503308</v>
      </c>
      <c r="Y1943" s="132"/>
      <c r="Z1943" s="146"/>
      <c r="AA1943" s="138">
        <f>AA1942/AA1939</f>
        <v>0.29195426142362796</v>
      </c>
      <c r="AB1943" s="132"/>
      <c r="AC1943" s="146"/>
      <c r="AD1943" s="138">
        <f>AD1942/AD1939</f>
        <v>-1.5467391102875505</v>
      </c>
      <c r="AE1943" s="132"/>
      <c r="AF1943" s="146"/>
      <c r="AG1943" s="138">
        <f>AG1942/AG1939</f>
        <v>1.8531622856594647</v>
      </c>
      <c r="AH1943" s="132"/>
      <c r="AI1943" s="146"/>
      <c r="AJ1943" s="138">
        <f>AJ1942/AJ1939</f>
        <v>1.3204553389802789</v>
      </c>
      <c r="AK1943" s="132"/>
      <c r="AL1943" s="146"/>
      <c r="AM1943" s="138">
        <f>AM1942/AM1939</f>
        <v>1.1982401807615235</v>
      </c>
      <c r="AN1943" s="132"/>
      <c r="AO1943" s="146"/>
      <c r="AP1943" s="138">
        <f>AP1942/AP1939</f>
        <v>1.147692648533214</v>
      </c>
      <c r="AQ1943" s="132"/>
      <c r="AR1943" s="146"/>
      <c r="AS1943" s="138">
        <f>AS1942/AS1939</f>
        <v>1.112110959147385</v>
      </c>
      <c r="AT1943" s="132"/>
      <c r="AU1943" s="146"/>
    </row>
    <row r="1944" spans="13:47" x14ac:dyDescent="0.25">
      <c r="M1944" s="27"/>
      <c r="N1944" s="27"/>
      <c r="O1944" s="2" t="s">
        <v>26</v>
      </c>
      <c r="P1944" s="7">
        <v>12</v>
      </c>
      <c r="Q1944" s="2"/>
      <c r="R1944" s="181">
        <f>1-R1943/(3*F_GAMMA*R$29)</f>
        <v>0.73826941058739493</v>
      </c>
      <c r="S1944" s="133"/>
      <c r="T1944" s="146"/>
      <c r="U1944" s="138">
        <f>1-U1943/(3*F_GAMMA*U$29)</f>
        <v>0.7416614359983581</v>
      </c>
      <c r="V1944" s="133"/>
      <c r="W1944" s="146"/>
      <c r="X1944" s="138">
        <f>1-X1943/(3*F_GAMMA*X$29)</f>
        <v>0.75674095159770705</v>
      </c>
      <c r="Y1944" s="133"/>
      <c r="Z1944" s="146"/>
      <c r="AA1944" s="138">
        <f>1-AA1943/(3*F_GAMMA*AA$29)</f>
        <v>0.84358414654196023</v>
      </c>
      <c r="AB1944" s="133"/>
      <c r="AC1944" s="146"/>
      <c r="AD1944" s="138">
        <f>1-AD1943/(3*F_GAMMA*AD$29)</f>
        <v>1.8513931149406493</v>
      </c>
      <c r="AE1944" s="133"/>
      <c r="AF1944" s="146"/>
      <c r="AG1944" s="138">
        <f>1-AG1943/(3*F_GAMMA*AG$29)</f>
        <v>-7.824782456571211E-2</v>
      </c>
      <c r="AH1944" s="133"/>
      <c r="AI1944" s="146"/>
      <c r="AJ1944" s="138">
        <f>1-AJ1943/(3*F_GAMMA*AJ$29)</f>
        <v>0.17868062679364538</v>
      </c>
      <c r="AK1944" s="133"/>
      <c r="AL1944" s="146"/>
      <c r="AM1944" s="138">
        <f>1-AM1943/(3*F_GAMMA*AM$29)</f>
        <v>0.18568188438463962</v>
      </c>
      <c r="AN1944" s="133"/>
      <c r="AO1944" s="146"/>
      <c r="AP1944" s="138">
        <f>1-AP1943/(3*F_GAMMA*AP$29)</f>
        <v>0.35544226672631996</v>
      </c>
      <c r="AQ1944" s="133"/>
      <c r="AR1944" s="146"/>
      <c r="AS1944" s="138">
        <f>1-AS1943/(3*F_GAMMA*AS$29)</f>
        <v>5.1841430054720528E-2</v>
      </c>
      <c r="AT1944" s="133"/>
      <c r="AU1944" s="146"/>
    </row>
    <row r="1945" spans="13:47" x14ac:dyDescent="0.25">
      <c r="M1945" s="27"/>
      <c r="N1945" s="27"/>
      <c r="O1945" s="2" t="s">
        <v>71</v>
      </c>
      <c r="P1945" s="85">
        <v>5</v>
      </c>
      <c r="Q1945" s="2"/>
      <c r="R1945" s="179">
        <f>R1937/((N_6*R$27*R1944)*SQRT(R1943*R1939*R1941))</f>
        <v>0.73175200522554817</v>
      </c>
      <c r="S1945" s="133"/>
      <c r="T1945" s="146"/>
      <c r="U1945" s="143">
        <f>U1937/((N_6*U$27*U1944)*SQRT(U1943*U1939*U1941))</f>
        <v>7.8940237797609338</v>
      </c>
      <c r="V1945" s="133"/>
      <c r="W1945" s="146"/>
      <c r="X1945" s="143">
        <f>X1937/((N_6*X$27*X1944)*SQRT(X1943*X1939*X1941))</f>
        <v>21.326498914740377</v>
      </c>
      <c r="Y1945" s="133"/>
      <c r="Z1945" s="146"/>
      <c r="AA1945" s="143">
        <f>AA1937/((N_6*AA$27*AA1944)*SQRT(AA1943*AA1939*AA1941))</f>
        <v>61.730681507581068</v>
      </c>
      <c r="AB1945" s="133"/>
      <c r="AC1945" s="146"/>
      <c r="AD1945" s="143" t="e">
        <f>AD1937/((N_6*AD$27*AD1944)*SQRT(AD1943*AD1939*AD1941))</f>
        <v>#NUM!</v>
      </c>
      <c r="AE1945" s="133"/>
      <c r="AF1945" s="146"/>
      <c r="AG1945" s="143">
        <f>AG1937/((N_6*AG$27*AG1944)*SQRT(AG1943*AG1939*AG1941))</f>
        <v>-758.99519630987652</v>
      </c>
      <c r="AH1945" s="133"/>
      <c r="AI1945" s="146"/>
      <c r="AJ1945" s="143">
        <f>AJ1937/((N_6*AJ$27*AJ1944)*SQRT(AJ1943*AJ1939*AJ1941))</f>
        <v>194.23930227885265</v>
      </c>
      <c r="AK1945" s="133"/>
      <c r="AL1945" s="146"/>
      <c r="AM1945" s="143">
        <f>AM1937/((N_6*AM$27*AM1944)*SQRT(AM1943*AM1939*AM1941))</f>
        <v>151.07247997932348</v>
      </c>
      <c r="AN1945" s="133"/>
      <c r="AO1945" s="146"/>
      <c r="AP1945" s="143">
        <f>AP1937/((N_6*AP$27*AP1944)*SQRT(AP1943*AP1939*AP1941))</f>
        <v>76.137987130487261</v>
      </c>
      <c r="AQ1945" s="133"/>
      <c r="AR1945" s="146"/>
      <c r="AS1945" s="143">
        <f>AS1937/((N_6*AS$27*AS1944)*SQRT(AS1943*AS1939*AS1941))</f>
        <v>590.12491002154377</v>
      </c>
      <c r="AT1945" s="133"/>
      <c r="AU1945" s="146"/>
    </row>
    <row r="1946" spans="13:47" x14ac:dyDescent="0.25">
      <c r="M1946" s="27"/>
      <c r="N1946" s="27"/>
      <c r="O1946" s="2" t="s">
        <v>73</v>
      </c>
      <c r="P1946" s="85">
        <v>5</v>
      </c>
      <c r="Q1946" s="2"/>
      <c r="R1946" s="179">
        <f>R1937/((N_6*R$27*0.667)*SQRT(R1947*R1939*R1941))</f>
        <v>0.71769650363945803</v>
      </c>
      <c r="S1946" s="133"/>
      <c r="T1946" s="155"/>
      <c r="U1946" s="143">
        <f>U1937/((N_6*U$27*0.667)*SQRT(U1947*U1939*U1941))</f>
        <v>7.7274026415217021</v>
      </c>
      <c r="V1946" s="133"/>
      <c r="W1946" s="155"/>
      <c r="X1946" s="143">
        <f>X1937/((N_6*X$27*0.667)*SQRT(X1947*X1939*X1941))</f>
        <v>20.66979155023537</v>
      </c>
      <c r="Y1946" s="133"/>
      <c r="Z1946" s="155"/>
      <c r="AA1946" s="143">
        <f>AA1937/((N_6*AA$27*0.667)*SQRT(AA1947*AA1939*AA1941))</f>
        <v>53.481632923108386</v>
      </c>
      <c r="AB1946" s="133"/>
      <c r="AC1946" s="155"/>
      <c r="AD1946" s="143">
        <f>AD1937/((N_6*AD$27*0.667)*SQRT(AD1947*AD1939*AD1941))</f>
        <v>324.50002234531604</v>
      </c>
      <c r="AE1946" s="133"/>
      <c r="AF1946" s="155"/>
      <c r="AG1946" s="143">
        <f>AG1937/((N_6*AG$27*0.667)*SQRT(AG1947*AG1939*AG1941))</f>
        <v>160.14205166684749</v>
      </c>
      <c r="AH1946" s="133"/>
      <c r="AI1946" s="155"/>
      <c r="AJ1946" s="143">
        <f>AJ1937/((N_6*AJ$27*0.667)*SQRT(AJ1947*AJ1939*AJ1941))</f>
        <v>81.678058059401408</v>
      </c>
      <c r="AK1946" s="133"/>
      <c r="AL1946" s="155"/>
      <c r="AM1946" s="143">
        <f>AM1937/((N_6*AM$27*0.667)*SQRT(AM1947*AM1939*AM1941))</f>
        <v>65.733496678093488</v>
      </c>
      <c r="AN1946" s="133"/>
      <c r="AO1946" s="155"/>
      <c r="AP1946" s="143">
        <f>AP1937/((N_6*AP$27*0.667)*SQRT(AP1947*AP1939*AP1941))</f>
        <v>56.42040068268367</v>
      </c>
      <c r="AQ1946" s="133"/>
      <c r="AR1946" s="155"/>
      <c r="AS1946" s="143">
        <f>AS1937/((N_6*AS$27*0.667)*SQRT(AS1947*AS1939*AS1941))</f>
        <v>77.356391227944229</v>
      </c>
      <c r="AT1946" s="133"/>
      <c r="AU1946" s="155"/>
    </row>
    <row r="1947" spans="13:47" ht="15.5" x14ac:dyDescent="0.4">
      <c r="M1947" s="27"/>
      <c r="N1947" s="27"/>
      <c r="O1947" s="2" t="s">
        <v>192</v>
      </c>
      <c r="P1947" s="85">
        <v>10</v>
      </c>
      <c r="Q1947" s="2"/>
      <c r="R1947" s="181">
        <f>F_GAMMA*R$29</f>
        <v>0.64002688015162901</v>
      </c>
      <c r="S1947" s="133"/>
      <c r="T1947" s="155"/>
      <c r="U1947" s="138">
        <f>F_GAMMA*U$29</f>
        <v>0.64016782916606918</v>
      </c>
      <c r="V1947" s="133"/>
      <c r="W1947" s="155"/>
      <c r="X1947" s="138">
        <f>F_GAMMA*X$29</f>
        <v>0.6307062319203669</v>
      </c>
      <c r="Y1947" s="133"/>
      <c r="Z1947" s="155"/>
      <c r="AA1947" s="138">
        <f>F_GAMMA*AA$29</f>
        <v>0.62217534213893466</v>
      </c>
      <c r="AB1947" s="133"/>
      <c r="AC1947" s="155"/>
      <c r="AD1947" s="138">
        <f>F_GAMMA*AD$29</f>
        <v>0.60557184969146072</v>
      </c>
      <c r="AE1947" s="133"/>
      <c r="AF1947" s="155"/>
      <c r="AG1947" s="138">
        <f>F_GAMMA*AG$29</f>
        <v>0.57289312142622573</v>
      </c>
      <c r="AH1947" s="133"/>
      <c r="AI1947" s="155"/>
      <c r="AJ1947" s="138">
        <f>F_GAMMA*AJ$29</f>
        <v>0.53590819116049981</v>
      </c>
      <c r="AK1947" s="133"/>
      <c r="AL1947" s="155"/>
      <c r="AM1947" s="138">
        <f>F_GAMMA*AM$29</f>
        <v>0.49048815926850342</v>
      </c>
      <c r="AN1947" s="133"/>
      <c r="AO1947" s="155"/>
      <c r="AP1947" s="138">
        <f>F_GAMMA*AP$29</f>
        <v>0.59352979016280105</v>
      </c>
      <c r="AQ1947" s="133"/>
      <c r="AR1947" s="155"/>
      <c r="AS1947" s="138">
        <f>F_GAMMA*AS$29</f>
        <v>0.39097221161068291</v>
      </c>
      <c r="AT1947" s="133"/>
      <c r="AU1947" s="155"/>
    </row>
    <row r="1948" spans="13:47" x14ac:dyDescent="0.25">
      <c r="M1948" s="27"/>
      <c r="N1948" s="27"/>
      <c r="O1948" s="2" t="s">
        <v>193</v>
      </c>
      <c r="P1948" s="134"/>
      <c r="Q1948" s="2"/>
      <c r="R1948" s="181">
        <f>IF(R1943&lt;R1947,R1945,R1946)</f>
        <v>0.73175200522554817</v>
      </c>
      <c r="S1948" s="133"/>
      <c r="T1948" s="155"/>
      <c r="U1948" s="138">
        <f>IF(U1943&lt;U1947,U1945,U1946)</f>
        <v>7.8940237797609338</v>
      </c>
      <c r="V1948" s="133"/>
      <c r="W1948" s="155"/>
      <c r="X1948" s="138">
        <f>IF(X1943&lt;X1947,X1945,X1946)</f>
        <v>21.326498914740377</v>
      </c>
      <c r="Y1948" s="133"/>
      <c r="Z1948" s="155"/>
      <c r="AA1948" s="138">
        <f>IF(AA1943&lt;AA1947,AA1945,AA1946)</f>
        <v>61.730681507581068</v>
      </c>
      <c r="AB1948" s="133"/>
      <c r="AC1948" s="155"/>
      <c r="AD1948" s="138" t="e">
        <f>IF(AD1943&lt;AD1947,AD1945,AD1946)</f>
        <v>#NUM!</v>
      </c>
      <c r="AE1948" s="133"/>
      <c r="AF1948" s="155"/>
      <c r="AG1948" s="138">
        <f>IF(AG1943&lt;AG1947,AG1945,AG1946)</f>
        <v>160.14205166684749</v>
      </c>
      <c r="AH1948" s="133"/>
      <c r="AI1948" s="155"/>
      <c r="AJ1948" s="138">
        <f>IF(AJ1943&lt;AJ1947,AJ1945,AJ1946)</f>
        <v>81.678058059401408</v>
      </c>
      <c r="AK1948" s="133"/>
      <c r="AL1948" s="155"/>
      <c r="AM1948" s="138">
        <f>IF(AM1943&lt;AM1947,AM1945,AM1946)</f>
        <v>65.733496678093488</v>
      </c>
      <c r="AN1948" s="133"/>
      <c r="AO1948" s="155"/>
      <c r="AP1948" s="138">
        <f>IF(AP1943&lt;AP1947,AP1945,AP1946)</f>
        <v>56.42040068268367</v>
      </c>
      <c r="AQ1948" s="133"/>
      <c r="AR1948" s="155"/>
      <c r="AS1948" s="138">
        <f>IF(AS1943&lt;AS1947,AS1945,AS1946)</f>
        <v>77.356391227944229</v>
      </c>
      <c r="AT1948" s="133"/>
      <c r="AU1948" s="155"/>
    </row>
    <row r="1949" spans="13:47" ht="13" x14ac:dyDescent="0.3">
      <c r="M1949" s="28"/>
      <c r="N1949" s="28"/>
      <c r="O1949" s="9" t="s">
        <v>194</v>
      </c>
      <c r="P1949" s="1"/>
      <c r="Q1949" s="1"/>
      <c r="R1949" s="135"/>
      <c r="S1949" s="132">
        <f>IF(R1942&lt;=0,W_max,ABS(R$23-R1948))</f>
        <v>1.2682479947744518</v>
      </c>
      <c r="T1949" s="151">
        <f>R1937</f>
        <v>169.21109905638789</v>
      </c>
      <c r="U1949" s="135"/>
      <c r="V1949" s="132">
        <f>IF(U1942&lt;=0,W_max,ABS(U$23-U1948))</f>
        <v>2.8940237797609338</v>
      </c>
      <c r="W1949" s="151">
        <f>U1937</f>
        <v>1797.812685820305</v>
      </c>
      <c r="X1949" s="135"/>
      <c r="Y1949" s="132">
        <f>IF(X1942&lt;=0,W_max,ABS(X$23-X1948))</f>
        <v>11.326498914740377</v>
      </c>
      <c r="Z1949" s="151">
        <f>X1937</f>
        <v>4446.2047142511165</v>
      </c>
      <c r="AA1949" s="135"/>
      <c r="AB1949" s="132">
        <f>IF(AA1942&lt;=0,W_max,ABS(AA$23-AA1948))</f>
        <v>44.530681507581065</v>
      </c>
      <c r="AC1949" s="151">
        <f>AA1937</f>
        <v>8660.0719100010647</v>
      </c>
      <c r="AD1949" s="135"/>
      <c r="AE1949" s="132">
        <f>IF(AD1942&lt;=0,W_max,ABS(AD$23-AD1948))</f>
        <v>7174</v>
      </c>
      <c r="AF1949" s="151">
        <f>AD1937</f>
        <v>14242.629842644083</v>
      </c>
      <c r="AG1949" s="135"/>
      <c r="AH1949" s="132">
        <f>IF(AG1942&lt;=0,W_max,ABS(AG$23-AG1948))</f>
        <v>7174</v>
      </c>
      <c r="AI1949" s="151">
        <f>AG1937</f>
        <v>19976.384839824546</v>
      </c>
      <c r="AJ1949" s="135"/>
      <c r="AK1949" s="132">
        <f>IF(AJ1942&lt;=0,W_max,ABS(AJ$23-AJ1948))</f>
        <v>7174</v>
      </c>
      <c r="AL1949" s="151">
        <f>AJ1937</f>
        <v>25364.707983532895</v>
      </c>
      <c r="AM1949" s="135"/>
      <c r="AN1949" s="132">
        <f>IF(AM1942&lt;=0,W_max,ABS(AM$23-AM1948))</f>
        <v>7174</v>
      </c>
      <c r="AO1949" s="151">
        <f>AM1937</f>
        <v>29742.114916216316</v>
      </c>
      <c r="AP1949" s="135"/>
      <c r="AQ1949" s="132">
        <f>IF(AP1942&lt;=0,W_max,ABS(AP$23-AP1948))</f>
        <v>7174</v>
      </c>
      <c r="AR1949" s="151">
        <f>AP1937</f>
        <v>33182.336174904907</v>
      </c>
      <c r="AS1949" s="135"/>
      <c r="AT1949" s="132">
        <f>IF(AS1942&lt;=0,W_max,ABS(AS$23-AS1948))</f>
        <v>7174</v>
      </c>
      <c r="AU1949" s="151">
        <f>AS1937</f>
        <v>37020.482138748885</v>
      </c>
    </row>
    <row r="1950" spans="13:47" ht="13" x14ac:dyDescent="0.25">
      <c r="M1950" s="12"/>
      <c r="N1950" s="12"/>
      <c r="O1950" s="2"/>
      <c r="P1950" s="85"/>
      <c r="Q1950" s="2"/>
      <c r="R1950" s="18"/>
      <c r="S1950" s="150"/>
      <c r="T1950" s="152"/>
      <c r="U1950" s="157"/>
      <c r="V1950" s="1"/>
      <c r="W1950" s="147"/>
      <c r="X1950" s="157"/>
      <c r="Y1950" s="1"/>
      <c r="Z1950" s="147"/>
      <c r="AA1950" s="157"/>
      <c r="AB1950" s="1"/>
      <c r="AC1950" s="147"/>
      <c r="AD1950" s="157"/>
      <c r="AE1950" s="1"/>
      <c r="AF1950" s="147"/>
      <c r="AG1950" s="157"/>
      <c r="AH1950" s="1"/>
      <c r="AI1950" s="147"/>
      <c r="AJ1950" s="157"/>
      <c r="AK1950" s="1"/>
      <c r="AL1950" s="147"/>
      <c r="AM1950" s="157"/>
      <c r="AN1950" s="1"/>
      <c r="AO1950" s="147"/>
      <c r="AP1950" s="157"/>
      <c r="AQ1950" s="1"/>
      <c r="AR1950" s="147"/>
      <c r="AS1950" s="157"/>
      <c r="AT1950" s="1"/>
      <c r="AU1950" s="147"/>
    </row>
    <row r="1951" spans="13:47" ht="14" x14ac:dyDescent="0.3">
      <c r="M1951" s="23"/>
      <c r="N1951" s="23"/>
      <c r="O1951" s="23" t="s">
        <v>238</v>
      </c>
      <c r="P1951" s="20"/>
      <c r="Q1951" s="20"/>
      <c r="R1951" s="181">
        <f>R1937*1.02</f>
        <v>172.59532103751565</v>
      </c>
      <c r="S1951" s="128" t="s">
        <v>185</v>
      </c>
      <c r="T1951" s="153" t="s">
        <v>186</v>
      </c>
      <c r="U1951" s="143">
        <f>U1937*1.01</f>
        <v>1815.790812678508</v>
      </c>
      <c r="V1951" s="128" t="s">
        <v>185</v>
      </c>
      <c r="W1951" s="153" t="s">
        <v>186</v>
      </c>
      <c r="X1951" s="143">
        <f>X1937*1.01</f>
        <v>4490.6667613936279</v>
      </c>
      <c r="Y1951" s="128" t="s">
        <v>185</v>
      </c>
      <c r="Z1951" s="153" t="s">
        <v>186</v>
      </c>
      <c r="AA1951" s="143">
        <f>AA1937*1.01</f>
        <v>8746.6726291010746</v>
      </c>
      <c r="AB1951" s="128" t="s">
        <v>185</v>
      </c>
      <c r="AC1951" s="153" t="s">
        <v>186</v>
      </c>
      <c r="AD1951" s="143">
        <f>AD1937*1.01</f>
        <v>14385.056141070523</v>
      </c>
      <c r="AE1951" s="128" t="s">
        <v>185</v>
      </c>
      <c r="AF1951" s="153" t="s">
        <v>186</v>
      </c>
      <c r="AG1951" s="143">
        <f>AG1937*1.01</f>
        <v>20176.148688222791</v>
      </c>
      <c r="AH1951" s="128" t="s">
        <v>185</v>
      </c>
      <c r="AI1951" s="153" t="s">
        <v>186</v>
      </c>
      <c r="AJ1951" s="143">
        <f>AJ1937*1.01</f>
        <v>25618.355063368224</v>
      </c>
      <c r="AK1951" s="128" t="s">
        <v>185</v>
      </c>
      <c r="AL1951" s="153" t="s">
        <v>186</v>
      </c>
      <c r="AM1951" s="143">
        <f>AM1937*1.01</f>
        <v>30039.536065378481</v>
      </c>
      <c r="AN1951" s="128" t="s">
        <v>185</v>
      </c>
      <c r="AO1951" s="153" t="s">
        <v>186</v>
      </c>
      <c r="AP1951" s="143">
        <f>AP1937*1.01</f>
        <v>33514.159536653955</v>
      </c>
      <c r="AQ1951" s="128" t="s">
        <v>185</v>
      </c>
      <c r="AR1951" s="153" t="s">
        <v>186</v>
      </c>
      <c r="AS1951" s="143">
        <f>AS1937*1.01</f>
        <v>37390.686960136372</v>
      </c>
      <c r="AT1951" s="128" t="s">
        <v>185</v>
      </c>
      <c r="AU1951" s="153" t="s">
        <v>186</v>
      </c>
    </row>
    <row r="1952" spans="13:47" ht="14" x14ac:dyDescent="0.3">
      <c r="M1952" s="12"/>
      <c r="N1952" s="12"/>
      <c r="O1952" s="20"/>
      <c r="P1952" s="20"/>
      <c r="Q1952" s="23"/>
      <c r="R1952" s="139"/>
      <c r="S1952" s="130" t="s">
        <v>228</v>
      </c>
      <c r="T1952" s="154" t="s">
        <v>187</v>
      </c>
      <c r="U1952" s="144"/>
      <c r="V1952" s="130" t="s">
        <v>228</v>
      </c>
      <c r="W1952" s="154" t="s">
        <v>187</v>
      </c>
      <c r="X1952" s="144"/>
      <c r="Y1952" s="130" t="s">
        <v>228</v>
      </c>
      <c r="Z1952" s="154" t="s">
        <v>187</v>
      </c>
      <c r="AA1952" s="144"/>
      <c r="AB1952" s="130" t="s">
        <v>228</v>
      </c>
      <c r="AC1952" s="154" t="s">
        <v>187</v>
      </c>
      <c r="AD1952" s="144"/>
      <c r="AE1952" s="130" t="s">
        <v>228</v>
      </c>
      <c r="AF1952" s="154" t="s">
        <v>187</v>
      </c>
      <c r="AG1952" s="144"/>
      <c r="AH1952" s="130" t="s">
        <v>228</v>
      </c>
      <c r="AI1952" s="154" t="s">
        <v>187</v>
      </c>
      <c r="AJ1952" s="144"/>
      <c r="AK1952" s="130" t="s">
        <v>228</v>
      </c>
      <c r="AL1952" s="154" t="s">
        <v>187</v>
      </c>
      <c r="AM1952" s="144"/>
      <c r="AN1952" s="130" t="s">
        <v>228</v>
      </c>
      <c r="AO1952" s="154" t="s">
        <v>187</v>
      </c>
      <c r="AP1952" s="144"/>
      <c r="AQ1952" s="130" t="s">
        <v>228</v>
      </c>
      <c r="AR1952" s="154" t="s">
        <v>187</v>
      </c>
      <c r="AS1952" s="144"/>
      <c r="AT1952" s="130" t="s">
        <v>228</v>
      </c>
      <c r="AU1952" s="154" t="s">
        <v>187</v>
      </c>
    </row>
    <row r="1953" spans="13:47" x14ac:dyDescent="0.25">
      <c r="M1953" s="20"/>
      <c r="N1953" s="20"/>
      <c r="O1953" s="7" t="s">
        <v>188</v>
      </c>
      <c r="P1953" s="7"/>
      <c r="Q1953" s="7"/>
      <c r="R1953" s="181">
        <f>P_1_minW-(R1951^2*R_up)+dpup_minQ</f>
        <v>100.51090796262029</v>
      </c>
      <c r="S1953" s="132"/>
      <c r="T1953" s="145"/>
      <c r="U1953" s="138">
        <f>P_1_minW-(U1951^2*R_up)+dpup_minQ</f>
        <v>99.208030570754133</v>
      </c>
      <c r="V1953" s="132"/>
      <c r="W1953" s="145"/>
      <c r="X1953" s="138">
        <f>P_1_minW-(X1951^2*R_up)+dpup_minQ</f>
        <v>92.481320465573774</v>
      </c>
      <c r="Y1953" s="132"/>
      <c r="Z1953" s="145"/>
      <c r="AA1953" s="138">
        <f>P_1_minW-(AA1951^2*R_up)+dpup_minQ</f>
        <v>70.015798712415616</v>
      </c>
      <c r="AB1953" s="132"/>
      <c r="AC1953" s="145"/>
      <c r="AD1953" s="138">
        <f>P_1_minW-(AD1951^2*R_up)+dpup_minQ</f>
        <v>18.007063634573072</v>
      </c>
      <c r="AE1953" s="132"/>
      <c r="AF1953" s="145"/>
      <c r="AG1953" s="138">
        <f>P_1_minW-(AG1951^2*R_up)+dpup_minQ</f>
        <v>-61.803975774849263</v>
      </c>
      <c r="AH1953" s="132"/>
      <c r="AI1953" s="145"/>
      <c r="AJ1953" s="138">
        <f>P_1_minW-(AJ1951^2*R_up)+dpup_minQ</f>
        <v>-161.1846528902046</v>
      </c>
      <c r="AK1953" s="132"/>
      <c r="AL1953" s="145"/>
      <c r="AM1953" s="138">
        <f>P_1_minW-(AM1951^2*R_up)+dpup_minQ</f>
        <v>-259.30941788056231</v>
      </c>
      <c r="AN1953" s="132"/>
      <c r="AO1953" s="145"/>
      <c r="AP1953" s="138">
        <f>P_1_minW-(AP1951^2*R_up)+dpup_minQ</f>
        <v>-347.36606519955137</v>
      </c>
      <c r="AQ1953" s="132"/>
      <c r="AR1953" s="145"/>
      <c r="AS1953" s="138">
        <f>P_1_minW-(AS1951^2*R_up)+dpup_minQ</f>
        <v>-456.97157067399064</v>
      </c>
      <c r="AT1953" s="132"/>
      <c r="AU1953" s="145"/>
    </row>
    <row r="1954" spans="13:47" x14ac:dyDescent="0.25">
      <c r="M1954" s="20"/>
      <c r="N1954" s="20"/>
      <c r="O1954" s="7" t="s">
        <v>189</v>
      </c>
      <c r="P1954" s="1"/>
      <c r="Q1954" s="7"/>
      <c r="R1954" s="181">
        <f>P_2_minW+(R1951^2*R_dn)-dpdn_minQ</f>
        <v>50</v>
      </c>
      <c r="S1954" s="132"/>
      <c r="T1954" s="146"/>
      <c r="U1954" s="138">
        <f>P_2_minW+(U1951^2*R_dn)-dpdn_minQ</f>
        <v>50</v>
      </c>
      <c r="V1954" s="132"/>
      <c r="W1954" s="146"/>
      <c r="X1954" s="138">
        <f>P_2_minW+(X1951^2*R_dn)-dpdn_minQ</f>
        <v>50</v>
      </c>
      <c r="Y1954" s="132"/>
      <c r="Z1954" s="146"/>
      <c r="AA1954" s="138">
        <f>P_2_minW+(AA1951^2*R_dn)-dpdn_minQ</f>
        <v>50</v>
      </c>
      <c r="AB1954" s="132"/>
      <c r="AC1954" s="146"/>
      <c r="AD1954" s="138">
        <f>P_2_minW+(AD1951^2*R_dn)-dpdn_minQ</f>
        <v>50</v>
      </c>
      <c r="AE1954" s="132"/>
      <c r="AF1954" s="146"/>
      <c r="AG1954" s="138">
        <f>P_2_minW+(AG1951^2*R_dn)-dpdn_minQ</f>
        <v>50</v>
      </c>
      <c r="AH1954" s="132"/>
      <c r="AI1954" s="146"/>
      <c r="AJ1954" s="138">
        <f>P_2_minW+(AJ1951^2*R_dn)-dpdn_minQ</f>
        <v>50</v>
      </c>
      <c r="AK1954" s="132"/>
      <c r="AL1954" s="146"/>
      <c r="AM1954" s="138">
        <f>P_2_minW+(AM1951^2*R_dn)-dpdn_minQ</f>
        <v>50</v>
      </c>
      <c r="AN1954" s="132"/>
      <c r="AO1954" s="146"/>
      <c r="AP1954" s="138">
        <f>P_2_minW+(AP1951^2*R_dn)-dpdn_minQ</f>
        <v>50</v>
      </c>
      <c r="AQ1954" s="132"/>
      <c r="AR1954" s="146"/>
      <c r="AS1954" s="138">
        <f>P_2_minW+(AS1951^2*R_dn)-dpdn_minQ</f>
        <v>50</v>
      </c>
      <c r="AT1954" s="132"/>
      <c r="AU1954" s="146"/>
    </row>
    <row r="1955" spans="13:47" x14ac:dyDescent="0.25">
      <c r="M1955" s="20"/>
      <c r="N1955" s="20"/>
      <c r="O1955" s="7" t="s">
        <v>234</v>
      </c>
      <c r="P1955" s="1"/>
      <c r="Q1955" s="7"/>
      <c r="R1955" s="179">
        <f>'Valve Sizing'!G$8*R1953/P_1_maxW</f>
        <v>0.48484672514748695</v>
      </c>
      <c r="S1955" s="132"/>
      <c r="T1955" s="146"/>
      <c r="U1955" s="143">
        <f>'Valve Sizing'!$G$8*U1953/P_1_maxW</f>
        <v>0.47856187657214688</v>
      </c>
      <c r="V1955" s="132"/>
      <c r="W1955" s="146"/>
      <c r="X1955" s="143">
        <f>'Valve Sizing'!$G$8*X1953/P_1_maxW</f>
        <v>0.44611342464167469</v>
      </c>
      <c r="Y1955" s="132"/>
      <c r="Z1955" s="146"/>
      <c r="AA1955" s="143">
        <f>'Valve Sizing'!$G$8*AA1953/P_1_maxW</f>
        <v>0.33774374744405955</v>
      </c>
      <c r="AB1955" s="132"/>
      <c r="AC1955" s="146"/>
      <c r="AD1955" s="143">
        <f>'Valve Sizing'!$G$8*AD1953/P_1_maxW</f>
        <v>8.6862869013103194E-2</v>
      </c>
      <c r="AE1955" s="132"/>
      <c r="AF1955" s="146"/>
      <c r="AG1955" s="143">
        <f>'Valve Sizing'!$G$8*AG1953/P_1_maxW</f>
        <v>-0.29813137561820002</v>
      </c>
      <c r="AH1955" s="132"/>
      <c r="AI1955" s="146"/>
      <c r="AJ1955" s="143">
        <f>'Valve Sizing'!$G$8*AJ1953/P_1_maxW</f>
        <v>-0.77752606838368044</v>
      </c>
      <c r="AK1955" s="132"/>
      <c r="AL1955" s="146"/>
      <c r="AM1955" s="143">
        <f>'Valve Sizing'!$G$8*AM1953/P_1_maxW</f>
        <v>-1.2508624646595443</v>
      </c>
      <c r="AN1955" s="132"/>
      <c r="AO1955" s="146"/>
      <c r="AP1955" s="143">
        <f>'Valve Sizing'!$G$8*AP1953/P_1_maxW</f>
        <v>-1.6756320538065932</v>
      </c>
      <c r="AQ1955" s="132"/>
      <c r="AR1955" s="146"/>
      <c r="AS1955" s="143">
        <f>'Valve Sizing'!$G$8*AS1953/P_1_maxW</f>
        <v>-2.2043494981578089</v>
      </c>
      <c r="AT1955" s="132"/>
      <c r="AU1955" s="146"/>
    </row>
    <row r="1956" spans="13:47" x14ac:dyDescent="0.25">
      <c r="M1956" s="20"/>
      <c r="N1956" s="20"/>
      <c r="O1956" s="7" t="s">
        <v>190</v>
      </c>
      <c r="P1956" s="1"/>
      <c r="Q1956" s="7"/>
      <c r="R1956" s="181">
        <f>R1953-R1954</f>
        <v>50.510907962620294</v>
      </c>
      <c r="S1956" s="132"/>
      <c r="T1956" s="146"/>
      <c r="U1956" s="138">
        <f>U1953-U1954</f>
        <v>49.208030570754133</v>
      </c>
      <c r="V1956" s="132"/>
      <c r="W1956" s="146"/>
      <c r="X1956" s="138">
        <f>X1953-X1954</f>
        <v>42.481320465573774</v>
      </c>
      <c r="Y1956" s="132"/>
      <c r="Z1956" s="146"/>
      <c r="AA1956" s="138">
        <f>AA1953-AA1954</f>
        <v>20.015798712415616</v>
      </c>
      <c r="AB1956" s="132"/>
      <c r="AC1956" s="146"/>
      <c r="AD1956" s="138">
        <f>AD1953-AD1954</f>
        <v>-31.992936365426928</v>
      </c>
      <c r="AE1956" s="132"/>
      <c r="AF1956" s="146"/>
      <c r="AG1956" s="138">
        <f>AG1953-AG1954</f>
        <v>-111.80397577484926</v>
      </c>
      <c r="AH1956" s="132"/>
      <c r="AI1956" s="146"/>
      <c r="AJ1956" s="138">
        <f>AJ1953-AJ1954</f>
        <v>-211.1846528902046</v>
      </c>
      <c r="AK1956" s="132"/>
      <c r="AL1956" s="146"/>
      <c r="AM1956" s="138">
        <f>AM1953-AM1954</f>
        <v>-309.30941788056231</v>
      </c>
      <c r="AN1956" s="132"/>
      <c r="AO1956" s="146"/>
      <c r="AP1956" s="138">
        <f>AP1953-AP1954</f>
        <v>-397.36606519955137</v>
      </c>
      <c r="AQ1956" s="132"/>
      <c r="AR1956" s="146"/>
      <c r="AS1956" s="138">
        <f>AS1953-AS1954</f>
        <v>-506.97157067399064</v>
      </c>
      <c r="AT1956" s="132"/>
      <c r="AU1956" s="146"/>
    </row>
    <row r="1957" spans="13:47" ht="14.5" x14ac:dyDescent="0.35">
      <c r="M1957" s="27"/>
      <c r="N1957" s="27"/>
      <c r="O1957" s="2" t="s">
        <v>191</v>
      </c>
      <c r="P1957" s="10"/>
      <c r="Q1957" s="2"/>
      <c r="R1957" s="181">
        <f>R1956/R1953</f>
        <v>0.50254155480721707</v>
      </c>
      <c r="S1957" s="132"/>
      <c r="T1957" s="146"/>
      <c r="U1957" s="138">
        <f>U1956/U1953</f>
        <v>0.49600854172444719</v>
      </c>
      <c r="V1957" s="132"/>
      <c r="W1957" s="146"/>
      <c r="X1957" s="138">
        <f>X1956/X1953</f>
        <v>0.45935028016157564</v>
      </c>
      <c r="Y1957" s="132"/>
      <c r="Z1957" s="146"/>
      <c r="AA1957" s="138">
        <f>AA1956/AA1953</f>
        <v>0.28587546068893588</v>
      </c>
      <c r="AB1957" s="132"/>
      <c r="AC1957" s="146"/>
      <c r="AD1957" s="138">
        <f>AD1956/AD1953</f>
        <v>-1.7766881383148645</v>
      </c>
      <c r="AE1957" s="132"/>
      <c r="AF1957" s="146"/>
      <c r="AG1957" s="138">
        <f>AG1956/AG1953</f>
        <v>1.8090094427282328</v>
      </c>
      <c r="AH1957" s="132"/>
      <c r="AI1957" s="146"/>
      <c r="AJ1957" s="138">
        <f>AJ1956/AJ1953</f>
        <v>1.3102032302917752</v>
      </c>
      <c r="AK1957" s="132"/>
      <c r="AL1957" s="146"/>
      <c r="AM1957" s="138">
        <f>AM1956/AM1953</f>
        <v>1.1928198382020585</v>
      </c>
      <c r="AN1957" s="132"/>
      <c r="AO1957" s="146"/>
      <c r="AP1957" s="138">
        <f>AP1956/AP1953</f>
        <v>1.1439403701431701</v>
      </c>
      <c r="AQ1957" s="132"/>
      <c r="AR1957" s="146"/>
      <c r="AS1957" s="138">
        <f>AS1956/AS1953</f>
        <v>1.1094159969869781</v>
      </c>
      <c r="AT1957" s="132"/>
      <c r="AU1957" s="146"/>
    </row>
    <row r="1958" spans="13:47" x14ac:dyDescent="0.25">
      <c r="M1958" s="27"/>
      <c r="N1958" s="27"/>
      <c r="O1958" s="2" t="s">
        <v>26</v>
      </c>
      <c r="P1958" s="7">
        <v>12</v>
      </c>
      <c r="Q1958" s="2"/>
      <c r="R1958" s="181">
        <f>1-R1957/(3*F_GAMMA*R$29)</f>
        <v>0.73827059956806829</v>
      </c>
      <c r="S1958" s="133"/>
      <c r="T1958" s="146"/>
      <c r="U1958" s="138">
        <f>1-U1957/(3*F_GAMMA*U$29)</f>
        <v>0.7417299448018263</v>
      </c>
      <c r="V1958" s="133"/>
      <c r="W1958" s="146"/>
      <c r="X1958" s="138">
        <f>1-X1957/(3*F_GAMMA*X$29)</f>
        <v>0.75722967000397245</v>
      </c>
      <c r="Y1958" s="133"/>
      <c r="Z1958" s="146"/>
      <c r="AA1958" s="138">
        <f>1-AA1957/(3*F_GAMMA*AA$29)</f>
        <v>0.84684089230851234</v>
      </c>
      <c r="AB1958" s="133"/>
      <c r="AC1958" s="146"/>
      <c r="AD1958" s="138">
        <f>1-AD1957/(3*F_GAMMA*AD$29)</f>
        <v>1.9779671557388763</v>
      </c>
      <c r="AE1958" s="133"/>
      <c r="AF1958" s="146"/>
      <c r="AG1958" s="138">
        <f>1-AG1957/(3*F_GAMMA*AG$29)</f>
        <v>-5.2557841984369524E-2</v>
      </c>
      <c r="AH1958" s="133"/>
      <c r="AI1958" s="146"/>
      <c r="AJ1958" s="138">
        <f>1-AJ1957/(3*F_GAMMA*AJ$29)</f>
        <v>0.18505740852455022</v>
      </c>
      <c r="AK1958" s="133"/>
      <c r="AL1958" s="146"/>
      <c r="AM1958" s="138">
        <f>1-AM1957/(3*F_GAMMA*AM$29)</f>
        <v>0.18936552244809368</v>
      </c>
      <c r="AN1958" s="133"/>
      <c r="AO1958" s="146"/>
      <c r="AP1958" s="138">
        <f>1-AP1957/(3*F_GAMMA*AP$29)</f>
        <v>0.35754959054405944</v>
      </c>
      <c r="AQ1958" s="133"/>
      <c r="AR1958" s="146"/>
      <c r="AS1958" s="138">
        <f>1-AS1957/(3*F_GAMMA*AS$29)</f>
        <v>5.413908879735807E-2</v>
      </c>
      <c r="AT1958" s="133"/>
      <c r="AU1958" s="146"/>
    </row>
    <row r="1959" spans="13:47" x14ac:dyDescent="0.25">
      <c r="M1959" s="27"/>
      <c r="N1959" s="27"/>
      <c r="O1959" s="2" t="s">
        <v>71</v>
      </c>
      <c r="P1959" s="85">
        <v>5</v>
      </c>
      <c r="Q1959" s="2"/>
      <c r="R1959" s="179">
        <f>R1951/((N_6*R$27*R1958)*SQRT(R1957*R1953*R1955))</f>
        <v>0.7463909639527011</v>
      </c>
      <c r="S1959" s="133"/>
      <c r="T1959" s="146"/>
      <c r="U1959" s="143">
        <f>U1951/((N_6*U$27*U1958)*SQRT(U1957*U1953*U1955))</f>
        <v>7.9753669337566953</v>
      </c>
      <c r="V1959" s="133"/>
      <c r="W1959" s="146"/>
      <c r="X1959" s="143">
        <f>X1951/((N_6*X$27*X1958)*SQRT(X1957*X1953*X1955))</f>
        <v>21.584435380428232</v>
      </c>
      <c r="Y1959" s="133"/>
      <c r="Z1959" s="146"/>
      <c r="AA1959" s="143">
        <f>AA1951/((N_6*AA$27*AA1958)*SQRT(AA1957*AA1953*AA1955))</f>
        <v>63.303926425171788</v>
      </c>
      <c r="AB1959" s="133"/>
      <c r="AC1959" s="146"/>
      <c r="AD1959" s="143" t="e">
        <f>AD1951/((N_6*AD$27*AD1958)*SQRT(AD1957*AD1953*AD1955))</f>
        <v>#NUM!</v>
      </c>
      <c r="AE1959" s="133"/>
      <c r="AF1959" s="146"/>
      <c r="AG1959" s="143">
        <f>AG1951/((N_6*AG$27*AG1958)*SQRT(AG1957*AG1953*AG1955))</f>
        <v>-1095.3512285290444</v>
      </c>
      <c r="AH1959" s="133"/>
      <c r="AI1959" s="146"/>
      <c r="AJ1959" s="143">
        <f>AJ1951/((N_6*AJ$27*AJ1958)*SQRT(AJ1957*AJ1953*AJ1955))</f>
        <v>184.0775410103829</v>
      </c>
      <c r="AK1959" s="133"/>
      <c r="AL1959" s="146"/>
      <c r="AM1959" s="143">
        <f>AM1951/((N_6*AM$27*AM1958)*SQRT(AM1957*AM1953*AM1955))</f>
        <v>145.85452209339758</v>
      </c>
      <c r="AN1959" s="133"/>
      <c r="AO1959" s="146"/>
      <c r="AP1959" s="143">
        <f>AP1951/((N_6*AP$27*AP1958)*SQRT(AP1957*AP1953*AP1955))</f>
        <v>74.626039342694014</v>
      </c>
      <c r="AQ1959" s="133"/>
      <c r="AR1959" s="146"/>
      <c r="AS1959" s="143">
        <f>AS1951/((N_6*AS$27*AS1958)*SQRT(AS1957*AS1953*AS1955))</f>
        <v>557.68755645940018</v>
      </c>
      <c r="AT1959" s="133"/>
      <c r="AU1959" s="146"/>
    </row>
    <row r="1960" spans="13:47" x14ac:dyDescent="0.25">
      <c r="M1960" s="27"/>
      <c r="N1960" s="27"/>
      <c r="O1960" s="2" t="s">
        <v>73</v>
      </c>
      <c r="P1960" s="85">
        <v>5</v>
      </c>
      <c r="Q1960" s="2"/>
      <c r="R1960" s="179">
        <f>R1951/((N_6*R$27*0.667)*SQRT(R1961*R1953*R1955))</f>
        <v>0.73205379325715914</v>
      </c>
      <c r="S1960" s="133"/>
      <c r="T1960" s="155"/>
      <c r="U1960" s="143">
        <f>U1951/((N_6*U$27*0.667)*SQRT(U1961*U1953*U1955))</f>
        <v>7.8067146793586488</v>
      </c>
      <c r="V1960" s="133"/>
      <c r="W1960" s="155"/>
      <c r="X1960" s="143">
        <f>X1951/((N_6*X$27*0.667)*SQRT(X1961*X1953*X1955))</f>
        <v>20.912257247183568</v>
      </c>
      <c r="Y1960" s="133"/>
      <c r="Z1960" s="155"/>
      <c r="AA1960" s="143">
        <f>AA1951/((N_6*AA$27*0.667)*SQRT(AA1961*AA1953*AA1955))</f>
        <v>54.480197868439866</v>
      </c>
      <c r="AB1960" s="133"/>
      <c r="AC1960" s="155"/>
      <c r="AD1960" s="143">
        <f>AD1951/((N_6*AD$27*0.667)*SQRT(AD1961*AD1953*AD1955))</f>
        <v>357.33762947382797</v>
      </c>
      <c r="AE1960" s="133"/>
      <c r="AF1960" s="155"/>
      <c r="AG1960" s="143">
        <f>AG1951/((N_6*AG$27*0.667)*SQRT(AG1961*AG1953*AG1955))</f>
        <v>153.37292622466504</v>
      </c>
      <c r="AH1960" s="133"/>
      <c r="AI1960" s="155"/>
      <c r="AJ1960" s="143">
        <f>AJ1951/((N_6*AJ$27*0.667)*SQRT(AJ1961*AJ1953*AJ1955))</f>
        <v>79.855637637231538</v>
      </c>
      <c r="AK1960" s="133"/>
      <c r="AL1960" s="155"/>
      <c r="AM1960" s="143">
        <f>AM1951/((N_6*AM$27*0.667)*SQRT(AM1961*AM1953*AM1955))</f>
        <v>64.575553587012365</v>
      </c>
      <c r="AN1960" s="133"/>
      <c r="AO1960" s="155"/>
      <c r="AP1960" s="143">
        <f>AP1951/((N_6*AP$27*0.667)*SQRT(AP1961*AP1953*AP1955))</f>
        <v>55.53685422349082</v>
      </c>
      <c r="AQ1960" s="133"/>
      <c r="AR1960" s="155"/>
      <c r="AS1960" s="143">
        <f>AS1951/((N_6*AS$27*0.667)*SQRT(AS1961*AS1953*AS1955))</f>
        <v>76.251840152192969</v>
      </c>
      <c r="AT1960" s="133"/>
      <c r="AU1960" s="155"/>
    </row>
    <row r="1961" spans="13:47" ht="15.5" x14ac:dyDescent="0.4">
      <c r="M1961" s="27"/>
      <c r="N1961" s="27"/>
      <c r="O1961" s="2" t="s">
        <v>192</v>
      </c>
      <c r="P1961" s="85">
        <v>10</v>
      </c>
      <c r="Q1961" s="2"/>
      <c r="R1961" s="181">
        <f>F_GAMMA*R$29</f>
        <v>0.64002688015162901</v>
      </c>
      <c r="S1961" s="133"/>
      <c r="T1961" s="155"/>
      <c r="U1961" s="138">
        <f>F_GAMMA*U$29</f>
        <v>0.64016782916606918</v>
      </c>
      <c r="V1961" s="133"/>
      <c r="W1961" s="155"/>
      <c r="X1961" s="138">
        <f>F_GAMMA*X$29</f>
        <v>0.6307062319203669</v>
      </c>
      <c r="Y1961" s="133"/>
      <c r="Z1961" s="155"/>
      <c r="AA1961" s="138">
        <f>F_GAMMA*AA$29</f>
        <v>0.62217534213893466</v>
      </c>
      <c r="AB1961" s="133"/>
      <c r="AC1961" s="155"/>
      <c r="AD1961" s="138">
        <f>F_GAMMA*AD$29</f>
        <v>0.60557184969146072</v>
      </c>
      <c r="AE1961" s="133"/>
      <c r="AF1961" s="155"/>
      <c r="AG1961" s="138">
        <f>F_GAMMA*AG$29</f>
        <v>0.57289312142622573</v>
      </c>
      <c r="AH1961" s="133"/>
      <c r="AI1961" s="155"/>
      <c r="AJ1961" s="138">
        <f>F_GAMMA*AJ$29</f>
        <v>0.53590819116049981</v>
      </c>
      <c r="AK1961" s="133"/>
      <c r="AL1961" s="155"/>
      <c r="AM1961" s="138">
        <f>F_GAMMA*AM$29</f>
        <v>0.49048815926850342</v>
      </c>
      <c r="AN1961" s="133"/>
      <c r="AO1961" s="155"/>
      <c r="AP1961" s="138">
        <f>F_GAMMA*AP$29</f>
        <v>0.59352979016280105</v>
      </c>
      <c r="AQ1961" s="133"/>
      <c r="AR1961" s="155"/>
      <c r="AS1961" s="138">
        <f>F_GAMMA*AS$29</f>
        <v>0.39097221161068291</v>
      </c>
      <c r="AT1961" s="133"/>
      <c r="AU1961" s="155"/>
    </row>
    <row r="1962" spans="13:47" x14ac:dyDescent="0.25">
      <c r="M1962" s="27"/>
      <c r="N1962" s="27"/>
      <c r="O1962" s="2" t="s">
        <v>193</v>
      </c>
      <c r="P1962" s="134"/>
      <c r="Q1962" s="2"/>
      <c r="R1962" s="181">
        <f>IF(R1957&lt;R1961,R1959,R1960)</f>
        <v>0.7463909639527011</v>
      </c>
      <c r="S1962" s="133"/>
      <c r="T1962" s="155"/>
      <c r="U1962" s="138">
        <f>IF(U1957&lt;U1961,U1959,U1960)</f>
        <v>7.9753669337566953</v>
      </c>
      <c r="V1962" s="133"/>
      <c r="W1962" s="155"/>
      <c r="X1962" s="138">
        <f>IF(X1957&lt;X1961,X1959,X1960)</f>
        <v>21.584435380428232</v>
      </c>
      <c r="Y1962" s="133"/>
      <c r="Z1962" s="155"/>
      <c r="AA1962" s="138">
        <f>IF(AA1957&lt;AA1961,AA1959,AA1960)</f>
        <v>63.303926425171788</v>
      </c>
      <c r="AB1962" s="133"/>
      <c r="AC1962" s="155"/>
      <c r="AD1962" s="138" t="e">
        <f>IF(AD1957&lt;AD1961,AD1959,AD1960)</f>
        <v>#NUM!</v>
      </c>
      <c r="AE1962" s="133"/>
      <c r="AF1962" s="155"/>
      <c r="AG1962" s="138">
        <f>IF(AG1957&lt;AG1961,AG1959,AG1960)</f>
        <v>153.37292622466504</v>
      </c>
      <c r="AH1962" s="133"/>
      <c r="AI1962" s="155"/>
      <c r="AJ1962" s="138">
        <f>IF(AJ1957&lt;AJ1961,AJ1959,AJ1960)</f>
        <v>79.855637637231538</v>
      </c>
      <c r="AK1962" s="133"/>
      <c r="AL1962" s="155"/>
      <c r="AM1962" s="138">
        <f>IF(AM1957&lt;AM1961,AM1959,AM1960)</f>
        <v>64.575553587012365</v>
      </c>
      <c r="AN1962" s="133"/>
      <c r="AO1962" s="155"/>
      <c r="AP1962" s="138">
        <f>IF(AP1957&lt;AP1961,AP1959,AP1960)</f>
        <v>55.53685422349082</v>
      </c>
      <c r="AQ1962" s="133"/>
      <c r="AR1962" s="155"/>
      <c r="AS1962" s="138">
        <f>IF(AS1957&lt;AS1961,AS1959,AS1960)</f>
        <v>76.251840152192969</v>
      </c>
      <c r="AT1962" s="133"/>
      <c r="AU1962" s="155"/>
    </row>
    <row r="1963" spans="13:47" ht="13" x14ac:dyDescent="0.3">
      <c r="M1963" s="28"/>
      <c r="N1963" s="28"/>
      <c r="O1963" s="9" t="s">
        <v>194</v>
      </c>
      <c r="P1963" s="1"/>
      <c r="Q1963" s="1"/>
      <c r="R1963" s="135"/>
      <c r="S1963" s="132">
        <f>IF(R1956&lt;=0,W_max,ABS(R$23-R1962))</f>
        <v>1.2536090360472989</v>
      </c>
      <c r="T1963" s="151">
        <f>R1951</f>
        <v>172.59532103751565</v>
      </c>
      <c r="U1963" s="135"/>
      <c r="V1963" s="132">
        <f>IF(U1956&lt;=0,W_max,ABS(U$23-U1962))</f>
        <v>2.9753669337566953</v>
      </c>
      <c r="W1963" s="151">
        <f>U1951</f>
        <v>1815.790812678508</v>
      </c>
      <c r="X1963" s="135"/>
      <c r="Y1963" s="132">
        <f>IF(X1956&lt;=0,W_max,ABS(X$23-X1962))</f>
        <v>11.584435380428232</v>
      </c>
      <c r="Z1963" s="151">
        <f>X1951</f>
        <v>4490.6667613936279</v>
      </c>
      <c r="AA1963" s="135"/>
      <c r="AB1963" s="132">
        <f>IF(AA1956&lt;=0,W_max,ABS(AA$23-AA1962))</f>
        <v>46.103926425171792</v>
      </c>
      <c r="AC1963" s="151">
        <f>AA1951</f>
        <v>8746.6726291010746</v>
      </c>
      <c r="AD1963" s="135"/>
      <c r="AE1963" s="132">
        <f>IF(AD1956&lt;=0,W_max,ABS(AD$23-AD1962))</f>
        <v>7174</v>
      </c>
      <c r="AF1963" s="151">
        <f>AD1951</f>
        <v>14385.056141070523</v>
      </c>
      <c r="AG1963" s="135"/>
      <c r="AH1963" s="132">
        <f>IF(AG1956&lt;=0,W_max,ABS(AG$23-AG1962))</f>
        <v>7174</v>
      </c>
      <c r="AI1963" s="151">
        <f>AG1951</f>
        <v>20176.148688222791</v>
      </c>
      <c r="AJ1963" s="135"/>
      <c r="AK1963" s="132">
        <f>IF(AJ1956&lt;=0,W_max,ABS(AJ$23-AJ1962))</f>
        <v>7174</v>
      </c>
      <c r="AL1963" s="151">
        <f>AJ1951</f>
        <v>25618.355063368224</v>
      </c>
      <c r="AM1963" s="135"/>
      <c r="AN1963" s="132">
        <f>IF(AM1956&lt;=0,W_max,ABS(AM$23-AM1962))</f>
        <v>7174</v>
      </c>
      <c r="AO1963" s="151">
        <f>AM1951</f>
        <v>30039.536065378481</v>
      </c>
      <c r="AP1963" s="135"/>
      <c r="AQ1963" s="132">
        <f>IF(AP1956&lt;=0,W_max,ABS(AP$23-AP1962))</f>
        <v>7174</v>
      </c>
      <c r="AR1963" s="151">
        <f>AP1951</f>
        <v>33514.159536653955</v>
      </c>
      <c r="AS1963" s="135"/>
      <c r="AT1963" s="132">
        <f>IF(AS1956&lt;=0,W_max,ABS(AS$23-AS1962))</f>
        <v>7174</v>
      </c>
      <c r="AU1963" s="151">
        <f>AS1951</f>
        <v>37390.686960136372</v>
      </c>
    </row>
    <row r="1964" spans="13:47" ht="13" x14ac:dyDescent="0.25">
      <c r="M1964" s="12"/>
      <c r="N1964" s="12"/>
      <c r="O1964" s="2"/>
      <c r="P1964" s="85"/>
      <c r="Q1964" s="2"/>
      <c r="R1964" s="18"/>
      <c r="S1964" s="150"/>
      <c r="T1964" s="148"/>
      <c r="U1964" s="157"/>
      <c r="V1964" s="1"/>
      <c r="W1964" s="147"/>
      <c r="X1964" s="157"/>
      <c r="Y1964" s="1"/>
      <c r="Z1964" s="147"/>
      <c r="AA1964" s="157"/>
      <c r="AB1964" s="1"/>
      <c r="AC1964" s="147"/>
      <c r="AD1964" s="157"/>
      <c r="AE1964" s="1"/>
      <c r="AF1964" s="147"/>
      <c r="AG1964" s="157"/>
      <c r="AH1964" s="1"/>
      <c r="AI1964" s="147"/>
      <c r="AJ1964" s="157"/>
      <c r="AK1964" s="1"/>
      <c r="AL1964" s="147"/>
      <c r="AM1964" s="157"/>
      <c r="AN1964" s="1"/>
      <c r="AO1964" s="147"/>
      <c r="AP1964" s="157"/>
      <c r="AQ1964" s="1"/>
      <c r="AR1964" s="147"/>
      <c r="AS1964" s="157"/>
      <c r="AT1964" s="1"/>
      <c r="AU1964" s="147"/>
    </row>
    <row r="1965" spans="13:47" ht="14" x14ac:dyDescent="0.3">
      <c r="M1965" s="23"/>
      <c r="N1965" s="23"/>
      <c r="O1965" s="23" t="s">
        <v>238</v>
      </c>
      <c r="P1965" s="20"/>
      <c r="Q1965" s="20"/>
      <c r="R1965" s="181">
        <f>R1951*1.02</f>
        <v>176.04722745826595</v>
      </c>
      <c r="S1965" s="128" t="s">
        <v>185</v>
      </c>
      <c r="T1965" s="149" t="s">
        <v>186</v>
      </c>
      <c r="U1965" s="143">
        <f>U1951*1.01</f>
        <v>1833.9487208052931</v>
      </c>
      <c r="V1965" s="128" t="s">
        <v>185</v>
      </c>
      <c r="W1965" s="153" t="s">
        <v>186</v>
      </c>
      <c r="X1965" s="143">
        <f>X1951*1.01</f>
        <v>4535.5734290075643</v>
      </c>
      <c r="Y1965" s="128" t="s">
        <v>185</v>
      </c>
      <c r="Z1965" s="153" t="s">
        <v>186</v>
      </c>
      <c r="AA1965" s="143">
        <f>AA1951*1.01</f>
        <v>8834.1393553920861</v>
      </c>
      <c r="AB1965" s="128" t="s">
        <v>185</v>
      </c>
      <c r="AC1965" s="153" t="s">
        <v>186</v>
      </c>
      <c r="AD1965" s="143">
        <f>AD1951*1.01</f>
        <v>14528.906702481228</v>
      </c>
      <c r="AE1965" s="128" t="s">
        <v>185</v>
      </c>
      <c r="AF1965" s="153" t="s">
        <v>186</v>
      </c>
      <c r="AG1965" s="143">
        <f>AG1951*1.01</f>
        <v>20377.910175105018</v>
      </c>
      <c r="AH1965" s="128" t="s">
        <v>185</v>
      </c>
      <c r="AI1965" s="153" t="s">
        <v>186</v>
      </c>
      <c r="AJ1965" s="143">
        <f>AJ1951*1.01</f>
        <v>25874.538614001907</v>
      </c>
      <c r="AK1965" s="128" t="s">
        <v>185</v>
      </c>
      <c r="AL1965" s="153" t="s">
        <v>186</v>
      </c>
      <c r="AM1965" s="143">
        <f>AM1951*1.01</f>
        <v>30339.931426032264</v>
      </c>
      <c r="AN1965" s="128" t="s">
        <v>185</v>
      </c>
      <c r="AO1965" s="153" t="s">
        <v>186</v>
      </c>
      <c r="AP1965" s="143">
        <f>AP1951*1.01</f>
        <v>33849.301132020497</v>
      </c>
      <c r="AQ1965" s="128" t="s">
        <v>185</v>
      </c>
      <c r="AR1965" s="153" t="s">
        <v>186</v>
      </c>
      <c r="AS1965" s="143">
        <f>AS1951*1.01</f>
        <v>37764.593829737736</v>
      </c>
      <c r="AT1965" s="128" t="s">
        <v>185</v>
      </c>
      <c r="AU1965" s="153" t="s">
        <v>186</v>
      </c>
    </row>
    <row r="1966" spans="13:47" ht="14" x14ac:dyDescent="0.3">
      <c r="M1966" s="12"/>
      <c r="N1966" s="12"/>
      <c r="O1966" s="20"/>
      <c r="P1966" s="20"/>
      <c r="Q1966" s="23"/>
      <c r="R1966" s="139"/>
      <c r="S1966" s="130" t="s">
        <v>228</v>
      </c>
      <c r="T1966" s="131" t="s">
        <v>187</v>
      </c>
      <c r="U1966" s="144"/>
      <c r="V1966" s="130" t="s">
        <v>228</v>
      </c>
      <c r="W1966" s="154" t="s">
        <v>187</v>
      </c>
      <c r="X1966" s="144"/>
      <c r="Y1966" s="130" t="s">
        <v>228</v>
      </c>
      <c r="Z1966" s="154" t="s">
        <v>187</v>
      </c>
      <c r="AA1966" s="144"/>
      <c r="AB1966" s="130" t="s">
        <v>228</v>
      </c>
      <c r="AC1966" s="154" t="s">
        <v>187</v>
      </c>
      <c r="AD1966" s="144"/>
      <c r="AE1966" s="130" t="s">
        <v>228</v>
      </c>
      <c r="AF1966" s="154" t="s">
        <v>187</v>
      </c>
      <c r="AG1966" s="144"/>
      <c r="AH1966" s="130" t="s">
        <v>228</v>
      </c>
      <c r="AI1966" s="154" t="s">
        <v>187</v>
      </c>
      <c r="AJ1966" s="144"/>
      <c r="AK1966" s="130" t="s">
        <v>228</v>
      </c>
      <c r="AL1966" s="154" t="s">
        <v>187</v>
      </c>
      <c r="AM1966" s="144"/>
      <c r="AN1966" s="130" t="s">
        <v>228</v>
      </c>
      <c r="AO1966" s="154" t="s">
        <v>187</v>
      </c>
      <c r="AP1966" s="144"/>
      <c r="AQ1966" s="130" t="s">
        <v>228</v>
      </c>
      <c r="AR1966" s="154" t="s">
        <v>187</v>
      </c>
      <c r="AS1966" s="144"/>
      <c r="AT1966" s="130" t="s">
        <v>228</v>
      </c>
      <c r="AU1966" s="154" t="s">
        <v>187</v>
      </c>
    </row>
    <row r="1967" spans="13:47" x14ac:dyDescent="0.25">
      <c r="M1967" s="20"/>
      <c r="N1967" s="20"/>
      <c r="O1967" s="7" t="s">
        <v>188</v>
      </c>
      <c r="P1967" s="7"/>
      <c r="Q1967" s="7"/>
      <c r="R1967" s="181">
        <f>P_1_minW-(R1965^2*R_up)+dpup_minQ</f>
        <v>100.51042806014638</v>
      </c>
      <c r="S1967" s="132"/>
      <c r="T1967" s="145"/>
      <c r="U1967" s="138">
        <f>P_1_minW-(U1965^2*R_up)+dpup_minQ</f>
        <v>99.181603971818078</v>
      </c>
      <c r="V1967" s="132"/>
      <c r="W1967" s="145"/>
      <c r="X1967" s="138">
        <f>P_1_minW-(X1965^2*R_up)+dpup_minQ</f>
        <v>92.31968699352359</v>
      </c>
      <c r="Y1967" s="132"/>
      <c r="Z1967" s="145"/>
      <c r="AA1967" s="138">
        <f>P_1_minW-(AA1965^2*R_up)+dpup_minQ</f>
        <v>69.402608253126957</v>
      </c>
      <c r="AB1967" s="132"/>
      <c r="AC1967" s="145"/>
      <c r="AD1967" s="138">
        <f>P_1_minW-(AD1965^2*R_up)+dpup_minQ</f>
        <v>16.348497600219787</v>
      </c>
      <c r="AE1967" s="132"/>
      <c r="AF1967" s="145"/>
      <c r="AG1967" s="138">
        <f>P_1_minW-(AG1965^2*R_up)+dpup_minQ</f>
        <v>-65.066743701331959</v>
      </c>
      <c r="AH1967" s="132"/>
      <c r="AI1967" s="145"/>
      <c r="AJ1967" s="138">
        <f>P_1_minW-(AJ1965^2*R_up)+dpup_minQ</f>
        <v>-166.44497242670596</v>
      </c>
      <c r="AK1967" s="132"/>
      <c r="AL1967" s="145"/>
      <c r="AM1967" s="138">
        <f>P_1_minW-(AM1965^2*R_up)+dpup_minQ</f>
        <v>-266.54204519336974</v>
      </c>
      <c r="AN1967" s="132"/>
      <c r="AO1967" s="145"/>
      <c r="AP1967" s="138">
        <f>P_1_minW-(AP1965^2*R_up)+dpup_minQ</f>
        <v>-356.36863112347061</v>
      </c>
      <c r="AQ1967" s="132"/>
      <c r="AR1967" s="145"/>
      <c r="AS1967" s="138">
        <f>P_1_minW-(AS1965^2*R_up)+dpup_minQ</f>
        <v>-468.17720725794618</v>
      </c>
      <c r="AT1967" s="132"/>
      <c r="AU1967" s="145"/>
    </row>
    <row r="1968" spans="13:47" x14ac:dyDescent="0.25">
      <c r="M1968" s="20"/>
      <c r="N1968" s="20"/>
      <c r="O1968" s="7" t="s">
        <v>189</v>
      </c>
      <c r="P1968" s="1"/>
      <c r="Q1968" s="7"/>
      <c r="R1968" s="181">
        <f>P_2_minW+(R1965^2*R_dn)-dpdn_minQ</f>
        <v>50</v>
      </c>
      <c r="S1968" s="132"/>
      <c r="T1968" s="146"/>
      <c r="U1968" s="138">
        <f>P_2_minW+(U1965^2*R_dn)-dpdn_minQ</f>
        <v>50</v>
      </c>
      <c r="V1968" s="132"/>
      <c r="W1968" s="146"/>
      <c r="X1968" s="138">
        <f>P_2_minW+(X1965^2*R_dn)-dpdn_minQ</f>
        <v>50</v>
      </c>
      <c r="Y1968" s="132"/>
      <c r="Z1968" s="146"/>
      <c r="AA1968" s="138">
        <f>P_2_minW+(AA1965^2*R_dn)-dpdn_minQ</f>
        <v>50</v>
      </c>
      <c r="AB1968" s="132"/>
      <c r="AC1968" s="146"/>
      <c r="AD1968" s="138">
        <f>P_2_minW+(AD1965^2*R_dn)-dpdn_minQ</f>
        <v>50</v>
      </c>
      <c r="AE1968" s="132"/>
      <c r="AF1968" s="146"/>
      <c r="AG1968" s="138">
        <f>P_2_minW+(AG1965^2*R_dn)-dpdn_minQ</f>
        <v>50</v>
      </c>
      <c r="AH1968" s="132"/>
      <c r="AI1968" s="146"/>
      <c r="AJ1968" s="138">
        <f>P_2_minW+(AJ1965^2*R_dn)-dpdn_minQ</f>
        <v>50</v>
      </c>
      <c r="AK1968" s="132"/>
      <c r="AL1968" s="146"/>
      <c r="AM1968" s="138">
        <f>P_2_minW+(AM1965^2*R_dn)-dpdn_minQ</f>
        <v>50</v>
      </c>
      <c r="AN1968" s="132"/>
      <c r="AO1968" s="146"/>
      <c r="AP1968" s="138">
        <f>P_2_minW+(AP1965^2*R_dn)-dpdn_minQ</f>
        <v>50</v>
      </c>
      <c r="AQ1968" s="132"/>
      <c r="AR1968" s="146"/>
      <c r="AS1968" s="138">
        <f>P_2_minW+(AS1965^2*R_dn)-dpdn_minQ</f>
        <v>50</v>
      </c>
      <c r="AT1968" s="132"/>
      <c r="AU1968" s="146"/>
    </row>
    <row r="1969" spans="13:47" x14ac:dyDescent="0.25">
      <c r="M1969" s="20"/>
      <c r="N1969" s="20"/>
      <c r="O1969" s="7" t="s">
        <v>234</v>
      </c>
      <c r="P1969" s="1"/>
      <c r="Q1969" s="7"/>
      <c r="R1969" s="179">
        <f>'Valve Sizing'!G$8*R1967/P_1_maxW</f>
        <v>0.48484441018339419</v>
      </c>
      <c r="S1969" s="132"/>
      <c r="T1969" s="146"/>
      <c r="U1969" s="143">
        <f>'Valve Sizing'!$G$8*U1967/P_1_maxW</f>
        <v>0.4784343993638453</v>
      </c>
      <c r="V1969" s="132"/>
      <c r="W1969" s="146"/>
      <c r="X1969" s="143">
        <f>'Valve Sizing'!$G$8*X1967/P_1_maxW</f>
        <v>0.44533373354957051</v>
      </c>
      <c r="Y1969" s="132"/>
      <c r="Z1969" s="146"/>
      <c r="AA1969" s="143">
        <f>'Valve Sizing'!$G$8*AA1967/P_1_maxW</f>
        <v>0.33478582584028344</v>
      </c>
      <c r="AB1969" s="132"/>
      <c r="AC1969" s="146"/>
      <c r="AD1969" s="143">
        <f>'Valve Sizing'!$G$8*AD1967/P_1_maxW</f>
        <v>7.8862241752864881E-2</v>
      </c>
      <c r="AE1969" s="132"/>
      <c r="AF1969" s="146"/>
      <c r="AG1969" s="143">
        <f>'Valve Sizing'!$G$8*AG1967/P_1_maxW</f>
        <v>-0.31387038719552762</v>
      </c>
      <c r="AH1969" s="132"/>
      <c r="AI1969" s="146"/>
      <c r="AJ1969" s="143">
        <f>'Valve Sizing'!$G$8*AJ1967/P_1_maxW</f>
        <v>-0.80290091328559432</v>
      </c>
      <c r="AK1969" s="132"/>
      <c r="AL1969" s="146"/>
      <c r="AM1969" s="143">
        <f>'Valve Sizing'!$G$8*AM1967/P_1_maxW</f>
        <v>-1.2857513711266024</v>
      </c>
      <c r="AN1969" s="132"/>
      <c r="AO1969" s="146"/>
      <c r="AP1969" s="143">
        <f>'Valve Sizing'!$G$8*AP1967/P_1_maxW</f>
        <v>-1.7190588290155078</v>
      </c>
      <c r="AQ1969" s="132"/>
      <c r="AR1969" s="146"/>
      <c r="AS1969" s="143">
        <f>'Valve Sizing'!$G$8*AS1967/P_1_maxW</f>
        <v>-2.2584034939981832</v>
      </c>
      <c r="AT1969" s="132"/>
      <c r="AU1969" s="146"/>
    </row>
    <row r="1970" spans="13:47" x14ac:dyDescent="0.25">
      <c r="M1970" s="20"/>
      <c r="N1970" s="20"/>
      <c r="O1970" s="7" t="s">
        <v>190</v>
      </c>
      <c r="P1970" s="1"/>
      <c r="Q1970" s="7"/>
      <c r="R1970" s="181">
        <f>R1967-R1968</f>
        <v>50.510428060146381</v>
      </c>
      <c r="S1970" s="132"/>
      <c r="T1970" s="146"/>
      <c r="U1970" s="138">
        <f>U1967-U1968</f>
        <v>49.181603971818078</v>
      </c>
      <c r="V1970" s="132"/>
      <c r="W1970" s="146"/>
      <c r="X1970" s="138">
        <f>X1967-X1968</f>
        <v>42.31968699352359</v>
      </c>
      <c r="Y1970" s="132"/>
      <c r="Z1970" s="146"/>
      <c r="AA1970" s="138">
        <f>AA1967-AA1968</f>
        <v>19.402608253126957</v>
      </c>
      <c r="AB1970" s="132"/>
      <c r="AC1970" s="146"/>
      <c r="AD1970" s="138">
        <f>AD1967-AD1968</f>
        <v>-33.651502399780213</v>
      </c>
      <c r="AE1970" s="132"/>
      <c r="AF1970" s="146"/>
      <c r="AG1970" s="138">
        <f>AG1967-AG1968</f>
        <v>-115.06674370133196</v>
      </c>
      <c r="AH1970" s="132"/>
      <c r="AI1970" s="146"/>
      <c r="AJ1970" s="138">
        <f>AJ1967-AJ1968</f>
        <v>-216.44497242670596</v>
      </c>
      <c r="AK1970" s="132"/>
      <c r="AL1970" s="146"/>
      <c r="AM1970" s="138">
        <f>AM1967-AM1968</f>
        <v>-316.54204519336974</v>
      </c>
      <c r="AN1970" s="132"/>
      <c r="AO1970" s="146"/>
      <c r="AP1970" s="138">
        <f>AP1967-AP1968</f>
        <v>-406.36863112347061</v>
      </c>
      <c r="AQ1970" s="132"/>
      <c r="AR1970" s="146"/>
      <c r="AS1970" s="138">
        <f>AS1967-AS1968</f>
        <v>-518.17720725794618</v>
      </c>
      <c r="AT1970" s="132"/>
      <c r="AU1970" s="146"/>
    </row>
    <row r="1971" spans="13:47" ht="14.5" x14ac:dyDescent="0.35">
      <c r="M1971" s="27"/>
      <c r="N1971" s="27"/>
      <c r="O1971" s="2" t="s">
        <v>191</v>
      </c>
      <c r="P1971" s="10"/>
      <c r="Q1971" s="2"/>
      <c r="R1971" s="181">
        <f>R1970/R1967</f>
        <v>0.50253917961547701</v>
      </c>
      <c r="S1971" s="132"/>
      <c r="T1971" s="146"/>
      <c r="U1971" s="138">
        <f>U1970/U1967</f>
        <v>0.49587425492526588</v>
      </c>
      <c r="V1971" s="132"/>
      <c r="W1971" s="146"/>
      <c r="X1971" s="138">
        <f>X1970/X1967</f>
        <v>0.45840370967129035</v>
      </c>
      <c r="Y1971" s="132"/>
      <c r="Z1971" s="146"/>
      <c r="AA1971" s="138">
        <f>AA1970/AA1967</f>
        <v>0.27956598089745088</v>
      </c>
      <c r="AB1971" s="132"/>
      <c r="AC1971" s="146"/>
      <c r="AD1971" s="138">
        <f>AD1970/AD1967</f>
        <v>-2.0583850102120582</v>
      </c>
      <c r="AE1971" s="132"/>
      <c r="AF1971" s="146"/>
      <c r="AG1971" s="138">
        <f>AG1970/AG1967</f>
        <v>1.7684417131662371</v>
      </c>
      <c r="AH1971" s="132"/>
      <c r="AI1971" s="146"/>
      <c r="AJ1971" s="138">
        <f>AJ1970/AJ1967</f>
        <v>1.3003995811409534</v>
      </c>
      <c r="AK1971" s="132"/>
      <c r="AL1971" s="146"/>
      <c r="AM1971" s="138">
        <f>AM1970/AM1967</f>
        <v>1.1875876654421489</v>
      </c>
      <c r="AN1971" s="132"/>
      <c r="AO1971" s="146"/>
      <c r="AP1971" s="138">
        <f>AP1970/AP1967</f>
        <v>1.14030415595888</v>
      </c>
      <c r="AQ1971" s="132"/>
      <c r="AR1971" s="146"/>
      <c r="AS1971" s="138">
        <f>AS1970/AS1967</f>
        <v>1.1067971683048041</v>
      </c>
      <c r="AT1971" s="132"/>
      <c r="AU1971" s="146"/>
    </row>
    <row r="1972" spans="13:47" x14ac:dyDescent="0.25">
      <c r="M1972" s="27"/>
      <c r="N1972" s="27"/>
      <c r="O1972" s="2" t="s">
        <v>26</v>
      </c>
      <c r="P1972" s="7">
        <v>12</v>
      </c>
      <c r="Q1972" s="2"/>
      <c r="R1972" s="181">
        <f>1-R1971/(3*F_GAMMA*R$29)</f>
        <v>0.73827183659514417</v>
      </c>
      <c r="S1972" s="133"/>
      <c r="T1972" s="146"/>
      <c r="U1972" s="138">
        <f>1-U1971/(3*F_GAMMA*U$29)</f>
        <v>0.74179986750702076</v>
      </c>
      <c r="V1972" s="133"/>
      <c r="W1972" s="146"/>
      <c r="X1972" s="138">
        <f>1-X1971/(3*F_GAMMA*X$29)</f>
        <v>0.75772994014685824</v>
      </c>
      <c r="Y1972" s="133"/>
      <c r="Z1972" s="146"/>
      <c r="AA1972" s="138">
        <f>1-AA1971/(3*F_GAMMA*AA$29)</f>
        <v>0.850221225452646</v>
      </c>
      <c r="AB1972" s="133"/>
      <c r="AC1972" s="146"/>
      <c r="AD1972" s="138">
        <f>1-AD1971/(3*F_GAMMA*AD$29)</f>
        <v>2.1330254817606455</v>
      </c>
      <c r="AE1972" s="133"/>
      <c r="AF1972" s="146"/>
      <c r="AG1972" s="138">
        <f>1-AG1971/(3*F_GAMMA*AG$29)</f>
        <v>-2.8953829272538423E-2</v>
      </c>
      <c r="AH1972" s="133"/>
      <c r="AI1972" s="146"/>
      <c r="AJ1972" s="138">
        <f>1-AJ1971/(3*F_GAMMA*AJ$29)</f>
        <v>0.19115524972977116</v>
      </c>
      <c r="AK1972" s="133"/>
      <c r="AL1972" s="146"/>
      <c r="AM1972" s="138">
        <f>1-AM1971/(3*F_GAMMA*AM$29)</f>
        <v>0.19292128124406049</v>
      </c>
      <c r="AN1972" s="133"/>
      <c r="AO1972" s="146"/>
      <c r="AP1972" s="138">
        <f>1-AP1971/(3*F_GAMMA*AP$29)</f>
        <v>0.35959173133438249</v>
      </c>
      <c r="AQ1972" s="133"/>
      <c r="AR1972" s="146"/>
      <c r="AS1972" s="138">
        <f>1-AS1971/(3*F_GAMMA*AS$29)</f>
        <v>5.6371838000841668E-2</v>
      </c>
      <c r="AT1972" s="133"/>
      <c r="AU1972" s="146"/>
    </row>
    <row r="1973" spans="13:47" x14ac:dyDescent="0.25">
      <c r="M1973" s="27"/>
      <c r="N1973" s="27"/>
      <c r="O1973" s="2" t="s">
        <v>71</v>
      </c>
      <c r="P1973" s="85">
        <v>5</v>
      </c>
      <c r="Q1973" s="2"/>
      <c r="R1973" s="179">
        <f>R1965/((N_6*R$27*R1972)*SQRT(R1971*R1967*R1969))</f>
        <v>0.7613229417600802</v>
      </c>
      <c r="S1973" s="133"/>
      <c r="T1973" s="146"/>
      <c r="U1973" s="143">
        <f>U1965/((N_6*U$27*U1972)*SQRT(U1971*U1967*U1969))</f>
        <v>8.0575981875415419</v>
      </c>
      <c r="V1973" s="133"/>
      <c r="W1973" s="146"/>
      <c r="X1973" s="143">
        <f>X1965/((N_6*X$27*X1972)*SQRT(X1971*X1967*X1969))</f>
        <v>21.846550375143813</v>
      </c>
      <c r="Y1973" s="133"/>
      <c r="Z1973" s="146"/>
      <c r="AA1973" s="143">
        <f>AA1965/((N_6*AA$27*AA1972)*SQRT(AA1971*AA1967*AA1969))</f>
        <v>64.966344771981667</v>
      </c>
      <c r="AB1973" s="133"/>
      <c r="AC1973" s="146"/>
      <c r="AD1973" s="143" t="e">
        <f>AD1965/((N_6*AD$27*AD1972)*SQRT(AD1971*AD1967*AD1969))</f>
        <v>#NUM!</v>
      </c>
      <c r="AE1973" s="133"/>
      <c r="AF1973" s="146"/>
      <c r="AG1973" s="143">
        <f>AG1965/((N_6*AG$27*AG1972)*SQRT(AG1971*AG1967*AG1969))</f>
        <v>-1929.2507230654969</v>
      </c>
      <c r="AH1973" s="133"/>
      <c r="AI1973" s="146"/>
      <c r="AJ1973" s="143">
        <f>AJ1965/((N_6*AJ$27*AJ1972)*SQRT(AJ1971*AJ1967*AJ1969))</f>
        <v>174.9549980470311</v>
      </c>
      <c r="AK1973" s="133"/>
      <c r="AL1973" s="146"/>
      <c r="AM1973" s="143">
        <f>AM1965/((N_6*AM$27*AM1972)*SQRT(AM1971*AM1967*AM1969))</f>
        <v>140.98379517994314</v>
      </c>
      <c r="AN1973" s="133"/>
      <c r="AO1973" s="146"/>
      <c r="AP1973" s="143">
        <f>AP1965/((N_6*AP$27*AP1972)*SQRT(AP1971*AP1967*AP1969))</f>
        <v>73.167398695282529</v>
      </c>
      <c r="AQ1973" s="133"/>
      <c r="AR1973" s="146"/>
      <c r="AS1973" s="143">
        <f>AS1965/((N_6*AS$27*AS1972)*SQRT(AS1971*AS1967*AS1969))</f>
        <v>528.63167596924643</v>
      </c>
      <c r="AT1973" s="133"/>
      <c r="AU1973" s="146"/>
    </row>
    <row r="1974" spans="13:47" x14ac:dyDescent="0.25">
      <c r="M1974" s="27"/>
      <c r="N1974" s="27"/>
      <c r="O1974" s="2" t="s">
        <v>73</v>
      </c>
      <c r="P1974" s="85">
        <v>5</v>
      </c>
      <c r="Q1974" s="2"/>
      <c r="R1974" s="179">
        <f>R1965/((N_6*R$27*0.667)*SQRT(R1975*R1967*R1969))</f>
        <v>0.74669843433162286</v>
      </c>
      <c r="S1974" s="133"/>
      <c r="T1974" s="147"/>
      <c r="U1974" s="143">
        <f>U1965/((N_6*U$27*0.667)*SQRT(U1975*U1967*U1969))</f>
        <v>7.8868826992846879</v>
      </c>
      <c r="V1974" s="133"/>
      <c r="W1974" s="155"/>
      <c r="X1974" s="143">
        <f>X1965/((N_6*X$27*0.667)*SQRT(X1975*X1967*X1969))</f>
        <v>21.158359168978603</v>
      </c>
      <c r="Y1974" s="133"/>
      <c r="Z1974" s="155"/>
      <c r="AA1974" s="143">
        <f>AA1965/((N_6*AA$27*0.667)*SQRT(AA1975*AA1967*AA1969))</f>
        <v>55.51116032117384</v>
      </c>
      <c r="AB1974" s="133"/>
      <c r="AC1974" s="155"/>
      <c r="AD1974" s="143">
        <f>AD1965/((N_6*AD$27*0.667)*SQRT(AD1975*AD1967*AD1969))</f>
        <v>397.52566909909632</v>
      </c>
      <c r="AE1974" s="133"/>
      <c r="AF1974" s="155"/>
      <c r="AG1974" s="143">
        <f>AG1965/((N_6*AG$27*0.667)*SQRT(AG1975*AG1967*AG1969))</f>
        <v>147.13887061909361</v>
      </c>
      <c r="AH1974" s="133"/>
      <c r="AI1974" s="155"/>
      <c r="AJ1974" s="143">
        <f>AJ1965/((N_6*AJ$27*0.667)*SQRT(AJ1975*AJ1967*AJ1969))</f>
        <v>78.105202438280926</v>
      </c>
      <c r="AK1974" s="133"/>
      <c r="AL1974" s="155"/>
      <c r="AM1974" s="143">
        <f>AM1965/((N_6*AM$27*0.667)*SQRT(AM1975*AM1967*AM1969))</f>
        <v>63.451526718020268</v>
      </c>
      <c r="AN1974" s="133"/>
      <c r="AO1974" s="155"/>
      <c r="AP1974" s="143">
        <f>AP1965/((N_6*AP$27*0.667)*SQRT(AP1975*AP1967*AP1969))</f>
        <v>54.675223935958783</v>
      </c>
      <c r="AQ1974" s="133"/>
      <c r="AR1974" s="155"/>
      <c r="AS1974" s="143">
        <f>AS1965/((N_6*AS$27*0.667)*SQRT(AS1975*AS1967*AS1969))</f>
        <v>75.171050292824049</v>
      </c>
      <c r="AT1974" s="133"/>
      <c r="AU1974" s="155"/>
    </row>
    <row r="1975" spans="13:47" ht="15.5" x14ac:dyDescent="0.4">
      <c r="M1975" s="27"/>
      <c r="N1975" s="27"/>
      <c r="O1975" s="2" t="s">
        <v>192</v>
      </c>
      <c r="P1975" s="85">
        <v>10</v>
      </c>
      <c r="Q1975" s="2"/>
      <c r="R1975" s="181">
        <f>F_GAMMA*R$29</f>
        <v>0.64002688015162901</v>
      </c>
      <c r="S1975" s="133"/>
      <c r="T1975" s="147"/>
      <c r="U1975" s="138">
        <f>F_GAMMA*U$29</f>
        <v>0.64016782916606918</v>
      </c>
      <c r="V1975" s="133"/>
      <c r="W1975" s="155"/>
      <c r="X1975" s="138">
        <f>F_GAMMA*X$29</f>
        <v>0.6307062319203669</v>
      </c>
      <c r="Y1975" s="133"/>
      <c r="Z1975" s="155"/>
      <c r="AA1975" s="138">
        <f>F_GAMMA*AA$29</f>
        <v>0.62217534213893466</v>
      </c>
      <c r="AB1975" s="133"/>
      <c r="AC1975" s="155"/>
      <c r="AD1975" s="138">
        <f>F_GAMMA*AD$29</f>
        <v>0.60557184969146072</v>
      </c>
      <c r="AE1975" s="133"/>
      <c r="AF1975" s="155"/>
      <c r="AG1975" s="138">
        <f>F_GAMMA*AG$29</f>
        <v>0.57289312142622573</v>
      </c>
      <c r="AH1975" s="133"/>
      <c r="AI1975" s="155"/>
      <c r="AJ1975" s="138">
        <f>F_GAMMA*AJ$29</f>
        <v>0.53590819116049981</v>
      </c>
      <c r="AK1975" s="133"/>
      <c r="AL1975" s="155"/>
      <c r="AM1975" s="138">
        <f>F_GAMMA*AM$29</f>
        <v>0.49048815926850342</v>
      </c>
      <c r="AN1975" s="133"/>
      <c r="AO1975" s="155"/>
      <c r="AP1975" s="138">
        <f>F_GAMMA*AP$29</f>
        <v>0.59352979016280105</v>
      </c>
      <c r="AQ1975" s="133"/>
      <c r="AR1975" s="155"/>
      <c r="AS1975" s="138">
        <f>F_GAMMA*AS$29</f>
        <v>0.39097221161068291</v>
      </c>
      <c r="AT1975" s="133"/>
      <c r="AU1975" s="155"/>
    </row>
    <row r="1976" spans="13:47" x14ac:dyDescent="0.25">
      <c r="M1976" s="27"/>
      <c r="N1976" s="27"/>
      <c r="O1976" s="2" t="s">
        <v>193</v>
      </c>
      <c r="P1976" s="134"/>
      <c r="Q1976" s="2"/>
      <c r="R1976" s="181">
        <f>IF(R1971&lt;R1975,R1973,R1974)</f>
        <v>0.7613229417600802</v>
      </c>
      <c r="S1976" s="133"/>
      <c r="T1976" s="147"/>
      <c r="U1976" s="138">
        <f>IF(U1971&lt;U1975,U1973,U1974)</f>
        <v>8.0575981875415419</v>
      </c>
      <c r="V1976" s="133"/>
      <c r="W1976" s="155"/>
      <c r="X1976" s="138">
        <f>IF(X1971&lt;X1975,X1973,X1974)</f>
        <v>21.846550375143813</v>
      </c>
      <c r="Y1976" s="133"/>
      <c r="Z1976" s="155"/>
      <c r="AA1976" s="138">
        <f>IF(AA1971&lt;AA1975,AA1973,AA1974)</f>
        <v>64.966344771981667</v>
      </c>
      <c r="AB1976" s="133"/>
      <c r="AC1976" s="155"/>
      <c r="AD1976" s="138" t="e">
        <f>IF(AD1971&lt;AD1975,AD1973,AD1974)</f>
        <v>#NUM!</v>
      </c>
      <c r="AE1976" s="133"/>
      <c r="AF1976" s="155"/>
      <c r="AG1976" s="138">
        <f>IF(AG1971&lt;AG1975,AG1973,AG1974)</f>
        <v>147.13887061909361</v>
      </c>
      <c r="AH1976" s="133"/>
      <c r="AI1976" s="155"/>
      <c r="AJ1976" s="138">
        <f>IF(AJ1971&lt;AJ1975,AJ1973,AJ1974)</f>
        <v>78.105202438280926</v>
      </c>
      <c r="AK1976" s="133"/>
      <c r="AL1976" s="155"/>
      <c r="AM1976" s="138">
        <f>IF(AM1971&lt;AM1975,AM1973,AM1974)</f>
        <v>63.451526718020268</v>
      </c>
      <c r="AN1976" s="133"/>
      <c r="AO1976" s="155"/>
      <c r="AP1976" s="138">
        <f>IF(AP1971&lt;AP1975,AP1973,AP1974)</f>
        <v>54.675223935958783</v>
      </c>
      <c r="AQ1976" s="133"/>
      <c r="AR1976" s="155"/>
      <c r="AS1976" s="138">
        <f>IF(AS1971&lt;AS1975,AS1973,AS1974)</f>
        <v>75.171050292824049</v>
      </c>
      <c r="AT1976" s="133"/>
      <c r="AU1976" s="155"/>
    </row>
    <row r="1977" spans="13:47" ht="13" x14ac:dyDescent="0.3">
      <c r="M1977" s="28"/>
      <c r="N1977" s="28"/>
      <c r="O1977" s="9" t="s">
        <v>194</v>
      </c>
      <c r="P1977" s="1"/>
      <c r="Q1977" s="1"/>
      <c r="R1977" s="135"/>
      <c r="S1977" s="132">
        <f>IF(R1970&lt;=0,W_max,ABS(R$23-R1976))</f>
        <v>1.2386770582399198</v>
      </c>
      <c r="T1977" s="151">
        <f>R1965</f>
        <v>176.04722745826595</v>
      </c>
      <c r="U1977" s="135"/>
      <c r="V1977" s="132">
        <f>IF(U1970&lt;=0,W_max,ABS(U$23-U1976))</f>
        <v>3.0575981875415419</v>
      </c>
      <c r="W1977" s="151">
        <f>U1965</f>
        <v>1833.9487208052931</v>
      </c>
      <c r="X1977" s="135"/>
      <c r="Y1977" s="132">
        <f>IF(X1970&lt;=0,W_max,ABS(X$23-X1976))</f>
        <v>11.846550375143813</v>
      </c>
      <c r="Z1977" s="151">
        <f>X1965</f>
        <v>4535.5734290075643</v>
      </c>
      <c r="AA1977" s="135"/>
      <c r="AB1977" s="132">
        <f>IF(AA1970&lt;=0,W_max,ABS(AA$23-AA1976))</f>
        <v>47.766344771981665</v>
      </c>
      <c r="AC1977" s="151">
        <f>AA1965</f>
        <v>8834.1393553920861</v>
      </c>
      <c r="AD1977" s="135"/>
      <c r="AE1977" s="132">
        <f>IF(AD1970&lt;=0,W_max,ABS(AD$23-AD1976))</f>
        <v>7174</v>
      </c>
      <c r="AF1977" s="151">
        <f>AD1965</f>
        <v>14528.906702481228</v>
      </c>
      <c r="AG1977" s="135"/>
      <c r="AH1977" s="132">
        <f>IF(AG1970&lt;=0,W_max,ABS(AG$23-AG1976))</f>
        <v>7174</v>
      </c>
      <c r="AI1977" s="151">
        <f>AG1965</f>
        <v>20377.910175105018</v>
      </c>
      <c r="AJ1977" s="135"/>
      <c r="AK1977" s="132">
        <f>IF(AJ1970&lt;=0,W_max,ABS(AJ$23-AJ1976))</f>
        <v>7174</v>
      </c>
      <c r="AL1977" s="151">
        <f>AJ1965</f>
        <v>25874.538614001907</v>
      </c>
      <c r="AM1977" s="135"/>
      <c r="AN1977" s="132">
        <f>IF(AM1970&lt;=0,W_max,ABS(AM$23-AM1976))</f>
        <v>7174</v>
      </c>
      <c r="AO1977" s="151">
        <f>AM1965</f>
        <v>30339.931426032264</v>
      </c>
      <c r="AP1977" s="135"/>
      <c r="AQ1977" s="132">
        <f>IF(AP1970&lt;=0,W_max,ABS(AP$23-AP1976))</f>
        <v>7174</v>
      </c>
      <c r="AR1977" s="151">
        <f>AP1965</f>
        <v>33849.301132020497</v>
      </c>
      <c r="AS1977" s="135"/>
      <c r="AT1977" s="132">
        <f>IF(AS1970&lt;=0,W_max,ABS(AS$23-AS1976))</f>
        <v>7174</v>
      </c>
      <c r="AU1977" s="151">
        <f>AS1965</f>
        <v>37764.593829737736</v>
      </c>
    </row>
    <row r="1978" spans="13:47" ht="13" x14ac:dyDescent="0.25">
      <c r="M1978" s="12"/>
      <c r="N1978" s="12"/>
      <c r="O1978" s="12"/>
      <c r="P1978" s="12"/>
      <c r="Q1978" s="12"/>
      <c r="R1978" s="182"/>
      <c r="S1978" s="22"/>
      <c r="T1978" s="152"/>
      <c r="U1978" s="157"/>
      <c r="V1978" s="1"/>
      <c r="W1978" s="147"/>
      <c r="X1978" s="157"/>
      <c r="Y1978" s="1"/>
      <c r="Z1978" s="147"/>
      <c r="AA1978" s="157"/>
      <c r="AB1978" s="1"/>
      <c r="AC1978" s="147"/>
      <c r="AD1978" s="157"/>
      <c r="AE1978" s="1"/>
      <c r="AF1978" s="147"/>
      <c r="AG1978" s="157"/>
      <c r="AH1978" s="1"/>
      <c r="AI1978" s="147"/>
      <c r="AJ1978" s="157"/>
      <c r="AK1978" s="1"/>
      <c r="AL1978" s="147"/>
      <c r="AM1978" s="157"/>
      <c r="AN1978" s="1"/>
      <c r="AO1978" s="147"/>
      <c r="AP1978" s="157"/>
      <c r="AQ1978" s="1"/>
      <c r="AR1978" s="147"/>
      <c r="AS1978" s="157"/>
      <c r="AT1978" s="1"/>
      <c r="AU1978" s="147"/>
    </row>
    <row r="1979" spans="13:47" ht="14" x14ac:dyDescent="0.3">
      <c r="M1979" s="23"/>
      <c r="N1979" s="23"/>
      <c r="O1979" s="23" t="s">
        <v>238</v>
      </c>
      <c r="P1979" s="20"/>
      <c r="Q1979" s="20"/>
      <c r="R1979" s="18">
        <f>R1965*1.02</f>
        <v>179.56817200743129</v>
      </c>
      <c r="S1979" s="128" t="s">
        <v>185</v>
      </c>
      <c r="T1979" s="153" t="s">
        <v>186</v>
      </c>
      <c r="U1979" s="143">
        <f>U1965*1.01</f>
        <v>1852.2882080133461</v>
      </c>
      <c r="V1979" s="128" t="s">
        <v>185</v>
      </c>
      <c r="W1979" s="153" t="s">
        <v>186</v>
      </c>
      <c r="X1979" s="143">
        <f>X1965*1.01</f>
        <v>4580.9291632976401</v>
      </c>
      <c r="Y1979" s="128" t="s">
        <v>185</v>
      </c>
      <c r="Z1979" s="153" t="s">
        <v>186</v>
      </c>
      <c r="AA1979" s="143">
        <f>AA1965*1.01</f>
        <v>8922.4807489460072</v>
      </c>
      <c r="AB1979" s="128" t="s">
        <v>185</v>
      </c>
      <c r="AC1979" s="153" t="s">
        <v>186</v>
      </c>
      <c r="AD1979" s="143">
        <f>AD1965*1.01</f>
        <v>14674.195769506041</v>
      </c>
      <c r="AE1979" s="128" t="s">
        <v>185</v>
      </c>
      <c r="AF1979" s="153" t="s">
        <v>186</v>
      </c>
      <c r="AG1979" s="143">
        <f>AG1965*1.01</f>
        <v>20581.689276856068</v>
      </c>
      <c r="AH1979" s="128" t="s">
        <v>185</v>
      </c>
      <c r="AI1979" s="153" t="s">
        <v>186</v>
      </c>
      <c r="AJ1979" s="143">
        <f>AJ1965*1.01</f>
        <v>26133.284000141928</v>
      </c>
      <c r="AK1979" s="128" t="s">
        <v>185</v>
      </c>
      <c r="AL1979" s="153" t="s">
        <v>186</v>
      </c>
      <c r="AM1979" s="143">
        <f>AM1965*1.01</f>
        <v>30643.330740292586</v>
      </c>
      <c r="AN1979" s="128" t="s">
        <v>185</v>
      </c>
      <c r="AO1979" s="153" t="s">
        <v>186</v>
      </c>
      <c r="AP1979" s="143">
        <f>AP1965*1.01</f>
        <v>34187.794143340703</v>
      </c>
      <c r="AQ1979" s="128" t="s">
        <v>185</v>
      </c>
      <c r="AR1979" s="153" t="s">
        <v>186</v>
      </c>
      <c r="AS1979" s="143">
        <f>AS1965*1.01</f>
        <v>38142.239768035113</v>
      </c>
      <c r="AT1979" s="128" t="s">
        <v>185</v>
      </c>
      <c r="AU1979" s="153" t="s">
        <v>186</v>
      </c>
    </row>
    <row r="1980" spans="13:47" ht="14" x14ac:dyDescent="0.3">
      <c r="M1980" s="12"/>
      <c r="N1980" s="12"/>
      <c r="O1980" s="20"/>
      <c r="P1980" s="20"/>
      <c r="Q1980" s="23"/>
      <c r="R1980" s="139"/>
      <c r="S1980" s="130" t="s">
        <v>228</v>
      </c>
      <c r="T1980" s="154" t="s">
        <v>187</v>
      </c>
      <c r="U1980" s="144"/>
      <c r="V1980" s="130" t="s">
        <v>228</v>
      </c>
      <c r="W1980" s="154" t="s">
        <v>187</v>
      </c>
      <c r="X1980" s="144"/>
      <c r="Y1980" s="130" t="s">
        <v>228</v>
      </c>
      <c r="Z1980" s="154" t="s">
        <v>187</v>
      </c>
      <c r="AA1980" s="144"/>
      <c r="AB1980" s="130" t="s">
        <v>228</v>
      </c>
      <c r="AC1980" s="154" t="s">
        <v>187</v>
      </c>
      <c r="AD1980" s="144"/>
      <c r="AE1980" s="130" t="s">
        <v>228</v>
      </c>
      <c r="AF1980" s="154" t="s">
        <v>187</v>
      </c>
      <c r="AG1980" s="144"/>
      <c r="AH1980" s="130" t="s">
        <v>228</v>
      </c>
      <c r="AI1980" s="154" t="s">
        <v>187</v>
      </c>
      <c r="AJ1980" s="144"/>
      <c r="AK1980" s="130" t="s">
        <v>228</v>
      </c>
      <c r="AL1980" s="154" t="s">
        <v>187</v>
      </c>
      <c r="AM1980" s="144"/>
      <c r="AN1980" s="130" t="s">
        <v>228</v>
      </c>
      <c r="AO1980" s="154" t="s">
        <v>187</v>
      </c>
      <c r="AP1980" s="144"/>
      <c r="AQ1980" s="130" t="s">
        <v>228</v>
      </c>
      <c r="AR1980" s="154" t="s">
        <v>187</v>
      </c>
      <c r="AS1980" s="144"/>
      <c r="AT1980" s="130" t="s">
        <v>228</v>
      </c>
      <c r="AU1980" s="154" t="s">
        <v>187</v>
      </c>
    </row>
    <row r="1981" spans="13:47" x14ac:dyDescent="0.25">
      <c r="M1981" s="20"/>
      <c r="N1981" s="20"/>
      <c r="O1981" s="7" t="s">
        <v>188</v>
      </c>
      <c r="P1981" s="7"/>
      <c r="Q1981" s="7"/>
      <c r="R1981" s="181">
        <f>P_1_minW-(R1979^2*R_up)+dpup_minQ</f>
        <v>100.50992876961254</v>
      </c>
      <c r="S1981" s="132"/>
      <c r="T1981" s="145"/>
      <c r="U1981" s="138">
        <f>P_1_minW-(U1979^2*R_up)+dpup_minQ</f>
        <v>99.154646198243412</v>
      </c>
      <c r="V1981" s="132"/>
      <c r="W1981" s="145"/>
      <c r="X1981" s="138">
        <f>P_1_minW-(X1979^2*R_up)+dpup_minQ</f>
        <v>92.154804688685218</v>
      </c>
      <c r="Y1981" s="132"/>
      <c r="Z1981" s="145"/>
      <c r="AA1981" s="138">
        <f>P_1_minW-(AA1979^2*R_up)+dpup_minQ</f>
        <v>68.777092665606588</v>
      </c>
      <c r="AB1981" s="132"/>
      <c r="AC1981" s="145"/>
      <c r="AD1981" s="138">
        <f>P_1_minW-(AD1979^2*R_up)+dpup_minQ</f>
        <v>14.656594388575982</v>
      </c>
      <c r="AE1981" s="132"/>
      <c r="AF1981" s="145"/>
      <c r="AG1981" s="138">
        <f>P_1_minW-(AG1979^2*R_up)+dpup_minQ</f>
        <v>-68.395093263136928</v>
      </c>
      <c r="AH1981" s="132"/>
      <c r="AI1981" s="145"/>
      <c r="AJ1981" s="138">
        <f>P_1_minW-(AJ1979^2*R_up)+dpup_minQ</f>
        <v>-171.81102438589099</v>
      </c>
      <c r="AK1981" s="132"/>
      <c r="AL1981" s="145"/>
      <c r="AM1981" s="138">
        <f>P_1_minW-(AM1979^2*R_up)+dpup_minQ</f>
        <v>-273.92004831516465</v>
      </c>
      <c r="AN1981" s="132"/>
      <c r="AO1981" s="145"/>
      <c r="AP1981" s="138">
        <f>P_1_minW-(AP1979^2*R_up)+dpup_minQ</f>
        <v>-365.55214862246066</v>
      </c>
      <c r="AQ1981" s="132"/>
      <c r="AR1981" s="145"/>
      <c r="AS1981" s="138">
        <f>P_1_minW-(AS1979^2*R_up)+dpup_minQ</f>
        <v>-479.60807713723909</v>
      </c>
      <c r="AT1981" s="132"/>
      <c r="AU1981" s="145"/>
    </row>
    <row r="1982" spans="13:47" x14ac:dyDescent="0.25">
      <c r="M1982" s="20"/>
      <c r="N1982" s="20"/>
      <c r="O1982" s="7" t="s">
        <v>189</v>
      </c>
      <c r="P1982" s="1"/>
      <c r="Q1982" s="7"/>
      <c r="R1982" s="181">
        <f>P_2_minW+(R1979^2*R_dn)-dpdn_minQ</f>
        <v>50</v>
      </c>
      <c r="S1982" s="132"/>
      <c r="T1982" s="146"/>
      <c r="U1982" s="138">
        <f>P_2_minW+(U1979^2*R_dn)-dpdn_minQ</f>
        <v>50</v>
      </c>
      <c r="V1982" s="132"/>
      <c r="W1982" s="146"/>
      <c r="X1982" s="138">
        <f>P_2_minW+(X1979^2*R_dn)-dpdn_minQ</f>
        <v>50</v>
      </c>
      <c r="Y1982" s="132"/>
      <c r="Z1982" s="146"/>
      <c r="AA1982" s="138">
        <f>P_2_minW+(AA1979^2*R_dn)-dpdn_minQ</f>
        <v>50</v>
      </c>
      <c r="AB1982" s="132"/>
      <c r="AC1982" s="146"/>
      <c r="AD1982" s="138">
        <f>P_2_minW+(AD1979^2*R_dn)-dpdn_minQ</f>
        <v>50</v>
      </c>
      <c r="AE1982" s="132"/>
      <c r="AF1982" s="146"/>
      <c r="AG1982" s="138">
        <f>P_2_minW+(AG1979^2*R_dn)-dpdn_minQ</f>
        <v>50</v>
      </c>
      <c r="AH1982" s="132"/>
      <c r="AI1982" s="146"/>
      <c r="AJ1982" s="138">
        <f>P_2_minW+(AJ1979^2*R_dn)-dpdn_minQ</f>
        <v>50</v>
      </c>
      <c r="AK1982" s="132"/>
      <c r="AL1982" s="146"/>
      <c r="AM1982" s="138">
        <f>P_2_minW+(AM1979^2*R_dn)-dpdn_minQ</f>
        <v>50</v>
      </c>
      <c r="AN1982" s="132"/>
      <c r="AO1982" s="146"/>
      <c r="AP1982" s="138">
        <f>P_2_minW+(AP1979^2*R_dn)-dpdn_minQ</f>
        <v>50</v>
      </c>
      <c r="AQ1982" s="132"/>
      <c r="AR1982" s="146"/>
      <c r="AS1982" s="138">
        <f>P_2_minW+(AS1979^2*R_dn)-dpdn_minQ</f>
        <v>50</v>
      </c>
      <c r="AT1982" s="132"/>
      <c r="AU1982" s="146"/>
    </row>
    <row r="1983" spans="13:47" x14ac:dyDescent="0.25">
      <c r="M1983" s="20"/>
      <c r="N1983" s="20"/>
      <c r="O1983" s="7" t="s">
        <v>234</v>
      </c>
      <c r="P1983" s="1"/>
      <c r="Q1983" s="7"/>
      <c r="R1983" s="179">
        <f>'Valve Sizing'!G$8*R1981/P_1_maxW</f>
        <v>0.48484200169475217</v>
      </c>
      <c r="S1983" s="132"/>
      <c r="T1983" s="146"/>
      <c r="U1983" s="143">
        <f>'Valve Sizing'!$G$8*U1981/P_1_maxW</f>
        <v>0.47830435986365688</v>
      </c>
      <c r="V1983" s="132"/>
      <c r="W1983" s="146"/>
      <c r="X1983" s="143">
        <f>'Valve Sizing'!$G$8*X1981/P_1_maxW</f>
        <v>0.44453837066651525</v>
      </c>
      <c r="Y1983" s="132"/>
      <c r="Z1983" s="146"/>
      <c r="AA1983" s="143">
        <f>'Valve Sizing'!$G$8*AA1981/P_1_maxW</f>
        <v>0.3317684500122714</v>
      </c>
      <c r="AB1983" s="132"/>
      <c r="AC1983" s="146"/>
      <c r="AD1983" s="143">
        <f>'Valve Sizing'!$G$8*AD1981/P_1_maxW</f>
        <v>7.0700801884695672E-2</v>
      </c>
      <c r="AE1983" s="132"/>
      <c r="AF1983" s="146"/>
      <c r="AG1983" s="143">
        <f>'Valve Sizing'!$G$8*AG1981/P_1_maxW</f>
        <v>-0.32992575290555937</v>
      </c>
      <c r="AH1983" s="132"/>
      <c r="AI1983" s="146"/>
      <c r="AJ1983" s="143">
        <f>'Valve Sizing'!$G$8*AJ1981/P_1_maxW</f>
        <v>-0.82878579257003671</v>
      </c>
      <c r="AK1983" s="132"/>
      <c r="AL1983" s="146"/>
      <c r="AM1983" s="143">
        <f>'Valve Sizing'!$G$8*AM1981/P_1_maxW</f>
        <v>-1.3213415446136487</v>
      </c>
      <c r="AN1983" s="132"/>
      <c r="AO1983" s="146"/>
      <c r="AP1983" s="143">
        <f>'Valve Sizing'!$G$8*AP1981/P_1_maxW</f>
        <v>-1.7633584824061217</v>
      </c>
      <c r="AQ1983" s="132"/>
      <c r="AR1983" s="146"/>
      <c r="AS1983" s="143">
        <f>'Valve Sizing'!$G$8*AS1981/P_1_maxW</f>
        <v>-2.313543975154948</v>
      </c>
      <c r="AT1983" s="132"/>
      <c r="AU1983" s="146"/>
    </row>
    <row r="1984" spans="13:47" x14ac:dyDescent="0.25">
      <c r="M1984" s="20"/>
      <c r="N1984" s="20"/>
      <c r="O1984" s="7" t="s">
        <v>190</v>
      </c>
      <c r="P1984" s="1"/>
      <c r="Q1984" s="7"/>
      <c r="R1984" s="181">
        <f>R1981-R1982</f>
        <v>50.509928769612543</v>
      </c>
      <c r="S1984" s="132"/>
      <c r="T1984" s="146"/>
      <c r="U1984" s="138">
        <f>U1981-U1982</f>
        <v>49.154646198243412</v>
      </c>
      <c r="V1984" s="132"/>
      <c r="W1984" s="146"/>
      <c r="X1984" s="138">
        <f>X1981-X1982</f>
        <v>42.154804688685218</v>
      </c>
      <c r="Y1984" s="132"/>
      <c r="Z1984" s="146"/>
      <c r="AA1984" s="138">
        <f>AA1981-AA1982</f>
        <v>18.777092665606588</v>
      </c>
      <c r="AB1984" s="132"/>
      <c r="AC1984" s="146"/>
      <c r="AD1984" s="138">
        <f>AD1981-AD1982</f>
        <v>-35.343405611424018</v>
      </c>
      <c r="AE1984" s="132"/>
      <c r="AF1984" s="146"/>
      <c r="AG1984" s="138">
        <f>AG1981-AG1982</f>
        <v>-118.39509326313693</v>
      </c>
      <c r="AH1984" s="132"/>
      <c r="AI1984" s="146"/>
      <c r="AJ1984" s="138">
        <f>AJ1981-AJ1982</f>
        <v>-221.81102438589099</v>
      </c>
      <c r="AK1984" s="132"/>
      <c r="AL1984" s="146"/>
      <c r="AM1984" s="138">
        <f>AM1981-AM1982</f>
        <v>-323.92004831516465</v>
      </c>
      <c r="AN1984" s="132"/>
      <c r="AO1984" s="146"/>
      <c r="AP1984" s="138">
        <f>AP1981-AP1982</f>
        <v>-415.55214862246066</v>
      </c>
      <c r="AQ1984" s="132"/>
      <c r="AR1984" s="146"/>
      <c r="AS1984" s="138">
        <f>AS1981-AS1982</f>
        <v>-529.60807713723909</v>
      </c>
      <c r="AT1984" s="132"/>
      <c r="AU1984" s="146"/>
    </row>
    <row r="1985" spans="13:47" ht="14.5" x14ac:dyDescent="0.35">
      <c r="M1985" s="27"/>
      <c r="N1985" s="27"/>
      <c r="O1985" s="2" t="s">
        <v>191</v>
      </c>
      <c r="P1985" s="10"/>
      <c r="Q1985" s="2"/>
      <c r="R1985" s="181">
        <f>R1984/R1981</f>
        <v>0.50253670844191622</v>
      </c>
      <c r="S1985" s="132"/>
      <c r="T1985" s="146"/>
      <c r="U1985" s="138">
        <f>U1984/U1981</f>
        <v>0.49573719520885362</v>
      </c>
      <c r="V1985" s="132"/>
      <c r="W1985" s="146"/>
      <c r="X1985" s="138">
        <f>X1984/X1981</f>
        <v>0.45743469188710667</v>
      </c>
      <c r="Y1985" s="132"/>
      <c r="Z1985" s="146"/>
      <c r="AA1985" s="138">
        <f>AA1984/AA1981</f>
        <v>0.27301375992876858</v>
      </c>
      <c r="AB1985" s="132"/>
      <c r="AC1985" s="146"/>
      <c r="AD1985" s="138">
        <f>AD1984/AD1981</f>
        <v>-2.4114336983339242</v>
      </c>
      <c r="AE1985" s="132"/>
      <c r="AF1985" s="146"/>
      <c r="AG1985" s="138">
        <f>AG1984/AG1981</f>
        <v>1.731046594346098</v>
      </c>
      <c r="AH1985" s="132"/>
      <c r="AI1985" s="146"/>
      <c r="AJ1985" s="138">
        <f>AJ1984/AJ1981</f>
        <v>1.2910174139215829</v>
      </c>
      <c r="AK1985" s="132"/>
      <c r="AL1985" s="146"/>
      <c r="AM1985" s="138">
        <f>AM1984/AM1981</f>
        <v>1.1825350145326763</v>
      </c>
      <c r="AN1985" s="132"/>
      <c r="AO1985" s="146"/>
      <c r="AP1985" s="138">
        <f>AP1984/AP1981</f>
        <v>1.1367793902687182</v>
      </c>
      <c r="AQ1985" s="132"/>
      <c r="AR1985" s="146"/>
      <c r="AS1985" s="138">
        <f>AS1984/AS1981</f>
        <v>1.1042517888740488</v>
      </c>
      <c r="AT1985" s="132"/>
      <c r="AU1985" s="146"/>
    </row>
    <row r="1986" spans="13:47" x14ac:dyDescent="0.25">
      <c r="M1986" s="27"/>
      <c r="N1986" s="27"/>
      <c r="O1986" s="2" t="s">
        <v>26</v>
      </c>
      <c r="P1986" s="7">
        <v>12</v>
      </c>
      <c r="Q1986" s="2"/>
      <c r="R1986" s="181">
        <f>1-R1985/(3*F_GAMMA*R$29)</f>
        <v>0.73827312361065212</v>
      </c>
      <c r="S1986" s="133"/>
      <c r="T1986" s="146"/>
      <c r="U1986" s="138">
        <f>1-U1985/(3*F_GAMMA*U$29)</f>
        <v>0.74187123406131472</v>
      </c>
      <c r="V1986" s="133"/>
      <c r="W1986" s="146"/>
      <c r="X1986" s="138">
        <f>1-X1985/(3*F_GAMMA*X$29)</f>
        <v>0.75824207386571774</v>
      </c>
      <c r="Y1986" s="133"/>
      <c r="Z1986" s="146"/>
      <c r="AA1986" s="138">
        <f>1-AA1985/(3*F_GAMMA*AA$29)</f>
        <v>0.85373160831146999</v>
      </c>
      <c r="AB1986" s="133"/>
      <c r="AC1986" s="146"/>
      <c r="AD1986" s="138">
        <f>1-AD1985/(3*F_GAMMA*AD$29)</f>
        <v>2.3273589800904997</v>
      </c>
      <c r="AE1986" s="133"/>
      <c r="AF1986" s="146"/>
      <c r="AG1986" s="138">
        <f>1-AG1985/(3*F_GAMMA*AG$29)</f>
        <v>-7.1957750377780183E-3</v>
      </c>
      <c r="AH1986" s="133"/>
      <c r="AI1986" s="146"/>
      <c r="AJ1986" s="138">
        <f>1-AJ1985/(3*F_GAMMA*AJ$29)</f>
        <v>0.1969909304017744</v>
      </c>
      <c r="AK1986" s="133"/>
      <c r="AL1986" s="146"/>
      <c r="AM1986" s="138">
        <f>1-AM1985/(3*F_GAMMA*AM$29)</f>
        <v>0.1963550378760982</v>
      </c>
      <c r="AN1986" s="133"/>
      <c r="AO1986" s="146"/>
      <c r="AP1986" s="138">
        <f>1-AP1985/(3*F_GAMMA*AP$29)</f>
        <v>0.36157128133539984</v>
      </c>
      <c r="AQ1986" s="133"/>
      <c r="AR1986" s="146"/>
      <c r="AS1986" s="138">
        <f>1-AS1985/(3*F_GAMMA*AS$29)</f>
        <v>5.8541966171220761E-2</v>
      </c>
      <c r="AT1986" s="133"/>
      <c r="AU1986" s="146"/>
    </row>
    <row r="1987" spans="13:47" x14ac:dyDescent="0.25">
      <c r="M1987" s="27"/>
      <c r="N1987" s="27"/>
      <c r="O1987" s="2" t="s">
        <v>71</v>
      </c>
      <c r="P1987" s="85">
        <v>5</v>
      </c>
      <c r="Q1987" s="2"/>
      <c r="R1987" s="179">
        <f>R1979/((N_6*R$27*R1986)*SQRT(R1985*R1981*R1983))</f>
        <v>0.77655381371912424</v>
      </c>
      <c r="S1987" s="133"/>
      <c r="T1987" s="146"/>
      <c r="U1987" s="143">
        <f>U1979/((N_6*U$27*U1986)*SQRT(U1985*U1981*U1983))</f>
        <v>8.1407287819279919</v>
      </c>
      <c r="V1987" s="133"/>
      <c r="W1987" s="146"/>
      <c r="X1987" s="143">
        <f>X1979/((N_6*X$27*X1986)*SQRT(X1985*X1981*X1983))</f>
        <v>22.112949079363212</v>
      </c>
      <c r="Y1987" s="133"/>
      <c r="Z1987" s="146"/>
      <c r="AA1987" s="143">
        <f>AA1979/((N_6*AA$27*AA1986)*SQRT(AA1985*AA1981*AA1983))</f>
        <v>66.727101510773039</v>
      </c>
      <c r="AB1987" s="133"/>
      <c r="AC1987" s="146"/>
      <c r="AD1987" s="143" t="e">
        <f>AD1979/((N_6*AD$27*AD1986)*SQRT(AD1985*AD1981*AD1983))</f>
        <v>#NUM!</v>
      </c>
      <c r="AE1987" s="133"/>
      <c r="AF1987" s="146"/>
      <c r="AG1987" s="143">
        <f>AG1979/((N_6*AG$27*AG1986)*SQRT(AG1985*AG1981*AG1983))</f>
        <v>-7538.9975142742815</v>
      </c>
      <c r="AH1987" s="133"/>
      <c r="AI1987" s="146"/>
      <c r="AJ1987" s="143">
        <f>AJ1979/((N_6*AJ$27*AJ1986)*SQRT(AJ1985*AJ1981*AJ1983))</f>
        <v>166.71694382153439</v>
      </c>
      <c r="AK1987" s="133"/>
      <c r="AL1987" s="146"/>
      <c r="AM1987" s="143">
        <f>AM1979/((N_6*AM$27*AM1986)*SQRT(AM1985*AM1981*AM1983))</f>
        <v>136.42576601838641</v>
      </c>
      <c r="AN1987" s="133"/>
      <c r="AO1987" s="146"/>
      <c r="AP1987" s="143">
        <f>AP1979/((N_6*AP$27*AP1986)*SQRT(AP1985*AP1981*AP1983))</f>
        <v>71.759126417724559</v>
      </c>
      <c r="AQ1987" s="133"/>
      <c r="AR1987" s="146"/>
      <c r="AS1987" s="143">
        <f>AS1979/((N_6*AS$27*AS1986)*SQRT(AS1985*AS1981*AS1983))</f>
        <v>502.4503921088729</v>
      </c>
      <c r="AT1987" s="133"/>
      <c r="AU1987" s="146"/>
    </row>
    <row r="1988" spans="13:47" x14ac:dyDescent="0.25">
      <c r="M1988" s="27"/>
      <c r="N1988" s="27"/>
      <c r="O1988" s="2" t="s">
        <v>73</v>
      </c>
      <c r="P1988" s="85">
        <v>5</v>
      </c>
      <c r="Q1988" s="2"/>
      <c r="R1988" s="179">
        <f>R1979/((N_6*R$27*0.667)*SQRT(R1989*R1981*R1983))</f>
        <v>0.76163618648376719</v>
      </c>
      <c r="S1988" s="133"/>
      <c r="T1988" s="155"/>
      <c r="U1988" s="143">
        <f>U1979/((N_6*U$27*0.667)*SQRT(U1989*U1981*U1983))</f>
        <v>7.9679172233399616</v>
      </c>
      <c r="V1988" s="133"/>
      <c r="W1988" s="155"/>
      <c r="X1988" s="143">
        <f>X1979/((N_6*X$27*0.667)*SQRT(X1989*X1981*X1983))</f>
        <v>21.408177613734878</v>
      </c>
      <c r="Y1988" s="133"/>
      <c r="Z1988" s="155"/>
      <c r="AA1988" s="143">
        <f>AA1979/((N_6*AA$27*0.667)*SQRT(AA1989*AA1981*AA1983))</f>
        <v>56.576184827993906</v>
      </c>
      <c r="AB1988" s="133"/>
      <c r="AC1988" s="155"/>
      <c r="AD1988" s="143">
        <f>AD1979/((N_6*AD$27*0.667)*SQRT(AD1989*AD1981*AD1983))</f>
        <v>447.84871217296541</v>
      </c>
      <c r="AE1988" s="133"/>
      <c r="AF1988" s="155"/>
      <c r="AG1988" s="143">
        <f>AG1979/((N_6*AG$27*0.667)*SQRT(AG1989*AG1981*AG1983))</f>
        <v>141.37835323514952</v>
      </c>
      <c r="AH1988" s="133"/>
      <c r="AI1988" s="155"/>
      <c r="AJ1988" s="143">
        <f>AJ1979/((N_6*AJ$27*0.667)*SQRT(AJ1989*AJ1981*AJ1983))</f>
        <v>76.422455985091148</v>
      </c>
      <c r="AK1988" s="133"/>
      <c r="AL1988" s="155"/>
      <c r="AM1988" s="143">
        <f>AM1979/((N_6*AM$27*0.667)*SQRT(AM1989*AM1981*AM1983))</f>
        <v>62.359892253778597</v>
      </c>
      <c r="AN1988" s="133"/>
      <c r="AO1988" s="155"/>
      <c r="AP1988" s="143">
        <f>AP1979/((N_6*AP$27*0.667)*SQRT(AP1989*AP1981*AP1983))</f>
        <v>53.834672102709547</v>
      </c>
      <c r="AQ1988" s="133"/>
      <c r="AR1988" s="155"/>
      <c r="AS1988" s="143">
        <f>AS1979/((N_6*AS$27*0.667)*SQRT(AS1989*AS1981*AS1983))</f>
        <v>74.113234974767053</v>
      </c>
      <c r="AT1988" s="133"/>
      <c r="AU1988" s="155"/>
    </row>
    <row r="1989" spans="13:47" ht="15.5" x14ac:dyDescent="0.4">
      <c r="M1989" s="27"/>
      <c r="N1989" s="27"/>
      <c r="O1989" s="2" t="s">
        <v>192</v>
      </c>
      <c r="P1989" s="85">
        <v>10</v>
      </c>
      <c r="Q1989" s="2"/>
      <c r="R1989" s="181">
        <f>F_GAMMA*R$29</f>
        <v>0.64002688015162901</v>
      </c>
      <c r="S1989" s="133"/>
      <c r="T1989" s="155"/>
      <c r="U1989" s="138">
        <f>F_GAMMA*U$29</f>
        <v>0.64016782916606918</v>
      </c>
      <c r="V1989" s="133"/>
      <c r="W1989" s="155"/>
      <c r="X1989" s="138">
        <f>F_GAMMA*X$29</f>
        <v>0.6307062319203669</v>
      </c>
      <c r="Y1989" s="133"/>
      <c r="Z1989" s="155"/>
      <c r="AA1989" s="138">
        <f>F_GAMMA*AA$29</f>
        <v>0.62217534213893466</v>
      </c>
      <c r="AB1989" s="133"/>
      <c r="AC1989" s="155"/>
      <c r="AD1989" s="138">
        <f>F_GAMMA*AD$29</f>
        <v>0.60557184969146072</v>
      </c>
      <c r="AE1989" s="133"/>
      <c r="AF1989" s="155"/>
      <c r="AG1989" s="138">
        <f>F_GAMMA*AG$29</f>
        <v>0.57289312142622573</v>
      </c>
      <c r="AH1989" s="133"/>
      <c r="AI1989" s="155"/>
      <c r="AJ1989" s="138">
        <f>F_GAMMA*AJ$29</f>
        <v>0.53590819116049981</v>
      </c>
      <c r="AK1989" s="133"/>
      <c r="AL1989" s="155"/>
      <c r="AM1989" s="138">
        <f>F_GAMMA*AM$29</f>
        <v>0.49048815926850342</v>
      </c>
      <c r="AN1989" s="133"/>
      <c r="AO1989" s="155"/>
      <c r="AP1989" s="138">
        <f>F_GAMMA*AP$29</f>
        <v>0.59352979016280105</v>
      </c>
      <c r="AQ1989" s="133"/>
      <c r="AR1989" s="155"/>
      <c r="AS1989" s="138">
        <f>F_GAMMA*AS$29</f>
        <v>0.39097221161068291</v>
      </c>
      <c r="AT1989" s="133"/>
      <c r="AU1989" s="155"/>
    </row>
    <row r="1990" spans="13:47" x14ac:dyDescent="0.25">
      <c r="M1990" s="27"/>
      <c r="N1990" s="27"/>
      <c r="O1990" s="2" t="s">
        <v>193</v>
      </c>
      <c r="P1990" s="134"/>
      <c r="Q1990" s="2"/>
      <c r="R1990" s="181">
        <f>IF(R1985&lt;R1989,R1987,R1988)</f>
        <v>0.77655381371912424</v>
      </c>
      <c r="S1990" s="133"/>
      <c r="T1990" s="155"/>
      <c r="U1990" s="138">
        <f>IF(U1985&lt;U1989,U1987,U1988)</f>
        <v>8.1407287819279919</v>
      </c>
      <c r="V1990" s="133"/>
      <c r="W1990" s="155"/>
      <c r="X1990" s="138">
        <f>IF(X1985&lt;X1989,X1987,X1988)</f>
        <v>22.112949079363212</v>
      </c>
      <c r="Y1990" s="133"/>
      <c r="Z1990" s="155"/>
      <c r="AA1990" s="138">
        <f>IF(AA1985&lt;AA1989,AA1987,AA1988)</f>
        <v>66.727101510773039</v>
      </c>
      <c r="AB1990" s="133"/>
      <c r="AC1990" s="155"/>
      <c r="AD1990" s="138" t="e">
        <f>IF(AD1985&lt;AD1989,AD1987,AD1988)</f>
        <v>#NUM!</v>
      </c>
      <c r="AE1990" s="133"/>
      <c r="AF1990" s="155"/>
      <c r="AG1990" s="138">
        <f>IF(AG1985&lt;AG1989,AG1987,AG1988)</f>
        <v>141.37835323514952</v>
      </c>
      <c r="AH1990" s="133"/>
      <c r="AI1990" s="155"/>
      <c r="AJ1990" s="138">
        <f>IF(AJ1985&lt;AJ1989,AJ1987,AJ1988)</f>
        <v>76.422455985091148</v>
      </c>
      <c r="AK1990" s="133"/>
      <c r="AL1990" s="155"/>
      <c r="AM1990" s="138">
        <f>IF(AM1985&lt;AM1989,AM1987,AM1988)</f>
        <v>62.359892253778597</v>
      </c>
      <c r="AN1990" s="133"/>
      <c r="AO1990" s="155"/>
      <c r="AP1990" s="138">
        <f>IF(AP1985&lt;AP1989,AP1987,AP1988)</f>
        <v>53.834672102709547</v>
      </c>
      <c r="AQ1990" s="133"/>
      <c r="AR1990" s="155"/>
      <c r="AS1990" s="138">
        <f>IF(AS1985&lt;AS1989,AS1987,AS1988)</f>
        <v>74.113234974767053</v>
      </c>
      <c r="AT1990" s="133"/>
      <c r="AU1990" s="155"/>
    </row>
    <row r="1991" spans="13:47" ht="13" x14ac:dyDescent="0.3">
      <c r="M1991" s="28"/>
      <c r="N1991" s="28"/>
      <c r="O1991" s="9" t="s">
        <v>194</v>
      </c>
      <c r="P1991" s="1"/>
      <c r="Q1991" s="1"/>
      <c r="R1991" s="135"/>
      <c r="S1991" s="132">
        <f>IF(R1984&lt;=0,W_max,ABS(R$23-R1990))</f>
        <v>1.2234461862808756</v>
      </c>
      <c r="T1991" s="151">
        <f>R1979</f>
        <v>179.56817200743129</v>
      </c>
      <c r="U1991" s="135"/>
      <c r="V1991" s="132">
        <f>IF(U1984&lt;=0,W_max,ABS(U$23-U1990))</f>
        <v>3.1407287819279919</v>
      </c>
      <c r="W1991" s="151">
        <f>U1979</f>
        <v>1852.2882080133461</v>
      </c>
      <c r="X1991" s="135"/>
      <c r="Y1991" s="132">
        <f>IF(X1984&lt;=0,W_max,ABS(X$23-X1990))</f>
        <v>12.112949079363212</v>
      </c>
      <c r="Z1991" s="151">
        <f>X1979</f>
        <v>4580.9291632976401</v>
      </c>
      <c r="AA1991" s="135"/>
      <c r="AB1991" s="132">
        <f>IF(AA1984&lt;=0,W_max,ABS(AA$23-AA1990))</f>
        <v>49.527101510773036</v>
      </c>
      <c r="AC1991" s="151">
        <f>AA1979</f>
        <v>8922.4807489460072</v>
      </c>
      <c r="AD1991" s="135"/>
      <c r="AE1991" s="132">
        <f>IF(AD1984&lt;=0,W_max,ABS(AD$23-AD1990))</f>
        <v>7174</v>
      </c>
      <c r="AF1991" s="151">
        <f>AD1979</f>
        <v>14674.195769506041</v>
      </c>
      <c r="AG1991" s="135"/>
      <c r="AH1991" s="132">
        <f>IF(AG1984&lt;=0,W_max,ABS(AG$23-AG1990))</f>
        <v>7174</v>
      </c>
      <c r="AI1991" s="151">
        <f>AG1979</f>
        <v>20581.689276856068</v>
      </c>
      <c r="AJ1991" s="135"/>
      <c r="AK1991" s="132">
        <f>IF(AJ1984&lt;=0,W_max,ABS(AJ$23-AJ1990))</f>
        <v>7174</v>
      </c>
      <c r="AL1991" s="151">
        <f>AJ1979</f>
        <v>26133.284000141928</v>
      </c>
      <c r="AM1991" s="135"/>
      <c r="AN1991" s="132">
        <f>IF(AM1984&lt;=0,W_max,ABS(AM$23-AM1990))</f>
        <v>7174</v>
      </c>
      <c r="AO1991" s="151">
        <f>AM1979</f>
        <v>30643.330740292586</v>
      </c>
      <c r="AP1991" s="135"/>
      <c r="AQ1991" s="132">
        <f>IF(AP1984&lt;=0,W_max,ABS(AP$23-AP1990))</f>
        <v>7174</v>
      </c>
      <c r="AR1991" s="151">
        <f>AP1979</f>
        <v>34187.794143340703</v>
      </c>
      <c r="AS1991" s="135"/>
      <c r="AT1991" s="132">
        <f>IF(AS1984&lt;=0,W_max,ABS(AS$23-AS1990))</f>
        <v>7174</v>
      </c>
      <c r="AU1991" s="151">
        <f>AS1979</f>
        <v>38142.239768035113</v>
      </c>
    </row>
    <row r="1992" spans="13:47" ht="13" x14ac:dyDescent="0.25">
      <c r="M1992" s="12"/>
      <c r="N1992" s="12"/>
      <c r="O1992" s="2"/>
      <c r="P1992" s="85"/>
      <c r="Q1992" s="2"/>
      <c r="R1992" s="18"/>
      <c r="S1992" s="150"/>
      <c r="T1992" s="152"/>
      <c r="U1992" s="157"/>
      <c r="V1992" s="1"/>
      <c r="W1992" s="147"/>
      <c r="X1992" s="157"/>
      <c r="Y1992" s="1"/>
      <c r="Z1992" s="147"/>
      <c r="AA1992" s="157"/>
      <c r="AB1992" s="1"/>
      <c r="AC1992" s="147"/>
      <c r="AD1992" s="157"/>
      <c r="AE1992" s="1"/>
      <c r="AF1992" s="147"/>
      <c r="AG1992" s="157"/>
      <c r="AH1992" s="1"/>
      <c r="AI1992" s="147"/>
      <c r="AJ1992" s="157"/>
      <c r="AK1992" s="1"/>
      <c r="AL1992" s="147"/>
      <c r="AM1992" s="157"/>
      <c r="AN1992" s="1"/>
      <c r="AO1992" s="147"/>
      <c r="AP1992" s="157"/>
      <c r="AQ1992" s="1"/>
      <c r="AR1992" s="147"/>
      <c r="AS1992" s="157"/>
      <c r="AT1992" s="1"/>
      <c r="AU1992" s="147"/>
    </row>
    <row r="1993" spans="13:47" ht="14" x14ac:dyDescent="0.3">
      <c r="M1993" s="23"/>
      <c r="N1993" s="23"/>
      <c r="O1993" s="23" t="s">
        <v>238</v>
      </c>
      <c r="P1993" s="20"/>
      <c r="Q1993" s="20"/>
      <c r="R1993" s="181">
        <f>R1979*1.02</f>
        <v>183.15953544757991</v>
      </c>
      <c r="S1993" s="128" t="s">
        <v>185</v>
      </c>
      <c r="T1993" s="153" t="s">
        <v>186</v>
      </c>
      <c r="U1993" s="143">
        <f>U1979*1.01</f>
        <v>1870.8110900934796</v>
      </c>
      <c r="V1993" s="128" t="s">
        <v>185</v>
      </c>
      <c r="W1993" s="153" t="s">
        <v>186</v>
      </c>
      <c r="X1993" s="143">
        <f>X1979*1.01</f>
        <v>4626.7384549306162</v>
      </c>
      <c r="Y1993" s="128" t="s">
        <v>185</v>
      </c>
      <c r="Z1993" s="153" t="s">
        <v>186</v>
      </c>
      <c r="AA1993" s="143">
        <f>AA1979*1.01</f>
        <v>9011.7055564354669</v>
      </c>
      <c r="AB1993" s="128" t="s">
        <v>185</v>
      </c>
      <c r="AC1993" s="153" t="s">
        <v>186</v>
      </c>
      <c r="AD1993" s="143">
        <f>AD1979*1.01</f>
        <v>14820.937727201101</v>
      </c>
      <c r="AE1993" s="128" t="s">
        <v>185</v>
      </c>
      <c r="AF1993" s="153" t="s">
        <v>186</v>
      </c>
      <c r="AG1993" s="143">
        <f>AG1979*1.01</f>
        <v>20787.50616962463</v>
      </c>
      <c r="AH1993" s="128" t="s">
        <v>185</v>
      </c>
      <c r="AI1993" s="153" t="s">
        <v>186</v>
      </c>
      <c r="AJ1993" s="143">
        <f>AJ1979*1.01</f>
        <v>26394.616840143346</v>
      </c>
      <c r="AK1993" s="128" t="s">
        <v>185</v>
      </c>
      <c r="AL1993" s="153" t="s">
        <v>186</v>
      </c>
      <c r="AM1993" s="143">
        <f>AM1979*1.01</f>
        <v>30949.764047695513</v>
      </c>
      <c r="AN1993" s="128" t="s">
        <v>185</v>
      </c>
      <c r="AO1993" s="153" t="s">
        <v>186</v>
      </c>
      <c r="AP1993" s="143">
        <f>AP1979*1.01</f>
        <v>34529.672084774109</v>
      </c>
      <c r="AQ1993" s="128" t="s">
        <v>185</v>
      </c>
      <c r="AR1993" s="153" t="s">
        <v>186</v>
      </c>
      <c r="AS1993" s="143">
        <f>AS1979*1.01</f>
        <v>38523.662165715468</v>
      </c>
      <c r="AT1993" s="128" t="s">
        <v>185</v>
      </c>
      <c r="AU1993" s="153" t="s">
        <v>186</v>
      </c>
    </row>
    <row r="1994" spans="13:47" ht="14" x14ac:dyDescent="0.3">
      <c r="M1994" s="12"/>
      <c r="N1994" s="12"/>
      <c r="O1994" s="20"/>
      <c r="P1994" s="20"/>
      <c r="Q1994" s="23"/>
      <c r="R1994" s="139"/>
      <c r="S1994" s="130" t="s">
        <v>228</v>
      </c>
      <c r="T1994" s="154" t="s">
        <v>187</v>
      </c>
      <c r="U1994" s="144"/>
      <c r="V1994" s="130" t="s">
        <v>228</v>
      </c>
      <c r="W1994" s="154" t="s">
        <v>187</v>
      </c>
      <c r="X1994" s="144"/>
      <c r="Y1994" s="130" t="s">
        <v>228</v>
      </c>
      <c r="Z1994" s="154" t="s">
        <v>187</v>
      </c>
      <c r="AA1994" s="144"/>
      <c r="AB1994" s="130" t="s">
        <v>228</v>
      </c>
      <c r="AC1994" s="154" t="s">
        <v>187</v>
      </c>
      <c r="AD1994" s="144"/>
      <c r="AE1994" s="130" t="s">
        <v>228</v>
      </c>
      <c r="AF1994" s="154" t="s">
        <v>187</v>
      </c>
      <c r="AG1994" s="144"/>
      <c r="AH1994" s="130" t="s">
        <v>228</v>
      </c>
      <c r="AI1994" s="154" t="s">
        <v>187</v>
      </c>
      <c r="AJ1994" s="144"/>
      <c r="AK1994" s="130" t="s">
        <v>228</v>
      </c>
      <c r="AL1994" s="154" t="s">
        <v>187</v>
      </c>
      <c r="AM1994" s="144"/>
      <c r="AN1994" s="130" t="s">
        <v>228</v>
      </c>
      <c r="AO1994" s="154" t="s">
        <v>187</v>
      </c>
      <c r="AP1994" s="144"/>
      <c r="AQ1994" s="130" t="s">
        <v>228</v>
      </c>
      <c r="AR1994" s="154" t="s">
        <v>187</v>
      </c>
      <c r="AS1994" s="144"/>
      <c r="AT1994" s="130" t="s">
        <v>228</v>
      </c>
      <c r="AU1994" s="154" t="s">
        <v>187</v>
      </c>
    </row>
    <row r="1995" spans="13:47" x14ac:dyDescent="0.25">
      <c r="M1995" s="20"/>
      <c r="N1995" s="20"/>
      <c r="O1995" s="7" t="s">
        <v>188</v>
      </c>
      <c r="P1995" s="7"/>
      <c r="Q1995" s="7"/>
      <c r="R1995" s="181">
        <f>P_1_minW-(R1993^2*R_up)+dpup_minQ</f>
        <v>100.50940930774112</v>
      </c>
      <c r="S1995" s="132"/>
      <c r="T1995" s="145"/>
      <c r="U1995" s="138">
        <f>P_1_minW-(U1993^2*R_up)+dpup_minQ</f>
        <v>99.127146573419893</v>
      </c>
      <c r="V1995" s="132"/>
      <c r="W1995" s="145"/>
      <c r="X1995" s="138">
        <f>P_1_minW-(X1993^2*R_up)+dpup_minQ</f>
        <v>91.986608249519577</v>
      </c>
      <c r="Y1995" s="132"/>
      <c r="Z1995" s="145"/>
      <c r="AA1995" s="138">
        <f>P_1_minW-(AA1993^2*R_up)+dpup_minQ</f>
        <v>68.139004214777088</v>
      </c>
      <c r="AB1995" s="132"/>
      <c r="AC1995" s="145"/>
      <c r="AD1995" s="138">
        <f>P_1_minW-(AD1993^2*R_up)+dpup_minQ</f>
        <v>12.930683922378165</v>
      </c>
      <c r="AE1995" s="132"/>
      <c r="AF1995" s="145"/>
      <c r="AG1995" s="138">
        <f>P_1_minW-(AG1993^2*R_up)+dpup_minQ</f>
        <v>-71.790342651134196</v>
      </c>
      <c r="AH1995" s="132"/>
      <c r="AI1995" s="145"/>
      <c r="AJ1995" s="138">
        <f>P_1_minW-(AJ1993^2*R_up)+dpup_minQ</f>
        <v>-177.28493398945554</v>
      </c>
      <c r="AK1995" s="132"/>
      <c r="AL1995" s="145"/>
      <c r="AM1995" s="138">
        <f>P_1_minW-(AM1993^2*R_up)+dpup_minQ</f>
        <v>-281.44634929970772</v>
      </c>
      <c r="AN1995" s="132"/>
      <c r="AO1995" s="145"/>
      <c r="AP1995" s="138">
        <f>P_1_minW-(AP1993^2*R_up)+dpup_minQ</f>
        <v>-374.9202548231803</v>
      </c>
      <c r="AQ1995" s="132"/>
      <c r="AR1995" s="145"/>
      <c r="AS1995" s="138">
        <f>P_1_minW-(AS1993^2*R_up)+dpup_minQ</f>
        <v>-491.26870750110584</v>
      </c>
      <c r="AT1995" s="132"/>
      <c r="AU1995" s="145"/>
    </row>
    <row r="1996" spans="13:47" x14ac:dyDescent="0.25">
      <c r="M1996" s="20"/>
      <c r="N1996" s="20"/>
      <c r="O1996" s="7" t="s">
        <v>189</v>
      </c>
      <c r="P1996" s="1"/>
      <c r="Q1996" s="7"/>
      <c r="R1996" s="181">
        <f>P_2_minW+(R1993^2*R_dn)-dpdn_minQ</f>
        <v>50</v>
      </c>
      <c r="S1996" s="132"/>
      <c r="T1996" s="146"/>
      <c r="U1996" s="138">
        <f>P_2_minW+(U1993^2*R_dn)-dpdn_minQ</f>
        <v>50</v>
      </c>
      <c r="V1996" s="132"/>
      <c r="W1996" s="146"/>
      <c r="X1996" s="138">
        <f>P_2_minW+(X1993^2*R_dn)-dpdn_minQ</f>
        <v>50</v>
      </c>
      <c r="Y1996" s="132"/>
      <c r="Z1996" s="146"/>
      <c r="AA1996" s="138">
        <f>P_2_minW+(AA1993^2*R_dn)-dpdn_minQ</f>
        <v>50</v>
      </c>
      <c r="AB1996" s="132"/>
      <c r="AC1996" s="146"/>
      <c r="AD1996" s="138">
        <f>P_2_minW+(AD1993^2*R_dn)-dpdn_minQ</f>
        <v>50</v>
      </c>
      <c r="AE1996" s="132"/>
      <c r="AF1996" s="146"/>
      <c r="AG1996" s="138">
        <f>P_2_minW+(AG1993^2*R_dn)-dpdn_minQ</f>
        <v>50</v>
      </c>
      <c r="AH1996" s="132"/>
      <c r="AI1996" s="146"/>
      <c r="AJ1996" s="138">
        <f>P_2_minW+(AJ1993^2*R_dn)-dpdn_minQ</f>
        <v>50</v>
      </c>
      <c r="AK1996" s="132"/>
      <c r="AL1996" s="146"/>
      <c r="AM1996" s="138">
        <f>P_2_minW+(AM1993^2*R_dn)-dpdn_minQ</f>
        <v>50</v>
      </c>
      <c r="AN1996" s="132"/>
      <c r="AO1996" s="146"/>
      <c r="AP1996" s="138">
        <f>P_2_minW+(AP1993^2*R_dn)-dpdn_minQ</f>
        <v>50</v>
      </c>
      <c r="AQ1996" s="132"/>
      <c r="AR1996" s="146"/>
      <c r="AS1996" s="138">
        <f>P_2_minW+(AS1993^2*R_dn)-dpdn_minQ</f>
        <v>50</v>
      </c>
      <c r="AT1996" s="132"/>
      <c r="AU1996" s="146"/>
    </row>
    <row r="1997" spans="13:47" x14ac:dyDescent="0.25">
      <c r="M1997" s="20"/>
      <c r="N1997" s="20"/>
      <c r="O1997" s="7" t="s">
        <v>234</v>
      </c>
      <c r="P1997" s="1"/>
      <c r="Q1997" s="7"/>
      <c r="R1997" s="179">
        <f>'Valve Sizing'!G$8*R1995/P_1_maxW</f>
        <v>0.48483949590316888</v>
      </c>
      <c r="S1997" s="132"/>
      <c r="T1997" s="146"/>
      <c r="U1997" s="143">
        <f>'Valve Sizing'!$G$8*U1995/P_1_maxW</f>
        <v>0.47817170656951469</v>
      </c>
      <c r="V1997" s="132"/>
      <c r="W1997" s="146"/>
      <c r="X1997" s="143">
        <f>'Valve Sizing'!$G$8*X1995/P_1_maxW</f>
        <v>0.44372702098951045</v>
      </c>
      <c r="Y1997" s="132"/>
      <c r="Z1997" s="146"/>
      <c r="AA1997" s="143">
        <f>'Valve Sizing'!$G$8*AA1995/P_1_maxW</f>
        <v>0.32869042493011635</v>
      </c>
      <c r="AB1997" s="132"/>
      <c r="AC1997" s="146"/>
      <c r="AD1997" s="143">
        <f>'Valve Sizing'!$G$8*AD1995/P_1_maxW</f>
        <v>6.237531707517642E-2</v>
      </c>
      <c r="AE1997" s="132"/>
      <c r="AF1997" s="146"/>
      <c r="AG1997" s="143">
        <f>'Valve Sizing'!$G$8*AG1995/P_1_maxW</f>
        <v>-0.3463038314663629</v>
      </c>
      <c r="AH1997" s="132"/>
      <c r="AI1997" s="146"/>
      <c r="AJ1997" s="143">
        <f>'Valve Sizing'!$G$8*AJ1995/P_1_maxW</f>
        <v>-0.85519095792809574</v>
      </c>
      <c r="AK1997" s="132"/>
      <c r="AL1997" s="146"/>
      <c r="AM1997" s="143">
        <f>'Valve Sizing'!$G$8*AM1995/P_1_maxW</f>
        <v>-1.3576470805877849</v>
      </c>
      <c r="AN1997" s="132"/>
      <c r="AO1997" s="146"/>
      <c r="AP1997" s="143">
        <f>'Valve Sizing'!$G$8*AP1995/P_1_maxW</f>
        <v>-1.8085485588298862</v>
      </c>
      <c r="AQ1997" s="132"/>
      <c r="AR1997" s="146"/>
      <c r="AS1997" s="143">
        <f>'Valve Sizing'!$G$8*AS1995/P_1_maxW</f>
        <v>-2.3697927799829648</v>
      </c>
      <c r="AT1997" s="132"/>
      <c r="AU1997" s="146"/>
    </row>
    <row r="1998" spans="13:47" x14ac:dyDescent="0.25">
      <c r="M1998" s="20"/>
      <c r="N1998" s="20"/>
      <c r="O1998" s="7" t="s">
        <v>190</v>
      </c>
      <c r="P1998" s="1"/>
      <c r="Q1998" s="7"/>
      <c r="R1998" s="181">
        <f>R1995-R1996</f>
        <v>50.509409307741123</v>
      </c>
      <c r="S1998" s="132"/>
      <c r="T1998" s="146"/>
      <c r="U1998" s="138">
        <f>U1995-U1996</f>
        <v>49.127146573419893</v>
      </c>
      <c r="V1998" s="132"/>
      <c r="W1998" s="146"/>
      <c r="X1998" s="138">
        <f>X1995-X1996</f>
        <v>41.986608249519577</v>
      </c>
      <c r="Y1998" s="132"/>
      <c r="Z1998" s="146"/>
      <c r="AA1998" s="138">
        <f>AA1995-AA1996</f>
        <v>18.139004214777088</v>
      </c>
      <c r="AB1998" s="132"/>
      <c r="AC1998" s="146"/>
      <c r="AD1998" s="138">
        <f>AD1995-AD1996</f>
        <v>-37.069316077621835</v>
      </c>
      <c r="AE1998" s="132"/>
      <c r="AF1998" s="146"/>
      <c r="AG1998" s="138">
        <f>AG1995-AG1996</f>
        <v>-121.7903426511342</v>
      </c>
      <c r="AH1998" s="132"/>
      <c r="AI1998" s="146"/>
      <c r="AJ1998" s="138">
        <f>AJ1995-AJ1996</f>
        <v>-227.28493398945554</v>
      </c>
      <c r="AK1998" s="132"/>
      <c r="AL1998" s="146"/>
      <c r="AM1998" s="138">
        <f>AM1995-AM1996</f>
        <v>-331.44634929970772</v>
      </c>
      <c r="AN1998" s="132"/>
      <c r="AO1998" s="146"/>
      <c r="AP1998" s="138">
        <f>AP1995-AP1996</f>
        <v>-424.9202548231803</v>
      </c>
      <c r="AQ1998" s="132"/>
      <c r="AR1998" s="146"/>
      <c r="AS1998" s="138">
        <f>AS1995-AS1996</f>
        <v>-541.26870750110584</v>
      </c>
      <c r="AT1998" s="132"/>
      <c r="AU1998" s="146"/>
    </row>
    <row r="1999" spans="13:47" ht="14.5" x14ac:dyDescent="0.35">
      <c r="M1999" s="27"/>
      <c r="N1999" s="27"/>
      <c r="O1999" s="2" t="s">
        <v>191</v>
      </c>
      <c r="P1999" s="10"/>
      <c r="Q1999" s="2"/>
      <c r="R1999" s="181">
        <f>R1998/R1995</f>
        <v>0.50253413740688402</v>
      </c>
      <c r="S1999" s="132"/>
      <c r="T1999" s="146"/>
      <c r="U1999" s="138">
        <f>U1998/U1995</f>
        <v>0.49559730378230138</v>
      </c>
      <c r="V1999" s="132"/>
      <c r="W1999" s="146"/>
      <c r="X1999" s="138">
        <f>X1998/X1995</f>
        <v>0.45644261755611432</v>
      </c>
      <c r="Y1999" s="132"/>
      <c r="Z1999" s="146"/>
      <c r="AA1999" s="138">
        <f>AA1998/AA1995</f>
        <v>0.26620588932591621</v>
      </c>
      <c r="AB1999" s="132"/>
      <c r="AC1999" s="146"/>
      <c r="AD1999" s="138">
        <f>AD1998/AD1995</f>
        <v>-2.866771494852546</v>
      </c>
      <c r="AE1999" s="132"/>
      <c r="AF1999" s="146"/>
      <c r="AG1999" s="138">
        <f>AG1998/AG1995</f>
        <v>1.6964725080499399</v>
      </c>
      <c r="AH1999" s="132"/>
      <c r="AI1999" s="146"/>
      <c r="AJ1999" s="138">
        <f>AJ1998/AJ1995</f>
        <v>1.2820318617879503</v>
      </c>
      <c r="AK1999" s="132"/>
      <c r="AL1999" s="146"/>
      <c r="AM1999" s="138">
        <f>AM1998/AM1995</f>
        <v>1.1776537522139106</v>
      </c>
      <c r="AN1999" s="132"/>
      <c r="AO1999" s="146"/>
      <c r="AP1999" s="138">
        <f>AP1998/AP1995</f>
        <v>1.1333616932048149</v>
      </c>
      <c r="AQ1999" s="132"/>
      <c r="AR1999" s="146"/>
      <c r="AS1999" s="138">
        <f>AS1998/AS1995</f>
        <v>1.1017772946588247</v>
      </c>
      <c r="AT1999" s="132"/>
      <c r="AU1999" s="146"/>
    </row>
    <row r="2000" spans="13:47" x14ac:dyDescent="0.25">
      <c r="M2000" s="27"/>
      <c r="N2000" s="27"/>
      <c r="O2000" s="2" t="s">
        <v>26</v>
      </c>
      <c r="P2000" s="7">
        <v>12</v>
      </c>
      <c r="Q2000" s="2"/>
      <c r="R2000" s="181">
        <f>1-R1999/(3*F_GAMMA*R$29)</f>
        <v>0.73827446263515872</v>
      </c>
      <c r="S2000" s="133"/>
      <c r="T2000" s="146"/>
      <c r="U2000" s="138">
        <f>1-U1999/(3*F_GAMMA*U$29)</f>
        <v>0.7419440750779871</v>
      </c>
      <c r="V2000" s="133"/>
      <c r="W2000" s="146"/>
      <c r="X2000" s="138">
        <f>1-X1999/(3*F_GAMMA*X$29)</f>
        <v>0.75876639315563066</v>
      </c>
      <c r="Y2000" s="133"/>
      <c r="Z2000" s="146"/>
      <c r="AA2000" s="138">
        <f>1-AA1999/(3*F_GAMMA*AA$29)</f>
        <v>0.8573789566508454</v>
      </c>
      <c r="AB2000" s="133"/>
      <c r="AC2000" s="146"/>
      <c r="AD2000" s="138">
        <f>1-AD1999/(3*F_GAMMA*AD$29)</f>
        <v>2.5779968946229186</v>
      </c>
      <c r="AE2000" s="133"/>
      <c r="AF2000" s="146"/>
      <c r="AG2000" s="138">
        <f>1-AG1999/(3*F_GAMMA*AG$29)</f>
        <v>1.2920883726359023E-2</v>
      </c>
      <c r="AH2000" s="133"/>
      <c r="AI2000" s="146"/>
      <c r="AJ2000" s="138">
        <f>1-AJ1999/(3*F_GAMMA*AJ$29)</f>
        <v>0.20257991764613459</v>
      </c>
      <c r="AK2000" s="133"/>
      <c r="AL2000" s="146"/>
      <c r="AM2000" s="138">
        <f>1-AM1999/(3*F_GAMMA*AM$29)</f>
        <v>0.19967231966739607</v>
      </c>
      <c r="AN2000" s="133"/>
      <c r="AO2000" s="146"/>
      <c r="AP2000" s="138">
        <f>1-AP1999/(3*F_GAMMA*AP$29)</f>
        <v>0.36349070033258601</v>
      </c>
      <c r="AQ2000" s="133"/>
      <c r="AR2000" s="146"/>
      <c r="AS2000" s="138">
        <f>1-AS1999/(3*F_GAMMA*AS$29)</f>
        <v>6.065165934270389E-2</v>
      </c>
      <c r="AT2000" s="133"/>
      <c r="AU2000" s="146"/>
    </row>
    <row r="2001" spans="13:47" x14ac:dyDescent="0.25">
      <c r="M2001" s="27"/>
      <c r="N2001" s="27"/>
      <c r="O2001" s="2" t="s">
        <v>71</v>
      </c>
      <c r="P2001" s="85">
        <v>5</v>
      </c>
      <c r="Q2001" s="2"/>
      <c r="R2001" s="179">
        <f>R1993/((N_6*R$27*R2000)*SQRT(R1999*R1995*R1997))</f>
        <v>0.79208957330242846</v>
      </c>
      <c r="S2001" s="133"/>
      <c r="T2001" s="146"/>
      <c r="U2001" s="143">
        <f>U1993/((N_6*U$27*U2000)*SQRT(U1999*U1995*U1997))</f>
        <v>8.2247701467927783</v>
      </c>
      <c r="V2001" s="133"/>
      <c r="W2001" s="146"/>
      <c r="X2001" s="143">
        <f>X1993/((N_6*X$27*X2000)*SQRT(X1999*X1995*X1997))</f>
        <v>22.383740617363635</v>
      </c>
      <c r="Y2001" s="133"/>
      <c r="Z2001" s="146"/>
      <c r="AA2001" s="143">
        <f>AA1993/((N_6*AA$27*AA2000)*SQRT(AA1999*AA1995*AA1997))</f>
        <v>68.596766485665938</v>
      </c>
      <c r="AB2001" s="133"/>
      <c r="AC2001" s="146"/>
      <c r="AD2001" s="143" t="e">
        <f>AD1993/((N_6*AD$27*AD2000)*SQRT(AD1999*AD1995*AD1997))</f>
        <v>#NUM!</v>
      </c>
      <c r="AE2001" s="133"/>
      <c r="AF2001" s="146"/>
      <c r="AG2001" s="143">
        <f>AG1993/((N_6*AG$27*AG2000)*SQRT(AG1999*AG1995*AG1997))</f>
        <v>4080.9400865961866</v>
      </c>
      <c r="AH2001" s="133"/>
      <c r="AI2001" s="146"/>
      <c r="AJ2001" s="143">
        <f>AJ1993/((N_6*AJ$27*AJ2000)*SQRT(AJ1999*AJ1995*AJ1997))</f>
        <v>159.23802900686638</v>
      </c>
      <c r="AK2001" s="133"/>
      <c r="AL2001" s="146"/>
      <c r="AM2001" s="143">
        <f>AM1993/((N_6*AM$27*AM2000)*SQRT(AM1999*AM1995*AM1997))</f>
        <v>132.15036109533602</v>
      </c>
      <c r="AN2001" s="133"/>
      <c r="AO2001" s="146"/>
      <c r="AP2001" s="143">
        <f>AP1993/((N_6*AP$27*AP2000)*SQRT(AP1999*AP1995*AP1997))</f>
        <v>70.398500562856967</v>
      </c>
      <c r="AQ2001" s="133"/>
      <c r="AR2001" s="146"/>
      <c r="AS2001" s="143">
        <f>AS1993/((N_6*AS$27*AS2000)*SQRT(AS1999*AS1995*AS1997))</f>
        <v>478.73338455574327</v>
      </c>
      <c r="AT2001" s="133"/>
      <c r="AU2001" s="146"/>
    </row>
    <row r="2002" spans="13:47" x14ac:dyDescent="0.25">
      <c r="M2002" s="27"/>
      <c r="N2002" s="27"/>
      <c r="O2002" s="2" t="s">
        <v>73</v>
      </c>
      <c r="P2002" s="85">
        <v>5</v>
      </c>
      <c r="Q2002" s="2"/>
      <c r="R2002" s="179">
        <f>R1993/((N_6*R$27*0.667)*SQRT(R2003*R1995*R1997))</f>
        <v>0.77687292529800756</v>
      </c>
      <c r="S2002" s="133"/>
      <c r="T2002" s="155"/>
      <c r="U2002" s="143">
        <f>U1993/((N_6*U$27*0.667)*SQRT(U2003*U1995*U1997))</f>
        <v>8.0498289412408131</v>
      </c>
      <c r="V2002" s="133"/>
      <c r="W2002" s="155"/>
      <c r="X2002" s="143">
        <f>X1993/((N_6*X$27*0.667)*SQRT(X2003*X1995*X1997))</f>
        <v>21.661795438709113</v>
      </c>
      <c r="Y2002" s="133"/>
      <c r="Z2002" s="155"/>
      <c r="AA2002" s="143">
        <f>AA1993/((N_6*AA$27*0.667)*SQRT(AA2003*AA1995*AA1997))</f>
        <v>57.677053061408515</v>
      </c>
      <c r="AB2002" s="133"/>
      <c r="AC2002" s="155"/>
      <c r="AD2002" s="143">
        <f>AD1993/((N_6*AD$27*0.667)*SQRT(AD2003*AD1995*AD1997))</f>
        <v>512.7011324984602</v>
      </c>
      <c r="AE2002" s="133"/>
      <c r="AF2002" s="155"/>
      <c r="AG2002" s="143">
        <f>AG1993/((N_6*AG$27*0.667)*SQRT(AG2003*AG1995*AG1997))</f>
        <v>136.03893157210808</v>
      </c>
      <c r="AH2002" s="133"/>
      <c r="AI2002" s="155"/>
      <c r="AJ2002" s="143">
        <f>AJ1993/((N_6*AJ$27*0.667)*SQRT(AJ2003*AJ1995*AJ1997))</f>
        <v>74.803438481477386</v>
      </c>
      <c r="AK2002" s="133"/>
      <c r="AL2002" s="155"/>
      <c r="AM2002" s="143">
        <f>AM1993/((N_6*AM$27*0.667)*SQRT(AM2003*AM1995*AM1997))</f>
        <v>61.299217378380291</v>
      </c>
      <c r="AN2002" s="133"/>
      <c r="AO2002" s="155"/>
      <c r="AP2002" s="143">
        <f>AP1993/((N_6*AP$27*0.667)*SQRT(AP2003*AP1995*AP1997))</f>
        <v>53.01440400300703</v>
      </c>
      <c r="AQ2002" s="133"/>
      <c r="AR2002" s="155"/>
      <c r="AS2002" s="143">
        <f>AS1993/((N_6*AS$27*0.667)*SQRT(AS2003*AS1995*AS1997))</f>
        <v>73.077642906360509</v>
      </c>
      <c r="AT2002" s="133"/>
      <c r="AU2002" s="155"/>
    </row>
    <row r="2003" spans="13:47" ht="15.5" x14ac:dyDescent="0.4">
      <c r="M2003" s="27"/>
      <c r="N2003" s="27"/>
      <c r="O2003" s="2" t="s">
        <v>192</v>
      </c>
      <c r="P2003" s="85">
        <v>10</v>
      </c>
      <c r="Q2003" s="2"/>
      <c r="R2003" s="181">
        <f>F_GAMMA*R$29</f>
        <v>0.64002688015162901</v>
      </c>
      <c r="S2003" s="133"/>
      <c r="T2003" s="155"/>
      <c r="U2003" s="138">
        <f>F_GAMMA*U$29</f>
        <v>0.64016782916606918</v>
      </c>
      <c r="V2003" s="133"/>
      <c r="W2003" s="155"/>
      <c r="X2003" s="138">
        <f>F_GAMMA*X$29</f>
        <v>0.6307062319203669</v>
      </c>
      <c r="Y2003" s="133"/>
      <c r="Z2003" s="155"/>
      <c r="AA2003" s="138">
        <f>F_GAMMA*AA$29</f>
        <v>0.62217534213893466</v>
      </c>
      <c r="AB2003" s="133"/>
      <c r="AC2003" s="155"/>
      <c r="AD2003" s="138">
        <f>F_GAMMA*AD$29</f>
        <v>0.60557184969146072</v>
      </c>
      <c r="AE2003" s="133"/>
      <c r="AF2003" s="155"/>
      <c r="AG2003" s="138">
        <f>F_GAMMA*AG$29</f>
        <v>0.57289312142622573</v>
      </c>
      <c r="AH2003" s="133"/>
      <c r="AI2003" s="155"/>
      <c r="AJ2003" s="138">
        <f>F_GAMMA*AJ$29</f>
        <v>0.53590819116049981</v>
      </c>
      <c r="AK2003" s="133"/>
      <c r="AL2003" s="155"/>
      <c r="AM2003" s="138">
        <f>F_GAMMA*AM$29</f>
        <v>0.49048815926850342</v>
      </c>
      <c r="AN2003" s="133"/>
      <c r="AO2003" s="155"/>
      <c r="AP2003" s="138">
        <f>F_GAMMA*AP$29</f>
        <v>0.59352979016280105</v>
      </c>
      <c r="AQ2003" s="133"/>
      <c r="AR2003" s="155"/>
      <c r="AS2003" s="138">
        <f>F_GAMMA*AS$29</f>
        <v>0.39097221161068291</v>
      </c>
      <c r="AT2003" s="133"/>
      <c r="AU2003" s="155"/>
    </row>
    <row r="2004" spans="13:47" x14ac:dyDescent="0.25">
      <c r="M2004" s="27"/>
      <c r="N2004" s="27"/>
      <c r="O2004" s="2" t="s">
        <v>193</v>
      </c>
      <c r="P2004" s="134"/>
      <c r="Q2004" s="2"/>
      <c r="R2004" s="181">
        <f>IF(R1999&lt;R2003,R2001,R2002)</f>
        <v>0.79208957330242846</v>
      </c>
      <c r="S2004" s="133"/>
      <c r="T2004" s="155"/>
      <c r="U2004" s="138">
        <f>IF(U1999&lt;U2003,U2001,U2002)</f>
        <v>8.2247701467927783</v>
      </c>
      <c r="V2004" s="133"/>
      <c r="W2004" s="155"/>
      <c r="X2004" s="138">
        <f>IF(X1999&lt;X2003,X2001,X2002)</f>
        <v>22.383740617363635</v>
      </c>
      <c r="Y2004" s="133"/>
      <c r="Z2004" s="155"/>
      <c r="AA2004" s="138">
        <f>IF(AA1999&lt;AA2003,AA2001,AA2002)</f>
        <v>68.596766485665938</v>
      </c>
      <c r="AB2004" s="133"/>
      <c r="AC2004" s="155"/>
      <c r="AD2004" s="138" t="e">
        <f>IF(AD1999&lt;AD2003,AD2001,AD2002)</f>
        <v>#NUM!</v>
      </c>
      <c r="AE2004" s="133"/>
      <c r="AF2004" s="155"/>
      <c r="AG2004" s="138">
        <f>IF(AG1999&lt;AG2003,AG2001,AG2002)</f>
        <v>136.03893157210808</v>
      </c>
      <c r="AH2004" s="133"/>
      <c r="AI2004" s="155"/>
      <c r="AJ2004" s="138">
        <f>IF(AJ1999&lt;AJ2003,AJ2001,AJ2002)</f>
        <v>74.803438481477386</v>
      </c>
      <c r="AK2004" s="133"/>
      <c r="AL2004" s="155"/>
      <c r="AM2004" s="138">
        <f>IF(AM1999&lt;AM2003,AM2001,AM2002)</f>
        <v>61.299217378380291</v>
      </c>
      <c r="AN2004" s="133"/>
      <c r="AO2004" s="155"/>
      <c r="AP2004" s="138">
        <f>IF(AP1999&lt;AP2003,AP2001,AP2002)</f>
        <v>53.01440400300703</v>
      </c>
      <c r="AQ2004" s="133"/>
      <c r="AR2004" s="155"/>
      <c r="AS2004" s="138">
        <f>IF(AS1999&lt;AS2003,AS2001,AS2002)</f>
        <v>73.077642906360509</v>
      </c>
      <c r="AT2004" s="133"/>
      <c r="AU2004" s="155"/>
    </row>
    <row r="2005" spans="13:47" ht="13" x14ac:dyDescent="0.3">
      <c r="M2005" s="28"/>
      <c r="N2005" s="28"/>
      <c r="O2005" s="9" t="s">
        <v>194</v>
      </c>
      <c r="P2005" s="1"/>
      <c r="Q2005" s="1"/>
      <c r="R2005" s="135"/>
      <c r="S2005" s="132">
        <f>IF(R1998&lt;=0,W_max,ABS(R$23-R2004))</f>
        <v>1.2079104266975715</v>
      </c>
      <c r="T2005" s="151">
        <f>R1993</f>
        <v>183.15953544757991</v>
      </c>
      <c r="U2005" s="135"/>
      <c r="V2005" s="132">
        <f>IF(U1998&lt;=0,W_max,ABS(U$23-U2004))</f>
        <v>3.2247701467927783</v>
      </c>
      <c r="W2005" s="151">
        <f>U1993</f>
        <v>1870.8110900934796</v>
      </c>
      <c r="X2005" s="135"/>
      <c r="Y2005" s="132">
        <f>IF(X1998&lt;=0,W_max,ABS(X$23-X2004))</f>
        <v>12.383740617363635</v>
      </c>
      <c r="Z2005" s="151">
        <f>X1993</f>
        <v>4626.7384549306162</v>
      </c>
      <c r="AA2005" s="135"/>
      <c r="AB2005" s="132">
        <f>IF(AA1998&lt;=0,W_max,ABS(AA$23-AA2004))</f>
        <v>51.396766485665935</v>
      </c>
      <c r="AC2005" s="151">
        <f>AA1993</f>
        <v>9011.7055564354669</v>
      </c>
      <c r="AD2005" s="135"/>
      <c r="AE2005" s="132">
        <f>IF(AD1998&lt;=0,W_max,ABS(AD$23-AD2004))</f>
        <v>7174</v>
      </c>
      <c r="AF2005" s="151">
        <f>AD1993</f>
        <v>14820.937727201101</v>
      </c>
      <c r="AG2005" s="135"/>
      <c r="AH2005" s="132">
        <f>IF(AG1998&lt;=0,W_max,ABS(AG$23-AG2004))</f>
        <v>7174</v>
      </c>
      <c r="AI2005" s="151">
        <f>AG1993</f>
        <v>20787.50616962463</v>
      </c>
      <c r="AJ2005" s="135"/>
      <c r="AK2005" s="132">
        <f>IF(AJ1998&lt;=0,W_max,ABS(AJ$23-AJ2004))</f>
        <v>7174</v>
      </c>
      <c r="AL2005" s="151">
        <f>AJ1993</f>
        <v>26394.616840143346</v>
      </c>
      <c r="AM2005" s="135"/>
      <c r="AN2005" s="132">
        <f>IF(AM1998&lt;=0,W_max,ABS(AM$23-AM2004))</f>
        <v>7174</v>
      </c>
      <c r="AO2005" s="151">
        <f>AM1993</f>
        <v>30949.764047695513</v>
      </c>
      <c r="AP2005" s="135"/>
      <c r="AQ2005" s="132">
        <f>IF(AP1998&lt;=0,W_max,ABS(AP$23-AP2004))</f>
        <v>7174</v>
      </c>
      <c r="AR2005" s="151">
        <f>AP1993</f>
        <v>34529.672084774109</v>
      </c>
      <c r="AS2005" s="135"/>
      <c r="AT2005" s="132">
        <f>IF(AS1998&lt;=0,W_max,ABS(AS$23-AS2004))</f>
        <v>7174</v>
      </c>
      <c r="AU2005" s="151">
        <f>AS1993</f>
        <v>38523.662165715468</v>
      </c>
    </row>
    <row r="2006" spans="13:47" ht="13" x14ac:dyDescent="0.25">
      <c r="M2006" s="12"/>
      <c r="N2006" s="12"/>
      <c r="O2006" s="2"/>
      <c r="P2006" s="85"/>
      <c r="Q2006" s="2"/>
      <c r="R2006" s="18"/>
      <c r="S2006" s="150"/>
      <c r="T2006" s="148"/>
      <c r="U2006" s="157"/>
      <c r="V2006" s="1"/>
      <c r="W2006" s="147"/>
      <c r="X2006" s="157"/>
      <c r="Y2006" s="1"/>
      <c r="Z2006" s="147"/>
      <c r="AA2006" s="157"/>
      <c r="AB2006" s="1"/>
      <c r="AC2006" s="147"/>
      <c r="AD2006" s="157"/>
      <c r="AE2006" s="1"/>
      <c r="AF2006" s="147"/>
      <c r="AG2006" s="157"/>
      <c r="AH2006" s="1"/>
      <c r="AI2006" s="147"/>
      <c r="AJ2006" s="157"/>
      <c r="AK2006" s="1"/>
      <c r="AL2006" s="147"/>
      <c r="AM2006" s="157"/>
      <c r="AN2006" s="1"/>
      <c r="AO2006" s="147"/>
      <c r="AP2006" s="157"/>
      <c r="AQ2006" s="1"/>
      <c r="AR2006" s="147"/>
      <c r="AS2006" s="157"/>
      <c r="AT2006" s="1"/>
      <c r="AU2006" s="147"/>
    </row>
    <row r="2007" spans="13:47" ht="14" x14ac:dyDescent="0.3">
      <c r="M2007" s="23"/>
      <c r="N2007" s="23"/>
      <c r="O2007" s="23" t="s">
        <v>238</v>
      </c>
      <c r="P2007" s="20"/>
      <c r="Q2007" s="20"/>
      <c r="R2007" s="181">
        <f>R1993*1.02</f>
        <v>186.8227261565315</v>
      </c>
      <c r="S2007" s="128" t="s">
        <v>185</v>
      </c>
      <c r="T2007" s="149" t="s">
        <v>186</v>
      </c>
      <c r="U2007" s="143">
        <f>U1993*1.01</f>
        <v>1889.5192009944144</v>
      </c>
      <c r="V2007" s="128" t="s">
        <v>185</v>
      </c>
      <c r="W2007" s="153" t="s">
        <v>186</v>
      </c>
      <c r="X2007" s="143">
        <f>X1993*1.01</f>
        <v>4673.0058394799225</v>
      </c>
      <c r="Y2007" s="128" t="s">
        <v>185</v>
      </c>
      <c r="Z2007" s="153" t="s">
        <v>186</v>
      </c>
      <c r="AA2007" s="143">
        <f>AA1993*1.01</f>
        <v>9101.8226119998217</v>
      </c>
      <c r="AB2007" s="128" t="s">
        <v>185</v>
      </c>
      <c r="AC2007" s="153" t="s">
        <v>186</v>
      </c>
      <c r="AD2007" s="143">
        <f>AD1993*1.01</f>
        <v>14969.147104473112</v>
      </c>
      <c r="AE2007" s="128" t="s">
        <v>185</v>
      </c>
      <c r="AF2007" s="153" t="s">
        <v>186</v>
      </c>
      <c r="AG2007" s="143">
        <f>AG1993*1.01</f>
        <v>20995.381231320876</v>
      </c>
      <c r="AH2007" s="128" t="s">
        <v>185</v>
      </c>
      <c r="AI2007" s="153" t="s">
        <v>186</v>
      </c>
      <c r="AJ2007" s="143">
        <f>AJ1993*1.01</f>
        <v>26658.563008544781</v>
      </c>
      <c r="AK2007" s="128" t="s">
        <v>185</v>
      </c>
      <c r="AL2007" s="153" t="s">
        <v>186</v>
      </c>
      <c r="AM2007" s="143">
        <f>AM1993*1.01</f>
        <v>31259.261688172468</v>
      </c>
      <c r="AN2007" s="128" t="s">
        <v>185</v>
      </c>
      <c r="AO2007" s="153" t="s">
        <v>186</v>
      </c>
      <c r="AP2007" s="143">
        <f>AP1993*1.01</f>
        <v>34874.968805621851</v>
      </c>
      <c r="AQ2007" s="128" t="s">
        <v>185</v>
      </c>
      <c r="AR2007" s="153" t="s">
        <v>186</v>
      </c>
      <c r="AS2007" s="143">
        <f>AS1993*1.01</f>
        <v>38908.898787372622</v>
      </c>
      <c r="AT2007" s="128" t="s">
        <v>185</v>
      </c>
      <c r="AU2007" s="153" t="s">
        <v>186</v>
      </c>
    </row>
    <row r="2008" spans="13:47" ht="14" x14ac:dyDescent="0.3">
      <c r="M2008" s="12"/>
      <c r="N2008" s="12"/>
      <c r="O2008" s="20"/>
      <c r="P2008" s="20"/>
      <c r="Q2008" s="23"/>
      <c r="R2008" s="139"/>
      <c r="S2008" s="130" t="s">
        <v>228</v>
      </c>
      <c r="T2008" s="131" t="s">
        <v>187</v>
      </c>
      <c r="U2008" s="144"/>
      <c r="V2008" s="130" t="s">
        <v>228</v>
      </c>
      <c r="W2008" s="154" t="s">
        <v>187</v>
      </c>
      <c r="X2008" s="144"/>
      <c r="Y2008" s="130" t="s">
        <v>228</v>
      </c>
      <c r="Z2008" s="154" t="s">
        <v>187</v>
      </c>
      <c r="AA2008" s="144"/>
      <c r="AB2008" s="130" t="s">
        <v>228</v>
      </c>
      <c r="AC2008" s="154" t="s">
        <v>187</v>
      </c>
      <c r="AD2008" s="144"/>
      <c r="AE2008" s="130" t="s">
        <v>228</v>
      </c>
      <c r="AF2008" s="154" t="s">
        <v>187</v>
      </c>
      <c r="AG2008" s="144"/>
      <c r="AH2008" s="130" t="s">
        <v>228</v>
      </c>
      <c r="AI2008" s="154" t="s">
        <v>187</v>
      </c>
      <c r="AJ2008" s="144"/>
      <c r="AK2008" s="130" t="s">
        <v>228</v>
      </c>
      <c r="AL2008" s="154" t="s">
        <v>187</v>
      </c>
      <c r="AM2008" s="144"/>
      <c r="AN2008" s="130" t="s">
        <v>228</v>
      </c>
      <c r="AO2008" s="154" t="s">
        <v>187</v>
      </c>
      <c r="AP2008" s="144"/>
      <c r="AQ2008" s="130" t="s">
        <v>228</v>
      </c>
      <c r="AR2008" s="154" t="s">
        <v>187</v>
      </c>
      <c r="AS2008" s="144"/>
      <c r="AT2008" s="130" t="s">
        <v>228</v>
      </c>
      <c r="AU2008" s="154" t="s">
        <v>187</v>
      </c>
    </row>
    <row r="2009" spans="13:47" x14ac:dyDescent="0.25">
      <c r="M2009" s="20"/>
      <c r="N2009" s="20"/>
      <c r="O2009" s="7" t="s">
        <v>188</v>
      </c>
      <c r="P2009" s="7"/>
      <c r="Q2009" s="7"/>
      <c r="R2009" s="181">
        <f>P_1_minW-(R2007^2*R_up)+dpup_minQ</f>
        <v>100.5088688596101</v>
      </c>
      <c r="S2009" s="132"/>
      <c r="T2009" s="145"/>
      <c r="U2009" s="138">
        <f>P_1_minW-(U2007^2*R_up)+dpup_minQ</f>
        <v>99.099094206137437</v>
      </c>
      <c r="V2009" s="132"/>
      <c r="W2009" s="145"/>
      <c r="X2009" s="138">
        <f>P_1_minW-(X2007^2*R_up)+dpup_minQ</f>
        <v>91.815031061926717</v>
      </c>
      <c r="Y2009" s="132"/>
      <c r="Z2009" s="145"/>
      <c r="AA2009" s="138">
        <f>P_1_minW-(AA2007^2*R_up)+dpup_minQ</f>
        <v>67.488090186085898</v>
      </c>
      <c r="AB2009" s="132"/>
      <c r="AC2009" s="145"/>
      <c r="AD2009" s="138">
        <f>P_1_minW-(AD2007^2*R_up)+dpup_minQ</f>
        <v>11.17008265580975</v>
      </c>
      <c r="AE2009" s="132"/>
      <c r="AF2009" s="145"/>
      <c r="AG2009" s="138">
        <f>P_1_minW-(AG2007^2*R_up)+dpup_minQ</f>
        <v>-75.25383655183019</v>
      </c>
      <c r="AH2009" s="132"/>
      <c r="AI2009" s="145"/>
      <c r="AJ2009" s="138">
        <f>P_1_minW-(AJ2007^2*R_up)+dpup_minQ</f>
        <v>-182.86886917605185</v>
      </c>
      <c r="AK2009" s="132"/>
      <c r="AL2009" s="145"/>
      <c r="AM2009" s="138">
        <f>P_1_minW-(AM2007^2*R_up)+dpup_minQ</f>
        <v>-289.12392893404007</v>
      </c>
      <c r="AN2009" s="132"/>
      <c r="AO2009" s="145"/>
      <c r="AP2009" s="138">
        <f>P_1_minW-(AP2007^2*R_up)+dpup_minQ</f>
        <v>-384.47665995853441</v>
      </c>
      <c r="AQ2009" s="132"/>
      <c r="AR2009" s="145"/>
      <c r="AS2009" s="138">
        <f>P_1_minW-(AS2007^2*R_up)+dpup_minQ</f>
        <v>-503.16371653528631</v>
      </c>
      <c r="AT2009" s="132"/>
      <c r="AU2009" s="145"/>
    </row>
    <row r="2010" spans="13:47" x14ac:dyDescent="0.25">
      <c r="M2010" s="20"/>
      <c r="N2010" s="20"/>
      <c r="O2010" s="7" t="s">
        <v>189</v>
      </c>
      <c r="P2010" s="1"/>
      <c r="Q2010" s="7"/>
      <c r="R2010" s="181">
        <f>P_2_minW+(R2007^2*R_dn)-dpdn_minQ</f>
        <v>50</v>
      </c>
      <c r="S2010" s="132"/>
      <c r="T2010" s="146"/>
      <c r="U2010" s="138">
        <f>P_2_minW+(U2007^2*R_dn)-dpdn_minQ</f>
        <v>50</v>
      </c>
      <c r="V2010" s="132"/>
      <c r="W2010" s="146"/>
      <c r="X2010" s="138">
        <f>P_2_minW+(X2007^2*R_dn)-dpdn_minQ</f>
        <v>50</v>
      </c>
      <c r="Y2010" s="132"/>
      <c r="Z2010" s="146"/>
      <c r="AA2010" s="138">
        <f>P_2_minW+(AA2007^2*R_dn)-dpdn_minQ</f>
        <v>50</v>
      </c>
      <c r="AB2010" s="132"/>
      <c r="AC2010" s="146"/>
      <c r="AD2010" s="138">
        <f>P_2_minW+(AD2007^2*R_dn)-dpdn_minQ</f>
        <v>50</v>
      </c>
      <c r="AE2010" s="132"/>
      <c r="AF2010" s="146"/>
      <c r="AG2010" s="138">
        <f>P_2_minW+(AG2007^2*R_dn)-dpdn_minQ</f>
        <v>50</v>
      </c>
      <c r="AH2010" s="132"/>
      <c r="AI2010" s="146"/>
      <c r="AJ2010" s="138">
        <f>P_2_minW+(AJ2007^2*R_dn)-dpdn_minQ</f>
        <v>50</v>
      </c>
      <c r="AK2010" s="132"/>
      <c r="AL2010" s="146"/>
      <c r="AM2010" s="138">
        <f>P_2_minW+(AM2007^2*R_dn)-dpdn_minQ</f>
        <v>50</v>
      </c>
      <c r="AN2010" s="132"/>
      <c r="AO2010" s="146"/>
      <c r="AP2010" s="138">
        <f>P_2_minW+(AP2007^2*R_dn)-dpdn_minQ</f>
        <v>50</v>
      </c>
      <c r="AQ2010" s="132"/>
      <c r="AR2010" s="146"/>
      <c r="AS2010" s="138">
        <f>P_2_minW+(AS2007^2*R_dn)-dpdn_minQ</f>
        <v>50</v>
      </c>
      <c r="AT2010" s="132"/>
      <c r="AU2010" s="146"/>
    </row>
    <row r="2011" spans="13:47" x14ac:dyDescent="0.25">
      <c r="M2011" s="20"/>
      <c r="N2011" s="20"/>
      <c r="O2011" s="7" t="s">
        <v>234</v>
      </c>
      <c r="P2011" s="1"/>
      <c r="Q2011" s="7"/>
      <c r="R2011" s="179">
        <f>'Valve Sizing'!G$8*R2009/P_1_maxW</f>
        <v>0.48483688887760568</v>
      </c>
      <c r="S2011" s="132"/>
      <c r="T2011" s="146"/>
      <c r="U2011" s="143">
        <f>'Valve Sizing'!$G$8*U2009/P_1_maxW</f>
        <v>0.47803638694416029</v>
      </c>
      <c r="V2011" s="132"/>
      <c r="W2011" s="146"/>
      <c r="X2011" s="143">
        <f>'Valve Sizing'!$G$8*X2009/P_1_maxW</f>
        <v>0.44289936318399797</v>
      </c>
      <c r="Y2011" s="132"/>
      <c r="Z2011" s="146"/>
      <c r="AA2011" s="143">
        <f>'Valve Sizing'!$G$8*AA2009/P_1_maxW</f>
        <v>0.32555053154380997</v>
      </c>
      <c r="AB2011" s="132"/>
      <c r="AC2011" s="146"/>
      <c r="AD2011" s="143">
        <f>'Valve Sizing'!$G$8*AD2009/P_1_maxW</f>
        <v>5.3882490020985704E-2</v>
      </c>
      <c r="AE2011" s="132"/>
      <c r="AF2011" s="146"/>
      <c r="AG2011" s="143">
        <f>'Valve Sizing'!$G$8*AG2009/P_1_maxW</f>
        <v>-0.36301110940623843</v>
      </c>
      <c r="AH2011" s="132"/>
      <c r="AI2011" s="146"/>
      <c r="AJ2011" s="143">
        <f>'Valve Sizing'!$G$8*AJ2009/P_1_maxW</f>
        <v>-0.88212686710985244</v>
      </c>
      <c r="AK2011" s="132"/>
      <c r="AL2011" s="146"/>
      <c r="AM2011" s="143">
        <f>'Valve Sizing'!$G$8*AM2009/P_1_maxW</f>
        <v>-1.3946823578350012</v>
      </c>
      <c r="AN2011" s="132"/>
      <c r="AO2011" s="146"/>
      <c r="AP2011" s="143">
        <f>'Valve Sizing'!$G$8*AP2009/P_1_maxW</f>
        <v>-1.8546469557897685</v>
      </c>
      <c r="AQ2011" s="132"/>
      <c r="AR2011" s="146"/>
      <c r="AS2011" s="143">
        <f>'Valve Sizing'!$G$8*AS2009/P_1_maxW</f>
        <v>-2.4271721857880242</v>
      </c>
      <c r="AT2011" s="132"/>
      <c r="AU2011" s="146"/>
    </row>
    <row r="2012" spans="13:47" x14ac:dyDescent="0.25">
      <c r="M2012" s="20"/>
      <c r="N2012" s="20"/>
      <c r="O2012" s="7" t="s">
        <v>190</v>
      </c>
      <c r="P2012" s="1"/>
      <c r="Q2012" s="7"/>
      <c r="R2012" s="181">
        <f>R2009-R2010</f>
        <v>50.508868859610104</v>
      </c>
      <c r="S2012" s="132"/>
      <c r="T2012" s="146"/>
      <c r="U2012" s="138">
        <f>U2009-U2010</f>
        <v>49.099094206137437</v>
      </c>
      <c r="V2012" s="132"/>
      <c r="W2012" s="146"/>
      <c r="X2012" s="138">
        <f>X2009-X2010</f>
        <v>41.815031061926717</v>
      </c>
      <c r="Y2012" s="132"/>
      <c r="Z2012" s="146"/>
      <c r="AA2012" s="138">
        <f>AA2009-AA2010</f>
        <v>17.488090186085898</v>
      </c>
      <c r="AB2012" s="132"/>
      <c r="AC2012" s="146"/>
      <c r="AD2012" s="138">
        <f>AD2009-AD2010</f>
        <v>-38.82991734419025</v>
      </c>
      <c r="AE2012" s="132"/>
      <c r="AF2012" s="146"/>
      <c r="AG2012" s="138">
        <f>AG2009-AG2010</f>
        <v>-125.25383655183019</v>
      </c>
      <c r="AH2012" s="132"/>
      <c r="AI2012" s="146"/>
      <c r="AJ2012" s="138">
        <f>AJ2009-AJ2010</f>
        <v>-232.86886917605185</v>
      </c>
      <c r="AK2012" s="132"/>
      <c r="AL2012" s="146"/>
      <c r="AM2012" s="138">
        <f>AM2009-AM2010</f>
        <v>-339.12392893404007</v>
      </c>
      <c r="AN2012" s="132"/>
      <c r="AO2012" s="146"/>
      <c r="AP2012" s="138">
        <f>AP2009-AP2010</f>
        <v>-434.47665995853441</v>
      </c>
      <c r="AQ2012" s="132"/>
      <c r="AR2012" s="146"/>
      <c r="AS2012" s="138">
        <f>AS2009-AS2010</f>
        <v>-553.16371653528631</v>
      </c>
      <c r="AT2012" s="132"/>
      <c r="AU2012" s="146"/>
    </row>
    <row r="2013" spans="13:47" ht="14.5" x14ac:dyDescent="0.35">
      <c r="M2013" s="27"/>
      <c r="N2013" s="27"/>
      <c r="O2013" s="2" t="s">
        <v>191</v>
      </c>
      <c r="P2013" s="10"/>
      <c r="Q2013" s="2"/>
      <c r="R2013" s="181">
        <f>R2012/R2009</f>
        <v>0.50253146247382852</v>
      </c>
      <c r="S2013" s="132"/>
      <c r="T2013" s="146"/>
      <c r="U2013" s="138">
        <f>U2012/U2009</f>
        <v>0.49545452054289935</v>
      </c>
      <c r="V2013" s="132"/>
      <c r="W2013" s="146"/>
      <c r="X2013" s="138">
        <f>X2012/X2009</f>
        <v>0.45542685743605127</v>
      </c>
      <c r="Y2013" s="132"/>
      <c r="Z2013" s="146"/>
      <c r="AA2013" s="138">
        <f>AA2012/AA2009</f>
        <v>0.25912853864831159</v>
      </c>
      <c r="AB2013" s="132"/>
      <c r="AC2013" s="146"/>
      <c r="AD2013" s="138">
        <f>AD2012/AD2009</f>
        <v>-3.4762426152678598</v>
      </c>
      <c r="AE2013" s="132"/>
      <c r="AF2013" s="146"/>
      <c r="AG2013" s="138">
        <f>AG2012/AG2009</f>
        <v>1.6644179525061569</v>
      </c>
      <c r="AH2013" s="132"/>
      <c r="AI2013" s="146"/>
      <c r="AJ2013" s="138">
        <f>AJ2012/AJ2009</f>
        <v>1.2734199660406054</v>
      </c>
      <c r="AK2013" s="132"/>
      <c r="AL2013" s="146"/>
      <c r="AM2013" s="138">
        <f>AM2012/AM2009</f>
        <v>1.1729362221395616</v>
      </c>
      <c r="AN2013" s="132"/>
      <c r="AO2013" s="146"/>
      <c r="AP2013" s="138">
        <f>AP2012/AP2009</f>
        <v>1.1300469058522109</v>
      </c>
      <c r="AQ2013" s="132"/>
      <c r="AR2013" s="146"/>
      <c r="AS2013" s="138">
        <f>AS2012/AS2009</f>
        <v>1.0993712351603826</v>
      </c>
      <c r="AT2013" s="132"/>
      <c r="AU2013" s="146"/>
    </row>
    <row r="2014" spans="13:47" x14ac:dyDescent="0.25">
      <c r="M2014" s="27"/>
      <c r="N2014" s="27"/>
      <c r="O2014" s="2" t="s">
        <v>26</v>
      </c>
      <c r="P2014" s="7">
        <v>12</v>
      </c>
      <c r="Q2014" s="2"/>
      <c r="R2014" s="181">
        <f>1-R2013/(3*F_GAMMA*R$29)</f>
        <v>0.73827585577094634</v>
      </c>
      <c r="S2014" s="133"/>
      <c r="T2014" s="146"/>
      <c r="U2014" s="138">
        <f>1-U2013/(3*F_GAMMA*U$29)</f>
        <v>0.74201842185232603</v>
      </c>
      <c r="V2014" s="133"/>
      <c r="W2014" s="146"/>
      <c r="X2014" s="138">
        <f>1-X2013/(3*F_GAMMA*X$29)</f>
        <v>0.75930323057621041</v>
      </c>
      <c r="Y2014" s="133"/>
      <c r="Z2014" s="146"/>
      <c r="AA2014" s="138">
        <f>1-AA2013/(3*F_GAMMA*AA$29)</f>
        <v>0.86117068019364063</v>
      </c>
      <c r="AB2014" s="133"/>
      <c r="AC2014" s="146"/>
      <c r="AD2014" s="138">
        <f>1-AD2013/(3*F_GAMMA*AD$29)</f>
        <v>2.9134765577577664</v>
      </c>
      <c r="AE2014" s="133"/>
      <c r="AF2014" s="146"/>
      <c r="AG2014" s="138">
        <f>1-AG2013/(3*F_GAMMA*AG$29)</f>
        <v>3.1571573441968703E-2</v>
      </c>
      <c r="AH2014" s="133"/>
      <c r="AI2014" s="146"/>
      <c r="AJ2014" s="138">
        <f>1-AJ2013/(3*F_GAMMA*AJ$29)</f>
        <v>0.20793649170701123</v>
      </c>
      <c r="AK2014" s="133"/>
      <c r="AL2014" s="146"/>
      <c r="AM2014" s="138">
        <f>1-AM2013/(3*F_GAMMA*AM$29)</f>
        <v>0.20287832983312182</v>
      </c>
      <c r="AN2014" s="133"/>
      <c r="AO2014" s="146"/>
      <c r="AP2014" s="138">
        <f>1-AP2013/(3*F_GAMMA*AP$29)</f>
        <v>0.36535232402165407</v>
      </c>
      <c r="AQ2014" s="133"/>
      <c r="AR2014" s="146"/>
      <c r="AS2014" s="138">
        <f>1-AS2013/(3*F_GAMMA*AS$29)</f>
        <v>6.2703006750515766E-2</v>
      </c>
      <c r="AT2014" s="133"/>
      <c r="AU2014" s="146"/>
    </row>
    <row r="2015" spans="13:47" x14ac:dyDescent="0.25">
      <c r="M2015" s="27"/>
      <c r="N2015" s="27"/>
      <c r="O2015" s="2" t="s">
        <v>71</v>
      </c>
      <c r="P2015" s="85">
        <v>5</v>
      </c>
      <c r="Q2015" s="2"/>
      <c r="R2015" s="179">
        <f>R2007/((N_6*R$27*R2014)*SQRT(R2013*R2009*R2011))</f>
        <v>0.80793633480689919</v>
      </c>
      <c r="S2015" s="133"/>
      <c r="T2015" s="146"/>
      <c r="U2015" s="143">
        <f>U2007/((N_6*U$27*U2014)*SQRT(U2013*U2009*U2011))</f>
        <v>8.3097339055671089</v>
      </c>
      <c r="V2015" s="133"/>
      <c r="W2015" s="146"/>
      <c r="X2015" s="143">
        <f>X2007/((N_6*X$27*X2014)*SQRT(X2013*X2009*X2011))</f>
        <v>22.659038252865045</v>
      </c>
      <c r="Y2015" s="133"/>
      <c r="Z2015" s="146"/>
      <c r="AA2015" s="143">
        <f>AA2007/((N_6*AA$27*AA2014)*SQRT(AA2013*AA2009*AA2011))</f>
        <v>70.587606143954631</v>
      </c>
      <c r="AB2015" s="133"/>
      <c r="AC2015" s="146"/>
      <c r="AD2015" s="143" t="e">
        <f>AD2007/((N_6*AD$27*AD2014)*SQRT(AD2013*AD2009*AD2011))</f>
        <v>#NUM!</v>
      </c>
      <c r="AE2015" s="133"/>
      <c r="AF2015" s="146"/>
      <c r="AG2015" s="143">
        <f>AG2007/((N_6*AG$27*AG2014)*SQRT(AG2013*AG2009*AG2011))</f>
        <v>1624.6401513021096</v>
      </c>
      <c r="AH2015" s="133"/>
      <c r="AI2015" s="146"/>
      <c r="AJ2015" s="143">
        <f>AJ2007/((N_6*AJ$27*AJ2014)*SQRT(AJ2013*AJ2009*AJ2011))</f>
        <v>152.41562021797873</v>
      </c>
      <c r="AK2015" s="133"/>
      <c r="AL2015" s="146"/>
      <c r="AM2015" s="143">
        <f>AM2007/((N_6*AM$27*AM2014)*SQRT(AM2013*AM2009*AM2011))</f>
        <v>128.13126802556789</v>
      </c>
      <c r="AN2015" s="133"/>
      <c r="AO2015" s="146"/>
      <c r="AP2015" s="143">
        <f>AP2007/((N_6*AP$27*AP2014)*SQRT(AP2013*AP2009*AP2011))</f>
        <v>69.082996231607567</v>
      </c>
      <c r="AQ2015" s="133"/>
      <c r="AR2015" s="146"/>
      <c r="AS2015" s="143">
        <f>AS2007/((N_6*AS$27*AS2014)*SQRT(AS2013*AS2009*AS2011))</f>
        <v>457.14494087561593</v>
      </c>
      <c r="AT2015" s="133"/>
      <c r="AU2015" s="146"/>
    </row>
    <row r="2016" spans="13:47" x14ac:dyDescent="0.25">
      <c r="M2016" s="27"/>
      <c r="N2016" s="27"/>
      <c r="O2016" s="2" t="s">
        <v>73</v>
      </c>
      <c r="P2016" s="85">
        <v>5</v>
      </c>
      <c r="Q2016" s="2"/>
      <c r="R2016" s="179">
        <f>R2007/((N_6*R$27*0.667)*SQRT(R2017*R2009*R2011))</f>
        <v>0.79241464468876111</v>
      </c>
      <c r="S2016" s="133"/>
      <c r="T2016" s="147"/>
      <c r="U2016" s="143">
        <f>U2007/((N_6*U$27*0.667)*SQRT(U2017*U2009*U2011))</f>
        <v>8.1326287141070104</v>
      </c>
      <c r="V2016" s="133"/>
      <c r="W2016" s="155"/>
      <c r="X2016" s="143">
        <f>X2007/((N_6*X$27*0.667)*SQRT(X2017*X2009*X2011))</f>
        <v>21.919298165399436</v>
      </c>
      <c r="Y2016" s="133"/>
      <c r="Z2016" s="155"/>
      <c r="AA2016" s="143">
        <f>AA2007/((N_6*AA$27*0.667)*SQRT(AA2017*AA2009*AA2011))</f>
        <v>58.815674296293487</v>
      </c>
      <c r="AB2016" s="133"/>
      <c r="AC2016" s="155"/>
      <c r="AD2016" s="143">
        <f>AD2007/((N_6*AD$27*0.667)*SQRT(AD2017*AD2009*AD2011))</f>
        <v>599.44695668031693</v>
      </c>
      <c r="AE2016" s="133"/>
      <c r="AF2016" s="155"/>
      <c r="AG2016" s="143">
        <f>AG2007/((N_6*AG$27*0.667)*SQRT(AG2017*AG2009*AG2011))</f>
        <v>131.0756338618925</v>
      </c>
      <c r="AH2016" s="133"/>
      <c r="AI2016" s="155"/>
      <c r="AJ2016" s="143">
        <f>AJ2007/((N_6*AJ$27*0.667)*SQRT(AJ2017*AJ2009*AJ2011))</f>
        <v>73.244494485345783</v>
      </c>
      <c r="AK2016" s="133"/>
      <c r="AL2016" s="155"/>
      <c r="AM2016" s="143">
        <f>AM2007/((N_6*AM$27*0.667)*SQRT(AM2017*AM2009*AM2011))</f>
        <v>60.268153589979605</v>
      </c>
      <c r="AN2016" s="133"/>
      <c r="AO2016" s="155"/>
      <c r="AP2016" s="143">
        <f>AP2007/((N_6*AP$27*0.667)*SQRT(AP2017*AP2009*AP2011))</f>
        <v>52.213665190632277</v>
      </c>
      <c r="AQ2016" s="133"/>
      <c r="AR2016" s="155"/>
      <c r="AS2016" s="143">
        <f>AS2007/((N_6*AS$27*0.667)*SQRT(AS2017*AS2009*AS2011))</f>
        <v>72.063556210477614</v>
      </c>
      <c r="AT2016" s="133"/>
      <c r="AU2016" s="155"/>
    </row>
    <row r="2017" spans="13:47" ht="15.5" x14ac:dyDescent="0.4">
      <c r="M2017" s="27"/>
      <c r="N2017" s="27"/>
      <c r="O2017" s="2" t="s">
        <v>192</v>
      </c>
      <c r="P2017" s="85">
        <v>10</v>
      </c>
      <c r="Q2017" s="2"/>
      <c r="R2017" s="181">
        <f>F_GAMMA*R$29</f>
        <v>0.64002688015162901</v>
      </c>
      <c r="S2017" s="133"/>
      <c r="T2017" s="147"/>
      <c r="U2017" s="138">
        <f>F_GAMMA*U$29</f>
        <v>0.64016782916606918</v>
      </c>
      <c r="V2017" s="133"/>
      <c r="W2017" s="155"/>
      <c r="X2017" s="138">
        <f>F_GAMMA*X$29</f>
        <v>0.6307062319203669</v>
      </c>
      <c r="Y2017" s="133"/>
      <c r="Z2017" s="155"/>
      <c r="AA2017" s="138">
        <f>F_GAMMA*AA$29</f>
        <v>0.62217534213893466</v>
      </c>
      <c r="AB2017" s="133"/>
      <c r="AC2017" s="155"/>
      <c r="AD2017" s="138">
        <f>F_GAMMA*AD$29</f>
        <v>0.60557184969146072</v>
      </c>
      <c r="AE2017" s="133"/>
      <c r="AF2017" s="155"/>
      <c r="AG2017" s="138">
        <f>F_GAMMA*AG$29</f>
        <v>0.57289312142622573</v>
      </c>
      <c r="AH2017" s="133"/>
      <c r="AI2017" s="155"/>
      <c r="AJ2017" s="138">
        <f>F_GAMMA*AJ$29</f>
        <v>0.53590819116049981</v>
      </c>
      <c r="AK2017" s="133"/>
      <c r="AL2017" s="155"/>
      <c r="AM2017" s="138">
        <f>F_GAMMA*AM$29</f>
        <v>0.49048815926850342</v>
      </c>
      <c r="AN2017" s="133"/>
      <c r="AO2017" s="155"/>
      <c r="AP2017" s="138">
        <f>F_GAMMA*AP$29</f>
        <v>0.59352979016280105</v>
      </c>
      <c r="AQ2017" s="133"/>
      <c r="AR2017" s="155"/>
      <c r="AS2017" s="138">
        <f>F_GAMMA*AS$29</f>
        <v>0.39097221161068291</v>
      </c>
      <c r="AT2017" s="133"/>
      <c r="AU2017" s="155"/>
    </row>
    <row r="2018" spans="13:47" x14ac:dyDescent="0.25">
      <c r="M2018" s="27"/>
      <c r="N2018" s="27"/>
      <c r="O2018" s="2" t="s">
        <v>193</v>
      </c>
      <c r="P2018" s="134"/>
      <c r="Q2018" s="2"/>
      <c r="R2018" s="181">
        <f>IF(R2013&lt;R2017,R2015,R2016)</f>
        <v>0.80793633480689919</v>
      </c>
      <c r="S2018" s="133"/>
      <c r="T2018" s="147"/>
      <c r="U2018" s="138">
        <f>IF(U2013&lt;U2017,U2015,U2016)</f>
        <v>8.3097339055671089</v>
      </c>
      <c r="V2018" s="133"/>
      <c r="W2018" s="155"/>
      <c r="X2018" s="138">
        <f>IF(X2013&lt;X2017,X2015,X2016)</f>
        <v>22.659038252865045</v>
      </c>
      <c r="Y2018" s="133"/>
      <c r="Z2018" s="155"/>
      <c r="AA2018" s="138">
        <f>IF(AA2013&lt;AA2017,AA2015,AA2016)</f>
        <v>70.587606143954631</v>
      </c>
      <c r="AB2018" s="133"/>
      <c r="AC2018" s="155"/>
      <c r="AD2018" s="138" t="e">
        <f>IF(AD2013&lt;AD2017,AD2015,AD2016)</f>
        <v>#NUM!</v>
      </c>
      <c r="AE2018" s="133"/>
      <c r="AF2018" s="155"/>
      <c r="AG2018" s="138">
        <f>IF(AG2013&lt;AG2017,AG2015,AG2016)</f>
        <v>131.0756338618925</v>
      </c>
      <c r="AH2018" s="133"/>
      <c r="AI2018" s="155"/>
      <c r="AJ2018" s="138">
        <f>IF(AJ2013&lt;AJ2017,AJ2015,AJ2016)</f>
        <v>73.244494485345783</v>
      </c>
      <c r="AK2018" s="133"/>
      <c r="AL2018" s="155"/>
      <c r="AM2018" s="138">
        <f>IF(AM2013&lt;AM2017,AM2015,AM2016)</f>
        <v>60.268153589979605</v>
      </c>
      <c r="AN2018" s="133"/>
      <c r="AO2018" s="155"/>
      <c r="AP2018" s="138">
        <f>IF(AP2013&lt;AP2017,AP2015,AP2016)</f>
        <v>52.213665190632277</v>
      </c>
      <c r="AQ2018" s="133"/>
      <c r="AR2018" s="155"/>
      <c r="AS2018" s="138">
        <f>IF(AS2013&lt;AS2017,AS2015,AS2016)</f>
        <v>72.063556210477614</v>
      </c>
      <c r="AT2018" s="133"/>
      <c r="AU2018" s="155"/>
    </row>
    <row r="2019" spans="13:47" ht="13" x14ac:dyDescent="0.3">
      <c r="M2019" s="28"/>
      <c r="N2019" s="28"/>
      <c r="O2019" s="9" t="s">
        <v>194</v>
      </c>
      <c r="P2019" s="1"/>
      <c r="Q2019" s="1"/>
      <c r="R2019" s="135"/>
      <c r="S2019" s="132">
        <f>IF(R2012&lt;=0,W_max,ABS(R$23-R2018))</f>
        <v>1.1920636651931007</v>
      </c>
      <c r="T2019" s="151">
        <f>R2007</f>
        <v>186.8227261565315</v>
      </c>
      <c r="U2019" s="135"/>
      <c r="V2019" s="132">
        <f>IF(U2012&lt;=0,W_max,ABS(U$23-U2018))</f>
        <v>3.3097339055671089</v>
      </c>
      <c r="W2019" s="151">
        <f>U2007</f>
        <v>1889.5192009944144</v>
      </c>
      <c r="X2019" s="135"/>
      <c r="Y2019" s="132">
        <f>IF(X2012&lt;=0,W_max,ABS(X$23-X2018))</f>
        <v>12.659038252865045</v>
      </c>
      <c r="Z2019" s="151">
        <f>X2007</f>
        <v>4673.0058394799225</v>
      </c>
      <c r="AA2019" s="135"/>
      <c r="AB2019" s="132">
        <f>IF(AA2012&lt;=0,W_max,ABS(AA$23-AA2018))</f>
        <v>53.387606143954628</v>
      </c>
      <c r="AC2019" s="151">
        <f>AA2007</f>
        <v>9101.8226119998217</v>
      </c>
      <c r="AD2019" s="135"/>
      <c r="AE2019" s="132">
        <f>IF(AD2012&lt;=0,W_max,ABS(AD$23-AD2018))</f>
        <v>7174</v>
      </c>
      <c r="AF2019" s="151">
        <f>AD2007</f>
        <v>14969.147104473112</v>
      </c>
      <c r="AG2019" s="135"/>
      <c r="AH2019" s="132">
        <f>IF(AG2012&lt;=0,W_max,ABS(AG$23-AG2018))</f>
        <v>7174</v>
      </c>
      <c r="AI2019" s="151">
        <f>AG2007</f>
        <v>20995.381231320876</v>
      </c>
      <c r="AJ2019" s="135"/>
      <c r="AK2019" s="132">
        <f>IF(AJ2012&lt;=0,W_max,ABS(AJ$23-AJ2018))</f>
        <v>7174</v>
      </c>
      <c r="AL2019" s="151">
        <f>AJ2007</f>
        <v>26658.563008544781</v>
      </c>
      <c r="AM2019" s="135"/>
      <c r="AN2019" s="132">
        <f>IF(AM2012&lt;=0,W_max,ABS(AM$23-AM2018))</f>
        <v>7174</v>
      </c>
      <c r="AO2019" s="151">
        <f>AM2007</f>
        <v>31259.261688172468</v>
      </c>
      <c r="AP2019" s="135"/>
      <c r="AQ2019" s="132">
        <f>IF(AP2012&lt;=0,W_max,ABS(AP$23-AP2018))</f>
        <v>7174</v>
      </c>
      <c r="AR2019" s="151">
        <f>AP2007</f>
        <v>34874.968805621851</v>
      </c>
      <c r="AS2019" s="135"/>
      <c r="AT2019" s="132">
        <f>IF(AS2012&lt;=0,W_max,ABS(AS$23-AS2018))</f>
        <v>7174</v>
      </c>
      <c r="AU2019" s="151">
        <f>AS2007</f>
        <v>38908.898787372622</v>
      </c>
    </row>
    <row r="2020" spans="13:47" ht="13" x14ac:dyDescent="0.25">
      <c r="M2020" s="12"/>
      <c r="N2020" s="12"/>
      <c r="O2020" s="12"/>
      <c r="P2020" s="12"/>
      <c r="Q2020" s="12"/>
      <c r="R2020" s="182"/>
      <c r="S2020" s="22"/>
      <c r="T2020" s="152"/>
      <c r="U2020" s="157"/>
      <c r="V2020" s="1"/>
      <c r="W2020" s="147"/>
      <c r="X2020" s="157"/>
      <c r="Y2020" s="1"/>
      <c r="Z2020" s="147"/>
      <c r="AA2020" s="157"/>
      <c r="AB2020" s="1"/>
      <c r="AC2020" s="147"/>
      <c r="AD2020" s="157"/>
      <c r="AE2020" s="1"/>
      <c r="AF2020" s="147"/>
      <c r="AG2020" s="157"/>
      <c r="AH2020" s="1"/>
      <c r="AI2020" s="147"/>
      <c r="AJ2020" s="157"/>
      <c r="AK2020" s="1"/>
      <c r="AL2020" s="147"/>
      <c r="AM2020" s="157"/>
      <c r="AN2020" s="1"/>
      <c r="AO2020" s="147"/>
      <c r="AP2020" s="157"/>
      <c r="AQ2020" s="1"/>
      <c r="AR2020" s="147"/>
      <c r="AS2020" s="157"/>
      <c r="AT2020" s="1"/>
      <c r="AU2020" s="147"/>
    </row>
    <row r="2021" spans="13:47" ht="14" x14ac:dyDescent="0.3">
      <c r="M2021" s="23"/>
      <c r="N2021" s="23"/>
      <c r="O2021" s="23" t="s">
        <v>238</v>
      </c>
      <c r="P2021" s="20"/>
      <c r="Q2021" s="20"/>
      <c r="R2021" s="18">
        <f>R2007*1.02</f>
        <v>190.55918067966215</v>
      </c>
      <c r="S2021" s="128" t="s">
        <v>185</v>
      </c>
      <c r="T2021" s="153" t="s">
        <v>186</v>
      </c>
      <c r="U2021" s="143">
        <f>U2007*1.01</f>
        <v>1908.4143930043585</v>
      </c>
      <c r="V2021" s="128" t="s">
        <v>185</v>
      </c>
      <c r="W2021" s="153" t="s">
        <v>186</v>
      </c>
      <c r="X2021" s="143">
        <f>X2007*1.01</f>
        <v>4719.7358978747216</v>
      </c>
      <c r="Y2021" s="128" t="s">
        <v>185</v>
      </c>
      <c r="Z2021" s="153" t="s">
        <v>186</v>
      </c>
      <c r="AA2021" s="143">
        <f>AA2007*1.01</f>
        <v>9192.8408381198205</v>
      </c>
      <c r="AB2021" s="128" t="s">
        <v>185</v>
      </c>
      <c r="AC2021" s="153" t="s">
        <v>186</v>
      </c>
      <c r="AD2021" s="143">
        <f>AD2007*1.01</f>
        <v>15118.838575517842</v>
      </c>
      <c r="AE2021" s="128" t="s">
        <v>185</v>
      </c>
      <c r="AF2021" s="153" t="s">
        <v>186</v>
      </c>
      <c r="AG2021" s="143">
        <f>AG2007*1.01</f>
        <v>21205.335043634084</v>
      </c>
      <c r="AH2021" s="128" t="s">
        <v>185</v>
      </c>
      <c r="AI2021" s="153" t="s">
        <v>186</v>
      </c>
      <c r="AJ2021" s="143">
        <f>AJ2007*1.01</f>
        <v>26925.148638630228</v>
      </c>
      <c r="AK2021" s="128" t="s">
        <v>185</v>
      </c>
      <c r="AL2021" s="153" t="s">
        <v>186</v>
      </c>
      <c r="AM2021" s="143">
        <f>AM2007*1.01</f>
        <v>31571.854305054192</v>
      </c>
      <c r="AN2021" s="128" t="s">
        <v>185</v>
      </c>
      <c r="AO2021" s="153" t="s">
        <v>186</v>
      </c>
      <c r="AP2021" s="143">
        <f>AP2007*1.01</f>
        <v>35223.718493678069</v>
      </c>
      <c r="AQ2021" s="128" t="s">
        <v>185</v>
      </c>
      <c r="AR2021" s="153" t="s">
        <v>186</v>
      </c>
      <c r="AS2021" s="143">
        <f>AS2007*1.01</f>
        <v>39297.987775246351</v>
      </c>
      <c r="AT2021" s="128" t="s">
        <v>185</v>
      </c>
      <c r="AU2021" s="153" t="s">
        <v>186</v>
      </c>
    </row>
    <row r="2022" spans="13:47" ht="14" x14ac:dyDescent="0.3">
      <c r="M2022" s="12"/>
      <c r="N2022" s="12"/>
      <c r="O2022" s="20"/>
      <c r="P2022" s="20"/>
      <c r="Q2022" s="23"/>
      <c r="R2022" s="139"/>
      <c r="S2022" s="130" t="s">
        <v>228</v>
      </c>
      <c r="T2022" s="154" t="s">
        <v>187</v>
      </c>
      <c r="U2022" s="144"/>
      <c r="V2022" s="130" t="s">
        <v>228</v>
      </c>
      <c r="W2022" s="154" t="s">
        <v>187</v>
      </c>
      <c r="X2022" s="144"/>
      <c r="Y2022" s="130" t="s">
        <v>228</v>
      </c>
      <c r="Z2022" s="154" t="s">
        <v>187</v>
      </c>
      <c r="AA2022" s="144"/>
      <c r="AB2022" s="130" t="s">
        <v>228</v>
      </c>
      <c r="AC2022" s="154" t="s">
        <v>187</v>
      </c>
      <c r="AD2022" s="144"/>
      <c r="AE2022" s="130" t="s">
        <v>228</v>
      </c>
      <c r="AF2022" s="154" t="s">
        <v>187</v>
      </c>
      <c r="AG2022" s="144"/>
      <c r="AH2022" s="130" t="s">
        <v>228</v>
      </c>
      <c r="AI2022" s="154" t="s">
        <v>187</v>
      </c>
      <c r="AJ2022" s="144"/>
      <c r="AK2022" s="130" t="s">
        <v>228</v>
      </c>
      <c r="AL2022" s="154" t="s">
        <v>187</v>
      </c>
      <c r="AM2022" s="144"/>
      <c r="AN2022" s="130" t="s">
        <v>228</v>
      </c>
      <c r="AO2022" s="154" t="s">
        <v>187</v>
      </c>
      <c r="AP2022" s="144"/>
      <c r="AQ2022" s="130" t="s">
        <v>228</v>
      </c>
      <c r="AR2022" s="154" t="s">
        <v>187</v>
      </c>
      <c r="AS2022" s="144"/>
      <c r="AT2022" s="130" t="s">
        <v>228</v>
      </c>
      <c r="AU2022" s="154" t="s">
        <v>187</v>
      </c>
    </row>
    <row r="2023" spans="13:47" x14ac:dyDescent="0.25">
      <c r="M2023" s="20"/>
      <c r="N2023" s="20"/>
      <c r="O2023" s="7" t="s">
        <v>188</v>
      </c>
      <c r="P2023" s="7"/>
      <c r="Q2023" s="7"/>
      <c r="R2023" s="181">
        <f>P_1_minW-(R2021^2*R_up)+dpup_minQ</f>
        <v>100.5083065773746</v>
      </c>
      <c r="S2023" s="132"/>
      <c r="T2023" s="145"/>
      <c r="U2023" s="138">
        <f>P_1_minW-(U2021^2*R_up)+dpup_minQ</f>
        <v>99.070477986272593</v>
      </c>
      <c r="V2023" s="132"/>
      <c r="W2023" s="145"/>
      <c r="X2023" s="138">
        <f>P_1_minW-(X2021^2*R_up)+dpup_minQ</f>
        <v>91.640005172863241</v>
      </c>
      <c r="Y2023" s="132"/>
      <c r="Z2023" s="145"/>
      <c r="AA2023" s="138">
        <f>P_1_minW-(AA2021^2*R_up)+dpup_minQ</f>
        <v>66.824092785418017</v>
      </c>
      <c r="AB2023" s="132"/>
      <c r="AC2023" s="145"/>
      <c r="AD2023" s="138">
        <f>P_1_minW-(AD2021^2*R_up)+dpup_minQ</f>
        <v>9.37409330378334</v>
      </c>
      <c r="AE2023" s="132"/>
      <c r="AF2023" s="145"/>
      <c r="AG2023" s="138">
        <f>P_1_minW-(AG2021^2*R_up)+dpup_minQ</f>
        <v>-78.786946679930182</v>
      </c>
      <c r="AH2023" s="132"/>
      <c r="AI2023" s="145"/>
      <c r="AJ2023" s="138">
        <f>P_1_minW-(AJ2021^2*R_up)+dpup_minQ</f>
        <v>-188.56504145989865</v>
      </c>
      <c r="AK2023" s="132"/>
      <c r="AL2023" s="145"/>
      <c r="AM2023" s="138">
        <f>P_1_minW-(AM2021^2*R_up)+dpup_minQ</f>
        <v>-296.95582791902245</v>
      </c>
      <c r="AN2023" s="132"/>
      <c r="AO2023" s="145"/>
      <c r="AP2023" s="138">
        <f>P_1_minW-(AP2021^2*R_up)+dpup_minQ</f>
        <v>-394.2251488371092</v>
      </c>
      <c r="AQ2023" s="132"/>
      <c r="AR2023" s="145"/>
      <c r="AS2023" s="138">
        <f>P_1_minW-(AS2021^2*R_up)+dpup_minQ</f>
        <v>-515.29781525105386</v>
      </c>
      <c r="AT2023" s="132"/>
      <c r="AU2023" s="145"/>
    </row>
    <row r="2024" spans="13:47" x14ac:dyDescent="0.25">
      <c r="M2024" s="20"/>
      <c r="N2024" s="20"/>
      <c r="O2024" s="7" t="s">
        <v>189</v>
      </c>
      <c r="P2024" s="1"/>
      <c r="Q2024" s="7"/>
      <c r="R2024" s="181">
        <f>P_2_minW+(R2021^2*R_dn)-dpdn_minQ</f>
        <v>50</v>
      </c>
      <c r="S2024" s="132"/>
      <c r="T2024" s="146"/>
      <c r="U2024" s="138">
        <f>P_2_minW+(U2021^2*R_dn)-dpdn_minQ</f>
        <v>50</v>
      </c>
      <c r="V2024" s="132"/>
      <c r="W2024" s="146"/>
      <c r="X2024" s="138">
        <f>P_2_minW+(X2021^2*R_dn)-dpdn_minQ</f>
        <v>50</v>
      </c>
      <c r="Y2024" s="132"/>
      <c r="Z2024" s="146"/>
      <c r="AA2024" s="138">
        <f>P_2_minW+(AA2021^2*R_dn)-dpdn_minQ</f>
        <v>50</v>
      </c>
      <c r="AB2024" s="132"/>
      <c r="AC2024" s="146"/>
      <c r="AD2024" s="138">
        <f>P_2_minW+(AD2021^2*R_dn)-dpdn_minQ</f>
        <v>50</v>
      </c>
      <c r="AE2024" s="132"/>
      <c r="AF2024" s="146"/>
      <c r="AG2024" s="138">
        <f>P_2_minW+(AG2021^2*R_dn)-dpdn_minQ</f>
        <v>50</v>
      </c>
      <c r="AH2024" s="132"/>
      <c r="AI2024" s="146"/>
      <c r="AJ2024" s="138">
        <f>P_2_minW+(AJ2021^2*R_dn)-dpdn_minQ</f>
        <v>50</v>
      </c>
      <c r="AK2024" s="132"/>
      <c r="AL2024" s="146"/>
      <c r="AM2024" s="138">
        <f>P_2_minW+(AM2021^2*R_dn)-dpdn_minQ</f>
        <v>50</v>
      </c>
      <c r="AN2024" s="132"/>
      <c r="AO2024" s="146"/>
      <c r="AP2024" s="138">
        <f>P_2_minW+(AP2021^2*R_dn)-dpdn_minQ</f>
        <v>50</v>
      </c>
      <c r="AQ2024" s="132"/>
      <c r="AR2024" s="146"/>
      <c r="AS2024" s="138">
        <f>P_2_minW+(AS2021^2*R_dn)-dpdn_minQ</f>
        <v>50</v>
      </c>
      <c r="AT2024" s="132"/>
      <c r="AU2024" s="146"/>
    </row>
    <row r="2025" spans="13:47" x14ac:dyDescent="0.25">
      <c r="M2025" s="20"/>
      <c r="N2025" s="20"/>
      <c r="O2025" s="7" t="s">
        <v>234</v>
      </c>
      <c r="P2025" s="1"/>
      <c r="Q2025" s="7"/>
      <c r="R2025" s="179">
        <f>'Valve Sizing'!G$8*R2023/P_1_maxW</f>
        <v>0.48483417652820976</v>
      </c>
      <c r="S2025" s="132"/>
      <c r="T2025" s="146"/>
      <c r="U2025" s="143">
        <f>'Valve Sizing'!$G$8*U2023/P_1_maxW</f>
        <v>0.47789834739433623</v>
      </c>
      <c r="V2025" s="132"/>
      <c r="W2025" s="146"/>
      <c r="X2025" s="143">
        <f>'Valve Sizing'!$G$8*X2023/P_1_maxW</f>
        <v>0.44205506945659467</v>
      </c>
      <c r="Y2025" s="132"/>
      <c r="Z2025" s="146"/>
      <c r="AA2025" s="143">
        <f>'Valve Sizing'!$G$8*AA2023/P_1_maxW</f>
        <v>0.32234752630043884</v>
      </c>
      <c r="AB2025" s="132"/>
      <c r="AC2025" s="146"/>
      <c r="AD2025" s="143">
        <f>'Valve Sizing'!$G$8*AD2023/P_1_maxW</f>
        <v>4.5218957143005917E-2</v>
      </c>
      <c r="AE2025" s="132"/>
      <c r="AF2025" s="146"/>
      <c r="AG2025" s="143">
        <f>'Valve Sizing'!$G$8*AG2023/P_1_maxW</f>
        <v>-0.38005420363270553</v>
      </c>
      <c r="AH2025" s="132"/>
      <c r="AI2025" s="146"/>
      <c r="AJ2025" s="143">
        <f>'Valve Sizing'!$G$8*AJ2023/P_1_maxW</f>
        <v>-0.90960418806616194</v>
      </c>
      <c r="AK2025" s="132"/>
      <c r="AL2025" s="146"/>
      <c r="AM2025" s="143">
        <f>'Valve Sizing'!$G$8*AM2023/P_1_maxW</f>
        <v>-1.4324620441548865</v>
      </c>
      <c r="AN2025" s="132"/>
      <c r="AO2025" s="146"/>
      <c r="AP2025" s="143">
        <f>'Valve Sizing'!$G$8*AP2023/P_1_maxW</f>
        <v>-1.9016719305285448</v>
      </c>
      <c r="AQ2025" s="132"/>
      <c r="AR2025" s="146"/>
      <c r="AS2025" s="143">
        <f>'Valve Sizing'!$G$8*AS2023/P_1_maxW</f>
        <v>-2.4857049176497652</v>
      </c>
      <c r="AT2025" s="132"/>
      <c r="AU2025" s="146"/>
    </row>
    <row r="2026" spans="13:47" x14ac:dyDescent="0.25">
      <c r="M2026" s="20"/>
      <c r="N2026" s="20"/>
      <c r="O2026" s="7" t="s">
        <v>190</v>
      </c>
      <c r="P2026" s="1"/>
      <c r="Q2026" s="7"/>
      <c r="R2026" s="181">
        <f>R2023-R2024</f>
        <v>50.508306577374597</v>
      </c>
      <c r="S2026" s="132"/>
      <c r="T2026" s="146"/>
      <c r="U2026" s="138">
        <f>U2023-U2024</f>
        <v>49.070477986272593</v>
      </c>
      <c r="V2026" s="132"/>
      <c r="W2026" s="146"/>
      <c r="X2026" s="138">
        <f>X2023-X2024</f>
        <v>41.640005172863241</v>
      </c>
      <c r="Y2026" s="132"/>
      <c r="Z2026" s="146"/>
      <c r="AA2026" s="138">
        <f>AA2023-AA2024</f>
        <v>16.824092785418017</v>
      </c>
      <c r="AB2026" s="132"/>
      <c r="AC2026" s="146"/>
      <c r="AD2026" s="138">
        <f>AD2023-AD2024</f>
        <v>-40.62590669621666</v>
      </c>
      <c r="AE2026" s="132"/>
      <c r="AF2026" s="146"/>
      <c r="AG2026" s="138">
        <f>AG2023-AG2024</f>
        <v>-128.78694667993017</v>
      </c>
      <c r="AH2026" s="132"/>
      <c r="AI2026" s="146"/>
      <c r="AJ2026" s="138">
        <f>AJ2023-AJ2024</f>
        <v>-238.56504145989865</v>
      </c>
      <c r="AK2026" s="132"/>
      <c r="AL2026" s="146"/>
      <c r="AM2026" s="138">
        <f>AM2023-AM2024</f>
        <v>-346.95582791902245</v>
      </c>
      <c r="AN2026" s="132"/>
      <c r="AO2026" s="146"/>
      <c r="AP2026" s="138">
        <f>AP2023-AP2024</f>
        <v>-444.2251488371092</v>
      </c>
      <c r="AQ2026" s="132"/>
      <c r="AR2026" s="146"/>
      <c r="AS2026" s="138">
        <f>AS2023-AS2024</f>
        <v>-565.29781525105386</v>
      </c>
      <c r="AT2026" s="132"/>
      <c r="AU2026" s="146"/>
    </row>
    <row r="2027" spans="13:47" ht="14.5" x14ac:dyDescent="0.35">
      <c r="M2027" s="27"/>
      <c r="N2027" s="27"/>
      <c r="O2027" s="2" t="s">
        <v>191</v>
      </c>
      <c r="P2027" s="10"/>
      <c r="Q2027" s="2"/>
      <c r="R2027" s="181">
        <f>R2026/R2023</f>
        <v>0.50252867944294377</v>
      </c>
      <c r="S2027" s="132"/>
      <c r="T2027" s="146"/>
      <c r="U2027" s="138">
        <f>U2026/U2023</f>
        <v>0.49530878404636242</v>
      </c>
      <c r="V2027" s="132"/>
      <c r="W2027" s="146"/>
      <c r="X2027" s="138">
        <f>X2026/X2023</f>
        <v>0.45438676148387891</v>
      </c>
      <c r="Y2027" s="132"/>
      <c r="Z2027" s="146"/>
      <c r="AA2027" s="138">
        <f>AA2026/AA2023</f>
        <v>0.2517668715599724</v>
      </c>
      <c r="AB2027" s="132"/>
      <c r="AC2027" s="146"/>
      <c r="AD2027" s="138">
        <f>AD2026/AD2023</f>
        <v>-4.3338491926275404</v>
      </c>
      <c r="AE2027" s="132"/>
      <c r="AF2027" s="146"/>
      <c r="AG2027" s="138">
        <f>AG2026/AG2023</f>
        <v>1.6346228925855397</v>
      </c>
      <c r="AH2027" s="132"/>
      <c r="AI2027" s="146"/>
      <c r="AJ2027" s="138">
        <f>AJ2026/AJ2023</f>
        <v>1.2651604964148844</v>
      </c>
      <c r="AK2027" s="132"/>
      <c r="AL2027" s="146"/>
      <c r="AM2027" s="138">
        <f>AM2026/AM2023</f>
        <v>1.1683752103819112</v>
      </c>
      <c r="AN2027" s="132"/>
      <c r="AO2027" s="146"/>
      <c r="AP2027" s="138">
        <f>AP2026/AP2023</f>
        <v>1.1268310764736615</v>
      </c>
      <c r="AQ2027" s="132"/>
      <c r="AR2027" s="146"/>
      <c r="AS2027" s="138">
        <f>AS2026/AS2023</f>
        <v>1.0970312672015501</v>
      </c>
      <c r="AT2027" s="132"/>
      <c r="AU2027" s="146"/>
    </row>
    <row r="2028" spans="13:47" x14ac:dyDescent="0.25">
      <c r="M2028" s="27"/>
      <c r="N2028" s="27"/>
      <c r="O2028" s="2" t="s">
        <v>26</v>
      </c>
      <c r="P2028" s="7">
        <v>12</v>
      </c>
      <c r="Q2028" s="2"/>
      <c r="R2028" s="181">
        <f>1-R2027/(3*F_GAMMA*R$29)</f>
        <v>0.7382773052053222</v>
      </c>
      <c r="S2028" s="133"/>
      <c r="T2028" s="146"/>
      <c r="U2028" s="138">
        <f>1-U2027/(3*F_GAMMA*U$29)</f>
        <v>0.74209430637817331</v>
      </c>
      <c r="V2028" s="133"/>
      <c r="W2028" s="146"/>
      <c r="X2028" s="138">
        <f>1-X2027/(3*F_GAMMA*X$29)</f>
        <v>0.7598529296804486</v>
      </c>
      <c r="Y2028" s="133"/>
      <c r="Z2028" s="146"/>
      <c r="AA2028" s="138">
        <f>1-AA2027/(3*F_GAMMA*AA$29)</f>
        <v>0.86511472757586305</v>
      </c>
      <c r="AB2028" s="133"/>
      <c r="AC2028" s="146"/>
      <c r="AD2028" s="138">
        <f>1-AD2027/(3*F_GAMMA*AD$29)</f>
        <v>3.3855408706308698</v>
      </c>
      <c r="AE2028" s="133"/>
      <c r="AF2028" s="146"/>
      <c r="AG2028" s="138">
        <f>1-AG2027/(3*F_GAMMA*AG$29)</f>
        <v>4.890759349310958E-2</v>
      </c>
      <c r="AH2028" s="133"/>
      <c r="AI2028" s="146"/>
      <c r="AJ2028" s="138">
        <f>1-AJ2027/(3*F_GAMMA*AJ$29)</f>
        <v>0.21307385774716281</v>
      </c>
      <c r="AK2028" s="133"/>
      <c r="AL2028" s="146"/>
      <c r="AM2028" s="138">
        <f>1-AM2027/(3*F_GAMMA*AM$29)</f>
        <v>0.20597797092296499</v>
      </c>
      <c r="AN2028" s="133"/>
      <c r="AO2028" s="146"/>
      <c r="AP2028" s="138">
        <f>1-AP2027/(3*F_GAMMA*AP$29)</f>
        <v>0.36715837174486798</v>
      </c>
      <c r="AQ2028" s="133"/>
      <c r="AR2028" s="146"/>
      <c r="AS2028" s="138">
        <f>1-AS2027/(3*F_GAMMA*AS$29)</f>
        <v>6.4698006130132879E-2</v>
      </c>
      <c r="AT2028" s="133"/>
      <c r="AU2028" s="146"/>
    </row>
    <row r="2029" spans="13:47" x14ac:dyDescent="0.25">
      <c r="M2029" s="27"/>
      <c r="N2029" s="27"/>
      <c r="O2029" s="2" t="s">
        <v>71</v>
      </c>
      <c r="P2029" s="85">
        <v>5</v>
      </c>
      <c r="Q2029" s="2"/>
      <c r="R2029" s="179">
        <f>R2021/((N_6*R$27*R2028)*SQRT(R2027*R2023*R2025))</f>
        <v>0.82410033582875419</v>
      </c>
      <c r="S2029" s="133"/>
      <c r="T2029" s="146"/>
      <c r="U2029" s="143">
        <f>U2021/((N_6*U$27*U2028)*SQRT(U2027*U2023*U2025))</f>
        <v>8.3956318798657907</v>
      </c>
      <c r="V2029" s="133"/>
      <c r="W2029" s="146"/>
      <c r="X2029" s="143">
        <f>X2021/((N_6*X$27*X2028)*SQRT(X2027*X2023*X2025))</f>
        <v>22.938959596699323</v>
      </c>
      <c r="Y2029" s="133"/>
      <c r="Z2029" s="146"/>
      <c r="AA2029" s="143">
        <f>AA2021/((N_6*AA$27*AA2028)*SQRT(AA2027*AA2023*AA2025))</f>
        <v>72.713953073034688</v>
      </c>
      <c r="AB2029" s="133"/>
      <c r="AC2029" s="146"/>
      <c r="AD2029" s="143" t="e">
        <f>AD2021/((N_6*AD$27*AD2028)*SQRT(AD2027*AD2023*AD2025))</f>
        <v>#NUM!</v>
      </c>
      <c r="AE2029" s="133"/>
      <c r="AF2029" s="146"/>
      <c r="AG2029" s="143">
        <f>AG2021/((N_6*AG$27*AG2028)*SQRT(AG2027*AG2023*AG2025))</f>
        <v>1020.9283683936724</v>
      </c>
      <c r="AH2029" s="133"/>
      <c r="AI2029" s="146"/>
      <c r="AJ2029" s="143">
        <f>AJ2021/((N_6*AJ$27*AJ2028)*SQRT(AJ2027*AJ2023*AJ2025))</f>
        <v>146.16487152436875</v>
      </c>
      <c r="AK2029" s="133"/>
      <c r="AL2029" s="146"/>
      <c r="AM2029" s="143">
        <f>AM2021/((N_6*AM$27*AM2028)*SQRT(AM2027*AM2023*AM2025))</f>
        <v>124.34536437463316</v>
      </c>
      <c r="AN2029" s="133"/>
      <c r="AO2029" s="146"/>
      <c r="AP2029" s="143">
        <f>AP2021/((N_6*AP$27*AP2028)*SQRT(AP2027*AP2023*AP2025))</f>
        <v>67.810267931550655</v>
      </c>
      <c r="AQ2029" s="133"/>
      <c r="AR2029" s="146"/>
      <c r="AS2029" s="143">
        <f>AS2021/((N_6*AS$27*AS2028)*SQRT(AS2027*AS2023*AS2025))</f>
        <v>437.40773493817522</v>
      </c>
      <c r="AT2029" s="133"/>
      <c r="AU2029" s="146"/>
    </row>
    <row r="2030" spans="13:47" x14ac:dyDescent="0.25">
      <c r="M2030" s="27"/>
      <c r="N2030" s="27"/>
      <c r="O2030" s="2" t="s">
        <v>73</v>
      </c>
      <c r="P2030" s="85">
        <v>5</v>
      </c>
      <c r="Q2030" s="2"/>
      <c r="R2030" s="179">
        <f>R2021/((N_6*R$27*0.667)*SQRT(R2031*R2023*R2025))</f>
        <v>0.80826745931717614</v>
      </c>
      <c r="S2030" s="133"/>
      <c r="T2030" s="155"/>
      <c r="U2030" s="143">
        <f>U2021/((N_6*U$27*0.667)*SQRT(U2031*U2023*U2025))</f>
        <v>8.2163275782967968</v>
      </c>
      <c r="V2030" s="133"/>
      <c r="W2030" s="155"/>
      <c r="X2030" s="143">
        <f>X2021/((N_6*X$27*0.667)*SQRT(X2031*X2023*X2025))</f>
        <v>22.18077408983838</v>
      </c>
      <c r="Y2030" s="133"/>
      <c r="Z2030" s="155"/>
      <c r="AA2030" s="143">
        <f>AA2021/((N_6*AA$27*0.667)*SQRT(AA2031*AA2023*AA2025))</f>
        <v>59.994097030991483</v>
      </c>
      <c r="AB2030" s="133"/>
      <c r="AC2030" s="155"/>
      <c r="AD2030" s="143">
        <f>AD2021/((N_6*AD$27*0.667)*SQRT(AD2031*AD2023*AD2025))</f>
        <v>721.4383893215811</v>
      </c>
      <c r="AE2030" s="133"/>
      <c r="AF2030" s="155"/>
      <c r="AG2030" s="143">
        <f>AG2021/((N_6*AG$27*0.667)*SQRT(AG2031*AG2023*AG2025))</f>
        <v>126.44967459278278</v>
      </c>
      <c r="AH2030" s="133"/>
      <c r="AI2030" s="155"/>
      <c r="AJ2030" s="143">
        <f>AJ2021/((N_6*AJ$27*0.667)*SQRT(AJ2031*AJ2023*AJ2025))</f>
        <v>71.74224423556673</v>
      </c>
      <c r="AK2030" s="133"/>
      <c r="AL2030" s="155"/>
      <c r="AM2030" s="143">
        <f>AM2021/((N_6*AM$27*0.667)*SQRT(AM2031*AM2023*AM2025))</f>
        <v>59.265430594241757</v>
      </c>
      <c r="AN2030" s="133"/>
      <c r="AO2030" s="155"/>
      <c r="AP2030" s="143">
        <f>AP2021/((N_6*AP$27*0.667)*SQRT(AP2031*AP2023*AP2025))</f>
        <v>51.431738975719483</v>
      </c>
      <c r="AQ2030" s="133"/>
      <c r="AR2030" s="155"/>
      <c r="AS2030" s="143">
        <f>AS2021/((N_6*AS$27*0.667)*SQRT(AS2031*AS2023*AS2025))</f>
        <v>71.070288585382613</v>
      </c>
      <c r="AT2030" s="133"/>
      <c r="AU2030" s="155"/>
    </row>
    <row r="2031" spans="13:47" ht="15.5" x14ac:dyDescent="0.4">
      <c r="M2031" s="27"/>
      <c r="N2031" s="27"/>
      <c r="O2031" s="2" t="s">
        <v>192</v>
      </c>
      <c r="P2031" s="85">
        <v>10</v>
      </c>
      <c r="Q2031" s="2"/>
      <c r="R2031" s="181">
        <f>F_GAMMA*R$29</f>
        <v>0.64002688015162901</v>
      </c>
      <c r="S2031" s="133"/>
      <c r="T2031" s="155"/>
      <c r="U2031" s="138">
        <f>F_GAMMA*U$29</f>
        <v>0.64016782916606918</v>
      </c>
      <c r="V2031" s="133"/>
      <c r="W2031" s="155"/>
      <c r="X2031" s="138">
        <f>F_GAMMA*X$29</f>
        <v>0.6307062319203669</v>
      </c>
      <c r="Y2031" s="133"/>
      <c r="Z2031" s="155"/>
      <c r="AA2031" s="138">
        <f>F_GAMMA*AA$29</f>
        <v>0.62217534213893466</v>
      </c>
      <c r="AB2031" s="133"/>
      <c r="AC2031" s="155"/>
      <c r="AD2031" s="138">
        <f>F_GAMMA*AD$29</f>
        <v>0.60557184969146072</v>
      </c>
      <c r="AE2031" s="133"/>
      <c r="AF2031" s="155"/>
      <c r="AG2031" s="138">
        <f>F_GAMMA*AG$29</f>
        <v>0.57289312142622573</v>
      </c>
      <c r="AH2031" s="133"/>
      <c r="AI2031" s="155"/>
      <c r="AJ2031" s="138">
        <f>F_GAMMA*AJ$29</f>
        <v>0.53590819116049981</v>
      </c>
      <c r="AK2031" s="133"/>
      <c r="AL2031" s="155"/>
      <c r="AM2031" s="138">
        <f>F_GAMMA*AM$29</f>
        <v>0.49048815926850342</v>
      </c>
      <c r="AN2031" s="133"/>
      <c r="AO2031" s="155"/>
      <c r="AP2031" s="138">
        <f>F_GAMMA*AP$29</f>
        <v>0.59352979016280105</v>
      </c>
      <c r="AQ2031" s="133"/>
      <c r="AR2031" s="155"/>
      <c r="AS2031" s="138">
        <f>F_GAMMA*AS$29</f>
        <v>0.39097221161068291</v>
      </c>
      <c r="AT2031" s="133"/>
      <c r="AU2031" s="155"/>
    </row>
    <row r="2032" spans="13:47" x14ac:dyDescent="0.25">
      <c r="M2032" s="27"/>
      <c r="N2032" s="27"/>
      <c r="O2032" s="2" t="s">
        <v>193</v>
      </c>
      <c r="P2032" s="134"/>
      <c r="Q2032" s="2"/>
      <c r="R2032" s="181">
        <f>IF(R2027&lt;R2031,R2029,R2030)</f>
        <v>0.82410033582875419</v>
      </c>
      <c r="S2032" s="133"/>
      <c r="T2032" s="155"/>
      <c r="U2032" s="138">
        <f>IF(U2027&lt;U2031,U2029,U2030)</f>
        <v>8.3956318798657907</v>
      </c>
      <c r="V2032" s="133"/>
      <c r="W2032" s="155"/>
      <c r="X2032" s="138">
        <f>IF(X2027&lt;X2031,X2029,X2030)</f>
        <v>22.938959596699323</v>
      </c>
      <c r="Y2032" s="133"/>
      <c r="Z2032" s="155"/>
      <c r="AA2032" s="138">
        <f>IF(AA2027&lt;AA2031,AA2029,AA2030)</f>
        <v>72.713953073034688</v>
      </c>
      <c r="AB2032" s="133"/>
      <c r="AC2032" s="155"/>
      <c r="AD2032" s="138" t="e">
        <f>IF(AD2027&lt;AD2031,AD2029,AD2030)</f>
        <v>#NUM!</v>
      </c>
      <c r="AE2032" s="133"/>
      <c r="AF2032" s="155"/>
      <c r="AG2032" s="138">
        <f>IF(AG2027&lt;AG2031,AG2029,AG2030)</f>
        <v>126.44967459278278</v>
      </c>
      <c r="AH2032" s="133"/>
      <c r="AI2032" s="155"/>
      <c r="AJ2032" s="138">
        <f>IF(AJ2027&lt;AJ2031,AJ2029,AJ2030)</f>
        <v>71.74224423556673</v>
      </c>
      <c r="AK2032" s="133"/>
      <c r="AL2032" s="155"/>
      <c r="AM2032" s="138">
        <f>IF(AM2027&lt;AM2031,AM2029,AM2030)</f>
        <v>59.265430594241757</v>
      </c>
      <c r="AN2032" s="133"/>
      <c r="AO2032" s="155"/>
      <c r="AP2032" s="138">
        <f>IF(AP2027&lt;AP2031,AP2029,AP2030)</f>
        <v>51.431738975719483</v>
      </c>
      <c r="AQ2032" s="133"/>
      <c r="AR2032" s="155"/>
      <c r="AS2032" s="138">
        <f>IF(AS2027&lt;AS2031,AS2029,AS2030)</f>
        <v>71.070288585382613</v>
      </c>
      <c r="AT2032" s="133"/>
      <c r="AU2032" s="155"/>
    </row>
    <row r="2033" spans="13:47" ht="13" x14ac:dyDescent="0.3">
      <c r="M2033" s="28"/>
      <c r="N2033" s="28"/>
      <c r="O2033" s="9" t="s">
        <v>194</v>
      </c>
      <c r="P2033" s="1"/>
      <c r="Q2033" s="1"/>
      <c r="R2033" s="135"/>
      <c r="S2033" s="132">
        <f>IF(R2026&lt;=0,W_max,ABS(R$23-R2032))</f>
        <v>1.1758996641712458</v>
      </c>
      <c r="T2033" s="151">
        <f>R2021</f>
        <v>190.55918067966215</v>
      </c>
      <c r="U2033" s="135"/>
      <c r="V2033" s="132">
        <f>IF(U2026&lt;=0,W_max,ABS(U$23-U2032))</f>
        <v>3.3956318798657907</v>
      </c>
      <c r="W2033" s="151">
        <f>U2021</f>
        <v>1908.4143930043585</v>
      </c>
      <c r="X2033" s="135"/>
      <c r="Y2033" s="132">
        <f>IF(X2026&lt;=0,W_max,ABS(X$23-X2032))</f>
        <v>12.938959596699323</v>
      </c>
      <c r="Z2033" s="151">
        <f>X2021</f>
        <v>4719.7358978747216</v>
      </c>
      <c r="AA2033" s="135"/>
      <c r="AB2033" s="132">
        <f>IF(AA2026&lt;=0,W_max,ABS(AA$23-AA2032))</f>
        <v>55.513953073034685</v>
      </c>
      <c r="AC2033" s="151">
        <f>AA2021</f>
        <v>9192.8408381198205</v>
      </c>
      <c r="AD2033" s="135"/>
      <c r="AE2033" s="132">
        <f>IF(AD2026&lt;=0,W_max,ABS(AD$23-AD2032))</f>
        <v>7174</v>
      </c>
      <c r="AF2033" s="151">
        <f>AD2021</f>
        <v>15118.838575517842</v>
      </c>
      <c r="AG2033" s="135"/>
      <c r="AH2033" s="132">
        <f>IF(AG2026&lt;=0,W_max,ABS(AG$23-AG2032))</f>
        <v>7174</v>
      </c>
      <c r="AI2033" s="151">
        <f>AG2021</f>
        <v>21205.335043634084</v>
      </c>
      <c r="AJ2033" s="135"/>
      <c r="AK2033" s="132">
        <f>IF(AJ2026&lt;=0,W_max,ABS(AJ$23-AJ2032))</f>
        <v>7174</v>
      </c>
      <c r="AL2033" s="151">
        <f>AJ2021</f>
        <v>26925.148638630228</v>
      </c>
      <c r="AM2033" s="135"/>
      <c r="AN2033" s="132">
        <f>IF(AM2026&lt;=0,W_max,ABS(AM$23-AM2032))</f>
        <v>7174</v>
      </c>
      <c r="AO2033" s="151">
        <f>AM2021</f>
        <v>31571.854305054192</v>
      </c>
      <c r="AP2033" s="135"/>
      <c r="AQ2033" s="132">
        <f>IF(AP2026&lt;=0,W_max,ABS(AP$23-AP2032))</f>
        <v>7174</v>
      </c>
      <c r="AR2033" s="151">
        <f>AP2021</f>
        <v>35223.718493678069</v>
      </c>
      <c r="AS2033" s="135"/>
      <c r="AT2033" s="132">
        <f>IF(AS2026&lt;=0,W_max,ABS(AS$23-AS2032))</f>
        <v>7174</v>
      </c>
      <c r="AU2033" s="151">
        <f>AS2021</f>
        <v>39297.987775246351</v>
      </c>
    </row>
    <row r="2034" spans="13:47" ht="13" x14ac:dyDescent="0.25">
      <c r="M2034" s="12"/>
      <c r="N2034" s="12"/>
      <c r="O2034" s="2"/>
      <c r="P2034" s="85"/>
      <c r="Q2034" s="2"/>
      <c r="R2034" s="18"/>
      <c r="S2034" s="150"/>
      <c r="T2034" s="152"/>
      <c r="U2034" s="157"/>
      <c r="V2034" s="1"/>
      <c r="W2034" s="147"/>
      <c r="X2034" s="157"/>
      <c r="Y2034" s="1"/>
      <c r="Z2034" s="147"/>
      <c r="AA2034" s="157"/>
      <c r="AB2034" s="1"/>
      <c r="AC2034" s="147"/>
      <c r="AD2034" s="157"/>
      <c r="AE2034" s="1"/>
      <c r="AF2034" s="147"/>
      <c r="AG2034" s="157"/>
      <c r="AH2034" s="1"/>
      <c r="AI2034" s="147"/>
      <c r="AJ2034" s="157"/>
      <c r="AK2034" s="1"/>
      <c r="AL2034" s="147"/>
      <c r="AM2034" s="157"/>
      <c r="AN2034" s="1"/>
      <c r="AO2034" s="147"/>
      <c r="AP2034" s="157"/>
      <c r="AQ2034" s="1"/>
      <c r="AR2034" s="147"/>
      <c r="AS2034" s="157"/>
      <c r="AT2034" s="1"/>
      <c r="AU2034" s="147"/>
    </row>
    <row r="2035" spans="13:47" ht="14" x14ac:dyDescent="0.3">
      <c r="M2035" s="23"/>
      <c r="N2035" s="23"/>
      <c r="O2035" s="23" t="s">
        <v>238</v>
      </c>
      <c r="P2035" s="20"/>
      <c r="Q2035" s="20"/>
      <c r="R2035" s="181">
        <f>R2021*1.02</f>
        <v>194.37036429325539</v>
      </c>
      <c r="S2035" s="128" t="s">
        <v>185</v>
      </c>
      <c r="T2035" s="153" t="s">
        <v>186</v>
      </c>
      <c r="U2035" s="143">
        <f>U2021*1.01</f>
        <v>1927.4985369344022</v>
      </c>
      <c r="V2035" s="128" t="s">
        <v>185</v>
      </c>
      <c r="W2035" s="153" t="s">
        <v>186</v>
      </c>
      <c r="X2035" s="143">
        <f>X2021*1.01</f>
        <v>4766.9332568534692</v>
      </c>
      <c r="Y2035" s="128" t="s">
        <v>185</v>
      </c>
      <c r="Z2035" s="153" t="s">
        <v>186</v>
      </c>
      <c r="AA2035" s="143">
        <f>AA2021*1.01</f>
        <v>9284.7692465010186</v>
      </c>
      <c r="AB2035" s="128" t="s">
        <v>185</v>
      </c>
      <c r="AC2035" s="153" t="s">
        <v>186</v>
      </c>
      <c r="AD2035" s="143">
        <f>AD2021*1.01</f>
        <v>15270.026961273021</v>
      </c>
      <c r="AE2035" s="128" t="s">
        <v>185</v>
      </c>
      <c r="AF2035" s="153" t="s">
        <v>186</v>
      </c>
      <c r="AG2035" s="143">
        <f>AG2021*1.01</f>
        <v>21417.388394070425</v>
      </c>
      <c r="AH2035" s="128" t="s">
        <v>185</v>
      </c>
      <c r="AI2035" s="153" t="s">
        <v>186</v>
      </c>
      <c r="AJ2035" s="143">
        <f>AJ2021*1.01</f>
        <v>27194.400125016531</v>
      </c>
      <c r="AK2035" s="128" t="s">
        <v>185</v>
      </c>
      <c r="AL2035" s="153" t="s">
        <v>186</v>
      </c>
      <c r="AM2035" s="143">
        <f>AM2021*1.01</f>
        <v>31887.572848104734</v>
      </c>
      <c r="AN2035" s="128" t="s">
        <v>185</v>
      </c>
      <c r="AO2035" s="153" t="s">
        <v>186</v>
      </c>
      <c r="AP2035" s="143">
        <f>AP2021*1.01</f>
        <v>35575.955678614853</v>
      </c>
      <c r="AQ2035" s="128" t="s">
        <v>185</v>
      </c>
      <c r="AR2035" s="153" t="s">
        <v>186</v>
      </c>
      <c r="AS2035" s="143">
        <f>AS2021*1.01</f>
        <v>39690.967652998814</v>
      </c>
      <c r="AT2035" s="128" t="s">
        <v>185</v>
      </c>
      <c r="AU2035" s="153" t="s">
        <v>186</v>
      </c>
    </row>
    <row r="2036" spans="13:47" ht="14" x14ac:dyDescent="0.3">
      <c r="M2036" s="12"/>
      <c r="N2036" s="12"/>
      <c r="O2036" s="20"/>
      <c r="P2036" s="20"/>
      <c r="Q2036" s="23"/>
      <c r="R2036" s="139"/>
      <c r="S2036" s="130" t="s">
        <v>228</v>
      </c>
      <c r="T2036" s="154" t="s">
        <v>187</v>
      </c>
      <c r="U2036" s="144"/>
      <c r="V2036" s="130" t="s">
        <v>228</v>
      </c>
      <c r="W2036" s="154" t="s">
        <v>187</v>
      </c>
      <c r="X2036" s="144"/>
      <c r="Y2036" s="130" t="s">
        <v>228</v>
      </c>
      <c r="Z2036" s="154" t="s">
        <v>187</v>
      </c>
      <c r="AA2036" s="144"/>
      <c r="AB2036" s="130" t="s">
        <v>228</v>
      </c>
      <c r="AC2036" s="154" t="s">
        <v>187</v>
      </c>
      <c r="AD2036" s="144"/>
      <c r="AE2036" s="130" t="s">
        <v>228</v>
      </c>
      <c r="AF2036" s="154" t="s">
        <v>187</v>
      </c>
      <c r="AG2036" s="144"/>
      <c r="AH2036" s="130" t="s">
        <v>228</v>
      </c>
      <c r="AI2036" s="154" t="s">
        <v>187</v>
      </c>
      <c r="AJ2036" s="144"/>
      <c r="AK2036" s="130" t="s">
        <v>228</v>
      </c>
      <c r="AL2036" s="154" t="s">
        <v>187</v>
      </c>
      <c r="AM2036" s="144"/>
      <c r="AN2036" s="130" t="s">
        <v>228</v>
      </c>
      <c r="AO2036" s="154" t="s">
        <v>187</v>
      </c>
      <c r="AP2036" s="144"/>
      <c r="AQ2036" s="130" t="s">
        <v>228</v>
      </c>
      <c r="AR2036" s="154" t="s">
        <v>187</v>
      </c>
      <c r="AS2036" s="144"/>
      <c r="AT2036" s="130" t="s">
        <v>228</v>
      </c>
      <c r="AU2036" s="154" t="s">
        <v>187</v>
      </c>
    </row>
    <row r="2037" spans="13:47" x14ac:dyDescent="0.25">
      <c r="M2037" s="20"/>
      <c r="N2037" s="20"/>
      <c r="O2037" s="7" t="s">
        <v>188</v>
      </c>
      <c r="P2037" s="7"/>
      <c r="Q2037" s="7"/>
      <c r="R2037" s="181">
        <f>P_1_minW-(R2035^2*R_up)+dpup_minQ</f>
        <v>100.50772157893677</v>
      </c>
      <c r="S2037" s="132"/>
      <c r="T2037" s="145"/>
      <c r="U2037" s="138">
        <f>P_1_minW-(U2035^2*R_up)+dpup_minQ</f>
        <v>99.041286580388459</v>
      </c>
      <c r="V2037" s="132"/>
      <c r="W2037" s="145"/>
      <c r="X2037" s="138">
        <f>P_1_minW-(X2035^2*R_up)+dpup_minQ</f>
        <v>91.461461263429584</v>
      </c>
      <c r="Y2037" s="132"/>
      <c r="Z2037" s="145"/>
      <c r="AA2037" s="138">
        <f>P_1_minW-(AA2035^2*R_up)+dpup_minQ</f>
        <v>66.146749036996695</v>
      </c>
      <c r="AB2037" s="132"/>
      <c r="AC2037" s="145"/>
      <c r="AD2037" s="138">
        <f>P_1_minW-(AD2035^2*R_up)+dpup_minQ</f>
        <v>7.542004565781169</v>
      </c>
      <c r="AE2037" s="132"/>
      <c r="AF2037" s="145"/>
      <c r="AG2037" s="138">
        <f>P_1_minW-(AG2035^2*R_up)+dpup_minQ</f>
        <v>-82.391072321604994</v>
      </c>
      <c r="AH2037" s="132"/>
      <c r="AI2037" s="145"/>
      <c r="AJ2037" s="138">
        <f>P_1_minW-(AJ2035^2*R_up)+dpup_minQ</f>
        <v>-194.37570680665092</v>
      </c>
      <c r="AK2037" s="132"/>
      <c r="AL2037" s="145"/>
      <c r="AM2037" s="138">
        <f>P_1_minW-(AM2035^2*R_up)+dpup_minQ</f>
        <v>-304.94514807360298</v>
      </c>
      <c r="AN2037" s="132"/>
      <c r="AO2037" s="145"/>
      <c r="AP2037" s="138">
        <f>P_1_minW-(AP2035^2*R_up)+dpup_minQ</f>
        <v>-404.16958234214343</v>
      </c>
      <c r="AQ2037" s="132"/>
      <c r="AR2037" s="145"/>
      <c r="AS2037" s="138">
        <f>P_1_minW-(AS2035^2*R_up)+dpup_minQ</f>
        <v>-527.67580935100818</v>
      </c>
      <c r="AT2037" s="132"/>
      <c r="AU2037" s="145"/>
    </row>
    <row r="2038" spans="13:47" x14ac:dyDescent="0.25">
      <c r="M2038" s="20"/>
      <c r="N2038" s="20"/>
      <c r="O2038" s="7" t="s">
        <v>189</v>
      </c>
      <c r="P2038" s="1"/>
      <c r="Q2038" s="7"/>
      <c r="R2038" s="181">
        <f>P_2_minW+(R2035^2*R_dn)-dpdn_minQ</f>
        <v>50</v>
      </c>
      <c r="S2038" s="132"/>
      <c r="T2038" s="146"/>
      <c r="U2038" s="138">
        <f>P_2_minW+(U2035^2*R_dn)-dpdn_minQ</f>
        <v>50</v>
      </c>
      <c r="V2038" s="132"/>
      <c r="W2038" s="146"/>
      <c r="X2038" s="138">
        <f>P_2_minW+(X2035^2*R_dn)-dpdn_minQ</f>
        <v>50</v>
      </c>
      <c r="Y2038" s="132"/>
      <c r="Z2038" s="146"/>
      <c r="AA2038" s="138">
        <f>P_2_minW+(AA2035^2*R_dn)-dpdn_minQ</f>
        <v>50</v>
      </c>
      <c r="AB2038" s="132"/>
      <c r="AC2038" s="146"/>
      <c r="AD2038" s="138">
        <f>P_2_minW+(AD2035^2*R_dn)-dpdn_minQ</f>
        <v>50</v>
      </c>
      <c r="AE2038" s="132"/>
      <c r="AF2038" s="146"/>
      <c r="AG2038" s="138">
        <f>P_2_minW+(AG2035^2*R_dn)-dpdn_minQ</f>
        <v>50</v>
      </c>
      <c r="AH2038" s="132"/>
      <c r="AI2038" s="146"/>
      <c r="AJ2038" s="138">
        <f>P_2_minW+(AJ2035^2*R_dn)-dpdn_minQ</f>
        <v>50</v>
      </c>
      <c r="AK2038" s="132"/>
      <c r="AL2038" s="146"/>
      <c r="AM2038" s="138">
        <f>P_2_minW+(AM2035^2*R_dn)-dpdn_minQ</f>
        <v>50</v>
      </c>
      <c r="AN2038" s="132"/>
      <c r="AO2038" s="146"/>
      <c r="AP2038" s="138">
        <f>P_2_minW+(AP2035^2*R_dn)-dpdn_minQ</f>
        <v>50</v>
      </c>
      <c r="AQ2038" s="132"/>
      <c r="AR2038" s="146"/>
      <c r="AS2038" s="138">
        <f>P_2_minW+(AS2035^2*R_dn)-dpdn_minQ</f>
        <v>50</v>
      </c>
      <c r="AT2038" s="132"/>
      <c r="AU2038" s="146"/>
    </row>
    <row r="2039" spans="13:47" x14ac:dyDescent="0.25">
      <c r="M2039" s="20"/>
      <c r="N2039" s="20"/>
      <c r="O2039" s="7" t="s">
        <v>234</v>
      </c>
      <c r="P2039" s="1"/>
      <c r="Q2039" s="7"/>
      <c r="R2039" s="179">
        <f>'Valve Sizing'!G$8*R2037/P_1_maxW</f>
        <v>0.48483135459989829</v>
      </c>
      <c r="S2039" s="132"/>
      <c r="T2039" s="146"/>
      <c r="U2039" s="143">
        <f>'Valve Sizing'!$G$8*U2037/P_1_maxW</f>
        <v>0.47775753324956061</v>
      </c>
      <c r="V2039" s="132"/>
      <c r="W2039" s="146"/>
      <c r="X2039" s="143">
        <f>'Valve Sizing'!$G$8*X2037/P_1_maxW</f>
        <v>0.44119380542527048</v>
      </c>
      <c r="Y2039" s="132"/>
      <c r="Z2039" s="146"/>
      <c r="AA2039" s="143">
        <f>'Valve Sizing'!$G$8*AA2037/P_1_maxW</f>
        <v>0.31908014065167589</v>
      </c>
      <c r="AB2039" s="132"/>
      <c r="AC2039" s="146"/>
      <c r="AD2039" s="143">
        <f>'Valve Sizing'!$G$8*AD2037/P_1_maxW</f>
        <v>3.6381287254178579E-2</v>
      </c>
      <c r="AE2039" s="132"/>
      <c r="AF2039" s="146"/>
      <c r="AG2039" s="143">
        <f>'Valve Sizing'!$G$8*AG2037/P_1_maxW</f>
        <v>-0.39743986405312465</v>
      </c>
      <c r="AH2039" s="132"/>
      <c r="AI2039" s="146"/>
      <c r="AJ2039" s="143">
        <f>'Valve Sizing'!$G$8*AJ2037/P_1_maxW</f>
        <v>-0.93763380317369405</v>
      </c>
      <c r="AK2039" s="132"/>
      <c r="AL2039" s="146"/>
      <c r="AM2039" s="143">
        <f>'Valve Sizing'!$G$8*AM2037/P_1_maxW</f>
        <v>-1.4710011021698013</v>
      </c>
      <c r="AN2039" s="132"/>
      <c r="AO2039" s="146"/>
      <c r="AP2039" s="143">
        <f>'Valve Sizing'!$G$8*AP2037/P_1_maxW</f>
        <v>-1.9496421072595709</v>
      </c>
      <c r="AQ2039" s="132"/>
      <c r="AR2039" s="146"/>
      <c r="AS2039" s="143">
        <f>'Valve Sizing'!$G$8*AS2037/P_1_maxW</f>
        <v>-2.5454141574219271</v>
      </c>
      <c r="AT2039" s="132"/>
      <c r="AU2039" s="146"/>
    </row>
    <row r="2040" spans="13:47" x14ac:dyDescent="0.25">
      <c r="M2040" s="20"/>
      <c r="N2040" s="20"/>
      <c r="O2040" s="7" t="s">
        <v>190</v>
      </c>
      <c r="P2040" s="1"/>
      <c r="Q2040" s="7"/>
      <c r="R2040" s="181">
        <f>R2037-R2038</f>
        <v>50.507721578936767</v>
      </c>
      <c r="S2040" s="132"/>
      <c r="T2040" s="146"/>
      <c r="U2040" s="138">
        <f>U2037-U2038</f>
        <v>49.041286580388459</v>
      </c>
      <c r="V2040" s="132"/>
      <c r="W2040" s="146"/>
      <c r="X2040" s="138">
        <f>X2037-X2038</f>
        <v>41.461461263429584</v>
      </c>
      <c r="Y2040" s="132"/>
      <c r="Z2040" s="146"/>
      <c r="AA2040" s="138">
        <f>AA2037-AA2038</f>
        <v>16.146749036996695</v>
      </c>
      <c r="AB2040" s="132"/>
      <c r="AC2040" s="146"/>
      <c r="AD2040" s="138">
        <f>AD2037-AD2038</f>
        <v>-42.45799543421883</v>
      </c>
      <c r="AE2040" s="132"/>
      <c r="AF2040" s="146"/>
      <c r="AG2040" s="138">
        <f>AG2037-AG2038</f>
        <v>-132.39107232160501</v>
      </c>
      <c r="AH2040" s="132"/>
      <c r="AI2040" s="146"/>
      <c r="AJ2040" s="138">
        <f>AJ2037-AJ2038</f>
        <v>-244.37570680665092</v>
      </c>
      <c r="AK2040" s="132"/>
      <c r="AL2040" s="146"/>
      <c r="AM2040" s="138">
        <f>AM2037-AM2038</f>
        <v>-354.94514807360298</v>
      </c>
      <c r="AN2040" s="132"/>
      <c r="AO2040" s="146"/>
      <c r="AP2040" s="138">
        <f>AP2037-AP2038</f>
        <v>-454.16958234214343</v>
      </c>
      <c r="AQ2040" s="132"/>
      <c r="AR2040" s="146"/>
      <c r="AS2040" s="138">
        <f>AS2037-AS2038</f>
        <v>-577.67580935100818</v>
      </c>
      <c r="AT2040" s="132"/>
      <c r="AU2040" s="146"/>
    </row>
    <row r="2041" spans="13:47" ht="14.5" x14ac:dyDescent="0.35">
      <c r="M2041" s="27"/>
      <c r="N2041" s="27"/>
      <c r="O2041" s="2" t="s">
        <v>191</v>
      </c>
      <c r="P2041" s="10"/>
      <c r="Q2041" s="2"/>
      <c r="R2041" s="181">
        <f>R2040/R2037</f>
        <v>0.50252578394455993</v>
      </c>
      <c r="S2041" s="132"/>
      <c r="T2041" s="146"/>
      <c r="U2041" s="138">
        <f>U2040/U2037</f>
        <v>0.49516003147418031</v>
      </c>
      <c r="V2041" s="132"/>
      <c r="W2041" s="146"/>
      <c r="X2041" s="138">
        <f>X2040/X2037</f>
        <v>0.45332165800425217</v>
      </c>
      <c r="Y2041" s="132"/>
      <c r="Z2041" s="146"/>
      <c r="AA2041" s="138">
        <f>AA2040/AA2037</f>
        <v>0.24410495257999179</v>
      </c>
      <c r="AB2041" s="132"/>
      <c r="AC2041" s="146"/>
      <c r="AD2041" s="138">
        <f>AD2040/AD2037</f>
        <v>-5.6295372223526634</v>
      </c>
      <c r="AE2041" s="132"/>
      <c r="AF2041" s="146"/>
      <c r="AG2041" s="138">
        <f>AG2040/AG2037</f>
        <v>1.6068618673250203</v>
      </c>
      <c r="AH2041" s="132"/>
      <c r="AI2041" s="146"/>
      <c r="AJ2041" s="138">
        <f>AJ2040/AJ2037</f>
        <v>1.257233791307758</v>
      </c>
      <c r="AK2041" s="132"/>
      <c r="AL2041" s="146"/>
      <c r="AM2041" s="138">
        <f>AM2040/AM2037</f>
        <v>1.1639639138902835</v>
      </c>
      <c r="AN2041" s="132"/>
      <c r="AO2041" s="146"/>
      <c r="AP2041" s="138">
        <f>AP2040/AP2037</f>
        <v>1.123710447753768</v>
      </c>
      <c r="AQ2041" s="132"/>
      <c r="AR2041" s="146"/>
      <c r="AS2041" s="138">
        <f>AS2040/AS2037</f>
        <v>1.0947551491160743</v>
      </c>
      <c r="AT2041" s="132"/>
      <c r="AU2041" s="146"/>
    </row>
    <row r="2042" spans="13:47" x14ac:dyDescent="0.25">
      <c r="M2042" s="27"/>
      <c r="N2042" s="27"/>
      <c r="O2042" s="2" t="s">
        <v>26</v>
      </c>
      <c r="P2042" s="7">
        <v>12</v>
      </c>
      <c r="Q2042" s="2"/>
      <c r="R2042" s="181">
        <f>1-R2041/(3*F_GAMMA*R$29)</f>
        <v>0.73827881321406041</v>
      </c>
      <c r="S2042" s="133"/>
      <c r="T2042" s="146"/>
      <c r="U2042" s="138">
        <f>1-U2041/(3*F_GAMMA*U$29)</f>
        <v>0.74217176136492569</v>
      </c>
      <c r="V2042" s="133"/>
      <c r="W2042" s="146"/>
      <c r="X2042" s="138">
        <f>1-X2041/(3*F_GAMMA*X$29)</f>
        <v>0.76041584546475582</v>
      </c>
      <c r="Y2042" s="133"/>
      <c r="Z2042" s="146"/>
      <c r="AA2042" s="138">
        <f>1-AA2041/(3*F_GAMMA*AA$29)</f>
        <v>0.86921963630552557</v>
      </c>
      <c r="AB2042" s="133"/>
      <c r="AC2042" s="146"/>
      <c r="AD2042" s="138">
        <f>1-AD2041/(3*F_GAMMA*AD$29)</f>
        <v>4.0987444485852045</v>
      </c>
      <c r="AE2042" s="133"/>
      <c r="AF2042" s="146"/>
      <c r="AG2042" s="138">
        <f>1-AG2041/(3*F_GAMMA*AG$29)</f>
        <v>6.5060126558618592E-2</v>
      </c>
      <c r="AH2042" s="133"/>
      <c r="AI2042" s="146"/>
      <c r="AJ2042" s="138">
        <f>1-AJ2041/(3*F_GAMMA*AJ$29)</f>
        <v>0.21800424522638207</v>
      </c>
      <c r="AK2042" s="133"/>
      <c r="AL2042" s="146"/>
      <c r="AM2042" s="138">
        <f>1-AM2041/(3*F_GAMMA*AM$29)</f>
        <v>0.20897586625660325</v>
      </c>
      <c r="AN2042" s="133"/>
      <c r="AO2042" s="146"/>
      <c r="AP2042" s="138">
        <f>1-AP2041/(3*F_GAMMA*AP$29)</f>
        <v>0.36891095365488891</v>
      </c>
      <c r="AQ2042" s="133"/>
      <c r="AR2042" s="146"/>
      <c r="AS2042" s="138">
        <f>1-AS2041/(3*F_GAMMA*AS$29)</f>
        <v>6.6638568671307574E-2</v>
      </c>
      <c r="AT2042" s="133"/>
      <c r="AU2042" s="146"/>
    </row>
    <row r="2043" spans="13:47" x14ac:dyDescent="0.25">
      <c r="M2043" s="27"/>
      <c r="N2043" s="27"/>
      <c r="O2043" s="2" t="s">
        <v>71</v>
      </c>
      <c r="P2043" s="85">
        <v>5</v>
      </c>
      <c r="Q2043" s="2"/>
      <c r="R2043" s="179">
        <f>R2035/((N_6*R$27*R2042)*SQRT(R2041*R2037*R2039))</f>
        <v>0.84058793979160973</v>
      </c>
      <c r="S2043" s="133"/>
      <c r="T2043" s="146"/>
      <c r="U2043" s="143">
        <f>U2035/((N_6*U$27*U2042)*SQRT(U2041*U2037*U2039))</f>
        <v>8.4824760942602939</v>
      </c>
      <c r="V2043" s="133"/>
      <c r="W2043" s="146"/>
      <c r="X2043" s="143">
        <f>X2035/((N_6*X$27*X2042)*SQRT(X2041*X2037*X2039))</f>
        <v>23.223626827394849</v>
      </c>
      <c r="Y2043" s="133"/>
      <c r="Z2043" s="146"/>
      <c r="AA2043" s="143">
        <f>AA2035/((N_6*AA$27*AA2042)*SQRT(AA2041*AA2037*AA2039))</f>
        <v>74.992679154809608</v>
      </c>
      <c r="AB2043" s="133"/>
      <c r="AC2043" s="146"/>
      <c r="AD2043" s="143" t="e">
        <f>AD2035/((N_6*AD$27*AD2042)*SQRT(AD2041*AD2037*AD2039))</f>
        <v>#NUM!</v>
      </c>
      <c r="AE2043" s="133"/>
      <c r="AF2043" s="146"/>
      <c r="AG2043" s="143">
        <f>AG2035/((N_6*AG$27*AG2042)*SQRT(AG2041*AG2037*AG2039))</f>
        <v>747.60408625454284</v>
      </c>
      <c r="AH2043" s="133"/>
      <c r="AI2043" s="146"/>
      <c r="AJ2043" s="143">
        <f>AJ2035/((N_6*AJ$27*AJ2042)*SQRT(AJ2041*AJ2037*AJ2039))</f>
        <v>140.41502619953226</v>
      </c>
      <c r="AK2043" s="133"/>
      <c r="AL2043" s="146"/>
      <c r="AM2043" s="143">
        <f>AM2035/((N_6*AM$27*AM2042)*SQRT(AM2041*AM2037*AM2039))</f>
        <v>120.77224756980232</v>
      </c>
      <c r="AN2043" s="133"/>
      <c r="AO2043" s="146"/>
      <c r="AP2043" s="143">
        <f>AP2035/((N_6*AP$27*AP2042)*SQRT(AP2041*AP2037*AP2039))</f>
        <v>66.578133804820652</v>
      </c>
      <c r="AQ2043" s="133"/>
      <c r="AR2043" s="146"/>
      <c r="AS2043" s="143">
        <f>AS2035/((N_6*AS$27*AS2042)*SQRT(AS2041*AS2037*AS2039))</f>
        <v>419.29066141543353</v>
      </c>
      <c r="AT2043" s="133"/>
      <c r="AU2043" s="146"/>
    </row>
    <row r="2044" spans="13:47" x14ac:dyDescent="0.25">
      <c r="M2044" s="27"/>
      <c r="N2044" s="27"/>
      <c r="O2044" s="2" t="s">
        <v>73</v>
      </c>
      <c r="P2044" s="85">
        <v>5</v>
      </c>
      <c r="Q2044" s="2"/>
      <c r="R2044" s="179">
        <f>R2035/((N_6*R$27*0.667)*SQRT(R2045*R2037*R2039))</f>
        <v>0.82443760705926716</v>
      </c>
      <c r="S2044" s="133"/>
      <c r="T2044" s="155"/>
      <c r="U2044" s="143">
        <f>U2035/((N_6*U$27*0.667)*SQRT(U2045*U2037*U2039))</f>
        <v>8.3009367493534558</v>
      </c>
      <c r="V2044" s="133"/>
      <c r="W2044" s="155"/>
      <c r="X2044" s="143">
        <f>X2035/((N_6*X$27*0.667)*SQRT(X2045*X2037*X2039))</f>
        <v>22.446314398380167</v>
      </c>
      <c r="Y2044" s="133"/>
      <c r="Z2044" s="155"/>
      <c r="AA2044" s="143">
        <f>AA2035/((N_6*AA$27*0.667)*SQRT(AA2045*AA2037*AA2039))</f>
        <v>61.214521901558228</v>
      </c>
      <c r="AB2044" s="133"/>
      <c r="AC2044" s="155"/>
      <c r="AD2044" s="143">
        <f>AD2035/((N_6*AD$27*0.667)*SQRT(AD2045*AD2037*AD2039))</f>
        <v>905.6556546208509</v>
      </c>
      <c r="AE2044" s="133"/>
      <c r="AF2044" s="155"/>
      <c r="AG2044" s="143">
        <f>AG2035/((N_6*AG$27*0.667)*SQRT(AG2045*AG2037*AG2039))</f>
        <v>122.12742623688243</v>
      </c>
      <c r="AH2044" s="133"/>
      <c r="AI2044" s="155"/>
      <c r="AJ2044" s="143">
        <f>AJ2035/((N_6*AJ$27*0.667)*SQRT(AJ2045*AJ2037*AJ2039))</f>
        <v>70.293558159940574</v>
      </c>
      <c r="AK2044" s="133"/>
      <c r="AL2044" s="155"/>
      <c r="AM2044" s="143">
        <f>AM2035/((N_6*AM$27*0.667)*SQRT(AM2045*AM2037*AM2039))</f>
        <v>58.289850720599169</v>
      </c>
      <c r="AN2044" s="133"/>
      <c r="AO2044" s="155"/>
      <c r="AP2044" s="143">
        <f>AP2035/((N_6*AP$27*0.667)*SQRT(AP2045*AP2037*AP2039))</f>
        <v>50.667944092945632</v>
      </c>
      <c r="AQ2044" s="133"/>
      <c r="AR2044" s="155"/>
      <c r="AS2044" s="143">
        <f>AS2035/((N_6*AS$27*0.667)*SQRT(AS2045*AS2037*AS2039))</f>
        <v>70.097183585457827</v>
      </c>
      <c r="AT2044" s="133"/>
      <c r="AU2044" s="155"/>
    </row>
    <row r="2045" spans="13:47" ht="15.5" x14ac:dyDescent="0.4">
      <c r="M2045" s="27"/>
      <c r="N2045" s="27"/>
      <c r="O2045" s="2" t="s">
        <v>192</v>
      </c>
      <c r="P2045" s="85">
        <v>10</v>
      </c>
      <c r="Q2045" s="2"/>
      <c r="R2045" s="181">
        <f>F_GAMMA*R$29</f>
        <v>0.64002688015162901</v>
      </c>
      <c r="S2045" s="133"/>
      <c r="T2045" s="155"/>
      <c r="U2045" s="138">
        <f>F_GAMMA*U$29</f>
        <v>0.64016782916606918</v>
      </c>
      <c r="V2045" s="133"/>
      <c r="W2045" s="155"/>
      <c r="X2045" s="138">
        <f>F_GAMMA*X$29</f>
        <v>0.6307062319203669</v>
      </c>
      <c r="Y2045" s="133"/>
      <c r="Z2045" s="155"/>
      <c r="AA2045" s="138">
        <f>F_GAMMA*AA$29</f>
        <v>0.62217534213893466</v>
      </c>
      <c r="AB2045" s="133"/>
      <c r="AC2045" s="155"/>
      <c r="AD2045" s="138">
        <f>F_GAMMA*AD$29</f>
        <v>0.60557184969146072</v>
      </c>
      <c r="AE2045" s="133"/>
      <c r="AF2045" s="155"/>
      <c r="AG2045" s="138">
        <f>F_GAMMA*AG$29</f>
        <v>0.57289312142622573</v>
      </c>
      <c r="AH2045" s="133"/>
      <c r="AI2045" s="155"/>
      <c r="AJ2045" s="138">
        <f>F_GAMMA*AJ$29</f>
        <v>0.53590819116049981</v>
      </c>
      <c r="AK2045" s="133"/>
      <c r="AL2045" s="155"/>
      <c r="AM2045" s="138">
        <f>F_GAMMA*AM$29</f>
        <v>0.49048815926850342</v>
      </c>
      <c r="AN2045" s="133"/>
      <c r="AO2045" s="155"/>
      <c r="AP2045" s="138">
        <f>F_GAMMA*AP$29</f>
        <v>0.59352979016280105</v>
      </c>
      <c r="AQ2045" s="133"/>
      <c r="AR2045" s="155"/>
      <c r="AS2045" s="138">
        <f>F_GAMMA*AS$29</f>
        <v>0.39097221161068291</v>
      </c>
      <c r="AT2045" s="133"/>
      <c r="AU2045" s="155"/>
    </row>
    <row r="2046" spans="13:47" x14ac:dyDescent="0.25">
      <c r="M2046" s="27"/>
      <c r="N2046" s="27"/>
      <c r="O2046" s="2" t="s">
        <v>193</v>
      </c>
      <c r="P2046" s="134"/>
      <c r="Q2046" s="2"/>
      <c r="R2046" s="181">
        <f>IF(R2041&lt;R2045,R2043,R2044)</f>
        <v>0.84058793979160973</v>
      </c>
      <c r="S2046" s="133"/>
      <c r="T2046" s="155"/>
      <c r="U2046" s="138">
        <f>IF(U2041&lt;U2045,U2043,U2044)</f>
        <v>8.4824760942602939</v>
      </c>
      <c r="V2046" s="133"/>
      <c r="W2046" s="155"/>
      <c r="X2046" s="138">
        <f>IF(X2041&lt;X2045,X2043,X2044)</f>
        <v>23.223626827394849</v>
      </c>
      <c r="Y2046" s="133"/>
      <c r="Z2046" s="155"/>
      <c r="AA2046" s="138">
        <f>IF(AA2041&lt;AA2045,AA2043,AA2044)</f>
        <v>74.992679154809608</v>
      </c>
      <c r="AB2046" s="133"/>
      <c r="AC2046" s="155"/>
      <c r="AD2046" s="138" t="e">
        <f>IF(AD2041&lt;AD2045,AD2043,AD2044)</f>
        <v>#NUM!</v>
      </c>
      <c r="AE2046" s="133"/>
      <c r="AF2046" s="155"/>
      <c r="AG2046" s="138">
        <f>IF(AG2041&lt;AG2045,AG2043,AG2044)</f>
        <v>122.12742623688243</v>
      </c>
      <c r="AH2046" s="133"/>
      <c r="AI2046" s="155"/>
      <c r="AJ2046" s="138">
        <f>IF(AJ2041&lt;AJ2045,AJ2043,AJ2044)</f>
        <v>70.293558159940574</v>
      </c>
      <c r="AK2046" s="133"/>
      <c r="AL2046" s="155"/>
      <c r="AM2046" s="138">
        <f>IF(AM2041&lt;AM2045,AM2043,AM2044)</f>
        <v>58.289850720599169</v>
      </c>
      <c r="AN2046" s="133"/>
      <c r="AO2046" s="155"/>
      <c r="AP2046" s="138">
        <f>IF(AP2041&lt;AP2045,AP2043,AP2044)</f>
        <v>50.667944092945632</v>
      </c>
      <c r="AQ2046" s="133"/>
      <c r="AR2046" s="155"/>
      <c r="AS2046" s="138">
        <f>IF(AS2041&lt;AS2045,AS2043,AS2044)</f>
        <v>70.097183585457827</v>
      </c>
      <c r="AT2046" s="133"/>
      <c r="AU2046" s="155"/>
    </row>
    <row r="2047" spans="13:47" ht="13" x14ac:dyDescent="0.3">
      <c r="M2047" s="28"/>
      <c r="N2047" s="28"/>
      <c r="O2047" s="9" t="s">
        <v>194</v>
      </c>
      <c r="P2047" s="1"/>
      <c r="Q2047" s="1"/>
      <c r="R2047" s="135"/>
      <c r="S2047" s="132">
        <f>IF(R2040&lt;=0,W_max,ABS(R$23-R2046))</f>
        <v>1.1594120602083904</v>
      </c>
      <c r="T2047" s="151">
        <f>R2035</f>
        <v>194.37036429325539</v>
      </c>
      <c r="U2047" s="135"/>
      <c r="V2047" s="132">
        <f>IF(U2040&lt;=0,W_max,ABS(U$23-U2046))</f>
        <v>3.4824760942602939</v>
      </c>
      <c r="W2047" s="151">
        <f>U2035</f>
        <v>1927.4985369344022</v>
      </c>
      <c r="X2047" s="135"/>
      <c r="Y2047" s="132">
        <f>IF(X2040&lt;=0,W_max,ABS(X$23-X2046))</f>
        <v>13.223626827394849</v>
      </c>
      <c r="Z2047" s="151">
        <f>X2035</f>
        <v>4766.9332568534692</v>
      </c>
      <c r="AA2047" s="135"/>
      <c r="AB2047" s="132">
        <f>IF(AA2040&lt;=0,W_max,ABS(AA$23-AA2046))</f>
        <v>57.792679154809605</v>
      </c>
      <c r="AC2047" s="151">
        <f>AA2035</f>
        <v>9284.7692465010186</v>
      </c>
      <c r="AD2047" s="135"/>
      <c r="AE2047" s="132">
        <f>IF(AD2040&lt;=0,W_max,ABS(AD$23-AD2046))</f>
        <v>7174</v>
      </c>
      <c r="AF2047" s="151">
        <f>AD2035</f>
        <v>15270.026961273021</v>
      </c>
      <c r="AG2047" s="135"/>
      <c r="AH2047" s="132">
        <f>IF(AG2040&lt;=0,W_max,ABS(AG$23-AG2046))</f>
        <v>7174</v>
      </c>
      <c r="AI2047" s="151">
        <f>AG2035</f>
        <v>21417.388394070425</v>
      </c>
      <c r="AJ2047" s="135"/>
      <c r="AK2047" s="132">
        <f>IF(AJ2040&lt;=0,W_max,ABS(AJ$23-AJ2046))</f>
        <v>7174</v>
      </c>
      <c r="AL2047" s="151">
        <f>AJ2035</f>
        <v>27194.400125016531</v>
      </c>
      <c r="AM2047" s="135"/>
      <c r="AN2047" s="132">
        <f>IF(AM2040&lt;=0,W_max,ABS(AM$23-AM2046))</f>
        <v>7174</v>
      </c>
      <c r="AO2047" s="151">
        <f>AM2035</f>
        <v>31887.572848104734</v>
      </c>
      <c r="AP2047" s="135"/>
      <c r="AQ2047" s="132">
        <f>IF(AP2040&lt;=0,W_max,ABS(AP$23-AP2046))</f>
        <v>7174</v>
      </c>
      <c r="AR2047" s="151">
        <f>AP2035</f>
        <v>35575.955678614853</v>
      </c>
      <c r="AS2047" s="135"/>
      <c r="AT2047" s="132">
        <f>IF(AS2040&lt;=0,W_max,ABS(AS$23-AS2046))</f>
        <v>7174</v>
      </c>
      <c r="AU2047" s="151">
        <f>AS2035</f>
        <v>39690.967652998814</v>
      </c>
    </row>
    <row r="2048" spans="13:47" ht="13" x14ac:dyDescent="0.25">
      <c r="M2048" s="12"/>
      <c r="N2048" s="12"/>
      <c r="O2048" s="2"/>
      <c r="P2048" s="85"/>
      <c r="Q2048" s="2"/>
      <c r="R2048" s="18"/>
      <c r="S2048" s="150"/>
      <c r="T2048" s="148"/>
      <c r="U2048" s="157"/>
      <c r="V2048" s="1"/>
      <c r="W2048" s="147"/>
      <c r="X2048" s="157"/>
      <c r="Y2048" s="1"/>
      <c r="Z2048" s="147"/>
      <c r="AA2048" s="157"/>
      <c r="AB2048" s="1"/>
      <c r="AC2048" s="147"/>
      <c r="AD2048" s="157"/>
      <c r="AE2048" s="1"/>
      <c r="AF2048" s="147"/>
      <c r="AG2048" s="157"/>
      <c r="AH2048" s="1"/>
      <c r="AI2048" s="147"/>
      <c r="AJ2048" s="157"/>
      <c r="AK2048" s="1"/>
      <c r="AL2048" s="147"/>
      <c r="AM2048" s="157"/>
      <c r="AN2048" s="1"/>
      <c r="AO2048" s="147"/>
      <c r="AP2048" s="157"/>
      <c r="AQ2048" s="1"/>
      <c r="AR2048" s="147"/>
      <c r="AS2048" s="157"/>
      <c r="AT2048" s="1"/>
      <c r="AU2048" s="147"/>
    </row>
    <row r="2049" spans="13:47" ht="14" x14ac:dyDescent="0.3">
      <c r="M2049" s="23"/>
      <c r="N2049" s="23"/>
      <c r="O2049" s="23" t="s">
        <v>238</v>
      </c>
      <c r="P2049" s="20"/>
      <c r="Q2049" s="20"/>
      <c r="R2049" s="181">
        <f>R2035*1.02</f>
        <v>198.25777157912052</v>
      </c>
      <c r="S2049" s="128" t="s">
        <v>185</v>
      </c>
      <c r="T2049" s="149" t="s">
        <v>186</v>
      </c>
      <c r="U2049" s="143">
        <f>U2035*1.01</f>
        <v>1946.7735223037462</v>
      </c>
      <c r="V2049" s="128" t="s">
        <v>185</v>
      </c>
      <c r="W2049" s="153" t="s">
        <v>186</v>
      </c>
      <c r="X2049" s="143">
        <f>X2035*1.01</f>
        <v>4814.6025894220038</v>
      </c>
      <c r="Y2049" s="128" t="s">
        <v>185</v>
      </c>
      <c r="Z2049" s="153" t="s">
        <v>186</v>
      </c>
      <c r="AA2049" s="143">
        <f>AA2035*1.01</f>
        <v>9377.6169389660281</v>
      </c>
      <c r="AB2049" s="128" t="s">
        <v>185</v>
      </c>
      <c r="AC2049" s="153" t="s">
        <v>186</v>
      </c>
      <c r="AD2049" s="143">
        <f>AD2035*1.01</f>
        <v>15422.727230885752</v>
      </c>
      <c r="AE2049" s="128" t="s">
        <v>185</v>
      </c>
      <c r="AF2049" s="153" t="s">
        <v>186</v>
      </c>
      <c r="AG2049" s="143">
        <f>AG2035*1.01</f>
        <v>21631.56227801113</v>
      </c>
      <c r="AH2049" s="128" t="s">
        <v>185</v>
      </c>
      <c r="AI2049" s="153" t="s">
        <v>186</v>
      </c>
      <c r="AJ2049" s="143">
        <f>AJ2035*1.01</f>
        <v>27466.344126266697</v>
      </c>
      <c r="AK2049" s="128" t="s">
        <v>185</v>
      </c>
      <c r="AL2049" s="153" t="s">
        <v>186</v>
      </c>
      <c r="AM2049" s="143">
        <f>AM2035*1.01</f>
        <v>32206.448576585783</v>
      </c>
      <c r="AN2049" s="128" t="s">
        <v>185</v>
      </c>
      <c r="AO2049" s="153" t="s">
        <v>186</v>
      </c>
      <c r="AP2049" s="143">
        <f>AP2035*1.01</f>
        <v>35931.715235401003</v>
      </c>
      <c r="AQ2049" s="128" t="s">
        <v>185</v>
      </c>
      <c r="AR2049" s="153" t="s">
        <v>186</v>
      </c>
      <c r="AS2049" s="143">
        <f>AS2035*1.01</f>
        <v>40087.877329528805</v>
      </c>
      <c r="AT2049" s="128" t="s">
        <v>185</v>
      </c>
      <c r="AU2049" s="153" t="s">
        <v>186</v>
      </c>
    </row>
    <row r="2050" spans="13:47" ht="14" x14ac:dyDescent="0.3">
      <c r="M2050" s="12"/>
      <c r="N2050" s="12"/>
      <c r="O2050" s="20"/>
      <c r="P2050" s="20"/>
      <c r="Q2050" s="23"/>
      <c r="R2050" s="139"/>
      <c r="S2050" s="130" t="s">
        <v>228</v>
      </c>
      <c r="T2050" s="131" t="s">
        <v>187</v>
      </c>
      <c r="U2050" s="144"/>
      <c r="V2050" s="130" t="s">
        <v>228</v>
      </c>
      <c r="W2050" s="154" t="s">
        <v>187</v>
      </c>
      <c r="X2050" s="144"/>
      <c r="Y2050" s="130" t="s">
        <v>228</v>
      </c>
      <c r="Z2050" s="154" t="s">
        <v>187</v>
      </c>
      <c r="AA2050" s="144"/>
      <c r="AB2050" s="130" t="s">
        <v>228</v>
      </c>
      <c r="AC2050" s="154" t="s">
        <v>187</v>
      </c>
      <c r="AD2050" s="144"/>
      <c r="AE2050" s="130" t="s">
        <v>228</v>
      </c>
      <c r="AF2050" s="154" t="s">
        <v>187</v>
      </c>
      <c r="AG2050" s="144"/>
      <c r="AH2050" s="130" t="s">
        <v>228</v>
      </c>
      <c r="AI2050" s="154" t="s">
        <v>187</v>
      </c>
      <c r="AJ2050" s="144"/>
      <c r="AK2050" s="130" t="s">
        <v>228</v>
      </c>
      <c r="AL2050" s="154" t="s">
        <v>187</v>
      </c>
      <c r="AM2050" s="144"/>
      <c r="AN2050" s="130" t="s">
        <v>228</v>
      </c>
      <c r="AO2050" s="154" t="s">
        <v>187</v>
      </c>
      <c r="AP2050" s="144"/>
      <c r="AQ2050" s="130" t="s">
        <v>228</v>
      </c>
      <c r="AR2050" s="154" t="s">
        <v>187</v>
      </c>
      <c r="AS2050" s="144"/>
      <c r="AT2050" s="130" t="s">
        <v>228</v>
      </c>
      <c r="AU2050" s="154" t="s">
        <v>187</v>
      </c>
    </row>
    <row r="2051" spans="13:47" x14ac:dyDescent="0.25">
      <c r="M2051" s="20"/>
      <c r="N2051" s="20"/>
      <c r="O2051" s="7" t="s">
        <v>188</v>
      </c>
      <c r="P2051" s="7"/>
      <c r="Q2051" s="7"/>
      <c r="R2051" s="181">
        <f>P_1_minW-(R2049^2*R_up)+dpup_minQ</f>
        <v>100.50711294656206</v>
      </c>
      <c r="S2051" s="132"/>
      <c r="T2051" s="145"/>
      <c r="U2051" s="138">
        <f>P_1_minW-(U2049^2*R_up)+dpup_minQ</f>
        <v>99.011508427246056</v>
      </c>
      <c r="V2051" s="132"/>
      <c r="W2051" s="145"/>
      <c r="X2051" s="138">
        <f>P_1_minW-(X2049^2*R_up)+dpup_minQ</f>
        <v>91.279328621416298</v>
      </c>
      <c r="Y2051" s="132"/>
      <c r="Z2051" s="145"/>
      <c r="AA2051" s="138">
        <f>P_1_minW-(AA2049^2*R_up)+dpup_minQ</f>
        <v>65.455790679232138</v>
      </c>
      <c r="AB2051" s="132"/>
      <c r="AC2051" s="145"/>
      <c r="AD2051" s="138">
        <f>P_1_minW-(AD2049^2*R_up)+dpup_minQ</f>
        <v>5.6730908441451495</v>
      </c>
      <c r="AE2051" s="132"/>
      <c r="AF2051" s="145"/>
      <c r="AG2051" s="138">
        <f>P_1_minW-(AG2049^2*R_up)+dpup_minQ</f>
        <v>-86.067640888677474</v>
      </c>
      <c r="AH2051" s="132"/>
      <c r="AI2051" s="145"/>
      <c r="AJ2051" s="138">
        <f>P_1_minW-(AJ2049^2*R_up)+dpup_minQ</f>
        <v>-200.30316652687279</v>
      </c>
      <c r="AK2051" s="132"/>
      <c r="AL2051" s="145"/>
      <c r="AM2051" s="138">
        <f>P_1_minW-(AM2049^2*R_up)+dpup_minQ</f>
        <v>-313.09505356329066</v>
      </c>
      <c r="AN2051" s="132"/>
      <c r="AO2051" s="145"/>
      <c r="AP2051" s="138">
        <f>P_1_minW-(AP2049^2*R_up)+dpup_minQ</f>
        <v>-414.31389896062876</v>
      </c>
      <c r="AQ2051" s="132"/>
      <c r="AR2051" s="145"/>
      <c r="AS2051" s="138">
        <f>P_1_minW-(AS2049^2*R_up)+dpup_minQ</f>
        <v>-540.30260113237171</v>
      </c>
      <c r="AT2051" s="132"/>
      <c r="AU2051" s="145"/>
    </row>
    <row r="2052" spans="13:47" x14ac:dyDescent="0.25">
      <c r="M2052" s="20"/>
      <c r="N2052" s="20"/>
      <c r="O2052" s="7" t="s">
        <v>189</v>
      </c>
      <c r="P2052" s="1"/>
      <c r="Q2052" s="7"/>
      <c r="R2052" s="181">
        <f>P_2_minW+(R2049^2*R_dn)-dpdn_minQ</f>
        <v>50</v>
      </c>
      <c r="S2052" s="132"/>
      <c r="T2052" s="146"/>
      <c r="U2052" s="138">
        <f>P_2_minW+(U2049^2*R_dn)-dpdn_minQ</f>
        <v>50</v>
      </c>
      <c r="V2052" s="132"/>
      <c r="W2052" s="146"/>
      <c r="X2052" s="138">
        <f>P_2_minW+(X2049^2*R_dn)-dpdn_minQ</f>
        <v>50</v>
      </c>
      <c r="Y2052" s="132"/>
      <c r="Z2052" s="146"/>
      <c r="AA2052" s="138">
        <f>P_2_minW+(AA2049^2*R_dn)-dpdn_minQ</f>
        <v>50</v>
      </c>
      <c r="AB2052" s="132"/>
      <c r="AC2052" s="146"/>
      <c r="AD2052" s="138">
        <f>P_2_minW+(AD2049^2*R_dn)-dpdn_minQ</f>
        <v>50</v>
      </c>
      <c r="AE2052" s="132"/>
      <c r="AF2052" s="146"/>
      <c r="AG2052" s="138">
        <f>P_2_minW+(AG2049^2*R_dn)-dpdn_minQ</f>
        <v>50</v>
      </c>
      <c r="AH2052" s="132"/>
      <c r="AI2052" s="146"/>
      <c r="AJ2052" s="138">
        <f>P_2_minW+(AJ2049^2*R_dn)-dpdn_minQ</f>
        <v>50</v>
      </c>
      <c r="AK2052" s="132"/>
      <c r="AL2052" s="146"/>
      <c r="AM2052" s="138">
        <f>P_2_minW+(AM2049^2*R_dn)-dpdn_minQ</f>
        <v>50</v>
      </c>
      <c r="AN2052" s="132"/>
      <c r="AO2052" s="146"/>
      <c r="AP2052" s="138">
        <f>P_2_minW+(AP2049^2*R_dn)-dpdn_minQ</f>
        <v>50</v>
      </c>
      <c r="AQ2052" s="132"/>
      <c r="AR2052" s="146"/>
      <c r="AS2052" s="138">
        <f>P_2_minW+(AS2049^2*R_dn)-dpdn_minQ</f>
        <v>50</v>
      </c>
      <c r="AT2052" s="132"/>
      <c r="AU2052" s="146"/>
    </row>
    <row r="2053" spans="13:47" x14ac:dyDescent="0.25">
      <c r="M2053" s="20"/>
      <c r="N2053" s="20"/>
      <c r="O2053" s="7" t="s">
        <v>234</v>
      </c>
      <c r="P2053" s="1"/>
      <c r="Q2053" s="7"/>
      <c r="R2053" s="179">
        <f>'Valve Sizing'!G$8*R2051/P_1_maxW</f>
        <v>0.48482841866568299</v>
      </c>
      <c r="S2053" s="132"/>
      <c r="T2053" s="146"/>
      <c r="U2053" s="143">
        <f>'Valve Sizing'!$G$8*U2051/P_1_maxW</f>
        <v>0.477613888740475</v>
      </c>
      <c r="V2053" s="132"/>
      <c r="W2053" s="146"/>
      <c r="X2053" s="143">
        <f>'Valve Sizing'!$G$8*X2051/P_1_maxW</f>
        <v>0.44031522998691663</v>
      </c>
      <c r="Y2053" s="132"/>
      <c r="Z2053" s="146"/>
      <c r="AA2053" s="143">
        <f>'Valve Sizing'!$G$8*AA2051/P_1_maxW</f>
        <v>0.31574708055137296</v>
      </c>
      <c r="AB2053" s="132"/>
      <c r="AC2053" s="146"/>
      <c r="AD2053" s="143">
        <f>'Valve Sizing'!$G$8*AD2051/P_1_maxW</f>
        <v>2.7365980200585793E-2</v>
      </c>
      <c r="AE2053" s="132"/>
      <c r="AF2053" s="146"/>
      <c r="AG2053" s="143">
        <f>'Valve Sizing'!$G$8*AG2051/P_1_maxW</f>
        <v>-0.41517497624799427</v>
      </c>
      <c r="AH2053" s="132"/>
      <c r="AI2053" s="146"/>
      <c r="AJ2053" s="143">
        <f>'Valve Sizing'!$G$8*AJ2051/P_1_maxW</f>
        <v>-0.96622681354488671</v>
      </c>
      <c r="AK2053" s="132"/>
      <c r="AL2053" s="146"/>
      <c r="AM2053" s="143">
        <f>'Valve Sizing'!$G$8*AM2051/P_1_maxW</f>
        <v>-1.510314795250816</v>
      </c>
      <c r="AN2053" s="132"/>
      <c r="AO2053" s="146"/>
      <c r="AP2053" s="143">
        <f>'Valve Sizing'!$G$8*AP2051/P_1_maxW</f>
        <v>-1.9985764845428899</v>
      </c>
      <c r="AQ2053" s="132"/>
      <c r="AR2053" s="146"/>
      <c r="AS2053" s="143">
        <f>'Valve Sizing'!$G$8*AS2051/P_1_maxW</f>
        <v>-2.6063235529135094</v>
      </c>
      <c r="AT2053" s="132"/>
      <c r="AU2053" s="146"/>
    </row>
    <row r="2054" spans="13:47" x14ac:dyDescent="0.25">
      <c r="M2054" s="20"/>
      <c r="N2054" s="20"/>
      <c r="O2054" s="7" t="s">
        <v>190</v>
      </c>
      <c r="P2054" s="1"/>
      <c r="Q2054" s="7"/>
      <c r="R2054" s="181">
        <f>R2051-R2052</f>
        <v>50.50711294656206</v>
      </c>
      <c r="S2054" s="132"/>
      <c r="T2054" s="146"/>
      <c r="U2054" s="138">
        <f>U2051-U2052</f>
        <v>49.011508427246056</v>
      </c>
      <c r="V2054" s="132"/>
      <c r="W2054" s="146"/>
      <c r="X2054" s="138">
        <f>X2051-X2052</f>
        <v>41.279328621416298</v>
      </c>
      <c r="Y2054" s="132"/>
      <c r="Z2054" s="146"/>
      <c r="AA2054" s="138">
        <f>AA2051-AA2052</f>
        <v>15.455790679232138</v>
      </c>
      <c r="AB2054" s="132"/>
      <c r="AC2054" s="146"/>
      <c r="AD2054" s="138">
        <f>AD2051-AD2052</f>
        <v>-44.32690915585485</v>
      </c>
      <c r="AE2054" s="132"/>
      <c r="AF2054" s="146"/>
      <c r="AG2054" s="138">
        <f>AG2051-AG2052</f>
        <v>-136.06764088867749</v>
      </c>
      <c r="AH2054" s="132"/>
      <c r="AI2054" s="146"/>
      <c r="AJ2054" s="138">
        <f>AJ2051-AJ2052</f>
        <v>-250.30316652687279</v>
      </c>
      <c r="AK2054" s="132"/>
      <c r="AL2054" s="146"/>
      <c r="AM2054" s="138">
        <f>AM2051-AM2052</f>
        <v>-363.09505356329066</v>
      </c>
      <c r="AN2054" s="132"/>
      <c r="AO2054" s="146"/>
      <c r="AP2054" s="138">
        <f>AP2051-AP2052</f>
        <v>-464.31389896062876</v>
      </c>
      <c r="AQ2054" s="132"/>
      <c r="AR2054" s="146"/>
      <c r="AS2054" s="138">
        <f>AS2051-AS2052</f>
        <v>-590.30260113237171</v>
      </c>
      <c r="AT2054" s="132"/>
      <c r="AU2054" s="146"/>
    </row>
    <row r="2055" spans="13:47" ht="14.5" x14ac:dyDescent="0.35">
      <c r="M2055" s="27"/>
      <c r="N2055" s="27"/>
      <c r="O2055" s="2" t="s">
        <v>191</v>
      </c>
      <c r="P2055" s="10"/>
      <c r="Q2055" s="2"/>
      <c r="R2055" s="181">
        <f>R2054/R2051</f>
        <v>0.50252277143226509</v>
      </c>
      <c r="S2055" s="132"/>
      <c r="T2055" s="146"/>
      <c r="U2055" s="138">
        <f>U2054/U2051</f>
        <v>0.49500819860006329</v>
      </c>
      <c r="V2055" s="132"/>
      <c r="W2055" s="146"/>
      <c r="X2055" s="138">
        <f>X2054/X2051</f>
        <v>0.45223085275554037</v>
      </c>
      <c r="Y2055" s="132"/>
      <c r="Z2055" s="146"/>
      <c r="AA2055" s="138">
        <f>AA2054/AA2051</f>
        <v>0.23612564326009985</v>
      </c>
      <c r="AB2055" s="132"/>
      <c r="AC2055" s="146"/>
      <c r="AD2055" s="138">
        <f>AD2054/AD2051</f>
        <v>-7.8135376946417043</v>
      </c>
      <c r="AE2055" s="132"/>
      <c r="AF2055" s="146"/>
      <c r="AG2055" s="138">
        <f>AG2054/AG2051</f>
        <v>1.5809384280053818</v>
      </c>
      <c r="AH2055" s="132"/>
      <c r="AI2055" s="146"/>
      <c r="AJ2055" s="138">
        <f>AJ2054/AJ2051</f>
        <v>1.2496216154091202</v>
      </c>
      <c r="AK2055" s="132"/>
      <c r="AL2055" s="146"/>
      <c r="AM2055" s="138">
        <f>AM2054/AM2051</f>
        <v>1.1596959116120074</v>
      </c>
      <c r="AN2055" s="132"/>
      <c r="AO2055" s="146"/>
      <c r="AP2055" s="138">
        <f>AP2054/AP2051</f>
        <v>1.1206814449754952</v>
      </c>
      <c r="AQ2055" s="132"/>
      <c r="AR2055" s="146"/>
      <c r="AS2055" s="138">
        <f>AS2054/AS2051</f>
        <v>1.0925407353124148</v>
      </c>
      <c r="AT2055" s="132"/>
      <c r="AU2055" s="146"/>
    </row>
    <row r="2056" spans="13:47" x14ac:dyDescent="0.25">
      <c r="M2056" s="27"/>
      <c r="N2056" s="27"/>
      <c r="O2056" s="2" t="s">
        <v>26</v>
      </c>
      <c r="P2056" s="7">
        <v>12</v>
      </c>
      <c r="Q2056" s="2"/>
      <c r="R2056" s="181">
        <f>1-R2055/(3*F_GAMMA*R$29)</f>
        <v>0.73828038216498437</v>
      </c>
      <c r="S2056" s="133"/>
      <c r="T2056" s="146"/>
      <c r="U2056" s="138">
        <f>1-U2055/(3*F_GAMMA*U$29)</f>
        <v>0.74225082025500599</v>
      </c>
      <c r="V2056" s="133"/>
      <c r="W2056" s="146"/>
      <c r="X2056" s="138">
        <f>1-X2055/(3*F_GAMMA*X$29)</f>
        <v>0.76099234484143641</v>
      </c>
      <c r="Y2056" s="133"/>
      <c r="Z2056" s="146"/>
      <c r="AA2056" s="138">
        <f>1-AA2055/(3*F_GAMMA*AA$29)</f>
        <v>0.87349458838600091</v>
      </c>
      <c r="AB2056" s="133"/>
      <c r="AC2056" s="146"/>
      <c r="AD2056" s="138">
        <f>1-AD2055/(3*F_GAMMA*AD$29)</f>
        <v>5.3009141957433608</v>
      </c>
      <c r="AE2056" s="133"/>
      <c r="AF2056" s="146"/>
      <c r="AG2056" s="138">
        <f>1-AG2055/(3*F_GAMMA*AG$29)</f>
        <v>8.0143474772622736E-2</v>
      </c>
      <c r="AH2056" s="133"/>
      <c r="AI2056" s="146"/>
      <c r="AJ2056" s="138">
        <f>1-AJ2055/(3*F_GAMMA*AJ$29)</f>
        <v>0.22273899645441975</v>
      </c>
      <c r="AK2056" s="133"/>
      <c r="AL2056" s="146"/>
      <c r="AM2056" s="138">
        <f>1-AM2055/(3*F_GAMMA*AM$29)</f>
        <v>0.21187637954975547</v>
      </c>
      <c r="AN2056" s="133"/>
      <c r="AO2056" s="146"/>
      <c r="AP2056" s="138">
        <f>1-AP2055/(3*F_GAMMA*AP$29)</f>
        <v>0.37061207735498269</v>
      </c>
      <c r="AQ2056" s="133"/>
      <c r="AR2056" s="146"/>
      <c r="AS2056" s="138">
        <f>1-AS2055/(3*F_GAMMA*AS$29)</f>
        <v>6.8526523652845173E-2</v>
      </c>
      <c r="AT2056" s="133"/>
      <c r="AU2056" s="146"/>
    </row>
    <row r="2057" spans="13:47" x14ac:dyDescent="0.25">
      <c r="M2057" s="27"/>
      <c r="N2057" s="27"/>
      <c r="O2057" s="2" t="s">
        <v>71</v>
      </c>
      <c r="P2057" s="85">
        <v>5</v>
      </c>
      <c r="Q2057" s="2"/>
      <c r="R2057" s="179">
        <f>R2049/((N_6*R$27*R2056)*SQRT(R2055*R2051*R2053))</f>
        <v>0.85740563852893947</v>
      </c>
      <c r="S2057" s="133"/>
      <c r="T2057" s="146"/>
      <c r="U2057" s="143">
        <f>U2049/((N_6*U$27*U2056)*SQRT(U2055*U2051*U2053))</f>
        <v>8.5702787812010843</v>
      </c>
      <c r="V2057" s="133"/>
      <c r="W2057" s="146"/>
      <c r="X2057" s="143">
        <f>X2049/((N_6*X$27*X2056)*SQRT(X2055*X2051*X2053))</f>
        <v>23.513166925641571</v>
      </c>
      <c r="Y2057" s="133"/>
      <c r="Z2057" s="146"/>
      <c r="AA2057" s="143">
        <f>AA2049/((N_6*AA$27*AA2056)*SQRT(AA2055*AA2051*AA2053))</f>
        <v>77.443808546283691</v>
      </c>
      <c r="AB2057" s="133"/>
      <c r="AC2057" s="146"/>
      <c r="AD2057" s="143" t="e">
        <f>AD2049/((N_6*AD$27*AD2056)*SQRT(AD2055*AD2051*AD2053))</f>
        <v>#NUM!</v>
      </c>
      <c r="AE2057" s="133"/>
      <c r="AF2057" s="146"/>
      <c r="AG2057" s="143">
        <f>AG2049/((N_6*AG$27*AG2056)*SQRT(AG2055*AG2051*AG2053))</f>
        <v>591.5777431746335</v>
      </c>
      <c r="AH2057" s="133"/>
      <c r="AI2057" s="146"/>
      <c r="AJ2057" s="143">
        <f>AJ2049/((N_6*AJ$27*AJ2056)*SQRT(AJ2055*AJ2051*AJ2053))</f>
        <v>135.10660470623239</v>
      </c>
      <c r="AK2057" s="133"/>
      <c r="AL2057" s="146"/>
      <c r="AM2057" s="143">
        <f>AM2049/((N_6*AM$27*AM2056)*SQRT(AM2055*AM2051*AM2053))</f>
        <v>117.39384561963247</v>
      </c>
      <c r="AN2057" s="133"/>
      <c r="AO2057" s="146"/>
      <c r="AP2057" s="143">
        <f>AP2049/((N_6*AP$27*AP2056)*SQRT(AP2055*AP2051*AP2053))</f>
        <v>65.384561497768487</v>
      </c>
      <c r="AQ2057" s="133"/>
      <c r="AR2057" s="146"/>
      <c r="AS2057" s="143">
        <f>AS2049/((N_6*AS$27*AS2056)*SQRT(AS2055*AS2051*AS2053))</f>
        <v>402.59959046944903</v>
      </c>
      <c r="AT2057" s="133"/>
      <c r="AU2057" s="146"/>
    </row>
    <row r="2058" spans="13:47" x14ac:dyDescent="0.25">
      <c r="M2058" s="27"/>
      <c r="N2058" s="27"/>
      <c r="O2058" s="2" t="s">
        <v>73</v>
      </c>
      <c r="P2058" s="85">
        <v>5</v>
      </c>
      <c r="Q2058" s="2"/>
      <c r="R2058" s="179">
        <f>R2049/((N_6*R$27*0.667)*SQRT(R2059*R2051*R2053))</f>
        <v>0.84093145152667659</v>
      </c>
      <c r="S2058" s="133"/>
      <c r="T2058" s="147"/>
      <c r="U2058" s="143">
        <f>U2049/((N_6*U$27*0.667)*SQRT(U2059*U2051*U2053))</f>
        <v>8.3864676260671889</v>
      </c>
      <c r="V2058" s="133"/>
      <c r="W2058" s="155"/>
      <c r="X2058" s="143">
        <f>X2049/((N_6*X$27*0.667)*SQRT(X2059*X2051*X2053))</f>
        <v>22.716013289303035</v>
      </c>
      <c r="Y2058" s="133"/>
      <c r="Z2058" s="155"/>
      <c r="AA2058" s="143">
        <f>AA2049/((N_6*AA$27*0.667)*SQRT(AA2059*AA2051*AA2053))</f>
        <v>62.479316060207523</v>
      </c>
      <c r="AB2058" s="133"/>
      <c r="AC2058" s="155"/>
      <c r="AD2058" s="143">
        <f>AD2049/((N_6*AD$27*0.667)*SQRT(AD2059*AD2051*AD2053))</f>
        <v>1216.0502735678106</v>
      </c>
      <c r="AE2058" s="133"/>
      <c r="AF2058" s="155"/>
      <c r="AG2058" s="143">
        <f>AG2049/((N_6*AG$27*0.667)*SQRT(AG2059*AG2051*AG2053))</f>
        <v>118.07958947956669</v>
      </c>
      <c r="AH2058" s="133"/>
      <c r="AI2058" s="155"/>
      <c r="AJ2058" s="143">
        <f>AJ2049/((N_6*AJ$27*0.667)*SQRT(AJ2059*AJ2051*AJ2053))</f>
        <v>68.895534159987363</v>
      </c>
      <c r="AK2058" s="133"/>
      <c r="AL2058" s="155"/>
      <c r="AM2058" s="143">
        <f>AM2049/((N_6*AM$27*0.667)*SQRT(AM2059*AM2051*AM2053))</f>
        <v>57.340283809830424</v>
      </c>
      <c r="AN2058" s="133"/>
      <c r="AO2058" s="155"/>
      <c r="AP2058" s="143">
        <f>AP2049/((N_6*AP$27*0.667)*SQRT(AP2059*AP2051*AP2053))</f>
        <v>49.921632540182287</v>
      </c>
      <c r="AQ2058" s="133"/>
      <c r="AR2058" s="155"/>
      <c r="AS2058" s="143">
        <f>AS2049/((N_6*AS$27*0.667)*SQRT(AS2059*AS2051*AS2053))</f>
        <v>69.143613012788066</v>
      </c>
      <c r="AT2058" s="133"/>
      <c r="AU2058" s="155"/>
    </row>
    <row r="2059" spans="13:47" ht="15.5" x14ac:dyDescent="0.4">
      <c r="M2059" s="27"/>
      <c r="N2059" s="27"/>
      <c r="O2059" s="2" t="s">
        <v>192</v>
      </c>
      <c r="P2059" s="85">
        <v>10</v>
      </c>
      <c r="Q2059" s="2"/>
      <c r="R2059" s="181">
        <f>F_GAMMA*R$29</f>
        <v>0.64002688015162901</v>
      </c>
      <c r="S2059" s="133"/>
      <c r="T2059" s="147"/>
      <c r="U2059" s="138">
        <f>F_GAMMA*U$29</f>
        <v>0.64016782916606918</v>
      </c>
      <c r="V2059" s="133"/>
      <c r="W2059" s="155"/>
      <c r="X2059" s="138">
        <f>F_GAMMA*X$29</f>
        <v>0.6307062319203669</v>
      </c>
      <c r="Y2059" s="133"/>
      <c r="Z2059" s="155"/>
      <c r="AA2059" s="138">
        <f>F_GAMMA*AA$29</f>
        <v>0.62217534213893466</v>
      </c>
      <c r="AB2059" s="133"/>
      <c r="AC2059" s="155"/>
      <c r="AD2059" s="138">
        <f>F_GAMMA*AD$29</f>
        <v>0.60557184969146072</v>
      </c>
      <c r="AE2059" s="133"/>
      <c r="AF2059" s="155"/>
      <c r="AG2059" s="138">
        <f>F_GAMMA*AG$29</f>
        <v>0.57289312142622573</v>
      </c>
      <c r="AH2059" s="133"/>
      <c r="AI2059" s="155"/>
      <c r="AJ2059" s="138">
        <f>F_GAMMA*AJ$29</f>
        <v>0.53590819116049981</v>
      </c>
      <c r="AK2059" s="133"/>
      <c r="AL2059" s="155"/>
      <c r="AM2059" s="138">
        <f>F_GAMMA*AM$29</f>
        <v>0.49048815926850342</v>
      </c>
      <c r="AN2059" s="133"/>
      <c r="AO2059" s="155"/>
      <c r="AP2059" s="138">
        <f>F_GAMMA*AP$29</f>
        <v>0.59352979016280105</v>
      </c>
      <c r="AQ2059" s="133"/>
      <c r="AR2059" s="155"/>
      <c r="AS2059" s="138">
        <f>F_GAMMA*AS$29</f>
        <v>0.39097221161068291</v>
      </c>
      <c r="AT2059" s="133"/>
      <c r="AU2059" s="155"/>
    </row>
    <row r="2060" spans="13:47" x14ac:dyDescent="0.25">
      <c r="M2060" s="27"/>
      <c r="N2060" s="27"/>
      <c r="O2060" s="2" t="s">
        <v>193</v>
      </c>
      <c r="P2060" s="134"/>
      <c r="Q2060" s="2"/>
      <c r="R2060" s="181">
        <f>IF(R2055&lt;R2059,R2057,R2058)</f>
        <v>0.85740563852893947</v>
      </c>
      <c r="S2060" s="133"/>
      <c r="T2060" s="147"/>
      <c r="U2060" s="138">
        <f>IF(U2055&lt;U2059,U2057,U2058)</f>
        <v>8.5702787812010843</v>
      </c>
      <c r="V2060" s="133"/>
      <c r="W2060" s="155"/>
      <c r="X2060" s="138">
        <f>IF(X2055&lt;X2059,X2057,X2058)</f>
        <v>23.513166925641571</v>
      </c>
      <c r="Y2060" s="133"/>
      <c r="Z2060" s="155"/>
      <c r="AA2060" s="138">
        <f>IF(AA2055&lt;AA2059,AA2057,AA2058)</f>
        <v>77.443808546283691</v>
      </c>
      <c r="AB2060" s="133"/>
      <c r="AC2060" s="155"/>
      <c r="AD2060" s="138" t="e">
        <f>IF(AD2055&lt;AD2059,AD2057,AD2058)</f>
        <v>#NUM!</v>
      </c>
      <c r="AE2060" s="133"/>
      <c r="AF2060" s="155"/>
      <c r="AG2060" s="138">
        <f>IF(AG2055&lt;AG2059,AG2057,AG2058)</f>
        <v>118.07958947956669</v>
      </c>
      <c r="AH2060" s="133"/>
      <c r="AI2060" s="155"/>
      <c r="AJ2060" s="138">
        <f>IF(AJ2055&lt;AJ2059,AJ2057,AJ2058)</f>
        <v>68.895534159987363</v>
      </c>
      <c r="AK2060" s="133"/>
      <c r="AL2060" s="155"/>
      <c r="AM2060" s="138">
        <f>IF(AM2055&lt;AM2059,AM2057,AM2058)</f>
        <v>57.340283809830424</v>
      </c>
      <c r="AN2060" s="133"/>
      <c r="AO2060" s="155"/>
      <c r="AP2060" s="138">
        <f>IF(AP2055&lt;AP2059,AP2057,AP2058)</f>
        <v>49.921632540182287</v>
      </c>
      <c r="AQ2060" s="133"/>
      <c r="AR2060" s="155"/>
      <c r="AS2060" s="138">
        <f>IF(AS2055&lt;AS2059,AS2057,AS2058)</f>
        <v>69.143613012788066</v>
      </c>
      <c r="AT2060" s="133"/>
      <c r="AU2060" s="155"/>
    </row>
    <row r="2061" spans="13:47" ht="13" x14ac:dyDescent="0.3">
      <c r="M2061" s="28"/>
      <c r="N2061" s="28"/>
      <c r="O2061" s="9" t="s">
        <v>194</v>
      </c>
      <c r="P2061" s="1"/>
      <c r="Q2061" s="1"/>
      <c r="R2061" s="135"/>
      <c r="S2061" s="132">
        <f>IF(R2054&lt;=0,W_max,ABS(R$23-R2060))</f>
        <v>1.1425943614710605</v>
      </c>
      <c r="T2061" s="151">
        <f>R2049</f>
        <v>198.25777157912052</v>
      </c>
      <c r="U2061" s="135"/>
      <c r="V2061" s="132">
        <f>IF(U2054&lt;=0,W_max,ABS(U$23-U2060))</f>
        <v>3.5702787812010843</v>
      </c>
      <c r="W2061" s="151">
        <f>U2049</f>
        <v>1946.7735223037462</v>
      </c>
      <c r="X2061" s="135"/>
      <c r="Y2061" s="132">
        <f>IF(X2054&lt;=0,W_max,ABS(X$23-X2060))</f>
        <v>13.513166925641571</v>
      </c>
      <c r="Z2061" s="151">
        <f>X2049</f>
        <v>4814.6025894220038</v>
      </c>
      <c r="AA2061" s="135"/>
      <c r="AB2061" s="132">
        <f>IF(AA2054&lt;=0,W_max,ABS(AA$23-AA2060))</f>
        <v>60.243808546283688</v>
      </c>
      <c r="AC2061" s="151">
        <f>AA2049</f>
        <v>9377.6169389660281</v>
      </c>
      <c r="AD2061" s="135"/>
      <c r="AE2061" s="132">
        <f>IF(AD2054&lt;=0,W_max,ABS(AD$23-AD2060))</f>
        <v>7174</v>
      </c>
      <c r="AF2061" s="151">
        <f>AD2049</f>
        <v>15422.727230885752</v>
      </c>
      <c r="AG2061" s="135"/>
      <c r="AH2061" s="132">
        <f>IF(AG2054&lt;=0,W_max,ABS(AG$23-AG2060))</f>
        <v>7174</v>
      </c>
      <c r="AI2061" s="151">
        <f>AG2049</f>
        <v>21631.56227801113</v>
      </c>
      <c r="AJ2061" s="135"/>
      <c r="AK2061" s="132">
        <f>IF(AJ2054&lt;=0,W_max,ABS(AJ$23-AJ2060))</f>
        <v>7174</v>
      </c>
      <c r="AL2061" s="151">
        <f>AJ2049</f>
        <v>27466.344126266697</v>
      </c>
      <c r="AM2061" s="135"/>
      <c r="AN2061" s="132">
        <f>IF(AM2054&lt;=0,W_max,ABS(AM$23-AM2060))</f>
        <v>7174</v>
      </c>
      <c r="AO2061" s="151">
        <f>AM2049</f>
        <v>32206.448576585783</v>
      </c>
      <c r="AP2061" s="135"/>
      <c r="AQ2061" s="132">
        <f>IF(AP2054&lt;=0,W_max,ABS(AP$23-AP2060))</f>
        <v>7174</v>
      </c>
      <c r="AR2061" s="151">
        <f>AP2049</f>
        <v>35931.715235401003</v>
      </c>
      <c r="AS2061" s="135"/>
      <c r="AT2061" s="132">
        <f>IF(AS2054&lt;=0,W_max,ABS(AS$23-AS2060))</f>
        <v>7174</v>
      </c>
      <c r="AU2061" s="151">
        <f>AS2049</f>
        <v>40087.877329528805</v>
      </c>
    </row>
    <row r="2062" spans="13:47" ht="13" x14ac:dyDescent="0.25">
      <c r="M2062" s="12"/>
      <c r="N2062" s="12"/>
      <c r="O2062" s="12"/>
      <c r="P2062" s="12"/>
      <c r="Q2062" s="12"/>
      <c r="R2062" s="182"/>
      <c r="S2062" s="22"/>
      <c r="T2062" s="152"/>
      <c r="U2062" s="157"/>
      <c r="V2062" s="1"/>
      <c r="W2062" s="147"/>
      <c r="X2062" s="157"/>
      <c r="Y2062" s="1"/>
      <c r="Z2062" s="147"/>
      <c r="AA2062" s="157"/>
      <c r="AB2062" s="1"/>
      <c r="AC2062" s="147"/>
      <c r="AD2062" s="157"/>
      <c r="AE2062" s="1"/>
      <c r="AF2062" s="147"/>
      <c r="AG2062" s="157"/>
      <c r="AH2062" s="1"/>
      <c r="AI2062" s="147"/>
      <c r="AJ2062" s="157"/>
      <c r="AK2062" s="1"/>
      <c r="AL2062" s="147"/>
      <c r="AM2062" s="157"/>
      <c r="AN2062" s="1"/>
      <c r="AO2062" s="147"/>
      <c r="AP2062" s="157"/>
      <c r="AQ2062" s="1"/>
      <c r="AR2062" s="147"/>
      <c r="AS2062" s="157"/>
      <c r="AT2062" s="1"/>
      <c r="AU2062" s="147"/>
    </row>
    <row r="2063" spans="13:47" ht="14" x14ac:dyDescent="0.3">
      <c r="M2063" s="23"/>
      <c r="N2063" s="23"/>
      <c r="O2063" s="23" t="s">
        <v>238</v>
      </c>
      <c r="P2063" s="20"/>
      <c r="Q2063" s="20"/>
      <c r="R2063" s="18">
        <f>R2049*1.02</f>
        <v>202.22292701070293</v>
      </c>
      <c r="S2063" s="128" t="s">
        <v>185</v>
      </c>
      <c r="T2063" s="153" t="s">
        <v>186</v>
      </c>
      <c r="U2063" s="143">
        <f>U2049*1.01</f>
        <v>1966.2412575267836</v>
      </c>
      <c r="V2063" s="128" t="s">
        <v>185</v>
      </c>
      <c r="W2063" s="153" t="s">
        <v>186</v>
      </c>
      <c r="X2063" s="143">
        <f>X2049*1.01</f>
        <v>4862.7486153162235</v>
      </c>
      <c r="Y2063" s="128" t="s">
        <v>185</v>
      </c>
      <c r="Z2063" s="153" t="s">
        <v>186</v>
      </c>
      <c r="AA2063" s="143">
        <f>AA2049*1.01</f>
        <v>9471.393108355689</v>
      </c>
      <c r="AB2063" s="128" t="s">
        <v>185</v>
      </c>
      <c r="AC2063" s="153" t="s">
        <v>186</v>
      </c>
      <c r="AD2063" s="143">
        <f>AD2049*1.01</f>
        <v>15576.954503194609</v>
      </c>
      <c r="AE2063" s="128" t="s">
        <v>185</v>
      </c>
      <c r="AF2063" s="153" t="s">
        <v>186</v>
      </c>
      <c r="AG2063" s="143">
        <f>AG2049*1.01</f>
        <v>21847.877900791242</v>
      </c>
      <c r="AH2063" s="128" t="s">
        <v>185</v>
      </c>
      <c r="AI2063" s="153" t="s">
        <v>186</v>
      </c>
      <c r="AJ2063" s="143">
        <f>AJ2049*1.01</f>
        <v>27741.007567529363</v>
      </c>
      <c r="AK2063" s="128" t="s">
        <v>185</v>
      </c>
      <c r="AL2063" s="153" t="s">
        <v>186</v>
      </c>
      <c r="AM2063" s="143">
        <f>AM2049*1.01</f>
        <v>32528.513062351642</v>
      </c>
      <c r="AN2063" s="128" t="s">
        <v>185</v>
      </c>
      <c r="AO2063" s="153" t="s">
        <v>186</v>
      </c>
      <c r="AP2063" s="143">
        <f>AP2049*1.01</f>
        <v>36291.032387755011</v>
      </c>
      <c r="AQ2063" s="128" t="s">
        <v>185</v>
      </c>
      <c r="AR2063" s="153" t="s">
        <v>186</v>
      </c>
      <c r="AS2063" s="143">
        <f>AS2049*1.01</f>
        <v>40488.756102824096</v>
      </c>
      <c r="AT2063" s="128" t="s">
        <v>185</v>
      </c>
      <c r="AU2063" s="153" t="s">
        <v>186</v>
      </c>
    </row>
    <row r="2064" spans="13:47" ht="14" x14ac:dyDescent="0.3">
      <c r="M2064" s="12"/>
      <c r="N2064" s="12"/>
      <c r="O2064" s="20"/>
      <c r="P2064" s="20"/>
      <c r="Q2064" s="23"/>
      <c r="R2064" s="139"/>
      <c r="S2064" s="130" t="s">
        <v>228</v>
      </c>
      <c r="T2064" s="154" t="s">
        <v>187</v>
      </c>
      <c r="U2064" s="144"/>
      <c r="V2064" s="130" t="s">
        <v>228</v>
      </c>
      <c r="W2064" s="154" t="s">
        <v>187</v>
      </c>
      <c r="X2064" s="144"/>
      <c r="Y2064" s="130" t="s">
        <v>228</v>
      </c>
      <c r="Z2064" s="154" t="s">
        <v>187</v>
      </c>
      <c r="AA2064" s="144"/>
      <c r="AB2064" s="130" t="s">
        <v>228</v>
      </c>
      <c r="AC2064" s="154" t="s">
        <v>187</v>
      </c>
      <c r="AD2064" s="144"/>
      <c r="AE2064" s="130" t="s">
        <v>228</v>
      </c>
      <c r="AF2064" s="154" t="s">
        <v>187</v>
      </c>
      <c r="AG2064" s="144"/>
      <c r="AH2064" s="130" t="s">
        <v>228</v>
      </c>
      <c r="AI2064" s="154" t="s">
        <v>187</v>
      </c>
      <c r="AJ2064" s="144"/>
      <c r="AK2064" s="130" t="s">
        <v>228</v>
      </c>
      <c r="AL2064" s="154" t="s">
        <v>187</v>
      </c>
      <c r="AM2064" s="144"/>
      <c r="AN2064" s="130" t="s">
        <v>228</v>
      </c>
      <c r="AO2064" s="154" t="s">
        <v>187</v>
      </c>
      <c r="AP2064" s="144"/>
      <c r="AQ2064" s="130" t="s">
        <v>228</v>
      </c>
      <c r="AR2064" s="154" t="s">
        <v>187</v>
      </c>
      <c r="AS2064" s="144"/>
      <c r="AT2064" s="130" t="s">
        <v>228</v>
      </c>
      <c r="AU2064" s="154" t="s">
        <v>187</v>
      </c>
    </row>
    <row r="2065" spans="13:47" x14ac:dyDescent="0.25">
      <c r="M2065" s="20"/>
      <c r="N2065" s="20"/>
      <c r="O2065" s="7" t="s">
        <v>188</v>
      </c>
      <c r="P2065" s="7"/>
      <c r="Q2065" s="7"/>
      <c r="R2065" s="181">
        <f>P_1_minW-(R2063^2*R_up)+dpup_minQ</f>
        <v>100.50647972543941</v>
      </c>
      <c r="S2065" s="132"/>
      <c r="T2065" s="145"/>
      <c r="U2065" s="138">
        <f>P_1_minW-(U2063^2*R_up)+dpup_minQ</f>
        <v>98.981131733225496</v>
      </c>
      <c r="V2065" s="132"/>
      <c r="W2065" s="145"/>
      <c r="X2065" s="138">
        <f>P_1_minW-(X2063^2*R_up)+dpup_minQ</f>
        <v>91.093535113298572</v>
      </c>
      <c r="Y2065" s="132"/>
      <c r="Z2065" s="145"/>
      <c r="AA2065" s="138">
        <f>P_1_minW-(AA2063^2*R_up)+dpup_minQ</f>
        <v>64.750944058476492</v>
      </c>
      <c r="AB2065" s="132"/>
      <c r="AC2065" s="145"/>
      <c r="AD2065" s="138">
        <f>P_1_minW-(AD2063^2*R_up)+dpup_minQ</f>
        <v>3.7666119567042666</v>
      </c>
      <c r="AE2065" s="132"/>
      <c r="AF2065" s="145"/>
      <c r="AG2065" s="138">
        <f>P_1_minW-(AG2063^2*R_up)+dpup_minQ</f>
        <v>-89.81810848394808</v>
      </c>
      <c r="AH2065" s="132"/>
      <c r="AI2065" s="145"/>
      <c r="AJ2065" s="138">
        <f>P_1_minW-(AJ2063^2*R_up)+dpup_minQ</f>
        <v>-206.34976818747114</v>
      </c>
      <c r="AK2065" s="132"/>
      <c r="AL2065" s="145"/>
      <c r="AM2065" s="138">
        <f>P_1_minW-(AM2063^2*R_up)+dpup_minQ</f>
        <v>-321.40877215332102</v>
      </c>
      <c r="AN2065" s="132"/>
      <c r="AO2065" s="145"/>
      <c r="AP2065" s="138">
        <f>P_1_minW-(AP2063^2*R_up)+dpup_minQ</f>
        <v>-424.6621163431455</v>
      </c>
      <c r="AQ2065" s="132"/>
      <c r="AR2065" s="145"/>
      <c r="AS2065" s="138">
        <f>P_1_minW-(AS2063^2*R_up)+dpup_minQ</f>
        <v>-553.18319142854068</v>
      </c>
      <c r="AT2065" s="132"/>
      <c r="AU2065" s="145"/>
    </row>
    <row r="2066" spans="13:47" x14ac:dyDescent="0.25">
      <c r="M2066" s="20"/>
      <c r="N2066" s="20"/>
      <c r="O2066" s="7" t="s">
        <v>189</v>
      </c>
      <c r="P2066" s="1"/>
      <c r="Q2066" s="7"/>
      <c r="R2066" s="181">
        <f>P_2_minW+(R2063^2*R_dn)-dpdn_minQ</f>
        <v>50</v>
      </c>
      <c r="S2066" s="132"/>
      <c r="T2066" s="146"/>
      <c r="U2066" s="138">
        <f>P_2_minW+(U2063^2*R_dn)-dpdn_minQ</f>
        <v>50</v>
      </c>
      <c r="V2066" s="132"/>
      <c r="W2066" s="146"/>
      <c r="X2066" s="138">
        <f>P_2_minW+(X2063^2*R_dn)-dpdn_minQ</f>
        <v>50</v>
      </c>
      <c r="Y2066" s="132"/>
      <c r="Z2066" s="146"/>
      <c r="AA2066" s="138">
        <f>P_2_minW+(AA2063^2*R_dn)-dpdn_minQ</f>
        <v>50</v>
      </c>
      <c r="AB2066" s="132"/>
      <c r="AC2066" s="146"/>
      <c r="AD2066" s="138">
        <f>P_2_minW+(AD2063^2*R_dn)-dpdn_minQ</f>
        <v>50</v>
      </c>
      <c r="AE2066" s="132"/>
      <c r="AF2066" s="146"/>
      <c r="AG2066" s="138">
        <f>P_2_minW+(AG2063^2*R_dn)-dpdn_minQ</f>
        <v>50</v>
      </c>
      <c r="AH2066" s="132"/>
      <c r="AI2066" s="146"/>
      <c r="AJ2066" s="138">
        <f>P_2_minW+(AJ2063^2*R_dn)-dpdn_minQ</f>
        <v>50</v>
      </c>
      <c r="AK2066" s="132"/>
      <c r="AL2066" s="146"/>
      <c r="AM2066" s="138">
        <f>P_2_minW+(AM2063^2*R_dn)-dpdn_minQ</f>
        <v>50</v>
      </c>
      <c r="AN2066" s="132"/>
      <c r="AO2066" s="146"/>
      <c r="AP2066" s="138">
        <f>P_2_minW+(AP2063^2*R_dn)-dpdn_minQ</f>
        <v>50</v>
      </c>
      <c r="AQ2066" s="132"/>
      <c r="AR2066" s="146"/>
      <c r="AS2066" s="138">
        <f>P_2_minW+(AS2063^2*R_dn)-dpdn_minQ</f>
        <v>50</v>
      </c>
      <c r="AT2066" s="132"/>
      <c r="AU2066" s="146"/>
    </row>
    <row r="2067" spans="13:47" x14ac:dyDescent="0.25">
      <c r="M2067" s="20"/>
      <c r="N2067" s="20"/>
      <c r="O2067" s="7" t="s">
        <v>234</v>
      </c>
      <c r="P2067" s="1"/>
      <c r="Q2067" s="7"/>
      <c r="R2067" s="179">
        <f>'Valve Sizing'!G$8*R2065/P_1_maxW</f>
        <v>0.48482536411972543</v>
      </c>
      <c r="S2067" s="132"/>
      <c r="T2067" s="146"/>
      <c r="U2067" s="143">
        <f>'Valve Sizing'!$G$8*U2065/P_1_maxW</f>
        <v>0.47746735697675691</v>
      </c>
      <c r="V2067" s="132"/>
      <c r="W2067" s="146"/>
      <c r="X2067" s="143">
        <f>'Valve Sizing'!$G$8*X2065/P_1_maxW</f>
        <v>0.43941899518225203</v>
      </c>
      <c r="Y2067" s="132"/>
      <c r="Z2067" s="146"/>
      <c r="AA2067" s="143">
        <f>'Valve Sizing'!$G$8*AA2065/P_1_maxW</f>
        <v>0.3123470259430538</v>
      </c>
      <c r="AB2067" s="132"/>
      <c r="AC2067" s="146"/>
      <c r="AD2067" s="143">
        <f>'Valve Sizing'!$G$8*AD2065/P_1_maxW</f>
        <v>1.8169465475215894E-2</v>
      </c>
      <c r="AE2067" s="132"/>
      <c r="AF2067" s="146"/>
      <c r="AG2067" s="143">
        <f>'Valve Sizing'!$G$8*AG2065/P_1_maxW</f>
        <v>-0.4332665641979806</v>
      </c>
      <c r="AH2067" s="132"/>
      <c r="AI2067" s="146"/>
      <c r="AJ2067" s="143">
        <f>'Valve Sizing'!$G$8*AJ2065/P_1_maxW</f>
        <v>-0.99539454342454081</v>
      </c>
      <c r="AK2067" s="132"/>
      <c r="AL2067" s="146"/>
      <c r="AM2067" s="143">
        <f>'Valve Sizing'!$G$8*AM2065/P_1_maxW</f>
        <v>-1.5504186935627593</v>
      </c>
      <c r="AN2067" s="132"/>
      <c r="AO2067" s="146"/>
      <c r="AP2067" s="143">
        <f>'Valve Sizing'!$G$8*AP2065/P_1_maxW</f>
        <v>-2.0484944428096035</v>
      </c>
      <c r="AQ2067" s="132"/>
      <c r="AR2067" s="146"/>
      <c r="AS2067" s="143">
        <f>'Valve Sizing'!$G$8*AS2065/P_1_maxW</f>
        <v>-2.6684572272544735</v>
      </c>
      <c r="AT2067" s="132"/>
      <c r="AU2067" s="146"/>
    </row>
    <row r="2068" spans="13:47" x14ac:dyDescent="0.25">
      <c r="M2068" s="20"/>
      <c r="N2068" s="20"/>
      <c r="O2068" s="7" t="s">
        <v>190</v>
      </c>
      <c r="P2068" s="1"/>
      <c r="Q2068" s="7"/>
      <c r="R2068" s="181">
        <f>R2065-R2066</f>
        <v>50.506479725439405</v>
      </c>
      <c r="S2068" s="132"/>
      <c r="T2068" s="146"/>
      <c r="U2068" s="138">
        <f>U2065-U2066</f>
        <v>48.981131733225496</v>
      </c>
      <c r="V2068" s="132"/>
      <c r="W2068" s="146"/>
      <c r="X2068" s="138">
        <f>X2065-X2066</f>
        <v>41.093535113298572</v>
      </c>
      <c r="Y2068" s="132"/>
      <c r="Z2068" s="146"/>
      <c r="AA2068" s="138">
        <f>AA2065-AA2066</f>
        <v>14.750944058476492</v>
      </c>
      <c r="AB2068" s="132"/>
      <c r="AC2068" s="146"/>
      <c r="AD2068" s="138">
        <f>AD2065-AD2066</f>
        <v>-46.233388043295733</v>
      </c>
      <c r="AE2068" s="132"/>
      <c r="AF2068" s="146"/>
      <c r="AG2068" s="138">
        <f>AG2065-AG2066</f>
        <v>-139.81810848394809</v>
      </c>
      <c r="AH2068" s="132"/>
      <c r="AI2068" s="146"/>
      <c r="AJ2068" s="138">
        <f>AJ2065-AJ2066</f>
        <v>-256.34976818747111</v>
      </c>
      <c r="AK2068" s="132"/>
      <c r="AL2068" s="146"/>
      <c r="AM2068" s="138">
        <f>AM2065-AM2066</f>
        <v>-371.40877215332102</v>
      </c>
      <c r="AN2068" s="132"/>
      <c r="AO2068" s="146"/>
      <c r="AP2068" s="138">
        <f>AP2065-AP2066</f>
        <v>-474.6621163431455</v>
      </c>
      <c r="AQ2068" s="132"/>
      <c r="AR2068" s="146"/>
      <c r="AS2068" s="138">
        <f>AS2065-AS2066</f>
        <v>-603.18319142854068</v>
      </c>
      <c r="AT2068" s="132"/>
      <c r="AU2068" s="146"/>
    </row>
    <row r="2069" spans="13:47" ht="14.5" x14ac:dyDescent="0.35">
      <c r="M2069" s="27"/>
      <c r="N2069" s="27"/>
      <c r="O2069" s="2" t="s">
        <v>191</v>
      </c>
      <c r="P2069" s="10"/>
      <c r="Q2069" s="2"/>
      <c r="R2069" s="181">
        <f>R2068/R2065</f>
        <v>0.50251963717574721</v>
      </c>
      <c r="S2069" s="132"/>
      <c r="T2069" s="146"/>
      <c r="U2069" s="138">
        <f>U2068/U2065</f>
        <v>0.49485321975545521</v>
      </c>
      <c r="V2069" s="132"/>
      <c r="W2069" s="146"/>
      <c r="X2069" s="138">
        <f>X2068/X2065</f>
        <v>0.45111362801090155</v>
      </c>
      <c r="Y2069" s="132"/>
      <c r="Z2069" s="146"/>
      <c r="AA2069" s="138">
        <f>AA2068/AA2065</f>
        <v>0.22781048636379625</v>
      </c>
      <c r="AB2069" s="132"/>
      <c r="AC2069" s="146"/>
      <c r="AD2069" s="138">
        <f>AD2068/AD2065</f>
        <v>-12.274529092651559</v>
      </c>
      <c r="AE2069" s="132"/>
      <c r="AF2069" s="146"/>
      <c r="AG2069" s="138">
        <f>AG2068/AG2065</f>
        <v>1.5566806164587157</v>
      </c>
      <c r="AH2069" s="132"/>
      <c r="AI2069" s="146"/>
      <c r="AJ2069" s="138">
        <f>AJ2068/AJ2065</f>
        <v>1.2423070325650882</v>
      </c>
      <c r="AK2069" s="132"/>
      <c r="AL2069" s="146"/>
      <c r="AM2069" s="138">
        <f>AM2068/AM2065</f>
        <v>1.1555651380172929</v>
      </c>
      <c r="AN2069" s="132"/>
      <c r="AO2069" s="146"/>
      <c r="AP2069" s="138">
        <f>AP2068/AP2065</f>
        <v>1.1177406650505124</v>
      </c>
      <c r="AQ2069" s="132"/>
      <c r="AR2069" s="146"/>
      <c r="AS2069" s="138">
        <f>AS2068/AS2065</f>
        <v>1.0903859711841206</v>
      </c>
      <c r="AT2069" s="132"/>
      <c r="AU2069" s="146"/>
    </row>
    <row r="2070" spans="13:47" x14ac:dyDescent="0.25">
      <c r="M2070" s="27"/>
      <c r="N2070" s="27"/>
      <c r="O2070" s="2" t="s">
        <v>26</v>
      </c>
      <c r="P2070" s="7">
        <v>12</v>
      </c>
      <c r="Q2070" s="2"/>
      <c r="R2070" s="181">
        <f>1-R2069/(3*F_GAMMA*R$29)</f>
        <v>0.73828201452169473</v>
      </c>
      <c r="S2070" s="133"/>
      <c r="T2070" s="146"/>
      <c r="U2070" s="138">
        <f>1-U2069/(3*F_GAMMA*U$29)</f>
        <v>0.74233151724182067</v>
      </c>
      <c r="V2070" s="133"/>
      <c r="W2070" s="146"/>
      <c r="X2070" s="138">
        <f>1-X2069/(3*F_GAMMA*X$29)</f>
        <v>0.7615828071349181</v>
      </c>
      <c r="Y2070" s="133"/>
      <c r="Z2070" s="146"/>
      <c r="AA2070" s="138">
        <f>1-AA2069/(3*F_GAMMA*AA$29)</f>
        <v>0.87794947236759013</v>
      </c>
      <c r="AB2070" s="133"/>
      <c r="AC2070" s="146"/>
      <c r="AD2070" s="138">
        <f>1-AD2069/(3*F_GAMMA*AD$29)</f>
        <v>7.7564397183177292</v>
      </c>
      <c r="AE2070" s="133"/>
      <c r="AF2070" s="146"/>
      <c r="AG2070" s="138">
        <f>1-AG2069/(3*F_GAMMA*AG$29)</f>
        <v>9.4257690635595526E-2</v>
      </c>
      <c r="AH2070" s="133"/>
      <c r="AI2070" s="146"/>
      <c r="AJ2070" s="138">
        <f>1-AJ2069/(3*F_GAMMA*AJ$29)</f>
        <v>0.22728864566964091</v>
      </c>
      <c r="AK2070" s="133"/>
      <c r="AL2070" s="146"/>
      <c r="AM2070" s="138">
        <f>1-AM2069/(3*F_GAMMA*AM$29)</f>
        <v>0.21468363290654391</v>
      </c>
      <c r="AN2070" s="133"/>
      <c r="AO2070" s="146"/>
      <c r="AP2070" s="138">
        <f>1-AP2069/(3*F_GAMMA*AP$29)</f>
        <v>0.3722636540597094</v>
      </c>
      <c r="AQ2070" s="133"/>
      <c r="AR2070" s="146"/>
      <c r="AS2070" s="138">
        <f>1-AS2069/(3*F_GAMMA*AS$29)</f>
        <v>7.0363622781891788E-2</v>
      </c>
      <c r="AT2070" s="133"/>
      <c r="AU2070" s="146"/>
    </row>
    <row r="2071" spans="13:47" x14ac:dyDescent="0.25">
      <c r="M2071" s="27"/>
      <c r="N2071" s="27"/>
      <c r="O2071" s="2" t="s">
        <v>71</v>
      </c>
      <c r="P2071" s="85">
        <v>5</v>
      </c>
      <c r="Q2071" s="2"/>
      <c r="R2071" s="179">
        <f>R2063/((N_6*R$27*R2070)*SQRT(R2069*R2065*R2067))</f>
        <v>0.8745600549222261</v>
      </c>
      <c r="S2071" s="133"/>
      <c r="T2071" s="146"/>
      <c r="U2071" s="143">
        <f>U2063/((N_6*U$27*U2070)*SQRT(U2069*U2065*U2067))</f>
        <v>8.6590523860947428</v>
      </c>
      <c r="V2071" s="133"/>
      <c r="W2071" s="146"/>
      <c r="X2071" s="143">
        <f>X2063/((N_6*X$27*X2070)*SQRT(X2069*X2065*X2067))</f>
        <v>23.807711923686075</v>
      </c>
      <c r="Y2071" s="133"/>
      <c r="Z2071" s="146"/>
      <c r="AA2071" s="143">
        <f>AA2063/((N_6*AA$27*AA2070)*SQRT(AA2069*AA2065*AA2067))</f>
        <v>80.091322129602787</v>
      </c>
      <c r="AB2071" s="133"/>
      <c r="AC2071" s="146"/>
      <c r="AD2071" s="143" t="e">
        <f>AD2063/((N_6*AD$27*AD2070)*SQRT(AD2069*AD2065*AD2067))</f>
        <v>#NUM!</v>
      </c>
      <c r="AE2071" s="133"/>
      <c r="AF2071" s="146"/>
      <c r="AG2071" s="143">
        <f>AG2063/((N_6*AG$27*AG2070)*SQRT(AG2069*AG2065*AG2067))</f>
        <v>490.58954259897854</v>
      </c>
      <c r="AH2071" s="133"/>
      <c r="AI2071" s="146"/>
      <c r="AJ2071" s="143">
        <f>AJ2063/((N_6*AJ$27*AJ2070)*SQRT(AJ2069*AJ2065*AJ2067))</f>
        <v>130.18924062974591</v>
      </c>
      <c r="AK2071" s="133"/>
      <c r="AL2071" s="146"/>
      <c r="AM2071" s="143">
        <f>AM2063/((N_6*AM$27*AM2070)*SQRT(AM2069*AM2065*AM2067))</f>
        <v>114.19409288292522</v>
      </c>
      <c r="AN2071" s="133"/>
      <c r="AO2071" s="146"/>
      <c r="AP2071" s="143">
        <f>AP2063/((N_6*AP$27*AP2070)*SQRT(AP2069*AP2065*AP2067))</f>
        <v>64.227655475917999</v>
      </c>
      <c r="AQ2071" s="133"/>
      <c r="AR2071" s="146"/>
      <c r="AS2071" s="143">
        <f>AS2063/((N_6*AS$27*AS2070)*SQRT(AS2069*AS2065*AS2067))</f>
        <v>387.17025629824701</v>
      </c>
      <c r="AT2071" s="133"/>
      <c r="AU2071" s="146"/>
    </row>
    <row r="2072" spans="13:47" x14ac:dyDescent="0.25">
      <c r="M2072" s="27"/>
      <c r="N2072" s="27"/>
      <c r="O2072" s="2" t="s">
        <v>73</v>
      </c>
      <c r="P2072" s="85">
        <v>5</v>
      </c>
      <c r="Q2072" s="2"/>
      <c r="R2072" s="179">
        <f>R2063/((N_6*R$27*0.667)*SQRT(R2073*R2065*R2067))</f>
        <v>0.85775548464130946</v>
      </c>
      <c r="S2072" s="133"/>
      <c r="T2072" s="155"/>
      <c r="U2072" s="143">
        <f>U2063/((N_6*U$27*0.667)*SQRT(U2073*U2065*U2067))</f>
        <v>8.4729317946562936</v>
      </c>
      <c r="V2072" s="133"/>
      <c r="W2072" s="155"/>
      <c r="X2072" s="143">
        <f>X2063/((N_6*X$27*0.667)*SQRT(X2073*X2065*X2067))</f>
        <v>22.989968100568813</v>
      </c>
      <c r="Y2072" s="133"/>
      <c r="Z2072" s="155"/>
      <c r="AA2072" s="143">
        <f>AA2063/((N_6*AA$27*0.667)*SQRT(AA2073*AA2065*AA2067))</f>
        <v>63.791029215364659</v>
      </c>
      <c r="AB2072" s="133"/>
      <c r="AC2072" s="155"/>
      <c r="AD2072" s="143">
        <f>AD2063/((N_6*AD$27*0.667)*SQRT(AD2073*AD2065*AD2067))</f>
        <v>1849.8723494268343</v>
      </c>
      <c r="AE2072" s="133"/>
      <c r="AF2072" s="155"/>
      <c r="AG2072" s="143">
        <f>AG2063/((N_6*AG$27*0.667)*SQRT(AG2073*AG2065*AG2067))</f>
        <v>114.28051863818003</v>
      </c>
      <c r="AH2072" s="133"/>
      <c r="AI2072" s="155"/>
      <c r="AJ2072" s="143">
        <f>AJ2063/((N_6*AJ$27*0.667)*SQRT(AJ2073*AJ2065*AJ2067))</f>
        <v>67.545477325959638</v>
      </c>
      <c r="AK2072" s="133"/>
      <c r="AL2072" s="155"/>
      <c r="AM2072" s="143">
        <f>AM2063/((N_6*AM$27*0.667)*SQRT(AM2073*AM2065*AM2067))</f>
        <v>56.415662527191913</v>
      </c>
      <c r="AN2072" s="133"/>
      <c r="AO2072" s="155"/>
      <c r="AP2072" s="143">
        <f>AP2063/((N_6*AP$27*0.667)*SQRT(AP2073*AP2065*AP2067))</f>
        <v>49.192187573248631</v>
      </c>
      <c r="AQ2072" s="133"/>
      <c r="AR2072" s="155"/>
      <c r="AS2072" s="143">
        <f>AS2063/((N_6*AS$27*0.667)*SQRT(AS2073*AS2065*AS2067))</f>
        <v>68.20897541135551</v>
      </c>
      <c r="AT2072" s="133"/>
      <c r="AU2072" s="155"/>
    </row>
    <row r="2073" spans="13:47" ht="15.5" x14ac:dyDescent="0.4">
      <c r="M2073" s="27"/>
      <c r="N2073" s="27"/>
      <c r="O2073" s="2" t="s">
        <v>192</v>
      </c>
      <c r="P2073" s="85">
        <v>10</v>
      </c>
      <c r="Q2073" s="2"/>
      <c r="R2073" s="181">
        <f>F_GAMMA*R$29</f>
        <v>0.64002688015162901</v>
      </c>
      <c r="S2073" s="133"/>
      <c r="T2073" s="155"/>
      <c r="U2073" s="138">
        <f>F_GAMMA*U$29</f>
        <v>0.64016782916606918</v>
      </c>
      <c r="V2073" s="133"/>
      <c r="W2073" s="155"/>
      <c r="X2073" s="138">
        <f>F_GAMMA*X$29</f>
        <v>0.6307062319203669</v>
      </c>
      <c r="Y2073" s="133"/>
      <c r="Z2073" s="155"/>
      <c r="AA2073" s="138">
        <f>F_GAMMA*AA$29</f>
        <v>0.62217534213893466</v>
      </c>
      <c r="AB2073" s="133"/>
      <c r="AC2073" s="155"/>
      <c r="AD2073" s="138">
        <f>F_GAMMA*AD$29</f>
        <v>0.60557184969146072</v>
      </c>
      <c r="AE2073" s="133"/>
      <c r="AF2073" s="155"/>
      <c r="AG2073" s="138">
        <f>F_GAMMA*AG$29</f>
        <v>0.57289312142622573</v>
      </c>
      <c r="AH2073" s="133"/>
      <c r="AI2073" s="155"/>
      <c r="AJ2073" s="138">
        <f>F_GAMMA*AJ$29</f>
        <v>0.53590819116049981</v>
      </c>
      <c r="AK2073" s="133"/>
      <c r="AL2073" s="155"/>
      <c r="AM2073" s="138">
        <f>F_GAMMA*AM$29</f>
        <v>0.49048815926850342</v>
      </c>
      <c r="AN2073" s="133"/>
      <c r="AO2073" s="155"/>
      <c r="AP2073" s="138">
        <f>F_GAMMA*AP$29</f>
        <v>0.59352979016280105</v>
      </c>
      <c r="AQ2073" s="133"/>
      <c r="AR2073" s="155"/>
      <c r="AS2073" s="138">
        <f>F_GAMMA*AS$29</f>
        <v>0.39097221161068291</v>
      </c>
      <c r="AT2073" s="133"/>
      <c r="AU2073" s="155"/>
    </row>
    <row r="2074" spans="13:47" x14ac:dyDescent="0.25">
      <c r="M2074" s="27"/>
      <c r="N2074" s="27"/>
      <c r="O2074" s="2" t="s">
        <v>193</v>
      </c>
      <c r="P2074" s="134"/>
      <c r="Q2074" s="2"/>
      <c r="R2074" s="181">
        <f>IF(R2069&lt;R2073,R2071,R2072)</f>
        <v>0.8745600549222261</v>
      </c>
      <c r="S2074" s="133"/>
      <c r="T2074" s="155"/>
      <c r="U2074" s="138">
        <f>IF(U2069&lt;U2073,U2071,U2072)</f>
        <v>8.6590523860947428</v>
      </c>
      <c r="V2074" s="133"/>
      <c r="W2074" s="155"/>
      <c r="X2074" s="138">
        <f>IF(X2069&lt;X2073,X2071,X2072)</f>
        <v>23.807711923686075</v>
      </c>
      <c r="Y2074" s="133"/>
      <c r="Z2074" s="155"/>
      <c r="AA2074" s="138">
        <f>IF(AA2069&lt;AA2073,AA2071,AA2072)</f>
        <v>80.091322129602787</v>
      </c>
      <c r="AB2074" s="133"/>
      <c r="AC2074" s="155"/>
      <c r="AD2074" s="138" t="e">
        <f>IF(AD2069&lt;AD2073,AD2071,AD2072)</f>
        <v>#NUM!</v>
      </c>
      <c r="AE2074" s="133"/>
      <c r="AF2074" s="155"/>
      <c r="AG2074" s="138">
        <f>IF(AG2069&lt;AG2073,AG2071,AG2072)</f>
        <v>114.28051863818003</v>
      </c>
      <c r="AH2074" s="133"/>
      <c r="AI2074" s="155"/>
      <c r="AJ2074" s="138">
        <f>IF(AJ2069&lt;AJ2073,AJ2071,AJ2072)</f>
        <v>67.545477325959638</v>
      </c>
      <c r="AK2074" s="133"/>
      <c r="AL2074" s="155"/>
      <c r="AM2074" s="138">
        <f>IF(AM2069&lt;AM2073,AM2071,AM2072)</f>
        <v>56.415662527191913</v>
      </c>
      <c r="AN2074" s="133"/>
      <c r="AO2074" s="155"/>
      <c r="AP2074" s="138">
        <f>IF(AP2069&lt;AP2073,AP2071,AP2072)</f>
        <v>49.192187573248631</v>
      </c>
      <c r="AQ2074" s="133"/>
      <c r="AR2074" s="155"/>
      <c r="AS2074" s="138">
        <f>IF(AS2069&lt;AS2073,AS2071,AS2072)</f>
        <v>68.20897541135551</v>
      </c>
      <c r="AT2074" s="133"/>
      <c r="AU2074" s="155"/>
    </row>
    <row r="2075" spans="13:47" ht="13" x14ac:dyDescent="0.3">
      <c r="M2075" s="28"/>
      <c r="N2075" s="28"/>
      <c r="O2075" s="9" t="s">
        <v>194</v>
      </c>
      <c r="P2075" s="1"/>
      <c r="Q2075" s="1"/>
      <c r="R2075" s="135"/>
      <c r="S2075" s="132">
        <f>IF(R2068&lt;=0,W_max,ABS(R$23-R2074))</f>
        <v>1.1254399450777739</v>
      </c>
      <c r="T2075" s="151">
        <f>R2063</f>
        <v>202.22292701070293</v>
      </c>
      <c r="U2075" s="135"/>
      <c r="V2075" s="132">
        <f>IF(U2068&lt;=0,W_max,ABS(U$23-U2074))</f>
        <v>3.6590523860947428</v>
      </c>
      <c r="W2075" s="151">
        <f>U2063</f>
        <v>1966.2412575267836</v>
      </c>
      <c r="X2075" s="135"/>
      <c r="Y2075" s="132">
        <f>IF(X2068&lt;=0,W_max,ABS(X$23-X2074))</f>
        <v>13.807711923686075</v>
      </c>
      <c r="Z2075" s="151">
        <f>X2063</f>
        <v>4862.7486153162235</v>
      </c>
      <c r="AA2075" s="135"/>
      <c r="AB2075" s="132">
        <f>IF(AA2068&lt;=0,W_max,ABS(AA$23-AA2074))</f>
        <v>62.891322129602784</v>
      </c>
      <c r="AC2075" s="151">
        <f>AA2063</f>
        <v>9471.393108355689</v>
      </c>
      <c r="AD2075" s="135"/>
      <c r="AE2075" s="132">
        <f>IF(AD2068&lt;=0,W_max,ABS(AD$23-AD2074))</f>
        <v>7174</v>
      </c>
      <c r="AF2075" s="151">
        <f>AD2063</f>
        <v>15576.954503194609</v>
      </c>
      <c r="AG2075" s="135"/>
      <c r="AH2075" s="132">
        <f>IF(AG2068&lt;=0,W_max,ABS(AG$23-AG2074))</f>
        <v>7174</v>
      </c>
      <c r="AI2075" s="151">
        <f>AG2063</f>
        <v>21847.877900791242</v>
      </c>
      <c r="AJ2075" s="135"/>
      <c r="AK2075" s="132">
        <f>IF(AJ2068&lt;=0,W_max,ABS(AJ$23-AJ2074))</f>
        <v>7174</v>
      </c>
      <c r="AL2075" s="151">
        <f>AJ2063</f>
        <v>27741.007567529363</v>
      </c>
      <c r="AM2075" s="135"/>
      <c r="AN2075" s="132">
        <f>IF(AM2068&lt;=0,W_max,ABS(AM$23-AM2074))</f>
        <v>7174</v>
      </c>
      <c r="AO2075" s="151">
        <f>AM2063</f>
        <v>32528.513062351642</v>
      </c>
      <c r="AP2075" s="135"/>
      <c r="AQ2075" s="132">
        <f>IF(AP2068&lt;=0,W_max,ABS(AP$23-AP2074))</f>
        <v>7174</v>
      </c>
      <c r="AR2075" s="151">
        <f>AP2063</f>
        <v>36291.032387755011</v>
      </c>
      <c r="AS2075" s="135"/>
      <c r="AT2075" s="132">
        <f>IF(AS2068&lt;=0,W_max,ABS(AS$23-AS2074))</f>
        <v>7174</v>
      </c>
      <c r="AU2075" s="151">
        <f>AS2063</f>
        <v>40488.756102824096</v>
      </c>
    </row>
    <row r="2076" spans="13:47" ht="13" x14ac:dyDescent="0.25">
      <c r="M2076" s="12"/>
      <c r="N2076" s="12"/>
      <c r="O2076" s="2"/>
      <c r="P2076" s="85"/>
      <c r="Q2076" s="2"/>
      <c r="R2076" s="18"/>
      <c r="S2076" s="150"/>
      <c r="T2076" s="152"/>
      <c r="U2076" s="157"/>
      <c r="V2076" s="1"/>
      <c r="W2076" s="147"/>
      <c r="X2076" s="157"/>
      <c r="Y2076" s="1"/>
      <c r="Z2076" s="147"/>
      <c r="AA2076" s="157"/>
      <c r="AB2076" s="1"/>
      <c r="AC2076" s="147"/>
      <c r="AD2076" s="157"/>
      <c r="AE2076" s="1"/>
      <c r="AF2076" s="147"/>
      <c r="AG2076" s="157"/>
      <c r="AH2076" s="1"/>
      <c r="AI2076" s="147"/>
      <c r="AJ2076" s="157"/>
      <c r="AK2076" s="1"/>
      <c r="AL2076" s="147"/>
      <c r="AM2076" s="157"/>
      <c r="AN2076" s="1"/>
      <c r="AO2076" s="147"/>
      <c r="AP2076" s="157"/>
      <c r="AQ2076" s="1"/>
      <c r="AR2076" s="147"/>
      <c r="AS2076" s="157"/>
      <c r="AT2076" s="1"/>
      <c r="AU2076" s="147"/>
    </row>
    <row r="2077" spans="13:47" ht="14" x14ac:dyDescent="0.3">
      <c r="M2077" s="23"/>
      <c r="N2077" s="23"/>
      <c r="O2077" s="23" t="s">
        <v>238</v>
      </c>
      <c r="P2077" s="20"/>
      <c r="Q2077" s="20"/>
      <c r="R2077" s="181">
        <f>R2063*1.02</f>
        <v>206.267385550917</v>
      </c>
      <c r="S2077" s="128" t="s">
        <v>185</v>
      </c>
      <c r="T2077" s="153" t="s">
        <v>186</v>
      </c>
      <c r="U2077" s="143">
        <f>U2063*1.01</f>
        <v>1985.9036701020514</v>
      </c>
      <c r="V2077" s="128" t="s">
        <v>185</v>
      </c>
      <c r="W2077" s="153" t="s">
        <v>186</v>
      </c>
      <c r="X2077" s="143">
        <f>X2063*1.01</f>
        <v>4911.3761014693855</v>
      </c>
      <c r="Y2077" s="128" t="s">
        <v>185</v>
      </c>
      <c r="Z2077" s="153" t="s">
        <v>186</v>
      </c>
      <c r="AA2077" s="143">
        <f>AA2063*1.01</f>
        <v>9566.1070394392464</v>
      </c>
      <c r="AB2077" s="128" t="s">
        <v>185</v>
      </c>
      <c r="AC2077" s="153" t="s">
        <v>186</v>
      </c>
      <c r="AD2077" s="143">
        <f>AD2063*1.01</f>
        <v>15732.724048226555</v>
      </c>
      <c r="AE2077" s="128" t="s">
        <v>185</v>
      </c>
      <c r="AF2077" s="153" t="s">
        <v>186</v>
      </c>
      <c r="AG2077" s="143">
        <f>AG2063*1.01</f>
        <v>22066.356679799155</v>
      </c>
      <c r="AH2077" s="128" t="s">
        <v>185</v>
      </c>
      <c r="AI2077" s="153" t="s">
        <v>186</v>
      </c>
      <c r="AJ2077" s="143">
        <f>AJ2063*1.01</f>
        <v>28018.417643204655</v>
      </c>
      <c r="AK2077" s="128" t="s">
        <v>185</v>
      </c>
      <c r="AL2077" s="153" t="s">
        <v>186</v>
      </c>
      <c r="AM2077" s="143">
        <f>AM2063*1.01</f>
        <v>32853.798192975155</v>
      </c>
      <c r="AN2077" s="128" t="s">
        <v>185</v>
      </c>
      <c r="AO2077" s="153" t="s">
        <v>186</v>
      </c>
      <c r="AP2077" s="143">
        <f>AP2063*1.01</f>
        <v>36653.942711632561</v>
      </c>
      <c r="AQ2077" s="128" t="s">
        <v>185</v>
      </c>
      <c r="AR2077" s="153" t="s">
        <v>186</v>
      </c>
      <c r="AS2077" s="143">
        <f>AS2063*1.01</f>
        <v>40893.643663852337</v>
      </c>
      <c r="AT2077" s="128" t="s">
        <v>185</v>
      </c>
      <c r="AU2077" s="153" t="s">
        <v>186</v>
      </c>
    </row>
    <row r="2078" spans="13:47" ht="14" x14ac:dyDescent="0.3">
      <c r="M2078" s="12"/>
      <c r="N2078" s="12"/>
      <c r="O2078" s="20"/>
      <c r="P2078" s="20"/>
      <c r="Q2078" s="23"/>
      <c r="R2078" s="139"/>
      <c r="S2078" s="130" t="s">
        <v>228</v>
      </c>
      <c r="T2078" s="154" t="s">
        <v>187</v>
      </c>
      <c r="U2078" s="144"/>
      <c r="V2078" s="130" t="s">
        <v>228</v>
      </c>
      <c r="W2078" s="154" t="s">
        <v>187</v>
      </c>
      <c r="X2078" s="144"/>
      <c r="Y2078" s="130" t="s">
        <v>228</v>
      </c>
      <c r="Z2078" s="154" t="s">
        <v>187</v>
      </c>
      <c r="AA2078" s="144"/>
      <c r="AB2078" s="130" t="s">
        <v>228</v>
      </c>
      <c r="AC2078" s="154" t="s">
        <v>187</v>
      </c>
      <c r="AD2078" s="144"/>
      <c r="AE2078" s="130" t="s">
        <v>228</v>
      </c>
      <c r="AF2078" s="154" t="s">
        <v>187</v>
      </c>
      <c r="AG2078" s="144"/>
      <c r="AH2078" s="130" t="s">
        <v>228</v>
      </c>
      <c r="AI2078" s="154" t="s">
        <v>187</v>
      </c>
      <c r="AJ2078" s="144"/>
      <c r="AK2078" s="130" t="s">
        <v>228</v>
      </c>
      <c r="AL2078" s="154" t="s">
        <v>187</v>
      </c>
      <c r="AM2078" s="144"/>
      <c r="AN2078" s="130" t="s">
        <v>228</v>
      </c>
      <c r="AO2078" s="154" t="s">
        <v>187</v>
      </c>
      <c r="AP2078" s="144"/>
      <c r="AQ2078" s="130" t="s">
        <v>228</v>
      </c>
      <c r="AR2078" s="154" t="s">
        <v>187</v>
      </c>
      <c r="AS2078" s="144"/>
      <c r="AT2078" s="130" t="s">
        <v>228</v>
      </c>
      <c r="AU2078" s="154" t="s">
        <v>187</v>
      </c>
    </row>
    <row r="2079" spans="13:47" x14ac:dyDescent="0.25">
      <c r="M2079" s="20"/>
      <c r="N2079" s="20"/>
      <c r="O2079" s="7" t="s">
        <v>188</v>
      </c>
      <c r="P2079" s="7"/>
      <c r="Q2079" s="7"/>
      <c r="R2079" s="181">
        <f>P_1_minW-(R2077^2*R_up)+dpup_minQ</f>
        <v>100.5058209221834</v>
      </c>
      <c r="S2079" s="132"/>
      <c r="T2079" s="145"/>
      <c r="U2079" s="138">
        <f>P_1_minW-(U2077^2*R_up)+dpup_minQ</f>
        <v>98.950144467655122</v>
      </c>
      <c r="V2079" s="132"/>
      <c r="W2079" s="145"/>
      <c r="X2079" s="138">
        <f>P_1_minW-(X2077^2*R_up)+dpup_minQ</f>
        <v>90.904007155667657</v>
      </c>
      <c r="Y2079" s="132"/>
      <c r="Z2079" s="145"/>
      <c r="AA2079" s="138">
        <f>P_1_minW-(AA2077^2*R_up)+dpup_minQ</f>
        <v>64.031930020643657</v>
      </c>
      <c r="AB2079" s="132"/>
      <c r="AC2079" s="145"/>
      <c r="AD2079" s="138">
        <f>P_1_minW-(AD2077^2*R_up)+dpup_minQ</f>
        <v>1.8218128436258065</v>
      </c>
      <c r="AE2079" s="132"/>
      <c r="AF2079" s="145"/>
      <c r="AG2079" s="138">
        <f>P_1_minW-(AG2077^2*R_up)+dpup_minQ</f>
        <v>-93.643960477883681</v>
      </c>
      <c r="AH2079" s="132"/>
      <c r="AI2079" s="145"/>
      <c r="AJ2079" s="138">
        <f>P_1_minW-(AJ2077^2*R_up)+dpup_minQ</f>
        <v>-212.51790654144745</v>
      </c>
      <c r="AK2079" s="132"/>
      <c r="AL2079" s="145"/>
      <c r="AM2079" s="138">
        <f>P_1_minW-(AM2077^2*R_up)+dpup_minQ</f>
        <v>-329.88959648701098</v>
      </c>
      <c r="AN2079" s="132"/>
      <c r="AO2079" s="145"/>
      <c r="AP2079" s="138">
        <f>P_1_minW-(AP2077^2*R_up)+dpup_minQ</f>
        <v>-435.21833289505093</v>
      </c>
      <c r="AQ2079" s="132"/>
      <c r="AR2079" s="145"/>
      <c r="AS2079" s="138">
        <f>P_1_minW-(AS2077^2*R_up)+dpup_minQ</f>
        <v>-566.32268158966258</v>
      </c>
      <c r="AT2079" s="132"/>
      <c r="AU2079" s="145"/>
    </row>
    <row r="2080" spans="13:47" x14ac:dyDescent="0.25">
      <c r="M2080" s="20"/>
      <c r="N2080" s="20"/>
      <c r="O2080" s="7" t="s">
        <v>189</v>
      </c>
      <c r="P2080" s="1"/>
      <c r="Q2080" s="7"/>
      <c r="R2080" s="181">
        <f>P_2_minW+(R2077^2*R_dn)-dpdn_minQ</f>
        <v>50</v>
      </c>
      <c r="S2080" s="132"/>
      <c r="T2080" s="146"/>
      <c r="U2080" s="138">
        <f>P_2_minW+(U2077^2*R_dn)-dpdn_minQ</f>
        <v>50</v>
      </c>
      <c r="V2080" s="132"/>
      <c r="W2080" s="146"/>
      <c r="X2080" s="138">
        <f>P_2_minW+(X2077^2*R_dn)-dpdn_minQ</f>
        <v>50</v>
      </c>
      <c r="Y2080" s="132"/>
      <c r="Z2080" s="146"/>
      <c r="AA2080" s="138">
        <f>P_2_minW+(AA2077^2*R_dn)-dpdn_minQ</f>
        <v>50</v>
      </c>
      <c r="AB2080" s="132"/>
      <c r="AC2080" s="146"/>
      <c r="AD2080" s="138">
        <f>P_2_minW+(AD2077^2*R_dn)-dpdn_minQ</f>
        <v>50</v>
      </c>
      <c r="AE2080" s="132"/>
      <c r="AF2080" s="146"/>
      <c r="AG2080" s="138">
        <f>P_2_minW+(AG2077^2*R_dn)-dpdn_minQ</f>
        <v>50</v>
      </c>
      <c r="AH2080" s="132"/>
      <c r="AI2080" s="146"/>
      <c r="AJ2080" s="138">
        <f>P_2_minW+(AJ2077^2*R_dn)-dpdn_minQ</f>
        <v>50</v>
      </c>
      <c r="AK2080" s="132"/>
      <c r="AL2080" s="146"/>
      <c r="AM2080" s="138">
        <f>P_2_minW+(AM2077^2*R_dn)-dpdn_minQ</f>
        <v>50</v>
      </c>
      <c r="AN2080" s="132"/>
      <c r="AO2080" s="146"/>
      <c r="AP2080" s="138">
        <f>P_2_minW+(AP2077^2*R_dn)-dpdn_minQ</f>
        <v>50</v>
      </c>
      <c r="AQ2080" s="132"/>
      <c r="AR2080" s="146"/>
      <c r="AS2080" s="138">
        <f>P_2_minW+(AS2077^2*R_dn)-dpdn_minQ</f>
        <v>50</v>
      </c>
      <c r="AT2080" s="132"/>
      <c r="AU2080" s="146"/>
    </row>
    <row r="2081" spans="13:47" x14ac:dyDescent="0.25">
      <c r="M2081" s="20"/>
      <c r="N2081" s="20"/>
      <c r="O2081" s="7" t="s">
        <v>234</v>
      </c>
      <c r="P2081" s="1"/>
      <c r="Q2081" s="7"/>
      <c r="R2081" s="179">
        <f>'Valve Sizing'!G$8*R2079/P_1_maxW</f>
        <v>0.48482218617011108</v>
      </c>
      <c r="S2081" s="132"/>
      <c r="T2081" s="146"/>
      <c r="U2081" s="143">
        <f>'Valve Sizing'!$G$8*U2079/P_1_maxW</f>
        <v>0.47731787992458796</v>
      </c>
      <c r="V2081" s="132"/>
      <c r="W2081" s="146"/>
      <c r="X2081" s="143">
        <f>'Valve Sizing'!$G$8*X2079/P_1_maxW</f>
        <v>0.43850474605801348</v>
      </c>
      <c r="Y2081" s="132"/>
      <c r="Z2081" s="146"/>
      <c r="AA2081" s="143">
        <f>'Valve Sizing'!$G$8*AA2079/P_1_maxW</f>
        <v>0.30887863023710749</v>
      </c>
      <c r="AB2081" s="132"/>
      <c r="AC2081" s="146"/>
      <c r="AD2081" s="143">
        <f>'Valve Sizing'!$G$8*AD2079/P_1_maxW</f>
        <v>8.7881008038659808E-3</v>
      </c>
      <c r="AE2081" s="132"/>
      <c r="AF2081" s="146"/>
      <c r="AG2081" s="143">
        <f>'Valve Sizing'!$G$8*AG2079/P_1_maxW</f>
        <v>-0.45172179306576182</v>
      </c>
      <c r="AH2081" s="132"/>
      <c r="AI2081" s="146"/>
      <c r="AJ2081" s="143">
        <f>'Valve Sizing'!$G$8*AJ2079/P_1_maxW</f>
        <v>-1.0251485446747755</v>
      </c>
      <c r="AK2081" s="132"/>
      <c r="AL2081" s="146"/>
      <c r="AM2081" s="143">
        <f>'Valve Sizing'!$G$8*AM2079/P_1_maxW</f>
        <v>-1.5913286802307725</v>
      </c>
      <c r="AN2081" s="132"/>
      <c r="AO2081" s="146"/>
      <c r="AP2081" s="143">
        <f>'Valve Sizing'!$G$8*AP2079/P_1_maxW</f>
        <v>-2.0994157520374781</v>
      </c>
      <c r="AQ2081" s="132"/>
      <c r="AR2081" s="146"/>
      <c r="AS2081" s="143">
        <f>'Valve Sizing'!$G$8*AS2079/P_1_maxW</f>
        <v>-2.7318397884496899</v>
      </c>
      <c r="AT2081" s="132"/>
      <c r="AU2081" s="146"/>
    </row>
    <row r="2082" spans="13:47" x14ac:dyDescent="0.25">
      <c r="M2082" s="20"/>
      <c r="N2082" s="20"/>
      <c r="O2082" s="7" t="s">
        <v>190</v>
      </c>
      <c r="P2082" s="1"/>
      <c r="Q2082" s="7"/>
      <c r="R2082" s="181">
        <f>R2079-R2080</f>
        <v>50.505820922183403</v>
      </c>
      <c r="S2082" s="132"/>
      <c r="T2082" s="146"/>
      <c r="U2082" s="138">
        <f>U2079-U2080</f>
        <v>48.950144467655122</v>
      </c>
      <c r="V2082" s="132"/>
      <c r="W2082" s="146"/>
      <c r="X2082" s="138">
        <f>X2079-X2080</f>
        <v>40.904007155667657</v>
      </c>
      <c r="Y2082" s="132"/>
      <c r="Z2082" s="146"/>
      <c r="AA2082" s="138">
        <f>AA2079-AA2080</f>
        <v>14.031930020643657</v>
      </c>
      <c r="AB2082" s="132"/>
      <c r="AC2082" s="146"/>
      <c r="AD2082" s="138">
        <f>AD2079-AD2080</f>
        <v>-48.178187156374193</v>
      </c>
      <c r="AE2082" s="132"/>
      <c r="AF2082" s="146"/>
      <c r="AG2082" s="138">
        <f>AG2079-AG2080</f>
        <v>-143.6439604778837</v>
      </c>
      <c r="AH2082" s="132"/>
      <c r="AI2082" s="146"/>
      <c r="AJ2082" s="138">
        <f>AJ2079-AJ2080</f>
        <v>-262.51790654144747</v>
      </c>
      <c r="AK2082" s="132"/>
      <c r="AL2082" s="146"/>
      <c r="AM2082" s="138">
        <f>AM2079-AM2080</f>
        <v>-379.88959648701098</v>
      </c>
      <c r="AN2082" s="132"/>
      <c r="AO2082" s="146"/>
      <c r="AP2082" s="138">
        <f>AP2079-AP2080</f>
        <v>-485.21833289505093</v>
      </c>
      <c r="AQ2082" s="132"/>
      <c r="AR2082" s="146"/>
      <c r="AS2082" s="138">
        <f>AS2079-AS2080</f>
        <v>-616.32268158966258</v>
      </c>
      <c r="AT2082" s="132"/>
      <c r="AU2082" s="146"/>
    </row>
    <row r="2083" spans="13:47" ht="14.5" x14ac:dyDescent="0.35">
      <c r="M2083" s="27"/>
      <c r="N2083" s="27"/>
      <c r="O2083" s="2" t="s">
        <v>191</v>
      </c>
      <c r="P2083" s="10"/>
      <c r="Q2083" s="2"/>
      <c r="R2083" s="181">
        <f>R2082/R2079</f>
        <v>0.50251637625334677</v>
      </c>
      <c r="S2083" s="132"/>
      <c r="T2083" s="146"/>
      <c r="U2083" s="138">
        <f>U2082/U2079</f>
        <v>0.49469502779408242</v>
      </c>
      <c r="V2083" s="132"/>
      <c r="W2083" s="146"/>
      <c r="X2083" s="138">
        <f>X2082/X2079</f>
        <v>0.4499692415717384</v>
      </c>
      <c r="Y2083" s="132"/>
      <c r="Z2083" s="146"/>
      <c r="AA2083" s="138">
        <f>AA2082/AA2079</f>
        <v>0.219139576397585</v>
      </c>
      <c r="AB2083" s="132"/>
      <c r="AC2083" s="146"/>
      <c r="AD2083" s="138">
        <f>AD2082/AD2079</f>
        <v>-26.445190198840102</v>
      </c>
      <c r="AE2083" s="132"/>
      <c r="AF2083" s="146"/>
      <c r="AG2083" s="138">
        <f>AG2082/AG2079</f>
        <v>1.5339372634907804</v>
      </c>
      <c r="AH2083" s="132"/>
      <c r="AI2083" s="146"/>
      <c r="AJ2083" s="138">
        <f>AJ2082/AJ2079</f>
        <v>1.2352742920053588</v>
      </c>
      <c r="AK2083" s="132"/>
      <c r="AL2083" s="146"/>
      <c r="AM2083" s="138">
        <f>AM2082/AM2079</f>
        <v>1.1515658587977591</v>
      </c>
      <c r="AN2083" s="132"/>
      <c r="AO2083" s="146"/>
      <c r="AP2083" s="138">
        <f>AP2082/AP2079</f>
        <v>1.114884866332267</v>
      </c>
      <c r="AQ2083" s="132"/>
      <c r="AR2083" s="146"/>
      <c r="AS2083" s="138">
        <f>AS2082/AS2079</f>
        <v>1.0882888883412729</v>
      </c>
      <c r="AT2083" s="132"/>
      <c r="AU2083" s="146"/>
    </row>
    <row r="2084" spans="13:47" x14ac:dyDescent="0.25">
      <c r="M2084" s="27"/>
      <c r="N2084" s="27"/>
      <c r="O2084" s="2" t="s">
        <v>26</v>
      </c>
      <c r="P2084" s="7">
        <v>12</v>
      </c>
      <c r="Q2084" s="2"/>
      <c r="R2084" s="181">
        <f>1-R2083/(3*F_GAMMA*R$29)</f>
        <v>0.7382837128474482</v>
      </c>
      <c r="S2084" s="133"/>
      <c r="T2084" s="146"/>
      <c r="U2084" s="138">
        <f>1-U2083/(3*F_GAMMA*U$29)</f>
        <v>0.74241388728821867</v>
      </c>
      <c r="V2084" s="133"/>
      <c r="W2084" s="146"/>
      <c r="X2084" s="138">
        <f>1-X2083/(3*F_GAMMA*X$29)</f>
        <v>0.76218762460314937</v>
      </c>
      <c r="Y2084" s="133"/>
      <c r="Z2084" s="146"/>
      <c r="AA2084" s="138">
        <f>1-AA2083/(3*F_GAMMA*AA$29)</f>
        <v>0.88259495271101562</v>
      </c>
      <c r="AB2084" s="133"/>
      <c r="AC2084" s="146"/>
      <c r="AD2084" s="138">
        <f>1-AD2083/(3*F_GAMMA*AD$29)</f>
        <v>15.556593745407168</v>
      </c>
      <c r="AE2084" s="133"/>
      <c r="AF2084" s="146"/>
      <c r="AG2084" s="138">
        <f>1-AG2083/(3*F_GAMMA*AG$29)</f>
        <v>0.10749073074804294</v>
      </c>
      <c r="AH2084" s="133"/>
      <c r="AI2084" s="146"/>
      <c r="AJ2084" s="138">
        <f>1-AJ2083/(3*F_GAMMA*AJ$29)</f>
        <v>0.23166298980527866</v>
      </c>
      <c r="AK2084" s="133"/>
      <c r="AL2084" s="146"/>
      <c r="AM2084" s="138">
        <f>1-AM2083/(3*F_GAMMA*AM$29)</f>
        <v>0.21740152333465546</v>
      </c>
      <c r="AN2084" s="133"/>
      <c r="AO2084" s="146"/>
      <c r="AP2084" s="138">
        <f>1-AP2083/(3*F_GAMMA*AP$29)</f>
        <v>0.373867504316022</v>
      </c>
      <c r="AQ2084" s="133"/>
      <c r="AR2084" s="146"/>
      <c r="AS2084" s="138">
        <f>1-AS2083/(3*F_GAMMA*AS$29)</f>
        <v>7.2151544259489331E-2</v>
      </c>
      <c r="AT2084" s="133"/>
      <c r="AU2084" s="146"/>
    </row>
    <row r="2085" spans="13:47" x14ac:dyDescent="0.25">
      <c r="M2085" s="27"/>
      <c r="N2085" s="27"/>
      <c r="O2085" s="2" t="s">
        <v>71</v>
      </c>
      <c r="P2085" s="85">
        <v>5</v>
      </c>
      <c r="Q2085" s="2"/>
      <c r="R2085" s="179">
        <f>R2077/((N_6*R$27*R2084)*SQRT(R2083*R2079*R2081))</f>
        <v>0.8920579455961648</v>
      </c>
      <c r="S2085" s="133"/>
      <c r="T2085" s="146"/>
      <c r="U2085" s="143">
        <f>U2077/((N_6*U$27*U2084)*SQRT(U2083*U2079*U2081))</f>
        <v>8.748809572541635</v>
      </c>
      <c r="V2085" s="133"/>
      <c r="W2085" s="146"/>
      <c r="X2085" s="143">
        <f>X2077/((N_6*X$27*X2084)*SQRT(X2083*X2079*X2081))</f>
        <v>24.107399170799479</v>
      </c>
      <c r="Y2085" s="133"/>
      <c r="Z2085" s="146"/>
      <c r="AA2085" s="143">
        <f>AA2077/((N_6*AA$27*AA2084)*SQRT(AA2083*AA2079*AA2081))</f>
        <v>82.964228417375509</v>
      </c>
      <c r="AB2085" s="133"/>
      <c r="AC2085" s="146"/>
      <c r="AD2085" s="143" t="e">
        <f>AD2077/((N_6*AD$27*AD2084)*SQRT(AD2083*AD2079*AD2081))</f>
        <v>#NUM!</v>
      </c>
      <c r="AE2085" s="133"/>
      <c r="AF2085" s="146"/>
      <c r="AG2085" s="143">
        <f>AG2077/((N_6*AG$27*AG2084)*SQRT(AG2083*AG2079*AG2081))</f>
        <v>419.82232737010696</v>
      </c>
      <c r="AH2085" s="133"/>
      <c r="AI2085" s="146"/>
      <c r="AJ2085" s="143">
        <f>AJ2077/((N_6*AJ$27*AJ2084)*SQRT(AJ2083*AJ2079*AJ2081))</f>
        <v>125.61999678896713</v>
      </c>
      <c r="AK2085" s="133"/>
      <c r="AL2085" s="146"/>
      <c r="AM2085" s="143">
        <f>AM2077/((N_6*AM$27*AM2084)*SQRT(AM2083*AM2079*AM2081))</f>
        <v>111.15865854540496</v>
      </c>
      <c r="AN2085" s="133"/>
      <c r="AO2085" s="146"/>
      <c r="AP2085" s="143">
        <f>AP2077/((N_6*AP$27*AP2084)*SQRT(AP2083*AP2079*AP2081))</f>
        <v>63.105645614226788</v>
      </c>
      <c r="AQ2085" s="133"/>
      <c r="AR2085" s="146"/>
      <c r="AS2085" s="143">
        <f>AS2077/((N_6*AS$27*AS2084)*SQRT(AS2083*AS2079*AS2081))</f>
        <v>372.86272623219492</v>
      </c>
      <c r="AT2085" s="133"/>
      <c r="AU2085" s="146"/>
    </row>
    <row r="2086" spans="13:47" x14ac:dyDescent="0.25">
      <c r="M2086" s="27"/>
      <c r="N2086" s="27"/>
      <c r="O2086" s="2" t="s">
        <v>73</v>
      </c>
      <c r="P2086" s="85">
        <v>5</v>
      </c>
      <c r="Q2086" s="2"/>
      <c r="R2086" s="179">
        <f>R2077/((N_6*R$27*0.667)*SQRT(R2087*R2079*R2081))</f>
        <v>0.8749163292651374</v>
      </c>
      <c r="S2086" s="133"/>
      <c r="T2086" s="155"/>
      <c r="U2086" s="143">
        <f>U2077/((N_6*U$27*0.667)*SQRT(U2087*U2079*U2081))</f>
        <v>8.5603410330717384</v>
      </c>
      <c r="V2086" s="133"/>
      <c r="W2086" s="155"/>
      <c r="X2086" s="143">
        <f>X2077/((N_6*X$27*0.667)*SQRT(X2087*X2079*X2081))</f>
        <v>23.268279444105122</v>
      </c>
      <c r="Y2086" s="133"/>
      <c r="Z2086" s="155"/>
      <c r="AA2086" s="143">
        <f>AA2077/((N_6*AA$27*0.667)*SQRT(AA2087*AA2079*AA2081))</f>
        <v>65.152411561752061</v>
      </c>
      <c r="AB2086" s="133"/>
      <c r="AC2086" s="155"/>
      <c r="AD2086" s="143">
        <f>AD2077/((N_6*AD$27*0.667)*SQRT(AD2087*AD2079*AD2081))</f>
        <v>3862.8714510646337</v>
      </c>
      <c r="AE2086" s="133"/>
      <c r="AF2086" s="155"/>
      <c r="AG2086" s="143">
        <f>AG2077/((N_6*AG$27*0.667)*SQRT(AG2087*AG2079*AG2081))</f>
        <v>110.7076694316107</v>
      </c>
      <c r="AH2086" s="133"/>
      <c r="AI2086" s="155"/>
      <c r="AJ2086" s="143">
        <f>AJ2077/((N_6*AJ$27*0.667)*SQRT(AJ2087*AJ2079*AJ2081))</f>
        <v>66.240881784056072</v>
      </c>
      <c r="AK2086" s="133"/>
      <c r="AL2086" s="155"/>
      <c r="AM2086" s="143">
        <f>AM2077/((N_6*AM$27*0.667)*SQRT(AM2087*AM2079*AM2081))</f>
        <v>55.514978060342578</v>
      </c>
      <c r="AN2086" s="133"/>
      <c r="AO2086" s="155"/>
      <c r="AP2086" s="143">
        <f>AP2077/((N_6*AP$27*0.667)*SQRT(AP2087*AP2079*AP2081))</f>
        <v>48.479021843771044</v>
      </c>
      <c r="AQ2086" s="133"/>
      <c r="AR2086" s="155"/>
      <c r="AS2086" s="143">
        <f>AS2077/((N_6*AS$27*0.667)*SQRT(AS2087*AS2079*AS2081))</f>
        <v>67.29269465629217</v>
      </c>
      <c r="AT2086" s="133"/>
      <c r="AU2086" s="155"/>
    </row>
    <row r="2087" spans="13:47" ht="15.5" x14ac:dyDescent="0.4">
      <c r="M2087" s="27"/>
      <c r="N2087" s="27"/>
      <c r="O2087" s="2" t="s">
        <v>192</v>
      </c>
      <c r="P2087" s="85">
        <v>10</v>
      </c>
      <c r="Q2087" s="2"/>
      <c r="R2087" s="181">
        <f>F_GAMMA*R$29</f>
        <v>0.64002688015162901</v>
      </c>
      <c r="S2087" s="133"/>
      <c r="T2087" s="155"/>
      <c r="U2087" s="138">
        <f>F_GAMMA*U$29</f>
        <v>0.64016782916606918</v>
      </c>
      <c r="V2087" s="133"/>
      <c r="W2087" s="155"/>
      <c r="X2087" s="138">
        <f>F_GAMMA*X$29</f>
        <v>0.6307062319203669</v>
      </c>
      <c r="Y2087" s="133"/>
      <c r="Z2087" s="155"/>
      <c r="AA2087" s="138">
        <f>F_GAMMA*AA$29</f>
        <v>0.62217534213893466</v>
      </c>
      <c r="AB2087" s="133"/>
      <c r="AC2087" s="155"/>
      <c r="AD2087" s="138">
        <f>F_GAMMA*AD$29</f>
        <v>0.60557184969146072</v>
      </c>
      <c r="AE2087" s="133"/>
      <c r="AF2087" s="155"/>
      <c r="AG2087" s="138">
        <f>F_GAMMA*AG$29</f>
        <v>0.57289312142622573</v>
      </c>
      <c r="AH2087" s="133"/>
      <c r="AI2087" s="155"/>
      <c r="AJ2087" s="138">
        <f>F_GAMMA*AJ$29</f>
        <v>0.53590819116049981</v>
      </c>
      <c r="AK2087" s="133"/>
      <c r="AL2087" s="155"/>
      <c r="AM2087" s="138">
        <f>F_GAMMA*AM$29</f>
        <v>0.49048815926850342</v>
      </c>
      <c r="AN2087" s="133"/>
      <c r="AO2087" s="155"/>
      <c r="AP2087" s="138">
        <f>F_GAMMA*AP$29</f>
        <v>0.59352979016280105</v>
      </c>
      <c r="AQ2087" s="133"/>
      <c r="AR2087" s="155"/>
      <c r="AS2087" s="138">
        <f>F_GAMMA*AS$29</f>
        <v>0.39097221161068291</v>
      </c>
      <c r="AT2087" s="133"/>
      <c r="AU2087" s="155"/>
    </row>
    <row r="2088" spans="13:47" x14ac:dyDescent="0.25">
      <c r="M2088" s="27"/>
      <c r="N2088" s="27"/>
      <c r="O2088" s="2" t="s">
        <v>193</v>
      </c>
      <c r="P2088" s="134"/>
      <c r="Q2088" s="2"/>
      <c r="R2088" s="181">
        <f>IF(R2083&lt;R2087,R2085,R2086)</f>
        <v>0.8920579455961648</v>
      </c>
      <c r="S2088" s="133"/>
      <c r="T2088" s="155"/>
      <c r="U2088" s="138">
        <f>IF(U2083&lt;U2087,U2085,U2086)</f>
        <v>8.748809572541635</v>
      </c>
      <c r="V2088" s="133"/>
      <c r="W2088" s="155"/>
      <c r="X2088" s="138">
        <f>IF(X2083&lt;X2087,X2085,X2086)</f>
        <v>24.107399170799479</v>
      </c>
      <c r="Y2088" s="133"/>
      <c r="Z2088" s="155"/>
      <c r="AA2088" s="138">
        <f>IF(AA2083&lt;AA2087,AA2085,AA2086)</f>
        <v>82.964228417375509</v>
      </c>
      <c r="AB2088" s="133"/>
      <c r="AC2088" s="155"/>
      <c r="AD2088" s="138" t="e">
        <f>IF(AD2083&lt;AD2087,AD2085,AD2086)</f>
        <v>#NUM!</v>
      </c>
      <c r="AE2088" s="133"/>
      <c r="AF2088" s="155"/>
      <c r="AG2088" s="138">
        <f>IF(AG2083&lt;AG2087,AG2085,AG2086)</f>
        <v>110.7076694316107</v>
      </c>
      <c r="AH2088" s="133"/>
      <c r="AI2088" s="155"/>
      <c r="AJ2088" s="138">
        <f>IF(AJ2083&lt;AJ2087,AJ2085,AJ2086)</f>
        <v>66.240881784056072</v>
      </c>
      <c r="AK2088" s="133"/>
      <c r="AL2088" s="155"/>
      <c r="AM2088" s="138">
        <f>IF(AM2083&lt;AM2087,AM2085,AM2086)</f>
        <v>55.514978060342578</v>
      </c>
      <c r="AN2088" s="133"/>
      <c r="AO2088" s="155"/>
      <c r="AP2088" s="138">
        <f>IF(AP2083&lt;AP2087,AP2085,AP2086)</f>
        <v>48.479021843771044</v>
      </c>
      <c r="AQ2088" s="133"/>
      <c r="AR2088" s="155"/>
      <c r="AS2088" s="138">
        <f>IF(AS2083&lt;AS2087,AS2085,AS2086)</f>
        <v>67.29269465629217</v>
      </c>
      <c r="AT2088" s="133"/>
      <c r="AU2088" s="155"/>
    </row>
    <row r="2089" spans="13:47" ht="13" x14ac:dyDescent="0.3">
      <c r="M2089" s="28"/>
      <c r="N2089" s="28"/>
      <c r="O2089" s="9" t="s">
        <v>194</v>
      </c>
      <c r="P2089" s="1"/>
      <c r="Q2089" s="1"/>
      <c r="R2089" s="135"/>
      <c r="S2089" s="132">
        <f>IF(R2082&lt;=0,W_max,ABS(R$23-R2088))</f>
        <v>1.1079420544038352</v>
      </c>
      <c r="T2089" s="151">
        <f>R2077</f>
        <v>206.267385550917</v>
      </c>
      <c r="U2089" s="135"/>
      <c r="V2089" s="132">
        <f>IF(U2082&lt;=0,W_max,ABS(U$23-U2088))</f>
        <v>3.748809572541635</v>
      </c>
      <c r="W2089" s="151">
        <f>U2077</f>
        <v>1985.9036701020514</v>
      </c>
      <c r="X2089" s="135"/>
      <c r="Y2089" s="132">
        <f>IF(X2082&lt;=0,W_max,ABS(X$23-X2088))</f>
        <v>14.107399170799479</v>
      </c>
      <c r="Z2089" s="151">
        <f>X2077</f>
        <v>4911.3761014693855</v>
      </c>
      <c r="AA2089" s="135"/>
      <c r="AB2089" s="132">
        <f>IF(AA2082&lt;=0,W_max,ABS(AA$23-AA2088))</f>
        <v>65.764228417375506</v>
      </c>
      <c r="AC2089" s="151">
        <f>AA2077</f>
        <v>9566.1070394392464</v>
      </c>
      <c r="AD2089" s="135"/>
      <c r="AE2089" s="132">
        <f>IF(AD2082&lt;=0,W_max,ABS(AD$23-AD2088))</f>
        <v>7174</v>
      </c>
      <c r="AF2089" s="151">
        <f>AD2077</f>
        <v>15732.724048226555</v>
      </c>
      <c r="AG2089" s="135"/>
      <c r="AH2089" s="132">
        <f>IF(AG2082&lt;=0,W_max,ABS(AG$23-AG2088))</f>
        <v>7174</v>
      </c>
      <c r="AI2089" s="151">
        <f>AG2077</f>
        <v>22066.356679799155</v>
      </c>
      <c r="AJ2089" s="135"/>
      <c r="AK2089" s="132">
        <f>IF(AJ2082&lt;=0,W_max,ABS(AJ$23-AJ2088))</f>
        <v>7174</v>
      </c>
      <c r="AL2089" s="151">
        <f>AJ2077</f>
        <v>28018.417643204655</v>
      </c>
      <c r="AM2089" s="135"/>
      <c r="AN2089" s="132">
        <f>IF(AM2082&lt;=0,W_max,ABS(AM$23-AM2088))</f>
        <v>7174</v>
      </c>
      <c r="AO2089" s="151">
        <f>AM2077</f>
        <v>32853.798192975155</v>
      </c>
      <c r="AP2089" s="135"/>
      <c r="AQ2089" s="132">
        <f>IF(AP2082&lt;=0,W_max,ABS(AP$23-AP2088))</f>
        <v>7174</v>
      </c>
      <c r="AR2089" s="151">
        <f>AP2077</f>
        <v>36653.942711632561</v>
      </c>
      <c r="AS2089" s="135"/>
      <c r="AT2089" s="132">
        <f>IF(AS2082&lt;=0,W_max,ABS(AS$23-AS2088))</f>
        <v>7174</v>
      </c>
      <c r="AU2089" s="151">
        <f>AS2077</f>
        <v>40893.643663852337</v>
      </c>
    </row>
    <row r="2090" spans="13:47" ht="13" x14ac:dyDescent="0.25">
      <c r="M2090" s="12"/>
      <c r="N2090" s="12"/>
      <c r="O2090" s="2"/>
      <c r="P2090" s="85"/>
      <c r="Q2090" s="2"/>
      <c r="R2090" s="18"/>
      <c r="S2090" s="150"/>
      <c r="T2090" s="148"/>
      <c r="U2090" s="157"/>
      <c r="V2090" s="1"/>
      <c r="W2090" s="147"/>
      <c r="X2090" s="157"/>
      <c r="Y2090" s="1"/>
      <c r="Z2090" s="147"/>
      <c r="AA2090" s="157"/>
      <c r="AB2090" s="1"/>
      <c r="AC2090" s="147"/>
      <c r="AD2090" s="157"/>
      <c r="AE2090" s="1"/>
      <c r="AF2090" s="147"/>
      <c r="AG2090" s="157"/>
      <c r="AH2090" s="1"/>
      <c r="AI2090" s="147"/>
      <c r="AJ2090" s="157"/>
      <c r="AK2090" s="1"/>
      <c r="AL2090" s="147"/>
      <c r="AM2090" s="157"/>
      <c r="AN2090" s="1"/>
      <c r="AO2090" s="147"/>
      <c r="AP2090" s="157"/>
      <c r="AQ2090" s="1"/>
      <c r="AR2090" s="147"/>
      <c r="AS2090" s="157"/>
      <c r="AT2090" s="1"/>
      <c r="AU2090" s="147"/>
    </row>
    <row r="2091" spans="13:47" ht="14" x14ac:dyDescent="0.3">
      <c r="M2091" s="23"/>
      <c r="N2091" s="23"/>
      <c r="O2091" s="23" t="s">
        <v>238</v>
      </c>
      <c r="P2091" s="20"/>
      <c r="Q2091" s="20"/>
      <c r="R2091" s="181">
        <f>R2077*1.02</f>
        <v>210.39273326193535</v>
      </c>
      <c r="S2091" s="128" t="s">
        <v>185</v>
      </c>
      <c r="T2091" s="149" t="s">
        <v>186</v>
      </c>
      <c r="U2091" s="143">
        <f>U2077*1.01</f>
        <v>2005.762706803072</v>
      </c>
      <c r="V2091" s="128" t="s">
        <v>185</v>
      </c>
      <c r="W2091" s="153" t="s">
        <v>186</v>
      </c>
      <c r="X2091" s="143">
        <f>X2077*1.01</f>
        <v>4960.4898624840798</v>
      </c>
      <c r="Y2091" s="128" t="s">
        <v>185</v>
      </c>
      <c r="Z2091" s="153" t="s">
        <v>186</v>
      </c>
      <c r="AA2091" s="143">
        <f>AA2077*1.01</f>
        <v>9661.7681098336398</v>
      </c>
      <c r="AB2091" s="128" t="s">
        <v>185</v>
      </c>
      <c r="AC2091" s="153" t="s">
        <v>186</v>
      </c>
      <c r="AD2091" s="143">
        <f>AD2077*1.01</f>
        <v>15890.051288708821</v>
      </c>
      <c r="AE2091" s="128" t="s">
        <v>185</v>
      </c>
      <c r="AF2091" s="153" t="s">
        <v>186</v>
      </c>
      <c r="AG2091" s="143">
        <f>AG2077*1.01</f>
        <v>22287.020246597149</v>
      </c>
      <c r="AH2091" s="128" t="s">
        <v>185</v>
      </c>
      <c r="AI2091" s="153" t="s">
        <v>186</v>
      </c>
      <c r="AJ2091" s="143">
        <f>AJ2077*1.01</f>
        <v>28298.6018196367</v>
      </c>
      <c r="AK2091" s="128" t="s">
        <v>185</v>
      </c>
      <c r="AL2091" s="153" t="s">
        <v>186</v>
      </c>
      <c r="AM2091" s="143">
        <f>AM2077*1.01</f>
        <v>33182.336174904907</v>
      </c>
      <c r="AN2091" s="128" t="s">
        <v>185</v>
      </c>
      <c r="AO2091" s="153" t="s">
        <v>186</v>
      </c>
      <c r="AP2091" s="143">
        <f>AP2077*1.01</f>
        <v>37020.482138748885</v>
      </c>
      <c r="AQ2091" s="128" t="s">
        <v>185</v>
      </c>
      <c r="AR2091" s="153" t="s">
        <v>186</v>
      </c>
      <c r="AS2091" s="143">
        <f>AS2077*1.01</f>
        <v>41302.580100490864</v>
      </c>
      <c r="AT2091" s="128" t="s">
        <v>185</v>
      </c>
      <c r="AU2091" s="153" t="s">
        <v>186</v>
      </c>
    </row>
    <row r="2092" spans="13:47" ht="14" x14ac:dyDescent="0.3">
      <c r="M2092" s="12"/>
      <c r="N2092" s="12"/>
      <c r="O2092" s="20"/>
      <c r="P2092" s="20"/>
      <c r="Q2092" s="23"/>
      <c r="R2092" s="139"/>
      <c r="S2092" s="130" t="s">
        <v>228</v>
      </c>
      <c r="T2092" s="131" t="s">
        <v>187</v>
      </c>
      <c r="U2092" s="144"/>
      <c r="V2092" s="130" t="s">
        <v>228</v>
      </c>
      <c r="W2092" s="154" t="s">
        <v>187</v>
      </c>
      <c r="X2092" s="144"/>
      <c r="Y2092" s="130" t="s">
        <v>228</v>
      </c>
      <c r="Z2092" s="154" t="s">
        <v>187</v>
      </c>
      <c r="AA2092" s="144"/>
      <c r="AB2092" s="130" t="s">
        <v>228</v>
      </c>
      <c r="AC2092" s="154" t="s">
        <v>187</v>
      </c>
      <c r="AD2092" s="144"/>
      <c r="AE2092" s="130" t="s">
        <v>228</v>
      </c>
      <c r="AF2092" s="154" t="s">
        <v>187</v>
      </c>
      <c r="AG2092" s="144"/>
      <c r="AH2092" s="130" t="s">
        <v>228</v>
      </c>
      <c r="AI2092" s="154" t="s">
        <v>187</v>
      </c>
      <c r="AJ2092" s="144"/>
      <c r="AK2092" s="130" t="s">
        <v>228</v>
      </c>
      <c r="AL2092" s="154" t="s">
        <v>187</v>
      </c>
      <c r="AM2092" s="144"/>
      <c r="AN2092" s="130" t="s">
        <v>228</v>
      </c>
      <c r="AO2092" s="154" t="s">
        <v>187</v>
      </c>
      <c r="AP2092" s="144"/>
      <c r="AQ2092" s="130" t="s">
        <v>228</v>
      </c>
      <c r="AR2092" s="154" t="s">
        <v>187</v>
      </c>
      <c r="AS2092" s="144"/>
      <c r="AT2092" s="130" t="s">
        <v>228</v>
      </c>
      <c r="AU2092" s="154" t="s">
        <v>187</v>
      </c>
    </row>
    <row r="2093" spans="13:47" x14ac:dyDescent="0.25">
      <c r="M2093" s="20"/>
      <c r="N2093" s="20"/>
      <c r="O2093" s="7" t="s">
        <v>188</v>
      </c>
      <c r="P2093" s="7"/>
      <c r="Q2093" s="7"/>
      <c r="R2093" s="181">
        <f>P_1_minW-(R2091^2*R_up)+dpup_minQ</f>
        <v>100.50513550327585</v>
      </c>
      <c r="S2093" s="132"/>
      <c r="T2093" s="145"/>
      <c r="U2093" s="138">
        <f>P_1_minW-(U2091^2*R_up)+dpup_minQ</f>
        <v>98.918534358046784</v>
      </c>
      <c r="V2093" s="132"/>
      <c r="W2093" s="145"/>
      <c r="X2093" s="138">
        <f>P_1_minW-(X2091^2*R_up)+dpup_minQ</f>
        <v>90.710669686088366</v>
      </c>
      <c r="Y2093" s="132"/>
      <c r="Z2093" s="145"/>
      <c r="AA2093" s="138">
        <f>P_1_minW-(AA2091^2*R_up)+dpup_minQ</f>
        <v>63.298463800650381</v>
      </c>
      <c r="AB2093" s="132"/>
      <c r="AC2093" s="145"/>
      <c r="AD2093" s="138">
        <f>P_1_minW-(AD2091^2*R_up)+dpup_minQ</f>
        <v>-0.16207673162550462</v>
      </c>
      <c r="AE2093" s="132"/>
      <c r="AF2093" s="145"/>
      <c r="AG2093" s="138">
        <f>P_1_minW-(AG2091^2*R_up)+dpup_minQ</f>
        <v>-97.546712096897394</v>
      </c>
      <c r="AH2093" s="132"/>
      <c r="AI2093" s="145"/>
      <c r="AJ2093" s="138">
        <f>P_1_minW-(AJ2091^2*R_up)+dpup_minQ</f>
        <v>-218.81002447633873</v>
      </c>
      <c r="AK2093" s="132"/>
      <c r="AL2093" s="145"/>
      <c r="AM2093" s="138">
        <f>P_1_minW-(AM2091^2*R_up)+dpup_minQ</f>
        <v>-338.54088538980807</v>
      </c>
      <c r="AN2093" s="132"/>
      <c r="AO2093" s="145"/>
      <c r="AP2093" s="138">
        <f>P_1_minW-(AP2091^2*R_up)+dpup_minQ</f>
        <v>-445.98672939964956</v>
      </c>
      <c r="AQ2093" s="132"/>
      <c r="AR2093" s="145"/>
      <c r="AS2093" s="138">
        <f>P_1_minW-(AS2091^2*R_up)+dpup_minQ</f>
        <v>-579.7262755030232</v>
      </c>
      <c r="AT2093" s="132"/>
      <c r="AU2093" s="145"/>
    </row>
    <row r="2094" spans="13:47" x14ac:dyDescent="0.25">
      <c r="M2094" s="20"/>
      <c r="N2094" s="20"/>
      <c r="O2094" s="7" t="s">
        <v>189</v>
      </c>
      <c r="P2094" s="1"/>
      <c r="Q2094" s="7"/>
      <c r="R2094" s="181">
        <f>P_2_minW+(R2091^2*R_dn)-dpdn_minQ</f>
        <v>50</v>
      </c>
      <c r="S2094" s="132"/>
      <c r="T2094" s="146"/>
      <c r="U2094" s="138">
        <f>P_2_minW+(U2091^2*R_dn)-dpdn_minQ</f>
        <v>50</v>
      </c>
      <c r="V2094" s="132"/>
      <c r="W2094" s="146"/>
      <c r="X2094" s="138">
        <f>P_2_minW+(X2091^2*R_dn)-dpdn_minQ</f>
        <v>50</v>
      </c>
      <c r="Y2094" s="132"/>
      <c r="Z2094" s="146"/>
      <c r="AA2094" s="138">
        <f>P_2_minW+(AA2091^2*R_dn)-dpdn_minQ</f>
        <v>50</v>
      </c>
      <c r="AB2094" s="132"/>
      <c r="AC2094" s="146"/>
      <c r="AD2094" s="138">
        <f>P_2_minW+(AD2091^2*R_dn)-dpdn_minQ</f>
        <v>50</v>
      </c>
      <c r="AE2094" s="132"/>
      <c r="AF2094" s="146"/>
      <c r="AG2094" s="138">
        <f>P_2_minW+(AG2091^2*R_dn)-dpdn_minQ</f>
        <v>50</v>
      </c>
      <c r="AH2094" s="132"/>
      <c r="AI2094" s="146"/>
      <c r="AJ2094" s="138">
        <f>P_2_minW+(AJ2091^2*R_dn)-dpdn_minQ</f>
        <v>50</v>
      </c>
      <c r="AK2094" s="132"/>
      <c r="AL2094" s="146"/>
      <c r="AM2094" s="138">
        <f>P_2_minW+(AM2091^2*R_dn)-dpdn_minQ</f>
        <v>50</v>
      </c>
      <c r="AN2094" s="132"/>
      <c r="AO2094" s="146"/>
      <c r="AP2094" s="138">
        <f>P_2_minW+(AP2091^2*R_dn)-dpdn_minQ</f>
        <v>50</v>
      </c>
      <c r="AQ2094" s="132"/>
      <c r="AR2094" s="146"/>
      <c r="AS2094" s="138">
        <f>P_2_minW+(AS2091^2*R_dn)-dpdn_minQ</f>
        <v>50</v>
      </c>
      <c r="AT2094" s="132"/>
      <c r="AU2094" s="146"/>
    </row>
    <row r="2095" spans="13:47" x14ac:dyDescent="0.25">
      <c r="M2095" s="20"/>
      <c r="N2095" s="20"/>
      <c r="O2095" s="7" t="s">
        <v>234</v>
      </c>
      <c r="P2095" s="1"/>
      <c r="Q2095" s="7"/>
      <c r="R2095" s="179">
        <f>'Valve Sizing'!G$8*R2093/P_1_maxW</f>
        <v>0.48481887983133243</v>
      </c>
      <c r="S2095" s="132"/>
      <c r="T2095" s="146"/>
      <c r="U2095" s="143">
        <f>'Valve Sizing'!$G$8*U2093/P_1_maxW</f>
        <v>0.4771653983836705</v>
      </c>
      <c r="V2095" s="132"/>
      <c r="W2095" s="146"/>
      <c r="X2095" s="143">
        <f>'Valve Sizing'!$G$8*X2093/P_1_maxW</f>
        <v>0.43757212052637789</v>
      </c>
      <c r="Y2095" s="132"/>
      <c r="Z2095" s="146"/>
      <c r="AA2095" s="143">
        <f>'Valve Sizing'!$G$8*AA2093/P_1_maxW</f>
        <v>0.30534051977747156</v>
      </c>
      <c r="AB2095" s="132"/>
      <c r="AC2095" s="146"/>
      <c r="AD2095" s="143">
        <f>'Valve Sizing'!$G$8*AD2093/P_1_maxW</f>
        <v>-7.818292973779383E-4</v>
      </c>
      <c r="AE2095" s="132"/>
      <c r="AF2095" s="146"/>
      <c r="AG2095" s="143">
        <f>'Valve Sizing'!$G$8*AG2093/P_1_maxW</f>
        <v>-0.47054797203378557</v>
      </c>
      <c r="AH2095" s="132"/>
      <c r="AI2095" s="146"/>
      <c r="AJ2095" s="143">
        <f>'Valve Sizing'!$G$8*AJ2093/P_1_maxW</f>
        <v>-1.05550060135014</v>
      </c>
      <c r="AK2095" s="132"/>
      <c r="AL2095" s="146"/>
      <c r="AM2095" s="143">
        <f>'Valve Sizing'!$G$8*AM2093/P_1_maxW</f>
        <v>-1.6330609576308124</v>
      </c>
      <c r="AN2095" s="132"/>
      <c r="AO2095" s="146"/>
      <c r="AP2095" s="143">
        <f>'Valve Sizing'!$G$8*AP2093/P_1_maxW</f>
        <v>-2.1513605795808326</v>
      </c>
      <c r="AQ2095" s="132"/>
      <c r="AR2095" s="146"/>
      <c r="AS2095" s="143">
        <f>'Valve Sizing'!$G$8*AS2093/P_1_maxW</f>
        <v>-2.7964963391249316</v>
      </c>
      <c r="AT2095" s="132"/>
      <c r="AU2095" s="146"/>
    </row>
    <row r="2096" spans="13:47" x14ac:dyDescent="0.25">
      <c r="M2096" s="20"/>
      <c r="N2096" s="20"/>
      <c r="O2096" s="7" t="s">
        <v>190</v>
      </c>
      <c r="P2096" s="1"/>
      <c r="Q2096" s="7"/>
      <c r="R2096" s="181">
        <f>R2093-R2094</f>
        <v>50.505135503275852</v>
      </c>
      <c r="S2096" s="132"/>
      <c r="T2096" s="146"/>
      <c r="U2096" s="138">
        <f>U2093-U2094</f>
        <v>48.918534358046784</v>
      </c>
      <c r="V2096" s="132"/>
      <c r="W2096" s="146"/>
      <c r="X2096" s="138">
        <f>X2093-X2094</f>
        <v>40.710669686088366</v>
      </c>
      <c r="Y2096" s="132"/>
      <c r="Z2096" s="146"/>
      <c r="AA2096" s="138">
        <f>AA2093-AA2094</f>
        <v>13.298463800650381</v>
      </c>
      <c r="AB2096" s="132"/>
      <c r="AC2096" s="146"/>
      <c r="AD2096" s="138">
        <f>AD2093-AD2094</f>
        <v>-50.162076731625504</v>
      </c>
      <c r="AE2096" s="132"/>
      <c r="AF2096" s="146"/>
      <c r="AG2096" s="138">
        <f>AG2093-AG2094</f>
        <v>-147.54671209689741</v>
      </c>
      <c r="AH2096" s="132"/>
      <c r="AI2096" s="146"/>
      <c r="AJ2096" s="138">
        <f>AJ2093-AJ2094</f>
        <v>-268.81002447633875</v>
      </c>
      <c r="AK2096" s="132"/>
      <c r="AL2096" s="146"/>
      <c r="AM2096" s="138">
        <f>AM2093-AM2094</f>
        <v>-388.54088538980807</v>
      </c>
      <c r="AN2096" s="132"/>
      <c r="AO2096" s="146"/>
      <c r="AP2096" s="138">
        <f>AP2093-AP2094</f>
        <v>-495.98672939964956</v>
      </c>
      <c r="AQ2096" s="132"/>
      <c r="AR2096" s="146"/>
      <c r="AS2096" s="138">
        <f>AS2093-AS2094</f>
        <v>-629.7262755030232</v>
      </c>
      <c r="AT2096" s="132"/>
      <c r="AU2096" s="146"/>
    </row>
    <row r="2097" spans="13:47" ht="14.5" x14ac:dyDescent="0.35">
      <c r="M2097" s="27"/>
      <c r="N2097" s="27"/>
      <c r="O2097" s="2" t="s">
        <v>191</v>
      </c>
      <c r="P2097" s="10"/>
      <c r="Q2097" s="2"/>
      <c r="R2097" s="181">
        <f>R2096/R2093</f>
        <v>0.50251298354430551</v>
      </c>
      <c r="S2097" s="132"/>
      <c r="T2097" s="146"/>
      <c r="U2097" s="138">
        <f>U2096/U2093</f>
        <v>0.49453355405550831</v>
      </c>
      <c r="V2097" s="132"/>
      <c r="W2097" s="146"/>
      <c r="X2097" s="138">
        <f>X2096/X2093</f>
        <v>0.44879692573068791</v>
      </c>
      <c r="Y2097" s="132"/>
      <c r="Z2097" s="146"/>
      <c r="AA2097" s="138">
        <f>AA2096/AA2093</f>
        <v>0.21009141458048688</v>
      </c>
      <c r="AB2097" s="132"/>
      <c r="AC2097" s="146"/>
      <c r="AD2097" s="138">
        <f>AD2096/AD2093</f>
        <v>309.49585562676742</v>
      </c>
      <c r="AE2097" s="132"/>
      <c r="AF2097" s="146"/>
      <c r="AG2097" s="138">
        <f>AG2096/AG2093</f>
        <v>1.5125749389721392</v>
      </c>
      <c r="AH2097" s="132"/>
      <c r="AI2097" s="146"/>
      <c r="AJ2097" s="138">
        <f>AJ2096/AJ2093</f>
        <v>1.2285087263239478</v>
      </c>
      <c r="AK2097" s="132"/>
      <c r="AL2097" s="146"/>
      <c r="AM2097" s="138">
        <f>AM2096/AM2093</f>
        <v>1.147692648533214</v>
      </c>
      <c r="AN2097" s="132"/>
      <c r="AO2097" s="146"/>
      <c r="AP2097" s="138">
        <f>AP2096/AP2093</f>
        <v>1.112110959147385</v>
      </c>
      <c r="AQ2097" s="132"/>
      <c r="AR2097" s="146"/>
      <c r="AS2097" s="138">
        <f>AS2096/AS2093</f>
        <v>1.0862476001395924</v>
      </c>
      <c r="AT2097" s="132"/>
      <c r="AU2097" s="146"/>
    </row>
    <row r="2098" spans="13:47" x14ac:dyDescent="0.25">
      <c r="M2098" s="27"/>
      <c r="N2098" s="27"/>
      <c r="O2098" s="2" t="s">
        <v>26</v>
      </c>
      <c r="P2098" s="7">
        <v>12</v>
      </c>
      <c r="Q2098" s="2"/>
      <c r="R2098" s="181">
        <f>1-R2097/(3*F_GAMMA*R$29)</f>
        <v>0.73828547980919434</v>
      </c>
      <c r="S2098" s="133"/>
      <c r="T2098" s="146"/>
      <c r="U2098" s="138">
        <f>1-U2097/(3*F_GAMMA*U$29)</f>
        <v>0.74249796614546892</v>
      </c>
      <c r="V2098" s="133"/>
      <c r="W2098" s="146"/>
      <c r="X2098" s="138">
        <f>1-X2097/(3*F_GAMMA*X$29)</f>
        <v>0.76280720298566662</v>
      </c>
      <c r="Y2098" s="133"/>
      <c r="Z2098" s="146"/>
      <c r="AA2098" s="138">
        <f>1-AA2097/(3*F_GAMMA*AA$29)</f>
        <v>0.8874425474881793</v>
      </c>
      <c r="AB2098" s="133"/>
      <c r="AC2098" s="146"/>
      <c r="AD2098" s="138">
        <f>1-AD2097/(3*F_GAMMA*AD$29)</f>
        <v>-169.3601071639728</v>
      </c>
      <c r="AE2098" s="133"/>
      <c r="AF2098" s="146"/>
      <c r="AG2098" s="138">
        <f>1-AG2097/(3*F_GAMMA*AG$29)</f>
        <v>0.11992023037586141</v>
      </c>
      <c r="AH2098" s="133"/>
      <c r="AI2098" s="146"/>
      <c r="AJ2098" s="138">
        <f>1-AJ2097/(3*F_GAMMA*AJ$29)</f>
        <v>0.23587115194511599</v>
      </c>
      <c r="AK2098" s="133"/>
      <c r="AL2098" s="146"/>
      <c r="AM2098" s="138">
        <f>1-AM2097/(3*F_GAMMA*AM$29)</f>
        <v>0.22003373792288772</v>
      </c>
      <c r="AN2098" s="133"/>
      <c r="AO2098" s="146"/>
      <c r="AP2098" s="138">
        <f>1-AP2097/(3*F_GAMMA*AP$29)</f>
        <v>0.37542536332094312</v>
      </c>
      <c r="AQ2098" s="133"/>
      <c r="AR2098" s="146"/>
      <c r="AS2098" s="138">
        <f>1-AS2097/(3*F_GAMMA*AS$29)</f>
        <v>7.3891896592349515E-2</v>
      </c>
      <c r="AT2098" s="133"/>
      <c r="AU2098" s="146"/>
    </row>
    <row r="2099" spans="13:47" x14ac:dyDescent="0.25">
      <c r="M2099" s="27"/>
      <c r="N2099" s="27"/>
      <c r="O2099" s="2" t="s">
        <v>71</v>
      </c>
      <c r="P2099" s="85">
        <v>5</v>
      </c>
      <c r="Q2099" s="2"/>
      <c r="R2099" s="179">
        <f>R2091/((N_6*R$27*R2098)*SQRT(R2097*R2093*R2095))</f>
        <v>0.90990620367232766</v>
      </c>
      <c r="S2099" s="133"/>
      <c r="T2099" s="146"/>
      <c r="U2099" s="143">
        <f>U2091/((N_6*U$27*U2098)*SQRT(U2097*U2093*U2095))</f>
        <v>8.8395632277401219</v>
      </c>
      <c r="V2099" s="133"/>
      <c r="W2099" s="146"/>
      <c r="X2099" s="143">
        <f>X2091/((N_6*X$27*X2098)*SQRT(X2097*X2093*X2095))</f>
        <v>24.412371616063542</v>
      </c>
      <c r="Y2099" s="133"/>
      <c r="Z2099" s="146"/>
      <c r="AA2099" s="143">
        <f>AA2091/((N_6*AA$27*AA2098)*SQRT(AA2097*AA2093*AA2095))</f>
        <v>86.098011969951415</v>
      </c>
      <c r="AB2099" s="133"/>
      <c r="AC2099" s="146"/>
      <c r="AD2099" s="143">
        <f>AD2091/((N_6*AD$27*AD2098)*SQRT(AD2097*AD2093*AD2095))</f>
        <v>-7.6398503791623886</v>
      </c>
      <c r="AE2099" s="133"/>
      <c r="AF2099" s="146"/>
      <c r="AG2099" s="143">
        <f>AG2091/((N_6*AG$27*AG2098)*SQRT(AG2097*AG2093*AG2095))</f>
        <v>367.43282580144262</v>
      </c>
      <c r="AH2099" s="133"/>
      <c r="AI2099" s="146"/>
      <c r="AJ2099" s="143">
        <f>AJ2091/((N_6*AJ$27*AJ2098)*SQRT(AJ2097*AJ2093*AJ2095))</f>
        <v>121.36204163280551</v>
      </c>
      <c r="AK2099" s="133"/>
      <c r="AL2099" s="146"/>
      <c r="AM2099" s="143">
        <f>AM2091/((N_6*AM$27*AM2098)*SQRT(AM2097*AM2093*AM2095))</f>
        <v>108.27471806820948</v>
      </c>
      <c r="AN2099" s="133"/>
      <c r="AO2099" s="146"/>
      <c r="AP2099" s="143">
        <f>AP2091/((N_6*AP$27*AP2098)*SQRT(AP2097*AP2093*AP2095))</f>
        <v>62.016876915161383</v>
      </c>
      <c r="AQ2099" s="133"/>
      <c r="AR2099" s="146"/>
      <c r="AS2099" s="143">
        <f>AS2091/((N_6*AS$27*AS2098)*SQRT(AS2097*AS2093*AS2095))</f>
        <v>359.55705518473121</v>
      </c>
      <c r="AT2099" s="133"/>
      <c r="AU2099" s="146"/>
    </row>
    <row r="2100" spans="13:47" x14ac:dyDescent="0.25">
      <c r="M2100" s="27"/>
      <c r="N2100" s="27"/>
      <c r="O2100" s="2" t="s">
        <v>73</v>
      </c>
      <c r="P2100" s="85">
        <v>5</v>
      </c>
      <c r="Q2100" s="2"/>
      <c r="R2100" s="179">
        <f>R2091/((N_6*R$27*0.667)*SQRT(R2101*R2093*R2095))</f>
        <v>0.89242074188649634</v>
      </c>
      <c r="S2100" s="133"/>
      <c r="T2100" s="147"/>
      <c r="U2100" s="143">
        <f>U2091/((N_6*U$27*0.667)*SQRT(U2101*U2093*U2095))</f>
        <v>8.6487073154293928</v>
      </c>
      <c r="V2100" s="133"/>
      <c r="W2100" s="155"/>
      <c r="X2100" s="143">
        <f>X2091/((N_6*X$27*0.667)*SQRT(X2101*X2093*X2095))</f>
        <v>23.551051347000588</v>
      </c>
      <c r="Y2100" s="133"/>
      <c r="Z2100" s="155"/>
      <c r="AA2100" s="143">
        <f>AA2091/((N_6*AA$27*0.667)*SQRT(AA2101*AA2093*AA2095))</f>
        <v>66.566433865539935</v>
      </c>
      <c r="AB2100" s="133"/>
      <c r="AC2100" s="155"/>
      <c r="AD2100" s="143">
        <f>AD2091/((N_6*AD$27*0.667)*SQRT(AD2101*AD2093*AD2095))</f>
        <v>43854.556047419464</v>
      </c>
      <c r="AE2100" s="133"/>
      <c r="AF2100" s="155"/>
      <c r="AG2100" s="143">
        <f>AG2091/((N_6*AG$27*0.667)*SQRT(AG2101*AG2093*AG2095))</f>
        <v>107.34114397069385</v>
      </c>
      <c r="AH2100" s="133"/>
      <c r="AI2100" s="155"/>
      <c r="AJ2100" s="143">
        <f>AJ2091/((N_6*AJ$27*0.667)*SQRT(AJ2101*AJ2093*AJ2095))</f>
        <v>64.979414418861168</v>
      </c>
      <c r="AK2100" s="133"/>
      <c r="AL2100" s="155"/>
      <c r="AM2100" s="143">
        <f>AM2091/((N_6*AM$27*0.667)*SQRT(AM2101*AM2093*AM2095))</f>
        <v>54.637276165703732</v>
      </c>
      <c r="AN2100" s="133"/>
      <c r="AO2100" s="155"/>
      <c r="AP2100" s="143">
        <f>AP2091/((N_6*AP$27*0.667)*SQRT(AP2101*AP2093*AP2095))</f>
        <v>47.781575668376441</v>
      </c>
      <c r="AQ2100" s="133"/>
      <c r="AR2100" s="155"/>
      <c r="AS2100" s="143">
        <f>AS2091/((N_6*AS$27*0.667)*SQRT(AS2101*AS2093*AS2095))</f>
        <v>66.394218631265886</v>
      </c>
      <c r="AT2100" s="133"/>
      <c r="AU2100" s="155"/>
    </row>
    <row r="2101" spans="13:47" ht="15.5" x14ac:dyDescent="0.4">
      <c r="M2101" s="27"/>
      <c r="N2101" s="27"/>
      <c r="O2101" s="2" t="s">
        <v>192</v>
      </c>
      <c r="P2101" s="85">
        <v>10</v>
      </c>
      <c r="Q2101" s="2"/>
      <c r="R2101" s="181">
        <f>F_GAMMA*R$29</f>
        <v>0.64002688015162901</v>
      </c>
      <c r="S2101" s="133"/>
      <c r="T2101" s="147"/>
      <c r="U2101" s="138">
        <f>F_GAMMA*U$29</f>
        <v>0.64016782916606918</v>
      </c>
      <c r="V2101" s="133"/>
      <c r="W2101" s="155"/>
      <c r="X2101" s="138">
        <f>F_GAMMA*X$29</f>
        <v>0.6307062319203669</v>
      </c>
      <c r="Y2101" s="133"/>
      <c r="Z2101" s="155"/>
      <c r="AA2101" s="138">
        <f>F_GAMMA*AA$29</f>
        <v>0.62217534213893466</v>
      </c>
      <c r="AB2101" s="133"/>
      <c r="AC2101" s="155"/>
      <c r="AD2101" s="138">
        <f>F_GAMMA*AD$29</f>
        <v>0.60557184969146072</v>
      </c>
      <c r="AE2101" s="133"/>
      <c r="AF2101" s="155"/>
      <c r="AG2101" s="138">
        <f>F_GAMMA*AG$29</f>
        <v>0.57289312142622573</v>
      </c>
      <c r="AH2101" s="133"/>
      <c r="AI2101" s="155"/>
      <c r="AJ2101" s="138">
        <f>F_GAMMA*AJ$29</f>
        <v>0.53590819116049981</v>
      </c>
      <c r="AK2101" s="133"/>
      <c r="AL2101" s="155"/>
      <c r="AM2101" s="138">
        <f>F_GAMMA*AM$29</f>
        <v>0.49048815926850342</v>
      </c>
      <c r="AN2101" s="133"/>
      <c r="AO2101" s="155"/>
      <c r="AP2101" s="138">
        <f>F_GAMMA*AP$29</f>
        <v>0.59352979016280105</v>
      </c>
      <c r="AQ2101" s="133"/>
      <c r="AR2101" s="155"/>
      <c r="AS2101" s="138">
        <f>F_GAMMA*AS$29</f>
        <v>0.39097221161068291</v>
      </c>
      <c r="AT2101" s="133"/>
      <c r="AU2101" s="155"/>
    </row>
    <row r="2102" spans="13:47" x14ac:dyDescent="0.25">
      <c r="M2102" s="27"/>
      <c r="N2102" s="27"/>
      <c r="O2102" s="2" t="s">
        <v>193</v>
      </c>
      <c r="P2102" s="134"/>
      <c r="Q2102" s="2"/>
      <c r="R2102" s="181">
        <f>IF(R2097&lt;R2101,R2099,R2100)</f>
        <v>0.90990620367232766</v>
      </c>
      <c r="S2102" s="133"/>
      <c r="T2102" s="147"/>
      <c r="U2102" s="138">
        <f>IF(U2097&lt;U2101,U2099,U2100)</f>
        <v>8.8395632277401219</v>
      </c>
      <c r="V2102" s="133"/>
      <c r="W2102" s="155"/>
      <c r="X2102" s="138">
        <f>IF(X2097&lt;X2101,X2099,X2100)</f>
        <v>24.412371616063542</v>
      </c>
      <c r="Y2102" s="133"/>
      <c r="Z2102" s="155"/>
      <c r="AA2102" s="138">
        <f>IF(AA2097&lt;AA2101,AA2099,AA2100)</f>
        <v>86.098011969951415</v>
      </c>
      <c r="AB2102" s="133"/>
      <c r="AC2102" s="155"/>
      <c r="AD2102" s="138">
        <f>IF(AD2097&lt;AD2101,AD2099,AD2100)</f>
        <v>43854.556047419464</v>
      </c>
      <c r="AE2102" s="133"/>
      <c r="AF2102" s="155"/>
      <c r="AG2102" s="138">
        <f>IF(AG2097&lt;AG2101,AG2099,AG2100)</f>
        <v>107.34114397069385</v>
      </c>
      <c r="AH2102" s="133"/>
      <c r="AI2102" s="155"/>
      <c r="AJ2102" s="138">
        <f>IF(AJ2097&lt;AJ2101,AJ2099,AJ2100)</f>
        <v>64.979414418861168</v>
      </c>
      <c r="AK2102" s="133"/>
      <c r="AL2102" s="155"/>
      <c r="AM2102" s="138">
        <f>IF(AM2097&lt;AM2101,AM2099,AM2100)</f>
        <v>54.637276165703732</v>
      </c>
      <c r="AN2102" s="133"/>
      <c r="AO2102" s="155"/>
      <c r="AP2102" s="138">
        <f>IF(AP2097&lt;AP2101,AP2099,AP2100)</f>
        <v>47.781575668376441</v>
      </c>
      <c r="AQ2102" s="133"/>
      <c r="AR2102" s="155"/>
      <c r="AS2102" s="138">
        <f>IF(AS2097&lt;AS2101,AS2099,AS2100)</f>
        <v>66.394218631265886</v>
      </c>
      <c r="AT2102" s="133"/>
      <c r="AU2102" s="155"/>
    </row>
    <row r="2103" spans="13:47" ht="13" x14ac:dyDescent="0.3">
      <c r="M2103" s="28"/>
      <c r="N2103" s="28"/>
      <c r="O2103" s="9" t="s">
        <v>194</v>
      </c>
      <c r="P2103" s="1"/>
      <c r="Q2103" s="1"/>
      <c r="R2103" s="135"/>
      <c r="S2103" s="132">
        <f>IF(R2096&lt;=0,W_max,ABS(R$23-R2102))</f>
        <v>1.0900937963276722</v>
      </c>
      <c r="T2103" s="151">
        <f>R2091</f>
        <v>210.39273326193535</v>
      </c>
      <c r="U2103" s="135"/>
      <c r="V2103" s="132">
        <f>IF(U2096&lt;=0,W_max,ABS(U$23-U2102))</f>
        <v>3.8395632277401219</v>
      </c>
      <c r="W2103" s="151">
        <f>U2091</f>
        <v>2005.762706803072</v>
      </c>
      <c r="X2103" s="135"/>
      <c r="Y2103" s="132">
        <f>IF(X2096&lt;=0,W_max,ABS(X$23-X2102))</f>
        <v>14.412371616063542</v>
      </c>
      <c r="Z2103" s="151">
        <f>X2091</f>
        <v>4960.4898624840798</v>
      </c>
      <c r="AA2103" s="135"/>
      <c r="AB2103" s="132">
        <f>IF(AA2096&lt;=0,W_max,ABS(AA$23-AA2102))</f>
        <v>68.898011969951412</v>
      </c>
      <c r="AC2103" s="151">
        <f>AA2091</f>
        <v>9661.7681098336398</v>
      </c>
      <c r="AD2103" s="135"/>
      <c r="AE2103" s="132">
        <f>IF(AD2096&lt;=0,W_max,ABS(AD$23-AD2102))</f>
        <v>7174</v>
      </c>
      <c r="AF2103" s="151">
        <f>AD2091</f>
        <v>15890.051288708821</v>
      </c>
      <c r="AG2103" s="135"/>
      <c r="AH2103" s="132">
        <f>IF(AG2096&lt;=0,W_max,ABS(AG$23-AG2102))</f>
        <v>7174</v>
      </c>
      <c r="AI2103" s="151">
        <f>AG2091</f>
        <v>22287.020246597149</v>
      </c>
      <c r="AJ2103" s="135"/>
      <c r="AK2103" s="132">
        <f>IF(AJ2096&lt;=0,W_max,ABS(AJ$23-AJ2102))</f>
        <v>7174</v>
      </c>
      <c r="AL2103" s="151">
        <f>AJ2091</f>
        <v>28298.6018196367</v>
      </c>
      <c r="AM2103" s="135"/>
      <c r="AN2103" s="132">
        <f>IF(AM2096&lt;=0,W_max,ABS(AM$23-AM2102))</f>
        <v>7174</v>
      </c>
      <c r="AO2103" s="151">
        <f>AM2091</f>
        <v>33182.336174904907</v>
      </c>
      <c r="AP2103" s="135"/>
      <c r="AQ2103" s="132">
        <f>IF(AP2096&lt;=0,W_max,ABS(AP$23-AP2102))</f>
        <v>7174</v>
      </c>
      <c r="AR2103" s="151">
        <f>AP2091</f>
        <v>37020.482138748885</v>
      </c>
      <c r="AS2103" s="135"/>
      <c r="AT2103" s="132">
        <f>IF(AS2096&lt;=0,W_max,ABS(AS$23-AS2102))</f>
        <v>7174</v>
      </c>
      <c r="AU2103" s="151">
        <f>AS2091</f>
        <v>41302.580100490864</v>
      </c>
    </row>
    <row r="2104" spans="13:47" ht="13" x14ac:dyDescent="0.25">
      <c r="M2104" s="12"/>
      <c r="N2104" s="12"/>
      <c r="O2104" s="12"/>
      <c r="P2104" s="12"/>
      <c r="Q2104" s="12"/>
      <c r="R2104" s="182"/>
      <c r="S2104" s="22"/>
      <c r="T2104" s="152"/>
      <c r="U2104" s="157"/>
      <c r="V2104" s="1"/>
      <c r="W2104" s="147"/>
      <c r="X2104" s="157"/>
      <c r="Y2104" s="1"/>
      <c r="Z2104" s="147"/>
      <c r="AA2104" s="157"/>
      <c r="AB2104" s="1"/>
      <c r="AC2104" s="147"/>
      <c r="AD2104" s="157"/>
      <c r="AE2104" s="1"/>
      <c r="AF2104" s="147"/>
      <c r="AG2104" s="157"/>
      <c r="AH2104" s="1"/>
      <c r="AI2104" s="147"/>
      <c r="AJ2104" s="157"/>
      <c r="AK2104" s="1"/>
      <c r="AL2104" s="147"/>
      <c r="AM2104" s="157"/>
      <c r="AN2104" s="1"/>
      <c r="AO2104" s="147"/>
      <c r="AP2104" s="157"/>
      <c r="AQ2104" s="1"/>
      <c r="AR2104" s="147"/>
      <c r="AS2104" s="157"/>
      <c r="AT2104" s="1"/>
      <c r="AU2104" s="147"/>
    </row>
    <row r="2105" spans="13:47" ht="14" x14ac:dyDescent="0.3">
      <c r="M2105" s="23"/>
      <c r="N2105" s="23"/>
      <c r="O2105" s="23" t="s">
        <v>238</v>
      </c>
      <c r="P2105" s="20"/>
      <c r="Q2105" s="20"/>
      <c r="R2105" s="18">
        <f>R2091*1.02</f>
        <v>214.60058792717405</v>
      </c>
      <c r="S2105" s="128" t="s">
        <v>185</v>
      </c>
      <c r="T2105" s="153" t="s">
        <v>186</v>
      </c>
      <c r="U2105" s="143">
        <f>U2091*1.01</f>
        <v>2025.8203338711028</v>
      </c>
      <c r="V2105" s="128" t="s">
        <v>185</v>
      </c>
      <c r="W2105" s="153" t="s">
        <v>186</v>
      </c>
      <c r="X2105" s="143">
        <f>X2091*1.01</f>
        <v>5010.0947611089205</v>
      </c>
      <c r="Y2105" s="128" t="s">
        <v>185</v>
      </c>
      <c r="Z2105" s="153" t="s">
        <v>186</v>
      </c>
      <c r="AA2105" s="143">
        <f>AA2091*1.01</f>
        <v>9758.3857909319759</v>
      </c>
      <c r="AB2105" s="128" t="s">
        <v>185</v>
      </c>
      <c r="AC2105" s="153" t="s">
        <v>186</v>
      </c>
      <c r="AD2105" s="143">
        <f>AD2091*1.01</f>
        <v>16048.951801595909</v>
      </c>
      <c r="AE2105" s="128" t="s">
        <v>185</v>
      </c>
      <c r="AF2105" s="153" t="s">
        <v>186</v>
      </c>
      <c r="AG2105" s="143">
        <f>AG2091*1.01</f>
        <v>22509.890449063121</v>
      </c>
      <c r="AH2105" s="128" t="s">
        <v>185</v>
      </c>
      <c r="AI2105" s="153" t="s">
        <v>186</v>
      </c>
      <c r="AJ2105" s="143">
        <f>AJ2091*1.01</f>
        <v>28581.587837833067</v>
      </c>
      <c r="AK2105" s="128" t="s">
        <v>185</v>
      </c>
      <c r="AL2105" s="153" t="s">
        <v>186</v>
      </c>
      <c r="AM2105" s="143">
        <f>AM2091*1.01</f>
        <v>33514.159536653955</v>
      </c>
      <c r="AN2105" s="128" t="s">
        <v>185</v>
      </c>
      <c r="AO2105" s="153" t="s">
        <v>186</v>
      </c>
      <c r="AP2105" s="143">
        <f>AP2091*1.01</f>
        <v>37390.686960136372</v>
      </c>
      <c r="AQ2105" s="128" t="s">
        <v>185</v>
      </c>
      <c r="AR2105" s="153" t="s">
        <v>186</v>
      </c>
      <c r="AS2105" s="143">
        <f>AS2091*1.01</f>
        <v>41715.605901495772</v>
      </c>
      <c r="AT2105" s="128" t="s">
        <v>185</v>
      </c>
      <c r="AU2105" s="153" t="s">
        <v>186</v>
      </c>
    </row>
    <row r="2106" spans="13:47" ht="14" x14ac:dyDescent="0.3">
      <c r="M2106" s="12"/>
      <c r="N2106" s="12"/>
      <c r="O2106" s="20"/>
      <c r="P2106" s="20"/>
      <c r="Q2106" s="23"/>
      <c r="R2106" s="139"/>
      <c r="S2106" s="130" t="s">
        <v>228</v>
      </c>
      <c r="T2106" s="154" t="s">
        <v>187</v>
      </c>
      <c r="U2106" s="144"/>
      <c r="V2106" s="130" t="s">
        <v>228</v>
      </c>
      <c r="W2106" s="154" t="s">
        <v>187</v>
      </c>
      <c r="X2106" s="144"/>
      <c r="Y2106" s="130" t="s">
        <v>228</v>
      </c>
      <c r="Z2106" s="154" t="s">
        <v>187</v>
      </c>
      <c r="AA2106" s="144"/>
      <c r="AB2106" s="130" t="s">
        <v>228</v>
      </c>
      <c r="AC2106" s="154" t="s">
        <v>187</v>
      </c>
      <c r="AD2106" s="144"/>
      <c r="AE2106" s="130" t="s">
        <v>228</v>
      </c>
      <c r="AF2106" s="154" t="s">
        <v>187</v>
      </c>
      <c r="AG2106" s="144"/>
      <c r="AH2106" s="130" t="s">
        <v>228</v>
      </c>
      <c r="AI2106" s="154" t="s">
        <v>187</v>
      </c>
      <c r="AJ2106" s="144"/>
      <c r="AK2106" s="130" t="s">
        <v>228</v>
      </c>
      <c r="AL2106" s="154" t="s">
        <v>187</v>
      </c>
      <c r="AM2106" s="144"/>
      <c r="AN2106" s="130" t="s">
        <v>228</v>
      </c>
      <c r="AO2106" s="154" t="s">
        <v>187</v>
      </c>
      <c r="AP2106" s="144"/>
      <c r="AQ2106" s="130" t="s">
        <v>228</v>
      </c>
      <c r="AR2106" s="154" t="s">
        <v>187</v>
      </c>
      <c r="AS2106" s="144"/>
      <c r="AT2106" s="130" t="s">
        <v>228</v>
      </c>
      <c r="AU2106" s="154" t="s">
        <v>187</v>
      </c>
    </row>
    <row r="2107" spans="13:47" x14ac:dyDescent="0.25">
      <c r="M2107" s="20"/>
      <c r="N2107" s="20"/>
      <c r="O2107" s="7" t="s">
        <v>188</v>
      </c>
      <c r="P2107" s="7"/>
      <c r="Q2107" s="7"/>
      <c r="R2107" s="181">
        <f>P_1_minW-(R2105^2*R_up)+dpup_minQ</f>
        <v>100.50442239344443</v>
      </c>
      <c r="S2107" s="132"/>
      <c r="T2107" s="145"/>
      <c r="U2107" s="138">
        <f>P_1_minW-(U2105^2*R_up)+dpup_minQ</f>
        <v>98.886288885235317</v>
      </c>
      <c r="V2107" s="132"/>
      <c r="W2107" s="145"/>
      <c r="X2107" s="138">
        <f>P_1_minW-(X2105^2*R_up)+dpup_minQ</f>
        <v>90.513446133370536</v>
      </c>
      <c r="Y2107" s="132"/>
      <c r="Z2107" s="145"/>
      <c r="AA2107" s="138">
        <f>P_1_minW-(AA2105^2*R_up)+dpup_minQ</f>
        <v>62.55025490963525</v>
      </c>
      <c r="AB2107" s="132"/>
      <c r="AC2107" s="145"/>
      <c r="AD2107" s="138">
        <f>P_1_minW-(AD2105^2*R_up)+dpup_minQ</f>
        <v>-2.1858424873393862</v>
      </c>
      <c r="AE2107" s="132"/>
      <c r="AF2107" s="145"/>
      <c r="AG2107" s="138">
        <f>P_1_minW-(AG2105^2*R_up)+dpup_minQ</f>
        <v>-101.52790902345326</v>
      </c>
      <c r="AH2107" s="132"/>
      <c r="AI2107" s="145"/>
      <c r="AJ2107" s="138">
        <f>P_1_minW-(AJ2105^2*R_up)+dpup_minQ</f>
        <v>-225.22861398172134</v>
      </c>
      <c r="AK2107" s="132"/>
      <c r="AL2107" s="145"/>
      <c r="AM2107" s="138">
        <f>P_1_minW-(AM2105^2*R_up)+dpup_minQ</f>
        <v>-347.36606519955137</v>
      </c>
      <c r="AN2107" s="132"/>
      <c r="AO2107" s="145"/>
      <c r="AP2107" s="138">
        <f>P_1_minW-(AP2105^2*R_up)+dpup_minQ</f>
        <v>-456.97157067399064</v>
      </c>
      <c r="AQ2107" s="132"/>
      <c r="AR2107" s="145"/>
      <c r="AS2107" s="138">
        <f>P_1_minW-(AS2105^2*R_up)+dpup_minQ</f>
        <v>-593.39928165404206</v>
      </c>
      <c r="AT2107" s="132"/>
      <c r="AU2107" s="145"/>
    </row>
    <row r="2108" spans="13:47" x14ac:dyDescent="0.25">
      <c r="M2108" s="20"/>
      <c r="N2108" s="20"/>
      <c r="O2108" s="7" t="s">
        <v>189</v>
      </c>
      <c r="P2108" s="1"/>
      <c r="Q2108" s="7"/>
      <c r="R2108" s="181">
        <f>P_2_minW+(R2105^2*R_dn)-dpdn_minQ</f>
        <v>50</v>
      </c>
      <c r="S2108" s="132"/>
      <c r="T2108" s="146"/>
      <c r="U2108" s="138">
        <f>P_2_minW+(U2105^2*R_dn)-dpdn_minQ</f>
        <v>50</v>
      </c>
      <c r="V2108" s="132"/>
      <c r="W2108" s="146"/>
      <c r="X2108" s="138">
        <f>P_2_minW+(X2105^2*R_dn)-dpdn_minQ</f>
        <v>50</v>
      </c>
      <c r="Y2108" s="132"/>
      <c r="Z2108" s="146"/>
      <c r="AA2108" s="138">
        <f>P_2_minW+(AA2105^2*R_dn)-dpdn_minQ</f>
        <v>50</v>
      </c>
      <c r="AB2108" s="132"/>
      <c r="AC2108" s="146"/>
      <c r="AD2108" s="138">
        <f>P_2_minW+(AD2105^2*R_dn)-dpdn_minQ</f>
        <v>50</v>
      </c>
      <c r="AE2108" s="132"/>
      <c r="AF2108" s="146"/>
      <c r="AG2108" s="138">
        <f>P_2_minW+(AG2105^2*R_dn)-dpdn_minQ</f>
        <v>50</v>
      </c>
      <c r="AH2108" s="132"/>
      <c r="AI2108" s="146"/>
      <c r="AJ2108" s="138">
        <f>P_2_minW+(AJ2105^2*R_dn)-dpdn_minQ</f>
        <v>50</v>
      </c>
      <c r="AK2108" s="132"/>
      <c r="AL2108" s="146"/>
      <c r="AM2108" s="138">
        <f>P_2_minW+(AM2105^2*R_dn)-dpdn_minQ</f>
        <v>50</v>
      </c>
      <c r="AN2108" s="132"/>
      <c r="AO2108" s="146"/>
      <c r="AP2108" s="138">
        <f>P_2_minW+(AP2105^2*R_dn)-dpdn_minQ</f>
        <v>50</v>
      </c>
      <c r="AQ2108" s="132"/>
      <c r="AR2108" s="146"/>
      <c r="AS2108" s="138">
        <f>P_2_minW+(AS2105^2*R_dn)-dpdn_minQ</f>
        <v>50</v>
      </c>
      <c r="AT2108" s="132"/>
      <c r="AU2108" s="146"/>
    </row>
    <row r="2109" spans="13:47" x14ac:dyDescent="0.25">
      <c r="M2109" s="20"/>
      <c r="N2109" s="20"/>
      <c r="O2109" s="7" t="s">
        <v>234</v>
      </c>
      <c r="P2109" s="1"/>
      <c r="Q2109" s="7"/>
      <c r="R2109" s="179">
        <f>'Valve Sizing'!G$8*R2107/P_1_maxW</f>
        <v>0.48481543991646703</v>
      </c>
      <c r="S2109" s="132"/>
      <c r="T2109" s="146"/>
      <c r="U2109" s="143">
        <f>'Valve Sizing'!$G$8*U2107/P_1_maxW</f>
        <v>0.47700985196378054</v>
      </c>
      <c r="V2109" s="132"/>
      <c r="W2109" s="146"/>
      <c r="X2109" s="143">
        <f>'Valve Sizing'!$G$8*X2107/P_1_maxW</f>
        <v>0.43662074922155636</v>
      </c>
      <c r="Y2109" s="132"/>
      <c r="Z2109" s="146"/>
      <c r="AA2109" s="143">
        <f>'Valve Sizing'!$G$8*AA2107/P_1_maxW</f>
        <v>0.30173129329759707</v>
      </c>
      <c r="AB2109" s="132"/>
      <c r="AC2109" s="146"/>
      <c r="AD2109" s="143">
        <f>'Valve Sizing'!$G$8*AD2107/P_1_maxW</f>
        <v>-1.0544114993656952E-2</v>
      </c>
      <c r="AE2109" s="132"/>
      <c r="AF2109" s="146"/>
      <c r="AG2109" s="143">
        <f>'Valve Sizing'!$G$8*AG2107/P_1_maxW</f>
        <v>-0.48975255719906646</v>
      </c>
      <c r="AH2109" s="132"/>
      <c r="AI2109" s="146"/>
      <c r="AJ2109" s="143">
        <f>'Valve Sizing'!$G$8*AJ2107/P_1_maxW</f>
        <v>-1.0864627343646795</v>
      </c>
      <c r="AK2109" s="132"/>
      <c r="AL2109" s="146"/>
      <c r="AM2109" s="143">
        <f>'Valve Sizing'!$G$8*AM2107/P_1_maxW</f>
        <v>-1.6756320538065932</v>
      </c>
      <c r="AN2109" s="132"/>
      <c r="AO2109" s="146"/>
      <c r="AP2109" s="143">
        <f>'Valve Sizing'!$G$8*AP2107/P_1_maxW</f>
        <v>-2.2043494981578089</v>
      </c>
      <c r="AQ2109" s="132"/>
      <c r="AR2109" s="146"/>
      <c r="AS2109" s="143">
        <f>'Valve Sizing'!$G$8*AS2107/P_1_maxW</f>
        <v>-2.8624524864687437</v>
      </c>
      <c r="AT2109" s="132"/>
      <c r="AU2109" s="146"/>
    </row>
    <row r="2110" spans="13:47" x14ac:dyDescent="0.25">
      <c r="M2110" s="20"/>
      <c r="N2110" s="20"/>
      <c r="O2110" s="7" t="s">
        <v>190</v>
      </c>
      <c r="P2110" s="1"/>
      <c r="Q2110" s="7"/>
      <c r="R2110" s="181">
        <f>R2107-R2108</f>
        <v>50.504422393444429</v>
      </c>
      <c r="S2110" s="132"/>
      <c r="T2110" s="146"/>
      <c r="U2110" s="138">
        <f>U2107-U2108</f>
        <v>48.886288885235317</v>
      </c>
      <c r="V2110" s="132"/>
      <c r="W2110" s="146"/>
      <c r="X2110" s="138">
        <f>X2107-X2108</f>
        <v>40.513446133370536</v>
      </c>
      <c r="Y2110" s="132"/>
      <c r="Z2110" s="146"/>
      <c r="AA2110" s="138">
        <f>AA2107-AA2108</f>
        <v>12.55025490963525</v>
      </c>
      <c r="AB2110" s="132"/>
      <c r="AC2110" s="146"/>
      <c r="AD2110" s="138">
        <f>AD2107-AD2108</f>
        <v>-52.185842487339386</v>
      </c>
      <c r="AE2110" s="132"/>
      <c r="AF2110" s="146"/>
      <c r="AG2110" s="138">
        <f>AG2107-AG2108</f>
        <v>-151.52790902345328</v>
      </c>
      <c r="AH2110" s="132"/>
      <c r="AI2110" s="146"/>
      <c r="AJ2110" s="138">
        <f>AJ2107-AJ2108</f>
        <v>-275.22861398172131</v>
      </c>
      <c r="AK2110" s="132"/>
      <c r="AL2110" s="146"/>
      <c r="AM2110" s="138">
        <f>AM2107-AM2108</f>
        <v>-397.36606519955137</v>
      </c>
      <c r="AN2110" s="132"/>
      <c r="AO2110" s="146"/>
      <c r="AP2110" s="138">
        <f>AP2107-AP2108</f>
        <v>-506.97157067399064</v>
      </c>
      <c r="AQ2110" s="132"/>
      <c r="AR2110" s="146"/>
      <c r="AS2110" s="138">
        <f>AS2107-AS2108</f>
        <v>-643.39928165404206</v>
      </c>
      <c r="AT2110" s="132"/>
      <c r="AU2110" s="146"/>
    </row>
    <row r="2111" spans="13:47" ht="14.5" x14ac:dyDescent="0.35">
      <c r="M2111" s="27"/>
      <c r="N2111" s="27"/>
      <c r="O2111" s="2" t="s">
        <v>191</v>
      </c>
      <c r="P2111" s="10"/>
      <c r="Q2111" s="2"/>
      <c r="R2111" s="181">
        <f>R2110/R2107</f>
        <v>0.50250945372070177</v>
      </c>
      <c r="S2111" s="132"/>
      <c r="T2111" s="146"/>
      <c r="U2111" s="138">
        <f>U2110/U2107</f>
        <v>0.4943687283276591</v>
      </c>
      <c r="V2111" s="132"/>
      <c r="W2111" s="146"/>
      <c r="X2111" s="138">
        <f>X2110/X2107</f>
        <v>0.4475958861810922</v>
      </c>
      <c r="Y2111" s="132"/>
      <c r="Z2111" s="146"/>
      <c r="AA2111" s="138">
        <f>AA2110/AA2107</f>
        <v>0.20064274602503668</v>
      </c>
      <c r="AB2111" s="132"/>
      <c r="AC2111" s="146"/>
      <c r="AD2111" s="138">
        <f>AD2110/AD2107</f>
        <v>23.874475306251433</v>
      </c>
      <c r="AE2111" s="132"/>
      <c r="AF2111" s="146"/>
      <c r="AG2111" s="138">
        <f>AG2110/AG2107</f>
        <v>1.4924754235650599</v>
      </c>
      <c r="AH2111" s="132"/>
      <c r="AI2111" s="146"/>
      <c r="AJ2111" s="138">
        <f>AJ2110/AJ2107</f>
        <v>1.2219966598207535</v>
      </c>
      <c r="AK2111" s="132"/>
      <c r="AL2111" s="146"/>
      <c r="AM2111" s="138">
        <f>AM2110/AM2107</f>
        <v>1.1439403701431701</v>
      </c>
      <c r="AN2111" s="132"/>
      <c r="AO2111" s="146"/>
      <c r="AP2111" s="138">
        <f>AP2110/AP2107</f>
        <v>1.1094159969869781</v>
      </c>
      <c r="AQ2111" s="132"/>
      <c r="AR2111" s="146"/>
      <c r="AS2111" s="138">
        <f>AS2110/AS2107</f>
        <v>1.08426029748575</v>
      </c>
      <c r="AT2111" s="132"/>
      <c r="AU2111" s="146"/>
    </row>
    <row r="2112" spans="13:47" x14ac:dyDescent="0.25">
      <c r="M2112" s="27"/>
      <c r="N2112" s="27"/>
      <c r="O2112" s="2" t="s">
        <v>26</v>
      </c>
      <c r="P2112" s="7">
        <v>12</v>
      </c>
      <c r="Q2112" s="2"/>
      <c r="R2112" s="181">
        <f>1-R2111/(3*F_GAMMA*R$29)</f>
        <v>0.73828731818177595</v>
      </c>
      <c r="S2112" s="133"/>
      <c r="T2112" s="146"/>
      <c r="U2112" s="138">
        <f>1-U2111/(3*F_GAMMA*U$29)</f>
        <v>0.742583790372773</v>
      </c>
      <c r="V2112" s="133"/>
      <c r="W2112" s="146"/>
      <c r="X2112" s="138">
        <f>1-X2111/(3*F_GAMMA*X$29)</f>
        <v>0.76344196207994885</v>
      </c>
      <c r="Y2112" s="133"/>
      <c r="Z2112" s="146"/>
      <c r="AA2112" s="138">
        <f>1-AA2111/(3*F_GAMMA*AA$29)</f>
        <v>0.89250471561320077</v>
      </c>
      <c r="AB2112" s="133"/>
      <c r="AC2112" s="146"/>
      <c r="AD2112" s="138">
        <f>1-AD2111/(3*F_GAMMA*AD$29)</f>
        <v>-12.141559402855055</v>
      </c>
      <c r="AE2112" s="133"/>
      <c r="AF2112" s="146"/>
      <c r="AG2112" s="138">
        <f>1-AG2111/(3*F_GAMMA*AG$29)</f>
        <v>0.13161497450605297</v>
      </c>
      <c r="AH2112" s="133"/>
      <c r="AI2112" s="146"/>
      <c r="AJ2112" s="138">
        <f>1-AJ2111/(3*F_GAMMA*AJ$29)</f>
        <v>0.2399216383347671</v>
      </c>
      <c r="AK2112" s="133"/>
      <c r="AL2112" s="146"/>
      <c r="AM2112" s="138">
        <f>1-AM2111/(3*F_GAMMA*AM$29)</f>
        <v>0.22258376780579714</v>
      </c>
      <c r="AN2112" s="133"/>
      <c r="AO2112" s="146"/>
      <c r="AP2112" s="138">
        <f>1-AP2111/(3*F_GAMMA*AP$29)</f>
        <v>0.37693888586863056</v>
      </c>
      <c r="AQ2112" s="133"/>
      <c r="AR2112" s="146"/>
      <c r="AS2112" s="138">
        <f>1-AS2111/(3*F_GAMMA*AS$29)</f>
        <v>7.5586222169142903E-2</v>
      </c>
      <c r="AT2112" s="133"/>
      <c r="AU2112" s="146"/>
    </row>
    <row r="2113" spans="13:47" x14ac:dyDescent="0.25">
      <c r="M2113" s="27"/>
      <c r="N2113" s="27"/>
      <c r="O2113" s="2" t="s">
        <v>71</v>
      </c>
      <c r="P2113" s="85">
        <v>5</v>
      </c>
      <c r="Q2113" s="2"/>
      <c r="R2113" s="179">
        <f>R2105/((N_6*R$27*R2112)*SQRT(R2111*R2107*R2109))</f>
        <v>0.92811186158273662</v>
      </c>
      <c r="S2113" s="133"/>
      <c r="T2113" s="146"/>
      <c r="U2113" s="143">
        <f>U2105/((N_6*U$27*U2112)*SQRT(U2111*U2107*U2109))</f>
        <v>8.9313264680635971</v>
      </c>
      <c r="V2113" s="133"/>
      <c r="W2113" s="146"/>
      <c r="X2113" s="143">
        <f>X2105/((N_6*X$27*X2112)*SQRT(X2111*X2107*X2109))</f>
        <v>24.722778109833872</v>
      </c>
      <c r="Y2113" s="133"/>
      <c r="Z2113" s="146"/>
      <c r="AA2113" s="143">
        <f>AA2105/((N_6*AA$27*AA2112)*SQRT(AA2111*AA2107*AA2109))</f>
        <v>89.536627471768881</v>
      </c>
      <c r="AB2113" s="133"/>
      <c r="AC2113" s="146"/>
      <c r="AD2113" s="143">
        <f>AD2105/((N_6*AD$27*AD2112)*SQRT(AD2111*AD2107*AD2109))</f>
        <v>-28.734601987445895</v>
      </c>
      <c r="AE2113" s="133"/>
      <c r="AF2113" s="146"/>
      <c r="AG2113" s="143">
        <f>AG2105/((N_6*AG$27*AG2112)*SQRT(AG2111*AG2107*AG2109))</f>
        <v>327.05329322624988</v>
      </c>
      <c r="AH2113" s="133"/>
      <c r="AI2113" s="146"/>
      <c r="AJ2113" s="143">
        <f>AJ2105/((N_6*AJ$27*AJ2112)*SQRT(AJ2111*AJ2107*AJ2109))</f>
        <v>117.38359906499424</v>
      </c>
      <c r="AK2113" s="133"/>
      <c r="AL2113" s="146"/>
      <c r="AM2113" s="143">
        <f>AM2105/((N_6*AM$27*AM2112)*SQRT(AM2111*AM2107*AM2109))</f>
        <v>105.5307598749868</v>
      </c>
      <c r="AN2113" s="133"/>
      <c r="AO2113" s="146"/>
      <c r="AP2113" s="143">
        <f>AP2105/((N_6*AP$27*AP2112)*SQRT(AP2111*AP2107*AP2109))</f>
        <v>60.959800226300779</v>
      </c>
      <c r="AQ2113" s="133"/>
      <c r="AR2113" s="146"/>
      <c r="AS2113" s="143">
        <f>AS2105/((N_6*AS$27*AS2112)*SQRT(AS2111*AS2107*AS2109))</f>
        <v>347.14983929683279</v>
      </c>
      <c r="AT2113" s="133"/>
      <c r="AU2113" s="146"/>
    </row>
    <row r="2114" spans="13:47" x14ac:dyDescent="0.25">
      <c r="M2114" s="27"/>
      <c r="N2114" s="27"/>
      <c r="O2114" s="2" t="s">
        <v>73</v>
      </c>
      <c r="P2114" s="85">
        <v>5</v>
      </c>
      <c r="Q2114" s="2"/>
      <c r="R2114" s="179">
        <f>R2105/((N_6*R$27*0.667)*SQRT(R2115*R2107*R2109))</f>
        <v>0.91027561536424872</v>
      </c>
      <c r="S2114" s="133"/>
      <c r="T2114" s="155"/>
      <c r="U2114" s="143">
        <f>U2105/((N_6*U$27*0.667)*SQRT(U2115*U2107*U2109))</f>
        <v>8.7380428165744171</v>
      </c>
      <c r="V2114" s="133"/>
      <c r="W2114" s="155"/>
      <c r="X2114" s="143">
        <f>X2105/((N_6*X$27*0.667)*SQRT(X2115*X2107*X2109))</f>
        <v>23.838391400030407</v>
      </c>
      <c r="Y2114" s="133"/>
      <c r="Z2114" s="155"/>
      <c r="AA2114" s="143">
        <f>AA2105/((N_6*AA$27*0.667)*SQRT(AA2115*AA2107*AA2109))</f>
        <v>68.036310012934607</v>
      </c>
      <c r="AB2114" s="133"/>
      <c r="AC2114" s="155"/>
      <c r="AD2114" s="143">
        <f>AD2105/((N_6*AD$27*0.667)*SQRT(AD2115*AD2107*AD2109))</f>
        <v>3284.2627882587931</v>
      </c>
      <c r="AE2114" s="133"/>
      <c r="AF2114" s="155"/>
      <c r="AG2114" s="143">
        <f>AG2105/((N_6*AG$27*0.667)*SQRT(AG2115*AG2107*AG2109))</f>
        <v>104.16331357014874</v>
      </c>
      <c r="AH2114" s="133"/>
      <c r="AI2114" s="155"/>
      <c r="AJ2114" s="143">
        <f>AJ2105/((N_6*AJ$27*0.667)*SQRT(AJ2115*AJ2107*AJ2109))</f>
        <v>63.758900248833775</v>
      </c>
      <c r="AK2114" s="133"/>
      <c r="AL2114" s="155"/>
      <c r="AM2114" s="143">
        <f>AM2105/((N_6*AM$27*0.667)*SQRT(AM2115*AM2107*AM2109))</f>
        <v>53.781653530769745</v>
      </c>
      <c r="AN2114" s="133"/>
      <c r="AO2114" s="155"/>
      <c r="AP2114" s="143">
        <f>AP2105/((N_6*AP$27*0.667)*SQRT(AP2115*AP2107*AP2109))</f>
        <v>47.09931541854035</v>
      </c>
      <c r="AQ2114" s="133"/>
      <c r="AR2114" s="155"/>
      <c r="AS2114" s="143">
        <f>AS2105/((N_6*AS$27*0.667)*SQRT(AS2115*AS2107*AS2109))</f>
        <v>65.51301798764618</v>
      </c>
      <c r="AT2114" s="133"/>
      <c r="AU2114" s="155"/>
    </row>
    <row r="2115" spans="13:47" ht="15.5" x14ac:dyDescent="0.4">
      <c r="M2115" s="27"/>
      <c r="N2115" s="27"/>
      <c r="O2115" s="2" t="s">
        <v>192</v>
      </c>
      <c r="P2115" s="85">
        <v>10</v>
      </c>
      <c r="Q2115" s="2"/>
      <c r="R2115" s="181">
        <f>F_GAMMA*R$29</f>
        <v>0.64002688015162901</v>
      </c>
      <c r="S2115" s="133"/>
      <c r="T2115" s="155"/>
      <c r="U2115" s="138">
        <f>F_GAMMA*U$29</f>
        <v>0.64016782916606918</v>
      </c>
      <c r="V2115" s="133"/>
      <c r="W2115" s="155"/>
      <c r="X2115" s="138">
        <f>F_GAMMA*X$29</f>
        <v>0.6307062319203669</v>
      </c>
      <c r="Y2115" s="133"/>
      <c r="Z2115" s="155"/>
      <c r="AA2115" s="138">
        <f>F_GAMMA*AA$29</f>
        <v>0.62217534213893466</v>
      </c>
      <c r="AB2115" s="133"/>
      <c r="AC2115" s="155"/>
      <c r="AD2115" s="138">
        <f>F_GAMMA*AD$29</f>
        <v>0.60557184969146072</v>
      </c>
      <c r="AE2115" s="133"/>
      <c r="AF2115" s="155"/>
      <c r="AG2115" s="138">
        <f>F_GAMMA*AG$29</f>
        <v>0.57289312142622573</v>
      </c>
      <c r="AH2115" s="133"/>
      <c r="AI2115" s="155"/>
      <c r="AJ2115" s="138">
        <f>F_GAMMA*AJ$29</f>
        <v>0.53590819116049981</v>
      </c>
      <c r="AK2115" s="133"/>
      <c r="AL2115" s="155"/>
      <c r="AM2115" s="138">
        <f>F_GAMMA*AM$29</f>
        <v>0.49048815926850342</v>
      </c>
      <c r="AN2115" s="133"/>
      <c r="AO2115" s="155"/>
      <c r="AP2115" s="138">
        <f>F_GAMMA*AP$29</f>
        <v>0.59352979016280105</v>
      </c>
      <c r="AQ2115" s="133"/>
      <c r="AR2115" s="155"/>
      <c r="AS2115" s="138">
        <f>F_GAMMA*AS$29</f>
        <v>0.39097221161068291</v>
      </c>
      <c r="AT2115" s="133"/>
      <c r="AU2115" s="155"/>
    </row>
    <row r="2116" spans="13:47" x14ac:dyDescent="0.25">
      <c r="M2116" s="27"/>
      <c r="N2116" s="27"/>
      <c r="O2116" s="2" t="s">
        <v>193</v>
      </c>
      <c r="P2116" s="134"/>
      <c r="Q2116" s="2"/>
      <c r="R2116" s="181">
        <f>IF(R2111&lt;R2115,R2113,R2114)</f>
        <v>0.92811186158273662</v>
      </c>
      <c r="S2116" s="133"/>
      <c r="T2116" s="155"/>
      <c r="U2116" s="138">
        <f>IF(U2111&lt;U2115,U2113,U2114)</f>
        <v>8.9313264680635971</v>
      </c>
      <c r="V2116" s="133"/>
      <c r="W2116" s="155"/>
      <c r="X2116" s="138">
        <f>IF(X2111&lt;X2115,X2113,X2114)</f>
        <v>24.722778109833872</v>
      </c>
      <c r="Y2116" s="133"/>
      <c r="Z2116" s="155"/>
      <c r="AA2116" s="138">
        <f>IF(AA2111&lt;AA2115,AA2113,AA2114)</f>
        <v>89.536627471768881</v>
      </c>
      <c r="AB2116" s="133"/>
      <c r="AC2116" s="155"/>
      <c r="AD2116" s="138">
        <f>IF(AD2111&lt;AD2115,AD2113,AD2114)</f>
        <v>3284.2627882587931</v>
      </c>
      <c r="AE2116" s="133"/>
      <c r="AF2116" s="155"/>
      <c r="AG2116" s="138">
        <f>IF(AG2111&lt;AG2115,AG2113,AG2114)</f>
        <v>104.16331357014874</v>
      </c>
      <c r="AH2116" s="133"/>
      <c r="AI2116" s="155"/>
      <c r="AJ2116" s="138">
        <f>IF(AJ2111&lt;AJ2115,AJ2113,AJ2114)</f>
        <v>63.758900248833775</v>
      </c>
      <c r="AK2116" s="133"/>
      <c r="AL2116" s="155"/>
      <c r="AM2116" s="138">
        <f>IF(AM2111&lt;AM2115,AM2113,AM2114)</f>
        <v>53.781653530769745</v>
      </c>
      <c r="AN2116" s="133"/>
      <c r="AO2116" s="155"/>
      <c r="AP2116" s="138">
        <f>IF(AP2111&lt;AP2115,AP2113,AP2114)</f>
        <v>47.09931541854035</v>
      </c>
      <c r="AQ2116" s="133"/>
      <c r="AR2116" s="155"/>
      <c r="AS2116" s="138">
        <f>IF(AS2111&lt;AS2115,AS2113,AS2114)</f>
        <v>65.51301798764618</v>
      </c>
      <c r="AT2116" s="133"/>
      <c r="AU2116" s="155"/>
    </row>
    <row r="2117" spans="13:47" ht="13" x14ac:dyDescent="0.3">
      <c r="M2117" s="28"/>
      <c r="N2117" s="28"/>
      <c r="O2117" s="9" t="s">
        <v>194</v>
      </c>
      <c r="P2117" s="1"/>
      <c r="Q2117" s="1"/>
      <c r="R2117" s="135"/>
      <c r="S2117" s="132">
        <f>IF(R2110&lt;=0,W_max,ABS(R$23-R2116))</f>
        <v>1.0718881384172634</v>
      </c>
      <c r="T2117" s="151">
        <f>R2105</f>
        <v>214.60058792717405</v>
      </c>
      <c r="U2117" s="135"/>
      <c r="V2117" s="132">
        <f>IF(U2110&lt;=0,W_max,ABS(U$23-U2116))</f>
        <v>3.9313264680635971</v>
      </c>
      <c r="W2117" s="151">
        <f>U2105</f>
        <v>2025.8203338711028</v>
      </c>
      <c r="X2117" s="135"/>
      <c r="Y2117" s="132">
        <f>IF(X2110&lt;=0,W_max,ABS(X$23-X2116))</f>
        <v>14.722778109833872</v>
      </c>
      <c r="Z2117" s="151">
        <f>X2105</f>
        <v>5010.0947611089205</v>
      </c>
      <c r="AA2117" s="135"/>
      <c r="AB2117" s="132">
        <f>IF(AA2110&lt;=0,W_max,ABS(AA$23-AA2116))</f>
        <v>72.336627471768878</v>
      </c>
      <c r="AC2117" s="151">
        <f>AA2105</f>
        <v>9758.3857909319759</v>
      </c>
      <c r="AD2117" s="135"/>
      <c r="AE2117" s="132">
        <f>IF(AD2110&lt;=0,W_max,ABS(AD$23-AD2116))</f>
        <v>7174</v>
      </c>
      <c r="AF2117" s="151">
        <f>AD2105</f>
        <v>16048.951801595909</v>
      </c>
      <c r="AG2117" s="135"/>
      <c r="AH2117" s="132">
        <f>IF(AG2110&lt;=0,W_max,ABS(AG$23-AG2116))</f>
        <v>7174</v>
      </c>
      <c r="AI2117" s="151">
        <f>AG2105</f>
        <v>22509.890449063121</v>
      </c>
      <c r="AJ2117" s="135"/>
      <c r="AK2117" s="132">
        <f>IF(AJ2110&lt;=0,W_max,ABS(AJ$23-AJ2116))</f>
        <v>7174</v>
      </c>
      <c r="AL2117" s="151">
        <f>AJ2105</f>
        <v>28581.587837833067</v>
      </c>
      <c r="AM2117" s="135"/>
      <c r="AN2117" s="132">
        <f>IF(AM2110&lt;=0,W_max,ABS(AM$23-AM2116))</f>
        <v>7174</v>
      </c>
      <c r="AO2117" s="151">
        <f>AM2105</f>
        <v>33514.159536653955</v>
      </c>
      <c r="AP2117" s="135"/>
      <c r="AQ2117" s="132">
        <f>IF(AP2110&lt;=0,W_max,ABS(AP$23-AP2116))</f>
        <v>7174</v>
      </c>
      <c r="AR2117" s="151">
        <f>AP2105</f>
        <v>37390.686960136372</v>
      </c>
      <c r="AS2117" s="135"/>
      <c r="AT2117" s="132">
        <f>IF(AS2110&lt;=0,W_max,ABS(AS$23-AS2116))</f>
        <v>7174</v>
      </c>
      <c r="AU2117" s="151">
        <f>AS2105</f>
        <v>41715.605901495772</v>
      </c>
    </row>
    <row r="2118" spans="13:47" ht="13" x14ac:dyDescent="0.25">
      <c r="M2118" s="12"/>
      <c r="N2118" s="12"/>
      <c r="O2118" s="2"/>
      <c r="P2118" s="85"/>
      <c r="Q2118" s="2"/>
      <c r="R2118" s="18"/>
      <c r="S2118" s="150"/>
      <c r="T2118" s="152"/>
      <c r="U2118" s="157"/>
      <c r="V2118" s="1"/>
      <c r="W2118" s="147"/>
      <c r="X2118" s="157"/>
      <c r="Y2118" s="1"/>
      <c r="Z2118" s="147"/>
      <c r="AA2118" s="157"/>
      <c r="AB2118" s="1"/>
      <c r="AC2118" s="147"/>
      <c r="AD2118" s="157"/>
      <c r="AE2118" s="1"/>
      <c r="AF2118" s="147"/>
      <c r="AG2118" s="157"/>
      <c r="AH2118" s="1"/>
      <c r="AI2118" s="147"/>
      <c r="AJ2118" s="157"/>
      <c r="AK2118" s="1"/>
      <c r="AL2118" s="147"/>
      <c r="AM2118" s="157"/>
      <c r="AN2118" s="1"/>
      <c r="AO2118" s="147"/>
      <c r="AP2118" s="157"/>
      <c r="AQ2118" s="1"/>
      <c r="AR2118" s="147"/>
      <c r="AS2118" s="157"/>
      <c r="AT2118" s="1"/>
      <c r="AU2118" s="147"/>
    </row>
    <row r="2119" spans="13:47" ht="14" x14ac:dyDescent="0.3">
      <c r="M2119" s="23"/>
      <c r="N2119" s="23"/>
      <c r="O2119" s="23" t="s">
        <v>238</v>
      </c>
      <c r="P2119" s="20"/>
      <c r="Q2119" s="20"/>
      <c r="R2119" s="181">
        <f>R2105*1.02</f>
        <v>218.89259968571753</v>
      </c>
      <c r="S2119" s="128" t="s">
        <v>185</v>
      </c>
      <c r="T2119" s="153" t="s">
        <v>186</v>
      </c>
      <c r="U2119" s="143">
        <f>U2105*1.01</f>
        <v>2046.0785372098139</v>
      </c>
      <c r="V2119" s="128" t="s">
        <v>185</v>
      </c>
      <c r="W2119" s="153" t="s">
        <v>186</v>
      </c>
      <c r="X2119" s="143">
        <f>X2105*1.01</f>
        <v>5060.1957087200099</v>
      </c>
      <c r="Y2119" s="128" t="s">
        <v>185</v>
      </c>
      <c r="Z2119" s="153" t="s">
        <v>186</v>
      </c>
      <c r="AA2119" s="143">
        <f>AA2105*1.01</f>
        <v>9855.9696488412956</v>
      </c>
      <c r="AB2119" s="128" t="s">
        <v>185</v>
      </c>
      <c r="AC2119" s="153" t="s">
        <v>186</v>
      </c>
      <c r="AD2119" s="143">
        <f>AD2105*1.01</f>
        <v>16209.441319611869</v>
      </c>
      <c r="AE2119" s="128" t="s">
        <v>185</v>
      </c>
      <c r="AF2119" s="153" t="s">
        <v>186</v>
      </c>
      <c r="AG2119" s="143">
        <f>AG2105*1.01</f>
        <v>22734.989353553752</v>
      </c>
      <c r="AH2119" s="128" t="s">
        <v>185</v>
      </c>
      <c r="AI2119" s="153" t="s">
        <v>186</v>
      </c>
      <c r="AJ2119" s="143">
        <f>AJ2105*1.01</f>
        <v>28867.403716211396</v>
      </c>
      <c r="AK2119" s="128" t="s">
        <v>185</v>
      </c>
      <c r="AL2119" s="153" t="s">
        <v>186</v>
      </c>
      <c r="AM2119" s="143">
        <f>AM2105*1.01</f>
        <v>33849.301132020497</v>
      </c>
      <c r="AN2119" s="128" t="s">
        <v>185</v>
      </c>
      <c r="AO2119" s="153" t="s">
        <v>186</v>
      </c>
      <c r="AP2119" s="143">
        <f>AP2105*1.01</f>
        <v>37764.593829737736</v>
      </c>
      <c r="AQ2119" s="128" t="s">
        <v>185</v>
      </c>
      <c r="AR2119" s="153" t="s">
        <v>186</v>
      </c>
      <c r="AS2119" s="143">
        <f>AS2105*1.01</f>
        <v>42132.761960510732</v>
      </c>
      <c r="AT2119" s="128" t="s">
        <v>185</v>
      </c>
      <c r="AU2119" s="153" t="s">
        <v>186</v>
      </c>
    </row>
    <row r="2120" spans="13:47" ht="14" x14ac:dyDescent="0.3">
      <c r="M2120" s="12"/>
      <c r="N2120" s="12"/>
      <c r="O2120" s="20"/>
      <c r="P2120" s="20"/>
      <c r="Q2120" s="23"/>
      <c r="R2120" s="139"/>
      <c r="S2120" s="130" t="s">
        <v>228</v>
      </c>
      <c r="T2120" s="154" t="s">
        <v>187</v>
      </c>
      <c r="U2120" s="144"/>
      <c r="V2120" s="130" t="s">
        <v>228</v>
      </c>
      <c r="W2120" s="154" t="s">
        <v>187</v>
      </c>
      <c r="X2120" s="144"/>
      <c r="Y2120" s="130" t="s">
        <v>228</v>
      </c>
      <c r="Z2120" s="154" t="s">
        <v>187</v>
      </c>
      <c r="AA2120" s="144"/>
      <c r="AB2120" s="130" t="s">
        <v>228</v>
      </c>
      <c r="AC2120" s="154" t="s">
        <v>187</v>
      </c>
      <c r="AD2120" s="144"/>
      <c r="AE2120" s="130" t="s">
        <v>228</v>
      </c>
      <c r="AF2120" s="154" t="s">
        <v>187</v>
      </c>
      <c r="AG2120" s="144"/>
      <c r="AH2120" s="130" t="s">
        <v>228</v>
      </c>
      <c r="AI2120" s="154" t="s">
        <v>187</v>
      </c>
      <c r="AJ2120" s="144"/>
      <c r="AK2120" s="130" t="s">
        <v>228</v>
      </c>
      <c r="AL2120" s="154" t="s">
        <v>187</v>
      </c>
      <c r="AM2120" s="144"/>
      <c r="AN2120" s="130" t="s">
        <v>228</v>
      </c>
      <c r="AO2120" s="154" t="s">
        <v>187</v>
      </c>
      <c r="AP2120" s="144"/>
      <c r="AQ2120" s="130" t="s">
        <v>228</v>
      </c>
      <c r="AR2120" s="154" t="s">
        <v>187</v>
      </c>
      <c r="AS2120" s="144"/>
      <c r="AT2120" s="130" t="s">
        <v>228</v>
      </c>
      <c r="AU2120" s="154" t="s">
        <v>187</v>
      </c>
    </row>
    <row r="2121" spans="13:47" x14ac:dyDescent="0.25">
      <c r="M2121" s="20"/>
      <c r="N2121" s="20"/>
      <c r="O2121" s="7" t="s">
        <v>188</v>
      </c>
      <c r="P2121" s="7"/>
      <c r="Q2121" s="7"/>
      <c r="R2121" s="181">
        <f>P_1_minW-(R2119^2*R_up)+dpup_minQ</f>
        <v>100.50368047397583</v>
      </c>
      <c r="S2121" s="132"/>
      <c r="T2121" s="145"/>
      <c r="U2121" s="138">
        <f>P_1_minW-(U2119^2*R_up)+dpup_minQ</f>
        <v>98.853395278420336</v>
      </c>
      <c r="V2121" s="132"/>
      <c r="W2121" s="145"/>
      <c r="X2121" s="138">
        <f>P_1_minW-(X2119^2*R_up)+dpup_minQ</f>
        <v>90.312258387243077</v>
      </c>
      <c r="Y2121" s="132"/>
      <c r="Z2121" s="145"/>
      <c r="AA2121" s="138">
        <f>P_1_minW-(AA2119^2*R_up)+dpup_minQ</f>
        <v>61.78700701991071</v>
      </c>
      <c r="AB2121" s="132"/>
      <c r="AC2121" s="145"/>
      <c r="AD2121" s="138">
        <f>P_1_minW-(AD2119^2*R_up)+dpup_minQ</f>
        <v>-4.2502859347431334</v>
      </c>
      <c r="AE2121" s="132"/>
      <c r="AF2121" s="145"/>
      <c r="AG2121" s="138">
        <f>P_1_minW-(AG2119^2*R_up)+dpup_minQ</f>
        <v>-105.58912800823286</v>
      </c>
      <c r="AH2121" s="132"/>
      <c r="AI2121" s="145"/>
      <c r="AJ2121" s="138">
        <f>P_1_minW-(AJ2119^2*R_up)+dpup_minQ</f>
        <v>-231.7762171361621</v>
      </c>
      <c r="AK2121" s="132"/>
      <c r="AL2121" s="145"/>
      <c r="AM2121" s="138">
        <f>P_1_minW-(AM2119^2*R_up)+dpup_minQ</f>
        <v>-356.36863112347061</v>
      </c>
      <c r="AN2121" s="132"/>
      <c r="AO2121" s="145"/>
      <c r="AP2121" s="138">
        <f>P_1_minW-(AP2119^2*R_up)+dpup_minQ</f>
        <v>-468.17720725794618</v>
      </c>
      <c r="AQ2121" s="132"/>
      <c r="AR2121" s="145"/>
      <c r="AS2121" s="138">
        <f>P_1_minW-(AS2119^2*R_up)+dpup_minQ</f>
        <v>-607.34711522869668</v>
      </c>
      <c r="AT2121" s="132"/>
      <c r="AU2121" s="145"/>
    </row>
    <row r="2122" spans="13:47" x14ac:dyDescent="0.25">
      <c r="M2122" s="20"/>
      <c r="N2122" s="20"/>
      <c r="O2122" s="7" t="s">
        <v>189</v>
      </c>
      <c r="P2122" s="1"/>
      <c r="Q2122" s="7"/>
      <c r="R2122" s="181">
        <f>P_2_minW+(R2119^2*R_dn)-dpdn_minQ</f>
        <v>50</v>
      </c>
      <c r="S2122" s="132"/>
      <c r="T2122" s="146"/>
      <c r="U2122" s="138">
        <f>P_2_minW+(U2119^2*R_dn)-dpdn_minQ</f>
        <v>50</v>
      </c>
      <c r="V2122" s="132"/>
      <c r="W2122" s="146"/>
      <c r="X2122" s="138">
        <f>P_2_minW+(X2119^2*R_dn)-dpdn_minQ</f>
        <v>50</v>
      </c>
      <c r="Y2122" s="132"/>
      <c r="Z2122" s="146"/>
      <c r="AA2122" s="138">
        <f>P_2_minW+(AA2119^2*R_dn)-dpdn_minQ</f>
        <v>50</v>
      </c>
      <c r="AB2122" s="132"/>
      <c r="AC2122" s="146"/>
      <c r="AD2122" s="138">
        <f>P_2_minW+(AD2119^2*R_dn)-dpdn_minQ</f>
        <v>50</v>
      </c>
      <c r="AE2122" s="132"/>
      <c r="AF2122" s="146"/>
      <c r="AG2122" s="138">
        <f>P_2_minW+(AG2119^2*R_dn)-dpdn_minQ</f>
        <v>50</v>
      </c>
      <c r="AH2122" s="132"/>
      <c r="AI2122" s="146"/>
      <c r="AJ2122" s="138">
        <f>P_2_minW+(AJ2119^2*R_dn)-dpdn_minQ</f>
        <v>50</v>
      </c>
      <c r="AK2122" s="132"/>
      <c r="AL2122" s="146"/>
      <c r="AM2122" s="138">
        <f>P_2_minW+(AM2119^2*R_dn)-dpdn_minQ</f>
        <v>50</v>
      </c>
      <c r="AN2122" s="132"/>
      <c r="AO2122" s="146"/>
      <c r="AP2122" s="138">
        <f>P_2_minW+(AP2119^2*R_dn)-dpdn_minQ</f>
        <v>50</v>
      </c>
      <c r="AQ2122" s="132"/>
      <c r="AR2122" s="146"/>
      <c r="AS2122" s="138">
        <f>P_2_minW+(AS2119^2*R_dn)-dpdn_minQ</f>
        <v>50</v>
      </c>
      <c r="AT2122" s="132"/>
      <c r="AU2122" s="146"/>
    </row>
    <row r="2123" spans="13:47" x14ac:dyDescent="0.25">
      <c r="M2123" s="20"/>
      <c r="N2123" s="20"/>
      <c r="O2123" s="7" t="s">
        <v>234</v>
      </c>
      <c r="P2123" s="1"/>
      <c r="Q2123" s="7"/>
      <c r="R2123" s="179">
        <f>'Valve Sizing'!G$8*R2121/P_1_maxW</f>
        <v>0.48481186102904117</v>
      </c>
      <c r="S2123" s="132"/>
      <c r="T2123" s="146"/>
      <c r="U2123" s="143">
        <f>'Valve Sizing'!$G$8*U2121/P_1_maxW</f>
        <v>0.47685117906085084</v>
      </c>
      <c r="V2123" s="132"/>
      <c r="W2123" s="146"/>
      <c r="X2123" s="143">
        <f>'Valve Sizing'!$G$8*X2121/P_1_maxW</f>
        <v>0.43565025535350799</v>
      </c>
      <c r="Y2123" s="132"/>
      <c r="Z2123" s="146"/>
      <c r="AA2123" s="143">
        <f>'Valve Sizing'!$G$8*AA2121/P_1_maxW</f>
        <v>0.29804952136547708</v>
      </c>
      <c r="AB2123" s="132"/>
      <c r="AC2123" s="146"/>
      <c r="AD2123" s="143">
        <f>'Valve Sizing'!$G$8*AD2121/P_1_maxW</f>
        <v>-2.0502622632431255E-2</v>
      </c>
      <c r="AE2123" s="132"/>
      <c r="AF2123" s="146"/>
      <c r="AG2123" s="143">
        <f>'Valve Sizing'!$G$8*AG2121/P_1_maxW</f>
        <v>-0.50934315452616929</v>
      </c>
      <c r="AH2123" s="132"/>
      <c r="AI2123" s="146"/>
      <c r="AJ2123" s="143">
        <f>'Valve Sizing'!$G$8*AJ2121/P_1_maxW</f>
        <v>-1.1180472062528111</v>
      </c>
      <c r="AK2123" s="132"/>
      <c r="AL2123" s="146"/>
      <c r="AM2123" s="143">
        <f>'Valve Sizing'!$G$8*AM2121/P_1_maxW</f>
        <v>-1.7190588290155078</v>
      </c>
      <c r="AN2123" s="132"/>
      <c r="AO2123" s="146"/>
      <c r="AP2123" s="143">
        <f>'Valve Sizing'!$G$8*AP2121/P_1_maxW</f>
        <v>-2.2584034939981832</v>
      </c>
      <c r="AQ2123" s="132"/>
      <c r="AR2123" s="146"/>
      <c r="AS2123" s="143">
        <f>'Valve Sizing'!$G$8*AS2121/P_1_maxW</f>
        <v>-2.9297343523741679</v>
      </c>
      <c r="AT2123" s="132"/>
      <c r="AU2123" s="146"/>
    </row>
    <row r="2124" spans="13:47" x14ac:dyDescent="0.25">
      <c r="M2124" s="20"/>
      <c r="N2124" s="20"/>
      <c r="O2124" s="7" t="s">
        <v>190</v>
      </c>
      <c r="P2124" s="1"/>
      <c r="Q2124" s="7"/>
      <c r="R2124" s="181">
        <f>R2121-R2122</f>
        <v>50.503680473975834</v>
      </c>
      <c r="S2124" s="132"/>
      <c r="T2124" s="146"/>
      <c r="U2124" s="138">
        <f>U2121-U2122</f>
        <v>48.853395278420336</v>
      </c>
      <c r="V2124" s="132"/>
      <c r="W2124" s="146"/>
      <c r="X2124" s="138">
        <f>X2121-X2122</f>
        <v>40.312258387243077</v>
      </c>
      <c r="Y2124" s="132"/>
      <c r="Z2124" s="146"/>
      <c r="AA2124" s="138">
        <f>AA2121-AA2122</f>
        <v>11.78700701991071</v>
      </c>
      <c r="AB2124" s="132"/>
      <c r="AC2124" s="146"/>
      <c r="AD2124" s="138">
        <f>AD2121-AD2122</f>
        <v>-54.250285934743133</v>
      </c>
      <c r="AE2124" s="132"/>
      <c r="AF2124" s="146"/>
      <c r="AG2124" s="138">
        <f>AG2121-AG2122</f>
        <v>-155.58912800823288</v>
      </c>
      <c r="AH2124" s="132"/>
      <c r="AI2124" s="146"/>
      <c r="AJ2124" s="138">
        <f>AJ2121-AJ2122</f>
        <v>-281.77621713616213</v>
      </c>
      <c r="AK2124" s="132"/>
      <c r="AL2124" s="146"/>
      <c r="AM2124" s="138">
        <f>AM2121-AM2122</f>
        <v>-406.36863112347061</v>
      </c>
      <c r="AN2124" s="132"/>
      <c r="AO2124" s="146"/>
      <c r="AP2124" s="138">
        <f>AP2121-AP2122</f>
        <v>-518.17720725794618</v>
      </c>
      <c r="AQ2124" s="132"/>
      <c r="AR2124" s="146"/>
      <c r="AS2124" s="138">
        <f>AS2121-AS2122</f>
        <v>-657.34711522869668</v>
      </c>
      <c r="AT2124" s="132"/>
      <c r="AU2124" s="146"/>
    </row>
    <row r="2125" spans="13:47" ht="14.5" x14ac:dyDescent="0.35">
      <c r="M2125" s="27"/>
      <c r="N2125" s="27"/>
      <c r="O2125" s="2" t="s">
        <v>191</v>
      </c>
      <c r="P2125" s="10"/>
      <c r="Q2125" s="2"/>
      <c r="R2125" s="181">
        <f>R2124/R2121</f>
        <v>0.50250578123905754</v>
      </c>
      <c r="S2125" s="132"/>
      <c r="T2125" s="146"/>
      <c r="U2125" s="138">
        <f>U2124/U2121</f>
        <v>0.49420047880828849</v>
      </c>
      <c r="V2125" s="132"/>
      <c r="W2125" s="146"/>
      <c r="X2125" s="138">
        <f>X2124/X2121</f>
        <v>0.44636530086969151</v>
      </c>
      <c r="Y2125" s="132"/>
      <c r="Z2125" s="146"/>
      <c r="AA2125" s="138">
        <f>AA2124/AA2121</f>
        <v>0.19076837653120787</v>
      </c>
      <c r="AB2125" s="132"/>
      <c r="AC2125" s="146"/>
      <c r="AD2125" s="138">
        <f>AD2124/AD2121</f>
        <v>12.763914420741614</v>
      </c>
      <c r="AE2125" s="132"/>
      <c r="AF2125" s="146"/>
      <c r="AG2125" s="138">
        <f>AG2124/AG2121</f>
        <v>1.4735336008845672</v>
      </c>
      <c r="AH2125" s="132"/>
      <c r="AI2125" s="146"/>
      <c r="AJ2125" s="138">
        <f>AJ2124/AJ2121</f>
        <v>1.2157253259967842</v>
      </c>
      <c r="AK2125" s="132"/>
      <c r="AL2125" s="146"/>
      <c r="AM2125" s="138">
        <f>AM2124/AM2121</f>
        <v>1.14030415595888</v>
      </c>
      <c r="AN2125" s="132"/>
      <c r="AO2125" s="146"/>
      <c r="AP2125" s="138">
        <f>AP2124/AP2121</f>
        <v>1.1067971683048041</v>
      </c>
      <c r="AQ2125" s="132"/>
      <c r="AR2125" s="146"/>
      <c r="AS2125" s="138">
        <f>AS2124/AS2121</f>
        <v>1.0823252448991587</v>
      </c>
      <c r="AT2125" s="132"/>
      <c r="AU2125" s="146"/>
    </row>
    <row r="2126" spans="13:47" x14ac:dyDescent="0.25">
      <c r="M2126" s="27"/>
      <c r="N2126" s="27"/>
      <c r="O2126" s="2" t="s">
        <v>26</v>
      </c>
      <c r="P2126" s="7">
        <v>12</v>
      </c>
      <c r="Q2126" s="2"/>
      <c r="R2126" s="181">
        <f>1-R2125/(3*F_GAMMA*R$29)</f>
        <v>0.73828923085229969</v>
      </c>
      <c r="S2126" s="133"/>
      <c r="T2126" s="146"/>
      <c r="U2126" s="138">
        <f>1-U2125/(3*F_GAMMA*U$29)</f>
        <v>0.74267139735732979</v>
      </c>
      <c r="V2126" s="133"/>
      <c r="W2126" s="146"/>
      <c r="X2126" s="138">
        <f>1-X2125/(3*F_GAMMA*X$29)</f>
        <v>0.76409233634777762</v>
      </c>
      <c r="Y2126" s="133"/>
      <c r="Z2126" s="146"/>
      <c r="AA2126" s="138">
        <f>1-AA2125/(3*F_GAMMA*AA$29)</f>
        <v>0.89779495499592443</v>
      </c>
      <c r="AB2126" s="133"/>
      <c r="AC2126" s="146"/>
      <c r="AD2126" s="138">
        <f>1-AD2125/(3*F_GAMMA*AD$29)</f>
        <v>-6.0258188890631974</v>
      </c>
      <c r="AE2126" s="133"/>
      <c r="AF2126" s="146"/>
      <c r="AG2126" s="138">
        <f>1-AG2125/(3*F_GAMMA*AG$29)</f>
        <v>0.14263612427615124</v>
      </c>
      <c r="AH2126" s="133"/>
      <c r="AI2126" s="146"/>
      <c r="AJ2126" s="138">
        <f>1-AJ2125/(3*F_GAMMA*AJ$29)</f>
        <v>0.24382238969940462</v>
      </c>
      <c r="AK2126" s="133"/>
      <c r="AL2126" s="146"/>
      <c r="AM2126" s="138">
        <f>1-AM2125/(3*F_GAMMA*AM$29)</f>
        <v>0.22505492102705127</v>
      </c>
      <c r="AN2126" s="133"/>
      <c r="AO2126" s="146"/>
      <c r="AP2126" s="138">
        <f>1-AP2125/(3*F_GAMMA*AP$29)</f>
        <v>0.37840965095662815</v>
      </c>
      <c r="AQ2126" s="133"/>
      <c r="AR2126" s="146"/>
      <c r="AS2126" s="138">
        <f>1-AS2125/(3*F_GAMMA*AS$29)</f>
        <v>7.7236000618118861E-2</v>
      </c>
      <c r="AT2126" s="133"/>
      <c r="AU2126" s="146"/>
    </row>
    <row r="2127" spans="13:47" x14ac:dyDescent="0.25">
      <c r="M2127" s="27"/>
      <c r="N2127" s="27"/>
      <c r="O2127" s="2" t="s">
        <v>71</v>
      </c>
      <c r="P2127" s="85">
        <v>5</v>
      </c>
      <c r="Q2127" s="2"/>
      <c r="R2127" s="179">
        <f>R2119/((N_6*R$27*R2126)*SQRT(R2125*R2121*R2123))</f>
        <v>0.94668209394483827</v>
      </c>
      <c r="S2127" s="133"/>
      <c r="T2127" s="146"/>
      <c r="U2127" s="143">
        <f>U2119/((N_6*U$27*U2126)*SQRT(U2125*U2121*U2123))</f>
        <v>9.024112644816892</v>
      </c>
      <c r="V2127" s="133"/>
      <c r="W2127" s="146"/>
      <c r="X2127" s="143">
        <f>X2119/((N_6*X$27*X2126)*SQRT(X2125*X2121*X2123))</f>
        <v>25.038773725364116</v>
      </c>
      <c r="Y2127" s="133"/>
      <c r="Z2127" s="146"/>
      <c r="AA2127" s="143">
        <f>AA2119/((N_6*AA$27*AA2126)*SQRT(AA2125*AA2121*AA2123))</f>
        <v>93.335300426414761</v>
      </c>
      <c r="AB2127" s="133"/>
      <c r="AC2127" s="146"/>
      <c r="AD2127" s="143">
        <f>AD2119/((N_6*AD$27*AD2126)*SQRT(AD2125*AD2121*AD2123))</f>
        <v>-41.130183375255179</v>
      </c>
      <c r="AE2127" s="133"/>
      <c r="AF2127" s="146"/>
      <c r="AG2127" s="143">
        <f>AG2119/((N_6*AG$27*AG2126)*SQRT(AG2125*AG2121*AG2123))</f>
        <v>294.95481196799506</v>
      </c>
      <c r="AH2127" s="133"/>
      <c r="AI2127" s="146"/>
      <c r="AJ2127" s="143">
        <f>AJ2119/((N_6*AJ$27*AJ2126)*SQRT(AJ2125*AJ2121*AJ2123))</f>
        <v>113.65710797618391</v>
      </c>
      <c r="AK2127" s="133"/>
      <c r="AL2127" s="146"/>
      <c r="AM2127" s="143">
        <f>AM2119/((N_6*AM$27*AM2126)*SQRT(AM2125*AM2121*AM2123))</f>
        <v>102.9164210952358</v>
      </c>
      <c r="AN2127" s="133"/>
      <c r="AO2127" s="146"/>
      <c r="AP2127" s="143">
        <f>AP2119/((N_6*AP$27*AP2126)*SQRT(AP2125*AP2121*AP2123))</f>
        <v>59.932963845617671</v>
      </c>
      <c r="AQ2127" s="133"/>
      <c r="AR2127" s="146"/>
      <c r="AS2127" s="143">
        <f>AS2119/((N_6*AS$27*AS2126)*SQRT(AS2125*AS2121*AS2123))</f>
        <v>335.5514589347062</v>
      </c>
      <c r="AT2127" s="133"/>
      <c r="AU2127" s="146"/>
    </row>
    <row r="2128" spans="13:47" x14ac:dyDescent="0.25">
      <c r="M2128" s="27"/>
      <c r="N2128" s="27"/>
      <c r="O2128" s="2" t="s">
        <v>73</v>
      </c>
      <c r="P2128" s="85">
        <v>5</v>
      </c>
      <c r="Q2128" s="2"/>
      <c r="R2128" s="179">
        <f>R2119/((N_6*R$27*0.667)*SQRT(R2129*R2121*R2123))</f>
        <v>0.92848798173122171</v>
      </c>
      <c r="S2128" s="133"/>
      <c r="T2128" s="155"/>
      <c r="U2128" s="143">
        <f>U2119/((N_6*U$27*0.667)*SQRT(U2129*U2121*U2123))</f>
        <v>8.8283599167823361</v>
      </c>
      <c r="V2128" s="133"/>
      <c r="W2128" s="155"/>
      <c r="X2128" s="143">
        <f>X2119/((N_6*X$27*0.667)*SQRT(X2129*X2121*X2123))</f>
        <v>24.130410913958652</v>
      </c>
      <c r="Y2128" s="133"/>
      <c r="Z2128" s="155"/>
      <c r="AA2128" s="143">
        <f>AA2119/((N_6*AA$27*0.667)*SQRT(AA2129*AA2121*AA2123))</f>
        <v>69.565522382062142</v>
      </c>
      <c r="AB2128" s="133"/>
      <c r="AC2128" s="155"/>
      <c r="AD2128" s="143">
        <f>AD2119/((N_6*AD$27*0.667)*SQRT(AD2129*AD2121*AD2123))</f>
        <v>1705.9252165404307</v>
      </c>
      <c r="AE2128" s="133"/>
      <c r="AF2128" s="155"/>
      <c r="AG2128" s="143">
        <f>AG2119/((N_6*AG$27*0.667)*SQRT(AG2129*AG2121*AG2123))</f>
        <v>101.15850428403942</v>
      </c>
      <c r="AH2128" s="133"/>
      <c r="AI2128" s="155"/>
      <c r="AJ2128" s="143">
        <f>AJ2119/((N_6*AJ$27*0.667)*SQRT(AJ2129*AJ2121*AJ2123))</f>
        <v>62.57730926225031</v>
      </c>
      <c r="AK2128" s="133"/>
      <c r="AL2128" s="155"/>
      <c r="AM2128" s="143">
        <f>AM2119/((N_6*AM$27*0.667)*SQRT(AM2129*AM2121*AM2123))</f>
        <v>52.947254423301658</v>
      </c>
      <c r="AN2128" s="133"/>
      <c r="AO2128" s="155"/>
      <c r="AP2128" s="143">
        <f>AP2119/((N_6*AP$27*0.667)*SQRT(AP2129*AP2121*AP2123))</f>
        <v>46.431732021392499</v>
      </c>
      <c r="AQ2128" s="133"/>
      <c r="AR2128" s="155"/>
      <c r="AS2128" s="143">
        <f>AS2119/((N_6*AS$27*0.667)*SQRT(AS2129*AS2121*AS2123))</f>
        <v>64.648584979614554</v>
      </c>
      <c r="AT2128" s="133"/>
      <c r="AU2128" s="155"/>
    </row>
    <row r="2129" spans="13:47" ht="15.5" x14ac:dyDescent="0.4">
      <c r="M2129" s="27"/>
      <c r="N2129" s="27"/>
      <c r="O2129" s="2" t="s">
        <v>192</v>
      </c>
      <c r="P2129" s="85">
        <v>10</v>
      </c>
      <c r="Q2129" s="2"/>
      <c r="R2129" s="181">
        <f>F_GAMMA*R$29</f>
        <v>0.64002688015162901</v>
      </c>
      <c r="S2129" s="133"/>
      <c r="T2129" s="155"/>
      <c r="U2129" s="138">
        <f>F_GAMMA*U$29</f>
        <v>0.64016782916606918</v>
      </c>
      <c r="V2129" s="133"/>
      <c r="W2129" s="155"/>
      <c r="X2129" s="138">
        <f>F_GAMMA*X$29</f>
        <v>0.6307062319203669</v>
      </c>
      <c r="Y2129" s="133"/>
      <c r="Z2129" s="155"/>
      <c r="AA2129" s="138">
        <f>F_GAMMA*AA$29</f>
        <v>0.62217534213893466</v>
      </c>
      <c r="AB2129" s="133"/>
      <c r="AC2129" s="155"/>
      <c r="AD2129" s="138">
        <f>F_GAMMA*AD$29</f>
        <v>0.60557184969146072</v>
      </c>
      <c r="AE2129" s="133"/>
      <c r="AF2129" s="155"/>
      <c r="AG2129" s="138">
        <f>F_GAMMA*AG$29</f>
        <v>0.57289312142622573</v>
      </c>
      <c r="AH2129" s="133"/>
      <c r="AI2129" s="155"/>
      <c r="AJ2129" s="138">
        <f>F_GAMMA*AJ$29</f>
        <v>0.53590819116049981</v>
      </c>
      <c r="AK2129" s="133"/>
      <c r="AL2129" s="155"/>
      <c r="AM2129" s="138">
        <f>F_GAMMA*AM$29</f>
        <v>0.49048815926850342</v>
      </c>
      <c r="AN2129" s="133"/>
      <c r="AO2129" s="155"/>
      <c r="AP2129" s="138">
        <f>F_GAMMA*AP$29</f>
        <v>0.59352979016280105</v>
      </c>
      <c r="AQ2129" s="133"/>
      <c r="AR2129" s="155"/>
      <c r="AS2129" s="138">
        <f>F_GAMMA*AS$29</f>
        <v>0.39097221161068291</v>
      </c>
      <c r="AT2129" s="133"/>
      <c r="AU2129" s="155"/>
    </row>
    <row r="2130" spans="13:47" x14ac:dyDescent="0.25">
      <c r="M2130" s="27"/>
      <c r="N2130" s="27"/>
      <c r="O2130" s="2" t="s">
        <v>193</v>
      </c>
      <c r="P2130" s="134"/>
      <c r="Q2130" s="2"/>
      <c r="R2130" s="181">
        <f>IF(R2125&lt;R2129,R2127,R2128)</f>
        <v>0.94668209394483827</v>
      </c>
      <c r="S2130" s="133"/>
      <c r="T2130" s="155"/>
      <c r="U2130" s="138">
        <f>IF(U2125&lt;U2129,U2127,U2128)</f>
        <v>9.024112644816892</v>
      </c>
      <c r="V2130" s="133"/>
      <c r="W2130" s="155"/>
      <c r="X2130" s="138">
        <f>IF(X2125&lt;X2129,X2127,X2128)</f>
        <v>25.038773725364116</v>
      </c>
      <c r="Y2130" s="133"/>
      <c r="Z2130" s="155"/>
      <c r="AA2130" s="138">
        <f>IF(AA2125&lt;AA2129,AA2127,AA2128)</f>
        <v>93.335300426414761</v>
      </c>
      <c r="AB2130" s="133"/>
      <c r="AC2130" s="155"/>
      <c r="AD2130" s="138">
        <f>IF(AD2125&lt;AD2129,AD2127,AD2128)</f>
        <v>1705.9252165404307</v>
      </c>
      <c r="AE2130" s="133"/>
      <c r="AF2130" s="155"/>
      <c r="AG2130" s="138">
        <f>IF(AG2125&lt;AG2129,AG2127,AG2128)</f>
        <v>101.15850428403942</v>
      </c>
      <c r="AH2130" s="133"/>
      <c r="AI2130" s="155"/>
      <c r="AJ2130" s="138">
        <f>IF(AJ2125&lt;AJ2129,AJ2127,AJ2128)</f>
        <v>62.57730926225031</v>
      </c>
      <c r="AK2130" s="133"/>
      <c r="AL2130" s="155"/>
      <c r="AM2130" s="138">
        <f>IF(AM2125&lt;AM2129,AM2127,AM2128)</f>
        <v>52.947254423301658</v>
      </c>
      <c r="AN2130" s="133"/>
      <c r="AO2130" s="155"/>
      <c r="AP2130" s="138">
        <f>IF(AP2125&lt;AP2129,AP2127,AP2128)</f>
        <v>46.431732021392499</v>
      </c>
      <c r="AQ2130" s="133"/>
      <c r="AR2130" s="155"/>
      <c r="AS2130" s="138">
        <f>IF(AS2125&lt;AS2129,AS2127,AS2128)</f>
        <v>64.648584979614554</v>
      </c>
      <c r="AT2130" s="133"/>
      <c r="AU2130" s="155"/>
    </row>
    <row r="2131" spans="13:47" ht="13" x14ac:dyDescent="0.3">
      <c r="M2131" s="28"/>
      <c r="N2131" s="28"/>
      <c r="O2131" s="9" t="s">
        <v>194</v>
      </c>
      <c r="P2131" s="1"/>
      <c r="Q2131" s="1"/>
      <c r="R2131" s="135"/>
      <c r="S2131" s="132">
        <f>IF(R2124&lt;=0,W_max,ABS(R$23-R2130))</f>
        <v>1.0533179060551618</v>
      </c>
      <c r="T2131" s="151">
        <f>R2119</f>
        <v>218.89259968571753</v>
      </c>
      <c r="U2131" s="135"/>
      <c r="V2131" s="132">
        <f>IF(U2124&lt;=0,W_max,ABS(U$23-U2130))</f>
        <v>4.024112644816892</v>
      </c>
      <c r="W2131" s="151">
        <f>U2119</f>
        <v>2046.0785372098139</v>
      </c>
      <c r="X2131" s="135"/>
      <c r="Y2131" s="132">
        <f>IF(X2124&lt;=0,W_max,ABS(X$23-X2130))</f>
        <v>15.038773725364116</v>
      </c>
      <c r="Z2131" s="151">
        <f>X2119</f>
        <v>5060.1957087200099</v>
      </c>
      <c r="AA2131" s="135"/>
      <c r="AB2131" s="132">
        <f>IF(AA2124&lt;=0,W_max,ABS(AA$23-AA2130))</f>
        <v>76.135300426414759</v>
      </c>
      <c r="AC2131" s="151">
        <f>AA2119</f>
        <v>9855.9696488412956</v>
      </c>
      <c r="AD2131" s="135"/>
      <c r="AE2131" s="132">
        <f>IF(AD2124&lt;=0,W_max,ABS(AD$23-AD2130))</f>
        <v>7174</v>
      </c>
      <c r="AF2131" s="151">
        <f>AD2119</f>
        <v>16209.441319611869</v>
      </c>
      <c r="AG2131" s="135"/>
      <c r="AH2131" s="132">
        <f>IF(AG2124&lt;=0,W_max,ABS(AG$23-AG2130))</f>
        <v>7174</v>
      </c>
      <c r="AI2131" s="151">
        <f>AG2119</f>
        <v>22734.989353553752</v>
      </c>
      <c r="AJ2131" s="135"/>
      <c r="AK2131" s="132">
        <f>IF(AJ2124&lt;=0,W_max,ABS(AJ$23-AJ2130))</f>
        <v>7174</v>
      </c>
      <c r="AL2131" s="151">
        <f>AJ2119</f>
        <v>28867.403716211396</v>
      </c>
      <c r="AM2131" s="135"/>
      <c r="AN2131" s="132">
        <f>IF(AM2124&lt;=0,W_max,ABS(AM$23-AM2130))</f>
        <v>7174</v>
      </c>
      <c r="AO2131" s="151">
        <f>AM2119</f>
        <v>33849.301132020497</v>
      </c>
      <c r="AP2131" s="135"/>
      <c r="AQ2131" s="132">
        <f>IF(AP2124&lt;=0,W_max,ABS(AP$23-AP2130))</f>
        <v>7174</v>
      </c>
      <c r="AR2131" s="151">
        <f>AP2119</f>
        <v>37764.593829737736</v>
      </c>
      <c r="AS2131" s="135"/>
      <c r="AT2131" s="132">
        <f>IF(AS2124&lt;=0,W_max,ABS(AS$23-AS2130))</f>
        <v>7174</v>
      </c>
      <c r="AU2131" s="151">
        <f>AS2119</f>
        <v>42132.761960510732</v>
      </c>
    </row>
    <row r="2132" spans="13:47" ht="13" x14ac:dyDescent="0.25">
      <c r="M2132" s="12"/>
      <c r="N2132" s="12"/>
      <c r="O2132" s="2"/>
      <c r="P2132" s="85"/>
      <c r="Q2132" s="2"/>
      <c r="R2132" s="18"/>
      <c r="S2132" s="150"/>
      <c r="T2132" s="148"/>
      <c r="U2132" s="157"/>
      <c r="V2132" s="1"/>
      <c r="W2132" s="147"/>
      <c r="X2132" s="157"/>
      <c r="Y2132" s="1"/>
      <c r="Z2132" s="147"/>
      <c r="AA2132" s="157"/>
      <c r="AB2132" s="1"/>
      <c r="AC2132" s="147"/>
      <c r="AD2132" s="157"/>
      <c r="AE2132" s="1"/>
      <c r="AF2132" s="147"/>
      <c r="AG2132" s="157"/>
      <c r="AH2132" s="1"/>
      <c r="AI2132" s="147"/>
      <c r="AJ2132" s="157"/>
      <c r="AK2132" s="1"/>
      <c r="AL2132" s="147"/>
      <c r="AM2132" s="157"/>
      <c r="AN2132" s="1"/>
      <c r="AO2132" s="147"/>
      <c r="AP2132" s="157"/>
      <c r="AQ2132" s="1"/>
      <c r="AR2132" s="147"/>
      <c r="AS2132" s="157"/>
      <c r="AT2132" s="1"/>
      <c r="AU2132" s="147"/>
    </row>
    <row r="2133" spans="13:47" ht="14" x14ac:dyDescent="0.3">
      <c r="M2133" s="23"/>
      <c r="N2133" s="23"/>
      <c r="O2133" s="23" t="s">
        <v>238</v>
      </c>
      <c r="P2133" s="20"/>
      <c r="Q2133" s="20"/>
      <c r="R2133" s="181">
        <f>R2119*1.02</f>
        <v>223.27045167943189</v>
      </c>
      <c r="S2133" s="128" t="s">
        <v>185</v>
      </c>
      <c r="T2133" s="149" t="s">
        <v>186</v>
      </c>
      <c r="U2133" s="143">
        <f>U2119*1.01</f>
        <v>2066.5393225819121</v>
      </c>
      <c r="V2133" s="128" t="s">
        <v>185</v>
      </c>
      <c r="W2133" s="153" t="s">
        <v>186</v>
      </c>
      <c r="X2133" s="143">
        <f>X2119*1.01</f>
        <v>5110.7976658072103</v>
      </c>
      <c r="Y2133" s="128" t="s">
        <v>185</v>
      </c>
      <c r="Z2133" s="153" t="s">
        <v>186</v>
      </c>
      <c r="AA2133" s="143">
        <f>AA2119*1.01</f>
        <v>9954.529345329709</v>
      </c>
      <c r="AB2133" s="128" t="s">
        <v>185</v>
      </c>
      <c r="AC2133" s="153" t="s">
        <v>186</v>
      </c>
      <c r="AD2133" s="143">
        <f>AD2119*1.01</f>
        <v>16371.535732807988</v>
      </c>
      <c r="AE2133" s="128" t="s">
        <v>185</v>
      </c>
      <c r="AF2133" s="153" t="s">
        <v>186</v>
      </c>
      <c r="AG2133" s="143">
        <f>AG2119*1.01</f>
        <v>22962.33924708929</v>
      </c>
      <c r="AH2133" s="128" t="s">
        <v>185</v>
      </c>
      <c r="AI2133" s="153" t="s">
        <v>186</v>
      </c>
      <c r="AJ2133" s="143">
        <f>AJ2119*1.01</f>
        <v>29156.077753373509</v>
      </c>
      <c r="AK2133" s="128" t="s">
        <v>185</v>
      </c>
      <c r="AL2133" s="153" t="s">
        <v>186</v>
      </c>
      <c r="AM2133" s="143">
        <f>AM2119*1.01</f>
        <v>34187.794143340703</v>
      </c>
      <c r="AN2133" s="128" t="s">
        <v>185</v>
      </c>
      <c r="AO2133" s="153" t="s">
        <v>186</v>
      </c>
      <c r="AP2133" s="143">
        <f>AP2119*1.01</f>
        <v>38142.239768035113</v>
      </c>
      <c r="AQ2133" s="128" t="s">
        <v>185</v>
      </c>
      <c r="AR2133" s="153" t="s">
        <v>186</v>
      </c>
      <c r="AS2133" s="143">
        <f>AS2119*1.01</f>
        <v>42554.08958011584</v>
      </c>
      <c r="AT2133" s="128" t="s">
        <v>185</v>
      </c>
      <c r="AU2133" s="153" t="s">
        <v>186</v>
      </c>
    </row>
    <row r="2134" spans="13:47" ht="14" x14ac:dyDescent="0.3">
      <c r="M2134" s="12"/>
      <c r="N2134" s="12"/>
      <c r="O2134" s="20"/>
      <c r="P2134" s="20"/>
      <c r="Q2134" s="23"/>
      <c r="R2134" s="139"/>
      <c r="S2134" s="130" t="s">
        <v>228</v>
      </c>
      <c r="T2134" s="131" t="s">
        <v>187</v>
      </c>
      <c r="U2134" s="144"/>
      <c r="V2134" s="130" t="s">
        <v>228</v>
      </c>
      <c r="W2134" s="154" t="s">
        <v>187</v>
      </c>
      <c r="X2134" s="144"/>
      <c r="Y2134" s="130" t="s">
        <v>228</v>
      </c>
      <c r="Z2134" s="154" t="s">
        <v>187</v>
      </c>
      <c r="AA2134" s="144"/>
      <c r="AB2134" s="130" t="s">
        <v>228</v>
      </c>
      <c r="AC2134" s="154" t="s">
        <v>187</v>
      </c>
      <c r="AD2134" s="144"/>
      <c r="AE2134" s="130" t="s">
        <v>228</v>
      </c>
      <c r="AF2134" s="154" t="s">
        <v>187</v>
      </c>
      <c r="AG2134" s="144"/>
      <c r="AH2134" s="130" t="s">
        <v>228</v>
      </c>
      <c r="AI2134" s="154" t="s">
        <v>187</v>
      </c>
      <c r="AJ2134" s="144"/>
      <c r="AK2134" s="130" t="s">
        <v>228</v>
      </c>
      <c r="AL2134" s="154" t="s">
        <v>187</v>
      </c>
      <c r="AM2134" s="144"/>
      <c r="AN2134" s="130" t="s">
        <v>228</v>
      </c>
      <c r="AO2134" s="154" t="s">
        <v>187</v>
      </c>
      <c r="AP2134" s="144"/>
      <c r="AQ2134" s="130" t="s">
        <v>228</v>
      </c>
      <c r="AR2134" s="154" t="s">
        <v>187</v>
      </c>
      <c r="AS2134" s="144"/>
      <c r="AT2134" s="130" t="s">
        <v>228</v>
      </c>
      <c r="AU2134" s="154" t="s">
        <v>187</v>
      </c>
    </row>
    <row r="2135" spans="13:47" x14ac:dyDescent="0.25">
      <c r="M2135" s="20"/>
      <c r="N2135" s="20"/>
      <c r="O2135" s="7" t="s">
        <v>188</v>
      </c>
      <c r="P2135" s="7"/>
      <c r="Q2135" s="7"/>
      <c r="R2135" s="181">
        <f>P_1_minW-(R2133^2*R_up)+dpup_minQ</f>
        <v>100.50290858096069</v>
      </c>
      <c r="S2135" s="132"/>
      <c r="T2135" s="145"/>
      <c r="U2135" s="138">
        <f>P_1_minW-(U2133^2*R_up)+dpup_minQ</f>
        <v>98.819840510108378</v>
      </c>
      <c r="V2135" s="132"/>
      <c r="W2135" s="145"/>
      <c r="X2135" s="138">
        <f>P_1_minW-(X2133^2*R_up)+dpup_minQ</f>
        <v>90.107026767418461</v>
      </c>
      <c r="Y2135" s="132"/>
      <c r="Z2135" s="145"/>
      <c r="AA2135" s="138">
        <f>P_1_minW-(AA2133^2*R_up)+dpup_minQ</f>
        <v>61.008417847602708</v>
      </c>
      <c r="AB2135" s="132"/>
      <c r="AC2135" s="145"/>
      <c r="AD2135" s="138">
        <f>P_1_minW-(AD2133^2*R_up)+dpup_minQ</f>
        <v>-6.3562246954396935</v>
      </c>
      <c r="AE2135" s="132"/>
      <c r="AF2135" s="145"/>
      <c r="AG2135" s="138">
        <f>P_1_minW-(AG2133^2*R_up)+dpup_minQ</f>
        <v>-109.73197749460657</v>
      </c>
      <c r="AH2135" s="132"/>
      <c r="AI2135" s="145"/>
      <c r="AJ2135" s="138">
        <f>P_1_minW-(AJ2133^2*R_up)+dpup_minQ</f>
        <v>-238.45542711400716</v>
      </c>
      <c r="AK2135" s="132"/>
      <c r="AL2135" s="145"/>
      <c r="AM2135" s="138">
        <f>P_1_minW-(AM2133^2*R_up)+dpup_minQ</f>
        <v>-365.55214862246066</v>
      </c>
      <c r="AN2135" s="132"/>
      <c r="AO2135" s="145"/>
      <c r="AP2135" s="138">
        <f>P_1_minW-(AP2133^2*R_up)+dpup_minQ</f>
        <v>-479.60807713723909</v>
      </c>
      <c r="AQ2135" s="132"/>
      <c r="AR2135" s="145"/>
      <c r="AS2135" s="138">
        <f>P_1_minW-(AS2133^2*R_up)+dpup_minQ</f>
        <v>-621.57530025820165</v>
      </c>
      <c r="AT2135" s="132"/>
      <c r="AU2135" s="145"/>
    </row>
    <row r="2136" spans="13:47" x14ac:dyDescent="0.25">
      <c r="M2136" s="20"/>
      <c r="N2136" s="20"/>
      <c r="O2136" s="7" t="s">
        <v>189</v>
      </c>
      <c r="P2136" s="1"/>
      <c r="Q2136" s="7"/>
      <c r="R2136" s="181">
        <f>P_2_minW+(R2133^2*R_dn)-dpdn_minQ</f>
        <v>50</v>
      </c>
      <c r="S2136" s="132"/>
      <c r="T2136" s="146"/>
      <c r="U2136" s="138">
        <f>P_2_minW+(U2133^2*R_dn)-dpdn_minQ</f>
        <v>50</v>
      </c>
      <c r="V2136" s="132"/>
      <c r="W2136" s="146"/>
      <c r="X2136" s="138">
        <f>P_2_minW+(X2133^2*R_dn)-dpdn_minQ</f>
        <v>50</v>
      </c>
      <c r="Y2136" s="132"/>
      <c r="Z2136" s="146"/>
      <c r="AA2136" s="138">
        <f>P_2_minW+(AA2133^2*R_dn)-dpdn_minQ</f>
        <v>50</v>
      </c>
      <c r="AB2136" s="132"/>
      <c r="AC2136" s="146"/>
      <c r="AD2136" s="138">
        <f>P_2_minW+(AD2133^2*R_dn)-dpdn_minQ</f>
        <v>50</v>
      </c>
      <c r="AE2136" s="132"/>
      <c r="AF2136" s="146"/>
      <c r="AG2136" s="138">
        <f>P_2_minW+(AG2133^2*R_dn)-dpdn_minQ</f>
        <v>50</v>
      </c>
      <c r="AH2136" s="132"/>
      <c r="AI2136" s="146"/>
      <c r="AJ2136" s="138">
        <f>P_2_minW+(AJ2133^2*R_dn)-dpdn_minQ</f>
        <v>50</v>
      </c>
      <c r="AK2136" s="132"/>
      <c r="AL2136" s="146"/>
      <c r="AM2136" s="138">
        <f>P_2_minW+(AM2133^2*R_dn)-dpdn_minQ</f>
        <v>50</v>
      </c>
      <c r="AN2136" s="132"/>
      <c r="AO2136" s="146"/>
      <c r="AP2136" s="138">
        <f>P_2_minW+(AP2133^2*R_dn)-dpdn_minQ</f>
        <v>50</v>
      </c>
      <c r="AQ2136" s="132"/>
      <c r="AR2136" s="146"/>
      <c r="AS2136" s="138">
        <f>P_2_minW+(AS2133^2*R_dn)-dpdn_minQ</f>
        <v>50</v>
      </c>
      <c r="AT2136" s="132"/>
      <c r="AU2136" s="146"/>
    </row>
    <row r="2137" spans="13:47" x14ac:dyDescent="0.25">
      <c r="M2137" s="20"/>
      <c r="N2137" s="20"/>
      <c r="O2137" s="7" t="s">
        <v>234</v>
      </c>
      <c r="P2137" s="1"/>
      <c r="Q2137" s="7"/>
      <c r="R2137" s="179">
        <f>'Valve Sizing'!G$8*R2135/P_1_maxW</f>
        <v>0.48480813755456315</v>
      </c>
      <c r="S2137" s="132"/>
      <c r="T2137" s="146"/>
      <c r="U2137" s="143">
        <f>'Valve Sizing'!$G$8*U2135/P_1_maxW</f>
        <v>0.47668931683257226</v>
      </c>
      <c r="V2137" s="132"/>
      <c r="W2137" s="146"/>
      <c r="X2137" s="143">
        <f>'Valve Sizing'!$G$8*X2135/P_1_maxW</f>
        <v>0.43466025455871177</v>
      </c>
      <c r="Y2137" s="132"/>
      <c r="Z2137" s="146"/>
      <c r="AA2137" s="143">
        <f>'Valve Sizing'!$G$8*AA2135/P_1_maxW</f>
        <v>0.29429374581752143</v>
      </c>
      <c r="AB2137" s="132"/>
      <c r="AC2137" s="146"/>
      <c r="AD2137" s="143">
        <f>'Valve Sizing'!$G$8*AD2135/P_1_maxW</f>
        <v>-3.0661296274744908E-2</v>
      </c>
      <c r="AE2137" s="132"/>
      <c r="AF2137" s="146"/>
      <c r="AG2137" s="143">
        <f>'Valve Sizing'!$G$8*AG2135/P_1_maxW</f>
        <v>-0.52932752285954721</v>
      </c>
      <c r="AH2137" s="132"/>
      <c r="AI2137" s="146"/>
      <c r="AJ2137" s="143">
        <f>'Valve Sizing'!$G$8*AJ2135/P_1_maxW</f>
        <v>-1.1502665260258942</v>
      </c>
      <c r="AK2137" s="132"/>
      <c r="AL2137" s="146"/>
      <c r="AM2137" s="143">
        <f>'Valve Sizing'!$G$8*AM2135/P_1_maxW</f>
        <v>-1.7633584824061217</v>
      </c>
      <c r="AN2137" s="132"/>
      <c r="AO2137" s="146"/>
      <c r="AP2137" s="143">
        <f>'Valve Sizing'!$G$8*AP2135/P_1_maxW</f>
        <v>-2.313543975154948</v>
      </c>
      <c r="AQ2137" s="132"/>
      <c r="AR2137" s="146"/>
      <c r="AS2137" s="143">
        <f>'Valve Sizing'!$G$8*AS2135/P_1_maxW</f>
        <v>-2.9983685837842904</v>
      </c>
      <c r="AT2137" s="132"/>
      <c r="AU2137" s="146"/>
    </row>
    <row r="2138" spans="13:47" x14ac:dyDescent="0.25">
      <c r="M2138" s="20"/>
      <c r="N2138" s="20"/>
      <c r="O2138" s="7" t="s">
        <v>190</v>
      </c>
      <c r="P2138" s="1"/>
      <c r="Q2138" s="7"/>
      <c r="R2138" s="181">
        <f>R2135-R2136</f>
        <v>50.502908580960693</v>
      </c>
      <c r="S2138" s="132"/>
      <c r="T2138" s="146"/>
      <c r="U2138" s="138">
        <f>U2135-U2136</f>
        <v>48.819840510108378</v>
      </c>
      <c r="V2138" s="132"/>
      <c r="W2138" s="146"/>
      <c r="X2138" s="138">
        <f>X2135-X2136</f>
        <v>40.107026767418461</v>
      </c>
      <c r="Y2138" s="132"/>
      <c r="Z2138" s="146"/>
      <c r="AA2138" s="138">
        <f>AA2135-AA2136</f>
        <v>11.008417847602708</v>
      </c>
      <c r="AB2138" s="132"/>
      <c r="AC2138" s="146"/>
      <c r="AD2138" s="138">
        <f>AD2135-AD2136</f>
        <v>-56.356224695439693</v>
      </c>
      <c r="AE2138" s="132"/>
      <c r="AF2138" s="146"/>
      <c r="AG2138" s="138">
        <f>AG2135-AG2136</f>
        <v>-159.73197749460655</v>
      </c>
      <c r="AH2138" s="132"/>
      <c r="AI2138" s="146"/>
      <c r="AJ2138" s="138">
        <f>AJ2135-AJ2136</f>
        <v>-288.45542711400719</v>
      </c>
      <c r="AK2138" s="132"/>
      <c r="AL2138" s="146"/>
      <c r="AM2138" s="138">
        <f>AM2135-AM2136</f>
        <v>-415.55214862246066</v>
      </c>
      <c r="AN2138" s="132"/>
      <c r="AO2138" s="146"/>
      <c r="AP2138" s="138">
        <f>AP2135-AP2136</f>
        <v>-529.60807713723909</v>
      </c>
      <c r="AQ2138" s="132"/>
      <c r="AR2138" s="146"/>
      <c r="AS2138" s="138">
        <f>AS2135-AS2136</f>
        <v>-671.57530025820165</v>
      </c>
      <c r="AT2138" s="132"/>
      <c r="AU2138" s="146"/>
    </row>
    <row r="2139" spans="13:47" ht="14.5" x14ac:dyDescent="0.35">
      <c r="M2139" s="27"/>
      <c r="N2139" s="27"/>
      <c r="O2139" s="2" t="s">
        <v>191</v>
      </c>
      <c r="P2139" s="10"/>
      <c r="Q2139" s="2"/>
      <c r="R2139" s="181">
        <f>R2138/R2135</f>
        <v>0.50250196033160355</v>
      </c>
      <c r="S2139" s="132"/>
      <c r="T2139" s="146"/>
      <c r="U2139" s="138">
        <f>U2138/U2135</f>
        <v>0.4940287320653442</v>
      </c>
      <c r="V2139" s="132"/>
      <c r="W2139" s="146"/>
      <c r="X2139" s="138">
        <f>X2138/X2135</f>
        <v>0.44510431878904971</v>
      </c>
      <c r="Y2139" s="132"/>
      <c r="Z2139" s="146"/>
      <c r="AA2139" s="138">
        <f>AA2138/AA2135</f>
        <v>0.18044096595164003</v>
      </c>
      <c r="AB2139" s="132"/>
      <c r="AC2139" s="146"/>
      <c r="AD2139" s="138">
        <f>AD2138/AD2135</f>
        <v>8.8663046691651353</v>
      </c>
      <c r="AE2139" s="132"/>
      <c r="AF2139" s="146"/>
      <c r="AG2139" s="138">
        <f>AG2138/AG2135</f>
        <v>1.4556556907256823</v>
      </c>
      <c r="AH2139" s="132"/>
      <c r="AI2139" s="146"/>
      <c r="AJ2139" s="138">
        <f>AJ2138/AJ2135</f>
        <v>1.2096827931540208</v>
      </c>
      <c r="AK2139" s="132"/>
      <c r="AL2139" s="146"/>
      <c r="AM2139" s="138">
        <f>AM2138/AM2135</f>
        <v>1.1367793902687182</v>
      </c>
      <c r="AN2139" s="132"/>
      <c r="AO2139" s="146"/>
      <c r="AP2139" s="138">
        <f>AP2138/AP2135</f>
        <v>1.1042517888740488</v>
      </c>
      <c r="AQ2139" s="132"/>
      <c r="AR2139" s="146"/>
      <c r="AS2139" s="138">
        <f>AS2138/AS2135</f>
        <v>1.0804407768121256</v>
      </c>
      <c r="AT2139" s="132"/>
      <c r="AU2139" s="146"/>
    </row>
    <row r="2140" spans="13:47" x14ac:dyDescent="0.25">
      <c r="M2140" s="27"/>
      <c r="N2140" s="27"/>
      <c r="O2140" s="2" t="s">
        <v>26</v>
      </c>
      <c r="P2140" s="7">
        <v>12</v>
      </c>
      <c r="Q2140" s="2"/>
      <c r="R2140" s="181">
        <f>1-R2139/(3*F_GAMMA*R$29)</f>
        <v>0.7382912208246859</v>
      </c>
      <c r="S2140" s="133"/>
      <c r="T2140" s="146"/>
      <c r="U2140" s="138">
        <f>1-U2139/(3*F_GAMMA*U$29)</f>
        <v>0.74276082533497334</v>
      </c>
      <c r="V2140" s="133"/>
      <c r="W2140" s="146"/>
      <c r="X2140" s="138">
        <f>1-X2139/(3*F_GAMMA*X$29)</f>
        <v>0.7647587755534504</v>
      </c>
      <c r="Y2140" s="133"/>
      <c r="Z2140" s="146"/>
      <c r="AA2140" s="138">
        <f>1-AA2139/(3*F_GAMMA*AA$29)</f>
        <v>0.90332791324745942</v>
      </c>
      <c r="AB2140" s="133"/>
      <c r="AC2140" s="146"/>
      <c r="AD2140" s="138">
        <f>1-AD2139/(3*F_GAMMA*AD$29)</f>
        <v>-3.8804033596137399</v>
      </c>
      <c r="AE2140" s="133"/>
      <c r="AF2140" s="146"/>
      <c r="AG2140" s="138">
        <f>1-AG2139/(3*F_GAMMA*AG$29)</f>
        <v>0.1530382449569847</v>
      </c>
      <c r="AH2140" s="133"/>
      <c r="AI2140" s="146"/>
      <c r="AJ2140" s="138">
        <f>1-AJ2139/(3*F_GAMMA*AJ$29)</f>
        <v>0.24758082752042909</v>
      </c>
      <c r="AK2140" s="133"/>
      <c r="AL2140" s="146"/>
      <c r="AM2140" s="138">
        <f>1-AM2139/(3*F_GAMMA*AM$29)</f>
        <v>0.2274503344015002</v>
      </c>
      <c r="AN2140" s="133"/>
      <c r="AO2140" s="146"/>
      <c r="AP2140" s="138">
        <f>1-AP2139/(3*F_GAMMA*AP$29)</f>
        <v>0.37983916607838653</v>
      </c>
      <c r="AQ2140" s="133"/>
      <c r="AR2140" s="146"/>
      <c r="AS2140" s="138">
        <f>1-AS2139/(3*F_GAMMA*AS$29)</f>
        <v>7.8842651961505306E-2</v>
      </c>
      <c r="AT2140" s="133"/>
      <c r="AU2140" s="146"/>
    </row>
    <row r="2141" spans="13:47" x14ac:dyDescent="0.25">
      <c r="M2141" s="27"/>
      <c r="N2141" s="27"/>
      <c r="O2141" s="2" t="s">
        <v>71</v>
      </c>
      <c r="P2141" s="85">
        <v>5</v>
      </c>
      <c r="Q2141" s="2"/>
      <c r="R2141" s="179">
        <f>R2133/((N_6*R$27*R2140)*SQRT(R2139*R2135*R2137))</f>
        <v>0.96562422049942642</v>
      </c>
      <c r="S2141" s="133"/>
      <c r="T2141" s="146"/>
      <c r="U2141" s="143">
        <f>U2133/((N_6*U$27*U2140)*SQRT(U2139*U2135*U2137))</f>
        <v>9.1179353501788203</v>
      </c>
      <c r="V2141" s="133"/>
      <c r="W2141" s="146"/>
      <c r="X2141" s="143">
        <f>X2133/((N_6*X$27*X2140)*SQRT(X2139*X2135*X2137))</f>
        <v>25.360520102213762</v>
      </c>
      <c r="Y2141" s="133"/>
      <c r="Z2141" s="146"/>
      <c r="AA2141" s="143">
        <f>AA2133/((N_6*AA$27*AA2140)*SQRT(AA2139*AA2135*AA2137))</f>
        <v>97.564550941480945</v>
      </c>
      <c r="AB2141" s="133"/>
      <c r="AC2141" s="146"/>
      <c r="AD2141" s="143">
        <f>AD2133/((N_6*AD$27*AD2140)*SQRT(AD2139*AD2135*AD2137))</f>
        <v>-51.756004878793476</v>
      </c>
      <c r="AE2141" s="133"/>
      <c r="AF2141" s="146"/>
      <c r="AG2141" s="143">
        <f>AG2133/((N_6*AG$27*AG2140)*SQRT(AG2139*AG2135*AG2137))</f>
        <v>268.80856389848856</v>
      </c>
      <c r="AH2141" s="133"/>
      <c r="AI2141" s="146"/>
      <c r="AJ2141" s="143">
        <f>AJ2133/((N_6*AJ$27*AJ2140)*SQRT(AJ2139*AJ2135*AJ2137))</f>
        <v>110.15854418823839</v>
      </c>
      <c r="AK2141" s="133"/>
      <c r="AL2141" s="146"/>
      <c r="AM2141" s="143">
        <f>AM2133/((N_6*AM$27*AM2140)*SQRT(AM2139*AM2135*AM2137))</f>
        <v>100.42234739101983</v>
      </c>
      <c r="AN2141" s="133"/>
      <c r="AO2141" s="146"/>
      <c r="AP2141" s="143">
        <f>AP2133/((N_6*AP$27*AP2140)*SQRT(AP2139*AP2135*AP2137))</f>
        <v>58.935005916688077</v>
      </c>
      <c r="AQ2141" s="133"/>
      <c r="AR2141" s="146"/>
      <c r="AS2141" s="143">
        <f>AS2133/((N_6*AS$27*AS2140)*SQRT(AS2139*AS2135*AS2137))</f>
        <v>324.68385535995213</v>
      </c>
      <c r="AT2141" s="133"/>
      <c r="AU2141" s="146"/>
    </row>
    <row r="2142" spans="13:47" x14ac:dyDescent="0.25">
      <c r="M2142" s="27"/>
      <c r="N2142" s="27"/>
      <c r="O2142" s="2" t="s">
        <v>73</v>
      </c>
      <c r="P2142" s="85">
        <v>5</v>
      </c>
      <c r="Q2142" s="2"/>
      <c r="R2142" s="179">
        <f>R2133/((N_6*R$27*0.667)*SQRT(R2143*R2135*R2137))</f>
        <v>0.94706501505837726</v>
      </c>
      <c r="S2142" s="133"/>
      <c r="T2142" s="147"/>
      <c r="U2142" s="143">
        <f>U2133/((N_6*U$27*0.667)*SQRT(U2143*U2135*U2137))</f>
        <v>8.9196712066016879</v>
      </c>
      <c r="V2142" s="133"/>
      <c r="W2142" s="155"/>
      <c r="X2142" s="143">
        <f>X2133/((N_6*X$27*0.667)*SQRT(X2143*X2135*X2137))</f>
        <v>24.427225084094985</v>
      </c>
      <c r="Y2142" s="133"/>
      <c r="Z2142" s="155"/>
      <c r="AA2142" s="143">
        <f>AA2133/((N_6*AA$27*0.667)*SQRT(AA2143*AA2135*AA2137))</f>
        <v>71.157850459360148</v>
      </c>
      <c r="AB2142" s="133"/>
      <c r="AC2142" s="155"/>
      <c r="AD2142" s="143">
        <f>AD2133/((N_6*AD$27*0.667)*SQRT(AD2143*AD2135*AD2137))</f>
        <v>1152.1267739913808</v>
      </c>
      <c r="AE2142" s="133"/>
      <c r="AF2142" s="155"/>
      <c r="AG2142" s="143">
        <f>AG2133/((N_6*AG$27*0.667)*SQRT(AG2143*AG2135*AG2137))</f>
        <v>98.312733324055344</v>
      </c>
      <c r="AH2142" s="133"/>
      <c r="AI2142" s="155"/>
      <c r="AJ2142" s="143">
        <f>AJ2133/((N_6*AJ$27*0.667)*SQRT(AJ2143*AJ2135*AJ2137))</f>
        <v>61.432744546233224</v>
      </c>
      <c r="AK2142" s="133"/>
      <c r="AL2142" s="155"/>
      <c r="AM2142" s="143">
        <f>AM2133/((N_6*AM$27*0.667)*SQRT(AM2143*AM2135*AM2137))</f>
        <v>52.133267601351946</v>
      </c>
      <c r="AN2142" s="133"/>
      <c r="AO2142" s="155"/>
      <c r="AP2142" s="143">
        <f>AP2133/((N_6*AP$27*0.667)*SQRT(AP2143*AP2135*AP2137))</f>
        <v>45.77833956266246</v>
      </c>
      <c r="AQ2142" s="133"/>
      <c r="AR2142" s="155"/>
      <c r="AS2142" s="143">
        <f>AS2133/((N_6*AS$27*0.667)*SQRT(AS2143*AS2135*AS2137))</f>
        <v>63.800432369855486</v>
      </c>
      <c r="AT2142" s="133"/>
      <c r="AU2142" s="155"/>
    </row>
    <row r="2143" spans="13:47" ht="15.5" x14ac:dyDescent="0.4">
      <c r="M2143" s="27"/>
      <c r="N2143" s="27"/>
      <c r="O2143" s="2" t="s">
        <v>192</v>
      </c>
      <c r="P2143" s="85">
        <v>10</v>
      </c>
      <c r="Q2143" s="2"/>
      <c r="R2143" s="181">
        <f>F_GAMMA*R$29</f>
        <v>0.64002688015162901</v>
      </c>
      <c r="S2143" s="133"/>
      <c r="T2143" s="147"/>
      <c r="U2143" s="138">
        <f>F_GAMMA*U$29</f>
        <v>0.64016782916606918</v>
      </c>
      <c r="V2143" s="133"/>
      <c r="W2143" s="155"/>
      <c r="X2143" s="138">
        <f>F_GAMMA*X$29</f>
        <v>0.6307062319203669</v>
      </c>
      <c r="Y2143" s="133"/>
      <c r="Z2143" s="155"/>
      <c r="AA2143" s="138">
        <f>F_GAMMA*AA$29</f>
        <v>0.62217534213893466</v>
      </c>
      <c r="AB2143" s="133"/>
      <c r="AC2143" s="155"/>
      <c r="AD2143" s="138">
        <f>F_GAMMA*AD$29</f>
        <v>0.60557184969146072</v>
      </c>
      <c r="AE2143" s="133"/>
      <c r="AF2143" s="155"/>
      <c r="AG2143" s="138">
        <f>F_GAMMA*AG$29</f>
        <v>0.57289312142622573</v>
      </c>
      <c r="AH2143" s="133"/>
      <c r="AI2143" s="155"/>
      <c r="AJ2143" s="138">
        <f>F_GAMMA*AJ$29</f>
        <v>0.53590819116049981</v>
      </c>
      <c r="AK2143" s="133"/>
      <c r="AL2143" s="155"/>
      <c r="AM2143" s="138">
        <f>F_GAMMA*AM$29</f>
        <v>0.49048815926850342</v>
      </c>
      <c r="AN2143" s="133"/>
      <c r="AO2143" s="155"/>
      <c r="AP2143" s="138">
        <f>F_GAMMA*AP$29</f>
        <v>0.59352979016280105</v>
      </c>
      <c r="AQ2143" s="133"/>
      <c r="AR2143" s="155"/>
      <c r="AS2143" s="138">
        <f>F_GAMMA*AS$29</f>
        <v>0.39097221161068291</v>
      </c>
      <c r="AT2143" s="133"/>
      <c r="AU2143" s="155"/>
    </row>
    <row r="2144" spans="13:47" x14ac:dyDescent="0.25">
      <c r="M2144" s="27"/>
      <c r="N2144" s="27"/>
      <c r="O2144" s="2" t="s">
        <v>193</v>
      </c>
      <c r="P2144" s="134"/>
      <c r="Q2144" s="2"/>
      <c r="R2144" s="181">
        <f>IF(R2139&lt;R2143,R2141,R2142)</f>
        <v>0.96562422049942642</v>
      </c>
      <c r="S2144" s="133"/>
      <c r="T2144" s="147"/>
      <c r="U2144" s="138">
        <f>IF(U2139&lt;U2143,U2141,U2142)</f>
        <v>9.1179353501788203</v>
      </c>
      <c r="V2144" s="133"/>
      <c r="W2144" s="155"/>
      <c r="X2144" s="138">
        <f>IF(X2139&lt;X2143,X2141,X2142)</f>
        <v>25.360520102213762</v>
      </c>
      <c r="Y2144" s="133"/>
      <c r="Z2144" s="155"/>
      <c r="AA2144" s="138">
        <f>IF(AA2139&lt;AA2143,AA2141,AA2142)</f>
        <v>97.564550941480945</v>
      </c>
      <c r="AB2144" s="133"/>
      <c r="AC2144" s="155"/>
      <c r="AD2144" s="138">
        <f>IF(AD2139&lt;AD2143,AD2141,AD2142)</f>
        <v>1152.1267739913808</v>
      </c>
      <c r="AE2144" s="133"/>
      <c r="AF2144" s="155"/>
      <c r="AG2144" s="138">
        <f>IF(AG2139&lt;AG2143,AG2141,AG2142)</f>
        <v>98.312733324055344</v>
      </c>
      <c r="AH2144" s="133"/>
      <c r="AI2144" s="155"/>
      <c r="AJ2144" s="138">
        <f>IF(AJ2139&lt;AJ2143,AJ2141,AJ2142)</f>
        <v>61.432744546233224</v>
      </c>
      <c r="AK2144" s="133"/>
      <c r="AL2144" s="155"/>
      <c r="AM2144" s="138">
        <f>IF(AM2139&lt;AM2143,AM2141,AM2142)</f>
        <v>52.133267601351946</v>
      </c>
      <c r="AN2144" s="133"/>
      <c r="AO2144" s="155"/>
      <c r="AP2144" s="138">
        <f>IF(AP2139&lt;AP2143,AP2141,AP2142)</f>
        <v>45.77833956266246</v>
      </c>
      <c r="AQ2144" s="133"/>
      <c r="AR2144" s="155"/>
      <c r="AS2144" s="138">
        <f>IF(AS2139&lt;AS2143,AS2141,AS2142)</f>
        <v>63.800432369855486</v>
      </c>
      <c r="AT2144" s="133"/>
      <c r="AU2144" s="155"/>
    </row>
    <row r="2145" spans="13:47" ht="13" x14ac:dyDescent="0.3">
      <c r="M2145" s="28"/>
      <c r="N2145" s="28"/>
      <c r="O2145" s="9" t="s">
        <v>194</v>
      </c>
      <c r="P2145" s="1"/>
      <c r="Q2145" s="1"/>
      <c r="R2145" s="135"/>
      <c r="S2145" s="132">
        <f>IF(R2138&lt;=0,W_max,ABS(R$23-R2144))</f>
        <v>1.0343757795005737</v>
      </c>
      <c r="T2145" s="151">
        <f>R2133</f>
        <v>223.27045167943189</v>
      </c>
      <c r="U2145" s="135"/>
      <c r="V2145" s="132">
        <f>IF(U2138&lt;=0,W_max,ABS(U$23-U2144))</f>
        <v>4.1179353501788203</v>
      </c>
      <c r="W2145" s="151">
        <f>U2133</f>
        <v>2066.5393225819121</v>
      </c>
      <c r="X2145" s="135"/>
      <c r="Y2145" s="132">
        <f>IF(X2138&lt;=0,W_max,ABS(X$23-X2144))</f>
        <v>15.360520102213762</v>
      </c>
      <c r="Z2145" s="151">
        <f>X2133</f>
        <v>5110.7976658072103</v>
      </c>
      <c r="AA2145" s="135"/>
      <c r="AB2145" s="132">
        <f>IF(AA2138&lt;=0,W_max,ABS(AA$23-AA2144))</f>
        <v>80.364550941480942</v>
      </c>
      <c r="AC2145" s="151">
        <f>AA2133</f>
        <v>9954.529345329709</v>
      </c>
      <c r="AD2145" s="135"/>
      <c r="AE2145" s="132">
        <f>IF(AD2138&lt;=0,W_max,ABS(AD$23-AD2144))</f>
        <v>7174</v>
      </c>
      <c r="AF2145" s="151">
        <f>AD2133</f>
        <v>16371.535732807988</v>
      </c>
      <c r="AG2145" s="135"/>
      <c r="AH2145" s="132">
        <f>IF(AG2138&lt;=0,W_max,ABS(AG$23-AG2144))</f>
        <v>7174</v>
      </c>
      <c r="AI2145" s="151">
        <f>AG2133</f>
        <v>22962.33924708929</v>
      </c>
      <c r="AJ2145" s="135"/>
      <c r="AK2145" s="132">
        <f>IF(AJ2138&lt;=0,W_max,ABS(AJ$23-AJ2144))</f>
        <v>7174</v>
      </c>
      <c r="AL2145" s="151">
        <f>AJ2133</f>
        <v>29156.077753373509</v>
      </c>
      <c r="AM2145" s="135"/>
      <c r="AN2145" s="132">
        <f>IF(AM2138&lt;=0,W_max,ABS(AM$23-AM2144))</f>
        <v>7174</v>
      </c>
      <c r="AO2145" s="151">
        <f>AM2133</f>
        <v>34187.794143340703</v>
      </c>
      <c r="AP2145" s="135"/>
      <c r="AQ2145" s="132">
        <f>IF(AP2138&lt;=0,W_max,ABS(AP$23-AP2144))</f>
        <v>7174</v>
      </c>
      <c r="AR2145" s="151">
        <f>AP2133</f>
        <v>38142.239768035113</v>
      </c>
      <c r="AS2145" s="135"/>
      <c r="AT2145" s="132">
        <f>IF(AS2138&lt;=0,W_max,ABS(AS$23-AS2144))</f>
        <v>7174</v>
      </c>
      <c r="AU2145" s="151">
        <f>AS2133</f>
        <v>42554.08958011584</v>
      </c>
    </row>
    <row r="2146" spans="13:47" ht="13" x14ac:dyDescent="0.25">
      <c r="M2146" s="12"/>
      <c r="N2146" s="12"/>
      <c r="O2146" s="12"/>
      <c r="P2146" s="12"/>
      <c r="Q2146" s="12"/>
      <c r="R2146" s="182"/>
      <c r="S2146" s="22"/>
      <c r="T2146" s="152"/>
      <c r="U2146" s="157"/>
      <c r="V2146" s="1"/>
      <c r="W2146" s="147"/>
      <c r="X2146" s="157"/>
      <c r="Y2146" s="1"/>
      <c r="Z2146" s="147"/>
      <c r="AA2146" s="157"/>
      <c r="AB2146" s="1"/>
      <c r="AC2146" s="147"/>
      <c r="AD2146" s="157"/>
      <c r="AE2146" s="1"/>
      <c r="AF2146" s="147"/>
      <c r="AG2146" s="157"/>
      <c r="AH2146" s="1"/>
      <c r="AI2146" s="147"/>
      <c r="AJ2146" s="157"/>
      <c r="AK2146" s="1"/>
      <c r="AL2146" s="147"/>
      <c r="AM2146" s="157"/>
      <c r="AN2146" s="1"/>
      <c r="AO2146" s="147"/>
      <c r="AP2146" s="157"/>
      <c r="AQ2146" s="1"/>
      <c r="AR2146" s="147"/>
      <c r="AS2146" s="157"/>
      <c r="AT2146" s="1"/>
      <c r="AU2146" s="147"/>
    </row>
    <row r="2147" spans="13:47" ht="14" x14ac:dyDescent="0.3">
      <c r="M2147" s="23"/>
      <c r="N2147" s="23"/>
      <c r="O2147" s="23" t="s">
        <v>238</v>
      </c>
      <c r="P2147" s="20"/>
      <c r="Q2147" s="20"/>
      <c r="R2147" s="18">
        <f>R2133*1.02</f>
        <v>227.73586071302051</v>
      </c>
      <c r="S2147" s="128" t="s">
        <v>185</v>
      </c>
      <c r="T2147" s="153" t="s">
        <v>186</v>
      </c>
      <c r="U2147" s="143">
        <f>U2133*1.01</f>
        <v>2087.2047158077312</v>
      </c>
      <c r="V2147" s="128" t="s">
        <v>185</v>
      </c>
      <c r="W2147" s="153" t="s">
        <v>186</v>
      </c>
      <c r="X2147" s="143">
        <f>X2133*1.01</f>
        <v>5161.9056424652827</v>
      </c>
      <c r="Y2147" s="128" t="s">
        <v>185</v>
      </c>
      <c r="Z2147" s="153" t="s">
        <v>186</v>
      </c>
      <c r="AA2147" s="143">
        <f>AA2133*1.01</f>
        <v>10054.074638783006</v>
      </c>
      <c r="AB2147" s="128" t="s">
        <v>185</v>
      </c>
      <c r="AC2147" s="153" t="s">
        <v>186</v>
      </c>
      <c r="AD2147" s="143">
        <f>AD2133*1.01</f>
        <v>16535.251090136069</v>
      </c>
      <c r="AE2147" s="128" t="s">
        <v>185</v>
      </c>
      <c r="AF2147" s="153" t="s">
        <v>186</v>
      </c>
      <c r="AG2147" s="143">
        <f>AG2133*1.01</f>
        <v>23191.962639560184</v>
      </c>
      <c r="AH2147" s="128" t="s">
        <v>185</v>
      </c>
      <c r="AI2147" s="153" t="s">
        <v>186</v>
      </c>
      <c r="AJ2147" s="143">
        <f>AJ2133*1.01</f>
        <v>29447.638530907243</v>
      </c>
      <c r="AK2147" s="128" t="s">
        <v>185</v>
      </c>
      <c r="AL2147" s="153" t="s">
        <v>186</v>
      </c>
      <c r="AM2147" s="143">
        <f>AM2133*1.01</f>
        <v>34529.672084774109</v>
      </c>
      <c r="AN2147" s="128" t="s">
        <v>185</v>
      </c>
      <c r="AO2147" s="153" t="s">
        <v>186</v>
      </c>
      <c r="AP2147" s="143">
        <f>AP2133*1.01</f>
        <v>38523.662165715468</v>
      </c>
      <c r="AQ2147" s="128" t="s">
        <v>185</v>
      </c>
      <c r="AR2147" s="153" t="s">
        <v>186</v>
      </c>
      <c r="AS2147" s="143">
        <f>AS2133*1.01</f>
        <v>42979.630475917002</v>
      </c>
      <c r="AT2147" s="128" t="s">
        <v>185</v>
      </c>
      <c r="AU2147" s="153" t="s">
        <v>186</v>
      </c>
    </row>
    <row r="2148" spans="13:47" ht="14" x14ac:dyDescent="0.3">
      <c r="M2148" s="12"/>
      <c r="N2148" s="12"/>
      <c r="O2148" s="20"/>
      <c r="P2148" s="20"/>
      <c r="Q2148" s="23"/>
      <c r="R2148" s="139"/>
      <c r="S2148" s="130" t="s">
        <v>228</v>
      </c>
      <c r="T2148" s="154" t="s">
        <v>187</v>
      </c>
      <c r="U2148" s="144"/>
      <c r="V2148" s="130" t="s">
        <v>228</v>
      </c>
      <c r="W2148" s="154" t="s">
        <v>187</v>
      </c>
      <c r="X2148" s="144"/>
      <c r="Y2148" s="130" t="s">
        <v>228</v>
      </c>
      <c r="Z2148" s="154" t="s">
        <v>187</v>
      </c>
      <c r="AA2148" s="144"/>
      <c r="AB2148" s="130" t="s">
        <v>228</v>
      </c>
      <c r="AC2148" s="154" t="s">
        <v>187</v>
      </c>
      <c r="AD2148" s="144"/>
      <c r="AE2148" s="130" t="s">
        <v>228</v>
      </c>
      <c r="AF2148" s="154" t="s">
        <v>187</v>
      </c>
      <c r="AG2148" s="144"/>
      <c r="AH2148" s="130" t="s">
        <v>228</v>
      </c>
      <c r="AI2148" s="154" t="s">
        <v>187</v>
      </c>
      <c r="AJ2148" s="144"/>
      <c r="AK2148" s="130" t="s">
        <v>228</v>
      </c>
      <c r="AL2148" s="154" t="s">
        <v>187</v>
      </c>
      <c r="AM2148" s="144"/>
      <c r="AN2148" s="130" t="s">
        <v>228</v>
      </c>
      <c r="AO2148" s="154" t="s">
        <v>187</v>
      </c>
      <c r="AP2148" s="144"/>
      <c r="AQ2148" s="130" t="s">
        <v>228</v>
      </c>
      <c r="AR2148" s="154" t="s">
        <v>187</v>
      </c>
      <c r="AS2148" s="144"/>
      <c r="AT2148" s="130" t="s">
        <v>228</v>
      </c>
      <c r="AU2148" s="154" t="s">
        <v>187</v>
      </c>
    </row>
    <row r="2149" spans="13:47" x14ac:dyDescent="0.25">
      <c r="M2149" s="20"/>
      <c r="N2149" s="20"/>
      <c r="O2149" s="7" t="s">
        <v>188</v>
      </c>
      <c r="P2149" s="7"/>
      <c r="Q2149" s="7"/>
      <c r="R2149" s="181">
        <f>P_1_minW-(R2147^2*R_up)+dpup_minQ</f>
        <v>100.50210550346775</v>
      </c>
      <c r="S2149" s="132"/>
      <c r="T2149" s="145"/>
      <c r="U2149" s="138">
        <f>P_1_minW-(U2147^2*R_up)+dpup_minQ</f>
        <v>98.785611290953355</v>
      </c>
      <c r="V2149" s="132"/>
      <c r="W2149" s="145"/>
      <c r="X2149" s="138">
        <f>P_1_minW-(X2147^2*R_up)+dpup_minQ</f>
        <v>89.897669992035361</v>
      </c>
      <c r="Y2149" s="132"/>
      <c r="Z2149" s="145"/>
      <c r="AA2149" s="138">
        <f>P_1_minW-(AA2147^2*R_up)+dpup_minQ</f>
        <v>60.214179032931312</v>
      </c>
      <c r="AB2149" s="132"/>
      <c r="AC2149" s="145"/>
      <c r="AD2149" s="138">
        <f>P_1_minW-(AD2147^2*R_up)+dpup_minQ</f>
        <v>-8.5044928252262508</v>
      </c>
      <c r="AE2149" s="132"/>
      <c r="AF2149" s="145"/>
      <c r="AG2149" s="138">
        <f>P_1_minW-(AG2147^2*R_up)+dpup_minQ</f>
        <v>-113.9580982556564</v>
      </c>
      <c r="AH2149" s="132"/>
      <c r="AI2149" s="145"/>
      <c r="AJ2149" s="138">
        <f>P_1_minW-(AJ2147^2*R_up)+dpup_minQ</f>
        <v>-245.26888921240689</v>
      </c>
      <c r="AK2149" s="132"/>
      <c r="AL2149" s="145"/>
      <c r="AM2149" s="138">
        <f>P_1_minW-(AM2147^2*R_up)+dpup_minQ</f>
        <v>-374.9202548231803</v>
      </c>
      <c r="AN2149" s="132"/>
      <c r="AO2149" s="145"/>
      <c r="AP2149" s="138">
        <f>P_1_minW-(AP2147^2*R_up)+dpup_minQ</f>
        <v>-491.26870750110584</v>
      </c>
      <c r="AQ2149" s="132"/>
      <c r="AR2149" s="145"/>
      <c r="AS2149" s="138">
        <f>P_1_minW-(AS2147^2*R_up)+dpup_minQ</f>
        <v>-636.08947180679991</v>
      </c>
      <c r="AT2149" s="132"/>
      <c r="AU2149" s="145"/>
    </row>
    <row r="2150" spans="13:47" x14ac:dyDescent="0.25">
      <c r="M2150" s="20"/>
      <c r="N2150" s="20"/>
      <c r="O2150" s="7" t="s">
        <v>189</v>
      </c>
      <c r="P2150" s="1"/>
      <c r="Q2150" s="7"/>
      <c r="R2150" s="181">
        <f>P_2_minW+(R2147^2*R_dn)-dpdn_minQ</f>
        <v>50</v>
      </c>
      <c r="S2150" s="132"/>
      <c r="T2150" s="146"/>
      <c r="U2150" s="138">
        <f>P_2_minW+(U2147^2*R_dn)-dpdn_minQ</f>
        <v>50</v>
      </c>
      <c r="V2150" s="132"/>
      <c r="W2150" s="146"/>
      <c r="X2150" s="138">
        <f>P_2_minW+(X2147^2*R_dn)-dpdn_minQ</f>
        <v>50</v>
      </c>
      <c r="Y2150" s="132"/>
      <c r="Z2150" s="146"/>
      <c r="AA2150" s="138">
        <f>P_2_minW+(AA2147^2*R_dn)-dpdn_minQ</f>
        <v>50</v>
      </c>
      <c r="AB2150" s="132"/>
      <c r="AC2150" s="146"/>
      <c r="AD2150" s="138">
        <f>P_2_minW+(AD2147^2*R_dn)-dpdn_minQ</f>
        <v>50</v>
      </c>
      <c r="AE2150" s="132"/>
      <c r="AF2150" s="146"/>
      <c r="AG2150" s="138">
        <f>P_2_minW+(AG2147^2*R_dn)-dpdn_minQ</f>
        <v>50</v>
      </c>
      <c r="AH2150" s="132"/>
      <c r="AI2150" s="146"/>
      <c r="AJ2150" s="138">
        <f>P_2_minW+(AJ2147^2*R_dn)-dpdn_minQ</f>
        <v>50</v>
      </c>
      <c r="AK2150" s="132"/>
      <c r="AL2150" s="146"/>
      <c r="AM2150" s="138">
        <f>P_2_minW+(AM2147^2*R_dn)-dpdn_minQ</f>
        <v>50</v>
      </c>
      <c r="AN2150" s="132"/>
      <c r="AO2150" s="146"/>
      <c r="AP2150" s="138">
        <f>P_2_minW+(AP2147^2*R_dn)-dpdn_minQ</f>
        <v>50</v>
      </c>
      <c r="AQ2150" s="132"/>
      <c r="AR2150" s="146"/>
      <c r="AS2150" s="138">
        <f>P_2_minW+(AS2147^2*R_dn)-dpdn_minQ</f>
        <v>50</v>
      </c>
      <c r="AT2150" s="132"/>
      <c r="AU2150" s="146"/>
    </row>
    <row r="2151" spans="13:47" x14ac:dyDescent="0.25">
      <c r="M2151" s="20"/>
      <c r="N2151" s="20"/>
      <c r="O2151" s="7" t="s">
        <v>234</v>
      </c>
      <c r="P2151" s="1"/>
      <c r="Q2151" s="7"/>
      <c r="R2151" s="179">
        <f>'Valve Sizing'!G$8*R2149/P_1_maxW</f>
        <v>0.48480426365171631</v>
      </c>
      <c r="S2151" s="132"/>
      <c r="T2151" s="146"/>
      <c r="U2151" s="143">
        <f>'Valve Sizing'!$G$8*U2149/P_1_maxW</f>
        <v>0.47652420117350525</v>
      </c>
      <c r="V2151" s="132"/>
      <c r="W2151" s="146"/>
      <c r="X2151" s="143">
        <f>'Valve Sizing'!$G$8*X2149/P_1_maxW</f>
        <v>0.43365035474794017</v>
      </c>
      <c r="Y2151" s="132"/>
      <c r="Z2151" s="146"/>
      <c r="AA2151" s="143">
        <f>'Valve Sizing'!$G$8*AA2149/P_1_maxW</f>
        <v>0.29046247918105189</v>
      </c>
      <c r="AB2151" s="132"/>
      <c r="AC2151" s="146"/>
      <c r="AD2151" s="143">
        <f>'Valve Sizing'!$G$8*AD2149/P_1_maxW</f>
        <v>-4.1024159257269051E-2</v>
      </c>
      <c r="AE2151" s="132"/>
      <c r="AF2151" s="146"/>
      <c r="AG2151" s="143">
        <f>'Valve Sizing'!$G$8*AG2149/P_1_maxW</f>
        <v>-0.54971357699642587</v>
      </c>
      <c r="AH2151" s="132"/>
      <c r="AI2151" s="146"/>
      <c r="AJ2151" s="143">
        <f>'Valve Sizing'!$G$8*AJ2149/P_1_maxW</f>
        <v>-1.1831334541264162</v>
      </c>
      <c r="AK2151" s="132"/>
      <c r="AL2151" s="146"/>
      <c r="AM2151" s="143">
        <f>'Valve Sizing'!$G$8*AM2149/P_1_maxW</f>
        <v>-1.8085485588298862</v>
      </c>
      <c r="AN2151" s="132"/>
      <c r="AO2151" s="146"/>
      <c r="AP2151" s="143">
        <f>'Valve Sizing'!$G$8*AP2149/P_1_maxW</f>
        <v>-2.3697927799829648</v>
      </c>
      <c r="AQ2151" s="132"/>
      <c r="AR2151" s="146"/>
      <c r="AS2151" s="143">
        <f>'Valve Sizing'!$G$8*AS2149/P_1_maxW</f>
        <v>-3.0683823632457576</v>
      </c>
      <c r="AT2151" s="132"/>
      <c r="AU2151" s="146"/>
    </row>
    <row r="2152" spans="13:47" x14ac:dyDescent="0.25">
      <c r="M2152" s="20"/>
      <c r="N2152" s="20"/>
      <c r="O2152" s="7" t="s">
        <v>190</v>
      </c>
      <c r="P2152" s="1"/>
      <c r="Q2152" s="7"/>
      <c r="R2152" s="181">
        <f>R2149-R2150</f>
        <v>50.502105503467746</v>
      </c>
      <c r="S2152" s="132"/>
      <c r="T2152" s="146"/>
      <c r="U2152" s="138">
        <f>U2149-U2150</f>
        <v>48.785611290953355</v>
      </c>
      <c r="V2152" s="132"/>
      <c r="W2152" s="146"/>
      <c r="X2152" s="138">
        <f>X2149-X2150</f>
        <v>39.897669992035361</v>
      </c>
      <c r="Y2152" s="132"/>
      <c r="Z2152" s="146"/>
      <c r="AA2152" s="138">
        <f>AA2149-AA2150</f>
        <v>10.214179032931312</v>
      </c>
      <c r="AB2152" s="132"/>
      <c r="AC2152" s="146"/>
      <c r="AD2152" s="138">
        <f>AD2149-AD2150</f>
        <v>-58.504492825226251</v>
      </c>
      <c r="AE2152" s="132"/>
      <c r="AF2152" s="146"/>
      <c r="AG2152" s="138">
        <f>AG2149-AG2150</f>
        <v>-163.95809825565641</v>
      </c>
      <c r="AH2152" s="132"/>
      <c r="AI2152" s="146"/>
      <c r="AJ2152" s="138">
        <f>AJ2149-AJ2150</f>
        <v>-295.26888921240686</v>
      </c>
      <c r="AK2152" s="132"/>
      <c r="AL2152" s="146"/>
      <c r="AM2152" s="138">
        <f>AM2149-AM2150</f>
        <v>-424.9202548231803</v>
      </c>
      <c r="AN2152" s="132"/>
      <c r="AO2152" s="146"/>
      <c r="AP2152" s="138">
        <f>AP2149-AP2150</f>
        <v>-541.26870750110584</v>
      </c>
      <c r="AQ2152" s="132"/>
      <c r="AR2152" s="146"/>
      <c r="AS2152" s="138">
        <f>AS2149-AS2150</f>
        <v>-686.08947180679991</v>
      </c>
      <c r="AT2152" s="132"/>
      <c r="AU2152" s="146"/>
    </row>
    <row r="2153" spans="13:47" ht="14.5" x14ac:dyDescent="0.35">
      <c r="M2153" s="27"/>
      <c r="N2153" s="27"/>
      <c r="O2153" s="2" t="s">
        <v>191</v>
      </c>
      <c r="P2153" s="10"/>
      <c r="Q2153" s="2"/>
      <c r="R2153" s="181">
        <f>R2152/R2149</f>
        <v>0.502497984997192</v>
      </c>
      <c r="S2153" s="132"/>
      <c r="T2153" s="146"/>
      <c r="U2153" s="138">
        <f>U2152/U2149</f>
        <v>0.49385341299620089</v>
      </c>
      <c r="V2153" s="132"/>
      <c r="W2153" s="146"/>
      <c r="X2153" s="138">
        <f>X2152/X2149</f>
        <v>0.44381205870597273</v>
      </c>
      <c r="Y2153" s="132"/>
      <c r="Z2153" s="146"/>
      <c r="AA2153" s="138">
        <f>AA2152/AA2149</f>
        <v>0.16963079455663005</v>
      </c>
      <c r="AB2153" s="132"/>
      <c r="AC2153" s="146"/>
      <c r="AD2153" s="138">
        <f>AD2152/AD2149</f>
        <v>6.8792453621324343</v>
      </c>
      <c r="AE2153" s="132"/>
      <c r="AF2153" s="146"/>
      <c r="AG2153" s="138">
        <f>AG2152/AG2149</f>
        <v>1.4387577606624216</v>
      </c>
      <c r="AH2153" s="132"/>
      <c r="AI2153" s="146"/>
      <c r="AJ2153" s="138">
        <f>AJ2152/AJ2149</f>
        <v>1.2038578971860519</v>
      </c>
      <c r="AK2153" s="132"/>
      <c r="AL2153" s="146"/>
      <c r="AM2153" s="138">
        <f>AM2152/AM2149</f>
        <v>1.1333616932048149</v>
      </c>
      <c r="AN2153" s="132"/>
      <c r="AO2153" s="146"/>
      <c r="AP2153" s="138">
        <f>AP2152/AP2149</f>
        <v>1.1017772946588247</v>
      </c>
      <c r="AQ2153" s="132"/>
      <c r="AR2153" s="146"/>
      <c r="AS2153" s="138">
        <f>AS2152/AS2149</f>
        <v>1.0786052940916879</v>
      </c>
      <c r="AT2153" s="132"/>
      <c r="AU2153" s="146"/>
    </row>
    <row r="2154" spans="13:47" x14ac:dyDescent="0.25">
      <c r="M2154" s="27"/>
      <c r="N2154" s="27"/>
      <c r="O2154" s="2" t="s">
        <v>26</v>
      </c>
      <c r="P2154" s="7">
        <v>12</v>
      </c>
      <c r="Q2154" s="2"/>
      <c r="R2154" s="181">
        <f>1-R2153/(3*F_GAMMA*R$29)</f>
        <v>0.73829329122440135</v>
      </c>
      <c r="S2154" s="133"/>
      <c r="T2154" s="146"/>
      <c r="U2154" s="138">
        <f>1-U2153/(3*F_GAMMA*U$29)</f>
        <v>0.74285211341139945</v>
      </c>
      <c r="V2154" s="133"/>
      <c r="W2154" s="146"/>
      <c r="X2154" s="138">
        <f>1-X2153/(3*F_GAMMA*X$29)</f>
        <v>0.765441745435822</v>
      </c>
      <c r="Y2154" s="133"/>
      <c r="Z2154" s="146"/>
      <c r="AA2154" s="138">
        <f>1-AA2153/(3*F_GAMMA*AA$29)</f>
        <v>0.90911951285122305</v>
      </c>
      <c r="AB2154" s="133"/>
      <c r="AC2154" s="146"/>
      <c r="AD2154" s="138">
        <f>1-AD2153/(3*F_GAMMA*AD$29)</f>
        <v>-2.7866386763945594</v>
      </c>
      <c r="AE2154" s="133"/>
      <c r="AF2154" s="146"/>
      <c r="AG2154" s="138">
        <f>1-AG2153/(3*F_GAMMA*AG$29)</f>
        <v>0.16287017196703102</v>
      </c>
      <c r="AH2154" s="133"/>
      <c r="AI2154" s="146"/>
      <c r="AJ2154" s="138">
        <f>1-AJ2153/(3*F_GAMMA*AJ$29)</f>
        <v>0.25120389583949776</v>
      </c>
      <c r="AK2154" s="133"/>
      <c r="AL2154" s="146"/>
      <c r="AM2154" s="138">
        <f>1-AM2153/(3*F_GAMMA*AM$29)</f>
        <v>0.22977298446574113</v>
      </c>
      <c r="AN2154" s="133"/>
      <c r="AO2154" s="146"/>
      <c r="AP2154" s="138">
        <f>1-AP2153/(3*F_GAMMA*AP$29)</f>
        <v>0.38122887122671356</v>
      </c>
      <c r="AQ2154" s="133"/>
      <c r="AR2154" s="146"/>
      <c r="AS2154" s="138">
        <f>1-AS2153/(3*F_GAMMA*AS$29)</f>
        <v>8.0407539580905851E-2</v>
      </c>
      <c r="AT2154" s="133"/>
      <c r="AU2154" s="146"/>
    </row>
    <row r="2155" spans="13:47" x14ac:dyDescent="0.25">
      <c r="M2155" s="27"/>
      <c r="N2155" s="27"/>
      <c r="O2155" s="2" t="s">
        <v>71</v>
      </c>
      <c r="P2155" s="85">
        <v>5</v>
      </c>
      <c r="Q2155" s="2"/>
      <c r="R2155" s="179">
        <f>R2147/((N_6*R$27*R2154)*SQRT(R2153*R2149*R2151))</f>
        <v>0.98494570911310453</v>
      </c>
      <c r="S2155" s="133"/>
      <c r="T2155" s="146"/>
      <c r="U2155" s="143">
        <f>U2147/((N_6*U$27*U2154)*SQRT(U2153*U2149*U2151))</f>
        <v>9.2128084233380285</v>
      </c>
      <c r="V2155" s="133"/>
      <c r="W2155" s="146"/>
      <c r="X2155" s="143">
        <f>X2147/((N_6*X$27*X2154)*SQRT(X2153*X2149*X2151))</f>
        <v>25.688185813215274</v>
      </c>
      <c r="Y2155" s="133"/>
      <c r="Z2155" s="146"/>
      <c r="AA2155" s="143">
        <f>AA2147/((N_6*AA$27*AA2154)*SQRT(AA2153*AA2149*AA2151))</f>
        <v>102.31612673320927</v>
      </c>
      <c r="AB2155" s="133"/>
      <c r="AC2155" s="146"/>
      <c r="AD2155" s="143">
        <f>AD2147/((N_6*AD$27*AD2154)*SQRT(AD2153*AD2149*AD2151))</f>
        <v>-61.763241102252977</v>
      </c>
      <c r="AE2155" s="133"/>
      <c r="AF2155" s="146"/>
      <c r="AG2155" s="143">
        <f>AG2147/((N_6*AG$27*AG2154)*SQRT(AG2153*AG2149*AG2151))</f>
        <v>247.08501097892699</v>
      </c>
      <c r="AH2155" s="133"/>
      <c r="AI2155" s="146"/>
      <c r="AJ2155" s="143">
        <f>AJ2147/((N_6*AJ$27*AJ2154)*SQRT(AJ2153*AJ2149*AJ2151))</f>
        <v>106.86686932662514</v>
      </c>
      <c r="AK2155" s="133"/>
      <c r="AL2155" s="146"/>
      <c r="AM2155" s="143">
        <f>AM2147/((N_6*AM$27*AM2154)*SQRT(AM2153*AM2149*AM2151))</f>
        <v>98.040072843808687</v>
      </c>
      <c r="AN2155" s="133"/>
      <c r="AO2155" s="146"/>
      <c r="AP2155" s="143">
        <f>AP2147/((N_6*AP$27*AP2154)*SQRT(AP2153*AP2149*AP2151))</f>
        <v>57.964647528210094</v>
      </c>
      <c r="AQ2155" s="133"/>
      <c r="AR2155" s="146"/>
      <c r="AS2155" s="143">
        <f>AS2147/((N_6*AS$27*AS2154)*SQRT(AS2153*AS2149*AS2151))</f>
        <v>314.47872431669498</v>
      </c>
      <c r="AT2155" s="133"/>
      <c r="AU2155" s="146"/>
    </row>
    <row r="2156" spans="13:47" x14ac:dyDescent="0.25">
      <c r="M2156" s="27"/>
      <c r="N2156" s="27"/>
      <c r="O2156" s="2" t="s">
        <v>73</v>
      </c>
      <c r="P2156" s="85">
        <v>5</v>
      </c>
      <c r="Q2156" s="2"/>
      <c r="R2156" s="179">
        <f>R2147/((N_6*R$27*0.667)*SQRT(R2157*R2149*R2151))</f>
        <v>0.96601403438121136</v>
      </c>
      <c r="S2156" s="133"/>
      <c r="T2156" s="155"/>
      <c r="U2156" s="143">
        <f>U2147/((N_6*U$27*0.667)*SQRT(U2157*U2149*U2151))</f>
        <v>9.0119894918431616</v>
      </c>
      <c r="V2156" s="133"/>
      <c r="W2156" s="155"/>
      <c r="X2156" s="143">
        <f>X2147/((N_6*X$27*0.667)*SQRT(X2157*X2149*X2151))</f>
        <v>24.728953163617284</v>
      </c>
      <c r="Y2156" s="133"/>
      <c r="Z2156" s="155"/>
      <c r="AA2156" s="143">
        <f>AA2147/((N_6*AA$27*0.667)*SQRT(AA2157*AA2149*AA2151))</f>
        <v>72.817403195076665</v>
      </c>
      <c r="AB2156" s="133"/>
      <c r="AC2156" s="155"/>
      <c r="AD2156" s="143">
        <f>AD2147/((N_6*AD$27*0.667)*SQRT(AD2157*AD2149*AD2151))</f>
        <v>869.7059979535843</v>
      </c>
      <c r="AE2156" s="133"/>
      <c r="AF2156" s="155"/>
      <c r="AG2156" s="143">
        <f>AG2147/((N_6*AG$27*0.667)*SQRT(AG2157*AG2149*AG2151))</f>
        <v>95.613487007389196</v>
      </c>
      <c r="AH2156" s="133"/>
      <c r="AI2156" s="155"/>
      <c r="AJ2156" s="143">
        <f>AJ2147/((N_6*AJ$27*0.667)*SQRT(AJ2157*AJ2149*AJ2151))</f>
        <v>60.323431563063835</v>
      </c>
      <c r="AK2156" s="133"/>
      <c r="AL2156" s="155"/>
      <c r="AM2156" s="143">
        <f>AM2147/((N_6*AM$27*0.667)*SQRT(AM2157*AM2149*AM2151))</f>
        <v>51.338923460738307</v>
      </c>
      <c r="AN2156" s="133"/>
      <c r="AO2156" s="155"/>
      <c r="AP2156" s="143">
        <f>AP2147/((N_6*AP$27*0.667)*SQRT(AP2157*AP2149*AP2151))</f>
        <v>45.138673983740489</v>
      </c>
      <c r="AQ2156" s="133"/>
      <c r="AR2156" s="155"/>
      <c r="AS2156" s="143">
        <f>AS2147/((N_6*AS$27*0.667)*SQRT(AS2157*AS2149*AS2151))</f>
        <v>62.968092400891699</v>
      </c>
      <c r="AT2156" s="133"/>
      <c r="AU2156" s="155"/>
    </row>
    <row r="2157" spans="13:47" ht="15.5" x14ac:dyDescent="0.4">
      <c r="M2157" s="27"/>
      <c r="N2157" s="27"/>
      <c r="O2157" s="2" t="s">
        <v>192</v>
      </c>
      <c r="P2157" s="85">
        <v>10</v>
      </c>
      <c r="Q2157" s="2"/>
      <c r="R2157" s="181">
        <f>F_GAMMA*R$29</f>
        <v>0.64002688015162901</v>
      </c>
      <c r="S2157" s="133"/>
      <c r="T2157" s="155"/>
      <c r="U2157" s="138">
        <f>F_GAMMA*U$29</f>
        <v>0.64016782916606918</v>
      </c>
      <c r="V2157" s="133"/>
      <c r="W2157" s="155"/>
      <c r="X2157" s="138">
        <f>F_GAMMA*X$29</f>
        <v>0.6307062319203669</v>
      </c>
      <c r="Y2157" s="133"/>
      <c r="Z2157" s="155"/>
      <c r="AA2157" s="138">
        <f>F_GAMMA*AA$29</f>
        <v>0.62217534213893466</v>
      </c>
      <c r="AB2157" s="133"/>
      <c r="AC2157" s="155"/>
      <c r="AD2157" s="138">
        <f>F_GAMMA*AD$29</f>
        <v>0.60557184969146072</v>
      </c>
      <c r="AE2157" s="133"/>
      <c r="AF2157" s="155"/>
      <c r="AG2157" s="138">
        <f>F_GAMMA*AG$29</f>
        <v>0.57289312142622573</v>
      </c>
      <c r="AH2157" s="133"/>
      <c r="AI2157" s="155"/>
      <c r="AJ2157" s="138">
        <f>F_GAMMA*AJ$29</f>
        <v>0.53590819116049981</v>
      </c>
      <c r="AK2157" s="133"/>
      <c r="AL2157" s="155"/>
      <c r="AM2157" s="138">
        <f>F_GAMMA*AM$29</f>
        <v>0.49048815926850342</v>
      </c>
      <c r="AN2157" s="133"/>
      <c r="AO2157" s="155"/>
      <c r="AP2157" s="138">
        <f>F_GAMMA*AP$29</f>
        <v>0.59352979016280105</v>
      </c>
      <c r="AQ2157" s="133"/>
      <c r="AR2157" s="155"/>
      <c r="AS2157" s="138">
        <f>F_GAMMA*AS$29</f>
        <v>0.39097221161068291</v>
      </c>
      <c r="AT2157" s="133"/>
      <c r="AU2157" s="155"/>
    </row>
    <row r="2158" spans="13:47" x14ac:dyDescent="0.25">
      <c r="M2158" s="27"/>
      <c r="N2158" s="27"/>
      <c r="O2158" s="2" t="s">
        <v>193</v>
      </c>
      <c r="P2158" s="134"/>
      <c r="Q2158" s="2"/>
      <c r="R2158" s="181">
        <f>IF(R2153&lt;R2157,R2155,R2156)</f>
        <v>0.98494570911310453</v>
      </c>
      <c r="S2158" s="133"/>
      <c r="T2158" s="155"/>
      <c r="U2158" s="138">
        <f>IF(U2153&lt;U2157,U2155,U2156)</f>
        <v>9.2128084233380285</v>
      </c>
      <c r="V2158" s="133"/>
      <c r="W2158" s="155"/>
      <c r="X2158" s="138">
        <f>IF(X2153&lt;X2157,X2155,X2156)</f>
        <v>25.688185813215274</v>
      </c>
      <c r="Y2158" s="133"/>
      <c r="Z2158" s="155"/>
      <c r="AA2158" s="138">
        <f>IF(AA2153&lt;AA2157,AA2155,AA2156)</f>
        <v>102.31612673320927</v>
      </c>
      <c r="AB2158" s="133"/>
      <c r="AC2158" s="155"/>
      <c r="AD2158" s="138">
        <f>IF(AD2153&lt;AD2157,AD2155,AD2156)</f>
        <v>869.7059979535843</v>
      </c>
      <c r="AE2158" s="133"/>
      <c r="AF2158" s="155"/>
      <c r="AG2158" s="138">
        <f>IF(AG2153&lt;AG2157,AG2155,AG2156)</f>
        <v>95.613487007389196</v>
      </c>
      <c r="AH2158" s="133"/>
      <c r="AI2158" s="155"/>
      <c r="AJ2158" s="138">
        <f>IF(AJ2153&lt;AJ2157,AJ2155,AJ2156)</f>
        <v>60.323431563063835</v>
      </c>
      <c r="AK2158" s="133"/>
      <c r="AL2158" s="155"/>
      <c r="AM2158" s="138">
        <f>IF(AM2153&lt;AM2157,AM2155,AM2156)</f>
        <v>51.338923460738307</v>
      </c>
      <c r="AN2158" s="133"/>
      <c r="AO2158" s="155"/>
      <c r="AP2158" s="138">
        <f>IF(AP2153&lt;AP2157,AP2155,AP2156)</f>
        <v>45.138673983740489</v>
      </c>
      <c r="AQ2158" s="133"/>
      <c r="AR2158" s="155"/>
      <c r="AS2158" s="138">
        <f>IF(AS2153&lt;AS2157,AS2155,AS2156)</f>
        <v>62.968092400891699</v>
      </c>
      <c r="AT2158" s="133"/>
      <c r="AU2158" s="155"/>
    </row>
    <row r="2159" spans="13:47" ht="13" x14ac:dyDescent="0.3">
      <c r="M2159" s="28"/>
      <c r="N2159" s="28"/>
      <c r="O2159" s="9" t="s">
        <v>194</v>
      </c>
      <c r="P2159" s="1"/>
      <c r="Q2159" s="1"/>
      <c r="R2159" s="135"/>
      <c r="S2159" s="132">
        <f>IF(R2152&lt;=0,W_max,ABS(R$23-R2158))</f>
        <v>1.0150542908868956</v>
      </c>
      <c r="T2159" s="151">
        <f>R2147</f>
        <v>227.73586071302051</v>
      </c>
      <c r="U2159" s="135"/>
      <c r="V2159" s="132">
        <f>IF(U2152&lt;=0,W_max,ABS(U$23-U2158))</f>
        <v>4.2128084233380285</v>
      </c>
      <c r="W2159" s="151">
        <f>U2147</f>
        <v>2087.2047158077312</v>
      </c>
      <c r="X2159" s="135"/>
      <c r="Y2159" s="132">
        <f>IF(X2152&lt;=0,W_max,ABS(X$23-X2158))</f>
        <v>15.688185813215274</v>
      </c>
      <c r="Z2159" s="151">
        <f>X2147</f>
        <v>5161.9056424652827</v>
      </c>
      <c r="AA2159" s="135"/>
      <c r="AB2159" s="132">
        <f>IF(AA2152&lt;=0,W_max,ABS(AA$23-AA2158))</f>
        <v>85.116126733209271</v>
      </c>
      <c r="AC2159" s="151">
        <f>AA2147</f>
        <v>10054.074638783006</v>
      </c>
      <c r="AD2159" s="135"/>
      <c r="AE2159" s="132">
        <f>IF(AD2152&lt;=0,W_max,ABS(AD$23-AD2158))</f>
        <v>7174</v>
      </c>
      <c r="AF2159" s="151">
        <f>AD2147</f>
        <v>16535.251090136069</v>
      </c>
      <c r="AG2159" s="135"/>
      <c r="AH2159" s="132">
        <f>IF(AG2152&lt;=0,W_max,ABS(AG$23-AG2158))</f>
        <v>7174</v>
      </c>
      <c r="AI2159" s="151">
        <f>AG2147</f>
        <v>23191.962639560184</v>
      </c>
      <c r="AJ2159" s="135"/>
      <c r="AK2159" s="132">
        <f>IF(AJ2152&lt;=0,W_max,ABS(AJ$23-AJ2158))</f>
        <v>7174</v>
      </c>
      <c r="AL2159" s="151">
        <f>AJ2147</f>
        <v>29447.638530907243</v>
      </c>
      <c r="AM2159" s="135"/>
      <c r="AN2159" s="132">
        <f>IF(AM2152&lt;=0,W_max,ABS(AM$23-AM2158))</f>
        <v>7174</v>
      </c>
      <c r="AO2159" s="151">
        <f>AM2147</f>
        <v>34529.672084774109</v>
      </c>
      <c r="AP2159" s="135"/>
      <c r="AQ2159" s="132">
        <f>IF(AP2152&lt;=0,W_max,ABS(AP$23-AP2158))</f>
        <v>7174</v>
      </c>
      <c r="AR2159" s="151">
        <f>AP2147</f>
        <v>38523.662165715468</v>
      </c>
      <c r="AS2159" s="135"/>
      <c r="AT2159" s="132">
        <f>IF(AS2152&lt;=0,W_max,ABS(AS$23-AS2158))</f>
        <v>7174</v>
      </c>
      <c r="AU2159" s="151">
        <f>AS2147</f>
        <v>42979.630475917002</v>
      </c>
    </row>
    <row r="2160" spans="13:47" ht="13" x14ac:dyDescent="0.25">
      <c r="M2160" s="12"/>
      <c r="N2160" s="12"/>
      <c r="O2160" s="2"/>
      <c r="P2160" s="85"/>
      <c r="Q2160" s="2"/>
      <c r="R2160" s="18"/>
      <c r="S2160" s="150"/>
      <c r="T2160" s="152"/>
      <c r="U2160" s="157"/>
      <c r="V2160" s="1"/>
      <c r="W2160" s="147"/>
      <c r="X2160" s="157"/>
      <c r="Y2160" s="1"/>
      <c r="Z2160" s="147"/>
      <c r="AA2160" s="157"/>
      <c r="AB2160" s="1"/>
      <c r="AC2160" s="147"/>
      <c r="AD2160" s="157"/>
      <c r="AE2160" s="1"/>
      <c r="AF2160" s="147"/>
      <c r="AG2160" s="157"/>
      <c r="AH2160" s="1"/>
      <c r="AI2160" s="147"/>
      <c r="AJ2160" s="157"/>
      <c r="AK2160" s="1"/>
      <c r="AL2160" s="147"/>
      <c r="AM2160" s="157"/>
      <c r="AN2160" s="1"/>
      <c r="AO2160" s="147"/>
      <c r="AP2160" s="157"/>
      <c r="AQ2160" s="1"/>
      <c r="AR2160" s="147"/>
      <c r="AS2160" s="157"/>
      <c r="AT2160" s="1"/>
      <c r="AU2160" s="147"/>
    </row>
    <row r="2161" spans="13:47" ht="14" x14ac:dyDescent="0.3">
      <c r="M2161" s="23"/>
      <c r="N2161" s="23"/>
      <c r="O2161" s="23" t="s">
        <v>238</v>
      </c>
      <c r="P2161" s="20"/>
      <c r="Q2161" s="20"/>
      <c r="R2161" s="181">
        <f>R2147*1.02</f>
        <v>232.29057792728094</v>
      </c>
      <c r="S2161" s="128" t="s">
        <v>185</v>
      </c>
      <c r="T2161" s="153" t="s">
        <v>186</v>
      </c>
      <c r="U2161" s="143">
        <f>U2147*1.01</f>
        <v>2108.0767629658085</v>
      </c>
      <c r="V2161" s="128" t="s">
        <v>185</v>
      </c>
      <c r="W2161" s="153" t="s">
        <v>186</v>
      </c>
      <c r="X2161" s="143">
        <f>X2147*1.01</f>
        <v>5213.5246988899353</v>
      </c>
      <c r="Y2161" s="128" t="s">
        <v>185</v>
      </c>
      <c r="Z2161" s="153" t="s">
        <v>186</v>
      </c>
      <c r="AA2161" s="143">
        <f>AA2147*1.01</f>
        <v>10154.615385170837</v>
      </c>
      <c r="AB2161" s="128" t="s">
        <v>185</v>
      </c>
      <c r="AC2161" s="153" t="s">
        <v>186</v>
      </c>
      <c r="AD2161" s="143">
        <f>AD2147*1.01</f>
        <v>16700.60360103743</v>
      </c>
      <c r="AE2161" s="128" t="s">
        <v>185</v>
      </c>
      <c r="AF2161" s="153" t="s">
        <v>186</v>
      </c>
      <c r="AG2161" s="143">
        <f>AG2147*1.01</f>
        <v>23423.882265955788</v>
      </c>
      <c r="AH2161" s="128" t="s">
        <v>185</v>
      </c>
      <c r="AI2161" s="153" t="s">
        <v>186</v>
      </c>
      <c r="AJ2161" s="143">
        <f>AJ2147*1.01</f>
        <v>29742.114916216316</v>
      </c>
      <c r="AK2161" s="128" t="s">
        <v>185</v>
      </c>
      <c r="AL2161" s="153" t="s">
        <v>186</v>
      </c>
      <c r="AM2161" s="143">
        <f>AM2147*1.01</f>
        <v>34874.968805621851</v>
      </c>
      <c r="AN2161" s="128" t="s">
        <v>185</v>
      </c>
      <c r="AO2161" s="153" t="s">
        <v>186</v>
      </c>
      <c r="AP2161" s="143">
        <f>AP2147*1.01</f>
        <v>38908.898787372622</v>
      </c>
      <c r="AQ2161" s="128" t="s">
        <v>185</v>
      </c>
      <c r="AR2161" s="153" t="s">
        <v>186</v>
      </c>
      <c r="AS2161" s="143">
        <f>AS2147*1.01</f>
        <v>43409.426780676171</v>
      </c>
      <c r="AT2161" s="128" t="s">
        <v>185</v>
      </c>
      <c r="AU2161" s="153" t="s">
        <v>186</v>
      </c>
    </row>
    <row r="2162" spans="13:47" ht="14" x14ac:dyDescent="0.3">
      <c r="M2162" s="12"/>
      <c r="N2162" s="12"/>
      <c r="O2162" s="20"/>
      <c r="P2162" s="20"/>
      <c r="Q2162" s="23"/>
      <c r="R2162" s="139"/>
      <c r="S2162" s="130" t="s">
        <v>228</v>
      </c>
      <c r="T2162" s="154" t="s">
        <v>187</v>
      </c>
      <c r="U2162" s="144"/>
      <c r="V2162" s="130" t="s">
        <v>228</v>
      </c>
      <c r="W2162" s="154" t="s">
        <v>187</v>
      </c>
      <c r="X2162" s="144"/>
      <c r="Y2162" s="130" t="s">
        <v>228</v>
      </c>
      <c r="Z2162" s="154" t="s">
        <v>187</v>
      </c>
      <c r="AA2162" s="144"/>
      <c r="AB2162" s="130" t="s">
        <v>228</v>
      </c>
      <c r="AC2162" s="154" t="s">
        <v>187</v>
      </c>
      <c r="AD2162" s="144"/>
      <c r="AE2162" s="130" t="s">
        <v>228</v>
      </c>
      <c r="AF2162" s="154" t="s">
        <v>187</v>
      </c>
      <c r="AG2162" s="144"/>
      <c r="AH2162" s="130" t="s">
        <v>228</v>
      </c>
      <c r="AI2162" s="154" t="s">
        <v>187</v>
      </c>
      <c r="AJ2162" s="144"/>
      <c r="AK2162" s="130" t="s">
        <v>228</v>
      </c>
      <c r="AL2162" s="154" t="s">
        <v>187</v>
      </c>
      <c r="AM2162" s="144"/>
      <c r="AN2162" s="130" t="s">
        <v>228</v>
      </c>
      <c r="AO2162" s="154" t="s">
        <v>187</v>
      </c>
      <c r="AP2162" s="144"/>
      <c r="AQ2162" s="130" t="s">
        <v>228</v>
      </c>
      <c r="AR2162" s="154" t="s">
        <v>187</v>
      </c>
      <c r="AS2162" s="144"/>
      <c r="AT2162" s="130" t="s">
        <v>228</v>
      </c>
      <c r="AU2162" s="154" t="s">
        <v>187</v>
      </c>
    </row>
    <row r="2163" spans="13:47" x14ac:dyDescent="0.25">
      <c r="M2163" s="20"/>
      <c r="N2163" s="20"/>
      <c r="O2163" s="7" t="s">
        <v>188</v>
      </c>
      <c r="P2163" s="7"/>
      <c r="Q2163" s="7"/>
      <c r="R2163" s="181">
        <f>P_1_minW-(R2161^2*R_up)+dpup_minQ</f>
        <v>100.50126998164409</v>
      </c>
      <c r="S2163" s="132"/>
      <c r="T2163" s="145"/>
      <c r="U2163" s="138">
        <f>P_1_minW-(U2161^2*R_up)+dpup_minQ</f>
        <v>98.750694064493302</v>
      </c>
      <c r="V2163" s="132"/>
      <c r="W2163" s="145"/>
      <c r="X2163" s="138">
        <f>P_1_minW-(X2161^2*R_up)+dpup_minQ</f>
        <v>89.684105145467072</v>
      </c>
      <c r="Y2163" s="132"/>
      <c r="Z2163" s="145"/>
      <c r="AA2163" s="138">
        <f>P_1_minW-(AA2161^2*R_up)+dpup_minQ</f>
        <v>59.403976018085018</v>
      </c>
      <c r="AB2163" s="132"/>
      <c r="AC2163" s="145"/>
      <c r="AD2163" s="138">
        <f>P_1_minW-(AD2161^2*R_up)+dpup_minQ</f>
        <v>-10.695941144421511</v>
      </c>
      <c r="AE2163" s="132"/>
      <c r="AF2163" s="145"/>
      <c r="AG2163" s="138">
        <f>P_1_minW-(AG2161^2*R_up)+dpup_minQ</f>
        <v>-118.26916404400332</v>
      </c>
      <c r="AH2163" s="132"/>
      <c r="AI2163" s="145"/>
      <c r="AJ2163" s="138">
        <f>P_1_minW-(AJ2161^2*R_up)+dpup_minQ</f>
        <v>-252.21930189898447</v>
      </c>
      <c r="AK2163" s="132"/>
      <c r="AL2163" s="145"/>
      <c r="AM2163" s="138">
        <f>P_1_minW-(AM2161^2*R_up)+dpup_minQ</f>
        <v>-384.47665995853441</v>
      </c>
      <c r="AN2163" s="132"/>
      <c r="AO2163" s="145"/>
      <c r="AP2163" s="138">
        <f>P_1_minW-(AP2161^2*R_up)+dpup_minQ</f>
        <v>-503.16371653528631</v>
      </c>
      <c r="AQ2163" s="132"/>
      <c r="AR2163" s="145"/>
      <c r="AS2163" s="138">
        <f>P_1_minW-(AS2161^2*R_up)+dpup_minQ</f>
        <v>-650.89537820352473</v>
      </c>
      <c r="AT2163" s="132"/>
      <c r="AU2163" s="145"/>
    </row>
    <row r="2164" spans="13:47" x14ac:dyDescent="0.25">
      <c r="M2164" s="20"/>
      <c r="N2164" s="20"/>
      <c r="O2164" s="7" t="s">
        <v>189</v>
      </c>
      <c r="P2164" s="1"/>
      <c r="Q2164" s="7"/>
      <c r="R2164" s="181">
        <f>P_2_minW+(R2161^2*R_dn)-dpdn_minQ</f>
        <v>50</v>
      </c>
      <c r="S2164" s="132"/>
      <c r="T2164" s="146"/>
      <c r="U2164" s="138">
        <f>P_2_minW+(U2161^2*R_dn)-dpdn_minQ</f>
        <v>50</v>
      </c>
      <c r="V2164" s="132"/>
      <c r="W2164" s="146"/>
      <c r="X2164" s="138">
        <f>P_2_minW+(X2161^2*R_dn)-dpdn_minQ</f>
        <v>50</v>
      </c>
      <c r="Y2164" s="132"/>
      <c r="Z2164" s="146"/>
      <c r="AA2164" s="138">
        <f>P_2_minW+(AA2161^2*R_dn)-dpdn_minQ</f>
        <v>50</v>
      </c>
      <c r="AB2164" s="132"/>
      <c r="AC2164" s="146"/>
      <c r="AD2164" s="138">
        <f>P_2_minW+(AD2161^2*R_dn)-dpdn_minQ</f>
        <v>50</v>
      </c>
      <c r="AE2164" s="132"/>
      <c r="AF2164" s="146"/>
      <c r="AG2164" s="138">
        <f>P_2_minW+(AG2161^2*R_dn)-dpdn_minQ</f>
        <v>50</v>
      </c>
      <c r="AH2164" s="132"/>
      <c r="AI2164" s="146"/>
      <c r="AJ2164" s="138">
        <f>P_2_minW+(AJ2161^2*R_dn)-dpdn_minQ</f>
        <v>50</v>
      </c>
      <c r="AK2164" s="132"/>
      <c r="AL2164" s="146"/>
      <c r="AM2164" s="138">
        <f>P_2_minW+(AM2161^2*R_dn)-dpdn_minQ</f>
        <v>50</v>
      </c>
      <c r="AN2164" s="132"/>
      <c r="AO2164" s="146"/>
      <c r="AP2164" s="138">
        <f>P_2_minW+(AP2161^2*R_dn)-dpdn_minQ</f>
        <v>50</v>
      </c>
      <c r="AQ2164" s="132"/>
      <c r="AR2164" s="146"/>
      <c r="AS2164" s="138">
        <f>P_2_minW+(AS2161^2*R_dn)-dpdn_minQ</f>
        <v>50</v>
      </c>
      <c r="AT2164" s="132"/>
      <c r="AU2164" s="146"/>
    </row>
    <row r="2165" spans="13:47" x14ac:dyDescent="0.25">
      <c r="M2165" s="20"/>
      <c r="N2165" s="20"/>
      <c r="O2165" s="7" t="s">
        <v>234</v>
      </c>
      <c r="P2165" s="1"/>
      <c r="Q2165" s="7"/>
      <c r="R2165" s="179">
        <f>'Valve Sizing'!G$8*R2163/P_1_maxW</f>
        <v>0.48480023324319443</v>
      </c>
      <c r="S2165" s="132"/>
      <c r="T2165" s="146"/>
      <c r="U2165" s="143">
        <f>'Valve Sizing'!$G$8*U2163/P_1_maxW</f>
        <v>0.47635576668969098</v>
      </c>
      <c r="V2165" s="132"/>
      <c r="W2165" s="146"/>
      <c r="X2165" s="143">
        <f>'Valve Sizing'!$G$8*X2163/P_1_maxW</f>
        <v>0.43262015595097203</v>
      </c>
      <c r="Y2165" s="132"/>
      <c r="Z2165" s="146"/>
      <c r="AA2165" s="143">
        <f>'Valve Sizing'!$G$8*AA2163/P_1_maxW</f>
        <v>0.28655420408518928</v>
      </c>
      <c r="AB2165" s="132"/>
      <c r="AC2165" s="146"/>
      <c r="AD2165" s="143">
        <f>'Valve Sizing'!$G$8*AD2163/P_1_maxW</f>
        <v>-5.1595315785741891E-2</v>
      </c>
      <c r="AE2165" s="132"/>
      <c r="AF2165" s="146"/>
      <c r="AG2165" s="143">
        <f>'Valve Sizing'!$G$8*AG2163/P_1_maxW</f>
        <v>-0.5705093908214558</v>
      </c>
      <c r="AH2165" s="132"/>
      <c r="AI2165" s="146"/>
      <c r="AJ2165" s="143">
        <f>'Valve Sizing'!$G$8*AJ2163/P_1_maxW</f>
        <v>-1.216661007481759</v>
      </c>
      <c r="AK2165" s="132"/>
      <c r="AL2165" s="146"/>
      <c r="AM2165" s="143">
        <f>'Valve Sizing'!$G$8*AM2163/P_1_maxW</f>
        <v>-1.8546469557897685</v>
      </c>
      <c r="AN2165" s="132"/>
      <c r="AO2165" s="146"/>
      <c r="AP2165" s="143">
        <f>'Valve Sizing'!$G$8*AP2163/P_1_maxW</f>
        <v>-2.4271721857880242</v>
      </c>
      <c r="AQ2165" s="132"/>
      <c r="AR2165" s="146"/>
      <c r="AS2165" s="143">
        <f>'Valve Sizing'!$G$8*AS2163/P_1_maxW</f>
        <v>-3.1398034196743985</v>
      </c>
      <c r="AT2165" s="132"/>
      <c r="AU2165" s="146"/>
    </row>
    <row r="2166" spans="13:47" x14ac:dyDescent="0.25">
      <c r="M2166" s="20"/>
      <c r="N2166" s="20"/>
      <c r="O2166" s="7" t="s">
        <v>190</v>
      </c>
      <c r="P2166" s="1"/>
      <c r="Q2166" s="7"/>
      <c r="R2166" s="181">
        <f>R2163-R2164</f>
        <v>50.501269981644086</v>
      </c>
      <c r="S2166" s="132"/>
      <c r="T2166" s="146"/>
      <c r="U2166" s="138">
        <f>U2163-U2164</f>
        <v>48.750694064493302</v>
      </c>
      <c r="V2166" s="132"/>
      <c r="W2166" s="146"/>
      <c r="X2166" s="138">
        <f>X2163-X2164</f>
        <v>39.684105145467072</v>
      </c>
      <c r="Y2166" s="132"/>
      <c r="Z2166" s="146"/>
      <c r="AA2166" s="138">
        <f>AA2163-AA2164</f>
        <v>9.403976018085018</v>
      </c>
      <c r="AB2166" s="132"/>
      <c r="AC2166" s="146"/>
      <c r="AD2166" s="138">
        <f>AD2163-AD2164</f>
        <v>-60.695941144421511</v>
      </c>
      <c r="AE2166" s="132"/>
      <c r="AF2166" s="146"/>
      <c r="AG2166" s="138">
        <f>AG2163-AG2164</f>
        <v>-168.26916404400333</v>
      </c>
      <c r="AH2166" s="132"/>
      <c r="AI2166" s="146"/>
      <c r="AJ2166" s="138">
        <f>AJ2163-AJ2164</f>
        <v>-302.21930189898444</v>
      </c>
      <c r="AK2166" s="132"/>
      <c r="AL2166" s="146"/>
      <c r="AM2166" s="138">
        <f>AM2163-AM2164</f>
        <v>-434.47665995853441</v>
      </c>
      <c r="AN2166" s="132"/>
      <c r="AO2166" s="146"/>
      <c r="AP2166" s="138">
        <f>AP2163-AP2164</f>
        <v>-553.16371653528631</v>
      </c>
      <c r="AQ2166" s="132"/>
      <c r="AR2166" s="146"/>
      <c r="AS2166" s="138">
        <f>AS2163-AS2164</f>
        <v>-700.89537820352473</v>
      </c>
      <c r="AT2166" s="132"/>
      <c r="AU2166" s="146"/>
    </row>
    <row r="2167" spans="13:47" ht="14.5" x14ac:dyDescent="0.35">
      <c r="M2167" s="27"/>
      <c r="N2167" s="27"/>
      <c r="O2167" s="2" t="s">
        <v>191</v>
      </c>
      <c r="P2167" s="10"/>
      <c r="Q2167" s="2"/>
      <c r="R2167" s="181">
        <f>R2166/R2163</f>
        <v>0.5024938489918368</v>
      </c>
      <c r="S2167" s="132"/>
      <c r="T2167" s="146"/>
      <c r="U2167" s="138">
        <f>U2166/U2163</f>
        <v>0.49367444478572076</v>
      </c>
      <c r="V2167" s="132"/>
      <c r="W2167" s="146"/>
      <c r="X2167" s="138">
        <f>X2166/X2163</f>
        <v>0.44248760782191776</v>
      </c>
      <c r="Y2167" s="132"/>
      <c r="Z2167" s="146"/>
      <c r="AA2167" s="138">
        <f>AA2166/AA2163</f>
        <v>0.15830549819126685</v>
      </c>
      <c r="AB2167" s="132"/>
      <c r="AC2167" s="146"/>
      <c r="AD2167" s="138">
        <f>AD2166/AD2163</f>
        <v>5.6746704497413578</v>
      </c>
      <c r="AE2167" s="132"/>
      <c r="AF2167" s="146"/>
      <c r="AG2167" s="138">
        <f>AG2166/AG2163</f>
        <v>1.4227644661578649</v>
      </c>
      <c r="AH2167" s="132"/>
      <c r="AI2167" s="146"/>
      <c r="AJ2167" s="138">
        <f>AJ2166/AJ2163</f>
        <v>1.1982401807615235</v>
      </c>
      <c r="AK2167" s="132"/>
      <c r="AL2167" s="146"/>
      <c r="AM2167" s="138">
        <f>AM2166/AM2163</f>
        <v>1.1300469058522109</v>
      </c>
      <c r="AN2167" s="132"/>
      <c r="AO2167" s="146"/>
      <c r="AP2167" s="138">
        <f>AP2166/AP2163</f>
        <v>1.0993712351603826</v>
      </c>
      <c r="AQ2167" s="132"/>
      <c r="AR2167" s="146"/>
      <c r="AS2167" s="138">
        <f>AS2166/AS2163</f>
        <v>1.0768172607677755</v>
      </c>
      <c r="AT2167" s="132"/>
      <c r="AU2167" s="146"/>
    </row>
    <row r="2168" spans="13:47" x14ac:dyDescent="0.25">
      <c r="M2168" s="27"/>
      <c r="N2168" s="27"/>
      <c r="O2168" s="2" t="s">
        <v>26</v>
      </c>
      <c r="P2168" s="7">
        <v>12</v>
      </c>
      <c r="Q2168" s="2"/>
      <c r="R2168" s="181">
        <f>1-R2167/(3*F_GAMMA*R$29)</f>
        <v>0.73829544530338542</v>
      </c>
      <c r="S2168" s="133"/>
      <c r="T2168" s="146"/>
      <c r="U2168" s="138">
        <f>1-U2167/(3*F_GAMMA*U$29)</f>
        <v>0.74294530158400374</v>
      </c>
      <c r="V2168" s="133"/>
      <c r="W2168" s="146"/>
      <c r="X2168" s="138">
        <f>1-X2167/(3*F_GAMMA*X$29)</f>
        <v>0.76614172841628836</v>
      </c>
      <c r="Y2168" s="133"/>
      <c r="Z2168" s="146"/>
      <c r="AA2168" s="138">
        <f>1-AA2167/(3*F_GAMMA*AA$29)</f>
        <v>0.9151870930537368</v>
      </c>
      <c r="AB2168" s="133"/>
      <c r="AC2168" s="146"/>
      <c r="AD2168" s="138">
        <f>1-AD2167/(3*F_GAMMA*AD$29)</f>
        <v>-2.1235877584867957</v>
      </c>
      <c r="AE2168" s="133"/>
      <c r="AF2168" s="146"/>
      <c r="AG2168" s="138">
        <f>1-AG2167/(3*F_GAMMA*AG$29)</f>
        <v>0.17217574392941326</v>
      </c>
      <c r="AH2168" s="133"/>
      <c r="AI2168" s="146"/>
      <c r="AJ2168" s="138">
        <f>1-AJ2167/(3*F_GAMMA*AJ$29)</f>
        <v>0.25469809908624119</v>
      </c>
      <c r="AK2168" s="133"/>
      <c r="AL2168" s="146"/>
      <c r="AM2168" s="138">
        <f>1-AM2167/(3*F_GAMMA*AM$29)</f>
        <v>0.23202569759786351</v>
      </c>
      <c r="AN2168" s="133"/>
      <c r="AO2168" s="146"/>
      <c r="AP2168" s="138">
        <f>1-AP2167/(3*F_GAMMA*AP$29)</f>
        <v>0.38258014263062079</v>
      </c>
      <c r="AQ2168" s="133"/>
      <c r="AR2168" s="146"/>
      <c r="AS2168" s="138">
        <f>1-AS2167/(3*F_GAMMA*AS$29)</f>
        <v>8.1931973006789005E-2</v>
      </c>
      <c r="AT2168" s="133"/>
      <c r="AU2168" s="146"/>
    </row>
    <row r="2169" spans="13:47" x14ac:dyDescent="0.25">
      <c r="M2169" s="27"/>
      <c r="N2169" s="27"/>
      <c r="O2169" s="2" t="s">
        <v>71</v>
      </c>
      <c r="P2169" s="85">
        <v>5</v>
      </c>
      <c r="Q2169" s="2"/>
      <c r="R2169" s="179">
        <f>R2161/((N_6*R$27*R2168)*SQRT(R2167*R2163*R2165))</f>
        <v>1.0046541788469379</v>
      </c>
      <c r="S2169" s="133"/>
      <c r="T2169" s="146"/>
      <c r="U2169" s="143">
        <f>U2161/((N_6*U$27*U2168)*SQRT(U2167*U2163*U2165))</f>
        <v>9.3087459568295401</v>
      </c>
      <c r="V2169" s="133"/>
      <c r="W2169" s="146"/>
      <c r="X2169" s="143">
        <f>X2161/((N_6*X$27*X2168)*SQRT(X2167*X2163*X2165))</f>
        <v>26.021946756946651</v>
      </c>
      <c r="Y2169" s="133"/>
      <c r="Z2169" s="146"/>
      <c r="AA2169" s="143">
        <f>AA2161/((N_6*AA$27*AA2168)*SQRT(AA2167*AA2163*AA2165))</f>
        <v>107.71201783243473</v>
      </c>
      <c r="AB2169" s="133"/>
      <c r="AC2169" s="146"/>
      <c r="AD2169" s="143">
        <f>AD2161/((N_6*AD$27*AD2168)*SQRT(AD2167*AD2163*AD2165))</f>
        <v>-71.66240695408608</v>
      </c>
      <c r="AE2169" s="133"/>
      <c r="AF2169" s="146"/>
      <c r="AG2169" s="143">
        <f>AG2161/((N_6*AG$27*AG2168)*SQRT(AG2167*AG2163*AG2165))</f>
        <v>228.73802214598311</v>
      </c>
      <c r="AH2169" s="133"/>
      <c r="AI2169" s="146"/>
      <c r="AJ2169" s="143">
        <f>AJ2161/((N_6*AJ$27*AJ2168)*SQRT(AJ2167*AJ2163*AJ2165))</f>
        <v>103.76357972983526</v>
      </c>
      <c r="AK2169" s="133"/>
      <c r="AL2169" s="146"/>
      <c r="AM2169" s="143">
        <f>AM2161/((N_6*AM$27*AM2168)*SQRT(AM2167*AM2163*AM2165))</f>
        <v>95.761916628567747</v>
      </c>
      <c r="AN2169" s="133"/>
      <c r="AO2169" s="146"/>
      <c r="AP2169" s="143">
        <f>AP2161/((N_6*AP$27*AP2168)*SQRT(AP2167*AP2163*AP2165))</f>
        <v>57.020686442674013</v>
      </c>
      <c r="AQ2169" s="133"/>
      <c r="AR2169" s="146"/>
      <c r="AS2169" s="143">
        <f>AS2161/((N_6*AS$27*AS2168)*SQRT(AS2167*AS2163*AS2165))</f>
        <v>304.87603808810945</v>
      </c>
      <c r="AT2169" s="133"/>
      <c r="AU2169" s="146"/>
    </row>
    <row r="2170" spans="13:47" x14ac:dyDescent="0.25">
      <c r="M2170" s="27"/>
      <c r="N2170" s="27"/>
      <c r="O2170" s="2" t="s">
        <v>73</v>
      </c>
      <c r="P2170" s="85">
        <v>5</v>
      </c>
      <c r="Q2170" s="2"/>
      <c r="R2170" s="179">
        <f>R2161/((N_6*R$27*0.667)*SQRT(R2171*R2163*R2165))</f>
        <v>0.98534250668993639</v>
      </c>
      <c r="S2170" s="133"/>
      <c r="T2170" s="155"/>
      <c r="U2170" s="143">
        <f>U2161/((N_6*U$27*0.667)*SQRT(U2171*U2163*U2165))</f>
        <v>9.10532779872044</v>
      </c>
      <c r="V2170" s="133"/>
      <c r="W2170" s="155"/>
      <c r="X2170" s="143">
        <f>X2161/((N_6*X$27*0.667)*SQRT(X2171*X2163*X2165))</f>
        <v>25.035718646208338</v>
      </c>
      <c r="Y2170" s="133"/>
      <c r="Z2170" s="155"/>
      <c r="AA2170" s="143">
        <f>AA2161/((N_6*AA$27*0.667)*SQRT(AA2171*AA2163*AA2165))</f>
        <v>74.548655680560714</v>
      </c>
      <c r="AB2170" s="133"/>
      <c r="AC2170" s="155"/>
      <c r="AD2170" s="143">
        <f>AD2161/((N_6*AD$27*0.667)*SQRT(AD2171*AD2163*AD2165))</f>
        <v>698.4305918460675</v>
      </c>
      <c r="AE2170" s="133"/>
      <c r="AF2170" s="155"/>
      <c r="AG2170" s="143">
        <f>AG2161/((N_6*AG$27*0.667)*SQRT(AG2171*AG2163*AG2165))</f>
        <v>93.049532795624032</v>
      </c>
      <c r="AH2170" s="133"/>
      <c r="AI2170" s="155"/>
      <c r="AJ2170" s="143">
        <f>AJ2161/((N_6*AJ$27*0.667)*SQRT(AJ2171*AJ2163*AJ2165))</f>
        <v>59.247708446468486</v>
      </c>
      <c r="AK2170" s="133"/>
      <c r="AL2170" s="155"/>
      <c r="AM2170" s="143">
        <f>AM2161/((N_6*AM$27*0.667)*SQRT(AM2171*AM2163*AM2165))</f>
        <v>50.563491398949637</v>
      </c>
      <c r="AN2170" s="133"/>
      <c r="AO2170" s="155"/>
      <c r="AP2170" s="143">
        <f>AP2161/((N_6*AP$27*0.667)*SQRT(AP2171*AP2163*AP2165))</f>
        <v>44.51229186554108</v>
      </c>
      <c r="AQ2170" s="133"/>
      <c r="AR2170" s="155"/>
      <c r="AS2170" s="143">
        <f>AS2161/((N_6*AS$27*0.667)*SQRT(AS2171*AS2163*AS2165))</f>
        <v>62.151115827519881</v>
      </c>
      <c r="AT2170" s="133"/>
      <c r="AU2170" s="155"/>
    </row>
    <row r="2171" spans="13:47" ht="15.5" x14ac:dyDescent="0.4">
      <c r="M2171" s="27"/>
      <c r="N2171" s="27"/>
      <c r="O2171" s="2" t="s">
        <v>192</v>
      </c>
      <c r="P2171" s="85">
        <v>10</v>
      </c>
      <c r="Q2171" s="2"/>
      <c r="R2171" s="181">
        <f>F_GAMMA*R$29</f>
        <v>0.64002688015162901</v>
      </c>
      <c r="S2171" s="133"/>
      <c r="T2171" s="155"/>
      <c r="U2171" s="138">
        <f>F_GAMMA*U$29</f>
        <v>0.64016782916606918</v>
      </c>
      <c r="V2171" s="133"/>
      <c r="W2171" s="155"/>
      <c r="X2171" s="138">
        <f>F_GAMMA*X$29</f>
        <v>0.6307062319203669</v>
      </c>
      <c r="Y2171" s="133"/>
      <c r="Z2171" s="155"/>
      <c r="AA2171" s="138">
        <f>F_GAMMA*AA$29</f>
        <v>0.62217534213893466</v>
      </c>
      <c r="AB2171" s="133"/>
      <c r="AC2171" s="155"/>
      <c r="AD2171" s="138">
        <f>F_GAMMA*AD$29</f>
        <v>0.60557184969146072</v>
      </c>
      <c r="AE2171" s="133"/>
      <c r="AF2171" s="155"/>
      <c r="AG2171" s="138">
        <f>F_GAMMA*AG$29</f>
        <v>0.57289312142622573</v>
      </c>
      <c r="AH2171" s="133"/>
      <c r="AI2171" s="155"/>
      <c r="AJ2171" s="138">
        <f>F_GAMMA*AJ$29</f>
        <v>0.53590819116049981</v>
      </c>
      <c r="AK2171" s="133"/>
      <c r="AL2171" s="155"/>
      <c r="AM2171" s="138">
        <f>F_GAMMA*AM$29</f>
        <v>0.49048815926850342</v>
      </c>
      <c r="AN2171" s="133"/>
      <c r="AO2171" s="155"/>
      <c r="AP2171" s="138">
        <f>F_GAMMA*AP$29</f>
        <v>0.59352979016280105</v>
      </c>
      <c r="AQ2171" s="133"/>
      <c r="AR2171" s="155"/>
      <c r="AS2171" s="138">
        <f>F_GAMMA*AS$29</f>
        <v>0.39097221161068291</v>
      </c>
      <c r="AT2171" s="133"/>
      <c r="AU2171" s="155"/>
    </row>
    <row r="2172" spans="13:47" x14ac:dyDescent="0.25">
      <c r="M2172" s="27"/>
      <c r="N2172" s="27"/>
      <c r="O2172" s="2" t="s">
        <v>193</v>
      </c>
      <c r="P2172" s="134"/>
      <c r="Q2172" s="2"/>
      <c r="R2172" s="181">
        <f>IF(R2167&lt;R2171,R2169,R2170)</f>
        <v>1.0046541788469379</v>
      </c>
      <c r="S2172" s="133"/>
      <c r="T2172" s="155"/>
      <c r="U2172" s="138">
        <f>IF(U2167&lt;U2171,U2169,U2170)</f>
        <v>9.3087459568295401</v>
      </c>
      <c r="V2172" s="133"/>
      <c r="W2172" s="155"/>
      <c r="X2172" s="138">
        <f>IF(X2167&lt;X2171,X2169,X2170)</f>
        <v>26.021946756946651</v>
      </c>
      <c r="Y2172" s="133"/>
      <c r="Z2172" s="155"/>
      <c r="AA2172" s="138">
        <f>IF(AA2167&lt;AA2171,AA2169,AA2170)</f>
        <v>107.71201783243473</v>
      </c>
      <c r="AB2172" s="133"/>
      <c r="AC2172" s="155"/>
      <c r="AD2172" s="138">
        <f>IF(AD2167&lt;AD2171,AD2169,AD2170)</f>
        <v>698.4305918460675</v>
      </c>
      <c r="AE2172" s="133"/>
      <c r="AF2172" s="155"/>
      <c r="AG2172" s="138">
        <f>IF(AG2167&lt;AG2171,AG2169,AG2170)</f>
        <v>93.049532795624032</v>
      </c>
      <c r="AH2172" s="133"/>
      <c r="AI2172" s="155"/>
      <c r="AJ2172" s="138">
        <f>IF(AJ2167&lt;AJ2171,AJ2169,AJ2170)</f>
        <v>59.247708446468486</v>
      </c>
      <c r="AK2172" s="133"/>
      <c r="AL2172" s="155"/>
      <c r="AM2172" s="138">
        <f>IF(AM2167&lt;AM2171,AM2169,AM2170)</f>
        <v>50.563491398949637</v>
      </c>
      <c r="AN2172" s="133"/>
      <c r="AO2172" s="155"/>
      <c r="AP2172" s="138">
        <f>IF(AP2167&lt;AP2171,AP2169,AP2170)</f>
        <v>44.51229186554108</v>
      </c>
      <c r="AQ2172" s="133"/>
      <c r="AR2172" s="155"/>
      <c r="AS2172" s="138">
        <f>IF(AS2167&lt;AS2171,AS2169,AS2170)</f>
        <v>62.151115827519881</v>
      </c>
      <c r="AT2172" s="133"/>
      <c r="AU2172" s="155"/>
    </row>
    <row r="2173" spans="13:47" ht="13" x14ac:dyDescent="0.3">
      <c r="M2173" s="28"/>
      <c r="N2173" s="28"/>
      <c r="O2173" s="9" t="s">
        <v>194</v>
      </c>
      <c r="P2173" s="1"/>
      <c r="Q2173" s="1"/>
      <c r="R2173" s="135"/>
      <c r="S2173" s="132">
        <f>IF(R2166&lt;=0,W_max,ABS(R$23-R2172))</f>
        <v>0.99534582115306214</v>
      </c>
      <c r="T2173" s="151">
        <f>R2161</f>
        <v>232.29057792728094</v>
      </c>
      <c r="U2173" s="135"/>
      <c r="V2173" s="132">
        <f>IF(U2166&lt;=0,W_max,ABS(U$23-U2172))</f>
        <v>4.3087459568295401</v>
      </c>
      <c r="W2173" s="151">
        <f>U2161</f>
        <v>2108.0767629658085</v>
      </c>
      <c r="X2173" s="135"/>
      <c r="Y2173" s="132">
        <f>IF(X2166&lt;=0,W_max,ABS(X$23-X2172))</f>
        <v>16.021946756946651</v>
      </c>
      <c r="Z2173" s="151">
        <f>X2161</f>
        <v>5213.5246988899353</v>
      </c>
      <c r="AA2173" s="135"/>
      <c r="AB2173" s="132">
        <f>IF(AA2166&lt;=0,W_max,ABS(AA$23-AA2172))</f>
        <v>90.512017832434722</v>
      </c>
      <c r="AC2173" s="151">
        <f>AA2161</f>
        <v>10154.615385170837</v>
      </c>
      <c r="AD2173" s="135"/>
      <c r="AE2173" s="132">
        <f>IF(AD2166&lt;=0,W_max,ABS(AD$23-AD2172))</f>
        <v>7174</v>
      </c>
      <c r="AF2173" s="151">
        <f>AD2161</f>
        <v>16700.60360103743</v>
      </c>
      <c r="AG2173" s="135"/>
      <c r="AH2173" s="132">
        <f>IF(AG2166&lt;=0,W_max,ABS(AG$23-AG2172))</f>
        <v>7174</v>
      </c>
      <c r="AI2173" s="151">
        <f>AG2161</f>
        <v>23423.882265955788</v>
      </c>
      <c r="AJ2173" s="135"/>
      <c r="AK2173" s="132">
        <f>IF(AJ2166&lt;=0,W_max,ABS(AJ$23-AJ2172))</f>
        <v>7174</v>
      </c>
      <c r="AL2173" s="151">
        <f>AJ2161</f>
        <v>29742.114916216316</v>
      </c>
      <c r="AM2173" s="135"/>
      <c r="AN2173" s="132">
        <f>IF(AM2166&lt;=0,W_max,ABS(AM$23-AM2172))</f>
        <v>7174</v>
      </c>
      <c r="AO2173" s="151">
        <f>AM2161</f>
        <v>34874.968805621851</v>
      </c>
      <c r="AP2173" s="135"/>
      <c r="AQ2173" s="132">
        <f>IF(AP2166&lt;=0,W_max,ABS(AP$23-AP2172))</f>
        <v>7174</v>
      </c>
      <c r="AR2173" s="151">
        <f>AP2161</f>
        <v>38908.898787372622</v>
      </c>
      <c r="AS2173" s="135"/>
      <c r="AT2173" s="132">
        <f>IF(AS2166&lt;=0,W_max,ABS(AS$23-AS2172))</f>
        <v>7174</v>
      </c>
      <c r="AU2173" s="151">
        <f>AS2161</f>
        <v>43409.426780676171</v>
      </c>
    </row>
    <row r="2174" spans="13:47" ht="13" x14ac:dyDescent="0.25">
      <c r="M2174" s="12"/>
      <c r="N2174" s="12"/>
      <c r="O2174" s="2"/>
      <c r="P2174" s="85"/>
      <c r="Q2174" s="2"/>
      <c r="R2174" s="18"/>
      <c r="S2174" s="150"/>
      <c r="T2174" s="148"/>
      <c r="U2174" s="157"/>
      <c r="V2174" s="1"/>
      <c r="W2174" s="147"/>
      <c r="X2174" s="157"/>
      <c r="Y2174" s="1"/>
      <c r="Z2174" s="147"/>
      <c r="AA2174" s="157"/>
      <c r="AB2174" s="1"/>
      <c r="AC2174" s="147"/>
      <c r="AD2174" s="157"/>
      <c r="AE2174" s="1"/>
      <c r="AF2174" s="147"/>
      <c r="AG2174" s="157"/>
      <c r="AH2174" s="1"/>
      <c r="AI2174" s="147"/>
      <c r="AJ2174" s="157"/>
      <c r="AK2174" s="1"/>
      <c r="AL2174" s="147"/>
      <c r="AM2174" s="157"/>
      <c r="AN2174" s="1"/>
      <c r="AO2174" s="147"/>
      <c r="AP2174" s="157"/>
      <c r="AQ2174" s="1"/>
      <c r="AR2174" s="147"/>
      <c r="AS2174" s="157"/>
      <c r="AT2174" s="1"/>
      <c r="AU2174" s="147"/>
    </row>
    <row r="2175" spans="13:47" ht="14" x14ac:dyDescent="0.3">
      <c r="M2175" s="23"/>
      <c r="N2175" s="23"/>
      <c r="O2175" s="23" t="s">
        <v>238</v>
      </c>
      <c r="P2175" s="20"/>
      <c r="Q2175" s="20"/>
      <c r="R2175" s="181">
        <f>R2161*1.02</f>
        <v>236.93638948582657</v>
      </c>
      <c r="S2175" s="128" t="s">
        <v>185</v>
      </c>
      <c r="T2175" s="149" t="s">
        <v>186</v>
      </c>
      <c r="U2175" s="143">
        <f>U2161*1.01</f>
        <v>2129.1575305954666</v>
      </c>
      <c r="V2175" s="128" t="s">
        <v>185</v>
      </c>
      <c r="W2175" s="153" t="s">
        <v>186</v>
      </c>
      <c r="X2175" s="143">
        <f>X2161*1.01</f>
        <v>5265.6599458788351</v>
      </c>
      <c r="Y2175" s="128" t="s">
        <v>185</v>
      </c>
      <c r="Z2175" s="153" t="s">
        <v>186</v>
      </c>
      <c r="AA2175" s="143">
        <f>AA2161*1.01</f>
        <v>10256.161539022545</v>
      </c>
      <c r="AB2175" s="128" t="s">
        <v>185</v>
      </c>
      <c r="AC2175" s="153" t="s">
        <v>186</v>
      </c>
      <c r="AD2175" s="143">
        <f>AD2161*1.01</f>
        <v>16867.609637047804</v>
      </c>
      <c r="AE2175" s="128" t="s">
        <v>185</v>
      </c>
      <c r="AF2175" s="153" t="s">
        <v>186</v>
      </c>
      <c r="AG2175" s="143">
        <f>AG2161*1.01</f>
        <v>23658.121088615346</v>
      </c>
      <c r="AH2175" s="128" t="s">
        <v>185</v>
      </c>
      <c r="AI2175" s="153" t="s">
        <v>186</v>
      </c>
      <c r="AJ2175" s="143">
        <f>AJ2161*1.01</f>
        <v>30039.536065378481</v>
      </c>
      <c r="AK2175" s="128" t="s">
        <v>185</v>
      </c>
      <c r="AL2175" s="153" t="s">
        <v>186</v>
      </c>
      <c r="AM2175" s="143">
        <f>AM2161*1.01</f>
        <v>35223.718493678069</v>
      </c>
      <c r="AN2175" s="128" t="s">
        <v>185</v>
      </c>
      <c r="AO2175" s="153" t="s">
        <v>186</v>
      </c>
      <c r="AP2175" s="143">
        <f>AP2161*1.01</f>
        <v>39297.987775246351</v>
      </c>
      <c r="AQ2175" s="128" t="s">
        <v>185</v>
      </c>
      <c r="AR2175" s="153" t="s">
        <v>186</v>
      </c>
      <c r="AS2175" s="143">
        <f>AS2161*1.01</f>
        <v>43843.521048482929</v>
      </c>
      <c r="AT2175" s="128" t="s">
        <v>185</v>
      </c>
      <c r="AU2175" s="153" t="s">
        <v>186</v>
      </c>
    </row>
    <row r="2176" spans="13:47" ht="14" x14ac:dyDescent="0.3">
      <c r="M2176" s="12"/>
      <c r="N2176" s="12"/>
      <c r="O2176" s="20"/>
      <c r="P2176" s="20"/>
      <c r="Q2176" s="23"/>
      <c r="R2176" s="139"/>
      <c r="S2176" s="130" t="s">
        <v>228</v>
      </c>
      <c r="T2176" s="131" t="s">
        <v>187</v>
      </c>
      <c r="U2176" s="144"/>
      <c r="V2176" s="130" t="s">
        <v>228</v>
      </c>
      <c r="W2176" s="154" t="s">
        <v>187</v>
      </c>
      <c r="X2176" s="144"/>
      <c r="Y2176" s="130" t="s">
        <v>228</v>
      </c>
      <c r="Z2176" s="154" t="s">
        <v>187</v>
      </c>
      <c r="AA2176" s="144"/>
      <c r="AB2176" s="130" t="s">
        <v>228</v>
      </c>
      <c r="AC2176" s="154" t="s">
        <v>187</v>
      </c>
      <c r="AD2176" s="144"/>
      <c r="AE2176" s="130" t="s">
        <v>228</v>
      </c>
      <c r="AF2176" s="154" t="s">
        <v>187</v>
      </c>
      <c r="AG2176" s="144"/>
      <c r="AH2176" s="130" t="s">
        <v>228</v>
      </c>
      <c r="AI2176" s="154" t="s">
        <v>187</v>
      </c>
      <c r="AJ2176" s="144"/>
      <c r="AK2176" s="130" t="s">
        <v>228</v>
      </c>
      <c r="AL2176" s="154" t="s">
        <v>187</v>
      </c>
      <c r="AM2176" s="144"/>
      <c r="AN2176" s="130" t="s">
        <v>228</v>
      </c>
      <c r="AO2176" s="154" t="s">
        <v>187</v>
      </c>
      <c r="AP2176" s="144"/>
      <c r="AQ2176" s="130" t="s">
        <v>228</v>
      </c>
      <c r="AR2176" s="154" t="s">
        <v>187</v>
      </c>
      <c r="AS2176" s="144"/>
      <c r="AT2176" s="130" t="s">
        <v>228</v>
      </c>
      <c r="AU2176" s="154" t="s">
        <v>187</v>
      </c>
    </row>
    <row r="2177" spans="13:47" x14ac:dyDescent="0.25">
      <c r="M2177" s="20"/>
      <c r="N2177" s="20"/>
      <c r="O2177" s="7" t="s">
        <v>188</v>
      </c>
      <c r="P2177" s="7"/>
      <c r="Q2177" s="7"/>
      <c r="R2177" s="181">
        <f>P_1_minW-(R2175^2*R_up)+dpup_minQ</f>
        <v>100.50040070473874</v>
      </c>
      <c r="S2177" s="132"/>
      <c r="T2177" s="145"/>
      <c r="U2177" s="138">
        <f>P_1_minW-(U2175^2*R_up)+dpup_minQ</f>
        <v>98.715075001781415</v>
      </c>
      <c r="V2177" s="132"/>
      <c r="W2177" s="145"/>
      <c r="X2177" s="138">
        <f>P_1_minW-(X2175^2*R_up)+dpup_minQ</f>
        <v>89.466247645482738</v>
      </c>
      <c r="Y2177" s="132"/>
      <c r="Z2177" s="145"/>
      <c r="AA2177" s="138">
        <f>P_1_minW-(AA2175^2*R_up)+dpup_minQ</f>
        <v>58.577487922640316</v>
      </c>
      <c r="AB2177" s="132"/>
      <c r="AC2177" s="145"/>
      <c r="AD2177" s="138">
        <f>P_1_minW-(AD2175^2*R_up)+dpup_minQ</f>
        <v>-12.931437574832572</v>
      </c>
      <c r="AE2177" s="132"/>
      <c r="AF2177" s="145"/>
      <c r="AG2177" s="138">
        <f>P_1_minW-(AG2175^2*R_up)+dpup_minQ</f>
        <v>-122.66688225469598</v>
      </c>
      <c r="AH2177" s="132"/>
      <c r="AI2177" s="145"/>
      <c r="AJ2177" s="138">
        <f>P_1_minW-(AJ2175^2*R_up)+dpup_minQ</f>
        <v>-259.30941788056231</v>
      </c>
      <c r="AK2177" s="132"/>
      <c r="AL2177" s="145"/>
      <c r="AM2177" s="138">
        <f>P_1_minW-(AM2175^2*R_up)+dpup_minQ</f>
        <v>-394.2251488371092</v>
      </c>
      <c r="AN2177" s="132"/>
      <c r="AO2177" s="145"/>
      <c r="AP2177" s="138">
        <f>P_1_minW-(AP2175^2*R_up)+dpup_minQ</f>
        <v>-515.29781525105386</v>
      </c>
      <c r="AQ2177" s="132"/>
      <c r="AR2177" s="145"/>
      <c r="AS2177" s="138">
        <f>P_1_minW-(AS2175^2*R_up)+dpup_minQ</f>
        <v>-665.99888331882369</v>
      </c>
      <c r="AT2177" s="132"/>
      <c r="AU2177" s="145"/>
    </row>
    <row r="2178" spans="13:47" x14ac:dyDescent="0.25">
      <c r="M2178" s="20"/>
      <c r="N2178" s="20"/>
      <c r="O2178" s="7" t="s">
        <v>189</v>
      </c>
      <c r="P2178" s="1"/>
      <c r="Q2178" s="7"/>
      <c r="R2178" s="181">
        <f>P_2_minW+(R2175^2*R_dn)-dpdn_minQ</f>
        <v>50</v>
      </c>
      <c r="S2178" s="132"/>
      <c r="T2178" s="146"/>
      <c r="U2178" s="138">
        <f>P_2_minW+(U2175^2*R_dn)-dpdn_minQ</f>
        <v>50</v>
      </c>
      <c r="V2178" s="132"/>
      <c r="W2178" s="146"/>
      <c r="X2178" s="138">
        <f>P_2_minW+(X2175^2*R_dn)-dpdn_minQ</f>
        <v>50</v>
      </c>
      <c r="Y2178" s="132"/>
      <c r="Z2178" s="146"/>
      <c r="AA2178" s="138">
        <f>P_2_minW+(AA2175^2*R_dn)-dpdn_minQ</f>
        <v>50</v>
      </c>
      <c r="AB2178" s="132"/>
      <c r="AC2178" s="146"/>
      <c r="AD2178" s="138">
        <f>P_2_minW+(AD2175^2*R_dn)-dpdn_minQ</f>
        <v>50</v>
      </c>
      <c r="AE2178" s="132"/>
      <c r="AF2178" s="146"/>
      <c r="AG2178" s="138">
        <f>P_2_minW+(AG2175^2*R_dn)-dpdn_minQ</f>
        <v>50</v>
      </c>
      <c r="AH2178" s="132"/>
      <c r="AI2178" s="146"/>
      <c r="AJ2178" s="138">
        <f>P_2_minW+(AJ2175^2*R_dn)-dpdn_minQ</f>
        <v>50</v>
      </c>
      <c r="AK2178" s="132"/>
      <c r="AL2178" s="146"/>
      <c r="AM2178" s="138">
        <f>P_2_minW+(AM2175^2*R_dn)-dpdn_minQ</f>
        <v>50</v>
      </c>
      <c r="AN2178" s="132"/>
      <c r="AO2178" s="146"/>
      <c r="AP2178" s="138">
        <f>P_2_minW+(AP2175^2*R_dn)-dpdn_minQ</f>
        <v>50</v>
      </c>
      <c r="AQ2178" s="132"/>
      <c r="AR2178" s="146"/>
      <c r="AS2178" s="138">
        <f>P_2_minW+(AS2175^2*R_dn)-dpdn_minQ</f>
        <v>50</v>
      </c>
      <c r="AT2178" s="132"/>
      <c r="AU2178" s="146"/>
    </row>
    <row r="2179" spans="13:47" x14ac:dyDescent="0.25">
      <c r="M2179" s="20"/>
      <c r="N2179" s="20"/>
      <c r="O2179" s="7" t="s">
        <v>234</v>
      </c>
      <c r="P2179" s="1"/>
      <c r="Q2179" s="7"/>
      <c r="R2179" s="179">
        <f>'Valve Sizing'!G$8*R2177/P_1_maxW</f>
        <v>0.48479604000616827</v>
      </c>
      <c r="S2179" s="132"/>
      <c r="T2179" s="146"/>
      <c r="U2179" s="143">
        <f>'Valve Sizing'!$G$8*U2177/P_1_maxW</f>
        <v>0.4761839466727521</v>
      </c>
      <c r="V2179" s="132"/>
      <c r="W2179" s="146"/>
      <c r="X2179" s="143">
        <f>'Valve Sizing'!$G$8*X2177/P_1_maxW</f>
        <v>0.43156925015818481</v>
      </c>
      <c r="Y2179" s="132"/>
      <c r="Z2179" s="146"/>
      <c r="AA2179" s="143">
        <f>'Valve Sizing'!$G$8*AA2177/P_1_maxW</f>
        <v>0.2825673726598999</v>
      </c>
      <c r="AB2179" s="132"/>
      <c r="AC2179" s="146"/>
      <c r="AD2179" s="143">
        <f>'Valve Sizing'!$G$8*AD2177/P_1_maxW</f>
        <v>-6.237895256043692E-2</v>
      </c>
      <c r="AE2179" s="132"/>
      <c r="AF2179" s="146"/>
      <c r="AG2179" s="143">
        <f>'Valve Sizing'!$G$8*AG2177/P_1_maxW</f>
        <v>-0.59172320050436877</v>
      </c>
      <c r="AH2179" s="132"/>
      <c r="AI2179" s="146"/>
      <c r="AJ2179" s="143">
        <f>'Valve Sizing'!$G$8*AJ2177/P_1_maxW</f>
        <v>-1.2508624646595443</v>
      </c>
      <c r="AK2179" s="132"/>
      <c r="AL2179" s="146"/>
      <c r="AM2179" s="143">
        <f>'Valve Sizing'!$G$8*AM2177/P_1_maxW</f>
        <v>-1.9016719305285448</v>
      </c>
      <c r="AN2179" s="132"/>
      <c r="AO2179" s="146"/>
      <c r="AP2179" s="143">
        <f>'Valve Sizing'!$G$8*AP2177/P_1_maxW</f>
        <v>-2.4857049176497652</v>
      </c>
      <c r="AQ2179" s="132"/>
      <c r="AR2179" s="146"/>
      <c r="AS2179" s="143">
        <f>'Valve Sizing'!$G$8*AS2177/P_1_maxW</f>
        <v>-3.2126600393372549</v>
      </c>
      <c r="AT2179" s="132"/>
      <c r="AU2179" s="146"/>
    </row>
    <row r="2180" spans="13:47" x14ac:dyDescent="0.25">
      <c r="M2180" s="20"/>
      <c r="N2180" s="20"/>
      <c r="O2180" s="7" t="s">
        <v>190</v>
      </c>
      <c r="P2180" s="1"/>
      <c r="Q2180" s="7"/>
      <c r="R2180" s="181">
        <f>R2177-R2178</f>
        <v>50.500400704738738</v>
      </c>
      <c r="S2180" s="132"/>
      <c r="T2180" s="146"/>
      <c r="U2180" s="138">
        <f>U2177-U2178</f>
        <v>48.715075001781415</v>
      </c>
      <c r="V2180" s="132"/>
      <c r="W2180" s="146"/>
      <c r="X2180" s="138">
        <f>X2177-X2178</f>
        <v>39.466247645482738</v>
      </c>
      <c r="Y2180" s="132"/>
      <c r="Z2180" s="146"/>
      <c r="AA2180" s="138">
        <f>AA2177-AA2178</f>
        <v>8.5774879226403158</v>
      </c>
      <c r="AB2180" s="132"/>
      <c r="AC2180" s="146"/>
      <c r="AD2180" s="138">
        <f>AD2177-AD2178</f>
        <v>-62.931437574832572</v>
      </c>
      <c r="AE2180" s="132"/>
      <c r="AF2180" s="146"/>
      <c r="AG2180" s="138">
        <f>AG2177-AG2178</f>
        <v>-172.66688225469596</v>
      </c>
      <c r="AH2180" s="132"/>
      <c r="AI2180" s="146"/>
      <c r="AJ2180" s="138">
        <f>AJ2177-AJ2178</f>
        <v>-309.30941788056231</v>
      </c>
      <c r="AK2180" s="132"/>
      <c r="AL2180" s="146"/>
      <c r="AM2180" s="138">
        <f>AM2177-AM2178</f>
        <v>-444.2251488371092</v>
      </c>
      <c r="AN2180" s="132"/>
      <c r="AO2180" s="146"/>
      <c r="AP2180" s="138">
        <f>AP2177-AP2178</f>
        <v>-565.29781525105386</v>
      </c>
      <c r="AQ2180" s="132"/>
      <c r="AR2180" s="146"/>
      <c r="AS2180" s="138">
        <f>AS2177-AS2178</f>
        <v>-715.99888331882369</v>
      </c>
      <c r="AT2180" s="132"/>
      <c r="AU2180" s="146"/>
    </row>
    <row r="2181" spans="13:47" ht="14.5" x14ac:dyDescent="0.35">
      <c r="M2181" s="27"/>
      <c r="N2181" s="27"/>
      <c r="O2181" s="2" t="s">
        <v>191</v>
      </c>
      <c r="P2181" s="10"/>
      <c r="Q2181" s="2"/>
      <c r="R2181" s="181">
        <f>R2180/R2177</f>
        <v>0.50248954581887129</v>
      </c>
      <c r="S2181" s="132"/>
      <c r="T2181" s="146"/>
      <c r="U2181" s="138">
        <f>U2180/U2177</f>
        <v>0.49349174886310221</v>
      </c>
      <c r="V2181" s="132"/>
      <c r="W2181" s="146"/>
      <c r="X2181" s="138">
        <f>X2180/X2177</f>
        <v>0.44113002036109689</v>
      </c>
      <c r="Y2181" s="132"/>
      <c r="Z2181" s="146"/>
      <c r="AA2181" s="138">
        <f>AA2180/AA2177</f>
        <v>0.14642976725065568</v>
      </c>
      <c r="AB2181" s="132"/>
      <c r="AC2181" s="146"/>
      <c r="AD2181" s="138">
        <f>AD2180/AD2177</f>
        <v>4.8665461369361616</v>
      </c>
      <c r="AE2181" s="132"/>
      <c r="AF2181" s="146"/>
      <c r="AG2181" s="138">
        <f>AG2180/AG2177</f>
        <v>1.4076079792766223</v>
      </c>
      <c r="AH2181" s="132"/>
      <c r="AI2181" s="146"/>
      <c r="AJ2181" s="138">
        <f>AJ2180/AJ2177</f>
        <v>1.1928198382020585</v>
      </c>
      <c r="AK2181" s="132"/>
      <c r="AL2181" s="146"/>
      <c r="AM2181" s="138">
        <f>AM2180/AM2177</f>
        <v>1.1268310764736615</v>
      </c>
      <c r="AN2181" s="132"/>
      <c r="AO2181" s="146"/>
      <c r="AP2181" s="138">
        <f>AP2180/AP2177</f>
        <v>1.0970312672015501</v>
      </c>
      <c r="AQ2181" s="132"/>
      <c r="AR2181" s="146"/>
      <c r="AS2181" s="138">
        <f>AS2180/AS2177</f>
        <v>1.0750752009535491</v>
      </c>
      <c r="AT2181" s="132"/>
      <c r="AU2181" s="146"/>
    </row>
    <row r="2182" spans="13:47" x14ac:dyDescent="0.25">
      <c r="M2182" s="27"/>
      <c r="N2182" s="27"/>
      <c r="O2182" s="2" t="s">
        <v>26</v>
      </c>
      <c r="P2182" s="7">
        <v>12</v>
      </c>
      <c r="Q2182" s="2"/>
      <c r="R2182" s="181">
        <f>1-R2181/(3*F_GAMMA*R$29)</f>
        <v>0.73829768644517646</v>
      </c>
      <c r="S2182" s="133"/>
      <c r="T2182" s="146"/>
      <c r="U2182" s="138">
        <f>1-U2181/(3*F_GAMMA*U$29)</f>
        <v>0.74304043076435033</v>
      </c>
      <c r="V2182" s="133"/>
      <c r="W2182" s="146"/>
      <c r="X2182" s="138">
        <f>1-X2181/(3*F_GAMMA*X$29)</f>
        <v>0.76685922434498577</v>
      </c>
      <c r="Y2182" s="133"/>
      <c r="Z2182" s="146"/>
      <c r="AA2182" s="138">
        <f>1-AA2181/(3*F_GAMMA*AA$29)</f>
        <v>0.92154957114005054</v>
      </c>
      <c r="AB2182" s="133"/>
      <c r="AC2182" s="146"/>
      <c r="AD2182" s="138">
        <f>1-AD2181/(3*F_GAMMA*AD$29)</f>
        <v>-1.6787606565131616</v>
      </c>
      <c r="AE2182" s="133"/>
      <c r="AF2182" s="146"/>
      <c r="AG2182" s="138">
        <f>1-AG2181/(3*F_GAMMA*AG$29)</f>
        <v>0.1809944259920816</v>
      </c>
      <c r="AH2182" s="133"/>
      <c r="AI2182" s="146"/>
      <c r="AJ2182" s="138">
        <f>1-AJ2181/(3*F_GAMMA*AJ$29)</f>
        <v>0.25806953636403773</v>
      </c>
      <c r="AK2182" s="133"/>
      <c r="AL2182" s="146"/>
      <c r="AM2182" s="138">
        <f>1-AM2181/(3*F_GAMMA*AM$29)</f>
        <v>0.23421115937900372</v>
      </c>
      <c r="AN2182" s="133"/>
      <c r="AO2182" s="146"/>
      <c r="AP2182" s="138">
        <f>1-AP2181/(3*F_GAMMA*AP$29)</f>
        <v>0.38389429624605576</v>
      </c>
      <c r="AQ2182" s="133"/>
      <c r="AR2182" s="146"/>
      <c r="AS2182" s="138">
        <f>1-AS2181/(3*F_GAMMA*AS$29)</f>
        <v>8.341721054413187E-2</v>
      </c>
      <c r="AT2182" s="133"/>
      <c r="AU2182" s="146"/>
    </row>
    <row r="2183" spans="13:47" x14ac:dyDescent="0.25">
      <c r="M2183" s="27"/>
      <c r="N2183" s="27"/>
      <c r="O2183" s="2" t="s">
        <v>71</v>
      </c>
      <c r="P2183" s="85">
        <v>5</v>
      </c>
      <c r="Q2183" s="2"/>
      <c r="R2183" s="179">
        <f>R2175/((N_6*R$27*R2182)*SQRT(R2181*R2177*R2179))</f>
        <v>1.0247574030929907</v>
      </c>
      <c r="S2183" s="133"/>
      <c r="T2183" s="146"/>
      <c r="U2183" s="143">
        <f>U2175/((N_6*U$27*U2182)*SQRT(U2181*U2177*U2179))</f>
        <v>9.4057623030797615</v>
      </c>
      <c r="V2183" s="133"/>
      <c r="W2183" s="146"/>
      <c r="X2183" s="143">
        <f>X2175/((N_6*X$27*X2182)*SQRT(X2181*X2177*X2179))</f>
        <v>26.361986577844227</v>
      </c>
      <c r="Y2183" s="133"/>
      <c r="Z2183" s="146"/>
      <c r="AA2183" s="143">
        <f>AA2175/((N_6*AA$27*AA2182)*SQRT(AA2181*AA2177*AA2179))</f>
        <v>113.91864357878468</v>
      </c>
      <c r="AB2183" s="133"/>
      <c r="AC2183" s="146"/>
      <c r="AD2183" s="143">
        <f>AD2175/((N_6*AD$27*AD2182)*SQRT(AD2181*AD2177*AD2179))</f>
        <v>-81.77608073764398</v>
      </c>
      <c r="AE2183" s="133"/>
      <c r="AF2183" s="146"/>
      <c r="AG2183" s="143">
        <f>AG2175/((N_6*AG$27*AG2182)*SQRT(AG2181*AG2177*AG2179))</f>
        <v>213.02783224878522</v>
      </c>
      <c r="AH2183" s="133"/>
      <c r="AI2183" s="146"/>
      <c r="AJ2183" s="143">
        <f>AJ2175/((N_6*AJ$27*AJ2182)*SQRT(AJ2181*AJ2177*AJ2179))</f>
        <v>100.83233482542026</v>
      </c>
      <c r="AK2183" s="133"/>
      <c r="AL2183" s="146"/>
      <c r="AM2183" s="143">
        <f>AM2175/((N_6*AM$27*AM2182)*SQRT(AM2181*AM2177*AM2179))</f>
        <v>93.580893798704764</v>
      </c>
      <c r="AN2183" s="133"/>
      <c r="AO2183" s="146"/>
      <c r="AP2183" s="143">
        <f>AP2175/((N_6*AP$27*AP2182)*SQRT(AP2181*AP2177*AP2179))</f>
        <v>56.101991388070203</v>
      </c>
      <c r="AQ2183" s="133"/>
      <c r="AR2183" s="146"/>
      <c r="AS2183" s="143">
        <f>AS2175/((N_6*AS$27*AS2182)*SQRT(AS2181*AS2177*AS2179))</f>
        <v>295.82282838852359</v>
      </c>
      <c r="AT2183" s="133"/>
      <c r="AU2183" s="146"/>
    </row>
    <row r="2184" spans="13:47" x14ac:dyDescent="0.25">
      <c r="M2184" s="27"/>
      <c r="N2184" s="27"/>
      <c r="O2184" s="2" t="s">
        <v>73</v>
      </c>
      <c r="P2184" s="85">
        <v>5</v>
      </c>
      <c r="Q2184" s="2"/>
      <c r="R2184" s="179">
        <f>R2175/((N_6*R$27*0.667)*SQRT(R2185*R2177*R2179))</f>
        <v>1.005058049985041</v>
      </c>
      <c r="S2184" s="133"/>
      <c r="T2184" s="147"/>
      <c r="U2184" s="143">
        <f>U2175/((N_6*U$27*0.667)*SQRT(U2185*U2177*U2179))</f>
        <v>9.1996993791481554</v>
      </c>
      <c r="V2184" s="133"/>
      <c r="W2184" s="155"/>
      <c r="X2184" s="143">
        <f>X2175/((N_6*X$27*0.667)*SQRT(X2185*X2177*X2179))</f>
        <v>25.347649458594123</v>
      </c>
      <c r="Y2184" s="133"/>
      <c r="Z2184" s="155"/>
      <c r="AA2184" s="143">
        <f>AA2175/((N_6*AA$27*0.667)*SQRT(AA2185*AA2177*AA2179))</f>
        <v>76.356490836167396</v>
      </c>
      <c r="AB2184" s="133"/>
      <c r="AC2184" s="155"/>
      <c r="AD2184" s="143">
        <f>AD2175/((N_6*AD$27*0.667)*SQRT(AD2185*AD2177*AD2179))</f>
        <v>583.46770691387712</v>
      </c>
      <c r="AE2184" s="133"/>
      <c r="AF2184" s="155"/>
      <c r="AG2184" s="143">
        <f>AG2175/((N_6*AG$27*0.667)*SQRT(AG2185*AG2177*AG2179))</f>
        <v>90.610759470755625</v>
      </c>
      <c r="AH2184" s="133"/>
      <c r="AI2184" s="155"/>
      <c r="AJ2184" s="143">
        <f>AJ2175/((N_6*AJ$27*0.667)*SQRT(AJ2185*AJ2177*AJ2179))</f>
        <v>58.204017206461153</v>
      </c>
      <c r="AK2184" s="133"/>
      <c r="AL2184" s="155"/>
      <c r="AM2184" s="143">
        <f>AM2175/((N_6*AM$27*0.667)*SQRT(AM2185*AM2177*AM2179))</f>
        <v>49.806277376566655</v>
      </c>
      <c r="AN2184" s="133"/>
      <c r="AO2184" s="155"/>
      <c r="AP2184" s="143">
        <f>AP2175/((N_6*AP$27*0.667)*SQRT(AP2185*AP2177*AP2179))</f>
        <v>43.898769292498898</v>
      </c>
      <c r="AQ2184" s="133"/>
      <c r="AR2184" s="155"/>
      <c r="AS2184" s="143">
        <f>AS2175/((N_6*AS$27*0.667)*SQRT(AS2185*AS2177*AS2179))</f>
        <v>61.349071006157125</v>
      </c>
      <c r="AT2184" s="133"/>
      <c r="AU2184" s="155"/>
    </row>
    <row r="2185" spans="13:47" ht="15.5" x14ac:dyDescent="0.4">
      <c r="M2185" s="27"/>
      <c r="N2185" s="27"/>
      <c r="O2185" s="2" t="s">
        <v>192</v>
      </c>
      <c r="P2185" s="85">
        <v>10</v>
      </c>
      <c r="Q2185" s="2"/>
      <c r="R2185" s="181">
        <f>F_GAMMA*R$29</f>
        <v>0.64002688015162901</v>
      </c>
      <c r="S2185" s="133"/>
      <c r="T2185" s="147"/>
      <c r="U2185" s="138">
        <f>F_GAMMA*U$29</f>
        <v>0.64016782916606918</v>
      </c>
      <c r="V2185" s="133"/>
      <c r="W2185" s="155"/>
      <c r="X2185" s="138">
        <f>F_GAMMA*X$29</f>
        <v>0.6307062319203669</v>
      </c>
      <c r="Y2185" s="133"/>
      <c r="Z2185" s="155"/>
      <c r="AA2185" s="138">
        <f>F_GAMMA*AA$29</f>
        <v>0.62217534213893466</v>
      </c>
      <c r="AB2185" s="133"/>
      <c r="AC2185" s="155"/>
      <c r="AD2185" s="138">
        <f>F_GAMMA*AD$29</f>
        <v>0.60557184969146072</v>
      </c>
      <c r="AE2185" s="133"/>
      <c r="AF2185" s="155"/>
      <c r="AG2185" s="138">
        <f>F_GAMMA*AG$29</f>
        <v>0.57289312142622573</v>
      </c>
      <c r="AH2185" s="133"/>
      <c r="AI2185" s="155"/>
      <c r="AJ2185" s="138">
        <f>F_GAMMA*AJ$29</f>
        <v>0.53590819116049981</v>
      </c>
      <c r="AK2185" s="133"/>
      <c r="AL2185" s="155"/>
      <c r="AM2185" s="138">
        <f>F_GAMMA*AM$29</f>
        <v>0.49048815926850342</v>
      </c>
      <c r="AN2185" s="133"/>
      <c r="AO2185" s="155"/>
      <c r="AP2185" s="138">
        <f>F_GAMMA*AP$29</f>
        <v>0.59352979016280105</v>
      </c>
      <c r="AQ2185" s="133"/>
      <c r="AR2185" s="155"/>
      <c r="AS2185" s="138">
        <f>F_GAMMA*AS$29</f>
        <v>0.39097221161068291</v>
      </c>
      <c r="AT2185" s="133"/>
      <c r="AU2185" s="155"/>
    </row>
    <row r="2186" spans="13:47" x14ac:dyDescent="0.25">
      <c r="M2186" s="27"/>
      <c r="N2186" s="27"/>
      <c r="O2186" s="2" t="s">
        <v>193</v>
      </c>
      <c r="P2186" s="134"/>
      <c r="Q2186" s="2"/>
      <c r="R2186" s="181">
        <f>IF(R2181&lt;R2185,R2183,R2184)</f>
        <v>1.0247574030929907</v>
      </c>
      <c r="S2186" s="133"/>
      <c r="T2186" s="147"/>
      <c r="U2186" s="138">
        <f>IF(U2181&lt;U2185,U2183,U2184)</f>
        <v>9.4057623030797615</v>
      </c>
      <c r="V2186" s="133"/>
      <c r="W2186" s="155"/>
      <c r="X2186" s="138">
        <f>IF(X2181&lt;X2185,X2183,X2184)</f>
        <v>26.361986577844227</v>
      </c>
      <c r="Y2186" s="133"/>
      <c r="Z2186" s="155"/>
      <c r="AA2186" s="138">
        <f>IF(AA2181&lt;AA2185,AA2183,AA2184)</f>
        <v>113.91864357878468</v>
      </c>
      <c r="AB2186" s="133"/>
      <c r="AC2186" s="155"/>
      <c r="AD2186" s="138">
        <f>IF(AD2181&lt;AD2185,AD2183,AD2184)</f>
        <v>583.46770691387712</v>
      </c>
      <c r="AE2186" s="133"/>
      <c r="AF2186" s="155"/>
      <c r="AG2186" s="138">
        <f>IF(AG2181&lt;AG2185,AG2183,AG2184)</f>
        <v>90.610759470755625</v>
      </c>
      <c r="AH2186" s="133"/>
      <c r="AI2186" s="155"/>
      <c r="AJ2186" s="138">
        <f>IF(AJ2181&lt;AJ2185,AJ2183,AJ2184)</f>
        <v>58.204017206461153</v>
      </c>
      <c r="AK2186" s="133"/>
      <c r="AL2186" s="155"/>
      <c r="AM2186" s="138">
        <f>IF(AM2181&lt;AM2185,AM2183,AM2184)</f>
        <v>49.806277376566655</v>
      </c>
      <c r="AN2186" s="133"/>
      <c r="AO2186" s="155"/>
      <c r="AP2186" s="138">
        <f>IF(AP2181&lt;AP2185,AP2183,AP2184)</f>
        <v>43.898769292498898</v>
      </c>
      <c r="AQ2186" s="133"/>
      <c r="AR2186" s="155"/>
      <c r="AS2186" s="138">
        <f>IF(AS2181&lt;AS2185,AS2183,AS2184)</f>
        <v>61.349071006157125</v>
      </c>
      <c r="AT2186" s="133"/>
      <c r="AU2186" s="155"/>
    </row>
    <row r="2187" spans="13:47" ht="13" x14ac:dyDescent="0.3">
      <c r="M2187" s="28"/>
      <c r="N2187" s="28"/>
      <c r="O2187" s="9" t="s">
        <v>194</v>
      </c>
      <c r="P2187" s="1"/>
      <c r="Q2187" s="1"/>
      <c r="R2187" s="135"/>
      <c r="S2187" s="132">
        <f>IF(R2180&lt;=0,W_max,ABS(R$23-R2186))</f>
        <v>0.97524259690700932</v>
      </c>
      <c r="T2187" s="151">
        <f>R2175</f>
        <v>236.93638948582657</v>
      </c>
      <c r="U2187" s="135"/>
      <c r="V2187" s="132">
        <f>IF(U2180&lt;=0,W_max,ABS(U$23-U2186))</f>
        <v>4.4057623030797615</v>
      </c>
      <c r="W2187" s="151">
        <f>U2175</f>
        <v>2129.1575305954666</v>
      </c>
      <c r="X2187" s="135"/>
      <c r="Y2187" s="132">
        <f>IF(X2180&lt;=0,W_max,ABS(X$23-X2186))</f>
        <v>16.361986577844227</v>
      </c>
      <c r="Z2187" s="151">
        <f>X2175</f>
        <v>5265.6599458788351</v>
      </c>
      <c r="AA2187" s="135"/>
      <c r="AB2187" s="132">
        <f>IF(AA2180&lt;=0,W_max,ABS(AA$23-AA2186))</f>
        <v>96.718643578784679</v>
      </c>
      <c r="AC2187" s="151">
        <f>AA2175</f>
        <v>10256.161539022545</v>
      </c>
      <c r="AD2187" s="135"/>
      <c r="AE2187" s="132">
        <f>IF(AD2180&lt;=0,W_max,ABS(AD$23-AD2186))</f>
        <v>7174</v>
      </c>
      <c r="AF2187" s="151">
        <f>AD2175</f>
        <v>16867.609637047804</v>
      </c>
      <c r="AG2187" s="135"/>
      <c r="AH2187" s="132">
        <f>IF(AG2180&lt;=0,W_max,ABS(AG$23-AG2186))</f>
        <v>7174</v>
      </c>
      <c r="AI2187" s="151">
        <f>AG2175</f>
        <v>23658.121088615346</v>
      </c>
      <c r="AJ2187" s="135"/>
      <c r="AK2187" s="132">
        <f>IF(AJ2180&lt;=0,W_max,ABS(AJ$23-AJ2186))</f>
        <v>7174</v>
      </c>
      <c r="AL2187" s="151">
        <f>AJ2175</f>
        <v>30039.536065378481</v>
      </c>
      <c r="AM2187" s="135"/>
      <c r="AN2187" s="132">
        <f>IF(AM2180&lt;=0,W_max,ABS(AM$23-AM2186))</f>
        <v>7174</v>
      </c>
      <c r="AO2187" s="151">
        <f>AM2175</f>
        <v>35223.718493678069</v>
      </c>
      <c r="AP2187" s="135"/>
      <c r="AQ2187" s="132">
        <f>IF(AP2180&lt;=0,W_max,ABS(AP$23-AP2186))</f>
        <v>7174</v>
      </c>
      <c r="AR2187" s="151">
        <f>AP2175</f>
        <v>39297.987775246351</v>
      </c>
      <c r="AS2187" s="135"/>
      <c r="AT2187" s="132">
        <f>IF(AS2180&lt;=0,W_max,ABS(AS$23-AS2186))</f>
        <v>7174</v>
      </c>
      <c r="AU2187" s="151">
        <f>AS2175</f>
        <v>43843.521048482929</v>
      </c>
    </row>
    <row r="2188" spans="13:47" ht="13" x14ac:dyDescent="0.25">
      <c r="M2188" s="12"/>
      <c r="N2188" s="12"/>
      <c r="O2188" s="12"/>
      <c r="P2188" s="12"/>
      <c r="Q2188" s="12"/>
      <c r="R2188" s="182"/>
      <c r="S2188" s="22"/>
      <c r="T2188" s="152"/>
      <c r="U2188" s="157"/>
      <c r="V2188" s="1"/>
      <c r="W2188" s="147"/>
      <c r="X2188" s="157"/>
      <c r="Y2188" s="1"/>
      <c r="Z2188" s="147"/>
      <c r="AA2188" s="157"/>
      <c r="AB2188" s="1"/>
      <c r="AC2188" s="147"/>
      <c r="AD2188" s="157"/>
      <c r="AE2188" s="1"/>
      <c r="AF2188" s="147"/>
      <c r="AG2188" s="157"/>
      <c r="AH2188" s="1"/>
      <c r="AI2188" s="147"/>
      <c r="AJ2188" s="157"/>
      <c r="AK2188" s="1"/>
      <c r="AL2188" s="147"/>
      <c r="AM2188" s="157"/>
      <c r="AN2188" s="1"/>
      <c r="AO2188" s="147"/>
      <c r="AP2188" s="157"/>
      <c r="AQ2188" s="1"/>
      <c r="AR2188" s="147"/>
      <c r="AS2188" s="157"/>
      <c r="AT2188" s="1"/>
      <c r="AU2188" s="147"/>
    </row>
    <row r="2189" spans="13:47" ht="14" x14ac:dyDescent="0.3">
      <c r="M2189" s="23"/>
      <c r="N2189" s="23"/>
      <c r="O2189" s="23" t="s">
        <v>238</v>
      </c>
      <c r="P2189" s="20"/>
      <c r="Q2189" s="20"/>
      <c r="R2189" s="18">
        <f>R2175*1.02</f>
        <v>241.6751172755431</v>
      </c>
      <c r="S2189" s="128" t="s">
        <v>185</v>
      </c>
      <c r="T2189" s="153" t="s">
        <v>186</v>
      </c>
      <c r="U2189" s="143">
        <f>U2175*1.01</f>
        <v>2150.4491059014213</v>
      </c>
      <c r="V2189" s="128" t="s">
        <v>185</v>
      </c>
      <c r="W2189" s="153" t="s">
        <v>186</v>
      </c>
      <c r="X2189" s="143">
        <f>X2175*1.01</f>
        <v>5318.3165453376232</v>
      </c>
      <c r="Y2189" s="128" t="s">
        <v>185</v>
      </c>
      <c r="Z2189" s="153" t="s">
        <v>186</v>
      </c>
      <c r="AA2189" s="143">
        <f>AA2175*1.01</f>
        <v>10358.72315441277</v>
      </c>
      <c r="AB2189" s="128" t="s">
        <v>185</v>
      </c>
      <c r="AC2189" s="153" t="s">
        <v>186</v>
      </c>
      <c r="AD2189" s="143">
        <f>AD2175*1.01</f>
        <v>17036.285733418281</v>
      </c>
      <c r="AE2189" s="128" t="s">
        <v>185</v>
      </c>
      <c r="AF2189" s="153" t="s">
        <v>186</v>
      </c>
      <c r="AG2189" s="143">
        <f>AG2175*1.01</f>
        <v>23894.7022995015</v>
      </c>
      <c r="AH2189" s="128" t="s">
        <v>185</v>
      </c>
      <c r="AI2189" s="153" t="s">
        <v>186</v>
      </c>
      <c r="AJ2189" s="143">
        <f>AJ2175*1.01</f>
        <v>30339.931426032264</v>
      </c>
      <c r="AK2189" s="128" t="s">
        <v>185</v>
      </c>
      <c r="AL2189" s="153" t="s">
        <v>186</v>
      </c>
      <c r="AM2189" s="143">
        <f>AM2175*1.01</f>
        <v>35575.955678614853</v>
      </c>
      <c r="AN2189" s="128" t="s">
        <v>185</v>
      </c>
      <c r="AO2189" s="153" t="s">
        <v>186</v>
      </c>
      <c r="AP2189" s="143">
        <f>AP2175*1.01</f>
        <v>39690.967652998814</v>
      </c>
      <c r="AQ2189" s="128" t="s">
        <v>185</v>
      </c>
      <c r="AR2189" s="153" t="s">
        <v>186</v>
      </c>
      <c r="AS2189" s="143">
        <f>AS2175*1.01</f>
        <v>44281.956258967759</v>
      </c>
      <c r="AT2189" s="128" t="s">
        <v>185</v>
      </c>
      <c r="AU2189" s="153" t="s">
        <v>186</v>
      </c>
    </row>
    <row r="2190" spans="13:47" ht="14" x14ac:dyDescent="0.3">
      <c r="M2190" s="12"/>
      <c r="N2190" s="12"/>
      <c r="O2190" s="20"/>
      <c r="P2190" s="20"/>
      <c r="Q2190" s="23"/>
      <c r="R2190" s="139"/>
      <c r="S2190" s="130" t="s">
        <v>228</v>
      </c>
      <c r="T2190" s="154" t="s">
        <v>187</v>
      </c>
      <c r="U2190" s="144"/>
      <c r="V2190" s="130" t="s">
        <v>228</v>
      </c>
      <c r="W2190" s="154" t="s">
        <v>187</v>
      </c>
      <c r="X2190" s="144"/>
      <c r="Y2190" s="130" t="s">
        <v>228</v>
      </c>
      <c r="Z2190" s="154" t="s">
        <v>187</v>
      </c>
      <c r="AA2190" s="144"/>
      <c r="AB2190" s="130" t="s">
        <v>228</v>
      </c>
      <c r="AC2190" s="154" t="s">
        <v>187</v>
      </c>
      <c r="AD2190" s="144"/>
      <c r="AE2190" s="130" t="s">
        <v>228</v>
      </c>
      <c r="AF2190" s="154" t="s">
        <v>187</v>
      </c>
      <c r="AG2190" s="144"/>
      <c r="AH2190" s="130" t="s">
        <v>228</v>
      </c>
      <c r="AI2190" s="154" t="s">
        <v>187</v>
      </c>
      <c r="AJ2190" s="144"/>
      <c r="AK2190" s="130" t="s">
        <v>228</v>
      </c>
      <c r="AL2190" s="154" t="s">
        <v>187</v>
      </c>
      <c r="AM2190" s="144"/>
      <c r="AN2190" s="130" t="s">
        <v>228</v>
      </c>
      <c r="AO2190" s="154" t="s">
        <v>187</v>
      </c>
      <c r="AP2190" s="144"/>
      <c r="AQ2190" s="130" t="s">
        <v>228</v>
      </c>
      <c r="AR2190" s="154" t="s">
        <v>187</v>
      </c>
      <c r="AS2190" s="144"/>
      <c r="AT2190" s="130" t="s">
        <v>228</v>
      </c>
      <c r="AU2190" s="154" t="s">
        <v>187</v>
      </c>
    </row>
    <row r="2191" spans="13:47" x14ac:dyDescent="0.25">
      <c r="M2191" s="20"/>
      <c r="N2191" s="20"/>
      <c r="O2191" s="7" t="s">
        <v>188</v>
      </c>
      <c r="P2191" s="7"/>
      <c r="Q2191" s="7"/>
      <c r="R2191" s="181">
        <f>P_1_minW-(R2189^2*R_up)+dpup_minQ</f>
        <v>100.49949630904642</v>
      </c>
      <c r="S2191" s="132"/>
      <c r="T2191" s="145"/>
      <c r="U2191" s="138">
        <f>P_1_minW-(U2189^2*R_up)+dpup_minQ</f>
        <v>98.678739995909012</v>
      </c>
      <c r="V2191" s="132"/>
      <c r="W2191" s="145"/>
      <c r="X2191" s="138">
        <f>P_1_minW-(X2189^2*R_up)+dpup_minQ</f>
        <v>89.244011209748734</v>
      </c>
      <c r="Y2191" s="132"/>
      <c r="Z2191" s="145"/>
      <c r="AA2191" s="138">
        <f>P_1_minW-(AA2189^2*R_up)+dpup_minQ</f>
        <v>57.73438741647719</v>
      </c>
      <c r="AB2191" s="132"/>
      <c r="AC2191" s="145"/>
      <c r="AD2191" s="138">
        <f>P_1_minW-(AD2189^2*R_up)+dpup_minQ</f>
        <v>-15.211867483494899</v>
      </c>
      <c r="AE2191" s="132"/>
      <c r="AF2191" s="145"/>
      <c r="AG2191" s="138">
        <f>P_1_minW-(AG2189^2*R_up)+dpup_minQ</f>
        <v>-127.15299460142357</v>
      </c>
      <c r="AH2191" s="132"/>
      <c r="AI2191" s="145"/>
      <c r="AJ2191" s="138">
        <f>P_1_minW-(AJ2189^2*R_up)+dpup_minQ</f>
        <v>-266.54204519336974</v>
      </c>
      <c r="AK2191" s="132"/>
      <c r="AL2191" s="145"/>
      <c r="AM2191" s="138">
        <f>P_1_minW-(AM2189^2*R_up)+dpup_minQ</f>
        <v>-404.16958234214343</v>
      </c>
      <c r="AN2191" s="132"/>
      <c r="AO2191" s="145"/>
      <c r="AP2191" s="138">
        <f>P_1_minW-(AP2189^2*R_up)+dpup_minQ</f>
        <v>-527.67580935100818</v>
      </c>
      <c r="AQ2191" s="132"/>
      <c r="AR2191" s="145"/>
      <c r="AS2191" s="138">
        <f>P_1_minW-(AS2189^2*R_up)+dpup_minQ</f>
        <v>-681.40596888694017</v>
      </c>
      <c r="AT2191" s="132"/>
      <c r="AU2191" s="145"/>
    </row>
    <row r="2192" spans="13:47" x14ac:dyDescent="0.25">
      <c r="M2192" s="20"/>
      <c r="N2192" s="20"/>
      <c r="O2192" s="7" t="s">
        <v>189</v>
      </c>
      <c r="P2192" s="1"/>
      <c r="Q2192" s="7"/>
      <c r="R2192" s="181">
        <f>P_2_minW+(R2189^2*R_dn)-dpdn_minQ</f>
        <v>50</v>
      </c>
      <c r="S2192" s="132"/>
      <c r="T2192" s="146"/>
      <c r="U2192" s="138">
        <f>P_2_minW+(U2189^2*R_dn)-dpdn_minQ</f>
        <v>50</v>
      </c>
      <c r="V2192" s="132"/>
      <c r="W2192" s="146"/>
      <c r="X2192" s="138">
        <f>P_2_minW+(X2189^2*R_dn)-dpdn_minQ</f>
        <v>50</v>
      </c>
      <c r="Y2192" s="132"/>
      <c r="Z2192" s="146"/>
      <c r="AA2192" s="138">
        <f>P_2_minW+(AA2189^2*R_dn)-dpdn_minQ</f>
        <v>50</v>
      </c>
      <c r="AB2192" s="132"/>
      <c r="AC2192" s="146"/>
      <c r="AD2192" s="138">
        <f>P_2_minW+(AD2189^2*R_dn)-dpdn_minQ</f>
        <v>50</v>
      </c>
      <c r="AE2192" s="132"/>
      <c r="AF2192" s="146"/>
      <c r="AG2192" s="138">
        <f>P_2_minW+(AG2189^2*R_dn)-dpdn_minQ</f>
        <v>50</v>
      </c>
      <c r="AH2192" s="132"/>
      <c r="AI2192" s="146"/>
      <c r="AJ2192" s="138">
        <f>P_2_minW+(AJ2189^2*R_dn)-dpdn_minQ</f>
        <v>50</v>
      </c>
      <c r="AK2192" s="132"/>
      <c r="AL2192" s="146"/>
      <c r="AM2192" s="138">
        <f>P_2_minW+(AM2189^2*R_dn)-dpdn_minQ</f>
        <v>50</v>
      </c>
      <c r="AN2192" s="132"/>
      <c r="AO2192" s="146"/>
      <c r="AP2192" s="138">
        <f>P_2_minW+(AP2189^2*R_dn)-dpdn_minQ</f>
        <v>50</v>
      </c>
      <c r="AQ2192" s="132"/>
      <c r="AR2192" s="146"/>
      <c r="AS2192" s="138">
        <f>P_2_minW+(AS2189^2*R_dn)-dpdn_minQ</f>
        <v>50</v>
      </c>
      <c r="AT2192" s="132"/>
      <c r="AU2192" s="146"/>
    </row>
    <row r="2193" spans="13:47" x14ac:dyDescent="0.25">
      <c r="M2193" s="20"/>
      <c r="N2193" s="20"/>
      <c r="O2193" s="7" t="s">
        <v>234</v>
      </c>
      <c r="P2193" s="1"/>
      <c r="Q2193" s="7"/>
      <c r="R2193" s="179">
        <f>'Valve Sizing'!G$8*R2191/P_1_maxW</f>
        <v>0.48479167736236628</v>
      </c>
      <c r="S2193" s="132"/>
      <c r="T2193" s="146"/>
      <c r="U2193" s="143">
        <f>'Valve Sizing'!$G$8*U2191/P_1_maxW</f>
        <v>0.47600867307347261</v>
      </c>
      <c r="V2193" s="132"/>
      <c r="W2193" s="146"/>
      <c r="X2193" s="143">
        <f>'Valve Sizing'!$G$8*X2191/P_1_maxW</f>
        <v>0.43049722115896272</v>
      </c>
      <c r="Y2193" s="132"/>
      <c r="Z2193" s="146"/>
      <c r="AA2193" s="143">
        <f>'Valve Sizing'!$G$8*AA2191/P_1_maxW</f>
        <v>0.27850040592296221</v>
      </c>
      <c r="AB2193" s="132"/>
      <c r="AC2193" s="146"/>
      <c r="AD2193" s="143">
        <f>'Valve Sizing'!$G$8*AD2191/P_1_maxW</f>
        <v>-7.3379340434303345E-2</v>
      </c>
      <c r="AE2193" s="132"/>
      <c r="AF2193" s="146"/>
      <c r="AG2193" s="143">
        <f>'Valve Sizing'!$G$8*AG2191/P_1_maxW</f>
        <v>-0.61336340776190823</v>
      </c>
      <c r="AH2193" s="132"/>
      <c r="AI2193" s="146"/>
      <c r="AJ2193" s="143">
        <f>'Valve Sizing'!$G$8*AJ2191/P_1_maxW</f>
        <v>-1.2857513711266024</v>
      </c>
      <c r="AK2193" s="132"/>
      <c r="AL2193" s="146"/>
      <c r="AM2193" s="143">
        <f>'Valve Sizing'!$G$8*AM2191/P_1_maxW</f>
        <v>-1.9496421072595709</v>
      </c>
      <c r="AN2193" s="132"/>
      <c r="AO2193" s="146"/>
      <c r="AP2193" s="143">
        <f>'Valve Sizing'!$G$8*AP2191/P_1_maxW</f>
        <v>-2.5454141574219271</v>
      </c>
      <c r="AQ2193" s="132"/>
      <c r="AR2193" s="146"/>
      <c r="AS2193" s="143">
        <f>'Valve Sizing'!$G$8*AS2191/P_1_maxW</f>
        <v>-3.2869810770553349</v>
      </c>
      <c r="AT2193" s="132"/>
      <c r="AU2193" s="146"/>
    </row>
    <row r="2194" spans="13:47" x14ac:dyDescent="0.25">
      <c r="M2194" s="20"/>
      <c r="N2194" s="20"/>
      <c r="O2194" s="7" t="s">
        <v>190</v>
      </c>
      <c r="P2194" s="1"/>
      <c r="Q2194" s="7"/>
      <c r="R2194" s="181">
        <f>R2191-R2192</f>
        <v>50.499496309046421</v>
      </c>
      <c r="S2194" s="132"/>
      <c r="T2194" s="146"/>
      <c r="U2194" s="138">
        <f>U2191-U2192</f>
        <v>48.678739995909012</v>
      </c>
      <c r="V2194" s="132"/>
      <c r="W2194" s="146"/>
      <c r="X2194" s="138">
        <f>X2191-X2192</f>
        <v>39.244011209748734</v>
      </c>
      <c r="Y2194" s="132"/>
      <c r="Z2194" s="146"/>
      <c r="AA2194" s="138">
        <f>AA2191-AA2192</f>
        <v>7.7343874164771904</v>
      </c>
      <c r="AB2194" s="132"/>
      <c r="AC2194" s="146"/>
      <c r="AD2194" s="138">
        <f>AD2191-AD2192</f>
        <v>-65.211867483494899</v>
      </c>
      <c r="AE2194" s="132"/>
      <c r="AF2194" s="146"/>
      <c r="AG2194" s="138">
        <f>AG2191-AG2192</f>
        <v>-177.15299460142359</v>
      </c>
      <c r="AH2194" s="132"/>
      <c r="AI2194" s="146"/>
      <c r="AJ2194" s="138">
        <f>AJ2191-AJ2192</f>
        <v>-316.54204519336974</v>
      </c>
      <c r="AK2194" s="132"/>
      <c r="AL2194" s="146"/>
      <c r="AM2194" s="138">
        <f>AM2191-AM2192</f>
        <v>-454.16958234214343</v>
      </c>
      <c r="AN2194" s="132"/>
      <c r="AO2194" s="146"/>
      <c r="AP2194" s="138">
        <f>AP2191-AP2192</f>
        <v>-577.67580935100818</v>
      </c>
      <c r="AQ2194" s="132"/>
      <c r="AR2194" s="146"/>
      <c r="AS2194" s="138">
        <f>AS2191-AS2192</f>
        <v>-731.40596888694017</v>
      </c>
      <c r="AT2194" s="132"/>
      <c r="AU2194" s="146"/>
    </row>
    <row r="2195" spans="13:47" ht="14.5" x14ac:dyDescent="0.35">
      <c r="M2195" s="27"/>
      <c r="N2195" s="27"/>
      <c r="O2195" s="2" t="s">
        <v>191</v>
      </c>
      <c r="P2195" s="10"/>
      <c r="Q2195" s="2"/>
      <c r="R2195" s="181">
        <f>R2194/R2191</f>
        <v>0.50248506871870491</v>
      </c>
      <c r="S2195" s="132"/>
      <c r="T2195" s="146"/>
      <c r="U2195" s="138">
        <f>U2194/U2191</f>
        <v>0.49330524485747507</v>
      </c>
      <c r="V2195" s="132"/>
      <c r="W2195" s="146"/>
      <c r="X2195" s="138">
        <f>X2194/X2191</f>
        <v>0.43973831608167163</v>
      </c>
      <c r="Y2195" s="132"/>
      <c r="Z2195" s="146"/>
      <c r="AA2195" s="138">
        <f>AA2194/AA2191</f>
        <v>0.13396500357202756</v>
      </c>
      <c r="AB2195" s="132"/>
      <c r="AC2195" s="146"/>
      <c r="AD2195" s="138">
        <f>AD2194/AD2191</f>
        <v>4.286907413192413</v>
      </c>
      <c r="AE2195" s="132"/>
      <c r="AF2195" s="146"/>
      <c r="AG2195" s="138">
        <f>AG2194/AG2191</f>
        <v>1.3932270738627199</v>
      </c>
      <c r="AH2195" s="132"/>
      <c r="AI2195" s="146"/>
      <c r="AJ2195" s="138">
        <f>AJ2194/AJ2191</f>
        <v>1.1875876654421489</v>
      </c>
      <c r="AK2195" s="132"/>
      <c r="AL2195" s="146"/>
      <c r="AM2195" s="138">
        <f>AM2194/AM2191</f>
        <v>1.123710447753768</v>
      </c>
      <c r="AN2195" s="132"/>
      <c r="AO2195" s="146"/>
      <c r="AP2195" s="138">
        <f>AP2194/AP2191</f>
        <v>1.0947551491160743</v>
      </c>
      <c r="AQ2195" s="132"/>
      <c r="AR2195" s="146"/>
      <c r="AS2195" s="138">
        <f>AS2194/AS2191</f>
        <v>1.073377695944862</v>
      </c>
      <c r="AT2195" s="132"/>
      <c r="AU2195" s="146"/>
    </row>
    <row r="2196" spans="13:47" x14ac:dyDescent="0.25">
      <c r="M2196" s="27"/>
      <c r="N2196" s="27"/>
      <c r="O2196" s="2" t="s">
        <v>26</v>
      </c>
      <c r="P2196" s="7">
        <v>12</v>
      </c>
      <c r="Q2196" s="2"/>
      <c r="R2196" s="181">
        <f>1-R2195/(3*F_GAMMA*R$29)</f>
        <v>0.73830001817024682</v>
      </c>
      <c r="S2196" s="133"/>
      <c r="T2196" s="146"/>
      <c r="U2196" s="138">
        <f>1-U2195/(3*F_GAMMA*U$29)</f>
        <v>0.7431375428012934</v>
      </c>
      <c r="V2196" s="133"/>
      <c r="W2196" s="146"/>
      <c r="X2196" s="138">
        <f>1-X2195/(3*F_GAMMA*X$29)</f>
        <v>0.76759475128763643</v>
      </c>
      <c r="Y2196" s="133"/>
      <c r="Z2196" s="146"/>
      <c r="AA2196" s="138">
        <f>1-AA2195/(3*F_GAMMA*AA$29)</f>
        <v>0.92822762625539057</v>
      </c>
      <c r="AB2196" s="133"/>
      <c r="AC2196" s="146"/>
      <c r="AD2196" s="138">
        <f>1-AD2195/(3*F_GAMMA*AD$29)</f>
        <v>-1.3597020542795457</v>
      </c>
      <c r="AE2196" s="133"/>
      <c r="AF2196" s="146"/>
      <c r="AG2196" s="138">
        <f>1-AG2195/(3*F_GAMMA*AG$29)</f>
        <v>0.18936184210982732</v>
      </c>
      <c r="AH2196" s="133"/>
      <c r="AI2196" s="146"/>
      <c r="AJ2196" s="138">
        <f>1-AJ2195/(3*F_GAMMA*AJ$29)</f>
        <v>0.26132393257481368</v>
      </c>
      <c r="AK2196" s="133"/>
      <c r="AL2196" s="146"/>
      <c r="AM2196" s="138">
        <f>1-AM2195/(3*F_GAMMA*AM$29)</f>
        <v>0.2363319232621709</v>
      </c>
      <c r="AN2196" s="133"/>
      <c r="AO2196" s="146"/>
      <c r="AP2196" s="138">
        <f>1-AP2195/(3*F_GAMMA*AP$29)</f>
        <v>0.38517259101923607</v>
      </c>
      <c r="AQ2196" s="133"/>
      <c r="AR2196" s="146"/>
      <c r="AS2196" s="138">
        <f>1-AS2195/(3*F_GAMMA*AS$29)</f>
        <v>8.4864461745348119E-2</v>
      </c>
      <c r="AT2196" s="133"/>
      <c r="AU2196" s="146"/>
    </row>
    <row r="2197" spans="13:47" x14ac:dyDescent="0.25">
      <c r="M2197" s="27"/>
      <c r="N2197" s="27"/>
      <c r="O2197" s="2" t="s">
        <v>71</v>
      </c>
      <c r="P2197" s="85">
        <v>5</v>
      </c>
      <c r="Q2197" s="2"/>
      <c r="R2197" s="179">
        <f>R2189/((N_6*R$27*R2196)*SQRT(R2195*R2191*R2193))</f>
        <v>1.0452633127805113</v>
      </c>
      <c r="S2197" s="133"/>
      <c r="T2197" s="146"/>
      <c r="U2197" s="143">
        <f>U2189/((N_6*U$27*U2196)*SQRT(U2195*U2191*U2193))</f>
        <v>9.5038720811680193</v>
      </c>
      <c r="V2197" s="133"/>
      <c r="W2197" s="146"/>
      <c r="X2197" s="143">
        <f>X2189/((N_6*X$27*X2196)*SQRT(X2195*X2191*X2193))</f>
        <v>26.70849711630045</v>
      </c>
      <c r="Y2197" s="133"/>
      <c r="Z2197" s="146"/>
      <c r="AA2197" s="143">
        <f>AA2189/((N_6*AA$27*AA2196)*SQRT(AA2195*AA2191*AA2193))</f>
        <v>121.17013101772187</v>
      </c>
      <c r="AB2197" s="133"/>
      <c r="AC2197" s="146"/>
      <c r="AD2197" s="143">
        <f>AD2189/((N_6*AD$27*AD2196)*SQRT(AD2195*AD2191*AD2193))</f>
        <v>-92.362427731448875</v>
      </c>
      <c r="AE2197" s="133"/>
      <c r="AF2197" s="146"/>
      <c r="AG2197" s="143">
        <f>AG2189/((N_6*AG$27*AG2196)*SQRT(AG2195*AG2191*AG2193))</f>
        <v>199.4165021187012</v>
      </c>
      <c r="AH2197" s="133"/>
      <c r="AI2197" s="146"/>
      <c r="AJ2197" s="143">
        <f>AJ2189/((N_6*AJ$27*AJ2196)*SQRT(AJ2195*AJ2191*AJ2193))</f>
        <v>98.05864909914439</v>
      </c>
      <c r="AK2197" s="133"/>
      <c r="AL2197" s="146"/>
      <c r="AM2197" s="143">
        <f>AM2189/((N_6*AM$27*AM2196)*SQRT(AM2195*AM2191*AM2193))</f>
        <v>91.490637982390197</v>
      </c>
      <c r="AN2197" s="133"/>
      <c r="AO2197" s="146"/>
      <c r="AP2197" s="143">
        <f>AP2189/((N_6*AP$27*AP2196)*SQRT(AP2195*AP2191*AP2193))</f>
        <v>55.207496854356705</v>
      </c>
      <c r="AQ2197" s="133"/>
      <c r="AR2197" s="146"/>
      <c r="AS2197" s="143">
        <f>AS2189/((N_6*AS$27*AS2196)*SQRT(AS2195*AS2191*AS2193))</f>
        <v>287.27217791825763</v>
      </c>
      <c r="AT2197" s="133"/>
      <c r="AU2197" s="146"/>
    </row>
    <row r="2198" spans="13:47" x14ac:dyDescent="0.25">
      <c r="M2198" s="27"/>
      <c r="N2198" s="27"/>
      <c r="O2198" s="2" t="s">
        <v>73</v>
      </c>
      <c r="P2198" s="85">
        <v>5</v>
      </c>
      <c r="Q2198" s="2"/>
      <c r="R2198" s="179">
        <f>R2189/((N_6*R$27*0.667)*SQRT(R2199*R2191*R2193))</f>
        <v>1.0251684363998772</v>
      </c>
      <c r="S2198" s="133"/>
      <c r="T2198" s="155"/>
      <c r="U2198" s="143">
        <f>U2189/((N_6*U$27*0.667)*SQRT(U2199*U2191*U2193))</f>
        <v>9.295117716202526</v>
      </c>
      <c r="V2198" s="133"/>
      <c r="W2198" s="155"/>
      <c r="X2198" s="143">
        <f>X2189/((N_6*X$27*0.667)*SQRT(X2199*X2191*X2193))</f>
        <v>25.664878163613988</v>
      </c>
      <c r="Y2198" s="133"/>
      <c r="Z2198" s="155"/>
      <c r="AA2198" s="143">
        <f>AA2189/((N_6*AA$27*0.667)*SQRT(AA2199*AA2191*AA2193))</f>
        <v>78.246246926995539</v>
      </c>
      <c r="AB2198" s="133"/>
      <c r="AC2198" s="155"/>
      <c r="AD2198" s="143">
        <f>AD2189/((N_6*AD$27*0.667)*SQRT(AD2199*AD2191*AD2193))</f>
        <v>500.95933319461068</v>
      </c>
      <c r="AE2198" s="133"/>
      <c r="AF2198" s="155"/>
      <c r="AG2198" s="143">
        <f>AG2189/((N_6*AG$27*0.667)*SQRT(AG2199*AG2191*AG2193))</f>
        <v>88.28804065391752</v>
      </c>
      <c r="AH2198" s="133"/>
      <c r="AI2198" s="155"/>
      <c r="AJ2198" s="143">
        <f>AJ2189/((N_6*AJ$27*0.667)*SQRT(AJ2199*AJ2191*AJ2193))</f>
        <v>57.190895745021628</v>
      </c>
      <c r="AK2198" s="133"/>
      <c r="AL2198" s="155"/>
      <c r="AM2198" s="143">
        <f>AM2189/((N_6*AM$27*0.667)*SQRT(AM2199*AM2191*AM2193))</f>
        <v>49.066621659146811</v>
      </c>
      <c r="AN2198" s="133"/>
      <c r="AO2198" s="155"/>
      <c r="AP2198" s="143">
        <f>AP2189/((N_6*AP$27*0.667)*SQRT(AP2199*AP2191*AP2193))</f>
        <v>43.29770079060652</v>
      </c>
      <c r="AQ2198" s="133"/>
      <c r="AR2198" s="155"/>
      <c r="AS2198" s="143">
        <f>AS2189/((N_6*AS$27*0.667)*SQRT(AS2199*AS2191*AS2193))</f>
        <v>60.561543037235154</v>
      </c>
      <c r="AT2198" s="133"/>
      <c r="AU2198" s="155"/>
    </row>
    <row r="2199" spans="13:47" ht="15.5" x14ac:dyDescent="0.4">
      <c r="M2199" s="27"/>
      <c r="N2199" s="27"/>
      <c r="O2199" s="2" t="s">
        <v>192</v>
      </c>
      <c r="P2199" s="85">
        <v>10</v>
      </c>
      <c r="Q2199" s="2"/>
      <c r="R2199" s="181">
        <f>F_GAMMA*R$29</f>
        <v>0.64002688015162901</v>
      </c>
      <c r="S2199" s="133"/>
      <c r="T2199" s="155"/>
      <c r="U2199" s="138">
        <f>F_GAMMA*U$29</f>
        <v>0.64016782916606918</v>
      </c>
      <c r="V2199" s="133"/>
      <c r="W2199" s="155"/>
      <c r="X2199" s="138">
        <f>F_GAMMA*X$29</f>
        <v>0.6307062319203669</v>
      </c>
      <c r="Y2199" s="133"/>
      <c r="Z2199" s="155"/>
      <c r="AA2199" s="138">
        <f>F_GAMMA*AA$29</f>
        <v>0.62217534213893466</v>
      </c>
      <c r="AB2199" s="133"/>
      <c r="AC2199" s="155"/>
      <c r="AD2199" s="138">
        <f>F_GAMMA*AD$29</f>
        <v>0.60557184969146072</v>
      </c>
      <c r="AE2199" s="133"/>
      <c r="AF2199" s="155"/>
      <c r="AG2199" s="138">
        <f>F_GAMMA*AG$29</f>
        <v>0.57289312142622573</v>
      </c>
      <c r="AH2199" s="133"/>
      <c r="AI2199" s="155"/>
      <c r="AJ2199" s="138">
        <f>F_GAMMA*AJ$29</f>
        <v>0.53590819116049981</v>
      </c>
      <c r="AK2199" s="133"/>
      <c r="AL2199" s="155"/>
      <c r="AM2199" s="138">
        <f>F_GAMMA*AM$29</f>
        <v>0.49048815926850342</v>
      </c>
      <c r="AN2199" s="133"/>
      <c r="AO2199" s="155"/>
      <c r="AP2199" s="138">
        <f>F_GAMMA*AP$29</f>
        <v>0.59352979016280105</v>
      </c>
      <c r="AQ2199" s="133"/>
      <c r="AR2199" s="155"/>
      <c r="AS2199" s="138">
        <f>F_GAMMA*AS$29</f>
        <v>0.39097221161068291</v>
      </c>
      <c r="AT2199" s="133"/>
      <c r="AU2199" s="155"/>
    </row>
    <row r="2200" spans="13:47" x14ac:dyDescent="0.25">
      <c r="M2200" s="27"/>
      <c r="N2200" s="27"/>
      <c r="O2200" s="2" t="s">
        <v>193</v>
      </c>
      <c r="P2200" s="134"/>
      <c r="Q2200" s="2"/>
      <c r="R2200" s="181">
        <f>IF(R2195&lt;R2199,R2197,R2198)</f>
        <v>1.0452633127805113</v>
      </c>
      <c r="S2200" s="133"/>
      <c r="T2200" s="155"/>
      <c r="U2200" s="138">
        <f>IF(U2195&lt;U2199,U2197,U2198)</f>
        <v>9.5038720811680193</v>
      </c>
      <c r="V2200" s="133"/>
      <c r="W2200" s="155"/>
      <c r="X2200" s="138">
        <f>IF(X2195&lt;X2199,X2197,X2198)</f>
        <v>26.70849711630045</v>
      </c>
      <c r="Y2200" s="133"/>
      <c r="Z2200" s="155"/>
      <c r="AA2200" s="138">
        <f>IF(AA2195&lt;AA2199,AA2197,AA2198)</f>
        <v>121.17013101772187</v>
      </c>
      <c r="AB2200" s="133"/>
      <c r="AC2200" s="155"/>
      <c r="AD2200" s="138">
        <f>IF(AD2195&lt;AD2199,AD2197,AD2198)</f>
        <v>500.95933319461068</v>
      </c>
      <c r="AE2200" s="133"/>
      <c r="AF2200" s="155"/>
      <c r="AG2200" s="138">
        <f>IF(AG2195&lt;AG2199,AG2197,AG2198)</f>
        <v>88.28804065391752</v>
      </c>
      <c r="AH2200" s="133"/>
      <c r="AI2200" s="155"/>
      <c r="AJ2200" s="138">
        <f>IF(AJ2195&lt;AJ2199,AJ2197,AJ2198)</f>
        <v>57.190895745021628</v>
      </c>
      <c r="AK2200" s="133"/>
      <c r="AL2200" s="155"/>
      <c r="AM2200" s="138">
        <f>IF(AM2195&lt;AM2199,AM2197,AM2198)</f>
        <v>49.066621659146811</v>
      </c>
      <c r="AN2200" s="133"/>
      <c r="AO2200" s="155"/>
      <c r="AP2200" s="138">
        <f>IF(AP2195&lt;AP2199,AP2197,AP2198)</f>
        <v>43.29770079060652</v>
      </c>
      <c r="AQ2200" s="133"/>
      <c r="AR2200" s="155"/>
      <c r="AS2200" s="138">
        <f>IF(AS2195&lt;AS2199,AS2197,AS2198)</f>
        <v>60.561543037235154</v>
      </c>
      <c r="AT2200" s="133"/>
      <c r="AU2200" s="155"/>
    </row>
    <row r="2201" spans="13:47" ht="13" x14ac:dyDescent="0.3">
      <c r="M2201" s="28"/>
      <c r="N2201" s="28"/>
      <c r="O2201" s="9" t="s">
        <v>194</v>
      </c>
      <c r="P2201" s="1"/>
      <c r="Q2201" s="1"/>
      <c r="R2201" s="135"/>
      <c r="S2201" s="132">
        <f>IF(R2194&lt;=0,W_max,ABS(R$23-R2200))</f>
        <v>0.95473668721948868</v>
      </c>
      <c r="T2201" s="151">
        <f>R2189</f>
        <v>241.6751172755431</v>
      </c>
      <c r="U2201" s="135"/>
      <c r="V2201" s="132">
        <f>IF(U2194&lt;=0,W_max,ABS(U$23-U2200))</f>
        <v>4.5038720811680193</v>
      </c>
      <c r="W2201" s="151">
        <f>U2189</f>
        <v>2150.4491059014213</v>
      </c>
      <c r="X2201" s="135"/>
      <c r="Y2201" s="132">
        <f>IF(X2194&lt;=0,W_max,ABS(X$23-X2200))</f>
        <v>16.70849711630045</v>
      </c>
      <c r="Z2201" s="151">
        <f>X2189</f>
        <v>5318.3165453376232</v>
      </c>
      <c r="AA2201" s="135"/>
      <c r="AB2201" s="132">
        <f>IF(AA2194&lt;=0,W_max,ABS(AA$23-AA2200))</f>
        <v>103.97013101772187</v>
      </c>
      <c r="AC2201" s="151">
        <f>AA2189</f>
        <v>10358.72315441277</v>
      </c>
      <c r="AD2201" s="135"/>
      <c r="AE2201" s="132">
        <f>IF(AD2194&lt;=0,W_max,ABS(AD$23-AD2200))</f>
        <v>7174</v>
      </c>
      <c r="AF2201" s="151">
        <f>AD2189</f>
        <v>17036.285733418281</v>
      </c>
      <c r="AG2201" s="135"/>
      <c r="AH2201" s="132">
        <f>IF(AG2194&lt;=0,W_max,ABS(AG$23-AG2200))</f>
        <v>7174</v>
      </c>
      <c r="AI2201" s="151">
        <f>AG2189</f>
        <v>23894.7022995015</v>
      </c>
      <c r="AJ2201" s="135"/>
      <c r="AK2201" s="132">
        <f>IF(AJ2194&lt;=0,W_max,ABS(AJ$23-AJ2200))</f>
        <v>7174</v>
      </c>
      <c r="AL2201" s="151">
        <f>AJ2189</f>
        <v>30339.931426032264</v>
      </c>
      <c r="AM2201" s="135"/>
      <c r="AN2201" s="132">
        <f>IF(AM2194&lt;=0,W_max,ABS(AM$23-AM2200))</f>
        <v>7174</v>
      </c>
      <c r="AO2201" s="151">
        <f>AM2189</f>
        <v>35575.955678614853</v>
      </c>
      <c r="AP2201" s="135"/>
      <c r="AQ2201" s="132">
        <f>IF(AP2194&lt;=0,W_max,ABS(AP$23-AP2200))</f>
        <v>7174</v>
      </c>
      <c r="AR2201" s="151">
        <f>AP2189</f>
        <v>39690.967652998814</v>
      </c>
      <c r="AS2201" s="135"/>
      <c r="AT2201" s="132">
        <f>IF(AS2194&lt;=0,W_max,ABS(AS$23-AS2200))</f>
        <v>7174</v>
      </c>
      <c r="AU2201" s="151">
        <f>AS2189</f>
        <v>44281.956258967759</v>
      </c>
    </row>
    <row r="2202" spans="13:47" ht="13" x14ac:dyDescent="0.25">
      <c r="M2202" s="12"/>
      <c r="N2202" s="12"/>
      <c r="O2202" s="2"/>
      <c r="P2202" s="85"/>
      <c r="Q2202" s="2"/>
      <c r="R2202" s="18"/>
      <c r="S2202" s="150"/>
      <c r="T2202" s="152"/>
      <c r="U2202" s="157"/>
      <c r="V2202" s="1"/>
      <c r="W2202" s="147"/>
      <c r="X2202" s="157"/>
      <c r="Y2202" s="1"/>
      <c r="Z2202" s="147"/>
      <c r="AA2202" s="157"/>
      <c r="AB2202" s="1"/>
      <c r="AC2202" s="147"/>
      <c r="AD2202" s="157"/>
      <c r="AE2202" s="1"/>
      <c r="AF2202" s="147"/>
      <c r="AG2202" s="157"/>
      <c r="AH2202" s="1"/>
      <c r="AI2202" s="147"/>
      <c r="AJ2202" s="157"/>
      <c r="AK2202" s="1"/>
      <c r="AL2202" s="147"/>
      <c r="AM2202" s="157"/>
      <c r="AN2202" s="1"/>
      <c r="AO2202" s="147"/>
      <c r="AP2202" s="157"/>
      <c r="AQ2202" s="1"/>
      <c r="AR2202" s="147"/>
      <c r="AS2202" s="157"/>
      <c r="AT2202" s="1"/>
      <c r="AU2202" s="147"/>
    </row>
    <row r="2203" spans="13:47" ht="14" x14ac:dyDescent="0.3">
      <c r="M2203" s="23"/>
      <c r="N2203" s="23"/>
      <c r="O2203" s="23" t="s">
        <v>238</v>
      </c>
      <c r="P2203" s="20"/>
      <c r="Q2203" s="20"/>
      <c r="R2203" s="181">
        <f>R2189*1.02</f>
        <v>246.50861962105398</v>
      </c>
      <c r="S2203" s="128" t="s">
        <v>185</v>
      </c>
      <c r="T2203" s="153" t="s">
        <v>186</v>
      </c>
      <c r="U2203" s="143">
        <f>U2189*1.01</f>
        <v>2171.9535969604353</v>
      </c>
      <c r="V2203" s="128" t="s">
        <v>185</v>
      </c>
      <c r="W2203" s="153" t="s">
        <v>186</v>
      </c>
      <c r="X2203" s="143">
        <f>X2189*1.01</f>
        <v>5371.4997107909994</v>
      </c>
      <c r="Y2203" s="128" t="s">
        <v>185</v>
      </c>
      <c r="Z2203" s="153" t="s">
        <v>186</v>
      </c>
      <c r="AA2203" s="143">
        <f>AA2189*1.01</f>
        <v>10462.310385956898</v>
      </c>
      <c r="AB2203" s="128" t="s">
        <v>185</v>
      </c>
      <c r="AC2203" s="153" t="s">
        <v>186</v>
      </c>
      <c r="AD2203" s="143">
        <f>AD2189*1.01</f>
        <v>17206.648590752462</v>
      </c>
      <c r="AE2203" s="128" t="s">
        <v>185</v>
      </c>
      <c r="AF2203" s="153" t="s">
        <v>186</v>
      </c>
      <c r="AG2203" s="143">
        <f>AG2189*1.01</f>
        <v>24133.649322496516</v>
      </c>
      <c r="AH2203" s="128" t="s">
        <v>185</v>
      </c>
      <c r="AI2203" s="153" t="s">
        <v>186</v>
      </c>
      <c r="AJ2203" s="143">
        <f>AJ2189*1.01</f>
        <v>30643.330740292586</v>
      </c>
      <c r="AK2203" s="128" t="s">
        <v>185</v>
      </c>
      <c r="AL2203" s="153" t="s">
        <v>186</v>
      </c>
      <c r="AM2203" s="143">
        <f>AM2189*1.01</f>
        <v>35931.715235401003</v>
      </c>
      <c r="AN2203" s="128" t="s">
        <v>185</v>
      </c>
      <c r="AO2203" s="153" t="s">
        <v>186</v>
      </c>
      <c r="AP2203" s="143">
        <f>AP2189*1.01</f>
        <v>40087.877329528805</v>
      </c>
      <c r="AQ2203" s="128" t="s">
        <v>185</v>
      </c>
      <c r="AR2203" s="153" t="s">
        <v>186</v>
      </c>
      <c r="AS2203" s="143">
        <f>AS2189*1.01</f>
        <v>44724.775821557436</v>
      </c>
      <c r="AT2203" s="128" t="s">
        <v>185</v>
      </c>
      <c r="AU2203" s="153" t="s">
        <v>186</v>
      </c>
    </row>
    <row r="2204" spans="13:47" ht="14" x14ac:dyDescent="0.3">
      <c r="M2204" s="12"/>
      <c r="N2204" s="12"/>
      <c r="O2204" s="20"/>
      <c r="P2204" s="20"/>
      <c r="Q2204" s="23"/>
      <c r="R2204" s="139"/>
      <c r="S2204" s="130" t="s">
        <v>228</v>
      </c>
      <c r="T2204" s="154" t="s">
        <v>187</v>
      </c>
      <c r="U2204" s="144"/>
      <c r="V2204" s="130" t="s">
        <v>228</v>
      </c>
      <c r="W2204" s="154" t="s">
        <v>187</v>
      </c>
      <c r="X2204" s="144"/>
      <c r="Y2204" s="130" t="s">
        <v>228</v>
      </c>
      <c r="Z2204" s="154" t="s">
        <v>187</v>
      </c>
      <c r="AA2204" s="144"/>
      <c r="AB2204" s="130" t="s">
        <v>228</v>
      </c>
      <c r="AC2204" s="154" t="s">
        <v>187</v>
      </c>
      <c r="AD2204" s="144"/>
      <c r="AE2204" s="130" t="s">
        <v>228</v>
      </c>
      <c r="AF2204" s="154" t="s">
        <v>187</v>
      </c>
      <c r="AG2204" s="144"/>
      <c r="AH2204" s="130" t="s">
        <v>228</v>
      </c>
      <c r="AI2204" s="154" t="s">
        <v>187</v>
      </c>
      <c r="AJ2204" s="144"/>
      <c r="AK2204" s="130" t="s">
        <v>228</v>
      </c>
      <c r="AL2204" s="154" t="s">
        <v>187</v>
      </c>
      <c r="AM2204" s="144"/>
      <c r="AN2204" s="130" t="s">
        <v>228</v>
      </c>
      <c r="AO2204" s="154" t="s">
        <v>187</v>
      </c>
      <c r="AP2204" s="144"/>
      <c r="AQ2204" s="130" t="s">
        <v>228</v>
      </c>
      <c r="AR2204" s="154" t="s">
        <v>187</v>
      </c>
      <c r="AS2204" s="144"/>
      <c r="AT2204" s="130" t="s">
        <v>228</v>
      </c>
      <c r="AU2204" s="154" t="s">
        <v>187</v>
      </c>
    </row>
    <row r="2205" spans="13:47" x14ac:dyDescent="0.25">
      <c r="M2205" s="20"/>
      <c r="N2205" s="20"/>
      <c r="O2205" s="7" t="s">
        <v>188</v>
      </c>
      <c r="P2205" s="7"/>
      <c r="Q2205" s="7"/>
      <c r="R2205" s="181">
        <f>P_1_minW-(R2203^2*R_up)+dpup_minQ</f>
        <v>100.49855537576815</v>
      </c>
      <c r="S2205" s="132"/>
      <c r="T2205" s="145"/>
      <c r="U2205" s="138">
        <f>P_1_minW-(U2203^2*R_up)+dpup_minQ</f>
        <v>98.641674656418573</v>
      </c>
      <c r="V2205" s="132"/>
      <c r="W2205" s="145"/>
      <c r="X2205" s="138">
        <f>P_1_minW-(X2203^2*R_up)+dpup_minQ</f>
        <v>89.017307821656487</v>
      </c>
      <c r="Y2205" s="132"/>
      <c r="Z2205" s="145"/>
      <c r="AA2205" s="138">
        <f>P_1_minW-(AA2203^2*R_up)+dpup_minQ</f>
        <v>56.874340590140172</v>
      </c>
      <c r="AB2205" s="132"/>
      <c r="AC2205" s="145"/>
      <c r="AD2205" s="138">
        <f>P_1_minW-(AD2203^2*R_up)+dpup_minQ</f>
        <v>-17.538134033321342</v>
      </c>
      <c r="AE2205" s="132"/>
      <c r="AF2205" s="145"/>
      <c r="AG2205" s="138">
        <f>P_1_minW-(AG2203^2*R_up)+dpup_minQ</f>
        <v>-131.72927780632045</v>
      </c>
      <c r="AH2205" s="132"/>
      <c r="AI2205" s="145"/>
      <c r="AJ2205" s="138">
        <f>P_1_minW-(AJ2203^2*R_up)+dpup_minQ</f>
        <v>-273.92004831516465</v>
      </c>
      <c r="AK2205" s="132"/>
      <c r="AL2205" s="145"/>
      <c r="AM2205" s="138">
        <f>P_1_minW-(AM2203^2*R_up)+dpup_minQ</f>
        <v>-414.31389896062876</v>
      </c>
      <c r="AN2205" s="132"/>
      <c r="AO2205" s="145"/>
      <c r="AP2205" s="138">
        <f>P_1_minW-(AP2203^2*R_up)+dpup_minQ</f>
        <v>-540.30260113237171</v>
      </c>
      <c r="AQ2205" s="132"/>
      <c r="AR2205" s="145"/>
      <c r="AS2205" s="138">
        <f>P_1_minW-(AS2203^2*R_up)+dpup_minQ</f>
        <v>-697.12273687497589</v>
      </c>
      <c r="AT2205" s="132"/>
      <c r="AU2205" s="145"/>
    </row>
    <row r="2206" spans="13:47" x14ac:dyDescent="0.25">
      <c r="M2206" s="20"/>
      <c r="N2206" s="20"/>
      <c r="O2206" s="7" t="s">
        <v>189</v>
      </c>
      <c r="P2206" s="1"/>
      <c r="Q2206" s="7"/>
      <c r="R2206" s="181">
        <f>P_2_minW+(R2203^2*R_dn)-dpdn_minQ</f>
        <v>50</v>
      </c>
      <c r="S2206" s="132"/>
      <c r="T2206" s="146"/>
      <c r="U2206" s="138">
        <f>P_2_minW+(U2203^2*R_dn)-dpdn_minQ</f>
        <v>50</v>
      </c>
      <c r="V2206" s="132"/>
      <c r="W2206" s="146"/>
      <c r="X2206" s="138">
        <f>P_2_minW+(X2203^2*R_dn)-dpdn_minQ</f>
        <v>50</v>
      </c>
      <c r="Y2206" s="132"/>
      <c r="Z2206" s="146"/>
      <c r="AA2206" s="138">
        <f>P_2_minW+(AA2203^2*R_dn)-dpdn_minQ</f>
        <v>50</v>
      </c>
      <c r="AB2206" s="132"/>
      <c r="AC2206" s="146"/>
      <c r="AD2206" s="138">
        <f>P_2_minW+(AD2203^2*R_dn)-dpdn_minQ</f>
        <v>50</v>
      </c>
      <c r="AE2206" s="132"/>
      <c r="AF2206" s="146"/>
      <c r="AG2206" s="138">
        <f>P_2_minW+(AG2203^2*R_dn)-dpdn_minQ</f>
        <v>50</v>
      </c>
      <c r="AH2206" s="132"/>
      <c r="AI2206" s="146"/>
      <c r="AJ2206" s="138">
        <f>P_2_minW+(AJ2203^2*R_dn)-dpdn_minQ</f>
        <v>50</v>
      </c>
      <c r="AK2206" s="132"/>
      <c r="AL2206" s="146"/>
      <c r="AM2206" s="138">
        <f>P_2_minW+(AM2203^2*R_dn)-dpdn_minQ</f>
        <v>50</v>
      </c>
      <c r="AN2206" s="132"/>
      <c r="AO2206" s="146"/>
      <c r="AP2206" s="138">
        <f>P_2_minW+(AP2203^2*R_dn)-dpdn_minQ</f>
        <v>50</v>
      </c>
      <c r="AQ2206" s="132"/>
      <c r="AR2206" s="146"/>
      <c r="AS2206" s="138">
        <f>P_2_minW+(AS2203^2*R_dn)-dpdn_minQ</f>
        <v>50</v>
      </c>
      <c r="AT2206" s="132"/>
      <c r="AU2206" s="146"/>
    </row>
    <row r="2207" spans="13:47" x14ac:dyDescent="0.25">
      <c r="M2207" s="20"/>
      <c r="N2207" s="20"/>
      <c r="O2207" s="7" t="s">
        <v>234</v>
      </c>
      <c r="P2207" s="1"/>
      <c r="Q2207" s="7"/>
      <c r="R2207" s="179">
        <f>'Valve Sizing'!G$8*R2205/P_1_maxW</f>
        <v>0.48478713846775473</v>
      </c>
      <c r="S2207" s="132"/>
      <c r="T2207" s="146"/>
      <c r="U2207" s="143">
        <f>'Valve Sizing'!$G$8*U2205/P_1_maxW</f>
        <v>0.47582987647484776</v>
      </c>
      <c r="V2207" s="132"/>
      <c r="W2207" s="146"/>
      <c r="X2207" s="143">
        <f>'Valve Sizing'!$G$8*X2205/P_1_maxW</f>
        <v>0.42940364437685619</v>
      </c>
      <c r="Y2207" s="132"/>
      <c r="Z2207" s="146"/>
      <c r="AA2207" s="143">
        <f>'Valve Sizing'!$G$8*AA2205/P_1_maxW</f>
        <v>0.27435169315461205</v>
      </c>
      <c r="AB2207" s="132"/>
      <c r="AC2207" s="146"/>
      <c r="AD2207" s="143">
        <f>'Valve Sizing'!$G$8*AD2205/P_1_maxW</f>
        <v>-8.4600836104434501E-2</v>
      </c>
      <c r="AE2207" s="132"/>
      <c r="AF2207" s="146"/>
      <c r="AG2207" s="143">
        <f>'Valve Sizing'!$G$8*AG2205/P_1_maxW</f>
        <v>-0.63543858318532465</v>
      </c>
      <c r="AH2207" s="132"/>
      <c r="AI2207" s="146"/>
      <c r="AJ2207" s="143">
        <f>'Valve Sizing'!$G$8*AJ2205/P_1_maxW</f>
        <v>-1.3213415446136487</v>
      </c>
      <c r="AK2207" s="132"/>
      <c r="AL2207" s="146"/>
      <c r="AM2207" s="143">
        <f>'Valve Sizing'!$G$8*AM2205/P_1_maxW</f>
        <v>-1.9985764845428899</v>
      </c>
      <c r="AN2207" s="132"/>
      <c r="AO2207" s="146"/>
      <c r="AP2207" s="143">
        <f>'Valve Sizing'!$G$8*AP2205/P_1_maxW</f>
        <v>-2.6063235529135094</v>
      </c>
      <c r="AQ2207" s="132"/>
      <c r="AR2207" s="146"/>
      <c r="AS2207" s="143">
        <f>'Valve Sizing'!$G$8*AS2205/P_1_maxW</f>
        <v>-3.3627959676315493</v>
      </c>
      <c r="AT2207" s="132"/>
      <c r="AU2207" s="146"/>
    </row>
    <row r="2208" spans="13:47" x14ac:dyDescent="0.25">
      <c r="M2208" s="20"/>
      <c r="N2208" s="20"/>
      <c r="O2208" s="7" t="s">
        <v>190</v>
      </c>
      <c r="P2208" s="1"/>
      <c r="Q2208" s="7"/>
      <c r="R2208" s="181">
        <f>R2205-R2206</f>
        <v>50.498555375768149</v>
      </c>
      <c r="S2208" s="132"/>
      <c r="T2208" s="146"/>
      <c r="U2208" s="138">
        <f>U2205-U2206</f>
        <v>48.641674656418573</v>
      </c>
      <c r="V2208" s="132"/>
      <c r="W2208" s="146"/>
      <c r="X2208" s="138">
        <f>X2205-X2206</f>
        <v>39.017307821656487</v>
      </c>
      <c r="Y2208" s="132"/>
      <c r="Z2208" s="146"/>
      <c r="AA2208" s="138">
        <f>AA2205-AA2206</f>
        <v>6.8743405901401715</v>
      </c>
      <c r="AB2208" s="132"/>
      <c r="AC2208" s="146"/>
      <c r="AD2208" s="138">
        <f>AD2205-AD2206</f>
        <v>-67.538134033321342</v>
      </c>
      <c r="AE2208" s="132"/>
      <c r="AF2208" s="146"/>
      <c r="AG2208" s="138">
        <f>AG2205-AG2206</f>
        <v>-181.72927780632045</v>
      </c>
      <c r="AH2208" s="132"/>
      <c r="AI2208" s="146"/>
      <c r="AJ2208" s="138">
        <f>AJ2205-AJ2206</f>
        <v>-323.92004831516465</v>
      </c>
      <c r="AK2208" s="132"/>
      <c r="AL2208" s="146"/>
      <c r="AM2208" s="138">
        <f>AM2205-AM2206</f>
        <v>-464.31389896062876</v>
      </c>
      <c r="AN2208" s="132"/>
      <c r="AO2208" s="146"/>
      <c r="AP2208" s="138">
        <f>AP2205-AP2206</f>
        <v>-590.30260113237171</v>
      </c>
      <c r="AQ2208" s="132"/>
      <c r="AR2208" s="146"/>
      <c r="AS2208" s="138">
        <f>AS2205-AS2206</f>
        <v>-747.12273687497589</v>
      </c>
      <c r="AT2208" s="132"/>
      <c r="AU2208" s="146"/>
    </row>
    <row r="2209" spans="13:47" ht="14.5" x14ac:dyDescent="0.35">
      <c r="M2209" s="27"/>
      <c r="N2209" s="27"/>
      <c r="O2209" s="2" t="s">
        <v>191</v>
      </c>
      <c r="P2209" s="10"/>
      <c r="Q2209" s="2"/>
      <c r="R2209" s="181">
        <f>R2208/R2205</f>
        <v>0.50248041065816329</v>
      </c>
      <c r="S2209" s="132"/>
      <c r="T2209" s="146"/>
      <c r="U2209" s="138">
        <f>U2208/U2205</f>
        <v>0.49311485055219995</v>
      </c>
      <c r="V2209" s="132"/>
      <c r="W2209" s="146"/>
      <c r="X2209" s="138">
        <f>X2208/X2205</f>
        <v>0.43831147870509063</v>
      </c>
      <c r="Y2209" s="132"/>
      <c r="Z2209" s="146"/>
      <c r="AA2209" s="138">
        <f>AA2208/AA2205</f>
        <v>0.12086892821631973</v>
      </c>
      <c r="AB2209" s="132"/>
      <c r="AC2209" s="146"/>
      <c r="AD2209" s="138">
        <f>AD2208/AD2205</f>
        <v>3.8509304299421578</v>
      </c>
      <c r="AE2209" s="132"/>
      <c r="AF2209" s="146"/>
      <c r="AG2209" s="138">
        <f>AG2208/AG2205</f>
        <v>1.3795663411554888</v>
      </c>
      <c r="AH2209" s="132"/>
      <c r="AI2209" s="146"/>
      <c r="AJ2209" s="138">
        <f>AJ2208/AJ2205</f>
        <v>1.1825350145326763</v>
      </c>
      <c r="AK2209" s="132"/>
      <c r="AL2209" s="146"/>
      <c r="AM2209" s="138">
        <f>AM2208/AM2205</f>
        <v>1.1206814449754952</v>
      </c>
      <c r="AN2209" s="132"/>
      <c r="AO2209" s="146"/>
      <c r="AP2209" s="138">
        <f>AP2208/AP2205</f>
        <v>1.0925407353124148</v>
      </c>
      <c r="AQ2209" s="132"/>
      <c r="AR2209" s="146"/>
      <c r="AS2209" s="138">
        <f>AS2208/AS2205</f>
        <v>1.0717233814867915</v>
      </c>
      <c r="AT2209" s="132"/>
      <c r="AU2209" s="146"/>
    </row>
    <row r="2210" spans="13:47" x14ac:dyDescent="0.25">
      <c r="M2210" s="27"/>
      <c r="N2210" s="27"/>
      <c r="O2210" s="2" t="s">
        <v>26</v>
      </c>
      <c r="P2210" s="7">
        <v>12</v>
      </c>
      <c r="Q2210" s="2"/>
      <c r="R2210" s="181">
        <f>1-R2209/(3*F_GAMMA*R$29)</f>
        <v>0.7383024441415541</v>
      </c>
      <c r="S2210" s="133"/>
      <c r="T2210" s="146"/>
      <c r="U2210" s="138">
        <f>1-U2209/(3*F_GAMMA*U$29)</f>
        <v>0.74323668050477298</v>
      </c>
      <c r="V2210" s="133"/>
      <c r="W2210" s="146"/>
      <c r="X2210" s="138">
        <f>1-X2209/(3*F_GAMMA*X$29)</f>
        <v>0.76834884635565592</v>
      </c>
      <c r="Y2210" s="133"/>
      <c r="Z2210" s="146"/>
      <c r="AA2210" s="138">
        <f>1-AA2209/(3*F_GAMMA*AA$29)</f>
        <v>0.93524390953800229</v>
      </c>
      <c r="AB2210" s="133"/>
      <c r="AC2210" s="146"/>
      <c r="AD2210" s="138">
        <f>1-AD2209/(3*F_GAMMA*AD$29)</f>
        <v>-1.1197211813947479</v>
      </c>
      <c r="AE2210" s="133"/>
      <c r="AF2210" s="146"/>
      <c r="AG2210" s="138">
        <f>1-AG2209/(3*F_GAMMA*AG$29)</f>
        <v>0.19731023143197679</v>
      </c>
      <c r="AH2210" s="133"/>
      <c r="AI2210" s="146"/>
      <c r="AJ2210" s="138">
        <f>1-AJ2209/(3*F_GAMMA*AJ$29)</f>
        <v>0.26446666671772179</v>
      </c>
      <c r="AK2210" s="133"/>
      <c r="AL2210" s="146"/>
      <c r="AM2210" s="138">
        <f>1-AM2209/(3*F_GAMMA*AM$29)</f>
        <v>0.23839041860742738</v>
      </c>
      <c r="AN2210" s="133"/>
      <c r="AO2210" s="146"/>
      <c r="AP2210" s="138">
        <f>1-AP2209/(3*F_GAMMA*AP$29)</f>
        <v>0.3864162319396871</v>
      </c>
      <c r="AQ2210" s="133"/>
      <c r="AR2210" s="146"/>
      <c r="AS2210" s="138">
        <f>1-AS2209/(3*F_GAMMA*AS$29)</f>
        <v>8.6274889740776239E-2</v>
      </c>
      <c r="AT2210" s="133"/>
      <c r="AU2210" s="146"/>
    </row>
    <row r="2211" spans="13:47" x14ac:dyDescent="0.25">
      <c r="M2211" s="27"/>
      <c r="N2211" s="27"/>
      <c r="O2211" s="2" t="s">
        <v>71</v>
      </c>
      <c r="P2211" s="85">
        <v>5</v>
      </c>
      <c r="Q2211" s="2"/>
      <c r="R2211" s="179">
        <f>R2203/((N_6*R$27*R2210)*SQRT(R2209*R2205*R2207))</f>
        <v>1.0661799996535855</v>
      </c>
      <c r="S2211" s="133"/>
      <c r="T2211" s="146"/>
      <c r="U2211" s="143">
        <f>U2203/((N_6*U$27*U2210)*SQRT(U2209*U2205*U2207))</f>
        <v>9.6030901838131193</v>
      </c>
      <c r="V2211" s="133"/>
      <c r="W2211" s="146"/>
      <c r="X2211" s="143">
        <f>X2203/((N_6*X$27*X2210)*SQRT(X2209*X2205*X2207))</f>
        <v>27.061678891325467</v>
      </c>
      <c r="Y2211" s="133"/>
      <c r="Z2211" s="146"/>
      <c r="AA2211" s="143">
        <f>AA2203/((N_6*AA$27*AA2210)*SQRT(AA2209*AA2205*AA2207))</f>
        <v>129.80848601391671</v>
      </c>
      <c r="AB2211" s="133"/>
      <c r="AC2211" s="146"/>
      <c r="AD2211" s="143">
        <f>AD2203/((N_6*AD$27*AD2210)*SQRT(AD2209*AD2205*AD2207))</f>
        <v>-103.66661974236678</v>
      </c>
      <c r="AE2211" s="133"/>
      <c r="AF2211" s="146"/>
      <c r="AG2211" s="143">
        <f>AG2203/((N_6*AG$27*AG2210)*SQRT(AG2209*AG2205*AG2207))</f>
        <v>187.50345362701725</v>
      </c>
      <c r="AH2211" s="133"/>
      <c r="AI2211" s="146"/>
      <c r="AJ2211" s="143">
        <f>AJ2203/((N_6*AJ$27*AJ2210)*SQRT(AJ2209*AJ2205*AJ2207))</f>
        <v>95.429635307541886</v>
      </c>
      <c r="AK2211" s="133"/>
      <c r="AL2211" s="146"/>
      <c r="AM2211" s="143">
        <f>AM2203/((N_6*AM$27*AM2210)*SQRT(AM2209*AM2205*AM2207))</f>
        <v>89.485334174142324</v>
      </c>
      <c r="AN2211" s="133"/>
      <c r="AO2211" s="146"/>
      <c r="AP2211" s="143">
        <f>AP2203/((N_6*AP$27*AP2210)*SQRT(AP2209*AP2205*AP2207))</f>
        <v>54.336198343214427</v>
      </c>
      <c r="AQ2211" s="133"/>
      <c r="AR2211" s="146"/>
      <c r="AS2211" s="143">
        <f>AS2203/((N_6*AS$27*AS2210)*SQRT(AS2209*AS2205*AS2207))</f>
        <v>279.18238000363488</v>
      </c>
      <c r="AT2211" s="133"/>
      <c r="AU2211" s="146"/>
    </row>
    <row r="2212" spans="13:47" x14ac:dyDescent="0.25">
      <c r="M2212" s="27"/>
      <c r="N2212" s="27"/>
      <c r="O2212" s="2" t="s">
        <v>73</v>
      </c>
      <c r="P2212" s="85">
        <v>5</v>
      </c>
      <c r="Q2212" s="2"/>
      <c r="R2212" s="179">
        <f>R2203/((N_6*R$27*0.667)*SQRT(R2213*R2205*R2207))</f>
        <v>1.0456815953919827</v>
      </c>
      <c r="S2212" s="133"/>
      <c r="T2212" s="155"/>
      <c r="U2212" s="143">
        <f>U2203/((N_6*U$27*0.667)*SQRT(U2213*U2205*U2207))</f>
        <v>9.3915965297505331</v>
      </c>
      <c r="V2212" s="133"/>
      <c r="W2212" s="155"/>
      <c r="X2212" s="143">
        <f>X2203/((N_6*X$27*0.667)*SQRT(X2213*X2205*X2207))</f>
        <v>25.987542174499549</v>
      </c>
      <c r="Y2212" s="133"/>
      <c r="Z2212" s="155"/>
      <c r="AA2212" s="143">
        <f>AA2203/((N_6*AA$27*0.667)*SQRT(AA2213*AA2205*AA2207))</f>
        <v>80.223771879636985</v>
      </c>
      <c r="AB2212" s="133"/>
      <c r="AC2212" s="155"/>
      <c r="AD2212" s="143">
        <f>AD2203/((N_6*AD$27*0.667)*SQRT(AD2213*AD2205*AD2207))</f>
        <v>438.85696428507407</v>
      </c>
      <c r="AE2212" s="133"/>
      <c r="AF2212" s="155"/>
      <c r="AG2212" s="143">
        <f>AG2203/((N_6*AG$27*0.667)*SQRT(AG2213*AG2205*AG2207))</f>
        <v>86.073117783844694</v>
      </c>
      <c r="AH2212" s="133"/>
      <c r="AI2212" s="155"/>
      <c r="AJ2212" s="143">
        <f>AJ2203/((N_6*AJ$27*0.667)*SQRT(AJ2213*AJ2205*AJ2207))</f>
        <v>56.206970596718023</v>
      </c>
      <c r="AK2212" s="133"/>
      <c r="AL2212" s="155"/>
      <c r="AM2212" s="143">
        <f>AM2203/((N_6*AM$27*0.667)*SQRT(AM2213*AM2205*AM2207))</f>
        <v>48.343896724183679</v>
      </c>
      <c r="AN2212" s="133"/>
      <c r="AO2212" s="155"/>
      <c r="AP2212" s="143">
        <f>AP2203/((N_6*AP$27*0.667)*SQRT(AP2213*AP2205*AP2207))</f>
        <v>42.708698333926542</v>
      </c>
      <c r="AQ2212" s="133"/>
      <c r="AR2212" s="155"/>
      <c r="AS2212" s="143">
        <f>AS2203/((N_6*AS$27*0.667)*SQRT(AS2213*AS2205*AS2207))</f>
        <v>59.788132957075042</v>
      </c>
      <c r="AT2212" s="133"/>
      <c r="AU2212" s="155"/>
    </row>
    <row r="2213" spans="13:47" ht="15.5" x14ac:dyDescent="0.4">
      <c r="M2213" s="27"/>
      <c r="N2213" s="27"/>
      <c r="O2213" s="2" t="s">
        <v>192</v>
      </c>
      <c r="P2213" s="85">
        <v>10</v>
      </c>
      <c r="Q2213" s="2"/>
      <c r="R2213" s="181">
        <f>F_GAMMA*R$29</f>
        <v>0.64002688015162901</v>
      </c>
      <c r="S2213" s="133"/>
      <c r="T2213" s="155"/>
      <c r="U2213" s="138">
        <f>F_GAMMA*U$29</f>
        <v>0.64016782916606918</v>
      </c>
      <c r="V2213" s="133"/>
      <c r="W2213" s="155"/>
      <c r="X2213" s="138">
        <f>F_GAMMA*X$29</f>
        <v>0.6307062319203669</v>
      </c>
      <c r="Y2213" s="133"/>
      <c r="Z2213" s="155"/>
      <c r="AA2213" s="138">
        <f>F_GAMMA*AA$29</f>
        <v>0.62217534213893466</v>
      </c>
      <c r="AB2213" s="133"/>
      <c r="AC2213" s="155"/>
      <c r="AD2213" s="138">
        <f>F_GAMMA*AD$29</f>
        <v>0.60557184969146072</v>
      </c>
      <c r="AE2213" s="133"/>
      <c r="AF2213" s="155"/>
      <c r="AG2213" s="138">
        <f>F_GAMMA*AG$29</f>
        <v>0.57289312142622573</v>
      </c>
      <c r="AH2213" s="133"/>
      <c r="AI2213" s="155"/>
      <c r="AJ2213" s="138">
        <f>F_GAMMA*AJ$29</f>
        <v>0.53590819116049981</v>
      </c>
      <c r="AK2213" s="133"/>
      <c r="AL2213" s="155"/>
      <c r="AM2213" s="138">
        <f>F_GAMMA*AM$29</f>
        <v>0.49048815926850342</v>
      </c>
      <c r="AN2213" s="133"/>
      <c r="AO2213" s="155"/>
      <c r="AP2213" s="138">
        <f>F_GAMMA*AP$29</f>
        <v>0.59352979016280105</v>
      </c>
      <c r="AQ2213" s="133"/>
      <c r="AR2213" s="155"/>
      <c r="AS2213" s="138">
        <f>F_GAMMA*AS$29</f>
        <v>0.39097221161068291</v>
      </c>
      <c r="AT2213" s="133"/>
      <c r="AU2213" s="155"/>
    </row>
    <row r="2214" spans="13:47" x14ac:dyDescent="0.25">
      <c r="M2214" s="27"/>
      <c r="N2214" s="27"/>
      <c r="O2214" s="2" t="s">
        <v>193</v>
      </c>
      <c r="P2214" s="134"/>
      <c r="Q2214" s="2"/>
      <c r="R2214" s="181">
        <f>IF(R2209&lt;R2213,R2211,R2212)</f>
        <v>1.0661799996535855</v>
      </c>
      <c r="S2214" s="133"/>
      <c r="T2214" s="155"/>
      <c r="U2214" s="138">
        <f>IF(U2209&lt;U2213,U2211,U2212)</f>
        <v>9.6030901838131193</v>
      </c>
      <c r="V2214" s="133"/>
      <c r="W2214" s="155"/>
      <c r="X2214" s="138">
        <f>IF(X2209&lt;X2213,X2211,X2212)</f>
        <v>27.061678891325467</v>
      </c>
      <c r="Y2214" s="133"/>
      <c r="Z2214" s="155"/>
      <c r="AA2214" s="138">
        <f>IF(AA2209&lt;AA2213,AA2211,AA2212)</f>
        <v>129.80848601391671</v>
      </c>
      <c r="AB2214" s="133"/>
      <c r="AC2214" s="155"/>
      <c r="AD2214" s="138">
        <f>IF(AD2209&lt;AD2213,AD2211,AD2212)</f>
        <v>438.85696428507407</v>
      </c>
      <c r="AE2214" s="133"/>
      <c r="AF2214" s="155"/>
      <c r="AG2214" s="138">
        <f>IF(AG2209&lt;AG2213,AG2211,AG2212)</f>
        <v>86.073117783844694</v>
      </c>
      <c r="AH2214" s="133"/>
      <c r="AI2214" s="155"/>
      <c r="AJ2214" s="138">
        <f>IF(AJ2209&lt;AJ2213,AJ2211,AJ2212)</f>
        <v>56.206970596718023</v>
      </c>
      <c r="AK2214" s="133"/>
      <c r="AL2214" s="155"/>
      <c r="AM2214" s="138">
        <f>IF(AM2209&lt;AM2213,AM2211,AM2212)</f>
        <v>48.343896724183679</v>
      </c>
      <c r="AN2214" s="133"/>
      <c r="AO2214" s="155"/>
      <c r="AP2214" s="138">
        <f>IF(AP2209&lt;AP2213,AP2211,AP2212)</f>
        <v>42.708698333926542</v>
      </c>
      <c r="AQ2214" s="133"/>
      <c r="AR2214" s="155"/>
      <c r="AS2214" s="138">
        <f>IF(AS2209&lt;AS2213,AS2211,AS2212)</f>
        <v>59.788132957075042</v>
      </c>
      <c r="AT2214" s="133"/>
      <c r="AU2214" s="155"/>
    </row>
    <row r="2215" spans="13:47" ht="13" x14ac:dyDescent="0.3">
      <c r="M2215" s="28"/>
      <c r="N2215" s="28"/>
      <c r="O2215" s="9" t="s">
        <v>194</v>
      </c>
      <c r="P2215" s="1"/>
      <c r="Q2215" s="1"/>
      <c r="R2215" s="135"/>
      <c r="S2215" s="132">
        <f>IF(R2208&lt;=0,W_max,ABS(R$23-R2214))</f>
        <v>0.93382000034641455</v>
      </c>
      <c r="T2215" s="151">
        <f>R2203</f>
        <v>246.50861962105398</v>
      </c>
      <c r="U2215" s="135"/>
      <c r="V2215" s="132">
        <f>IF(U2208&lt;=0,W_max,ABS(U$23-U2214))</f>
        <v>4.6030901838131193</v>
      </c>
      <c r="W2215" s="151">
        <f>U2203</f>
        <v>2171.9535969604353</v>
      </c>
      <c r="X2215" s="135"/>
      <c r="Y2215" s="132">
        <f>IF(X2208&lt;=0,W_max,ABS(X$23-X2214))</f>
        <v>17.061678891325467</v>
      </c>
      <c r="Z2215" s="151">
        <f>X2203</f>
        <v>5371.4997107909994</v>
      </c>
      <c r="AA2215" s="135"/>
      <c r="AB2215" s="132">
        <f>IF(AA2208&lt;=0,W_max,ABS(AA$23-AA2214))</f>
        <v>112.6084860139167</v>
      </c>
      <c r="AC2215" s="151">
        <f>AA2203</f>
        <v>10462.310385956898</v>
      </c>
      <c r="AD2215" s="135"/>
      <c r="AE2215" s="132">
        <f>IF(AD2208&lt;=0,W_max,ABS(AD$23-AD2214))</f>
        <v>7174</v>
      </c>
      <c r="AF2215" s="151">
        <f>AD2203</f>
        <v>17206.648590752462</v>
      </c>
      <c r="AG2215" s="135"/>
      <c r="AH2215" s="132">
        <f>IF(AG2208&lt;=0,W_max,ABS(AG$23-AG2214))</f>
        <v>7174</v>
      </c>
      <c r="AI2215" s="151">
        <f>AG2203</f>
        <v>24133.649322496516</v>
      </c>
      <c r="AJ2215" s="135"/>
      <c r="AK2215" s="132">
        <f>IF(AJ2208&lt;=0,W_max,ABS(AJ$23-AJ2214))</f>
        <v>7174</v>
      </c>
      <c r="AL2215" s="151">
        <f>AJ2203</f>
        <v>30643.330740292586</v>
      </c>
      <c r="AM2215" s="135"/>
      <c r="AN2215" s="132">
        <f>IF(AM2208&lt;=0,W_max,ABS(AM$23-AM2214))</f>
        <v>7174</v>
      </c>
      <c r="AO2215" s="151">
        <f>AM2203</f>
        <v>35931.715235401003</v>
      </c>
      <c r="AP2215" s="135"/>
      <c r="AQ2215" s="132">
        <f>IF(AP2208&lt;=0,W_max,ABS(AP$23-AP2214))</f>
        <v>7174</v>
      </c>
      <c r="AR2215" s="151">
        <f>AP2203</f>
        <v>40087.877329528805</v>
      </c>
      <c r="AS2215" s="135"/>
      <c r="AT2215" s="132">
        <f>IF(AS2208&lt;=0,W_max,ABS(AS$23-AS2214))</f>
        <v>7174</v>
      </c>
      <c r="AU2215" s="151">
        <f>AS2203</f>
        <v>44724.775821557436</v>
      </c>
    </row>
    <row r="2216" spans="13:47" ht="13" x14ac:dyDescent="0.25">
      <c r="M2216" s="12"/>
      <c r="N2216" s="12"/>
      <c r="O2216" s="2"/>
      <c r="P2216" s="85"/>
      <c r="Q2216" s="2"/>
      <c r="R2216" s="18"/>
      <c r="S2216" s="150"/>
      <c r="T2216" s="148"/>
      <c r="U2216" s="157"/>
      <c r="V2216" s="1"/>
      <c r="W2216" s="147"/>
      <c r="X2216" s="157"/>
      <c r="Y2216" s="1"/>
      <c r="Z2216" s="147"/>
      <c r="AA2216" s="157"/>
      <c r="AB2216" s="1"/>
      <c r="AC2216" s="147"/>
      <c r="AD2216" s="157"/>
      <c r="AE2216" s="1"/>
      <c r="AF2216" s="147"/>
      <c r="AG2216" s="157"/>
      <c r="AH2216" s="1"/>
      <c r="AI2216" s="147"/>
      <c r="AJ2216" s="157"/>
      <c r="AK2216" s="1"/>
      <c r="AL2216" s="147"/>
      <c r="AM2216" s="157"/>
      <c r="AN2216" s="1"/>
      <c r="AO2216" s="147"/>
      <c r="AP2216" s="157"/>
      <c r="AQ2216" s="1"/>
      <c r="AR2216" s="147"/>
      <c r="AS2216" s="157"/>
      <c r="AT2216" s="1"/>
      <c r="AU2216" s="147"/>
    </row>
    <row r="2217" spans="13:47" ht="14" x14ac:dyDescent="0.3">
      <c r="M2217" s="23"/>
      <c r="N2217" s="23"/>
      <c r="O2217" s="23" t="s">
        <v>238</v>
      </c>
      <c r="P2217" s="20"/>
      <c r="Q2217" s="20"/>
      <c r="R2217" s="181">
        <f>R2203*1.02</f>
        <v>251.43879201347505</v>
      </c>
      <c r="S2217" s="128" t="s">
        <v>185</v>
      </c>
      <c r="T2217" s="149" t="s">
        <v>186</v>
      </c>
      <c r="U2217" s="143">
        <f>U2203*1.01</f>
        <v>2193.6731329300396</v>
      </c>
      <c r="V2217" s="128" t="s">
        <v>185</v>
      </c>
      <c r="W2217" s="153" t="s">
        <v>186</v>
      </c>
      <c r="X2217" s="143">
        <f>X2203*1.01</f>
        <v>5425.2147078989092</v>
      </c>
      <c r="Y2217" s="128" t="s">
        <v>185</v>
      </c>
      <c r="Z2217" s="153" t="s">
        <v>186</v>
      </c>
      <c r="AA2217" s="143">
        <f>AA2203*1.01</f>
        <v>10566.933489816467</v>
      </c>
      <c r="AB2217" s="128" t="s">
        <v>185</v>
      </c>
      <c r="AC2217" s="153" t="s">
        <v>186</v>
      </c>
      <c r="AD2217" s="143">
        <f>AD2203*1.01</f>
        <v>17378.715076659988</v>
      </c>
      <c r="AE2217" s="128" t="s">
        <v>185</v>
      </c>
      <c r="AF2217" s="153" t="s">
        <v>186</v>
      </c>
      <c r="AG2217" s="143">
        <f>AG2203*1.01</f>
        <v>24374.98581572148</v>
      </c>
      <c r="AH2217" s="128" t="s">
        <v>185</v>
      </c>
      <c r="AI2217" s="153" t="s">
        <v>186</v>
      </c>
      <c r="AJ2217" s="143">
        <f>AJ2203*1.01</f>
        <v>30949.764047695513</v>
      </c>
      <c r="AK2217" s="128" t="s">
        <v>185</v>
      </c>
      <c r="AL2217" s="153" t="s">
        <v>186</v>
      </c>
      <c r="AM2217" s="143">
        <f>AM2203*1.01</f>
        <v>36291.032387755011</v>
      </c>
      <c r="AN2217" s="128" t="s">
        <v>185</v>
      </c>
      <c r="AO2217" s="153" t="s">
        <v>186</v>
      </c>
      <c r="AP2217" s="143">
        <f>AP2203*1.01</f>
        <v>40488.756102824096</v>
      </c>
      <c r="AQ2217" s="128" t="s">
        <v>185</v>
      </c>
      <c r="AR2217" s="153" t="s">
        <v>186</v>
      </c>
      <c r="AS2217" s="143">
        <f>AS2203*1.01</f>
        <v>45172.023579773013</v>
      </c>
      <c r="AT2217" s="128" t="s">
        <v>185</v>
      </c>
      <c r="AU2217" s="153" t="s">
        <v>186</v>
      </c>
    </row>
    <row r="2218" spans="13:47" ht="14" x14ac:dyDescent="0.3">
      <c r="M2218" s="12"/>
      <c r="N2218" s="12"/>
      <c r="O2218" s="20"/>
      <c r="P2218" s="20"/>
      <c r="Q2218" s="23"/>
      <c r="R2218" s="139"/>
      <c r="S2218" s="130" t="s">
        <v>228</v>
      </c>
      <c r="T2218" s="131" t="s">
        <v>187</v>
      </c>
      <c r="U2218" s="144"/>
      <c r="V2218" s="130" t="s">
        <v>228</v>
      </c>
      <c r="W2218" s="154" t="s">
        <v>187</v>
      </c>
      <c r="X2218" s="144"/>
      <c r="Y2218" s="130" t="s">
        <v>228</v>
      </c>
      <c r="Z2218" s="154" t="s">
        <v>187</v>
      </c>
      <c r="AA2218" s="144"/>
      <c r="AB2218" s="130" t="s">
        <v>228</v>
      </c>
      <c r="AC2218" s="154" t="s">
        <v>187</v>
      </c>
      <c r="AD2218" s="144"/>
      <c r="AE2218" s="130" t="s">
        <v>228</v>
      </c>
      <c r="AF2218" s="154" t="s">
        <v>187</v>
      </c>
      <c r="AG2218" s="144"/>
      <c r="AH2218" s="130" t="s">
        <v>228</v>
      </c>
      <c r="AI2218" s="154" t="s">
        <v>187</v>
      </c>
      <c r="AJ2218" s="144"/>
      <c r="AK2218" s="130" t="s">
        <v>228</v>
      </c>
      <c r="AL2218" s="154" t="s">
        <v>187</v>
      </c>
      <c r="AM2218" s="144"/>
      <c r="AN2218" s="130" t="s">
        <v>228</v>
      </c>
      <c r="AO2218" s="154" t="s">
        <v>187</v>
      </c>
      <c r="AP2218" s="144"/>
      <c r="AQ2218" s="130" t="s">
        <v>228</v>
      </c>
      <c r="AR2218" s="154" t="s">
        <v>187</v>
      </c>
      <c r="AS2218" s="144"/>
      <c r="AT2218" s="130" t="s">
        <v>228</v>
      </c>
      <c r="AU2218" s="154" t="s">
        <v>187</v>
      </c>
    </row>
    <row r="2219" spans="13:47" x14ac:dyDescent="0.25">
      <c r="M2219" s="20"/>
      <c r="N2219" s="20"/>
      <c r="O2219" s="7" t="s">
        <v>188</v>
      </c>
      <c r="P2219" s="7"/>
      <c r="Q2219" s="7"/>
      <c r="R2219" s="181">
        <f>P_1_minW-(R2217^2*R_up)+dpup_minQ</f>
        <v>100.49757642878542</v>
      </c>
      <c r="S2219" s="132"/>
      <c r="T2219" s="145"/>
      <c r="U2219" s="138">
        <f>P_1_minW-(U2217^2*R_up)+dpup_minQ</f>
        <v>98.603864303604382</v>
      </c>
      <c r="V2219" s="132"/>
      <c r="W2219" s="145"/>
      <c r="X2219" s="138">
        <f>P_1_minW-(X2217^2*R_up)+dpup_minQ</f>
        <v>88.78604769546358</v>
      </c>
      <c r="Y2219" s="132"/>
      <c r="Z2219" s="145"/>
      <c r="AA2219" s="138">
        <f>P_1_minW-(AA2217^2*R_up)+dpup_minQ</f>
        <v>55.997006822593782</v>
      </c>
      <c r="AB2219" s="132"/>
      <c r="AC2219" s="145"/>
      <c r="AD2219" s="138">
        <f>P_1_minW-(AD2217^2*R_up)+dpup_minQ</f>
        <v>-19.91115854079932</v>
      </c>
      <c r="AE2219" s="132"/>
      <c r="AF2219" s="145"/>
      <c r="AG2219" s="138">
        <f>P_1_minW-(AG2217^2*R_up)+dpup_minQ</f>
        <v>-136.3975443036357</v>
      </c>
      <c r="AH2219" s="132"/>
      <c r="AI2219" s="145"/>
      <c r="AJ2219" s="138">
        <f>P_1_minW-(AJ2217^2*R_up)+dpup_minQ</f>
        <v>-281.44634929970772</v>
      </c>
      <c r="AK2219" s="132"/>
      <c r="AL2219" s="145"/>
      <c r="AM2219" s="138">
        <f>P_1_minW-(AM2217^2*R_up)+dpup_minQ</f>
        <v>-424.6621163431455</v>
      </c>
      <c r="AN2219" s="132"/>
      <c r="AO2219" s="145"/>
      <c r="AP2219" s="138">
        <f>P_1_minW-(AP2217^2*R_up)+dpup_minQ</f>
        <v>-553.18319142854068</v>
      </c>
      <c r="AQ2219" s="132"/>
      <c r="AR2219" s="145"/>
      <c r="AS2219" s="138">
        <f>P_1_minW-(AS2217^2*R_up)+dpup_minQ</f>
        <v>-713.15541189957116</v>
      </c>
      <c r="AT2219" s="132"/>
      <c r="AU2219" s="145"/>
    </row>
    <row r="2220" spans="13:47" x14ac:dyDescent="0.25">
      <c r="M2220" s="20"/>
      <c r="N2220" s="20"/>
      <c r="O2220" s="7" t="s">
        <v>189</v>
      </c>
      <c r="P2220" s="1"/>
      <c r="Q2220" s="7"/>
      <c r="R2220" s="181">
        <f>P_2_minW+(R2217^2*R_dn)-dpdn_minQ</f>
        <v>50</v>
      </c>
      <c r="S2220" s="132"/>
      <c r="T2220" s="146"/>
      <c r="U2220" s="138">
        <f>P_2_minW+(U2217^2*R_dn)-dpdn_minQ</f>
        <v>50</v>
      </c>
      <c r="V2220" s="132"/>
      <c r="W2220" s="146"/>
      <c r="X2220" s="138">
        <f>P_2_minW+(X2217^2*R_dn)-dpdn_minQ</f>
        <v>50</v>
      </c>
      <c r="Y2220" s="132"/>
      <c r="Z2220" s="146"/>
      <c r="AA2220" s="138">
        <f>P_2_minW+(AA2217^2*R_dn)-dpdn_minQ</f>
        <v>50</v>
      </c>
      <c r="AB2220" s="132"/>
      <c r="AC2220" s="146"/>
      <c r="AD2220" s="138">
        <f>P_2_minW+(AD2217^2*R_dn)-dpdn_minQ</f>
        <v>50</v>
      </c>
      <c r="AE2220" s="132"/>
      <c r="AF2220" s="146"/>
      <c r="AG2220" s="138">
        <f>P_2_minW+(AG2217^2*R_dn)-dpdn_minQ</f>
        <v>50</v>
      </c>
      <c r="AH2220" s="132"/>
      <c r="AI2220" s="146"/>
      <c r="AJ2220" s="138">
        <f>P_2_minW+(AJ2217^2*R_dn)-dpdn_minQ</f>
        <v>50</v>
      </c>
      <c r="AK2220" s="132"/>
      <c r="AL2220" s="146"/>
      <c r="AM2220" s="138">
        <f>P_2_minW+(AM2217^2*R_dn)-dpdn_minQ</f>
        <v>50</v>
      </c>
      <c r="AN2220" s="132"/>
      <c r="AO2220" s="146"/>
      <c r="AP2220" s="138">
        <f>P_2_minW+(AP2217^2*R_dn)-dpdn_minQ</f>
        <v>50</v>
      </c>
      <c r="AQ2220" s="132"/>
      <c r="AR2220" s="146"/>
      <c r="AS2220" s="138">
        <f>P_2_minW+(AS2217^2*R_dn)-dpdn_minQ</f>
        <v>50</v>
      </c>
      <c r="AT2220" s="132"/>
      <c r="AU2220" s="146"/>
    </row>
    <row r="2221" spans="13:47" x14ac:dyDescent="0.25">
      <c r="M2221" s="20"/>
      <c r="N2221" s="20"/>
      <c r="O2221" s="7" t="s">
        <v>234</v>
      </c>
      <c r="P2221" s="1"/>
      <c r="Q2221" s="7"/>
      <c r="R2221" s="179">
        <f>'Valve Sizing'!G$8*R2219/P_1_maxW</f>
        <v>0.48478241620180079</v>
      </c>
      <c r="S2221" s="132"/>
      <c r="T2221" s="146"/>
      <c r="U2221" s="143">
        <f>'Valve Sizing'!$G$8*U2219/P_1_maxW</f>
        <v>0.47564748606459045</v>
      </c>
      <c r="V2221" s="132"/>
      <c r="W2221" s="146"/>
      <c r="X2221" s="143">
        <f>'Valve Sizing'!$G$8*X2219/P_1_maxW</f>
        <v>0.42828808670142926</v>
      </c>
      <c r="Y2221" s="132"/>
      <c r="Z2221" s="146"/>
      <c r="AA2221" s="143">
        <f>'Valve Sizing'!$G$8*AA2219/P_1_maxW</f>
        <v>0.27011959125961804</v>
      </c>
      <c r="AB2221" s="132"/>
      <c r="AC2221" s="146"/>
      <c r="AD2221" s="143">
        <f>'Valve Sizing'!$G$8*AD2219/P_1_maxW</f>
        <v>-9.6047883837535403E-2</v>
      </c>
      <c r="AE2221" s="132"/>
      <c r="AF2221" s="146"/>
      <c r="AG2221" s="143">
        <f>'Valve Sizing'!$G$8*AG2219/P_1_maxW</f>
        <v>-0.65795746963475144</v>
      </c>
      <c r="AH2221" s="132"/>
      <c r="AI2221" s="146"/>
      <c r="AJ2221" s="143">
        <f>'Valve Sizing'!$G$8*AJ2219/P_1_maxW</f>
        <v>-1.3576470805877849</v>
      </c>
      <c r="AK2221" s="132"/>
      <c r="AL2221" s="146"/>
      <c r="AM2221" s="143">
        <f>'Valve Sizing'!$G$8*AM2219/P_1_maxW</f>
        <v>-2.0484944428096035</v>
      </c>
      <c r="AN2221" s="132"/>
      <c r="AO2221" s="146"/>
      <c r="AP2221" s="143">
        <f>'Valve Sizing'!$G$8*AP2219/P_1_maxW</f>
        <v>-2.6684572272544735</v>
      </c>
      <c r="AQ2221" s="132"/>
      <c r="AR2221" s="146"/>
      <c r="AS2221" s="143">
        <f>'Valve Sizing'!$G$8*AS2219/P_1_maxW</f>
        <v>-3.4401347375083455</v>
      </c>
      <c r="AT2221" s="132"/>
      <c r="AU2221" s="146"/>
    </row>
    <row r="2222" spans="13:47" x14ac:dyDescent="0.25">
      <c r="M2222" s="20"/>
      <c r="N2222" s="20"/>
      <c r="O2222" s="7" t="s">
        <v>190</v>
      </c>
      <c r="P2222" s="1"/>
      <c r="Q2222" s="7"/>
      <c r="R2222" s="181">
        <f>R2219-R2220</f>
        <v>50.497576428785422</v>
      </c>
      <c r="S2222" s="132"/>
      <c r="T2222" s="146"/>
      <c r="U2222" s="138">
        <f>U2219-U2220</f>
        <v>48.603864303604382</v>
      </c>
      <c r="V2222" s="132"/>
      <c r="W2222" s="146"/>
      <c r="X2222" s="138">
        <f>X2219-X2220</f>
        <v>38.78604769546358</v>
      </c>
      <c r="Y2222" s="132"/>
      <c r="Z2222" s="146"/>
      <c r="AA2222" s="138">
        <f>AA2219-AA2220</f>
        <v>5.9970068225937823</v>
      </c>
      <c r="AB2222" s="132"/>
      <c r="AC2222" s="146"/>
      <c r="AD2222" s="138">
        <f>AD2219-AD2220</f>
        <v>-69.91115854079932</v>
      </c>
      <c r="AE2222" s="132"/>
      <c r="AF2222" s="146"/>
      <c r="AG2222" s="138">
        <f>AG2219-AG2220</f>
        <v>-186.3975443036357</v>
      </c>
      <c r="AH2222" s="132"/>
      <c r="AI2222" s="146"/>
      <c r="AJ2222" s="138">
        <f>AJ2219-AJ2220</f>
        <v>-331.44634929970772</v>
      </c>
      <c r="AK2222" s="132"/>
      <c r="AL2222" s="146"/>
      <c r="AM2222" s="138">
        <f>AM2219-AM2220</f>
        <v>-474.6621163431455</v>
      </c>
      <c r="AN2222" s="132"/>
      <c r="AO2222" s="146"/>
      <c r="AP2222" s="138">
        <f>AP2219-AP2220</f>
        <v>-603.18319142854068</v>
      </c>
      <c r="AQ2222" s="132"/>
      <c r="AR2222" s="146"/>
      <c r="AS2222" s="138">
        <f>AS2219-AS2220</f>
        <v>-763.15541189957116</v>
      </c>
      <c r="AT2222" s="132"/>
      <c r="AU2222" s="146"/>
    </row>
    <row r="2223" spans="13:47" ht="14.5" x14ac:dyDescent="0.35">
      <c r="M2223" s="27"/>
      <c r="N2223" s="27"/>
      <c r="O2223" s="2" t="s">
        <v>191</v>
      </c>
      <c r="P2223" s="10"/>
      <c r="Q2223" s="2"/>
      <c r="R2223" s="181">
        <f>R2222/R2219</f>
        <v>0.50247556431939433</v>
      </c>
      <c r="S2223" s="132"/>
      <c r="T2223" s="146"/>
      <c r="U2223" s="138">
        <f>U2222/U2219</f>
        <v>0.492920481837827</v>
      </c>
      <c r="V2223" s="132"/>
      <c r="W2223" s="146"/>
      <c r="X2223" s="138">
        <f>X2222/X2219</f>
        <v>0.43684845425826191</v>
      </c>
      <c r="Y2223" s="132"/>
      <c r="Z2223" s="146"/>
      <c r="AA2223" s="138">
        <f>AA2222/AA2219</f>
        <v>0.10709513173790029</v>
      </c>
      <c r="AB2223" s="132"/>
      <c r="AC2223" s="146"/>
      <c r="AD2223" s="138">
        <f>AD2222/AD2219</f>
        <v>3.511154732535859</v>
      </c>
      <c r="AE2223" s="132"/>
      <c r="AF2223" s="146"/>
      <c r="AG2223" s="138">
        <f>AG2222/AG2219</f>
        <v>1.3665755146492564</v>
      </c>
      <c r="AH2223" s="132"/>
      <c r="AI2223" s="146"/>
      <c r="AJ2223" s="138">
        <f>AJ2222/AJ2219</f>
        <v>1.1776537522139106</v>
      </c>
      <c r="AK2223" s="132"/>
      <c r="AL2223" s="146"/>
      <c r="AM2223" s="138">
        <f>AM2222/AM2219</f>
        <v>1.1177406650505124</v>
      </c>
      <c r="AN2223" s="132"/>
      <c r="AO2223" s="146"/>
      <c r="AP2223" s="138">
        <f>AP2222/AP2219</f>
        <v>1.0903859711841206</v>
      </c>
      <c r="AQ2223" s="132"/>
      <c r="AR2223" s="146"/>
      <c r="AS2223" s="138">
        <f>AS2222/AS2219</f>
        <v>1.0701109451961099</v>
      </c>
      <c r="AT2223" s="132"/>
      <c r="AU2223" s="146"/>
    </row>
    <row r="2224" spans="13:47" x14ac:dyDescent="0.25">
      <c r="M2224" s="27"/>
      <c r="N2224" s="27"/>
      <c r="O2224" s="2" t="s">
        <v>26</v>
      </c>
      <c r="P2224" s="7">
        <v>12</v>
      </c>
      <c r="Q2224" s="2"/>
      <c r="R2224" s="181">
        <f>1-R2223/(3*F_GAMMA*R$29)</f>
        <v>0.73830496817031976</v>
      </c>
      <c r="S2224" s="133"/>
      <c r="T2224" s="146"/>
      <c r="U2224" s="138">
        <f>1-U2223/(3*F_GAMMA*U$29)</f>
        <v>0.74333788767030962</v>
      </c>
      <c r="V2224" s="133"/>
      <c r="W2224" s="146"/>
      <c r="X2224" s="138">
        <f>1-X2223/(3*F_GAMMA*X$29)</f>
        <v>0.76912206658232896</v>
      </c>
      <c r="Y2224" s="133"/>
      <c r="Z2224" s="146"/>
      <c r="AA2224" s="138">
        <f>1-AA2223/(3*F_GAMMA*AA$29)</f>
        <v>0.94262328506423654</v>
      </c>
      <c r="AB2224" s="133"/>
      <c r="AC2224" s="146"/>
      <c r="AD2224" s="138">
        <f>1-AD2223/(3*F_GAMMA*AD$29)</f>
        <v>-0.93269371989731398</v>
      </c>
      <c r="AE2224" s="133"/>
      <c r="AF2224" s="146"/>
      <c r="AG2224" s="138">
        <f>1-AG2223/(3*F_GAMMA*AG$29)</f>
        <v>0.20486884112744175</v>
      </c>
      <c r="AH2224" s="133"/>
      <c r="AI2224" s="146"/>
      <c r="AJ2224" s="138">
        <f>1-AJ2223/(3*F_GAMMA*AJ$29)</f>
        <v>0.26750279765661478</v>
      </c>
      <c r="AK2224" s="133"/>
      <c r="AL2224" s="146"/>
      <c r="AM2224" s="138">
        <f>1-AM2223/(3*F_GAMMA*AM$29)</f>
        <v>0.24038895813681416</v>
      </c>
      <c r="AN2224" s="133"/>
      <c r="AO2224" s="146"/>
      <c r="AP2224" s="138">
        <f>1-AP2223/(3*F_GAMMA*AP$29)</f>
        <v>0.38762637289863444</v>
      </c>
      <c r="AQ2224" s="133"/>
      <c r="AR2224" s="146"/>
      <c r="AS2224" s="138">
        <f>1-AS2223/(3*F_GAMMA*AS$29)</f>
        <v>8.7649613436218132E-2</v>
      </c>
      <c r="AT2224" s="133"/>
      <c r="AU2224" s="146"/>
    </row>
    <row r="2225" spans="13:47" x14ac:dyDescent="0.25">
      <c r="M2225" s="27"/>
      <c r="N2225" s="27"/>
      <c r="O2225" s="2" t="s">
        <v>71</v>
      </c>
      <c r="P2225" s="85">
        <v>5</v>
      </c>
      <c r="Q2225" s="2"/>
      <c r="R2225" s="179">
        <f>R2217/((N_6*R$27*R2224)*SQRT(R2223*R2219*R2221))</f>
        <v>1.0875157196221317</v>
      </c>
      <c r="S2225" s="133"/>
      <c r="T2225" s="146"/>
      <c r="U2225" s="143">
        <f>U2217/((N_6*U$27*U2224)*SQRT(U2223*U2219*U2221))</f>
        <v>9.7034317845937199</v>
      </c>
      <c r="V2225" s="133"/>
      <c r="W2225" s="146"/>
      <c r="X2225" s="143">
        <f>X2217/((N_6*X$27*X2224)*SQRT(X2223*X2219*X2221))</f>
        <v>27.421741618611577</v>
      </c>
      <c r="Y2225" s="133"/>
      <c r="Z2225" s="146"/>
      <c r="AA2225" s="143">
        <f>AA2217/((N_6*AA$27*AA2224)*SQRT(AA2223*AA2219*AA2221))</f>
        <v>140.35736784957774</v>
      </c>
      <c r="AB2225" s="133"/>
      <c r="AC2225" s="146"/>
      <c r="AD2225" s="143">
        <f>AD2217/((N_6*AD$27*AD2224)*SQRT(AD2223*AD2219*AD2221))</f>
        <v>-115.95136326515828</v>
      </c>
      <c r="AE2225" s="133"/>
      <c r="AF2225" s="146"/>
      <c r="AG2225" s="143">
        <f>AG2217/((N_6*AG$27*AG2224)*SQRT(AG2223*AG2219*AG2221))</f>
        <v>176.98423266301907</v>
      </c>
      <c r="AH2225" s="133"/>
      <c r="AI2225" s="146"/>
      <c r="AJ2225" s="143">
        <f>AJ2217/((N_6*AJ$27*AJ2224)*SQRT(AJ2223*AJ2219*AJ2221))</f>
        <v>92.933789251624958</v>
      </c>
      <c r="AK2225" s="133"/>
      <c r="AL2225" s="146"/>
      <c r="AM2225" s="143">
        <f>AM2217/((N_6*AM$27*AM2224)*SQRT(AM2223*AM2219*AM2221))</f>
        <v>87.559660115364295</v>
      </c>
      <c r="AN2225" s="133"/>
      <c r="AO2225" s="146"/>
      <c r="AP2225" s="143">
        <f>AP2217/((N_6*AP$27*AP2224)*SQRT(AP2223*AP2219*AP2221))</f>
        <v>53.487148025541515</v>
      </c>
      <c r="AQ2225" s="133"/>
      <c r="AR2225" s="146"/>
      <c r="AS2225" s="143">
        <f>AS2217/((N_6*AS$27*AS2224)*SQRT(AS2223*AS2219*AS2221))</f>
        <v>271.51623451911451</v>
      </c>
      <c r="AT2225" s="133"/>
      <c r="AU2225" s="146"/>
    </row>
    <row r="2226" spans="13:47" x14ac:dyDescent="0.25">
      <c r="M2226" s="27"/>
      <c r="N2226" s="27"/>
      <c r="O2226" s="2" t="s">
        <v>73</v>
      </c>
      <c r="P2226" s="85">
        <v>5</v>
      </c>
      <c r="Q2226" s="2"/>
      <c r="R2226" s="179">
        <f>R2217/((N_6*R$27*0.667)*SQRT(R2227*R2219*R2221))</f>
        <v>1.0666056170048945</v>
      </c>
      <c r="S2226" s="133"/>
      <c r="T2226" s="147"/>
      <c r="U2226" s="143">
        <f>U2217/((N_6*U$27*0.667)*SQRT(U2227*U2219*U2221))</f>
        <v>9.4891497822537083</v>
      </c>
      <c r="V2226" s="133"/>
      <c r="W2226" s="155"/>
      <c r="X2226" s="143">
        <f>X2217/((N_6*X$27*0.667)*SQRT(X2227*X2219*X2221))</f>
        <v>26.315783981088764</v>
      </c>
      <c r="Y2226" s="133"/>
      <c r="Z2226" s="155"/>
      <c r="AA2226" s="143">
        <f>AA2217/((N_6*AA$27*0.667)*SQRT(AA2227*AA2219*AA2221))</f>
        <v>82.295485563380126</v>
      </c>
      <c r="AB2226" s="133"/>
      <c r="AC2226" s="155"/>
      <c r="AD2226" s="143">
        <f>AD2217/((N_6*AD$27*0.667)*SQRT(AD2227*AD2219*AD2221))</f>
        <v>390.41924997835702</v>
      </c>
      <c r="AE2226" s="133"/>
      <c r="AF2226" s="155"/>
      <c r="AG2226" s="143">
        <f>AG2217/((N_6*AG$27*0.667)*SQRT(AG2227*AG2219*AG2221))</f>
        <v>83.958499393166932</v>
      </c>
      <c r="AH2226" s="133"/>
      <c r="AI2226" s="155"/>
      <c r="AJ2226" s="143">
        <f>AJ2217/((N_6*AJ$27*0.667)*SQRT(AJ2227*AJ2219*AJ2221))</f>
        <v>55.250950318626899</v>
      </c>
      <c r="AK2226" s="133"/>
      <c r="AL2226" s="155"/>
      <c r="AM2226" s="143">
        <f>AM2217/((N_6*AM$27*0.667)*SQRT(AM2227*AM2219*AM2221))</f>
        <v>47.637505319234492</v>
      </c>
      <c r="AN2226" s="133"/>
      <c r="AO2226" s="155"/>
      <c r="AP2226" s="143">
        <f>AP2217/((N_6*AP$27*0.667)*SQRT(AP2227*AP2219*AP2221))</f>
        <v>42.131390414484343</v>
      </c>
      <c r="AQ2226" s="133"/>
      <c r="AR2226" s="155"/>
      <c r="AS2226" s="143">
        <f>AS2217/((N_6*AS$27*0.667)*SQRT(AS2227*AS2219*AS2221))</f>
        <v>59.028456975947442</v>
      </c>
      <c r="AT2226" s="133"/>
      <c r="AU2226" s="155"/>
    </row>
    <row r="2227" spans="13:47" ht="15.5" x14ac:dyDescent="0.4">
      <c r="M2227" s="27"/>
      <c r="N2227" s="27"/>
      <c r="O2227" s="2" t="s">
        <v>192</v>
      </c>
      <c r="P2227" s="85">
        <v>10</v>
      </c>
      <c r="Q2227" s="2"/>
      <c r="R2227" s="181">
        <f>F_GAMMA*R$29</f>
        <v>0.64002688015162901</v>
      </c>
      <c r="S2227" s="133"/>
      <c r="T2227" s="147"/>
      <c r="U2227" s="138">
        <f>F_GAMMA*U$29</f>
        <v>0.64016782916606918</v>
      </c>
      <c r="V2227" s="133"/>
      <c r="W2227" s="155"/>
      <c r="X2227" s="138">
        <f>F_GAMMA*X$29</f>
        <v>0.6307062319203669</v>
      </c>
      <c r="Y2227" s="133"/>
      <c r="Z2227" s="155"/>
      <c r="AA2227" s="138">
        <f>F_GAMMA*AA$29</f>
        <v>0.62217534213893466</v>
      </c>
      <c r="AB2227" s="133"/>
      <c r="AC2227" s="155"/>
      <c r="AD2227" s="138">
        <f>F_GAMMA*AD$29</f>
        <v>0.60557184969146072</v>
      </c>
      <c r="AE2227" s="133"/>
      <c r="AF2227" s="155"/>
      <c r="AG2227" s="138">
        <f>F_GAMMA*AG$29</f>
        <v>0.57289312142622573</v>
      </c>
      <c r="AH2227" s="133"/>
      <c r="AI2227" s="155"/>
      <c r="AJ2227" s="138">
        <f>F_GAMMA*AJ$29</f>
        <v>0.53590819116049981</v>
      </c>
      <c r="AK2227" s="133"/>
      <c r="AL2227" s="155"/>
      <c r="AM2227" s="138">
        <f>F_GAMMA*AM$29</f>
        <v>0.49048815926850342</v>
      </c>
      <c r="AN2227" s="133"/>
      <c r="AO2227" s="155"/>
      <c r="AP2227" s="138">
        <f>F_GAMMA*AP$29</f>
        <v>0.59352979016280105</v>
      </c>
      <c r="AQ2227" s="133"/>
      <c r="AR2227" s="155"/>
      <c r="AS2227" s="138">
        <f>F_GAMMA*AS$29</f>
        <v>0.39097221161068291</v>
      </c>
      <c r="AT2227" s="133"/>
      <c r="AU2227" s="155"/>
    </row>
    <row r="2228" spans="13:47" x14ac:dyDescent="0.25">
      <c r="M2228" s="27"/>
      <c r="N2228" s="27"/>
      <c r="O2228" s="2" t="s">
        <v>193</v>
      </c>
      <c r="P2228" s="134"/>
      <c r="Q2228" s="2"/>
      <c r="R2228" s="181">
        <f>IF(R2223&lt;R2227,R2225,R2226)</f>
        <v>1.0875157196221317</v>
      </c>
      <c r="S2228" s="133"/>
      <c r="T2228" s="147"/>
      <c r="U2228" s="138">
        <f>IF(U2223&lt;U2227,U2225,U2226)</f>
        <v>9.7034317845937199</v>
      </c>
      <c r="V2228" s="133"/>
      <c r="W2228" s="155"/>
      <c r="X2228" s="138">
        <f>IF(X2223&lt;X2227,X2225,X2226)</f>
        <v>27.421741618611577</v>
      </c>
      <c r="Y2228" s="133"/>
      <c r="Z2228" s="155"/>
      <c r="AA2228" s="138">
        <f>IF(AA2223&lt;AA2227,AA2225,AA2226)</f>
        <v>140.35736784957774</v>
      </c>
      <c r="AB2228" s="133"/>
      <c r="AC2228" s="155"/>
      <c r="AD2228" s="138">
        <f>IF(AD2223&lt;AD2227,AD2225,AD2226)</f>
        <v>390.41924997835702</v>
      </c>
      <c r="AE2228" s="133"/>
      <c r="AF2228" s="155"/>
      <c r="AG2228" s="138">
        <f>IF(AG2223&lt;AG2227,AG2225,AG2226)</f>
        <v>83.958499393166932</v>
      </c>
      <c r="AH2228" s="133"/>
      <c r="AI2228" s="155"/>
      <c r="AJ2228" s="138">
        <f>IF(AJ2223&lt;AJ2227,AJ2225,AJ2226)</f>
        <v>55.250950318626899</v>
      </c>
      <c r="AK2228" s="133"/>
      <c r="AL2228" s="155"/>
      <c r="AM2228" s="138">
        <f>IF(AM2223&lt;AM2227,AM2225,AM2226)</f>
        <v>47.637505319234492</v>
      </c>
      <c r="AN2228" s="133"/>
      <c r="AO2228" s="155"/>
      <c r="AP2228" s="138">
        <f>IF(AP2223&lt;AP2227,AP2225,AP2226)</f>
        <v>42.131390414484343</v>
      </c>
      <c r="AQ2228" s="133"/>
      <c r="AR2228" s="155"/>
      <c r="AS2228" s="138">
        <f>IF(AS2223&lt;AS2227,AS2225,AS2226)</f>
        <v>59.028456975947442</v>
      </c>
      <c r="AT2228" s="133"/>
      <c r="AU2228" s="155"/>
    </row>
    <row r="2229" spans="13:47" ht="13" x14ac:dyDescent="0.3">
      <c r="M2229" s="28"/>
      <c r="N2229" s="28"/>
      <c r="O2229" s="9" t="s">
        <v>194</v>
      </c>
      <c r="P2229" s="1"/>
      <c r="Q2229" s="1"/>
      <c r="R2229" s="135"/>
      <c r="S2229" s="132">
        <f>IF(R2222&lt;=0,W_max,ABS(R$23-R2228))</f>
        <v>0.91248428037786833</v>
      </c>
      <c r="T2229" s="151">
        <f>R2217</f>
        <v>251.43879201347505</v>
      </c>
      <c r="U2229" s="135"/>
      <c r="V2229" s="132">
        <f>IF(U2222&lt;=0,W_max,ABS(U$23-U2228))</f>
        <v>4.7034317845937199</v>
      </c>
      <c r="W2229" s="151">
        <f>U2217</f>
        <v>2193.6731329300396</v>
      </c>
      <c r="X2229" s="135"/>
      <c r="Y2229" s="132">
        <f>IF(X2222&lt;=0,W_max,ABS(X$23-X2228))</f>
        <v>17.421741618611577</v>
      </c>
      <c r="Z2229" s="151">
        <f>X2217</f>
        <v>5425.2147078989092</v>
      </c>
      <c r="AA2229" s="135"/>
      <c r="AB2229" s="132">
        <f>IF(AA2222&lt;=0,W_max,ABS(AA$23-AA2228))</f>
        <v>123.15736784957774</v>
      </c>
      <c r="AC2229" s="151">
        <f>AA2217</f>
        <v>10566.933489816467</v>
      </c>
      <c r="AD2229" s="135"/>
      <c r="AE2229" s="132">
        <f>IF(AD2222&lt;=0,W_max,ABS(AD$23-AD2228))</f>
        <v>7174</v>
      </c>
      <c r="AF2229" s="151">
        <f>AD2217</f>
        <v>17378.715076659988</v>
      </c>
      <c r="AG2229" s="135"/>
      <c r="AH2229" s="132">
        <f>IF(AG2222&lt;=0,W_max,ABS(AG$23-AG2228))</f>
        <v>7174</v>
      </c>
      <c r="AI2229" s="151">
        <f>AG2217</f>
        <v>24374.98581572148</v>
      </c>
      <c r="AJ2229" s="135"/>
      <c r="AK2229" s="132">
        <f>IF(AJ2222&lt;=0,W_max,ABS(AJ$23-AJ2228))</f>
        <v>7174</v>
      </c>
      <c r="AL2229" s="151">
        <f>AJ2217</f>
        <v>30949.764047695513</v>
      </c>
      <c r="AM2229" s="135"/>
      <c r="AN2229" s="132">
        <f>IF(AM2222&lt;=0,W_max,ABS(AM$23-AM2228))</f>
        <v>7174</v>
      </c>
      <c r="AO2229" s="151">
        <f>AM2217</f>
        <v>36291.032387755011</v>
      </c>
      <c r="AP2229" s="135"/>
      <c r="AQ2229" s="132">
        <f>IF(AP2222&lt;=0,W_max,ABS(AP$23-AP2228))</f>
        <v>7174</v>
      </c>
      <c r="AR2229" s="151">
        <f>AP2217</f>
        <v>40488.756102824096</v>
      </c>
      <c r="AS2229" s="135"/>
      <c r="AT2229" s="132">
        <f>IF(AS2222&lt;=0,W_max,ABS(AS$23-AS2228))</f>
        <v>7174</v>
      </c>
      <c r="AU2229" s="151">
        <f>AS2217</f>
        <v>45172.023579773013</v>
      </c>
    </row>
    <row r="2230" spans="13:47" ht="13" x14ac:dyDescent="0.25">
      <c r="M2230" s="12"/>
      <c r="N2230" s="12"/>
      <c r="O2230" s="12"/>
      <c r="P2230" s="12"/>
      <c r="Q2230" s="12"/>
      <c r="R2230" s="182"/>
      <c r="S2230" s="22"/>
      <c r="T2230" s="152"/>
      <c r="U2230" s="157"/>
      <c r="V2230" s="1"/>
      <c r="W2230" s="147"/>
      <c r="X2230" s="157"/>
      <c r="Y2230" s="1"/>
      <c r="Z2230" s="147"/>
      <c r="AA2230" s="157"/>
      <c r="AB2230" s="1"/>
      <c r="AC2230" s="147"/>
      <c r="AD2230" s="157"/>
      <c r="AE2230" s="1"/>
      <c r="AF2230" s="147"/>
      <c r="AG2230" s="157"/>
      <c r="AH2230" s="1"/>
      <c r="AI2230" s="147"/>
      <c r="AJ2230" s="157"/>
      <c r="AK2230" s="1"/>
      <c r="AL2230" s="147"/>
      <c r="AM2230" s="157"/>
      <c r="AN2230" s="1"/>
      <c r="AO2230" s="147"/>
      <c r="AP2230" s="157"/>
      <c r="AQ2230" s="1"/>
      <c r="AR2230" s="147"/>
      <c r="AS2230" s="157"/>
      <c r="AT2230" s="1"/>
      <c r="AU2230" s="147"/>
    </row>
    <row r="2231" spans="13:47" ht="14" x14ac:dyDescent="0.3">
      <c r="M2231" s="23"/>
      <c r="N2231" s="23"/>
      <c r="O2231" s="23" t="s">
        <v>238</v>
      </c>
      <c r="P2231" s="20"/>
      <c r="Q2231" s="20"/>
      <c r="R2231" s="18">
        <f>R2217*1.02</f>
        <v>256.46756785374458</v>
      </c>
      <c r="S2231" s="128" t="s">
        <v>185</v>
      </c>
      <c r="T2231" s="153" t="s">
        <v>186</v>
      </c>
      <c r="U2231" s="143">
        <f>U2217*1.01</f>
        <v>2215.6098642593402</v>
      </c>
      <c r="V2231" s="128" t="s">
        <v>185</v>
      </c>
      <c r="W2231" s="153" t="s">
        <v>186</v>
      </c>
      <c r="X2231" s="143">
        <f>X2217*1.01</f>
        <v>5479.466854977898</v>
      </c>
      <c r="Y2231" s="128" t="s">
        <v>185</v>
      </c>
      <c r="Z2231" s="153" t="s">
        <v>186</v>
      </c>
      <c r="AA2231" s="143">
        <f>AA2217*1.01</f>
        <v>10672.602824714631</v>
      </c>
      <c r="AB2231" s="128" t="s">
        <v>185</v>
      </c>
      <c r="AC2231" s="153" t="s">
        <v>186</v>
      </c>
      <c r="AD2231" s="143">
        <f>AD2217*1.01</f>
        <v>17552.502227426587</v>
      </c>
      <c r="AE2231" s="128" t="s">
        <v>185</v>
      </c>
      <c r="AF2231" s="153" t="s">
        <v>186</v>
      </c>
      <c r="AG2231" s="143">
        <f>AG2217*1.01</f>
        <v>24618.735673878695</v>
      </c>
      <c r="AH2231" s="128" t="s">
        <v>185</v>
      </c>
      <c r="AI2231" s="153" t="s">
        <v>186</v>
      </c>
      <c r="AJ2231" s="143">
        <f>AJ2217*1.01</f>
        <v>31259.261688172468</v>
      </c>
      <c r="AK2231" s="128" t="s">
        <v>185</v>
      </c>
      <c r="AL2231" s="153" t="s">
        <v>186</v>
      </c>
      <c r="AM2231" s="143">
        <f>AM2217*1.01</f>
        <v>36653.942711632561</v>
      </c>
      <c r="AN2231" s="128" t="s">
        <v>185</v>
      </c>
      <c r="AO2231" s="153" t="s">
        <v>186</v>
      </c>
      <c r="AP2231" s="143">
        <f>AP2217*1.01</f>
        <v>40893.643663852337</v>
      </c>
      <c r="AQ2231" s="128" t="s">
        <v>185</v>
      </c>
      <c r="AR2231" s="153" t="s">
        <v>186</v>
      </c>
      <c r="AS2231" s="143">
        <f>AS2217*1.01</f>
        <v>45623.743815570742</v>
      </c>
      <c r="AT2231" s="128" t="s">
        <v>185</v>
      </c>
      <c r="AU2231" s="153" t="s">
        <v>186</v>
      </c>
    </row>
    <row r="2232" spans="13:47" ht="14" x14ac:dyDescent="0.3">
      <c r="M2232" s="12"/>
      <c r="N2232" s="12"/>
      <c r="O2232" s="20"/>
      <c r="P2232" s="20"/>
      <c r="Q2232" s="23"/>
      <c r="R2232" s="139"/>
      <c r="S2232" s="130" t="s">
        <v>228</v>
      </c>
      <c r="T2232" s="154" t="s">
        <v>187</v>
      </c>
      <c r="U2232" s="144"/>
      <c r="V2232" s="130" t="s">
        <v>228</v>
      </c>
      <c r="W2232" s="154" t="s">
        <v>187</v>
      </c>
      <c r="X2232" s="144"/>
      <c r="Y2232" s="130" t="s">
        <v>228</v>
      </c>
      <c r="Z2232" s="154" t="s">
        <v>187</v>
      </c>
      <c r="AA2232" s="144"/>
      <c r="AB2232" s="130" t="s">
        <v>228</v>
      </c>
      <c r="AC2232" s="154" t="s">
        <v>187</v>
      </c>
      <c r="AD2232" s="144"/>
      <c r="AE2232" s="130" t="s">
        <v>228</v>
      </c>
      <c r="AF2232" s="154" t="s">
        <v>187</v>
      </c>
      <c r="AG2232" s="144"/>
      <c r="AH2232" s="130" t="s">
        <v>228</v>
      </c>
      <c r="AI2232" s="154" t="s">
        <v>187</v>
      </c>
      <c r="AJ2232" s="144"/>
      <c r="AK2232" s="130" t="s">
        <v>228</v>
      </c>
      <c r="AL2232" s="154" t="s">
        <v>187</v>
      </c>
      <c r="AM2232" s="144"/>
      <c r="AN2232" s="130" t="s">
        <v>228</v>
      </c>
      <c r="AO2232" s="154" t="s">
        <v>187</v>
      </c>
      <c r="AP2232" s="144"/>
      <c r="AQ2232" s="130" t="s">
        <v>228</v>
      </c>
      <c r="AR2232" s="154" t="s">
        <v>187</v>
      </c>
      <c r="AS2232" s="144"/>
      <c r="AT2232" s="130" t="s">
        <v>228</v>
      </c>
      <c r="AU2232" s="154" t="s">
        <v>187</v>
      </c>
    </row>
    <row r="2233" spans="13:47" x14ac:dyDescent="0.25">
      <c r="M2233" s="20"/>
      <c r="N2233" s="20"/>
      <c r="O2233" s="7" t="s">
        <v>188</v>
      </c>
      <c r="P2233" s="7"/>
      <c r="Q2233" s="7"/>
      <c r="R2233" s="181">
        <f>P_1_minW-(R2231^2*R_up)+dpup_minQ</f>
        <v>100.49655793234459</v>
      </c>
      <c r="S2233" s="132"/>
      <c r="T2233" s="145"/>
      <c r="U2233" s="138">
        <f>P_1_minW-(U2231^2*R_up)+dpup_minQ</f>
        <v>98.565293962698632</v>
      </c>
      <c r="V2233" s="132"/>
      <c r="W2233" s="145"/>
      <c r="X2233" s="138">
        <f>P_1_minW-(X2231^2*R_up)+dpup_minQ</f>
        <v>88.550139240734183</v>
      </c>
      <c r="Y2233" s="132"/>
      <c r="Z2233" s="145"/>
      <c r="AA2233" s="138">
        <f>P_1_minW-(AA2231^2*R_up)+dpup_minQ</f>
        <v>55.102038646319713</v>
      </c>
      <c r="AB2233" s="132"/>
      <c r="AC2233" s="145"/>
      <c r="AD2233" s="138">
        <f>P_1_minW-(AD2231^2*R_up)+dpup_minQ</f>
        <v>-22.331880840877574</v>
      </c>
      <c r="AE2233" s="132"/>
      <c r="AF2233" s="145"/>
      <c r="AG2233" s="138">
        <f>P_1_minW-(AG2231^2*R_up)+dpup_minQ</f>
        <v>-141.15964295754699</v>
      </c>
      <c r="AH2233" s="132"/>
      <c r="AI2233" s="145"/>
      <c r="AJ2233" s="138">
        <f>P_1_minW-(AJ2231^2*R_up)+dpup_minQ</f>
        <v>-289.12392893404007</v>
      </c>
      <c r="AK2233" s="132"/>
      <c r="AL2233" s="145"/>
      <c r="AM2233" s="138">
        <f>P_1_minW-(AM2231^2*R_up)+dpup_minQ</f>
        <v>-435.21833289505093</v>
      </c>
      <c r="AN2233" s="132"/>
      <c r="AO2233" s="145"/>
      <c r="AP2233" s="138">
        <f>P_1_minW-(AP2231^2*R_up)+dpup_minQ</f>
        <v>-566.32268158966258</v>
      </c>
      <c r="AQ2233" s="132"/>
      <c r="AR2233" s="145"/>
      <c r="AS2233" s="138">
        <f>P_1_minW-(AS2231^2*R_up)+dpup_minQ</f>
        <v>-729.51034369216086</v>
      </c>
      <c r="AT2233" s="132"/>
      <c r="AU2233" s="145"/>
    </row>
    <row r="2234" spans="13:47" x14ac:dyDescent="0.25">
      <c r="M2234" s="20"/>
      <c r="N2234" s="20"/>
      <c r="O2234" s="7" t="s">
        <v>189</v>
      </c>
      <c r="P2234" s="1"/>
      <c r="Q2234" s="7"/>
      <c r="R2234" s="181">
        <f>P_2_minW+(R2231^2*R_dn)-dpdn_minQ</f>
        <v>50</v>
      </c>
      <c r="S2234" s="132"/>
      <c r="T2234" s="146"/>
      <c r="U2234" s="138">
        <f>P_2_minW+(U2231^2*R_dn)-dpdn_minQ</f>
        <v>50</v>
      </c>
      <c r="V2234" s="132"/>
      <c r="W2234" s="146"/>
      <c r="X2234" s="138">
        <f>P_2_minW+(X2231^2*R_dn)-dpdn_minQ</f>
        <v>50</v>
      </c>
      <c r="Y2234" s="132"/>
      <c r="Z2234" s="146"/>
      <c r="AA2234" s="138">
        <f>P_2_minW+(AA2231^2*R_dn)-dpdn_minQ</f>
        <v>50</v>
      </c>
      <c r="AB2234" s="132"/>
      <c r="AC2234" s="146"/>
      <c r="AD2234" s="138">
        <f>P_2_minW+(AD2231^2*R_dn)-dpdn_minQ</f>
        <v>50</v>
      </c>
      <c r="AE2234" s="132"/>
      <c r="AF2234" s="146"/>
      <c r="AG2234" s="138">
        <f>P_2_minW+(AG2231^2*R_dn)-dpdn_minQ</f>
        <v>50</v>
      </c>
      <c r="AH2234" s="132"/>
      <c r="AI2234" s="146"/>
      <c r="AJ2234" s="138">
        <f>P_2_minW+(AJ2231^2*R_dn)-dpdn_minQ</f>
        <v>50</v>
      </c>
      <c r="AK2234" s="132"/>
      <c r="AL2234" s="146"/>
      <c r="AM2234" s="138">
        <f>P_2_minW+(AM2231^2*R_dn)-dpdn_minQ</f>
        <v>50</v>
      </c>
      <c r="AN2234" s="132"/>
      <c r="AO2234" s="146"/>
      <c r="AP2234" s="138">
        <f>P_2_minW+(AP2231^2*R_dn)-dpdn_minQ</f>
        <v>50</v>
      </c>
      <c r="AQ2234" s="132"/>
      <c r="AR2234" s="146"/>
      <c r="AS2234" s="138">
        <f>P_2_minW+(AS2231^2*R_dn)-dpdn_minQ</f>
        <v>50</v>
      </c>
      <c r="AT2234" s="132"/>
      <c r="AU2234" s="146"/>
    </row>
    <row r="2235" spans="13:47" x14ac:dyDescent="0.25">
      <c r="M2235" s="20"/>
      <c r="N2235" s="20"/>
      <c r="O2235" s="7" t="s">
        <v>234</v>
      </c>
      <c r="P2235" s="1"/>
      <c r="Q2235" s="7"/>
      <c r="R2235" s="179">
        <f>'Valve Sizing'!G$8*R2233/P_1_maxW</f>
        <v>0.48477750315630236</v>
      </c>
      <c r="S2235" s="132"/>
      <c r="T2235" s="146"/>
      <c r="U2235" s="143">
        <f>'Valve Sizing'!$G$8*U2233/P_1_maxW</f>
        <v>0.47546142960708709</v>
      </c>
      <c r="V2235" s="132"/>
      <c r="W2235" s="146"/>
      <c r="X2235" s="143">
        <f>'Valve Sizing'!$G$8*X2233/P_1_maxW</f>
        <v>0.42715010631672623</v>
      </c>
      <c r="Y2235" s="132"/>
      <c r="Z2235" s="146"/>
      <c r="AA2235" s="143">
        <f>'Valve Sizing'!$G$8*AA2233/P_1_maxW</f>
        <v>0.26580242411653465</v>
      </c>
      <c r="AB2235" s="132"/>
      <c r="AC2235" s="146"/>
      <c r="AD2235" s="143">
        <f>'Valve Sizing'!$G$8*AD2233/P_1_maxW</f>
        <v>-0.10772501723007147</v>
      </c>
      <c r="AE2235" s="132"/>
      <c r="AF2235" s="146"/>
      <c r="AG2235" s="143">
        <f>'Valve Sizing'!$G$8*AG2233/P_1_maxW</f>
        <v>-0.68092898570181171</v>
      </c>
      <c r="AH2235" s="132"/>
      <c r="AI2235" s="146"/>
      <c r="AJ2235" s="143">
        <f>'Valve Sizing'!$G$8*AJ2233/P_1_maxW</f>
        <v>-1.3946823578350012</v>
      </c>
      <c r="AK2235" s="132"/>
      <c r="AL2235" s="146"/>
      <c r="AM2235" s="143">
        <f>'Valve Sizing'!$G$8*AM2233/P_1_maxW</f>
        <v>-2.0994157520374781</v>
      </c>
      <c r="AN2235" s="132"/>
      <c r="AO2235" s="146"/>
      <c r="AP2235" s="143">
        <f>'Valve Sizing'!$G$8*AP2233/P_1_maxW</f>
        <v>-2.7318397884496899</v>
      </c>
      <c r="AQ2235" s="132"/>
      <c r="AR2235" s="146"/>
      <c r="AS2235" s="143">
        <f>'Valve Sizing'!$G$8*AS2233/P_1_maxW</f>
        <v>-3.5190280166596652</v>
      </c>
      <c r="AT2235" s="132"/>
      <c r="AU2235" s="146"/>
    </row>
    <row r="2236" spans="13:47" x14ac:dyDescent="0.25">
      <c r="M2236" s="20"/>
      <c r="N2236" s="20"/>
      <c r="O2236" s="7" t="s">
        <v>190</v>
      </c>
      <c r="P2236" s="1"/>
      <c r="Q2236" s="7"/>
      <c r="R2236" s="181">
        <f>R2233-R2234</f>
        <v>50.496557932344587</v>
      </c>
      <c r="S2236" s="132"/>
      <c r="T2236" s="146"/>
      <c r="U2236" s="138">
        <f>U2233-U2234</f>
        <v>48.565293962698632</v>
      </c>
      <c r="V2236" s="132"/>
      <c r="W2236" s="146"/>
      <c r="X2236" s="138">
        <f>X2233-X2234</f>
        <v>38.550139240734183</v>
      </c>
      <c r="Y2236" s="132"/>
      <c r="Z2236" s="146"/>
      <c r="AA2236" s="138">
        <f>AA2233-AA2234</f>
        <v>5.1020386463197127</v>
      </c>
      <c r="AB2236" s="132"/>
      <c r="AC2236" s="146"/>
      <c r="AD2236" s="138">
        <f>AD2233-AD2234</f>
        <v>-72.331880840877574</v>
      </c>
      <c r="AE2236" s="132"/>
      <c r="AF2236" s="146"/>
      <c r="AG2236" s="138">
        <f>AG2233-AG2234</f>
        <v>-191.15964295754699</v>
      </c>
      <c r="AH2236" s="132"/>
      <c r="AI2236" s="146"/>
      <c r="AJ2236" s="138">
        <f>AJ2233-AJ2234</f>
        <v>-339.12392893404007</v>
      </c>
      <c r="AK2236" s="132"/>
      <c r="AL2236" s="146"/>
      <c r="AM2236" s="138">
        <f>AM2233-AM2234</f>
        <v>-485.21833289505093</v>
      </c>
      <c r="AN2236" s="132"/>
      <c r="AO2236" s="146"/>
      <c r="AP2236" s="138">
        <f>AP2233-AP2234</f>
        <v>-616.32268158966258</v>
      </c>
      <c r="AQ2236" s="132"/>
      <c r="AR2236" s="146"/>
      <c r="AS2236" s="138">
        <f>AS2233-AS2234</f>
        <v>-779.51034369216086</v>
      </c>
      <c r="AT2236" s="132"/>
      <c r="AU2236" s="146"/>
    </row>
    <row r="2237" spans="13:47" ht="14.5" x14ac:dyDescent="0.35">
      <c r="M2237" s="27"/>
      <c r="N2237" s="27"/>
      <c r="O2237" s="2" t="s">
        <v>191</v>
      </c>
      <c r="P2237" s="10"/>
      <c r="Q2237" s="2"/>
      <c r="R2237" s="181">
        <f>R2236/R2233</f>
        <v>0.50247052208832299</v>
      </c>
      <c r="S2237" s="132"/>
      <c r="T2237" s="146"/>
      <c r="U2237" s="138">
        <f>U2236/U2233</f>
        <v>0.4927220526636672</v>
      </c>
      <c r="V2237" s="132"/>
      <c r="W2237" s="146"/>
      <c r="X2237" s="138">
        <f>X2236/X2233</f>
        <v>0.4353481493228486</v>
      </c>
      <c r="Y2237" s="132"/>
      <c r="Z2237" s="146"/>
      <c r="AA2237" s="138">
        <f>AA2236/AA2233</f>
        <v>9.2592556857430897E-2</v>
      </c>
      <c r="AB2237" s="132"/>
      <c r="AC2237" s="146"/>
      <c r="AD2237" s="138">
        <f>AD2236/AD2233</f>
        <v>3.2389515847889125</v>
      </c>
      <c r="AE2237" s="132"/>
      <c r="AF2237" s="146"/>
      <c r="AG2237" s="138">
        <f>AG2236/AG2233</f>
        <v>1.3542088868490354</v>
      </c>
      <c r="AH2237" s="132"/>
      <c r="AI2237" s="146"/>
      <c r="AJ2237" s="138">
        <f>AJ2236/AJ2233</f>
        <v>1.1729362221395616</v>
      </c>
      <c r="AK2237" s="132"/>
      <c r="AL2237" s="146"/>
      <c r="AM2237" s="138">
        <f>AM2236/AM2233</f>
        <v>1.114884866332267</v>
      </c>
      <c r="AN2237" s="132"/>
      <c r="AO2237" s="146"/>
      <c r="AP2237" s="138">
        <f>AP2236/AP2233</f>
        <v>1.0882888883412729</v>
      </c>
      <c r="AQ2237" s="132"/>
      <c r="AR2237" s="146"/>
      <c r="AS2237" s="138">
        <f>AS2236/AS2233</f>
        <v>1.0685391241294024</v>
      </c>
      <c r="AT2237" s="132"/>
      <c r="AU2237" s="146"/>
    </row>
    <row r="2238" spans="13:47" x14ac:dyDescent="0.25">
      <c r="M2238" s="27"/>
      <c r="N2238" s="27"/>
      <c r="O2238" s="2" t="s">
        <v>26</v>
      </c>
      <c r="P2238" s="7">
        <v>12</v>
      </c>
      <c r="Q2238" s="2"/>
      <c r="R2238" s="181">
        <f>1-R2237/(3*F_GAMMA*R$29)</f>
        <v>0.7383075942220414</v>
      </c>
      <c r="S2238" s="133"/>
      <c r="T2238" s="146"/>
      <c r="U2238" s="138">
        <f>1-U2237/(3*F_GAMMA*U$29)</f>
        <v>0.74344120910422085</v>
      </c>
      <c r="V2238" s="133"/>
      <c r="W2238" s="146"/>
      <c r="X2238" s="138">
        <f>1-X2237/(3*F_GAMMA*X$29)</f>
        <v>0.76991498984807039</v>
      </c>
      <c r="Y2238" s="133"/>
      <c r="Z2238" s="146"/>
      <c r="AA2238" s="138">
        <f>1-AA2237/(3*F_GAMMA*AA$29)</f>
        <v>0.95039310700896995</v>
      </c>
      <c r="AB2238" s="133"/>
      <c r="AC2238" s="146"/>
      <c r="AD2238" s="138">
        <f>1-AD2237/(3*F_GAMMA*AD$29)</f>
        <v>-0.78286115646401577</v>
      </c>
      <c r="AE2238" s="133"/>
      <c r="AF2238" s="146"/>
      <c r="AG2238" s="138">
        <f>1-AG2237/(3*F_GAMMA*AG$29)</f>
        <v>0.21206426574081116</v>
      </c>
      <c r="AH2238" s="133"/>
      <c r="AI2238" s="146"/>
      <c r="AJ2238" s="138">
        <f>1-AJ2237/(3*F_GAMMA*AJ$29)</f>
        <v>0.27043708761657548</v>
      </c>
      <c r="AK2238" s="133"/>
      <c r="AL2238" s="146"/>
      <c r="AM2238" s="138">
        <f>1-AM2237/(3*F_GAMMA*AM$29)</f>
        <v>0.2423297448573366</v>
      </c>
      <c r="AN2238" s="133"/>
      <c r="AO2238" s="146"/>
      <c r="AP2238" s="138">
        <f>1-AP2237/(3*F_GAMMA*AP$29)</f>
        <v>0.38880411936708181</v>
      </c>
      <c r="AQ2238" s="133"/>
      <c r="AR2238" s="146"/>
      <c r="AS2238" s="138">
        <f>1-AS2237/(3*F_GAMMA*AS$29)</f>
        <v>8.8989709586301702E-2</v>
      </c>
      <c r="AT2238" s="133"/>
      <c r="AU2238" s="146"/>
    </row>
    <row r="2239" spans="13:47" x14ac:dyDescent="0.25">
      <c r="M2239" s="27"/>
      <c r="N2239" s="27"/>
      <c r="O2239" s="2" t="s">
        <v>71</v>
      </c>
      <c r="P2239" s="85">
        <v>5</v>
      </c>
      <c r="Q2239" s="2"/>
      <c r="R2239" s="179">
        <f>R2231/((N_6*R$27*R2238)*SQRT(R2237*R2233*R2235))</f>
        <v>1.1092788961881919</v>
      </c>
      <c r="S2239" s="133"/>
      <c r="T2239" s="146"/>
      <c r="U2239" s="143">
        <f>U2231/((N_6*U$27*U2238)*SQRT(U2237*U2233*U2235))</f>
        <v>9.804912345411779</v>
      </c>
      <c r="V2239" s="133"/>
      <c r="W2239" s="146"/>
      <c r="X2239" s="143">
        <f>X2231/((N_6*X$27*X2238)*SQRT(X2237*X2233*X2235))</f>
        <v>27.788904767131047</v>
      </c>
      <c r="Y2239" s="133"/>
      <c r="Z2239" s="146"/>
      <c r="AA2239" s="143">
        <f>AA2231/((N_6*AA$27*AA2238)*SQRT(AA2237*AA2233*AA2235))</f>
        <v>153.66871073486047</v>
      </c>
      <c r="AB2239" s="133"/>
      <c r="AC2239" s="146"/>
      <c r="AD2239" s="143">
        <f>AD2231/((N_6*AD$27*AD2238)*SQRT(AD2237*AD2233*AD2235))</f>
        <v>-129.52259147238198</v>
      </c>
      <c r="AE2239" s="133"/>
      <c r="AF2239" s="146"/>
      <c r="AG2239" s="143">
        <f>AG2231/((N_6*AG$27*AG2238)*SQRT(AG2237*AG2233*AG2235))</f>
        <v>167.62328853336274</v>
      </c>
      <c r="AH2239" s="133"/>
      <c r="AI2239" s="146"/>
      <c r="AJ2239" s="143">
        <f>AJ2231/((N_6*AJ$27*AJ2238)*SQRT(AJ2237*AJ2233*AJ2235))</f>
        <v>90.560808465754974</v>
      </c>
      <c r="AK2239" s="133"/>
      <c r="AL2239" s="146"/>
      <c r="AM2239" s="143">
        <f>AM2231/((N_6*AM$27*AM2238)*SQRT(AM2237*AM2233*AM2235))</f>
        <v>85.708735009096358</v>
      </c>
      <c r="AN2239" s="133"/>
      <c r="AO2239" s="146"/>
      <c r="AP2239" s="143">
        <f>AP2231/((N_6*AP$27*AP2238)*SQRT(AP2237*AP2233*AP2235))</f>
        <v>52.659450766304651</v>
      </c>
      <c r="AQ2239" s="133"/>
      <c r="AR2239" s="146"/>
      <c r="AS2239" s="143">
        <f>AS2231/((N_6*AS$27*AS2238)*SQRT(AS2237*AS2233*AS2235))</f>
        <v>264.24045498458815</v>
      </c>
      <c r="AT2239" s="133"/>
      <c r="AU2239" s="146"/>
    </row>
    <row r="2240" spans="13:47" x14ac:dyDescent="0.25">
      <c r="M2240" s="27"/>
      <c r="N2240" s="27"/>
      <c r="O2240" s="2" t="s">
        <v>73</v>
      </c>
      <c r="P2240" s="85">
        <v>5</v>
      </c>
      <c r="Q2240" s="2"/>
      <c r="R2240" s="179">
        <f>R2231/((N_6*R$27*0.667)*SQRT(R2241*R2233*R2235))</f>
        <v>1.0879487552022753</v>
      </c>
      <c r="S2240" s="133"/>
      <c r="T2240" s="155"/>
      <c r="U2240" s="143">
        <f>U2231/((N_6*U$27*0.667)*SQRT(U2241*U2233*U2235))</f>
        <v>9.5877916847528368</v>
      </c>
      <c r="V2240" s="133"/>
      <c r="W2240" s="155"/>
      <c r="X2240" s="143">
        <f>X2231/((N_6*X$27*0.667)*SQRT(X2241*X2233*X2235))</f>
        <v>26.649751388756624</v>
      </c>
      <c r="Y2240" s="133"/>
      <c r="Z2240" s="155"/>
      <c r="AA2240" s="143">
        <f>AA2231/((N_6*AA$27*0.667)*SQRT(AA2241*AA2233*AA2235))</f>
        <v>84.468451432472477</v>
      </c>
      <c r="AB2240" s="133"/>
      <c r="AC2240" s="155"/>
      <c r="AD2240" s="143">
        <f>AD2231/((N_6*AD$27*0.667)*SQRT(AD2241*AD2233*AD2235))</f>
        <v>351.5797274524362</v>
      </c>
      <c r="AE2240" s="133"/>
      <c r="AF2240" s="155"/>
      <c r="AG2240" s="143">
        <f>AG2231/((N_6*AG$27*0.667)*SQRT(AG2241*AG2233*AG2235))</f>
        <v>81.937374094458491</v>
      </c>
      <c r="AH2240" s="133"/>
      <c r="AI2240" s="155"/>
      <c r="AJ2240" s="143">
        <f>AJ2231/((N_6*AJ$27*0.667)*SQRT(AJ2241*AJ2233*AJ2235))</f>
        <v>54.321619462791965</v>
      </c>
      <c r="AK2240" s="133"/>
      <c r="AL2240" s="155"/>
      <c r="AM2240" s="143">
        <f>AM2231/((N_6*AM$27*0.667)*SQRT(AM2241*AM2233*AM2235))</f>
        <v>46.946878658631192</v>
      </c>
      <c r="AN2240" s="133"/>
      <c r="AO2240" s="155"/>
      <c r="AP2240" s="143">
        <f>AP2231/((N_6*AP$27*0.667)*SQRT(AP2241*AP2233*AP2235))</f>
        <v>41.565421170876199</v>
      </c>
      <c r="AQ2240" s="133"/>
      <c r="AR2240" s="155"/>
      <c r="AS2240" s="143">
        <f>AS2231/((N_6*AS$27*0.667)*SQRT(AS2241*AS2233*AS2235))</f>
        <v>58.282145759271394</v>
      </c>
      <c r="AT2240" s="133"/>
      <c r="AU2240" s="155"/>
    </row>
    <row r="2241" spans="13:47" ht="15.5" x14ac:dyDescent="0.4">
      <c r="M2241" s="27"/>
      <c r="N2241" s="27"/>
      <c r="O2241" s="2" t="s">
        <v>192</v>
      </c>
      <c r="P2241" s="85">
        <v>10</v>
      </c>
      <c r="Q2241" s="2"/>
      <c r="R2241" s="181">
        <f>F_GAMMA*R$29</f>
        <v>0.64002688015162901</v>
      </c>
      <c r="S2241" s="133"/>
      <c r="T2241" s="155"/>
      <c r="U2241" s="138">
        <f>F_GAMMA*U$29</f>
        <v>0.64016782916606918</v>
      </c>
      <c r="V2241" s="133"/>
      <c r="W2241" s="155"/>
      <c r="X2241" s="138">
        <f>F_GAMMA*X$29</f>
        <v>0.6307062319203669</v>
      </c>
      <c r="Y2241" s="133"/>
      <c r="Z2241" s="155"/>
      <c r="AA2241" s="138">
        <f>F_GAMMA*AA$29</f>
        <v>0.62217534213893466</v>
      </c>
      <c r="AB2241" s="133"/>
      <c r="AC2241" s="155"/>
      <c r="AD2241" s="138">
        <f>F_GAMMA*AD$29</f>
        <v>0.60557184969146072</v>
      </c>
      <c r="AE2241" s="133"/>
      <c r="AF2241" s="155"/>
      <c r="AG2241" s="138">
        <f>F_GAMMA*AG$29</f>
        <v>0.57289312142622573</v>
      </c>
      <c r="AH2241" s="133"/>
      <c r="AI2241" s="155"/>
      <c r="AJ2241" s="138">
        <f>F_GAMMA*AJ$29</f>
        <v>0.53590819116049981</v>
      </c>
      <c r="AK2241" s="133"/>
      <c r="AL2241" s="155"/>
      <c r="AM2241" s="138">
        <f>F_GAMMA*AM$29</f>
        <v>0.49048815926850342</v>
      </c>
      <c r="AN2241" s="133"/>
      <c r="AO2241" s="155"/>
      <c r="AP2241" s="138">
        <f>F_GAMMA*AP$29</f>
        <v>0.59352979016280105</v>
      </c>
      <c r="AQ2241" s="133"/>
      <c r="AR2241" s="155"/>
      <c r="AS2241" s="138">
        <f>F_GAMMA*AS$29</f>
        <v>0.39097221161068291</v>
      </c>
      <c r="AT2241" s="133"/>
      <c r="AU2241" s="155"/>
    </row>
    <row r="2242" spans="13:47" x14ac:dyDescent="0.25">
      <c r="M2242" s="27"/>
      <c r="N2242" s="27"/>
      <c r="O2242" s="2" t="s">
        <v>193</v>
      </c>
      <c r="P2242" s="134"/>
      <c r="Q2242" s="2"/>
      <c r="R2242" s="181">
        <f>IF(R2237&lt;R2241,R2239,R2240)</f>
        <v>1.1092788961881919</v>
      </c>
      <c r="S2242" s="133"/>
      <c r="T2242" s="155"/>
      <c r="U2242" s="138">
        <f>IF(U2237&lt;U2241,U2239,U2240)</f>
        <v>9.804912345411779</v>
      </c>
      <c r="V2242" s="133"/>
      <c r="W2242" s="155"/>
      <c r="X2242" s="138">
        <f>IF(X2237&lt;X2241,X2239,X2240)</f>
        <v>27.788904767131047</v>
      </c>
      <c r="Y2242" s="133"/>
      <c r="Z2242" s="155"/>
      <c r="AA2242" s="138">
        <f>IF(AA2237&lt;AA2241,AA2239,AA2240)</f>
        <v>153.66871073486047</v>
      </c>
      <c r="AB2242" s="133"/>
      <c r="AC2242" s="155"/>
      <c r="AD2242" s="138">
        <f>IF(AD2237&lt;AD2241,AD2239,AD2240)</f>
        <v>351.5797274524362</v>
      </c>
      <c r="AE2242" s="133"/>
      <c r="AF2242" s="155"/>
      <c r="AG2242" s="138">
        <f>IF(AG2237&lt;AG2241,AG2239,AG2240)</f>
        <v>81.937374094458491</v>
      </c>
      <c r="AH2242" s="133"/>
      <c r="AI2242" s="155"/>
      <c r="AJ2242" s="138">
        <f>IF(AJ2237&lt;AJ2241,AJ2239,AJ2240)</f>
        <v>54.321619462791965</v>
      </c>
      <c r="AK2242" s="133"/>
      <c r="AL2242" s="155"/>
      <c r="AM2242" s="138">
        <f>IF(AM2237&lt;AM2241,AM2239,AM2240)</f>
        <v>46.946878658631192</v>
      </c>
      <c r="AN2242" s="133"/>
      <c r="AO2242" s="155"/>
      <c r="AP2242" s="138">
        <f>IF(AP2237&lt;AP2241,AP2239,AP2240)</f>
        <v>41.565421170876199</v>
      </c>
      <c r="AQ2242" s="133"/>
      <c r="AR2242" s="155"/>
      <c r="AS2242" s="138">
        <f>IF(AS2237&lt;AS2241,AS2239,AS2240)</f>
        <v>58.282145759271394</v>
      </c>
      <c r="AT2242" s="133"/>
      <c r="AU2242" s="155"/>
    </row>
    <row r="2243" spans="13:47" ht="13" x14ac:dyDescent="0.3">
      <c r="M2243" s="28"/>
      <c r="N2243" s="28"/>
      <c r="O2243" s="9" t="s">
        <v>194</v>
      </c>
      <c r="P2243" s="1"/>
      <c r="Q2243" s="1"/>
      <c r="R2243" s="135"/>
      <c r="S2243" s="132">
        <f>IF(R2236&lt;=0,W_max,ABS(R$23-R2242))</f>
        <v>0.89072110381180813</v>
      </c>
      <c r="T2243" s="151">
        <f>R2231</f>
        <v>256.46756785374458</v>
      </c>
      <c r="U2243" s="135"/>
      <c r="V2243" s="132">
        <f>IF(U2236&lt;=0,W_max,ABS(U$23-U2242))</f>
        <v>4.804912345411779</v>
      </c>
      <c r="W2243" s="151">
        <f>U2231</f>
        <v>2215.6098642593402</v>
      </c>
      <c r="X2243" s="135"/>
      <c r="Y2243" s="132">
        <f>IF(X2236&lt;=0,W_max,ABS(X$23-X2242))</f>
        <v>17.788904767131047</v>
      </c>
      <c r="Z2243" s="151">
        <f>X2231</f>
        <v>5479.466854977898</v>
      </c>
      <c r="AA2243" s="135"/>
      <c r="AB2243" s="132">
        <f>IF(AA2236&lt;=0,W_max,ABS(AA$23-AA2242))</f>
        <v>136.46871073486048</v>
      </c>
      <c r="AC2243" s="151">
        <f>AA2231</f>
        <v>10672.602824714631</v>
      </c>
      <c r="AD2243" s="135"/>
      <c r="AE2243" s="132">
        <f>IF(AD2236&lt;=0,W_max,ABS(AD$23-AD2242))</f>
        <v>7174</v>
      </c>
      <c r="AF2243" s="151">
        <f>AD2231</f>
        <v>17552.502227426587</v>
      </c>
      <c r="AG2243" s="135"/>
      <c r="AH2243" s="132">
        <f>IF(AG2236&lt;=0,W_max,ABS(AG$23-AG2242))</f>
        <v>7174</v>
      </c>
      <c r="AI2243" s="151">
        <f>AG2231</f>
        <v>24618.735673878695</v>
      </c>
      <c r="AJ2243" s="135"/>
      <c r="AK2243" s="132">
        <f>IF(AJ2236&lt;=0,W_max,ABS(AJ$23-AJ2242))</f>
        <v>7174</v>
      </c>
      <c r="AL2243" s="151">
        <f>AJ2231</f>
        <v>31259.261688172468</v>
      </c>
      <c r="AM2243" s="135"/>
      <c r="AN2243" s="132">
        <f>IF(AM2236&lt;=0,W_max,ABS(AM$23-AM2242))</f>
        <v>7174</v>
      </c>
      <c r="AO2243" s="151">
        <f>AM2231</f>
        <v>36653.942711632561</v>
      </c>
      <c r="AP2243" s="135"/>
      <c r="AQ2243" s="132">
        <f>IF(AP2236&lt;=0,W_max,ABS(AP$23-AP2242))</f>
        <v>7174</v>
      </c>
      <c r="AR2243" s="151">
        <f>AP2231</f>
        <v>40893.643663852337</v>
      </c>
      <c r="AS2243" s="135"/>
      <c r="AT2243" s="132">
        <f>IF(AS2236&lt;=0,W_max,ABS(AS$23-AS2242))</f>
        <v>7174</v>
      </c>
      <c r="AU2243" s="151">
        <f>AS2231</f>
        <v>45623.743815570742</v>
      </c>
    </row>
    <row r="2244" spans="13:47" ht="13" x14ac:dyDescent="0.25">
      <c r="M2244" s="12"/>
      <c r="N2244" s="12"/>
      <c r="O2244" s="2"/>
      <c r="P2244" s="85"/>
      <c r="Q2244" s="2"/>
      <c r="R2244" s="18"/>
      <c r="S2244" s="150"/>
      <c r="T2244" s="152"/>
      <c r="U2244" s="157"/>
      <c r="V2244" s="1"/>
      <c r="W2244" s="147"/>
      <c r="X2244" s="157"/>
      <c r="Y2244" s="1"/>
      <c r="Z2244" s="147"/>
      <c r="AA2244" s="157"/>
      <c r="AB2244" s="1"/>
      <c r="AC2244" s="147"/>
      <c r="AD2244" s="157"/>
      <c r="AE2244" s="1"/>
      <c r="AF2244" s="147"/>
      <c r="AG2244" s="157"/>
      <c r="AH2244" s="1"/>
      <c r="AI2244" s="147"/>
      <c r="AJ2244" s="157"/>
      <c r="AK2244" s="1"/>
      <c r="AL2244" s="147"/>
      <c r="AM2244" s="157"/>
      <c r="AN2244" s="1"/>
      <c r="AO2244" s="147"/>
      <c r="AP2244" s="157"/>
      <c r="AQ2244" s="1"/>
      <c r="AR2244" s="147"/>
      <c r="AS2244" s="157"/>
      <c r="AT2244" s="1"/>
      <c r="AU2244" s="147"/>
    </row>
    <row r="2245" spans="13:47" ht="14" x14ac:dyDescent="0.3">
      <c r="M2245" s="23"/>
      <c r="N2245" s="23"/>
      <c r="O2245" s="23" t="s">
        <v>238</v>
      </c>
      <c r="P2245" s="20"/>
      <c r="Q2245" s="20"/>
      <c r="R2245" s="181">
        <f>R2231*1.02</f>
        <v>261.59691921081946</v>
      </c>
      <c r="S2245" s="128" t="s">
        <v>185</v>
      </c>
      <c r="T2245" s="153" t="s">
        <v>186</v>
      </c>
      <c r="U2245" s="143">
        <f>U2231*1.01</f>
        <v>2237.7659629019336</v>
      </c>
      <c r="V2245" s="128" t="s">
        <v>185</v>
      </c>
      <c r="W2245" s="153" t="s">
        <v>186</v>
      </c>
      <c r="X2245" s="143">
        <f>X2231*1.01</f>
        <v>5534.2615235276771</v>
      </c>
      <c r="Y2245" s="128" t="s">
        <v>185</v>
      </c>
      <c r="Z2245" s="153" t="s">
        <v>186</v>
      </c>
      <c r="AA2245" s="143">
        <f>AA2231*1.01</f>
        <v>10779.328852961778</v>
      </c>
      <c r="AB2245" s="128" t="s">
        <v>185</v>
      </c>
      <c r="AC2245" s="153" t="s">
        <v>186</v>
      </c>
      <c r="AD2245" s="143">
        <f>AD2231*1.01</f>
        <v>17728.027249700852</v>
      </c>
      <c r="AE2245" s="128" t="s">
        <v>185</v>
      </c>
      <c r="AF2245" s="153" t="s">
        <v>186</v>
      </c>
      <c r="AG2245" s="143">
        <f>AG2231*1.01</f>
        <v>24864.923030617483</v>
      </c>
      <c r="AH2245" s="128" t="s">
        <v>185</v>
      </c>
      <c r="AI2245" s="153" t="s">
        <v>186</v>
      </c>
      <c r="AJ2245" s="143">
        <f>AJ2231*1.01</f>
        <v>31571.854305054192</v>
      </c>
      <c r="AK2245" s="128" t="s">
        <v>185</v>
      </c>
      <c r="AL2245" s="153" t="s">
        <v>186</v>
      </c>
      <c r="AM2245" s="143">
        <f>AM2231*1.01</f>
        <v>37020.482138748885</v>
      </c>
      <c r="AN2245" s="128" t="s">
        <v>185</v>
      </c>
      <c r="AO2245" s="153" t="s">
        <v>186</v>
      </c>
      <c r="AP2245" s="143">
        <f>AP2231*1.01</f>
        <v>41302.580100490864</v>
      </c>
      <c r="AQ2245" s="128" t="s">
        <v>185</v>
      </c>
      <c r="AR2245" s="153" t="s">
        <v>186</v>
      </c>
      <c r="AS2245" s="143">
        <f>AS2231*1.01</f>
        <v>46079.981253726452</v>
      </c>
      <c r="AT2245" s="128" t="s">
        <v>185</v>
      </c>
      <c r="AU2245" s="153" t="s">
        <v>186</v>
      </c>
    </row>
    <row r="2246" spans="13:47" ht="14" x14ac:dyDescent="0.3">
      <c r="M2246" s="12"/>
      <c r="N2246" s="12"/>
      <c r="O2246" s="20"/>
      <c r="P2246" s="20"/>
      <c r="Q2246" s="23"/>
      <c r="R2246" s="139"/>
      <c r="S2246" s="130" t="s">
        <v>228</v>
      </c>
      <c r="T2246" s="154" t="s">
        <v>187</v>
      </c>
      <c r="U2246" s="144"/>
      <c r="V2246" s="130" t="s">
        <v>228</v>
      </c>
      <c r="W2246" s="154" t="s">
        <v>187</v>
      </c>
      <c r="X2246" s="144"/>
      <c r="Y2246" s="130" t="s">
        <v>228</v>
      </c>
      <c r="Z2246" s="154" t="s">
        <v>187</v>
      </c>
      <c r="AA2246" s="144"/>
      <c r="AB2246" s="130" t="s">
        <v>228</v>
      </c>
      <c r="AC2246" s="154" t="s">
        <v>187</v>
      </c>
      <c r="AD2246" s="144"/>
      <c r="AE2246" s="130" t="s">
        <v>228</v>
      </c>
      <c r="AF2246" s="154" t="s">
        <v>187</v>
      </c>
      <c r="AG2246" s="144"/>
      <c r="AH2246" s="130" t="s">
        <v>228</v>
      </c>
      <c r="AI2246" s="154" t="s">
        <v>187</v>
      </c>
      <c r="AJ2246" s="144"/>
      <c r="AK2246" s="130" t="s">
        <v>228</v>
      </c>
      <c r="AL2246" s="154" t="s">
        <v>187</v>
      </c>
      <c r="AM2246" s="144"/>
      <c r="AN2246" s="130" t="s">
        <v>228</v>
      </c>
      <c r="AO2246" s="154" t="s">
        <v>187</v>
      </c>
      <c r="AP2246" s="144"/>
      <c r="AQ2246" s="130" t="s">
        <v>228</v>
      </c>
      <c r="AR2246" s="154" t="s">
        <v>187</v>
      </c>
      <c r="AS2246" s="144"/>
      <c r="AT2246" s="130" t="s">
        <v>228</v>
      </c>
      <c r="AU2246" s="154" t="s">
        <v>187</v>
      </c>
    </row>
    <row r="2247" spans="13:47" x14ac:dyDescent="0.25">
      <c r="M2247" s="20"/>
      <c r="N2247" s="20"/>
      <c r="O2247" s="7" t="s">
        <v>188</v>
      </c>
      <c r="P2247" s="7"/>
      <c r="Q2247" s="7"/>
      <c r="R2247" s="181">
        <f>P_1_minW-(R2245^2*R_up)+dpup_minQ</f>
        <v>100.49549828864755</v>
      </c>
      <c r="S2247" s="132"/>
      <c r="T2247" s="145"/>
      <c r="U2247" s="138">
        <f>P_1_minW-(U2245^2*R_up)+dpup_minQ</f>
        <v>98.525948357940663</v>
      </c>
      <c r="V2247" s="132"/>
      <c r="W2247" s="145"/>
      <c r="X2247" s="138">
        <f>P_1_minW-(X2245^2*R_up)+dpup_minQ</f>
        <v>88.309489026064739</v>
      </c>
      <c r="Y2247" s="132"/>
      <c r="Z2247" s="145"/>
      <c r="AA2247" s="138">
        <f>P_1_minW-(AA2245^2*R_up)+dpup_minQ</f>
        <v>54.189081609702527</v>
      </c>
      <c r="AB2247" s="132"/>
      <c r="AC2247" s="145"/>
      <c r="AD2247" s="138">
        <f>P_1_minW-(AD2245^2*R_up)+dpup_minQ</f>
        <v>-24.801259659187423</v>
      </c>
      <c r="AE2247" s="132"/>
      <c r="AF2247" s="145"/>
      <c r="AG2247" s="138">
        <f>P_1_minW-(AG2245^2*R_up)+dpup_minQ</f>
        <v>-146.0174597944019</v>
      </c>
      <c r="AH2247" s="132"/>
      <c r="AI2247" s="145"/>
      <c r="AJ2247" s="138">
        <f>P_1_minW-(AJ2245^2*R_up)+dpup_minQ</f>
        <v>-296.95582791902245</v>
      </c>
      <c r="AK2247" s="132"/>
      <c r="AL2247" s="145"/>
      <c r="AM2247" s="138">
        <f>P_1_minW-(AM2245^2*R_up)+dpup_minQ</f>
        <v>-445.98672939964956</v>
      </c>
      <c r="AN2247" s="132"/>
      <c r="AO2247" s="145"/>
      <c r="AP2247" s="138">
        <f>P_1_minW-(AP2245^2*R_up)+dpup_minQ</f>
        <v>-579.7262755030232</v>
      </c>
      <c r="AQ2247" s="132"/>
      <c r="AR2247" s="145"/>
      <c r="AS2247" s="138">
        <f>P_1_minW-(AS2245^2*R_up)+dpup_minQ</f>
        <v>-746.19400961378153</v>
      </c>
      <c r="AT2247" s="132"/>
      <c r="AU2247" s="145"/>
    </row>
    <row r="2248" spans="13:47" x14ac:dyDescent="0.25">
      <c r="M2248" s="20"/>
      <c r="N2248" s="20"/>
      <c r="O2248" s="7" t="s">
        <v>189</v>
      </c>
      <c r="P2248" s="1"/>
      <c r="Q2248" s="7"/>
      <c r="R2248" s="181">
        <f>P_2_minW+(R2245^2*R_dn)-dpdn_minQ</f>
        <v>50</v>
      </c>
      <c r="S2248" s="132"/>
      <c r="T2248" s="146"/>
      <c r="U2248" s="138">
        <f>P_2_minW+(U2245^2*R_dn)-dpdn_minQ</f>
        <v>50</v>
      </c>
      <c r="V2248" s="132"/>
      <c r="W2248" s="146"/>
      <c r="X2248" s="138">
        <f>P_2_minW+(X2245^2*R_dn)-dpdn_minQ</f>
        <v>50</v>
      </c>
      <c r="Y2248" s="132"/>
      <c r="Z2248" s="146"/>
      <c r="AA2248" s="138">
        <f>P_2_minW+(AA2245^2*R_dn)-dpdn_minQ</f>
        <v>50</v>
      </c>
      <c r="AB2248" s="132"/>
      <c r="AC2248" s="146"/>
      <c r="AD2248" s="138">
        <f>P_2_minW+(AD2245^2*R_dn)-dpdn_minQ</f>
        <v>50</v>
      </c>
      <c r="AE2248" s="132"/>
      <c r="AF2248" s="146"/>
      <c r="AG2248" s="138">
        <f>P_2_minW+(AG2245^2*R_dn)-dpdn_minQ</f>
        <v>50</v>
      </c>
      <c r="AH2248" s="132"/>
      <c r="AI2248" s="146"/>
      <c r="AJ2248" s="138">
        <f>P_2_minW+(AJ2245^2*R_dn)-dpdn_minQ</f>
        <v>50</v>
      </c>
      <c r="AK2248" s="132"/>
      <c r="AL2248" s="146"/>
      <c r="AM2248" s="138">
        <f>P_2_minW+(AM2245^2*R_dn)-dpdn_minQ</f>
        <v>50</v>
      </c>
      <c r="AN2248" s="132"/>
      <c r="AO2248" s="146"/>
      <c r="AP2248" s="138">
        <f>P_2_minW+(AP2245^2*R_dn)-dpdn_minQ</f>
        <v>50</v>
      </c>
      <c r="AQ2248" s="132"/>
      <c r="AR2248" s="146"/>
      <c r="AS2248" s="138">
        <f>P_2_minW+(AS2245^2*R_dn)-dpdn_minQ</f>
        <v>50</v>
      </c>
      <c r="AT2248" s="132"/>
      <c r="AU2248" s="146"/>
    </row>
    <row r="2249" spans="13:47" x14ac:dyDescent="0.25">
      <c r="M2249" s="20"/>
      <c r="N2249" s="20"/>
      <c r="O2249" s="7" t="s">
        <v>234</v>
      </c>
      <c r="P2249" s="1"/>
      <c r="Q2249" s="7"/>
      <c r="R2249" s="179">
        <f>'Valve Sizing'!G$8*R2247/P_1_maxW</f>
        <v>0.48477239162376584</v>
      </c>
      <c r="S2249" s="132"/>
      <c r="T2249" s="146"/>
      <c r="U2249" s="143">
        <f>'Valve Sizing'!$G$8*U2247/P_1_maxW</f>
        <v>0.47527163341478779</v>
      </c>
      <c r="V2249" s="132"/>
      <c r="W2249" s="146"/>
      <c r="X2249" s="143">
        <f>'Valve Sizing'!$G$8*X2247/P_1_maxW</f>
        <v>0.42598925252629077</v>
      </c>
      <c r="Y2249" s="132"/>
      <c r="Z2249" s="146"/>
      <c r="AA2249" s="143">
        <f>'Valve Sizing'!$G$8*AA2247/P_1_maxW</f>
        <v>0.26139848191387527</v>
      </c>
      <c r="AB2249" s="132"/>
      <c r="AC2249" s="146"/>
      <c r="AD2249" s="143">
        <f>'Valve Sizing'!$G$8*AD2247/P_1_maxW</f>
        <v>-0.11963686100379763</v>
      </c>
      <c r="AE2249" s="132"/>
      <c r="AF2249" s="146"/>
      <c r="AG2249" s="143">
        <f>'Valve Sizing'!$G$8*AG2247/P_1_maxW</f>
        <v>-0.70436222924181979</v>
      </c>
      <c r="AH2249" s="132"/>
      <c r="AI2249" s="146"/>
      <c r="AJ2249" s="143">
        <f>'Valve Sizing'!$G$8*AJ2247/P_1_maxW</f>
        <v>-1.4324620441548865</v>
      </c>
      <c r="AK2249" s="132"/>
      <c r="AL2249" s="146"/>
      <c r="AM2249" s="143">
        <f>'Valve Sizing'!$G$8*AM2247/P_1_maxW</f>
        <v>-2.1513605795808326</v>
      </c>
      <c r="AN2249" s="132"/>
      <c r="AO2249" s="146"/>
      <c r="AP2249" s="143">
        <f>'Valve Sizing'!$G$8*AP2247/P_1_maxW</f>
        <v>-2.7964963391249316</v>
      </c>
      <c r="AQ2249" s="132"/>
      <c r="AR2249" s="146"/>
      <c r="AS2249" s="143">
        <f>'Valve Sizing'!$G$8*AS2247/P_1_maxW</f>
        <v>-3.5995070507219267</v>
      </c>
      <c r="AT2249" s="132"/>
      <c r="AU2249" s="146"/>
    </row>
    <row r="2250" spans="13:47" x14ac:dyDescent="0.25">
      <c r="M2250" s="20"/>
      <c r="N2250" s="20"/>
      <c r="O2250" s="7" t="s">
        <v>190</v>
      </c>
      <c r="P2250" s="1"/>
      <c r="Q2250" s="7"/>
      <c r="R2250" s="181">
        <f>R2247-R2248</f>
        <v>50.495498288647553</v>
      </c>
      <c r="S2250" s="132"/>
      <c r="T2250" s="146"/>
      <c r="U2250" s="138">
        <f>U2247-U2248</f>
        <v>48.525948357940663</v>
      </c>
      <c r="V2250" s="132"/>
      <c r="W2250" s="146"/>
      <c r="X2250" s="138">
        <f>X2247-X2248</f>
        <v>38.309489026064739</v>
      </c>
      <c r="Y2250" s="132"/>
      <c r="Z2250" s="146"/>
      <c r="AA2250" s="138">
        <f>AA2247-AA2248</f>
        <v>4.1890816097025265</v>
      </c>
      <c r="AB2250" s="132"/>
      <c r="AC2250" s="146"/>
      <c r="AD2250" s="138">
        <f>AD2247-AD2248</f>
        <v>-74.801259659187423</v>
      </c>
      <c r="AE2250" s="132"/>
      <c r="AF2250" s="146"/>
      <c r="AG2250" s="138">
        <f>AG2247-AG2248</f>
        <v>-196.0174597944019</v>
      </c>
      <c r="AH2250" s="132"/>
      <c r="AI2250" s="146"/>
      <c r="AJ2250" s="138">
        <f>AJ2247-AJ2248</f>
        <v>-346.95582791902245</v>
      </c>
      <c r="AK2250" s="132"/>
      <c r="AL2250" s="146"/>
      <c r="AM2250" s="138">
        <f>AM2247-AM2248</f>
        <v>-495.98672939964956</v>
      </c>
      <c r="AN2250" s="132"/>
      <c r="AO2250" s="146"/>
      <c r="AP2250" s="138">
        <f>AP2247-AP2248</f>
        <v>-629.7262755030232</v>
      </c>
      <c r="AQ2250" s="132"/>
      <c r="AR2250" s="146"/>
      <c r="AS2250" s="138">
        <f>AS2247-AS2248</f>
        <v>-796.19400961378153</v>
      </c>
      <c r="AT2250" s="132"/>
      <c r="AU2250" s="146"/>
    </row>
    <row r="2251" spans="13:47" ht="14.5" x14ac:dyDescent="0.35">
      <c r="M2251" s="27"/>
      <c r="N2251" s="27"/>
      <c r="O2251" s="2" t="s">
        <v>191</v>
      </c>
      <c r="P2251" s="10"/>
      <c r="Q2251" s="2"/>
      <c r="R2251" s="181">
        <f>R2250/R2247</f>
        <v>0.50246527604263602</v>
      </c>
      <c r="S2251" s="132"/>
      <c r="T2251" s="146"/>
      <c r="U2251" s="138">
        <f>U2250/U2247</f>
        <v>0.4925194749879282</v>
      </c>
      <c r="V2251" s="132"/>
      <c r="W2251" s="146"/>
      <c r="X2251" s="138">
        <f>X2250/X2247</f>
        <v>0.43380942918555004</v>
      </c>
      <c r="Y2251" s="132"/>
      <c r="Z2251" s="146"/>
      <c r="AA2251" s="138">
        <f>AA2250/AA2247</f>
        <v>7.7304901379846858E-2</v>
      </c>
      <c r="AB2251" s="132"/>
      <c r="AC2251" s="146"/>
      <c r="AD2251" s="138">
        <f>AD2250/AD2247</f>
        <v>3.0160266328036252</v>
      </c>
      <c r="AE2251" s="132"/>
      <c r="AF2251" s="146"/>
      <c r="AG2251" s="138">
        <f>AG2250/AG2247</f>
        <v>1.342424803652946</v>
      </c>
      <c r="AH2251" s="132"/>
      <c r="AI2251" s="146"/>
      <c r="AJ2251" s="138">
        <f>AJ2250/AJ2247</f>
        <v>1.1683752103819112</v>
      </c>
      <c r="AK2251" s="132"/>
      <c r="AL2251" s="146"/>
      <c r="AM2251" s="138">
        <f>AM2250/AM2247</f>
        <v>1.112110959147385</v>
      </c>
      <c r="AN2251" s="132"/>
      <c r="AO2251" s="146"/>
      <c r="AP2251" s="138">
        <f>AP2250/AP2247</f>
        <v>1.0862476001395924</v>
      </c>
      <c r="AQ2251" s="132"/>
      <c r="AR2251" s="146"/>
      <c r="AS2251" s="138">
        <f>AS2250/AS2247</f>
        <v>1.0670067024873051</v>
      </c>
      <c r="AT2251" s="132"/>
      <c r="AU2251" s="146"/>
    </row>
    <row r="2252" spans="13:47" x14ac:dyDescent="0.25">
      <c r="M2252" s="27"/>
      <c r="N2252" s="27"/>
      <c r="O2252" s="2" t="s">
        <v>26</v>
      </c>
      <c r="P2252" s="7">
        <v>12</v>
      </c>
      <c r="Q2252" s="2"/>
      <c r="R2252" s="181">
        <f>1-R2251/(3*F_GAMMA*R$29)</f>
        <v>0.73831032642275018</v>
      </c>
      <c r="S2252" s="133"/>
      <c r="T2252" s="146"/>
      <c r="U2252" s="138">
        <f>1-U2251/(3*F_GAMMA*U$29)</f>
        <v>0.74354669064958534</v>
      </c>
      <c r="V2252" s="133"/>
      <c r="W2252" s="146"/>
      <c r="X2252" s="138">
        <f>1-X2251/(3*F_GAMMA*X$29)</f>
        <v>0.77072821585801665</v>
      </c>
      <c r="Y2252" s="133"/>
      <c r="Z2252" s="146"/>
      <c r="AA2252" s="138">
        <f>1-AA2251/(3*F_GAMMA*AA$29)</f>
        <v>0.95858353953507403</v>
      </c>
      <c r="AB2252" s="133"/>
      <c r="AC2252" s="146"/>
      <c r="AD2252" s="138">
        <f>1-AD2251/(3*F_GAMMA*AD$29)</f>
        <v>-0.66015347550709991</v>
      </c>
      <c r="AE2252" s="133"/>
      <c r="AF2252" s="146"/>
      <c r="AG2252" s="138">
        <f>1-AG2251/(3*F_GAMMA*AG$29)</f>
        <v>0.21892074138194106</v>
      </c>
      <c r="AH2252" s="133"/>
      <c r="AI2252" s="146"/>
      <c r="AJ2252" s="138">
        <f>1-AJ2251/(3*F_GAMMA*AJ$29)</f>
        <v>0.27327402363962428</v>
      </c>
      <c r="AK2252" s="133"/>
      <c r="AL2252" s="146"/>
      <c r="AM2252" s="138">
        <f>1-AM2251/(3*F_GAMMA*AM$29)</f>
        <v>0.2442148784957775</v>
      </c>
      <c r="AN2252" s="133"/>
      <c r="AO2252" s="146"/>
      <c r="AP2252" s="138">
        <f>1-AP2251/(3*F_GAMMA*AP$29)</f>
        <v>0.3899505309067175</v>
      </c>
      <c r="AQ2252" s="133"/>
      <c r="AR2252" s="146"/>
      <c r="AS2252" s="138">
        <f>1-AS2251/(3*F_GAMMA*AS$29)</f>
        <v>9.0296214751791837E-2</v>
      </c>
      <c r="AT2252" s="133"/>
      <c r="AU2252" s="146"/>
    </row>
    <row r="2253" spans="13:47" x14ac:dyDescent="0.25">
      <c r="M2253" s="27"/>
      <c r="N2253" s="27"/>
      <c r="O2253" s="2" t="s">
        <v>71</v>
      </c>
      <c r="P2253" s="85">
        <v>5</v>
      </c>
      <c r="Q2253" s="2"/>
      <c r="R2253" s="179">
        <f>R2245/((N_6*R$27*R2252)*SQRT(R2251*R2247*R2249))</f>
        <v>1.1314781239495328</v>
      </c>
      <c r="S2253" s="133"/>
      <c r="T2253" s="146"/>
      <c r="U2253" s="143">
        <f>U2245/((N_6*U$27*U2252)*SQRT(U2251*U2247*U2249))</f>
        <v>9.9075476242086875</v>
      </c>
      <c r="V2253" s="133"/>
      <c r="W2253" s="146"/>
      <c r="X2253" s="143">
        <f>X2245/((N_6*X$27*X2252)*SQRT(X2251*X2247*X2249))</f>
        <v>28.163398157723055</v>
      </c>
      <c r="Y2253" s="133"/>
      <c r="Z2253" s="146"/>
      <c r="AA2253" s="143">
        <f>AA2245/((N_6*AA$27*AA2252)*SQRT(AA2251*AA2247*AA2249))</f>
        <v>171.24603770723306</v>
      </c>
      <c r="AB2253" s="133"/>
      <c r="AC2253" s="146"/>
      <c r="AD2253" s="143">
        <f>AD2245/((N_6*AD$27*AD2252)*SQRT(AD2251*AD2247*AD2249))</f>
        <v>-144.75812011548086</v>
      </c>
      <c r="AE2253" s="133"/>
      <c r="AF2253" s="146"/>
      <c r="AG2253" s="143">
        <f>AG2245/((N_6*AG$27*AG2252)*SQRT(AG2251*AG2247*AG2249))</f>
        <v>159.235509346865</v>
      </c>
      <c r="AH2253" s="133"/>
      <c r="AI2253" s="146"/>
      <c r="AJ2253" s="143">
        <f>AJ2245/((N_6*AJ$27*AJ2252)*SQRT(AJ2251*AJ2247*AJ2249))</f>
        <v>88.301438742479235</v>
      </c>
      <c r="AK2253" s="133"/>
      <c r="AL2253" s="146"/>
      <c r="AM2253" s="143">
        <f>AM2245/((N_6*AM$27*AM2252)*SQRT(AM2251*AM2247*AM2249))</f>
        <v>83.928074519516997</v>
      </c>
      <c r="AN2253" s="133"/>
      <c r="AO2253" s="146"/>
      <c r="AP2253" s="143">
        <f>AP2245/((N_6*AP$27*AP2252)*SQRT(AP2251*AP2247*AP2249))</f>
        <v>51.852260480880645</v>
      </c>
      <c r="AQ2253" s="133"/>
      <c r="AR2253" s="146"/>
      <c r="AS2253" s="143">
        <f>AS2245/((N_6*AS$27*AS2252)*SQRT(AS2251*AS2247*AS2249))</f>
        <v>257.32516688154243</v>
      </c>
      <c r="AT2253" s="133"/>
      <c r="AU2253" s="146"/>
    </row>
    <row r="2254" spans="13:47" x14ac:dyDescent="0.25">
      <c r="M2254" s="27"/>
      <c r="N2254" s="27"/>
      <c r="O2254" s="2" t="s">
        <v>73</v>
      </c>
      <c r="P2254" s="85">
        <v>5</v>
      </c>
      <c r="Q2254" s="2"/>
      <c r="R2254" s="179">
        <f>R2245/((N_6*R$27*0.667)*SQRT(R2255*R2247*R2249))</f>
        <v>1.1097194312762348</v>
      </c>
      <c r="S2254" s="133"/>
      <c r="T2254" s="155"/>
      <c r="U2254" s="143">
        <f>U2245/((N_6*U$27*0.667)*SQRT(U2255*U2247*U2249))</f>
        <v>9.6875367030401538</v>
      </c>
      <c r="V2254" s="133"/>
      <c r="W2254" s="155"/>
      <c r="X2254" s="143">
        <f>X2245/((N_6*X$27*0.667)*SQRT(X2255*X2247*X2249))</f>
        <v>26.989597770902339</v>
      </c>
      <c r="Y2254" s="133"/>
      <c r="Z2254" s="155"/>
      <c r="AA2254" s="143">
        <f>AA2245/((N_6*AA$27*0.667)*SQRT(AA2255*AA2247*AA2249))</f>
        <v>86.750459213123989</v>
      </c>
      <c r="AB2254" s="133"/>
      <c r="AC2254" s="155"/>
      <c r="AD2254" s="143">
        <f>AD2245/((N_6*AD$27*0.667)*SQRT(AD2255*AD2247*AD2249))</f>
        <v>319.73984605228685</v>
      </c>
      <c r="AE2254" s="133"/>
      <c r="AF2254" s="155"/>
      <c r="AG2254" s="143">
        <f>AG2245/((N_6*AG$27*0.667)*SQRT(AG2255*AG2247*AG2249))</f>
        <v>80.003535147247632</v>
      </c>
      <c r="AH2254" s="133"/>
      <c r="AI2254" s="155"/>
      <c r="AJ2254" s="143">
        <f>AJ2245/((N_6*AJ$27*0.667)*SQRT(AJ2255*AJ2247*AJ2249))</f>
        <v>53.41783307219449</v>
      </c>
      <c r="AK2254" s="133"/>
      <c r="AL2254" s="155"/>
      <c r="AM2254" s="143">
        <f>AM2245/((N_6*AM$27*0.667)*SQRT(AM2255*AM2247*AM2249))</f>
        <v>46.271474747374583</v>
      </c>
      <c r="AN2254" s="133"/>
      <c r="AO2254" s="155"/>
      <c r="AP2254" s="143">
        <f>AP2245/((N_6*AP$27*0.667)*SQRT(AP2255*AP2247*AP2249))</f>
        <v>41.010449571315498</v>
      </c>
      <c r="AQ2254" s="133"/>
      <c r="AR2254" s="155"/>
      <c r="AS2254" s="143">
        <f>AS2245/((N_6*AS$27*0.667)*SQRT(AS2255*AS2247*AS2249))</f>
        <v>57.548843749132672</v>
      </c>
      <c r="AT2254" s="133"/>
      <c r="AU2254" s="155"/>
    </row>
    <row r="2255" spans="13:47" ht="15.5" x14ac:dyDescent="0.4">
      <c r="M2255" s="27"/>
      <c r="N2255" s="27"/>
      <c r="O2255" s="2" t="s">
        <v>192</v>
      </c>
      <c r="P2255" s="85">
        <v>10</v>
      </c>
      <c r="Q2255" s="2"/>
      <c r="R2255" s="181">
        <f>F_GAMMA*R$29</f>
        <v>0.64002688015162901</v>
      </c>
      <c r="S2255" s="133"/>
      <c r="T2255" s="155"/>
      <c r="U2255" s="138">
        <f>F_GAMMA*U$29</f>
        <v>0.64016782916606918</v>
      </c>
      <c r="V2255" s="133"/>
      <c r="W2255" s="155"/>
      <c r="X2255" s="138">
        <f>F_GAMMA*X$29</f>
        <v>0.6307062319203669</v>
      </c>
      <c r="Y2255" s="133"/>
      <c r="Z2255" s="155"/>
      <c r="AA2255" s="138">
        <f>F_GAMMA*AA$29</f>
        <v>0.62217534213893466</v>
      </c>
      <c r="AB2255" s="133"/>
      <c r="AC2255" s="155"/>
      <c r="AD2255" s="138">
        <f>F_GAMMA*AD$29</f>
        <v>0.60557184969146072</v>
      </c>
      <c r="AE2255" s="133"/>
      <c r="AF2255" s="155"/>
      <c r="AG2255" s="138">
        <f>F_GAMMA*AG$29</f>
        <v>0.57289312142622573</v>
      </c>
      <c r="AH2255" s="133"/>
      <c r="AI2255" s="155"/>
      <c r="AJ2255" s="138">
        <f>F_GAMMA*AJ$29</f>
        <v>0.53590819116049981</v>
      </c>
      <c r="AK2255" s="133"/>
      <c r="AL2255" s="155"/>
      <c r="AM2255" s="138">
        <f>F_GAMMA*AM$29</f>
        <v>0.49048815926850342</v>
      </c>
      <c r="AN2255" s="133"/>
      <c r="AO2255" s="155"/>
      <c r="AP2255" s="138">
        <f>F_GAMMA*AP$29</f>
        <v>0.59352979016280105</v>
      </c>
      <c r="AQ2255" s="133"/>
      <c r="AR2255" s="155"/>
      <c r="AS2255" s="138">
        <f>F_GAMMA*AS$29</f>
        <v>0.39097221161068291</v>
      </c>
      <c r="AT2255" s="133"/>
      <c r="AU2255" s="155"/>
    </row>
    <row r="2256" spans="13:47" x14ac:dyDescent="0.25">
      <c r="M2256" s="27"/>
      <c r="N2256" s="27"/>
      <c r="O2256" s="2" t="s">
        <v>193</v>
      </c>
      <c r="P2256" s="134"/>
      <c r="Q2256" s="2"/>
      <c r="R2256" s="181">
        <f>IF(R2251&lt;R2255,R2253,R2254)</f>
        <v>1.1314781239495328</v>
      </c>
      <c r="S2256" s="133"/>
      <c r="T2256" s="155"/>
      <c r="U2256" s="138">
        <f>IF(U2251&lt;U2255,U2253,U2254)</f>
        <v>9.9075476242086875</v>
      </c>
      <c r="V2256" s="133"/>
      <c r="W2256" s="155"/>
      <c r="X2256" s="138">
        <f>IF(X2251&lt;X2255,X2253,X2254)</f>
        <v>28.163398157723055</v>
      </c>
      <c r="Y2256" s="133"/>
      <c r="Z2256" s="155"/>
      <c r="AA2256" s="138">
        <f>IF(AA2251&lt;AA2255,AA2253,AA2254)</f>
        <v>171.24603770723306</v>
      </c>
      <c r="AB2256" s="133"/>
      <c r="AC2256" s="155"/>
      <c r="AD2256" s="138">
        <f>IF(AD2251&lt;AD2255,AD2253,AD2254)</f>
        <v>319.73984605228685</v>
      </c>
      <c r="AE2256" s="133"/>
      <c r="AF2256" s="155"/>
      <c r="AG2256" s="138">
        <f>IF(AG2251&lt;AG2255,AG2253,AG2254)</f>
        <v>80.003535147247632</v>
      </c>
      <c r="AH2256" s="133"/>
      <c r="AI2256" s="155"/>
      <c r="AJ2256" s="138">
        <f>IF(AJ2251&lt;AJ2255,AJ2253,AJ2254)</f>
        <v>53.41783307219449</v>
      </c>
      <c r="AK2256" s="133"/>
      <c r="AL2256" s="155"/>
      <c r="AM2256" s="138">
        <f>IF(AM2251&lt;AM2255,AM2253,AM2254)</f>
        <v>46.271474747374583</v>
      </c>
      <c r="AN2256" s="133"/>
      <c r="AO2256" s="155"/>
      <c r="AP2256" s="138">
        <f>IF(AP2251&lt;AP2255,AP2253,AP2254)</f>
        <v>41.010449571315498</v>
      </c>
      <c r="AQ2256" s="133"/>
      <c r="AR2256" s="155"/>
      <c r="AS2256" s="138">
        <f>IF(AS2251&lt;AS2255,AS2253,AS2254)</f>
        <v>57.548843749132672</v>
      </c>
      <c r="AT2256" s="133"/>
      <c r="AU2256" s="155"/>
    </row>
    <row r="2257" spans="13:47" ht="13" x14ac:dyDescent="0.3">
      <c r="M2257" s="28"/>
      <c r="N2257" s="28"/>
      <c r="O2257" s="9" t="s">
        <v>194</v>
      </c>
      <c r="P2257" s="1"/>
      <c r="Q2257" s="1"/>
      <c r="R2257" s="135"/>
      <c r="S2257" s="132">
        <f>IF(R2250&lt;=0,W_max,ABS(R$23-R2256))</f>
        <v>0.86852187605046716</v>
      </c>
      <c r="T2257" s="151">
        <f>R2245</f>
        <v>261.59691921081946</v>
      </c>
      <c r="U2257" s="135"/>
      <c r="V2257" s="132">
        <f>IF(U2250&lt;=0,W_max,ABS(U$23-U2256))</f>
        <v>4.9075476242086875</v>
      </c>
      <c r="W2257" s="151">
        <f>U2245</f>
        <v>2237.7659629019336</v>
      </c>
      <c r="X2257" s="135"/>
      <c r="Y2257" s="132">
        <f>IF(X2250&lt;=0,W_max,ABS(X$23-X2256))</f>
        <v>18.163398157723055</v>
      </c>
      <c r="Z2257" s="151">
        <f>X2245</f>
        <v>5534.2615235276771</v>
      </c>
      <c r="AA2257" s="135"/>
      <c r="AB2257" s="132">
        <f>IF(AA2250&lt;=0,W_max,ABS(AA$23-AA2256))</f>
        <v>154.04603770723307</v>
      </c>
      <c r="AC2257" s="151">
        <f>AA2245</f>
        <v>10779.328852961778</v>
      </c>
      <c r="AD2257" s="135"/>
      <c r="AE2257" s="132">
        <f>IF(AD2250&lt;=0,W_max,ABS(AD$23-AD2256))</f>
        <v>7174</v>
      </c>
      <c r="AF2257" s="151">
        <f>AD2245</f>
        <v>17728.027249700852</v>
      </c>
      <c r="AG2257" s="135"/>
      <c r="AH2257" s="132">
        <f>IF(AG2250&lt;=0,W_max,ABS(AG$23-AG2256))</f>
        <v>7174</v>
      </c>
      <c r="AI2257" s="151">
        <f>AG2245</f>
        <v>24864.923030617483</v>
      </c>
      <c r="AJ2257" s="135"/>
      <c r="AK2257" s="132">
        <f>IF(AJ2250&lt;=0,W_max,ABS(AJ$23-AJ2256))</f>
        <v>7174</v>
      </c>
      <c r="AL2257" s="151">
        <f>AJ2245</f>
        <v>31571.854305054192</v>
      </c>
      <c r="AM2257" s="135"/>
      <c r="AN2257" s="132">
        <f>IF(AM2250&lt;=0,W_max,ABS(AM$23-AM2256))</f>
        <v>7174</v>
      </c>
      <c r="AO2257" s="151">
        <f>AM2245</f>
        <v>37020.482138748885</v>
      </c>
      <c r="AP2257" s="135"/>
      <c r="AQ2257" s="132">
        <f>IF(AP2250&lt;=0,W_max,ABS(AP$23-AP2256))</f>
        <v>7174</v>
      </c>
      <c r="AR2257" s="151">
        <f>AP2245</f>
        <v>41302.580100490864</v>
      </c>
      <c r="AS2257" s="135"/>
      <c r="AT2257" s="132">
        <f>IF(AS2250&lt;=0,W_max,ABS(AS$23-AS2256))</f>
        <v>7174</v>
      </c>
      <c r="AU2257" s="151">
        <f>AS2245</f>
        <v>46079.981253726452</v>
      </c>
    </row>
    <row r="2258" spans="13:47" ht="13" x14ac:dyDescent="0.25">
      <c r="M2258" s="12"/>
      <c r="N2258" s="12"/>
      <c r="O2258" s="2"/>
      <c r="P2258" s="85"/>
      <c r="Q2258" s="2"/>
      <c r="R2258" s="18"/>
      <c r="S2258" s="150"/>
      <c r="T2258" s="148"/>
      <c r="U2258" s="157"/>
      <c r="V2258" s="1"/>
      <c r="W2258" s="147"/>
      <c r="X2258" s="157"/>
      <c r="Y2258" s="1"/>
      <c r="Z2258" s="147"/>
      <c r="AA2258" s="157"/>
      <c r="AB2258" s="1"/>
      <c r="AC2258" s="147"/>
      <c r="AD2258" s="157"/>
      <c r="AE2258" s="1"/>
      <c r="AF2258" s="147"/>
      <c r="AG2258" s="157"/>
      <c r="AH2258" s="1"/>
      <c r="AI2258" s="147"/>
      <c r="AJ2258" s="157"/>
      <c r="AK2258" s="1"/>
      <c r="AL2258" s="147"/>
      <c r="AM2258" s="157"/>
      <c r="AN2258" s="1"/>
      <c r="AO2258" s="147"/>
      <c r="AP2258" s="157"/>
      <c r="AQ2258" s="1"/>
      <c r="AR2258" s="147"/>
      <c r="AS2258" s="157"/>
      <c r="AT2258" s="1"/>
      <c r="AU2258" s="147"/>
    </row>
    <row r="2259" spans="13:47" ht="14" x14ac:dyDescent="0.3">
      <c r="M2259" s="23"/>
      <c r="N2259" s="23"/>
      <c r="O2259" s="23" t="s">
        <v>238</v>
      </c>
      <c r="P2259" s="20"/>
      <c r="Q2259" s="20"/>
      <c r="R2259" s="181">
        <f>R2245*1.02</f>
        <v>266.82885759503586</v>
      </c>
      <c r="S2259" s="128" t="s">
        <v>185</v>
      </c>
      <c r="T2259" s="149" t="s">
        <v>186</v>
      </c>
      <c r="U2259" s="143">
        <f>U2245*1.01</f>
        <v>2260.1436225309531</v>
      </c>
      <c r="V2259" s="128" t="s">
        <v>185</v>
      </c>
      <c r="W2259" s="153" t="s">
        <v>186</v>
      </c>
      <c r="X2259" s="143">
        <f>X2245*1.01</f>
        <v>5589.6041387629539</v>
      </c>
      <c r="Y2259" s="128" t="s">
        <v>185</v>
      </c>
      <c r="Z2259" s="153" t="s">
        <v>186</v>
      </c>
      <c r="AA2259" s="143">
        <f>AA2245*1.01</f>
        <v>10887.122141491396</v>
      </c>
      <c r="AB2259" s="128" t="s">
        <v>185</v>
      </c>
      <c r="AC2259" s="153" t="s">
        <v>186</v>
      </c>
      <c r="AD2259" s="143">
        <f>AD2245*1.01</f>
        <v>17905.307522197862</v>
      </c>
      <c r="AE2259" s="128" t="s">
        <v>185</v>
      </c>
      <c r="AF2259" s="153" t="s">
        <v>186</v>
      </c>
      <c r="AG2259" s="143">
        <f>AG2245*1.01</f>
        <v>25113.572260923658</v>
      </c>
      <c r="AH2259" s="128" t="s">
        <v>185</v>
      </c>
      <c r="AI2259" s="153" t="s">
        <v>186</v>
      </c>
      <c r="AJ2259" s="143">
        <f>AJ2245*1.01</f>
        <v>31887.572848104734</v>
      </c>
      <c r="AK2259" s="128" t="s">
        <v>185</v>
      </c>
      <c r="AL2259" s="153" t="s">
        <v>186</v>
      </c>
      <c r="AM2259" s="143">
        <f>AM2245*1.01</f>
        <v>37390.686960136372</v>
      </c>
      <c r="AN2259" s="128" t="s">
        <v>185</v>
      </c>
      <c r="AO2259" s="153" t="s">
        <v>186</v>
      </c>
      <c r="AP2259" s="143">
        <f>AP2245*1.01</f>
        <v>41715.605901495772</v>
      </c>
      <c r="AQ2259" s="128" t="s">
        <v>185</v>
      </c>
      <c r="AR2259" s="153" t="s">
        <v>186</v>
      </c>
      <c r="AS2259" s="143">
        <f>AS2245*1.01</f>
        <v>46540.781066263713</v>
      </c>
      <c r="AT2259" s="128" t="s">
        <v>185</v>
      </c>
      <c r="AU2259" s="153" t="s">
        <v>186</v>
      </c>
    </row>
    <row r="2260" spans="13:47" ht="14" x14ac:dyDescent="0.3">
      <c r="M2260" s="12"/>
      <c r="N2260" s="12"/>
      <c r="O2260" s="20"/>
      <c r="P2260" s="20"/>
      <c r="Q2260" s="23"/>
      <c r="R2260" s="139"/>
      <c r="S2260" s="130" t="s">
        <v>228</v>
      </c>
      <c r="T2260" s="131" t="s">
        <v>187</v>
      </c>
      <c r="U2260" s="144"/>
      <c r="V2260" s="130" t="s">
        <v>228</v>
      </c>
      <c r="W2260" s="154" t="s">
        <v>187</v>
      </c>
      <c r="X2260" s="144"/>
      <c r="Y2260" s="130" t="s">
        <v>228</v>
      </c>
      <c r="Z2260" s="154" t="s">
        <v>187</v>
      </c>
      <c r="AA2260" s="144"/>
      <c r="AB2260" s="130" t="s">
        <v>228</v>
      </c>
      <c r="AC2260" s="154" t="s">
        <v>187</v>
      </c>
      <c r="AD2260" s="144"/>
      <c r="AE2260" s="130" t="s">
        <v>228</v>
      </c>
      <c r="AF2260" s="154" t="s">
        <v>187</v>
      </c>
      <c r="AG2260" s="144"/>
      <c r="AH2260" s="130" t="s">
        <v>228</v>
      </c>
      <c r="AI2260" s="154" t="s">
        <v>187</v>
      </c>
      <c r="AJ2260" s="144"/>
      <c r="AK2260" s="130" t="s">
        <v>228</v>
      </c>
      <c r="AL2260" s="154" t="s">
        <v>187</v>
      </c>
      <c r="AM2260" s="144"/>
      <c r="AN2260" s="130" t="s">
        <v>228</v>
      </c>
      <c r="AO2260" s="154" t="s">
        <v>187</v>
      </c>
      <c r="AP2260" s="144"/>
      <c r="AQ2260" s="130" t="s">
        <v>228</v>
      </c>
      <c r="AR2260" s="154" t="s">
        <v>187</v>
      </c>
      <c r="AS2260" s="144"/>
      <c r="AT2260" s="130" t="s">
        <v>228</v>
      </c>
      <c r="AU2260" s="154" t="s">
        <v>187</v>
      </c>
    </row>
    <row r="2261" spans="13:47" x14ac:dyDescent="0.25">
      <c r="M2261" s="20"/>
      <c r="N2261" s="20"/>
      <c r="O2261" s="7" t="s">
        <v>188</v>
      </c>
      <c r="P2261" s="7"/>
      <c r="Q2261" s="7"/>
      <c r="R2261" s="181">
        <f>P_1_minW-(R2259^2*R_up)+dpup_minQ</f>
        <v>100.49439583534514</v>
      </c>
      <c r="S2261" s="132"/>
      <c r="T2261" s="145"/>
      <c r="U2261" s="138">
        <f>P_1_minW-(U2259^2*R_up)+dpup_minQ</f>
        <v>98.485811906527061</v>
      </c>
      <c r="V2261" s="132"/>
      <c r="W2261" s="145"/>
      <c r="X2261" s="138">
        <f>P_1_minW-(X2259^2*R_up)+dpup_minQ</f>
        <v>88.064001742080436</v>
      </c>
      <c r="Y2261" s="132"/>
      <c r="Z2261" s="145"/>
      <c r="AA2261" s="138">
        <f>P_1_minW-(AA2259^2*R_up)+dpup_minQ</f>
        <v>53.257774136649338</v>
      </c>
      <c r="AB2261" s="132"/>
      <c r="AC2261" s="145"/>
      <c r="AD2261" s="138">
        <f>P_1_minW-(AD2259^2*R_up)+dpup_minQ</f>
        <v>-27.320272991745313</v>
      </c>
      <c r="AE2261" s="132"/>
      <c r="AF2261" s="145"/>
      <c r="AG2261" s="138">
        <f>P_1_minW-(AG2259^2*R_up)+dpup_minQ</f>
        <v>-150.97291874967758</v>
      </c>
      <c r="AH2261" s="132"/>
      <c r="AI2261" s="145"/>
      <c r="AJ2261" s="138">
        <f>P_1_minW-(AJ2259^2*R_up)+dpup_minQ</f>
        <v>-304.94514807360298</v>
      </c>
      <c r="AK2261" s="132"/>
      <c r="AL2261" s="145"/>
      <c r="AM2261" s="138">
        <f>P_1_minW-(AM2259^2*R_up)+dpup_minQ</f>
        <v>-456.97157067399064</v>
      </c>
      <c r="AN2261" s="132"/>
      <c r="AO2261" s="145"/>
      <c r="AP2261" s="138">
        <f>P_1_minW-(AP2259^2*R_up)+dpup_minQ</f>
        <v>-593.39928165404206</v>
      </c>
      <c r="AQ2261" s="132"/>
      <c r="AR2261" s="145"/>
      <c r="AS2261" s="138">
        <f>P_1_minW-(AS2259^2*R_up)+dpup_minQ</f>
        <v>-763.21301722042654</v>
      </c>
      <c r="AT2261" s="132"/>
      <c r="AU2261" s="145"/>
    </row>
    <row r="2262" spans="13:47" x14ac:dyDescent="0.25">
      <c r="M2262" s="20"/>
      <c r="N2262" s="20"/>
      <c r="O2262" s="7" t="s">
        <v>189</v>
      </c>
      <c r="P2262" s="1"/>
      <c r="Q2262" s="7"/>
      <c r="R2262" s="181">
        <f>P_2_minW+(R2259^2*R_dn)-dpdn_minQ</f>
        <v>50</v>
      </c>
      <c r="S2262" s="132"/>
      <c r="T2262" s="146"/>
      <c r="U2262" s="138">
        <f>P_2_minW+(U2259^2*R_dn)-dpdn_minQ</f>
        <v>50</v>
      </c>
      <c r="V2262" s="132"/>
      <c r="W2262" s="146"/>
      <c r="X2262" s="138">
        <f>P_2_minW+(X2259^2*R_dn)-dpdn_minQ</f>
        <v>50</v>
      </c>
      <c r="Y2262" s="132"/>
      <c r="Z2262" s="146"/>
      <c r="AA2262" s="138">
        <f>P_2_minW+(AA2259^2*R_dn)-dpdn_minQ</f>
        <v>50</v>
      </c>
      <c r="AB2262" s="132"/>
      <c r="AC2262" s="146"/>
      <c r="AD2262" s="138">
        <f>P_2_minW+(AD2259^2*R_dn)-dpdn_minQ</f>
        <v>50</v>
      </c>
      <c r="AE2262" s="132"/>
      <c r="AF2262" s="146"/>
      <c r="AG2262" s="138">
        <f>P_2_minW+(AG2259^2*R_dn)-dpdn_minQ</f>
        <v>50</v>
      </c>
      <c r="AH2262" s="132"/>
      <c r="AI2262" s="146"/>
      <c r="AJ2262" s="138">
        <f>P_2_minW+(AJ2259^2*R_dn)-dpdn_minQ</f>
        <v>50</v>
      </c>
      <c r="AK2262" s="132"/>
      <c r="AL2262" s="146"/>
      <c r="AM2262" s="138">
        <f>P_2_minW+(AM2259^2*R_dn)-dpdn_minQ</f>
        <v>50</v>
      </c>
      <c r="AN2262" s="132"/>
      <c r="AO2262" s="146"/>
      <c r="AP2262" s="138">
        <f>P_2_minW+(AP2259^2*R_dn)-dpdn_minQ</f>
        <v>50</v>
      </c>
      <c r="AQ2262" s="132"/>
      <c r="AR2262" s="146"/>
      <c r="AS2262" s="138">
        <f>P_2_minW+(AS2259^2*R_dn)-dpdn_minQ</f>
        <v>50</v>
      </c>
      <c r="AT2262" s="132"/>
      <c r="AU2262" s="146"/>
    </row>
    <row r="2263" spans="13:47" x14ac:dyDescent="0.25">
      <c r="M2263" s="20"/>
      <c r="N2263" s="20"/>
      <c r="O2263" s="7" t="s">
        <v>234</v>
      </c>
      <c r="P2263" s="1"/>
      <c r="Q2263" s="7"/>
      <c r="R2263" s="179">
        <f>'Valve Sizing'!G$8*R2261/P_1_maxW</f>
        <v>0.48476707358531473</v>
      </c>
      <c r="S2263" s="132"/>
      <c r="T2263" s="146"/>
      <c r="U2263" s="143">
        <f>'Valve Sizing'!$G$8*U2261/P_1_maxW</f>
        <v>0.4750780223190233</v>
      </c>
      <c r="V2263" s="132"/>
      <c r="W2263" s="146"/>
      <c r="X2263" s="143">
        <f>'Valve Sizing'!$G$8*X2261/P_1_maxW</f>
        <v>0.42480506557466746</v>
      </c>
      <c r="Y2263" s="132"/>
      <c r="Z2263" s="146"/>
      <c r="AA2263" s="143">
        <f>'Valve Sizing'!$G$8*AA2261/P_1_maxW</f>
        <v>0.25690602047294242</v>
      </c>
      <c r="AB2263" s="132"/>
      <c r="AC2263" s="146"/>
      <c r="AD2263" s="143">
        <f>'Valve Sizing'!$G$8*AD2261/P_1_maxW</f>
        <v>-0.13178813283737573</v>
      </c>
      <c r="AE2263" s="132"/>
      <c r="AF2263" s="146"/>
      <c r="AG2263" s="143">
        <f>'Valve Sizing'!$G$8*AG2261/P_1_maxW</f>
        <v>-0.7282664809769821</v>
      </c>
      <c r="AH2263" s="132"/>
      <c r="AI2263" s="146"/>
      <c r="AJ2263" s="143">
        <f>'Valve Sizing'!$G$8*AJ2261/P_1_maxW</f>
        <v>-1.4710011021698013</v>
      </c>
      <c r="AK2263" s="132"/>
      <c r="AL2263" s="146"/>
      <c r="AM2263" s="143">
        <f>'Valve Sizing'!$G$8*AM2261/P_1_maxW</f>
        <v>-2.2043494981578089</v>
      </c>
      <c r="AN2263" s="132"/>
      <c r="AO2263" s="146"/>
      <c r="AP2263" s="143">
        <f>'Valve Sizing'!$G$8*AP2261/P_1_maxW</f>
        <v>-2.8624524864687437</v>
      </c>
      <c r="AQ2263" s="132"/>
      <c r="AR2263" s="146"/>
      <c r="AS2263" s="143">
        <f>'Valve Sizing'!$G$8*AS2261/P_1_maxW</f>
        <v>-3.6816037133688377</v>
      </c>
      <c r="AT2263" s="132"/>
      <c r="AU2263" s="146"/>
    </row>
    <row r="2264" spans="13:47" x14ac:dyDescent="0.25">
      <c r="M2264" s="20"/>
      <c r="N2264" s="20"/>
      <c r="O2264" s="7" t="s">
        <v>190</v>
      </c>
      <c r="P2264" s="1"/>
      <c r="Q2264" s="7"/>
      <c r="R2264" s="181">
        <f>R2261-R2262</f>
        <v>50.494395835345145</v>
      </c>
      <c r="S2264" s="132"/>
      <c r="T2264" s="146"/>
      <c r="U2264" s="138">
        <f>U2261-U2262</f>
        <v>48.485811906527061</v>
      </c>
      <c r="V2264" s="132"/>
      <c r="W2264" s="146"/>
      <c r="X2264" s="138">
        <f>X2261-X2262</f>
        <v>38.064001742080436</v>
      </c>
      <c r="Y2264" s="132"/>
      <c r="Z2264" s="146"/>
      <c r="AA2264" s="138">
        <f>AA2261-AA2262</f>
        <v>3.2577741366493385</v>
      </c>
      <c r="AB2264" s="132"/>
      <c r="AC2264" s="146"/>
      <c r="AD2264" s="138">
        <f>AD2261-AD2262</f>
        <v>-77.320272991745313</v>
      </c>
      <c r="AE2264" s="132"/>
      <c r="AF2264" s="146"/>
      <c r="AG2264" s="138">
        <f>AG2261-AG2262</f>
        <v>-200.97291874967758</v>
      </c>
      <c r="AH2264" s="132"/>
      <c r="AI2264" s="146"/>
      <c r="AJ2264" s="138">
        <f>AJ2261-AJ2262</f>
        <v>-354.94514807360298</v>
      </c>
      <c r="AK2264" s="132"/>
      <c r="AL2264" s="146"/>
      <c r="AM2264" s="138">
        <f>AM2261-AM2262</f>
        <v>-506.97157067399064</v>
      </c>
      <c r="AN2264" s="132"/>
      <c r="AO2264" s="146"/>
      <c r="AP2264" s="138">
        <f>AP2261-AP2262</f>
        <v>-643.39928165404206</v>
      </c>
      <c r="AQ2264" s="132"/>
      <c r="AR2264" s="146"/>
      <c r="AS2264" s="138">
        <f>AS2261-AS2262</f>
        <v>-813.21301722042654</v>
      </c>
      <c r="AT2264" s="132"/>
      <c r="AU2264" s="146"/>
    </row>
    <row r="2265" spans="13:47" ht="14.5" x14ac:dyDescent="0.35">
      <c r="M2265" s="27"/>
      <c r="N2265" s="27"/>
      <c r="O2265" s="2" t="s">
        <v>191</v>
      </c>
      <c r="P2265" s="10"/>
      <c r="Q2265" s="2"/>
      <c r="R2265" s="181">
        <f>R2264/R2261</f>
        <v>0.50245981793927685</v>
      </c>
      <c r="S2265" s="132"/>
      <c r="T2265" s="146"/>
      <c r="U2265" s="138">
        <f>U2264/U2261</f>
        <v>0.49231265872636532</v>
      </c>
      <c r="V2265" s="132"/>
      <c r="W2265" s="146"/>
      <c r="X2265" s="138">
        <f>X2264/X2261</f>
        <v>0.43223111588275648</v>
      </c>
      <c r="Y2265" s="132"/>
      <c r="Z2265" s="146"/>
      <c r="AA2265" s="138">
        <f>AA2264/AA2261</f>
        <v>6.1169926634382213E-2</v>
      </c>
      <c r="AB2265" s="132"/>
      <c r="AC2265" s="146"/>
      <c r="AD2265" s="138">
        <f>AD2264/AD2261</f>
        <v>2.8301427666958987</v>
      </c>
      <c r="AE2265" s="132"/>
      <c r="AF2265" s="146"/>
      <c r="AG2265" s="138">
        <f>AG2264/AG2261</f>
        <v>1.3311852245693354</v>
      </c>
      <c r="AH2265" s="132"/>
      <c r="AI2265" s="146"/>
      <c r="AJ2265" s="138">
        <f>AJ2264/AJ2261</f>
        <v>1.1639639138902835</v>
      </c>
      <c r="AK2265" s="132"/>
      <c r="AL2265" s="146"/>
      <c r="AM2265" s="138">
        <f>AM2264/AM2261</f>
        <v>1.1094159969869781</v>
      </c>
      <c r="AN2265" s="132"/>
      <c r="AO2265" s="146"/>
      <c r="AP2265" s="138">
        <f>AP2264/AP2261</f>
        <v>1.08426029748575</v>
      </c>
      <c r="AQ2265" s="132"/>
      <c r="AR2265" s="146"/>
      <c r="AS2265" s="138">
        <f>AS2264/AS2261</f>
        <v>1.065512509446048</v>
      </c>
      <c r="AT2265" s="132"/>
      <c r="AU2265" s="146"/>
    </row>
    <row r="2266" spans="13:47" x14ac:dyDescent="0.25">
      <c r="M2266" s="27"/>
      <c r="N2266" s="27"/>
      <c r="O2266" s="2" t="s">
        <v>26</v>
      </c>
      <c r="P2266" s="7">
        <v>12</v>
      </c>
      <c r="Q2266" s="2"/>
      <c r="R2266" s="181">
        <f>1-R2265/(3*F_GAMMA*R$29)</f>
        <v>0.7383131690655248</v>
      </c>
      <c r="S2266" s="133"/>
      <c r="T2266" s="146"/>
      <c r="U2266" s="138">
        <f>1-U2265/(3*F_GAMMA*U$29)</f>
        <v>0.74365437921297983</v>
      </c>
      <c r="V2266" s="133"/>
      <c r="W2266" s="146"/>
      <c r="X2266" s="138">
        <f>1-X2265/(3*F_GAMMA*X$29)</f>
        <v>0.77156236717544169</v>
      </c>
      <c r="Y2266" s="133"/>
      <c r="Z2266" s="146"/>
      <c r="AA2266" s="138">
        <f>1-AA2265/(3*F_GAMMA*AA$29)</f>
        <v>0.96722792729988827</v>
      </c>
      <c r="AB2266" s="133"/>
      <c r="AC2266" s="146"/>
      <c r="AD2266" s="138">
        <f>1-AD2265/(3*F_GAMMA*AD$29)</f>
        <v>-0.55783483448350424</v>
      </c>
      <c r="AE2266" s="133"/>
      <c r="AF2266" s="146"/>
      <c r="AG2266" s="138">
        <f>1-AG2265/(3*F_GAMMA*AG$29)</f>
        <v>0.22546040161014647</v>
      </c>
      <c r="AH2266" s="133"/>
      <c r="AI2266" s="146"/>
      <c r="AJ2266" s="138">
        <f>1-AJ2265/(3*F_GAMMA*AJ$29)</f>
        <v>0.27601783720345818</v>
      </c>
      <c r="AK2266" s="133"/>
      <c r="AL2266" s="146"/>
      <c r="AM2266" s="138">
        <f>1-AM2265/(3*F_GAMMA*AM$29)</f>
        <v>0.24604636148504133</v>
      </c>
      <c r="AN2266" s="133"/>
      <c r="AO2266" s="146"/>
      <c r="AP2266" s="138">
        <f>1-AP2265/(3*F_GAMMA*AP$29)</f>
        <v>0.39106662352570087</v>
      </c>
      <c r="AQ2266" s="133"/>
      <c r="AR2266" s="146"/>
      <c r="AS2266" s="138">
        <f>1-AS2265/(3*F_GAMMA*AS$29)</f>
        <v>9.157012714836299E-2</v>
      </c>
      <c r="AT2266" s="133"/>
      <c r="AU2266" s="146"/>
    </row>
    <row r="2267" spans="13:47" x14ac:dyDescent="0.25">
      <c r="M2267" s="27"/>
      <c r="N2267" s="27"/>
      <c r="O2267" s="2" t="s">
        <v>71</v>
      </c>
      <c r="P2267" s="85">
        <v>5</v>
      </c>
      <c r="Q2267" s="2"/>
      <c r="R2267" s="179">
        <f>R2259/((N_6*R$27*R2266)*SQRT(R2265*R2261*R2263))</f>
        <v>1.1541221721826374</v>
      </c>
      <c r="S2267" s="133"/>
      <c r="T2267" s="146"/>
      <c r="U2267" s="143">
        <f>U2259/((N_6*U$27*U2266)*SQRT(U2265*U2261*U2263))</f>
        <v>10.011353682944224</v>
      </c>
      <c r="V2267" s="133"/>
      <c r="W2267" s="146"/>
      <c r="X2267" s="143">
        <f>X2259/((N_6*X$27*X2266)*SQRT(X2265*X2261*X2263))</f>
        <v>28.545462607489988</v>
      </c>
      <c r="Y2267" s="133"/>
      <c r="Z2267" s="146"/>
      <c r="AA2267" s="143">
        <f>AA2259/((N_6*AA$27*AA2266)*SQRT(AA2265*AA2261*AA2263))</f>
        <v>196.06783776753451</v>
      </c>
      <c r="AB2267" s="133"/>
      <c r="AC2267" s="146"/>
      <c r="AD2267" s="143">
        <f>AD2259/((N_6*AD$27*AD2266)*SQRT(AD2265*AD2261*AD2263))</f>
        <v>-162.14580247579582</v>
      </c>
      <c r="AE2267" s="133"/>
      <c r="AF2267" s="146"/>
      <c r="AG2267" s="143">
        <f>AG2259/((N_6*AG$27*AG2266)*SQRT(AG2265*AG2261*AG2263))</f>
        <v>151.67339446822893</v>
      </c>
      <c r="AH2267" s="133"/>
      <c r="AI2267" s="146"/>
      <c r="AJ2267" s="143">
        <f>AJ2259/((N_6*AJ$27*AJ2266)*SQRT(AJ2265*AJ2261*AJ2263))</f>
        <v>86.147343628711681</v>
      </c>
      <c r="AK2267" s="133"/>
      <c r="AL2267" s="146"/>
      <c r="AM2267" s="143">
        <f>AM2259/((N_6*AM$27*AM2266)*SQRT(AM2265*AM2261*AM2263))</f>
        <v>82.213551174966653</v>
      </c>
      <c r="AN2267" s="133"/>
      <c r="AO2267" s="146"/>
      <c r="AP2267" s="143">
        <f>AP2259/((N_6*AP$27*AP2266)*SQRT(AP2265*AP2261*AP2263))</f>
        <v>51.064776790977795</v>
      </c>
      <c r="AQ2267" s="133"/>
      <c r="AR2267" s="146"/>
      <c r="AS2267" s="143">
        <f>AS2259/((N_6*AS$27*AS2266)*SQRT(AS2265*AS2261*AS2263))</f>
        <v>250.74348122347467</v>
      </c>
      <c r="AT2267" s="133"/>
      <c r="AU2267" s="146"/>
    </row>
    <row r="2268" spans="13:47" x14ac:dyDescent="0.25">
      <c r="M2268" s="27"/>
      <c r="N2268" s="27"/>
      <c r="O2268" s="2" t="s">
        <v>73</v>
      </c>
      <c r="P2268" s="85">
        <v>5</v>
      </c>
      <c r="Q2268" s="2"/>
      <c r="R2268" s="179">
        <f>R2259/((N_6*R$27*0.667)*SQRT(R2269*R2261*R2263))</f>
        <v>1.1319262373317907</v>
      </c>
      <c r="S2268" s="133"/>
      <c r="T2268" s="147"/>
      <c r="U2268" s="143">
        <f>U2259/((N_6*U$27*0.667)*SQRT(U2269*U2261*U2263))</f>
        <v>9.7883995640258661</v>
      </c>
      <c r="V2268" s="133"/>
      <c r="W2268" s="155"/>
      <c r="X2268" s="143">
        <f>X2259/((N_6*X$27*0.667)*SQRT(X2269*X2261*X2263))</f>
        <v>27.335482335897375</v>
      </c>
      <c r="Y2268" s="133"/>
      <c r="Z2268" s="155"/>
      <c r="AA2268" s="143">
        <f>AA2259/((N_6*AA$27*0.667)*SQRT(AA2269*AA2261*AA2263))</f>
        <v>89.150120674150472</v>
      </c>
      <c r="AB2268" s="133"/>
      <c r="AC2268" s="155"/>
      <c r="AD2268" s="143">
        <f>AD2259/((N_6*AD$27*0.667)*SQRT(AD2269*AD2261*AD2263))</f>
        <v>293.1614357296009</v>
      </c>
      <c r="AE2268" s="133"/>
      <c r="AF2268" s="155"/>
      <c r="AG2268" s="143">
        <f>AG2259/((N_6*AG$27*0.667)*SQRT(AG2269*AG2261*AG2263))</f>
        <v>78.151314846764052</v>
      </c>
      <c r="AH2268" s="133"/>
      <c r="AI2268" s="155"/>
      <c r="AJ2268" s="143">
        <f>AJ2259/((N_6*AJ$27*0.667)*SQRT(AJ2269*AJ2261*AJ2263))</f>
        <v>52.538511647945938</v>
      </c>
      <c r="AK2268" s="133"/>
      <c r="AL2268" s="155"/>
      <c r="AM2268" s="143">
        <f>AM2259/((N_6*AM$27*0.667)*SQRT(AM2269*AM2261*AM2263))</f>
        <v>45.610776821870189</v>
      </c>
      <c r="AN2268" s="133"/>
      <c r="AO2268" s="155"/>
      <c r="AP2268" s="143">
        <f>AP2259/((N_6*AP$27*0.667)*SQRT(AP2269*AP2261*AP2263))</f>
        <v>40.466148647193187</v>
      </c>
      <c r="AQ2268" s="133"/>
      <c r="AR2268" s="155"/>
      <c r="AS2268" s="143">
        <f>AS2259/((N_6*AS$27*0.667)*SQRT(AS2269*AS2261*AS2263))</f>
        <v>56.828208523510938</v>
      </c>
      <c r="AT2268" s="133"/>
      <c r="AU2268" s="155"/>
    </row>
    <row r="2269" spans="13:47" ht="15.5" x14ac:dyDescent="0.4">
      <c r="M2269" s="27"/>
      <c r="N2269" s="27"/>
      <c r="O2269" s="2" t="s">
        <v>192</v>
      </c>
      <c r="P2269" s="85">
        <v>10</v>
      </c>
      <c r="Q2269" s="2"/>
      <c r="R2269" s="181">
        <f>F_GAMMA*R$29</f>
        <v>0.64002688015162901</v>
      </c>
      <c r="S2269" s="133"/>
      <c r="T2269" s="147"/>
      <c r="U2269" s="138">
        <f>F_GAMMA*U$29</f>
        <v>0.64016782916606918</v>
      </c>
      <c r="V2269" s="133"/>
      <c r="W2269" s="155"/>
      <c r="X2269" s="138">
        <f>F_GAMMA*X$29</f>
        <v>0.6307062319203669</v>
      </c>
      <c r="Y2269" s="133"/>
      <c r="Z2269" s="155"/>
      <c r="AA2269" s="138">
        <f>F_GAMMA*AA$29</f>
        <v>0.62217534213893466</v>
      </c>
      <c r="AB2269" s="133"/>
      <c r="AC2269" s="155"/>
      <c r="AD2269" s="138">
        <f>F_GAMMA*AD$29</f>
        <v>0.60557184969146072</v>
      </c>
      <c r="AE2269" s="133"/>
      <c r="AF2269" s="155"/>
      <c r="AG2269" s="138">
        <f>F_GAMMA*AG$29</f>
        <v>0.57289312142622573</v>
      </c>
      <c r="AH2269" s="133"/>
      <c r="AI2269" s="155"/>
      <c r="AJ2269" s="138">
        <f>F_GAMMA*AJ$29</f>
        <v>0.53590819116049981</v>
      </c>
      <c r="AK2269" s="133"/>
      <c r="AL2269" s="155"/>
      <c r="AM2269" s="138">
        <f>F_GAMMA*AM$29</f>
        <v>0.49048815926850342</v>
      </c>
      <c r="AN2269" s="133"/>
      <c r="AO2269" s="155"/>
      <c r="AP2269" s="138">
        <f>F_GAMMA*AP$29</f>
        <v>0.59352979016280105</v>
      </c>
      <c r="AQ2269" s="133"/>
      <c r="AR2269" s="155"/>
      <c r="AS2269" s="138">
        <f>F_GAMMA*AS$29</f>
        <v>0.39097221161068291</v>
      </c>
      <c r="AT2269" s="133"/>
      <c r="AU2269" s="155"/>
    </row>
    <row r="2270" spans="13:47" x14ac:dyDescent="0.25">
      <c r="M2270" s="27"/>
      <c r="N2270" s="27"/>
      <c r="O2270" s="2" t="s">
        <v>193</v>
      </c>
      <c r="P2270" s="134"/>
      <c r="Q2270" s="2"/>
      <c r="R2270" s="181">
        <f>IF(R2265&lt;R2269,R2267,R2268)</f>
        <v>1.1541221721826374</v>
      </c>
      <c r="S2270" s="133"/>
      <c r="T2270" s="147"/>
      <c r="U2270" s="138">
        <f>IF(U2265&lt;U2269,U2267,U2268)</f>
        <v>10.011353682944224</v>
      </c>
      <c r="V2270" s="133"/>
      <c r="W2270" s="155"/>
      <c r="X2270" s="138">
        <f>IF(X2265&lt;X2269,X2267,X2268)</f>
        <v>28.545462607489988</v>
      </c>
      <c r="Y2270" s="133"/>
      <c r="Z2270" s="155"/>
      <c r="AA2270" s="138">
        <f>IF(AA2265&lt;AA2269,AA2267,AA2268)</f>
        <v>196.06783776753451</v>
      </c>
      <c r="AB2270" s="133"/>
      <c r="AC2270" s="155"/>
      <c r="AD2270" s="138">
        <f>IF(AD2265&lt;AD2269,AD2267,AD2268)</f>
        <v>293.1614357296009</v>
      </c>
      <c r="AE2270" s="133"/>
      <c r="AF2270" s="155"/>
      <c r="AG2270" s="138">
        <f>IF(AG2265&lt;AG2269,AG2267,AG2268)</f>
        <v>78.151314846764052</v>
      </c>
      <c r="AH2270" s="133"/>
      <c r="AI2270" s="155"/>
      <c r="AJ2270" s="138">
        <f>IF(AJ2265&lt;AJ2269,AJ2267,AJ2268)</f>
        <v>52.538511647945938</v>
      </c>
      <c r="AK2270" s="133"/>
      <c r="AL2270" s="155"/>
      <c r="AM2270" s="138">
        <f>IF(AM2265&lt;AM2269,AM2267,AM2268)</f>
        <v>45.610776821870189</v>
      </c>
      <c r="AN2270" s="133"/>
      <c r="AO2270" s="155"/>
      <c r="AP2270" s="138">
        <f>IF(AP2265&lt;AP2269,AP2267,AP2268)</f>
        <v>40.466148647193187</v>
      </c>
      <c r="AQ2270" s="133"/>
      <c r="AR2270" s="155"/>
      <c r="AS2270" s="138">
        <f>IF(AS2265&lt;AS2269,AS2267,AS2268)</f>
        <v>56.828208523510938</v>
      </c>
      <c r="AT2270" s="133"/>
      <c r="AU2270" s="155"/>
    </row>
    <row r="2271" spans="13:47" ht="13" x14ac:dyDescent="0.3">
      <c r="M2271" s="28"/>
      <c r="N2271" s="28"/>
      <c r="O2271" s="9" t="s">
        <v>194</v>
      </c>
      <c r="P2271" s="1"/>
      <c r="Q2271" s="1"/>
      <c r="R2271" s="135"/>
      <c r="S2271" s="132">
        <f>IF(R2264&lt;=0,W_max,ABS(R$23-R2270))</f>
        <v>0.84587782781736265</v>
      </c>
      <c r="T2271" s="151">
        <f>R2259</f>
        <v>266.82885759503586</v>
      </c>
      <c r="U2271" s="135"/>
      <c r="V2271" s="132">
        <f>IF(U2264&lt;=0,W_max,ABS(U$23-U2270))</f>
        <v>5.0113536829442236</v>
      </c>
      <c r="W2271" s="151">
        <f>U2259</f>
        <v>2260.1436225309531</v>
      </c>
      <c r="X2271" s="135"/>
      <c r="Y2271" s="132">
        <f>IF(X2264&lt;=0,W_max,ABS(X$23-X2270))</f>
        <v>18.545462607489988</v>
      </c>
      <c r="Z2271" s="151">
        <f>X2259</f>
        <v>5589.6041387629539</v>
      </c>
      <c r="AA2271" s="135"/>
      <c r="AB2271" s="132">
        <f>IF(AA2264&lt;=0,W_max,ABS(AA$23-AA2270))</f>
        <v>178.86783776753452</v>
      </c>
      <c r="AC2271" s="151">
        <f>AA2259</f>
        <v>10887.122141491396</v>
      </c>
      <c r="AD2271" s="135"/>
      <c r="AE2271" s="132">
        <f>IF(AD2264&lt;=0,W_max,ABS(AD$23-AD2270))</f>
        <v>7174</v>
      </c>
      <c r="AF2271" s="151">
        <f>AD2259</f>
        <v>17905.307522197862</v>
      </c>
      <c r="AG2271" s="135"/>
      <c r="AH2271" s="132">
        <f>IF(AG2264&lt;=0,W_max,ABS(AG$23-AG2270))</f>
        <v>7174</v>
      </c>
      <c r="AI2271" s="151">
        <f>AG2259</f>
        <v>25113.572260923658</v>
      </c>
      <c r="AJ2271" s="135"/>
      <c r="AK2271" s="132">
        <f>IF(AJ2264&lt;=0,W_max,ABS(AJ$23-AJ2270))</f>
        <v>7174</v>
      </c>
      <c r="AL2271" s="151">
        <f>AJ2259</f>
        <v>31887.572848104734</v>
      </c>
      <c r="AM2271" s="135"/>
      <c r="AN2271" s="132">
        <f>IF(AM2264&lt;=0,W_max,ABS(AM$23-AM2270))</f>
        <v>7174</v>
      </c>
      <c r="AO2271" s="151">
        <f>AM2259</f>
        <v>37390.686960136372</v>
      </c>
      <c r="AP2271" s="135"/>
      <c r="AQ2271" s="132">
        <f>IF(AP2264&lt;=0,W_max,ABS(AP$23-AP2270))</f>
        <v>7174</v>
      </c>
      <c r="AR2271" s="151">
        <f>AP2259</f>
        <v>41715.605901495772</v>
      </c>
      <c r="AS2271" s="135"/>
      <c r="AT2271" s="132">
        <f>IF(AS2264&lt;=0,W_max,ABS(AS$23-AS2270))</f>
        <v>7174</v>
      </c>
      <c r="AU2271" s="151">
        <f>AS2259</f>
        <v>46540.781066263713</v>
      </c>
    </row>
    <row r="2272" spans="13:47" ht="13" x14ac:dyDescent="0.25">
      <c r="M2272" s="12"/>
      <c r="N2272" s="12"/>
      <c r="O2272" s="12"/>
      <c r="P2272" s="12"/>
      <c r="Q2272" s="12"/>
      <c r="R2272" s="182"/>
      <c r="S2272" s="22"/>
      <c r="T2272" s="152"/>
      <c r="U2272" s="157"/>
      <c r="V2272" s="1"/>
      <c r="W2272" s="147"/>
      <c r="X2272" s="157"/>
      <c r="Y2272" s="1"/>
      <c r="Z2272" s="147"/>
      <c r="AA2272" s="157"/>
      <c r="AB2272" s="1"/>
      <c r="AC2272" s="147"/>
      <c r="AD2272" s="157"/>
      <c r="AE2272" s="1"/>
      <c r="AF2272" s="147"/>
      <c r="AG2272" s="157"/>
      <c r="AH2272" s="1"/>
      <c r="AI2272" s="147"/>
      <c r="AJ2272" s="157"/>
      <c r="AK2272" s="1"/>
      <c r="AL2272" s="147"/>
      <c r="AM2272" s="157"/>
      <c r="AN2272" s="1"/>
      <c r="AO2272" s="147"/>
      <c r="AP2272" s="157"/>
      <c r="AQ2272" s="1"/>
      <c r="AR2272" s="147"/>
      <c r="AS2272" s="157"/>
      <c r="AT2272" s="1"/>
      <c r="AU2272" s="147"/>
    </row>
    <row r="2273" spans="13:47" ht="14" x14ac:dyDescent="0.3">
      <c r="M2273" s="23"/>
      <c r="N2273" s="23"/>
      <c r="O2273" s="23" t="s">
        <v>238</v>
      </c>
      <c r="P2273" s="20"/>
      <c r="Q2273" s="20"/>
      <c r="R2273" s="18">
        <f>R2259*1.02</f>
        <v>272.16543474693657</v>
      </c>
      <c r="S2273" s="128" t="s">
        <v>185</v>
      </c>
      <c r="T2273" s="153" t="s">
        <v>186</v>
      </c>
      <c r="U2273" s="143">
        <f>U2259*1.01</f>
        <v>2282.7450587562626</v>
      </c>
      <c r="V2273" s="128" t="s">
        <v>185</v>
      </c>
      <c r="W2273" s="153" t="s">
        <v>186</v>
      </c>
      <c r="X2273" s="143">
        <f>X2259*1.01</f>
        <v>5645.5001801505832</v>
      </c>
      <c r="Y2273" s="128" t="s">
        <v>185</v>
      </c>
      <c r="Z2273" s="153" t="s">
        <v>186</v>
      </c>
      <c r="AA2273" s="143">
        <f>AA2259*1.01</f>
        <v>10995.993362906311</v>
      </c>
      <c r="AB2273" s="128" t="s">
        <v>185</v>
      </c>
      <c r="AC2273" s="153" t="s">
        <v>186</v>
      </c>
      <c r="AD2273" s="143">
        <f>AD2259*1.01</f>
        <v>18084.36059741984</v>
      </c>
      <c r="AE2273" s="128" t="s">
        <v>185</v>
      </c>
      <c r="AF2273" s="153" t="s">
        <v>186</v>
      </c>
      <c r="AG2273" s="143">
        <f>AG2259*1.01</f>
        <v>25364.707983532895</v>
      </c>
      <c r="AH2273" s="128" t="s">
        <v>185</v>
      </c>
      <c r="AI2273" s="153" t="s">
        <v>186</v>
      </c>
      <c r="AJ2273" s="143">
        <f>AJ2259*1.01</f>
        <v>32206.448576585783</v>
      </c>
      <c r="AK2273" s="128" t="s">
        <v>185</v>
      </c>
      <c r="AL2273" s="153" t="s">
        <v>186</v>
      </c>
      <c r="AM2273" s="143">
        <f>AM2259*1.01</f>
        <v>37764.593829737736</v>
      </c>
      <c r="AN2273" s="128" t="s">
        <v>185</v>
      </c>
      <c r="AO2273" s="153" t="s">
        <v>186</v>
      </c>
      <c r="AP2273" s="143">
        <f>AP2259*1.01</f>
        <v>42132.761960510732</v>
      </c>
      <c r="AQ2273" s="128" t="s">
        <v>185</v>
      </c>
      <c r="AR2273" s="153" t="s">
        <v>186</v>
      </c>
      <c r="AS2273" s="143">
        <f>AS2259*1.01</f>
        <v>47006.188876926353</v>
      </c>
      <c r="AT2273" s="128" t="s">
        <v>185</v>
      </c>
      <c r="AU2273" s="153" t="s">
        <v>186</v>
      </c>
    </row>
    <row r="2274" spans="13:47" ht="14" x14ac:dyDescent="0.3">
      <c r="M2274" s="12"/>
      <c r="N2274" s="12"/>
      <c r="O2274" s="20"/>
      <c r="P2274" s="20"/>
      <c r="Q2274" s="23"/>
      <c r="R2274" s="139"/>
      <c r="S2274" s="130" t="s">
        <v>228</v>
      </c>
      <c r="T2274" s="154" t="s">
        <v>187</v>
      </c>
      <c r="U2274" s="144"/>
      <c r="V2274" s="130" t="s">
        <v>228</v>
      </c>
      <c r="W2274" s="154" t="s">
        <v>187</v>
      </c>
      <c r="X2274" s="144"/>
      <c r="Y2274" s="130" t="s">
        <v>228</v>
      </c>
      <c r="Z2274" s="154" t="s">
        <v>187</v>
      </c>
      <c r="AA2274" s="144"/>
      <c r="AB2274" s="130" t="s">
        <v>228</v>
      </c>
      <c r="AC2274" s="154" t="s">
        <v>187</v>
      </c>
      <c r="AD2274" s="144"/>
      <c r="AE2274" s="130" t="s">
        <v>228</v>
      </c>
      <c r="AF2274" s="154" t="s">
        <v>187</v>
      </c>
      <c r="AG2274" s="144"/>
      <c r="AH2274" s="130" t="s">
        <v>228</v>
      </c>
      <c r="AI2274" s="154" t="s">
        <v>187</v>
      </c>
      <c r="AJ2274" s="144"/>
      <c r="AK2274" s="130" t="s">
        <v>228</v>
      </c>
      <c r="AL2274" s="154" t="s">
        <v>187</v>
      </c>
      <c r="AM2274" s="144"/>
      <c r="AN2274" s="130" t="s">
        <v>228</v>
      </c>
      <c r="AO2274" s="154" t="s">
        <v>187</v>
      </c>
      <c r="AP2274" s="144"/>
      <c r="AQ2274" s="130" t="s">
        <v>228</v>
      </c>
      <c r="AR2274" s="154" t="s">
        <v>187</v>
      </c>
      <c r="AS2274" s="144"/>
      <c r="AT2274" s="130" t="s">
        <v>228</v>
      </c>
      <c r="AU2274" s="154" t="s">
        <v>187</v>
      </c>
    </row>
    <row r="2275" spans="13:47" x14ac:dyDescent="0.25">
      <c r="M2275" s="20"/>
      <c r="N2275" s="20"/>
      <c r="O2275" s="7" t="s">
        <v>188</v>
      </c>
      <c r="P2275" s="7"/>
      <c r="Q2275" s="7"/>
      <c r="R2275" s="181">
        <f>P_1_minW-(R2273^2*R_up)+dpup_minQ</f>
        <v>100.49324884292933</v>
      </c>
      <c r="S2275" s="132"/>
      <c r="T2275" s="145"/>
      <c r="U2275" s="138">
        <f>P_1_minW-(U2273^2*R_up)+dpup_minQ</f>
        <v>98.444868712440041</v>
      </c>
      <c r="V2275" s="132"/>
      <c r="W2275" s="145"/>
      <c r="X2275" s="138">
        <f>P_1_minW-(X2273^2*R_up)+dpup_minQ</f>
        <v>87.813580163688044</v>
      </c>
      <c r="Y2275" s="132"/>
      <c r="Z2275" s="145"/>
      <c r="AA2275" s="138">
        <f>P_1_minW-(AA2273^2*R_up)+dpup_minQ</f>
        <v>52.307747383387778</v>
      </c>
      <c r="AB2275" s="132"/>
      <c r="AC2275" s="145"/>
      <c r="AD2275" s="138">
        <f>P_1_minW-(AD2273^2*R_up)+dpup_minQ</f>
        <v>-29.889918492287606</v>
      </c>
      <c r="AE2275" s="132"/>
      <c r="AF2275" s="145"/>
      <c r="AG2275" s="138">
        <f>P_1_minW-(AG2273^2*R_up)+dpup_minQ</f>
        <v>-156.02798242995433</v>
      </c>
      <c r="AH2275" s="132"/>
      <c r="AI2275" s="145"/>
      <c r="AJ2275" s="138">
        <f>P_1_minW-(AJ2273^2*R_up)+dpup_minQ</f>
        <v>-313.09505356329066</v>
      </c>
      <c r="AK2275" s="132"/>
      <c r="AL2275" s="145"/>
      <c r="AM2275" s="138">
        <f>P_1_minW-(AM2273^2*R_up)+dpup_minQ</f>
        <v>-468.17720725794618</v>
      </c>
      <c r="AN2275" s="132"/>
      <c r="AO2275" s="145"/>
      <c r="AP2275" s="138">
        <f>P_1_minW-(AP2273^2*R_up)+dpup_minQ</f>
        <v>-607.34711522869668</v>
      </c>
      <c r="AQ2275" s="132"/>
      <c r="AR2275" s="145"/>
      <c r="AS2275" s="138">
        <f>P_1_minW-(AS2273^2*R_up)+dpup_minQ</f>
        <v>-780.5741068799656</v>
      </c>
      <c r="AT2275" s="132"/>
      <c r="AU2275" s="145"/>
    </row>
    <row r="2276" spans="13:47" x14ac:dyDescent="0.25">
      <c r="M2276" s="20"/>
      <c r="N2276" s="20"/>
      <c r="O2276" s="7" t="s">
        <v>189</v>
      </c>
      <c r="P2276" s="1"/>
      <c r="Q2276" s="7"/>
      <c r="R2276" s="181">
        <f>P_2_minW+(R2273^2*R_dn)-dpdn_minQ</f>
        <v>50</v>
      </c>
      <c r="S2276" s="132"/>
      <c r="T2276" s="146"/>
      <c r="U2276" s="138">
        <f>P_2_minW+(U2273^2*R_dn)-dpdn_minQ</f>
        <v>50</v>
      </c>
      <c r="V2276" s="132"/>
      <c r="W2276" s="146"/>
      <c r="X2276" s="138">
        <f>P_2_minW+(X2273^2*R_dn)-dpdn_minQ</f>
        <v>50</v>
      </c>
      <c r="Y2276" s="132"/>
      <c r="Z2276" s="146"/>
      <c r="AA2276" s="138">
        <f>P_2_minW+(AA2273^2*R_dn)-dpdn_minQ</f>
        <v>50</v>
      </c>
      <c r="AB2276" s="132"/>
      <c r="AC2276" s="146"/>
      <c r="AD2276" s="138">
        <f>P_2_minW+(AD2273^2*R_dn)-dpdn_minQ</f>
        <v>50</v>
      </c>
      <c r="AE2276" s="132"/>
      <c r="AF2276" s="146"/>
      <c r="AG2276" s="138">
        <f>P_2_minW+(AG2273^2*R_dn)-dpdn_minQ</f>
        <v>50</v>
      </c>
      <c r="AH2276" s="132"/>
      <c r="AI2276" s="146"/>
      <c r="AJ2276" s="138">
        <f>P_2_minW+(AJ2273^2*R_dn)-dpdn_minQ</f>
        <v>50</v>
      </c>
      <c r="AK2276" s="132"/>
      <c r="AL2276" s="146"/>
      <c r="AM2276" s="138">
        <f>P_2_minW+(AM2273^2*R_dn)-dpdn_minQ</f>
        <v>50</v>
      </c>
      <c r="AN2276" s="132"/>
      <c r="AO2276" s="146"/>
      <c r="AP2276" s="138">
        <f>P_2_minW+(AP2273^2*R_dn)-dpdn_minQ</f>
        <v>50</v>
      </c>
      <c r="AQ2276" s="132"/>
      <c r="AR2276" s="146"/>
      <c r="AS2276" s="138">
        <f>P_2_minW+(AS2273^2*R_dn)-dpdn_minQ</f>
        <v>50</v>
      </c>
      <c r="AT2276" s="132"/>
      <c r="AU2276" s="146"/>
    </row>
    <row r="2277" spans="13:47" x14ac:dyDescent="0.25">
      <c r="M2277" s="20"/>
      <c r="N2277" s="20"/>
      <c r="O2277" s="7" t="s">
        <v>234</v>
      </c>
      <c r="P2277" s="1"/>
      <c r="Q2277" s="7"/>
      <c r="R2277" s="179">
        <f>'Valve Sizing'!G$8*R2275/P_1_maxW</f>
        <v>0.48476154069811023</v>
      </c>
      <c r="S2277" s="132"/>
      <c r="T2277" s="146"/>
      <c r="U2277" s="143">
        <f>'Valve Sizing'!$G$8*U2275/P_1_maxW</f>
        <v>0.47488051964023398</v>
      </c>
      <c r="V2277" s="132"/>
      <c r="W2277" s="146"/>
      <c r="X2277" s="143">
        <f>'Valve Sizing'!$G$8*X2275/P_1_maxW</f>
        <v>0.42359707646531664</v>
      </c>
      <c r="Y2277" s="132"/>
      <c r="Z2277" s="146"/>
      <c r="AA2277" s="143">
        <f>'Valve Sizing'!$G$8*AA2275/P_1_maxW</f>
        <v>0.25232326055704679</v>
      </c>
      <c r="AB2277" s="132"/>
      <c r="AC2277" s="146"/>
      <c r="AD2277" s="143">
        <f>'Valve Sizing'!$G$8*AD2275/P_1_maxW</f>
        <v>-0.14418364523480873</v>
      </c>
      <c r="AE2277" s="132"/>
      <c r="AF2277" s="146"/>
      <c r="AG2277" s="143">
        <f>'Valve Sizing'!$G$8*AG2275/P_1_maxW</f>
        <v>-0.75265120817202125</v>
      </c>
      <c r="AH2277" s="132"/>
      <c r="AI2277" s="146"/>
      <c r="AJ2277" s="143">
        <f>'Valve Sizing'!$G$8*AJ2275/P_1_maxW</f>
        <v>-1.510314795250816</v>
      </c>
      <c r="AK2277" s="132"/>
      <c r="AL2277" s="146"/>
      <c r="AM2277" s="143">
        <f>'Valve Sizing'!$G$8*AM2275/P_1_maxW</f>
        <v>-2.2584034939981832</v>
      </c>
      <c r="AN2277" s="132"/>
      <c r="AO2277" s="146"/>
      <c r="AP2277" s="143">
        <f>'Valve Sizing'!$G$8*AP2275/P_1_maxW</f>
        <v>-2.9297343523741679</v>
      </c>
      <c r="AQ2277" s="132"/>
      <c r="AR2277" s="146"/>
      <c r="AS2277" s="143">
        <f>'Valve Sizing'!$G$8*AS2275/P_1_maxW</f>
        <v>-3.7653505189349543</v>
      </c>
      <c r="AT2277" s="132"/>
      <c r="AU2277" s="146"/>
    </row>
    <row r="2278" spans="13:47" x14ac:dyDescent="0.25">
      <c r="M2278" s="20"/>
      <c r="N2278" s="20"/>
      <c r="O2278" s="7" t="s">
        <v>190</v>
      </c>
      <c r="P2278" s="1"/>
      <c r="Q2278" s="7"/>
      <c r="R2278" s="181">
        <f>R2275-R2276</f>
        <v>50.493248842929333</v>
      </c>
      <c r="S2278" s="132"/>
      <c r="T2278" s="146"/>
      <c r="U2278" s="138">
        <f>U2275-U2276</f>
        <v>48.444868712440041</v>
      </c>
      <c r="V2278" s="132"/>
      <c r="W2278" s="146"/>
      <c r="X2278" s="138">
        <f>X2275-X2276</f>
        <v>37.813580163688044</v>
      </c>
      <c r="Y2278" s="132"/>
      <c r="Z2278" s="146"/>
      <c r="AA2278" s="138">
        <f>AA2275-AA2276</f>
        <v>2.3077473833877775</v>
      </c>
      <c r="AB2278" s="132"/>
      <c r="AC2278" s="146"/>
      <c r="AD2278" s="138">
        <f>AD2275-AD2276</f>
        <v>-79.889918492287606</v>
      </c>
      <c r="AE2278" s="132"/>
      <c r="AF2278" s="146"/>
      <c r="AG2278" s="138">
        <f>AG2275-AG2276</f>
        <v>-206.02798242995433</v>
      </c>
      <c r="AH2278" s="132"/>
      <c r="AI2278" s="146"/>
      <c r="AJ2278" s="138">
        <f>AJ2275-AJ2276</f>
        <v>-363.09505356329066</v>
      </c>
      <c r="AK2278" s="132"/>
      <c r="AL2278" s="146"/>
      <c r="AM2278" s="138">
        <f>AM2275-AM2276</f>
        <v>-518.17720725794618</v>
      </c>
      <c r="AN2278" s="132"/>
      <c r="AO2278" s="146"/>
      <c r="AP2278" s="138">
        <f>AP2275-AP2276</f>
        <v>-657.34711522869668</v>
      </c>
      <c r="AQ2278" s="132"/>
      <c r="AR2278" s="146"/>
      <c r="AS2278" s="138">
        <f>AS2275-AS2276</f>
        <v>-830.5741068799656</v>
      </c>
      <c r="AT2278" s="132"/>
      <c r="AU2278" s="146"/>
    </row>
    <row r="2279" spans="13:47" ht="14.5" x14ac:dyDescent="0.35">
      <c r="M2279" s="27"/>
      <c r="N2279" s="27"/>
      <c r="O2279" s="2" t="s">
        <v>191</v>
      </c>
      <c r="P2279" s="10"/>
      <c r="Q2279" s="2"/>
      <c r="R2279" s="181">
        <f>R2278/R2275</f>
        <v>0.50245413920143178</v>
      </c>
      <c r="S2279" s="132"/>
      <c r="T2279" s="146"/>
      <c r="U2279" s="138">
        <f>U2278/U2275</f>
        <v>0.4921015116993932</v>
      </c>
      <c r="V2279" s="132"/>
      <c r="W2279" s="146"/>
      <c r="X2279" s="138">
        <f>X2278/X2275</f>
        <v>0.43061198613246393</v>
      </c>
      <c r="Y2279" s="132"/>
      <c r="Z2279" s="146"/>
      <c r="AA2279" s="138">
        <f>AA2278/AA2275</f>
        <v>4.4118653523219517E-2</v>
      </c>
      <c r="AB2279" s="132"/>
      <c r="AC2279" s="146"/>
      <c r="AD2279" s="138">
        <f>AD2278/AD2275</f>
        <v>2.6728048292571067</v>
      </c>
      <c r="AE2279" s="132"/>
      <c r="AF2279" s="146"/>
      <c r="AG2279" s="138">
        <f>AG2278/AG2275</f>
        <v>1.3204553389802789</v>
      </c>
      <c r="AH2279" s="132"/>
      <c r="AI2279" s="146"/>
      <c r="AJ2279" s="138">
        <f>AJ2278/AJ2275</f>
        <v>1.1596959116120074</v>
      </c>
      <c r="AK2279" s="132"/>
      <c r="AL2279" s="146"/>
      <c r="AM2279" s="138">
        <f>AM2278/AM2275</f>
        <v>1.1067971683048041</v>
      </c>
      <c r="AN2279" s="132"/>
      <c r="AO2279" s="146"/>
      <c r="AP2279" s="138">
        <f>AP2278/AP2275</f>
        <v>1.0823252448991587</v>
      </c>
      <c r="AQ2279" s="132"/>
      <c r="AR2279" s="146"/>
      <c r="AS2279" s="138">
        <f>AS2278/AS2275</f>
        <v>1.0640554171081271</v>
      </c>
      <c r="AT2279" s="132"/>
      <c r="AU2279" s="146"/>
    </row>
    <row r="2280" spans="13:47" x14ac:dyDescent="0.25">
      <c r="M2280" s="27"/>
      <c r="N2280" s="27"/>
      <c r="O2280" s="2" t="s">
        <v>26</v>
      </c>
      <c r="P2280" s="7">
        <v>12</v>
      </c>
      <c r="Q2280" s="2"/>
      <c r="R2280" s="181">
        <f>1-R2279/(3*F_GAMMA*R$29)</f>
        <v>0.73831612661726798</v>
      </c>
      <c r="S2280" s="133"/>
      <c r="T2280" s="146"/>
      <c r="U2280" s="138">
        <f>1-U2279/(3*F_GAMMA*U$29)</f>
        <v>0.74376432279201865</v>
      </c>
      <c r="V2280" s="133"/>
      <c r="W2280" s="146"/>
      <c r="X2280" s="138">
        <f>1-X2279/(3*F_GAMMA*X$29)</f>
        <v>0.77241809031475628</v>
      </c>
      <c r="Y2280" s="133"/>
      <c r="Z2280" s="146"/>
      <c r="AA2280" s="138">
        <f>1-AA2279/(3*F_GAMMA*AA$29)</f>
        <v>0.97636322617589499</v>
      </c>
      <c r="AB2280" s="133"/>
      <c r="AC2280" s="146"/>
      <c r="AD2280" s="138">
        <f>1-AD2279/(3*F_GAMMA*AD$29)</f>
        <v>-0.47122912589089827</v>
      </c>
      <c r="AE2280" s="133"/>
      <c r="AF2280" s="146"/>
      <c r="AG2280" s="138">
        <f>1-AG2279/(3*F_GAMMA*AG$29)</f>
        <v>0.23170350070824952</v>
      </c>
      <c r="AH2280" s="133"/>
      <c r="AI2280" s="146"/>
      <c r="AJ2280" s="138">
        <f>1-AJ2279/(3*F_GAMMA*AJ$29)</f>
        <v>0.27867252218412875</v>
      </c>
      <c r="AK2280" s="133"/>
      <c r="AL2280" s="146"/>
      <c r="AM2280" s="138">
        <f>1-AM2279/(3*F_GAMMA*AM$29)</f>
        <v>0.2478261045380844</v>
      </c>
      <c r="AN2280" s="133"/>
      <c r="AO2280" s="146"/>
      <c r="AP2280" s="138">
        <f>1-AP2279/(3*F_GAMMA*AP$29)</f>
        <v>0.392153371890407</v>
      </c>
      <c r="AQ2280" s="133"/>
      <c r="AR2280" s="146"/>
      <c r="AS2280" s="138">
        <f>1-AS2279/(3*F_GAMMA*AS$29)</f>
        <v>9.2812408393806778E-2</v>
      </c>
      <c r="AT2280" s="133"/>
      <c r="AU2280" s="146"/>
    </row>
    <row r="2281" spans="13:47" x14ac:dyDescent="0.25">
      <c r="M2281" s="27"/>
      <c r="N2281" s="27"/>
      <c r="O2281" s="2" t="s">
        <v>71</v>
      </c>
      <c r="P2281" s="85">
        <v>5</v>
      </c>
      <c r="Q2281" s="2"/>
      <c r="R2281" s="179">
        <f>R2273/((N_6*R$27*R2280)*SQRT(R2279*R2275*R2277))</f>
        <v>1.1772199885072576</v>
      </c>
      <c r="S2281" s="133"/>
      <c r="T2281" s="146"/>
      <c r="U2281" s="143">
        <f>U2273/((N_6*U$27*U2280)*SQRT(U2279*U2275*U2277))</f>
        <v>10.116346895848803</v>
      </c>
      <c r="V2281" s="133"/>
      <c r="W2281" s="146"/>
      <c r="X2281" s="143">
        <f>X2273/((N_6*X$27*X2280)*SQRT(X2279*X2275*X2277))</f>
        <v>28.935350624232093</v>
      </c>
      <c r="Y2281" s="133"/>
      <c r="Z2281" s="146"/>
      <c r="AA2281" s="143">
        <f>AA2273/((N_6*AA$27*AA2280)*SQRT(AA2279*AA2275*AA2277))</f>
        <v>235.19061948757454</v>
      </c>
      <c r="AB2281" s="133"/>
      <c r="AC2281" s="146"/>
      <c r="AD2281" s="143">
        <f>AD2273/((N_6*AD$27*AD2280)*SQRT(AD2279*AD2275*AD2277))</f>
        <v>-182.33978631223604</v>
      </c>
      <c r="AE2281" s="133"/>
      <c r="AF2281" s="146"/>
      <c r="AG2281" s="143">
        <f>AG2273/((N_6*AG$27*AG2280)*SQRT(AG2279*AG2275*AG2277))</f>
        <v>144.81795334539061</v>
      </c>
      <c r="AH2281" s="133"/>
      <c r="AI2281" s="146"/>
      <c r="AJ2281" s="143">
        <f>AJ2273/((N_6*AJ$27*AJ2280)*SQRT(AJ2279*AJ2275*AJ2277))</f>
        <v>84.090992976839061</v>
      </c>
      <c r="AK2281" s="133"/>
      <c r="AL2281" s="146"/>
      <c r="AM2281" s="143">
        <f>AM2273/((N_6*AM$27*AM2280)*SQRT(AM2279*AM2275*AM2277))</f>
        <v>80.561359431759499</v>
      </c>
      <c r="AN2281" s="133"/>
      <c r="AO2281" s="146"/>
      <c r="AP2281" s="143">
        <f>AP2273/((N_6*AP$27*AP2280)*SQRT(AP2279*AP2275*AP2277))</f>
        <v>50.296241951694554</v>
      </c>
      <c r="AQ2281" s="133"/>
      <c r="AR2281" s="146"/>
      <c r="AS2281" s="143">
        <f>AS2273/((N_6*AS$27*AS2280)*SQRT(AS2279*AS2275*AS2277))</f>
        <v>244.47113053126284</v>
      </c>
      <c r="AT2281" s="133"/>
      <c r="AU2281" s="146"/>
    </row>
    <row r="2282" spans="13:47" x14ac:dyDescent="0.25">
      <c r="M2282" s="27"/>
      <c r="N2282" s="27"/>
      <c r="O2282" s="2" t="s">
        <v>73</v>
      </c>
      <c r="P2282" s="85">
        <v>5</v>
      </c>
      <c r="Q2282" s="2"/>
      <c r="R2282" s="179">
        <f>R2273/((N_6*R$27*0.667)*SQRT(R2283*R2275*R2277))</f>
        <v>1.1545779398494798</v>
      </c>
      <c r="S2282" s="133"/>
      <c r="T2282" s="155"/>
      <c r="U2282" s="143">
        <f>U2273/((N_6*U$27*0.667)*SQRT(U2283*U2275*U2277))</f>
        <v>9.8903952623061571</v>
      </c>
      <c r="V2282" s="133"/>
      <c r="W2282" s="155"/>
      <c r="X2282" s="143">
        <f>X2273/((N_6*X$27*0.667)*SQRT(X2283*X2275*X2277))</f>
        <v>27.687570409467895</v>
      </c>
      <c r="Y2282" s="133"/>
      <c r="Z2282" s="155"/>
      <c r="AA2282" s="143">
        <f>AA2273/((N_6*AA$27*0.667)*SQRT(AA2283*AA2275*AA2277))</f>
        <v>91.676980961965242</v>
      </c>
      <c r="AB2282" s="133"/>
      <c r="AC2282" s="155"/>
      <c r="AD2282" s="143">
        <f>AD2273/((N_6*AD$27*0.667)*SQRT(AD2283*AD2275*AD2277))</f>
        <v>270.63783935776894</v>
      </c>
      <c r="AE2282" s="133"/>
      <c r="AF2282" s="155"/>
      <c r="AG2282" s="143">
        <f>AG2273/((N_6*AG$27*0.667)*SQRT(AG2283*AG2275*AG2277))</f>
        <v>76.375527274129595</v>
      </c>
      <c r="AH2282" s="133"/>
      <c r="AI2282" s="155"/>
      <c r="AJ2282" s="143">
        <f>AJ2273/((N_6*AJ$27*0.667)*SQRT(AJ2283*AJ2275*AJ2277))</f>
        <v>51.682636541298976</v>
      </c>
      <c r="AK2282" s="133"/>
      <c r="AL2282" s="155"/>
      <c r="AM2282" s="143">
        <f>AM2273/((N_6*AM$27*0.667)*SQRT(AM2283*AM2275*AM2277))</f>
        <v>44.964291898114574</v>
      </c>
      <c r="AN2282" s="133"/>
      <c r="AO2282" s="155"/>
      <c r="AP2282" s="143">
        <f>AP2273/((N_6*AP$27*0.667)*SQRT(AP2283*AP2275*AP2277))</f>
        <v>39.932204773547433</v>
      </c>
      <c r="AQ2282" s="133"/>
      <c r="AR2282" s="155"/>
      <c r="AS2282" s="143">
        <f>AS2273/((N_6*AS$27*0.667)*SQRT(AS2283*AS2275*AS2277))</f>
        <v>56.119910190796617</v>
      </c>
      <c r="AT2282" s="133"/>
      <c r="AU2282" s="155"/>
    </row>
    <row r="2283" spans="13:47" ht="15.5" x14ac:dyDescent="0.4">
      <c r="M2283" s="27"/>
      <c r="N2283" s="27"/>
      <c r="O2283" s="2" t="s">
        <v>192</v>
      </c>
      <c r="P2283" s="85">
        <v>10</v>
      </c>
      <c r="Q2283" s="2"/>
      <c r="R2283" s="181">
        <f>F_GAMMA*R$29</f>
        <v>0.64002688015162901</v>
      </c>
      <c r="S2283" s="133"/>
      <c r="T2283" s="155"/>
      <c r="U2283" s="138">
        <f>F_GAMMA*U$29</f>
        <v>0.64016782916606918</v>
      </c>
      <c r="V2283" s="133"/>
      <c r="W2283" s="155"/>
      <c r="X2283" s="138">
        <f>F_GAMMA*X$29</f>
        <v>0.6307062319203669</v>
      </c>
      <c r="Y2283" s="133"/>
      <c r="Z2283" s="155"/>
      <c r="AA2283" s="138">
        <f>F_GAMMA*AA$29</f>
        <v>0.62217534213893466</v>
      </c>
      <c r="AB2283" s="133"/>
      <c r="AC2283" s="155"/>
      <c r="AD2283" s="138">
        <f>F_GAMMA*AD$29</f>
        <v>0.60557184969146072</v>
      </c>
      <c r="AE2283" s="133"/>
      <c r="AF2283" s="155"/>
      <c r="AG2283" s="138">
        <f>F_GAMMA*AG$29</f>
        <v>0.57289312142622573</v>
      </c>
      <c r="AH2283" s="133"/>
      <c r="AI2283" s="155"/>
      <c r="AJ2283" s="138">
        <f>F_GAMMA*AJ$29</f>
        <v>0.53590819116049981</v>
      </c>
      <c r="AK2283" s="133"/>
      <c r="AL2283" s="155"/>
      <c r="AM2283" s="138">
        <f>F_GAMMA*AM$29</f>
        <v>0.49048815926850342</v>
      </c>
      <c r="AN2283" s="133"/>
      <c r="AO2283" s="155"/>
      <c r="AP2283" s="138">
        <f>F_GAMMA*AP$29</f>
        <v>0.59352979016280105</v>
      </c>
      <c r="AQ2283" s="133"/>
      <c r="AR2283" s="155"/>
      <c r="AS2283" s="138">
        <f>F_GAMMA*AS$29</f>
        <v>0.39097221161068291</v>
      </c>
      <c r="AT2283" s="133"/>
      <c r="AU2283" s="155"/>
    </row>
    <row r="2284" spans="13:47" x14ac:dyDescent="0.25">
      <c r="M2284" s="27"/>
      <c r="N2284" s="27"/>
      <c r="O2284" s="2" t="s">
        <v>193</v>
      </c>
      <c r="P2284" s="134"/>
      <c r="Q2284" s="2"/>
      <c r="R2284" s="181">
        <f>IF(R2279&lt;R2283,R2281,R2282)</f>
        <v>1.1772199885072576</v>
      </c>
      <c r="S2284" s="133"/>
      <c r="T2284" s="155"/>
      <c r="U2284" s="138">
        <f>IF(U2279&lt;U2283,U2281,U2282)</f>
        <v>10.116346895848803</v>
      </c>
      <c r="V2284" s="133"/>
      <c r="W2284" s="155"/>
      <c r="X2284" s="138">
        <f>IF(X2279&lt;X2283,X2281,X2282)</f>
        <v>28.935350624232093</v>
      </c>
      <c r="Y2284" s="133"/>
      <c r="Z2284" s="155"/>
      <c r="AA2284" s="138">
        <f>IF(AA2279&lt;AA2283,AA2281,AA2282)</f>
        <v>235.19061948757454</v>
      </c>
      <c r="AB2284" s="133"/>
      <c r="AC2284" s="155"/>
      <c r="AD2284" s="138">
        <f>IF(AD2279&lt;AD2283,AD2281,AD2282)</f>
        <v>270.63783935776894</v>
      </c>
      <c r="AE2284" s="133"/>
      <c r="AF2284" s="155"/>
      <c r="AG2284" s="138">
        <f>IF(AG2279&lt;AG2283,AG2281,AG2282)</f>
        <v>76.375527274129595</v>
      </c>
      <c r="AH2284" s="133"/>
      <c r="AI2284" s="155"/>
      <c r="AJ2284" s="138">
        <f>IF(AJ2279&lt;AJ2283,AJ2281,AJ2282)</f>
        <v>51.682636541298976</v>
      </c>
      <c r="AK2284" s="133"/>
      <c r="AL2284" s="155"/>
      <c r="AM2284" s="138">
        <f>IF(AM2279&lt;AM2283,AM2281,AM2282)</f>
        <v>44.964291898114574</v>
      </c>
      <c r="AN2284" s="133"/>
      <c r="AO2284" s="155"/>
      <c r="AP2284" s="138">
        <f>IF(AP2279&lt;AP2283,AP2281,AP2282)</f>
        <v>39.932204773547433</v>
      </c>
      <c r="AQ2284" s="133"/>
      <c r="AR2284" s="155"/>
      <c r="AS2284" s="138">
        <f>IF(AS2279&lt;AS2283,AS2281,AS2282)</f>
        <v>56.119910190796617</v>
      </c>
      <c r="AT2284" s="133"/>
      <c r="AU2284" s="155"/>
    </row>
    <row r="2285" spans="13:47" ht="13" x14ac:dyDescent="0.3">
      <c r="M2285" s="28"/>
      <c r="N2285" s="28"/>
      <c r="O2285" s="9" t="s">
        <v>194</v>
      </c>
      <c r="P2285" s="1"/>
      <c r="Q2285" s="1"/>
      <c r="R2285" s="135"/>
      <c r="S2285" s="132">
        <f>IF(R2278&lt;=0,W_max,ABS(R$23-R2284))</f>
        <v>0.82278001149274238</v>
      </c>
      <c r="T2285" s="151">
        <f>R2273</f>
        <v>272.16543474693657</v>
      </c>
      <c r="U2285" s="135"/>
      <c r="V2285" s="132">
        <f>IF(U2278&lt;=0,W_max,ABS(U$23-U2284))</f>
        <v>5.1163468958488032</v>
      </c>
      <c r="W2285" s="151">
        <f>U2273</f>
        <v>2282.7450587562626</v>
      </c>
      <c r="X2285" s="135"/>
      <c r="Y2285" s="132">
        <f>IF(X2278&lt;=0,W_max,ABS(X$23-X2284))</f>
        <v>18.935350624232093</v>
      </c>
      <c r="Z2285" s="151">
        <f>X2273</f>
        <v>5645.5001801505832</v>
      </c>
      <c r="AA2285" s="135"/>
      <c r="AB2285" s="132">
        <f>IF(AA2278&lt;=0,W_max,ABS(AA$23-AA2284))</f>
        <v>217.99061948757455</v>
      </c>
      <c r="AC2285" s="151">
        <f>AA2273</f>
        <v>10995.993362906311</v>
      </c>
      <c r="AD2285" s="135"/>
      <c r="AE2285" s="132">
        <f>IF(AD2278&lt;=0,W_max,ABS(AD$23-AD2284))</f>
        <v>7174</v>
      </c>
      <c r="AF2285" s="151">
        <f>AD2273</f>
        <v>18084.36059741984</v>
      </c>
      <c r="AG2285" s="135"/>
      <c r="AH2285" s="132">
        <f>IF(AG2278&lt;=0,W_max,ABS(AG$23-AG2284))</f>
        <v>7174</v>
      </c>
      <c r="AI2285" s="151">
        <f>AG2273</f>
        <v>25364.707983532895</v>
      </c>
      <c r="AJ2285" s="135"/>
      <c r="AK2285" s="132">
        <f>IF(AJ2278&lt;=0,W_max,ABS(AJ$23-AJ2284))</f>
        <v>7174</v>
      </c>
      <c r="AL2285" s="151">
        <f>AJ2273</f>
        <v>32206.448576585783</v>
      </c>
      <c r="AM2285" s="135"/>
      <c r="AN2285" s="132">
        <f>IF(AM2278&lt;=0,W_max,ABS(AM$23-AM2284))</f>
        <v>7174</v>
      </c>
      <c r="AO2285" s="151">
        <f>AM2273</f>
        <v>37764.593829737736</v>
      </c>
      <c r="AP2285" s="135"/>
      <c r="AQ2285" s="132">
        <f>IF(AP2278&lt;=0,W_max,ABS(AP$23-AP2284))</f>
        <v>7174</v>
      </c>
      <c r="AR2285" s="151">
        <f>AP2273</f>
        <v>42132.761960510732</v>
      </c>
      <c r="AS2285" s="135"/>
      <c r="AT2285" s="132">
        <f>IF(AS2278&lt;=0,W_max,ABS(AS$23-AS2284))</f>
        <v>7174</v>
      </c>
      <c r="AU2285" s="151">
        <f>AS2273</f>
        <v>47006.188876926353</v>
      </c>
    </row>
    <row r="2286" spans="13:47" ht="13" x14ac:dyDescent="0.25">
      <c r="M2286" s="12"/>
      <c r="N2286" s="12"/>
      <c r="O2286" s="2"/>
      <c r="P2286" s="85"/>
      <c r="Q2286" s="2"/>
      <c r="R2286" s="18"/>
      <c r="S2286" s="150"/>
      <c r="T2286" s="152"/>
      <c r="U2286" s="157"/>
      <c r="V2286" s="1"/>
      <c r="W2286" s="147"/>
      <c r="X2286" s="157"/>
      <c r="Y2286" s="1"/>
      <c r="Z2286" s="147"/>
      <c r="AA2286" s="157"/>
      <c r="AB2286" s="1"/>
      <c r="AC2286" s="147"/>
      <c r="AD2286" s="157"/>
      <c r="AE2286" s="1"/>
      <c r="AF2286" s="147"/>
      <c r="AG2286" s="157"/>
      <c r="AH2286" s="1"/>
      <c r="AI2286" s="147"/>
      <c r="AJ2286" s="157"/>
      <c r="AK2286" s="1"/>
      <c r="AL2286" s="147"/>
      <c r="AM2286" s="157"/>
      <c r="AN2286" s="1"/>
      <c r="AO2286" s="147"/>
      <c r="AP2286" s="157"/>
      <c r="AQ2286" s="1"/>
      <c r="AR2286" s="147"/>
      <c r="AS2286" s="157"/>
      <c r="AT2286" s="1"/>
      <c r="AU2286" s="147"/>
    </row>
    <row r="2287" spans="13:47" ht="14" x14ac:dyDescent="0.3">
      <c r="M2287" s="23"/>
      <c r="N2287" s="23"/>
      <c r="O2287" s="23" t="s">
        <v>238</v>
      </c>
      <c r="P2287" s="20"/>
      <c r="Q2287" s="20"/>
      <c r="R2287" s="181">
        <f>R2273*1.02</f>
        <v>277.60874344187533</v>
      </c>
      <c r="S2287" s="128" t="s">
        <v>185</v>
      </c>
      <c r="T2287" s="153" t="s">
        <v>186</v>
      </c>
      <c r="U2287" s="143">
        <f>U2273*1.01</f>
        <v>2305.572509343825</v>
      </c>
      <c r="V2287" s="128" t="s">
        <v>185</v>
      </c>
      <c r="W2287" s="153" t="s">
        <v>186</v>
      </c>
      <c r="X2287" s="143">
        <f>X2273*1.01</f>
        <v>5701.9551819520893</v>
      </c>
      <c r="Y2287" s="128" t="s">
        <v>185</v>
      </c>
      <c r="Z2287" s="153" t="s">
        <v>186</v>
      </c>
      <c r="AA2287" s="143">
        <f>AA2273*1.01</f>
        <v>11105.953296535374</v>
      </c>
      <c r="AB2287" s="128" t="s">
        <v>185</v>
      </c>
      <c r="AC2287" s="153" t="s">
        <v>186</v>
      </c>
      <c r="AD2287" s="143">
        <f>AD2273*1.01</f>
        <v>18265.204203394038</v>
      </c>
      <c r="AE2287" s="128" t="s">
        <v>185</v>
      </c>
      <c r="AF2287" s="153" t="s">
        <v>186</v>
      </c>
      <c r="AG2287" s="143">
        <f>AG2273*1.01</f>
        <v>25618.355063368224</v>
      </c>
      <c r="AH2287" s="128" t="s">
        <v>185</v>
      </c>
      <c r="AI2287" s="153" t="s">
        <v>186</v>
      </c>
      <c r="AJ2287" s="143">
        <f>AJ2273*1.01</f>
        <v>32528.513062351642</v>
      </c>
      <c r="AK2287" s="128" t="s">
        <v>185</v>
      </c>
      <c r="AL2287" s="153" t="s">
        <v>186</v>
      </c>
      <c r="AM2287" s="143">
        <f>AM2273*1.01</f>
        <v>38142.239768035113</v>
      </c>
      <c r="AN2287" s="128" t="s">
        <v>185</v>
      </c>
      <c r="AO2287" s="153" t="s">
        <v>186</v>
      </c>
      <c r="AP2287" s="143">
        <f>AP2273*1.01</f>
        <v>42554.08958011584</v>
      </c>
      <c r="AQ2287" s="128" t="s">
        <v>185</v>
      </c>
      <c r="AR2287" s="153" t="s">
        <v>186</v>
      </c>
      <c r="AS2287" s="143">
        <f>AS2273*1.01</f>
        <v>47476.250765695615</v>
      </c>
      <c r="AT2287" s="128" t="s">
        <v>185</v>
      </c>
      <c r="AU2287" s="153" t="s">
        <v>186</v>
      </c>
    </row>
    <row r="2288" spans="13:47" ht="14" x14ac:dyDescent="0.3">
      <c r="M2288" s="12"/>
      <c r="N2288" s="12"/>
      <c r="O2288" s="20"/>
      <c r="P2288" s="20"/>
      <c r="Q2288" s="23"/>
      <c r="R2288" s="139"/>
      <c r="S2288" s="130" t="s">
        <v>228</v>
      </c>
      <c r="T2288" s="154" t="s">
        <v>187</v>
      </c>
      <c r="U2288" s="144"/>
      <c r="V2288" s="130" t="s">
        <v>228</v>
      </c>
      <c r="W2288" s="154" t="s">
        <v>187</v>
      </c>
      <c r="X2288" s="144"/>
      <c r="Y2288" s="130" t="s">
        <v>228</v>
      </c>
      <c r="Z2288" s="154" t="s">
        <v>187</v>
      </c>
      <c r="AA2288" s="144"/>
      <c r="AB2288" s="130" t="s">
        <v>228</v>
      </c>
      <c r="AC2288" s="154" t="s">
        <v>187</v>
      </c>
      <c r="AD2288" s="144"/>
      <c r="AE2288" s="130" t="s">
        <v>228</v>
      </c>
      <c r="AF2288" s="154" t="s">
        <v>187</v>
      </c>
      <c r="AG2288" s="144"/>
      <c r="AH2288" s="130" t="s">
        <v>228</v>
      </c>
      <c r="AI2288" s="154" t="s">
        <v>187</v>
      </c>
      <c r="AJ2288" s="144"/>
      <c r="AK2288" s="130" t="s">
        <v>228</v>
      </c>
      <c r="AL2288" s="154" t="s">
        <v>187</v>
      </c>
      <c r="AM2288" s="144"/>
      <c r="AN2288" s="130" t="s">
        <v>228</v>
      </c>
      <c r="AO2288" s="154" t="s">
        <v>187</v>
      </c>
      <c r="AP2288" s="144"/>
      <c r="AQ2288" s="130" t="s">
        <v>228</v>
      </c>
      <c r="AR2288" s="154" t="s">
        <v>187</v>
      </c>
      <c r="AS2288" s="144"/>
      <c r="AT2288" s="130" t="s">
        <v>228</v>
      </c>
      <c r="AU2288" s="154" t="s">
        <v>187</v>
      </c>
    </row>
    <row r="2289" spans="13:47" x14ac:dyDescent="0.25">
      <c r="M2289" s="20"/>
      <c r="N2289" s="20"/>
      <c r="O2289" s="7" t="s">
        <v>188</v>
      </c>
      <c r="P2289" s="7"/>
      <c r="Q2289" s="7"/>
      <c r="R2289" s="181">
        <f>P_1_minW-(R2287^2*R_up)+dpup_minQ</f>
        <v>100.49205551201992</v>
      </c>
      <c r="S2289" s="132"/>
      <c r="T2289" s="145"/>
      <c r="U2289" s="138">
        <f>P_1_minW-(U2287^2*R_up)+dpup_minQ</f>
        <v>98.403102560151879</v>
      </c>
      <c r="V2289" s="132"/>
      <c r="W2289" s="145"/>
      <c r="X2289" s="138">
        <f>P_1_minW-(X2287^2*R_up)+dpup_minQ</f>
        <v>87.558125111569964</v>
      </c>
      <c r="Y2289" s="132"/>
      <c r="Z2289" s="145"/>
      <c r="AA2289" s="138">
        <f>P_1_minW-(AA2287^2*R_up)+dpup_minQ</f>
        <v>51.338625092385662</v>
      </c>
      <c r="AB2289" s="132"/>
      <c r="AC2289" s="145"/>
      <c r="AD2289" s="138">
        <f>P_1_minW-(AD2287^2*R_up)+dpup_minQ</f>
        <v>-32.511213867390765</v>
      </c>
      <c r="AE2289" s="132"/>
      <c r="AF2289" s="145"/>
      <c r="AG2289" s="138">
        <f>P_1_minW-(AG2287^2*R_up)+dpup_minQ</f>
        <v>-161.1846528902046</v>
      </c>
      <c r="AH2289" s="132"/>
      <c r="AI2289" s="145"/>
      <c r="AJ2289" s="138">
        <f>P_1_minW-(AJ2287^2*R_up)+dpup_minQ</f>
        <v>-321.40877215332102</v>
      </c>
      <c r="AK2289" s="132"/>
      <c r="AL2289" s="145"/>
      <c r="AM2289" s="138">
        <f>P_1_minW-(AM2287^2*R_up)+dpup_minQ</f>
        <v>-479.60807713723909</v>
      </c>
      <c r="AN2289" s="132"/>
      <c r="AO2289" s="145"/>
      <c r="AP2289" s="138">
        <f>P_1_minW-(AP2287^2*R_up)+dpup_minQ</f>
        <v>-621.57530025820165</v>
      </c>
      <c r="AQ2289" s="132"/>
      <c r="AR2289" s="145"/>
      <c r="AS2289" s="138">
        <f>P_1_minW-(AS2287^2*R_up)+dpup_minQ</f>
        <v>-798.28415444166092</v>
      </c>
      <c r="AT2289" s="132"/>
      <c r="AU2289" s="145"/>
    </row>
    <row r="2290" spans="13:47" x14ac:dyDescent="0.25">
      <c r="M2290" s="20"/>
      <c r="N2290" s="20"/>
      <c r="O2290" s="7" t="s">
        <v>189</v>
      </c>
      <c r="P2290" s="1"/>
      <c r="Q2290" s="7"/>
      <c r="R2290" s="181">
        <f>P_2_minW+(R2287^2*R_dn)-dpdn_minQ</f>
        <v>50</v>
      </c>
      <c r="S2290" s="132"/>
      <c r="T2290" s="146"/>
      <c r="U2290" s="138">
        <f>P_2_minW+(U2287^2*R_dn)-dpdn_minQ</f>
        <v>50</v>
      </c>
      <c r="V2290" s="132"/>
      <c r="W2290" s="146"/>
      <c r="X2290" s="138">
        <f>P_2_minW+(X2287^2*R_dn)-dpdn_minQ</f>
        <v>50</v>
      </c>
      <c r="Y2290" s="132"/>
      <c r="Z2290" s="146"/>
      <c r="AA2290" s="138">
        <f>P_2_minW+(AA2287^2*R_dn)-dpdn_minQ</f>
        <v>50</v>
      </c>
      <c r="AB2290" s="132"/>
      <c r="AC2290" s="146"/>
      <c r="AD2290" s="138">
        <f>P_2_minW+(AD2287^2*R_dn)-dpdn_minQ</f>
        <v>50</v>
      </c>
      <c r="AE2290" s="132"/>
      <c r="AF2290" s="146"/>
      <c r="AG2290" s="138">
        <f>P_2_minW+(AG2287^2*R_dn)-dpdn_minQ</f>
        <v>50</v>
      </c>
      <c r="AH2290" s="132"/>
      <c r="AI2290" s="146"/>
      <c r="AJ2290" s="138">
        <f>P_2_minW+(AJ2287^2*R_dn)-dpdn_minQ</f>
        <v>50</v>
      </c>
      <c r="AK2290" s="132"/>
      <c r="AL2290" s="146"/>
      <c r="AM2290" s="138">
        <f>P_2_minW+(AM2287^2*R_dn)-dpdn_minQ</f>
        <v>50</v>
      </c>
      <c r="AN2290" s="132"/>
      <c r="AO2290" s="146"/>
      <c r="AP2290" s="138">
        <f>P_2_minW+(AP2287^2*R_dn)-dpdn_minQ</f>
        <v>50</v>
      </c>
      <c r="AQ2290" s="132"/>
      <c r="AR2290" s="146"/>
      <c r="AS2290" s="138">
        <f>P_2_minW+(AS2287^2*R_dn)-dpdn_minQ</f>
        <v>50</v>
      </c>
      <c r="AT2290" s="132"/>
      <c r="AU2290" s="146"/>
    </row>
    <row r="2291" spans="13:47" x14ac:dyDescent="0.25">
      <c r="M2291" s="20"/>
      <c r="N2291" s="20"/>
      <c r="O2291" s="7" t="s">
        <v>234</v>
      </c>
      <c r="P2291" s="1"/>
      <c r="Q2291" s="7"/>
      <c r="R2291" s="179">
        <f>'Valve Sizing'!G$8*R2289/P_1_maxW</f>
        <v>0.48475578428226268</v>
      </c>
      <c r="S2291" s="132"/>
      <c r="T2291" s="146"/>
      <c r="U2291" s="143">
        <f>'Valve Sizing'!$G$8*U2289/P_1_maxW</f>
        <v>0.4746790471576009</v>
      </c>
      <c r="V2291" s="132"/>
      <c r="W2291" s="146"/>
      <c r="X2291" s="143">
        <f>'Valve Sizing'!$G$8*X2289/P_1_maxW</f>
        <v>0.42236480677486776</v>
      </c>
      <c r="Y2291" s="132"/>
      <c r="Z2291" s="146"/>
      <c r="AA2291" s="143">
        <f>'Valve Sizing'!$G$8*AA2289/P_1_maxW</f>
        <v>0.24764838716684173</v>
      </c>
      <c r="AB2291" s="132"/>
      <c r="AC2291" s="146"/>
      <c r="AD2291" s="143">
        <f>'Valve Sizing'!$G$8*AD2289/P_1_maxW</f>
        <v>-0.15682830743142995</v>
      </c>
      <c r="AE2291" s="132"/>
      <c r="AF2291" s="146"/>
      <c r="AG2291" s="143">
        <f>'Valve Sizing'!$G$8*AG2289/P_1_maxW</f>
        <v>-0.77752606838368044</v>
      </c>
      <c r="AH2291" s="132"/>
      <c r="AI2291" s="146"/>
      <c r="AJ2291" s="143">
        <f>'Valve Sizing'!$G$8*AJ2289/P_1_maxW</f>
        <v>-1.5504186935627593</v>
      </c>
      <c r="AK2291" s="132"/>
      <c r="AL2291" s="146"/>
      <c r="AM2291" s="143">
        <f>'Valve Sizing'!$G$8*AM2289/P_1_maxW</f>
        <v>-2.313543975154948</v>
      </c>
      <c r="AN2291" s="132"/>
      <c r="AO2291" s="146"/>
      <c r="AP2291" s="143">
        <f>'Valve Sizing'!$G$8*AP2289/P_1_maxW</f>
        <v>-2.9983685837842904</v>
      </c>
      <c r="AQ2291" s="132"/>
      <c r="AR2291" s="146"/>
      <c r="AS2291" s="143">
        <f>'Valve Sizing'!$G$8*AS2289/P_1_maxW</f>
        <v>-3.8507806352929479</v>
      </c>
      <c r="AT2291" s="132"/>
      <c r="AU2291" s="146"/>
    </row>
    <row r="2292" spans="13:47" x14ac:dyDescent="0.25">
      <c r="M2292" s="20"/>
      <c r="N2292" s="20"/>
      <c r="O2292" s="7" t="s">
        <v>190</v>
      </c>
      <c r="P2292" s="1"/>
      <c r="Q2292" s="7"/>
      <c r="R2292" s="181">
        <f>R2289-R2290</f>
        <v>50.492055512019917</v>
      </c>
      <c r="S2292" s="132"/>
      <c r="T2292" s="146"/>
      <c r="U2292" s="138">
        <f>U2289-U2290</f>
        <v>48.403102560151879</v>
      </c>
      <c r="V2292" s="132"/>
      <c r="W2292" s="146"/>
      <c r="X2292" s="138">
        <f>X2289-X2290</f>
        <v>37.558125111569964</v>
      </c>
      <c r="Y2292" s="132"/>
      <c r="Z2292" s="146"/>
      <c r="AA2292" s="138">
        <f>AA2289-AA2290</f>
        <v>1.3386250923856622</v>
      </c>
      <c r="AB2292" s="132"/>
      <c r="AC2292" s="146"/>
      <c r="AD2292" s="138">
        <f>AD2289-AD2290</f>
        <v>-82.511213867390765</v>
      </c>
      <c r="AE2292" s="132"/>
      <c r="AF2292" s="146"/>
      <c r="AG2292" s="138">
        <f>AG2289-AG2290</f>
        <v>-211.1846528902046</v>
      </c>
      <c r="AH2292" s="132"/>
      <c r="AI2292" s="146"/>
      <c r="AJ2292" s="138">
        <f>AJ2289-AJ2290</f>
        <v>-371.40877215332102</v>
      </c>
      <c r="AK2292" s="132"/>
      <c r="AL2292" s="146"/>
      <c r="AM2292" s="138">
        <f>AM2289-AM2290</f>
        <v>-529.60807713723909</v>
      </c>
      <c r="AN2292" s="132"/>
      <c r="AO2292" s="146"/>
      <c r="AP2292" s="138">
        <f>AP2289-AP2290</f>
        <v>-671.57530025820165</v>
      </c>
      <c r="AQ2292" s="132"/>
      <c r="AR2292" s="146"/>
      <c r="AS2292" s="138">
        <f>AS2289-AS2290</f>
        <v>-848.28415444166092</v>
      </c>
      <c r="AT2292" s="132"/>
      <c r="AU2292" s="146"/>
    </row>
    <row r="2293" spans="13:47" ht="14.5" x14ac:dyDescent="0.35">
      <c r="M2293" s="27"/>
      <c r="N2293" s="27"/>
      <c r="O2293" s="2" t="s">
        <v>191</v>
      </c>
      <c r="P2293" s="10"/>
      <c r="Q2293" s="2"/>
      <c r="R2293" s="181">
        <f>R2292/R2289</f>
        <v>0.50244823090498458</v>
      </c>
      <c r="S2293" s="132"/>
      <c r="T2293" s="146"/>
      <c r="U2293" s="138">
        <f>U2292/U2289</f>
        <v>0.49188593957760646</v>
      </c>
      <c r="V2293" s="132"/>
      <c r="W2293" s="146"/>
      <c r="X2293" s="138">
        <f>X2292/X2289</f>
        <v>0.42895076914577535</v>
      </c>
      <c r="Y2293" s="132"/>
      <c r="Z2293" s="146"/>
      <c r="AA2293" s="138">
        <f>AA2292/AA2289</f>
        <v>2.6074424275616247E-2</v>
      </c>
      <c r="AB2293" s="132"/>
      <c r="AC2293" s="146"/>
      <c r="AD2293" s="138">
        <f>AD2292/AD2289</f>
        <v>2.537930887599086</v>
      </c>
      <c r="AE2293" s="132"/>
      <c r="AF2293" s="146"/>
      <c r="AG2293" s="138">
        <f>AG2292/AG2289</f>
        <v>1.3102032302917752</v>
      </c>
      <c r="AH2293" s="132"/>
      <c r="AI2293" s="146"/>
      <c r="AJ2293" s="138">
        <f>AJ2292/AJ2289</f>
        <v>1.1555651380172929</v>
      </c>
      <c r="AK2293" s="132"/>
      <c r="AL2293" s="146"/>
      <c r="AM2293" s="138">
        <f>AM2292/AM2289</f>
        <v>1.1042517888740488</v>
      </c>
      <c r="AN2293" s="132"/>
      <c r="AO2293" s="146"/>
      <c r="AP2293" s="138">
        <f>AP2292/AP2289</f>
        <v>1.0804407768121256</v>
      </c>
      <c r="AQ2293" s="132"/>
      <c r="AR2293" s="146"/>
      <c r="AS2293" s="138">
        <f>AS2292/AS2289</f>
        <v>1.0626343385645318</v>
      </c>
      <c r="AT2293" s="132"/>
      <c r="AU2293" s="146"/>
    </row>
    <row r="2294" spans="13:47" x14ac:dyDescent="0.25">
      <c r="M2294" s="27"/>
      <c r="N2294" s="27"/>
      <c r="O2294" s="2" t="s">
        <v>26</v>
      </c>
      <c r="P2294" s="7">
        <v>12</v>
      </c>
      <c r="Q2294" s="2"/>
      <c r="R2294" s="181">
        <f>1-R2293/(3*F_GAMMA*R$29)</f>
        <v>0.73831920372576154</v>
      </c>
      <c r="S2294" s="133"/>
      <c r="T2294" s="146"/>
      <c r="U2294" s="138">
        <f>1-U2293/(3*F_GAMMA*U$29)</f>
        <v>0.74387657050372025</v>
      </c>
      <c r="V2294" s="133"/>
      <c r="W2294" s="146"/>
      <c r="X2294" s="138">
        <f>1-X2293/(3*F_GAMMA*X$29)</f>
        <v>0.77329605689814784</v>
      </c>
      <c r="Y2294" s="133"/>
      <c r="Z2294" s="146"/>
      <c r="AA2294" s="138">
        <f>1-AA2293/(3*F_GAMMA*AA$29)</f>
        <v>0.98603050592031027</v>
      </c>
      <c r="AB2294" s="133"/>
      <c r="AC2294" s="146"/>
      <c r="AD2294" s="138">
        <f>1-AD2293/(3*F_GAMMA*AD$29)</f>
        <v>-0.39698858684407878</v>
      </c>
      <c r="AE2294" s="133"/>
      <c r="AF2294" s="146"/>
      <c r="AG2294" s="138">
        <f>1-AG2293/(3*F_GAMMA*AG$29)</f>
        <v>0.23766860909413312</v>
      </c>
      <c r="AH2294" s="133"/>
      <c r="AI2294" s="146"/>
      <c r="AJ2294" s="138">
        <f>1-AJ2293/(3*F_GAMMA*AJ$29)</f>
        <v>0.28124185132349078</v>
      </c>
      <c r="AK2294" s="133"/>
      <c r="AL2294" s="146"/>
      <c r="AM2294" s="138">
        <f>1-AM2293/(3*F_GAMMA*AM$29)</f>
        <v>0.24955593184220759</v>
      </c>
      <c r="AN2294" s="133"/>
      <c r="AO2294" s="146"/>
      <c r="AP2294" s="138">
        <f>1-AP2293/(3*F_GAMMA*AP$29)</f>
        <v>0.39321171140330446</v>
      </c>
      <c r="AQ2294" s="133"/>
      <c r="AR2294" s="146"/>
      <c r="AS2294" s="138">
        <f>1-AS2293/(3*F_GAMMA*AS$29)</f>
        <v>9.4023985160128998E-2</v>
      </c>
      <c r="AT2294" s="133"/>
      <c r="AU2294" s="146"/>
    </row>
    <row r="2295" spans="13:47" x14ac:dyDescent="0.25">
      <c r="M2295" s="27"/>
      <c r="N2295" s="27"/>
      <c r="O2295" s="2" t="s">
        <v>71</v>
      </c>
      <c r="P2295" s="85">
        <v>5</v>
      </c>
      <c r="Q2295" s="2"/>
      <c r="R2295" s="179">
        <f>R2287/((N_6*R$27*R2294)*SQRT(R2293*R2289*R2291))</f>
        <v>1.2007807026347666</v>
      </c>
      <c r="S2295" s="133"/>
      <c r="T2295" s="146"/>
      <c r="U2295" s="143">
        <f>U2287/((N_6*U$27*U2294)*SQRT(U2293*U2289*U2291))</f>
        <v>10.222543957960154</v>
      </c>
      <c r="V2295" s="133"/>
      <c r="W2295" s="146"/>
      <c r="X2295" s="143">
        <f>X2287/((N_6*X$27*X2294)*SQRT(X2293*X2289*X2291))</f>
        <v>29.333327155608757</v>
      </c>
      <c r="Y2295" s="133"/>
      <c r="Z2295" s="146"/>
      <c r="AA2295" s="143">
        <f>AA2287/((N_6*AA$27*AA2294)*SQRT(AA2293*AA2289*AA2291))</f>
        <v>311.73673110612498</v>
      </c>
      <c r="AB2295" s="133"/>
      <c r="AC2295" s="146"/>
      <c r="AD2295" s="143">
        <f>AD2287/((N_6*AD$27*AD2294)*SQRT(AD2293*AD2289*AD2291))</f>
        <v>-206.24916235212487</v>
      </c>
      <c r="AE2295" s="133"/>
      <c r="AF2295" s="146"/>
      <c r="AG2295" s="143">
        <f>AG2287/((N_6*AG$27*AG2294)*SQRT(AG2293*AG2289*AG2291))</f>
        <v>138.57212600058295</v>
      </c>
      <c r="AH2295" s="133"/>
      <c r="AI2295" s="146"/>
      <c r="AJ2295" s="143">
        <f>AJ2287/((N_6*AJ$27*AJ2294)*SQRT(AJ2293*AJ2289*AJ2291))</f>
        <v>82.125567379529159</v>
      </c>
      <c r="AK2295" s="133"/>
      <c r="AL2295" s="146"/>
      <c r="AM2295" s="143">
        <f>AM2287/((N_6*AM$27*AM2294)*SQRT(AM2293*AM2289*AM2291))</f>
        <v>78.967984770522918</v>
      </c>
      <c r="AN2295" s="133"/>
      <c r="AO2295" s="146"/>
      <c r="AP2295" s="143">
        <f>AP2287/((N_6*AP$27*AP2294)*SQRT(AP2293*AP2289*AP2291))</f>
        <v>49.545938024326666</v>
      </c>
      <c r="AQ2295" s="133"/>
      <c r="AR2295" s="146"/>
      <c r="AS2295" s="143">
        <f>AS2287/((N_6*AS$27*AS2294)*SQRT(AS2293*AS2289*AS2291))</f>
        <v>238.48615681193689</v>
      </c>
      <c r="AT2295" s="133"/>
      <c r="AU2295" s="146"/>
    </row>
    <row r="2296" spans="13:47" x14ac:dyDescent="0.25">
      <c r="M2296" s="27"/>
      <c r="N2296" s="27"/>
      <c r="O2296" s="2" t="s">
        <v>73</v>
      </c>
      <c r="P2296" s="85">
        <v>5</v>
      </c>
      <c r="Q2296" s="2"/>
      <c r="R2296" s="179">
        <f>R2287/((N_6*R$27*0.667)*SQRT(R2297*R2289*R2291))</f>
        <v>1.1776834833282104</v>
      </c>
      <c r="S2296" s="133"/>
      <c r="T2296" s="155"/>
      <c r="U2296" s="143">
        <f>U2287/((N_6*U$27*0.667)*SQRT(U2297*U2289*U2291))</f>
        <v>9.9935390669400608</v>
      </c>
      <c r="V2296" s="133"/>
      <c r="W2296" s="155"/>
      <c r="X2296" s="143">
        <f>X2287/((N_6*X$27*0.667)*SQRT(X2297*X2289*X2291))</f>
        <v>28.046033733561188</v>
      </c>
      <c r="Y2296" s="133"/>
      <c r="Z2296" s="155"/>
      <c r="AA2296" s="143">
        <f>AA2287/((N_6*AA$27*0.667)*SQRT(AA2297*AA2289*AA2291))</f>
        <v>94.341648533138823</v>
      </c>
      <c r="AB2296" s="133"/>
      <c r="AC2296" s="155"/>
      <c r="AD2296" s="143">
        <f>AD2287/((N_6*AD$27*0.667)*SQRT(AD2297*AD2289*AD2291))</f>
        <v>251.30517803030219</v>
      </c>
      <c r="AE2296" s="133"/>
      <c r="AF2296" s="155"/>
      <c r="AG2296" s="143">
        <f>AG2287/((N_6*AG$27*0.667)*SQRT(AG2297*AG2289*AG2291))</f>
        <v>74.671418190670011</v>
      </c>
      <c r="AH2296" s="133"/>
      <c r="AI2296" s="155"/>
      <c r="AJ2296" s="143">
        <f>AJ2287/((N_6*AJ$27*0.667)*SQRT(AJ2297*AJ2289*AJ2291))</f>
        <v>50.849245729222751</v>
      </c>
      <c r="AK2296" s="133"/>
      <c r="AL2296" s="155"/>
      <c r="AM2296" s="143">
        <f>AM2287/((N_6*AM$27*0.667)*SQRT(AM2297*AM2289*AM2291))</f>
        <v>44.331549418793998</v>
      </c>
      <c r="AN2296" s="133"/>
      <c r="AO2296" s="155"/>
      <c r="AP2296" s="143">
        <f>AP2287/((N_6*AP$27*0.667)*SQRT(AP2297*AP2289*AP2291))</f>
        <v>39.408316993129688</v>
      </c>
      <c r="AQ2296" s="133"/>
      <c r="AR2296" s="155"/>
      <c r="AS2296" s="143">
        <f>AS2287/((N_6*AS$27*0.667)*SQRT(AS2297*AS2289*AS2291))</f>
        <v>55.423630817354471</v>
      </c>
      <c r="AT2296" s="133"/>
      <c r="AU2296" s="155"/>
    </row>
    <row r="2297" spans="13:47" ht="15.5" x14ac:dyDescent="0.4">
      <c r="M2297" s="27"/>
      <c r="N2297" s="27"/>
      <c r="O2297" s="2" t="s">
        <v>192</v>
      </c>
      <c r="P2297" s="85">
        <v>10</v>
      </c>
      <c r="Q2297" s="2"/>
      <c r="R2297" s="181">
        <f>F_GAMMA*R$29</f>
        <v>0.64002688015162901</v>
      </c>
      <c r="S2297" s="133"/>
      <c r="T2297" s="155"/>
      <c r="U2297" s="138">
        <f>F_GAMMA*U$29</f>
        <v>0.64016782916606918</v>
      </c>
      <c r="V2297" s="133"/>
      <c r="W2297" s="155"/>
      <c r="X2297" s="138">
        <f>F_GAMMA*X$29</f>
        <v>0.6307062319203669</v>
      </c>
      <c r="Y2297" s="133"/>
      <c r="Z2297" s="155"/>
      <c r="AA2297" s="138">
        <f>F_GAMMA*AA$29</f>
        <v>0.62217534213893466</v>
      </c>
      <c r="AB2297" s="133"/>
      <c r="AC2297" s="155"/>
      <c r="AD2297" s="138">
        <f>F_GAMMA*AD$29</f>
        <v>0.60557184969146072</v>
      </c>
      <c r="AE2297" s="133"/>
      <c r="AF2297" s="155"/>
      <c r="AG2297" s="138">
        <f>F_GAMMA*AG$29</f>
        <v>0.57289312142622573</v>
      </c>
      <c r="AH2297" s="133"/>
      <c r="AI2297" s="155"/>
      <c r="AJ2297" s="138">
        <f>F_GAMMA*AJ$29</f>
        <v>0.53590819116049981</v>
      </c>
      <c r="AK2297" s="133"/>
      <c r="AL2297" s="155"/>
      <c r="AM2297" s="138">
        <f>F_GAMMA*AM$29</f>
        <v>0.49048815926850342</v>
      </c>
      <c r="AN2297" s="133"/>
      <c r="AO2297" s="155"/>
      <c r="AP2297" s="138">
        <f>F_GAMMA*AP$29</f>
        <v>0.59352979016280105</v>
      </c>
      <c r="AQ2297" s="133"/>
      <c r="AR2297" s="155"/>
      <c r="AS2297" s="138">
        <f>F_GAMMA*AS$29</f>
        <v>0.39097221161068291</v>
      </c>
      <c r="AT2297" s="133"/>
      <c r="AU2297" s="155"/>
    </row>
    <row r="2298" spans="13:47" x14ac:dyDescent="0.25">
      <c r="M2298" s="27"/>
      <c r="N2298" s="27"/>
      <c r="O2298" s="2" t="s">
        <v>193</v>
      </c>
      <c r="P2298" s="134"/>
      <c r="Q2298" s="2"/>
      <c r="R2298" s="181">
        <f>IF(R2293&lt;R2297,R2295,R2296)</f>
        <v>1.2007807026347666</v>
      </c>
      <c r="S2298" s="133"/>
      <c r="T2298" s="155"/>
      <c r="U2298" s="138">
        <f>IF(U2293&lt;U2297,U2295,U2296)</f>
        <v>10.222543957960154</v>
      </c>
      <c r="V2298" s="133"/>
      <c r="W2298" s="155"/>
      <c r="X2298" s="138">
        <f>IF(X2293&lt;X2297,X2295,X2296)</f>
        <v>29.333327155608757</v>
      </c>
      <c r="Y2298" s="133"/>
      <c r="Z2298" s="155"/>
      <c r="AA2298" s="138">
        <f>IF(AA2293&lt;AA2297,AA2295,AA2296)</f>
        <v>311.73673110612498</v>
      </c>
      <c r="AB2298" s="133"/>
      <c r="AC2298" s="155"/>
      <c r="AD2298" s="138">
        <f>IF(AD2293&lt;AD2297,AD2295,AD2296)</f>
        <v>251.30517803030219</v>
      </c>
      <c r="AE2298" s="133"/>
      <c r="AF2298" s="155"/>
      <c r="AG2298" s="138">
        <f>IF(AG2293&lt;AG2297,AG2295,AG2296)</f>
        <v>74.671418190670011</v>
      </c>
      <c r="AH2298" s="133"/>
      <c r="AI2298" s="155"/>
      <c r="AJ2298" s="138">
        <f>IF(AJ2293&lt;AJ2297,AJ2295,AJ2296)</f>
        <v>50.849245729222751</v>
      </c>
      <c r="AK2298" s="133"/>
      <c r="AL2298" s="155"/>
      <c r="AM2298" s="138">
        <f>IF(AM2293&lt;AM2297,AM2295,AM2296)</f>
        <v>44.331549418793998</v>
      </c>
      <c r="AN2298" s="133"/>
      <c r="AO2298" s="155"/>
      <c r="AP2298" s="138">
        <f>IF(AP2293&lt;AP2297,AP2295,AP2296)</f>
        <v>39.408316993129688</v>
      </c>
      <c r="AQ2298" s="133"/>
      <c r="AR2298" s="155"/>
      <c r="AS2298" s="138">
        <f>IF(AS2293&lt;AS2297,AS2295,AS2296)</f>
        <v>55.423630817354471</v>
      </c>
      <c r="AT2298" s="133"/>
      <c r="AU2298" s="155"/>
    </row>
    <row r="2299" spans="13:47" ht="13" x14ac:dyDescent="0.3">
      <c r="M2299" s="28"/>
      <c r="N2299" s="28"/>
      <c r="O2299" s="9" t="s">
        <v>194</v>
      </c>
      <c r="P2299" s="1"/>
      <c r="Q2299" s="1"/>
      <c r="R2299" s="135"/>
      <c r="S2299" s="132">
        <f>IF(R2292&lt;=0,W_max,ABS(R$23-R2298))</f>
        <v>0.79921929736523345</v>
      </c>
      <c r="T2299" s="151">
        <f>R2287</f>
        <v>277.60874344187533</v>
      </c>
      <c r="U2299" s="135"/>
      <c r="V2299" s="132">
        <f>IF(U2292&lt;=0,W_max,ABS(U$23-U2298))</f>
        <v>5.2225439579601538</v>
      </c>
      <c r="W2299" s="151">
        <f>U2287</f>
        <v>2305.572509343825</v>
      </c>
      <c r="X2299" s="135"/>
      <c r="Y2299" s="132">
        <f>IF(X2292&lt;=0,W_max,ABS(X$23-X2298))</f>
        <v>19.333327155608757</v>
      </c>
      <c r="Z2299" s="151">
        <f>X2287</f>
        <v>5701.9551819520893</v>
      </c>
      <c r="AA2299" s="135"/>
      <c r="AB2299" s="132">
        <f>IF(AA2292&lt;=0,W_max,ABS(AA$23-AA2298))</f>
        <v>294.53673110612499</v>
      </c>
      <c r="AC2299" s="151">
        <f>AA2287</f>
        <v>11105.953296535374</v>
      </c>
      <c r="AD2299" s="135"/>
      <c r="AE2299" s="132">
        <f>IF(AD2292&lt;=0,W_max,ABS(AD$23-AD2298))</f>
        <v>7174</v>
      </c>
      <c r="AF2299" s="151">
        <f>AD2287</f>
        <v>18265.204203394038</v>
      </c>
      <c r="AG2299" s="135"/>
      <c r="AH2299" s="132">
        <f>IF(AG2292&lt;=0,W_max,ABS(AG$23-AG2298))</f>
        <v>7174</v>
      </c>
      <c r="AI2299" s="151">
        <f>AG2287</f>
        <v>25618.355063368224</v>
      </c>
      <c r="AJ2299" s="135"/>
      <c r="AK2299" s="132">
        <f>IF(AJ2292&lt;=0,W_max,ABS(AJ$23-AJ2298))</f>
        <v>7174</v>
      </c>
      <c r="AL2299" s="151">
        <f>AJ2287</f>
        <v>32528.513062351642</v>
      </c>
      <c r="AM2299" s="135"/>
      <c r="AN2299" s="132">
        <f>IF(AM2292&lt;=0,W_max,ABS(AM$23-AM2298))</f>
        <v>7174</v>
      </c>
      <c r="AO2299" s="151">
        <f>AM2287</f>
        <v>38142.239768035113</v>
      </c>
      <c r="AP2299" s="135"/>
      <c r="AQ2299" s="132">
        <f>IF(AP2292&lt;=0,W_max,ABS(AP$23-AP2298))</f>
        <v>7174</v>
      </c>
      <c r="AR2299" s="151">
        <f>AP2287</f>
        <v>42554.08958011584</v>
      </c>
      <c r="AS2299" s="135"/>
      <c r="AT2299" s="132">
        <f>IF(AS2292&lt;=0,W_max,ABS(AS$23-AS2298))</f>
        <v>7174</v>
      </c>
      <c r="AU2299" s="151">
        <f>AS2287</f>
        <v>47476.250765695615</v>
      </c>
    </row>
    <row r="2300" spans="13:47" ht="13" x14ac:dyDescent="0.25">
      <c r="M2300" s="12"/>
      <c r="N2300" s="12"/>
      <c r="O2300" s="2"/>
      <c r="P2300" s="85"/>
      <c r="Q2300" s="2"/>
      <c r="R2300" s="18"/>
      <c r="S2300" s="150"/>
      <c r="T2300" s="148"/>
      <c r="U2300" s="157"/>
      <c r="V2300" s="1"/>
      <c r="W2300" s="147"/>
      <c r="X2300" s="157"/>
      <c r="Y2300" s="1"/>
      <c r="Z2300" s="147"/>
      <c r="AA2300" s="157"/>
      <c r="AB2300" s="1"/>
      <c r="AC2300" s="147"/>
      <c r="AD2300" s="157"/>
      <c r="AE2300" s="1"/>
      <c r="AF2300" s="147"/>
      <c r="AG2300" s="157"/>
      <c r="AH2300" s="1"/>
      <c r="AI2300" s="147"/>
      <c r="AJ2300" s="157"/>
      <c r="AK2300" s="1"/>
      <c r="AL2300" s="147"/>
      <c r="AM2300" s="157"/>
      <c r="AN2300" s="1"/>
      <c r="AO2300" s="147"/>
      <c r="AP2300" s="157"/>
      <c r="AQ2300" s="1"/>
      <c r="AR2300" s="147"/>
      <c r="AS2300" s="157"/>
      <c r="AT2300" s="1"/>
      <c r="AU2300" s="147"/>
    </row>
    <row r="2301" spans="13:47" ht="14" x14ac:dyDescent="0.3">
      <c r="M2301" s="23"/>
      <c r="N2301" s="23"/>
      <c r="O2301" s="23" t="s">
        <v>238</v>
      </c>
      <c r="P2301" s="20"/>
      <c r="Q2301" s="20"/>
      <c r="R2301" s="181">
        <f>R2287*1.02</f>
        <v>283.16091831071287</v>
      </c>
      <c r="S2301" s="128" t="s">
        <v>185</v>
      </c>
      <c r="T2301" s="149" t="s">
        <v>186</v>
      </c>
      <c r="U2301" s="143">
        <f>U2287*1.01</f>
        <v>2328.6282344372635</v>
      </c>
      <c r="V2301" s="128" t="s">
        <v>185</v>
      </c>
      <c r="W2301" s="153" t="s">
        <v>186</v>
      </c>
      <c r="X2301" s="143">
        <f>X2287*1.01</f>
        <v>5758.9747337716099</v>
      </c>
      <c r="Y2301" s="128" t="s">
        <v>185</v>
      </c>
      <c r="Z2301" s="153" t="s">
        <v>186</v>
      </c>
      <c r="AA2301" s="143">
        <f>AA2287*1.01</f>
        <v>11217.012829500727</v>
      </c>
      <c r="AB2301" s="128" t="s">
        <v>185</v>
      </c>
      <c r="AC2301" s="153" t="s">
        <v>186</v>
      </c>
      <c r="AD2301" s="143">
        <f>AD2287*1.01</f>
        <v>18447.856245427978</v>
      </c>
      <c r="AE2301" s="128" t="s">
        <v>185</v>
      </c>
      <c r="AF2301" s="153" t="s">
        <v>186</v>
      </c>
      <c r="AG2301" s="143">
        <f>AG2287*1.01</f>
        <v>25874.538614001907</v>
      </c>
      <c r="AH2301" s="128" t="s">
        <v>185</v>
      </c>
      <c r="AI2301" s="153" t="s">
        <v>186</v>
      </c>
      <c r="AJ2301" s="143">
        <f>AJ2287*1.01</f>
        <v>32853.798192975155</v>
      </c>
      <c r="AK2301" s="128" t="s">
        <v>185</v>
      </c>
      <c r="AL2301" s="153" t="s">
        <v>186</v>
      </c>
      <c r="AM2301" s="143">
        <f>AM2287*1.01</f>
        <v>38523.662165715468</v>
      </c>
      <c r="AN2301" s="128" t="s">
        <v>185</v>
      </c>
      <c r="AO2301" s="153" t="s">
        <v>186</v>
      </c>
      <c r="AP2301" s="143">
        <f>AP2287*1.01</f>
        <v>42979.630475917002</v>
      </c>
      <c r="AQ2301" s="128" t="s">
        <v>185</v>
      </c>
      <c r="AR2301" s="153" t="s">
        <v>186</v>
      </c>
      <c r="AS2301" s="143">
        <f>AS2287*1.01</f>
        <v>47951.013273352568</v>
      </c>
      <c r="AT2301" s="128" t="s">
        <v>185</v>
      </c>
      <c r="AU2301" s="153" t="s">
        <v>186</v>
      </c>
    </row>
    <row r="2302" spans="13:47" ht="14" x14ac:dyDescent="0.3">
      <c r="M2302" s="12"/>
      <c r="N2302" s="12"/>
      <c r="O2302" s="20"/>
      <c r="P2302" s="20"/>
      <c r="Q2302" s="23"/>
      <c r="R2302" s="139"/>
      <c r="S2302" s="130" t="s">
        <v>228</v>
      </c>
      <c r="T2302" s="131" t="s">
        <v>187</v>
      </c>
      <c r="U2302" s="144"/>
      <c r="V2302" s="130" t="s">
        <v>228</v>
      </c>
      <c r="W2302" s="154" t="s">
        <v>187</v>
      </c>
      <c r="X2302" s="144"/>
      <c r="Y2302" s="130" t="s">
        <v>228</v>
      </c>
      <c r="Z2302" s="154" t="s">
        <v>187</v>
      </c>
      <c r="AA2302" s="144"/>
      <c r="AB2302" s="130" t="s">
        <v>228</v>
      </c>
      <c r="AC2302" s="154" t="s">
        <v>187</v>
      </c>
      <c r="AD2302" s="144"/>
      <c r="AE2302" s="130" t="s">
        <v>228</v>
      </c>
      <c r="AF2302" s="154" t="s">
        <v>187</v>
      </c>
      <c r="AG2302" s="144"/>
      <c r="AH2302" s="130" t="s">
        <v>228</v>
      </c>
      <c r="AI2302" s="154" t="s">
        <v>187</v>
      </c>
      <c r="AJ2302" s="144"/>
      <c r="AK2302" s="130" t="s">
        <v>228</v>
      </c>
      <c r="AL2302" s="154" t="s">
        <v>187</v>
      </c>
      <c r="AM2302" s="144"/>
      <c r="AN2302" s="130" t="s">
        <v>228</v>
      </c>
      <c r="AO2302" s="154" t="s">
        <v>187</v>
      </c>
      <c r="AP2302" s="144"/>
      <c r="AQ2302" s="130" t="s">
        <v>228</v>
      </c>
      <c r="AR2302" s="154" t="s">
        <v>187</v>
      </c>
      <c r="AS2302" s="144"/>
      <c r="AT2302" s="130" t="s">
        <v>228</v>
      </c>
      <c r="AU2302" s="154" t="s">
        <v>187</v>
      </c>
    </row>
    <row r="2303" spans="13:47" x14ac:dyDescent="0.25">
      <c r="M2303" s="20"/>
      <c r="N2303" s="20"/>
      <c r="O2303" s="7" t="s">
        <v>188</v>
      </c>
      <c r="P2303" s="7"/>
      <c r="Q2303" s="7"/>
      <c r="R2303" s="181">
        <f>P_1_minW-(R2301^2*R_up)+dpup_minQ</f>
        <v>100.49081397054177</v>
      </c>
      <c r="S2303" s="132"/>
      <c r="T2303" s="145"/>
      <c r="U2303" s="138">
        <f>P_1_minW-(U2301^2*R_up)+dpup_minQ</f>
        <v>98.360496908202734</v>
      </c>
      <c r="V2303" s="132"/>
      <c r="W2303" s="145"/>
      <c r="X2303" s="138">
        <f>P_1_minW-(X2301^2*R_up)+dpup_minQ</f>
        <v>87.29753541290431</v>
      </c>
      <c r="Y2303" s="132"/>
      <c r="Z2303" s="145"/>
      <c r="AA2303" s="138">
        <f>P_1_minW-(AA2301^2*R_up)+dpup_minQ</f>
        <v>50.350023443334415</v>
      </c>
      <c r="AB2303" s="132"/>
      <c r="AC2303" s="145"/>
      <c r="AD2303" s="138">
        <f>P_1_minW-(AD2301^2*R_up)+dpup_minQ</f>
        <v>-35.18519727953354</v>
      </c>
      <c r="AE2303" s="132"/>
      <c r="AF2303" s="145"/>
      <c r="AG2303" s="138">
        <f>P_1_minW-(AG2301^2*R_up)+dpup_minQ</f>
        <v>-166.44497242670596</v>
      </c>
      <c r="AH2303" s="132"/>
      <c r="AI2303" s="145"/>
      <c r="AJ2303" s="138">
        <f>P_1_minW-(AJ2301^2*R_up)+dpup_minQ</f>
        <v>-329.88959648701098</v>
      </c>
      <c r="AK2303" s="132"/>
      <c r="AL2303" s="145"/>
      <c r="AM2303" s="138">
        <f>P_1_minW-(AM2301^2*R_up)+dpup_minQ</f>
        <v>-491.26870750110584</v>
      </c>
      <c r="AN2303" s="132"/>
      <c r="AO2303" s="145"/>
      <c r="AP2303" s="138">
        <f>P_1_minW-(AP2301^2*R_up)+dpup_minQ</f>
        <v>-636.08947180679991</v>
      </c>
      <c r="AQ2303" s="132"/>
      <c r="AR2303" s="145"/>
      <c r="AS2303" s="138">
        <f>P_1_minW-(AS2301^2*R_up)+dpup_minQ</f>
        <v>-816.35017395934642</v>
      </c>
      <c r="AT2303" s="132"/>
      <c r="AU2303" s="145"/>
    </row>
    <row r="2304" spans="13:47" x14ac:dyDescent="0.25">
      <c r="M2304" s="20"/>
      <c r="N2304" s="20"/>
      <c r="O2304" s="7" t="s">
        <v>189</v>
      </c>
      <c r="P2304" s="1"/>
      <c r="Q2304" s="7"/>
      <c r="R2304" s="181">
        <f>P_2_minW+(R2301^2*R_dn)-dpdn_minQ</f>
        <v>50</v>
      </c>
      <c r="S2304" s="132"/>
      <c r="T2304" s="146"/>
      <c r="U2304" s="138">
        <f>P_2_minW+(U2301^2*R_dn)-dpdn_minQ</f>
        <v>50</v>
      </c>
      <c r="V2304" s="132"/>
      <c r="W2304" s="146"/>
      <c r="X2304" s="138">
        <f>P_2_minW+(X2301^2*R_dn)-dpdn_minQ</f>
        <v>50</v>
      </c>
      <c r="Y2304" s="132"/>
      <c r="Z2304" s="146"/>
      <c r="AA2304" s="138">
        <f>P_2_minW+(AA2301^2*R_dn)-dpdn_minQ</f>
        <v>50</v>
      </c>
      <c r="AB2304" s="132"/>
      <c r="AC2304" s="146"/>
      <c r="AD2304" s="138">
        <f>P_2_minW+(AD2301^2*R_dn)-dpdn_minQ</f>
        <v>50</v>
      </c>
      <c r="AE2304" s="132"/>
      <c r="AF2304" s="146"/>
      <c r="AG2304" s="138">
        <f>P_2_minW+(AG2301^2*R_dn)-dpdn_minQ</f>
        <v>50</v>
      </c>
      <c r="AH2304" s="132"/>
      <c r="AI2304" s="146"/>
      <c r="AJ2304" s="138">
        <f>P_2_minW+(AJ2301^2*R_dn)-dpdn_minQ</f>
        <v>50</v>
      </c>
      <c r="AK2304" s="132"/>
      <c r="AL2304" s="146"/>
      <c r="AM2304" s="138">
        <f>P_2_minW+(AM2301^2*R_dn)-dpdn_minQ</f>
        <v>50</v>
      </c>
      <c r="AN2304" s="132"/>
      <c r="AO2304" s="146"/>
      <c r="AP2304" s="138">
        <f>P_2_minW+(AP2301^2*R_dn)-dpdn_minQ</f>
        <v>50</v>
      </c>
      <c r="AQ2304" s="132"/>
      <c r="AR2304" s="146"/>
      <c r="AS2304" s="138">
        <f>P_2_minW+(AS2301^2*R_dn)-dpdn_minQ</f>
        <v>50</v>
      </c>
      <c r="AT2304" s="132"/>
      <c r="AU2304" s="146"/>
    </row>
    <row r="2305" spans="13:47" x14ac:dyDescent="0.25">
      <c r="M2305" s="20"/>
      <c r="N2305" s="20"/>
      <c r="O2305" s="7" t="s">
        <v>234</v>
      </c>
      <c r="P2305" s="1"/>
      <c r="Q2305" s="7"/>
      <c r="R2305" s="179">
        <f>'Valve Sizing'!G$8*R2303/P_1_maxW</f>
        <v>0.4847497953072149</v>
      </c>
      <c r="S2305" s="132"/>
      <c r="T2305" s="146"/>
      <c r="U2305" s="143">
        <f>'Valve Sizing'!$G$8*U2303/P_1_maxW</f>
        <v>0.47447352507806706</v>
      </c>
      <c r="V2305" s="132"/>
      <c r="W2305" s="146"/>
      <c r="X2305" s="143">
        <f>'Valve Sizing'!$G$8*X2303/P_1_maxW</f>
        <v>0.42110776846364084</v>
      </c>
      <c r="Y2305" s="132"/>
      <c r="Z2305" s="146"/>
      <c r="AA2305" s="143">
        <f>'Valve Sizing'!$G$8*AA2303/P_1_maxW</f>
        <v>0.2428795488214936</v>
      </c>
      <c r="AB2305" s="132"/>
      <c r="AC2305" s="146"/>
      <c r="AD2305" s="143">
        <f>'Valve Sizing'!$G$8*AD2303/P_1_maxW</f>
        <v>-0.16972712733820347</v>
      </c>
      <c r="AE2305" s="132"/>
      <c r="AF2305" s="146"/>
      <c r="AG2305" s="143">
        <f>'Valve Sizing'!$G$8*AG2303/P_1_maxW</f>
        <v>-0.80290091328559432</v>
      </c>
      <c r="AH2305" s="132"/>
      <c r="AI2305" s="146"/>
      <c r="AJ2305" s="143">
        <f>'Valve Sizing'!$G$8*AJ2303/P_1_maxW</f>
        <v>-1.5913286802307725</v>
      </c>
      <c r="AK2305" s="132"/>
      <c r="AL2305" s="146"/>
      <c r="AM2305" s="143">
        <f>'Valve Sizing'!$G$8*AM2303/P_1_maxW</f>
        <v>-2.3697927799829648</v>
      </c>
      <c r="AN2305" s="132"/>
      <c r="AO2305" s="146"/>
      <c r="AP2305" s="143">
        <f>'Valve Sizing'!$G$8*AP2303/P_1_maxW</f>
        <v>-3.0683823632457576</v>
      </c>
      <c r="AQ2305" s="132"/>
      <c r="AR2305" s="146"/>
      <c r="AS2305" s="143">
        <f>'Valve Sizing'!$G$8*AS2303/P_1_maxW</f>
        <v>-3.9379278969897378</v>
      </c>
      <c r="AT2305" s="132"/>
      <c r="AU2305" s="146"/>
    </row>
    <row r="2306" spans="13:47" x14ac:dyDescent="0.25">
      <c r="M2306" s="20"/>
      <c r="N2306" s="20"/>
      <c r="O2306" s="7" t="s">
        <v>190</v>
      </c>
      <c r="P2306" s="1"/>
      <c r="Q2306" s="7"/>
      <c r="R2306" s="181">
        <f>R2303-R2304</f>
        <v>50.490813970541765</v>
      </c>
      <c r="S2306" s="132"/>
      <c r="T2306" s="146"/>
      <c r="U2306" s="138">
        <f>U2303-U2304</f>
        <v>48.360496908202734</v>
      </c>
      <c r="V2306" s="132"/>
      <c r="W2306" s="146"/>
      <c r="X2306" s="138">
        <f>X2303-X2304</f>
        <v>37.29753541290431</v>
      </c>
      <c r="Y2306" s="132"/>
      <c r="Z2306" s="146"/>
      <c r="AA2306" s="138">
        <f>AA2303-AA2304</f>
        <v>0.35002344333441471</v>
      </c>
      <c r="AB2306" s="132"/>
      <c r="AC2306" s="146"/>
      <c r="AD2306" s="138">
        <f>AD2303-AD2304</f>
        <v>-85.18519727953354</v>
      </c>
      <c r="AE2306" s="132"/>
      <c r="AF2306" s="146"/>
      <c r="AG2306" s="138">
        <f>AG2303-AG2304</f>
        <v>-216.44497242670596</v>
      </c>
      <c r="AH2306" s="132"/>
      <c r="AI2306" s="146"/>
      <c r="AJ2306" s="138">
        <f>AJ2303-AJ2304</f>
        <v>-379.88959648701098</v>
      </c>
      <c r="AK2306" s="132"/>
      <c r="AL2306" s="146"/>
      <c r="AM2306" s="138">
        <f>AM2303-AM2304</f>
        <v>-541.26870750110584</v>
      </c>
      <c r="AN2306" s="132"/>
      <c r="AO2306" s="146"/>
      <c r="AP2306" s="138">
        <f>AP2303-AP2304</f>
        <v>-686.08947180679991</v>
      </c>
      <c r="AQ2306" s="132"/>
      <c r="AR2306" s="146"/>
      <c r="AS2306" s="138">
        <f>AS2303-AS2304</f>
        <v>-866.35017395934642</v>
      </c>
      <c r="AT2306" s="132"/>
      <c r="AU2306" s="146"/>
    </row>
    <row r="2307" spans="13:47" ht="14.5" x14ac:dyDescent="0.35">
      <c r="M2307" s="27"/>
      <c r="N2307" s="27"/>
      <c r="O2307" s="2" t="s">
        <v>191</v>
      </c>
      <c r="P2307" s="10"/>
      <c r="Q2307" s="2"/>
      <c r="R2307" s="181">
        <f>R2306/R2303</f>
        <v>0.50244208376442068</v>
      </c>
      <c r="S2307" s="132"/>
      <c r="T2307" s="146"/>
      <c r="U2307" s="138">
        <f>U2306/U2303</f>
        <v>0.49166584582565004</v>
      </c>
      <c r="V2307" s="132"/>
      <c r="W2307" s="146"/>
      <c r="X2307" s="138">
        <f>X2306/X2303</f>
        <v>0.42724614430971658</v>
      </c>
      <c r="Y2307" s="132"/>
      <c r="Z2307" s="146"/>
      <c r="AA2307" s="138">
        <f>AA2306/AA2303</f>
        <v>6.9518029863152439E-3</v>
      </c>
      <c r="AB2307" s="132"/>
      <c r="AC2307" s="146"/>
      <c r="AD2307" s="138">
        <f>AD2306/AD2303</f>
        <v>2.421052143114852</v>
      </c>
      <c r="AE2307" s="132"/>
      <c r="AF2307" s="146"/>
      <c r="AG2307" s="138">
        <f>AG2306/AG2303</f>
        <v>1.3003995811409534</v>
      </c>
      <c r="AH2307" s="132"/>
      <c r="AI2307" s="146"/>
      <c r="AJ2307" s="138">
        <f>AJ2306/AJ2303</f>
        <v>1.1515658587977591</v>
      </c>
      <c r="AK2307" s="132"/>
      <c r="AL2307" s="146"/>
      <c r="AM2307" s="138">
        <f>AM2306/AM2303</f>
        <v>1.1017772946588247</v>
      </c>
      <c r="AN2307" s="132"/>
      <c r="AO2307" s="146"/>
      <c r="AP2307" s="138">
        <f>AP2306/AP2303</f>
        <v>1.0786052940916879</v>
      </c>
      <c r="AQ2307" s="132"/>
      <c r="AR2307" s="146"/>
      <c r="AS2307" s="138">
        <f>AS2306/AS2303</f>
        <v>1.0612482260614915</v>
      </c>
      <c r="AT2307" s="132"/>
      <c r="AU2307" s="146"/>
    </row>
    <row r="2308" spans="13:47" x14ac:dyDescent="0.25">
      <c r="M2308" s="27"/>
      <c r="N2308" s="27"/>
      <c r="O2308" s="2" t="s">
        <v>26</v>
      </c>
      <c r="P2308" s="7">
        <v>12</v>
      </c>
      <c r="Q2308" s="2"/>
      <c r="R2308" s="181">
        <f>1-R2307/(3*F_GAMMA*R$29)</f>
        <v>0.73832240522700809</v>
      </c>
      <c r="S2308" s="133"/>
      <c r="T2308" s="146"/>
      <c r="U2308" s="138">
        <f>1-U2307/(3*F_GAMMA*U$29)</f>
        <v>0.74399117261373426</v>
      </c>
      <c r="V2308" s="133"/>
      <c r="W2308" s="146"/>
      <c r="X2308" s="138">
        <f>1-X2307/(3*F_GAMMA*X$29)</f>
        <v>0.77419696488023038</v>
      </c>
      <c r="Y2308" s="133"/>
      <c r="Z2308" s="146"/>
      <c r="AA2308" s="138">
        <f>1-AA2307/(3*F_GAMMA*AA$29)</f>
        <v>0.99627553921674439</v>
      </c>
      <c r="AB2308" s="133"/>
      <c r="AC2308" s="146"/>
      <c r="AD2308" s="138">
        <f>1-AD2307/(3*F_GAMMA*AD$29)</f>
        <v>-0.33265339438988106</v>
      </c>
      <c r="AE2308" s="133"/>
      <c r="AF2308" s="146"/>
      <c r="AG2308" s="138">
        <f>1-AG2307/(3*F_GAMMA*AG$29)</f>
        <v>0.24337278484359659</v>
      </c>
      <c r="AH2308" s="133"/>
      <c r="AI2308" s="146"/>
      <c r="AJ2308" s="138">
        <f>1-AJ2307/(3*F_GAMMA*AJ$29)</f>
        <v>0.28372939134464836</v>
      </c>
      <c r="AK2308" s="133"/>
      <c r="AL2308" s="146"/>
      <c r="AM2308" s="138">
        <f>1-AM2307/(3*F_GAMMA*AM$29)</f>
        <v>0.25123758590355094</v>
      </c>
      <c r="AN2308" s="133"/>
      <c r="AO2308" s="146"/>
      <c r="AP2308" s="138">
        <f>1-AP2307/(3*F_GAMMA*AP$29)</f>
        <v>0.39424254015633364</v>
      </c>
      <c r="AQ2308" s="133"/>
      <c r="AR2308" s="146"/>
      <c r="AS2308" s="138">
        <f>1-AS2307/(3*F_GAMMA*AS$29)</f>
        <v>9.5205750736536587E-2</v>
      </c>
      <c r="AT2308" s="133"/>
      <c r="AU2308" s="146"/>
    </row>
    <row r="2309" spans="13:47" x14ac:dyDescent="0.25">
      <c r="M2309" s="27"/>
      <c r="N2309" s="27"/>
      <c r="O2309" s="2" t="s">
        <v>71</v>
      </c>
      <c r="P2309" s="85">
        <v>5</v>
      </c>
      <c r="Q2309" s="2"/>
      <c r="R2309" s="179">
        <f>R2301/((N_6*R$27*R2308)*SQRT(R2307*R2303*R2305))</f>
        <v>1.2248136302026271</v>
      </c>
      <c r="S2309" s="133"/>
      <c r="T2309" s="146"/>
      <c r="U2309" s="143">
        <f>U2301/((N_6*U$27*U2308)*SQRT(U2307*U2303*U2305))</f>
        <v>10.329961893955875</v>
      </c>
      <c r="V2309" s="133"/>
      <c r="W2309" s="146"/>
      <c r="X2309" s="143">
        <f>X2301/((N_6*X$27*X2308)*SQRT(X2307*X2303*X2305))</f>
        <v>29.739670398231457</v>
      </c>
      <c r="Y2309" s="133"/>
      <c r="Z2309" s="146"/>
      <c r="AA2309" s="143">
        <f>AA2301/((N_6*AA$27*AA2308)*SQRT(AA2307*AA2303*AA2305))</f>
        <v>615.3517319375419</v>
      </c>
      <c r="AB2309" s="133"/>
      <c r="AC2309" s="146"/>
      <c r="AD2309" s="143">
        <f>AD2301/((N_6*AD$27*AD2308)*SQRT(AD2307*AD2303*AD2305))</f>
        <v>-235.18555704289722</v>
      </c>
      <c r="AE2309" s="133"/>
      <c r="AF2309" s="146"/>
      <c r="AG2309" s="143">
        <f>AG2301/((N_6*AG$27*AG2308)*SQRT(AG2307*AG2303*AG2305))</f>
        <v>132.85594595154726</v>
      </c>
      <c r="AH2309" s="133"/>
      <c r="AI2309" s="146"/>
      <c r="AJ2309" s="143">
        <f>AJ2301/((N_6*AJ$27*AJ2308)*SQRT(AJ2307*AJ2303*AJ2305))</f>
        <v>80.244875906380884</v>
      </c>
      <c r="AK2309" s="133"/>
      <c r="AL2309" s="146"/>
      <c r="AM2309" s="143">
        <f>AM2301/((N_6*AM$27*AM2308)*SQRT(AM2307*AM2303*AM2305))</f>
        <v>77.430176291797835</v>
      </c>
      <c r="AN2309" s="133"/>
      <c r="AO2309" s="146"/>
      <c r="AP2309" s="143">
        <f>AP2301/((N_6*AP$27*AP2308)*SQRT(AP2307*AP2303*AP2305))</f>
        <v>48.813184272218585</v>
      </c>
      <c r="AQ2309" s="133"/>
      <c r="AR2309" s="146"/>
      <c r="AS2309" s="143">
        <f>AS2301/((N_6*AS$27*AS2308)*SQRT(AS2307*AS2303*AS2305))</f>
        <v>232.7686430746117</v>
      </c>
      <c r="AT2309" s="133"/>
      <c r="AU2309" s="146"/>
    </row>
    <row r="2310" spans="13:47" x14ac:dyDescent="0.25">
      <c r="M2310" s="27"/>
      <c r="N2310" s="27"/>
      <c r="O2310" s="2" t="s">
        <v>73</v>
      </c>
      <c r="P2310" s="85">
        <v>5</v>
      </c>
      <c r="Q2310" s="2"/>
      <c r="R2310" s="179">
        <f>R2301/((N_6*R$27*0.667)*SQRT(R2311*R2303*R2305))</f>
        <v>1.2012519940105015</v>
      </c>
      <c r="S2310" s="133"/>
      <c r="T2310" s="147"/>
      <c r="U2310" s="143">
        <f>U2301/((N_6*U$27*0.667)*SQRT(U2311*U2303*U2305))</f>
        <v>10.097846528442936</v>
      </c>
      <c r="V2310" s="133"/>
      <c r="W2310" s="155"/>
      <c r="X2310" s="143">
        <f>X2301/((N_6*X$27*0.667)*SQRT(X2311*X2303*X2305))</f>
        <v>28.411050782827729</v>
      </c>
      <c r="Y2310" s="133"/>
      <c r="Z2310" s="155"/>
      <c r="AA2310" s="143">
        <f>AA2301/((N_6*AA$27*0.667)*SQRT(AA2311*AA2303*AA2305))</f>
        <v>97.155947412660751</v>
      </c>
      <c r="AB2310" s="133"/>
      <c r="AC2310" s="155"/>
      <c r="AD2310" s="143">
        <f>AD2301/((N_6*AD$27*0.667)*SQRT(AD2311*AD2303*AD2305))</f>
        <v>234.52870499080862</v>
      </c>
      <c r="AE2310" s="133"/>
      <c r="AF2310" s="155"/>
      <c r="AG2310" s="143">
        <f>AG2301/((N_6*AG$27*0.667)*SQRT(AG2311*AG2303*AG2305))</f>
        <v>73.034621057444568</v>
      </c>
      <c r="AH2310" s="133"/>
      <c r="AI2310" s="155"/>
      <c r="AJ2310" s="143">
        <f>AJ2301/((N_6*AJ$27*0.667)*SQRT(AJ2311*AJ2303*AJ2305))</f>
        <v>50.037429936804457</v>
      </c>
      <c r="AK2310" s="133"/>
      <c r="AL2310" s="155"/>
      <c r="AM2310" s="143">
        <f>AM2301/((N_6*AM$27*0.667)*SQRT(AM2311*AM2303*AM2305))</f>
        <v>43.712099991523608</v>
      </c>
      <c r="AN2310" s="133"/>
      <c r="AO2310" s="155"/>
      <c r="AP2310" s="143">
        <f>AP2301/((N_6*AP$27*0.667)*SQRT(AP2311*AP2303*AP2305))</f>
        <v>38.89419638101807</v>
      </c>
      <c r="AQ2310" s="133"/>
      <c r="AR2310" s="155"/>
      <c r="AS2310" s="143">
        <f>AS2301/((N_6*AS$27*0.667)*SQRT(AS2311*AS2303*AS2305))</f>
        <v>54.739063886051319</v>
      </c>
      <c r="AT2310" s="133"/>
      <c r="AU2310" s="155"/>
    </row>
    <row r="2311" spans="13:47" ht="15.5" x14ac:dyDescent="0.4">
      <c r="M2311" s="27"/>
      <c r="N2311" s="27"/>
      <c r="O2311" s="2" t="s">
        <v>192</v>
      </c>
      <c r="P2311" s="85">
        <v>10</v>
      </c>
      <c r="Q2311" s="2"/>
      <c r="R2311" s="181">
        <f>F_GAMMA*R$29</f>
        <v>0.64002688015162901</v>
      </c>
      <c r="S2311" s="133"/>
      <c r="T2311" s="147"/>
      <c r="U2311" s="138">
        <f>F_GAMMA*U$29</f>
        <v>0.64016782916606918</v>
      </c>
      <c r="V2311" s="133"/>
      <c r="W2311" s="155"/>
      <c r="X2311" s="138">
        <f>F_GAMMA*X$29</f>
        <v>0.6307062319203669</v>
      </c>
      <c r="Y2311" s="133"/>
      <c r="Z2311" s="155"/>
      <c r="AA2311" s="138">
        <f>F_GAMMA*AA$29</f>
        <v>0.62217534213893466</v>
      </c>
      <c r="AB2311" s="133"/>
      <c r="AC2311" s="155"/>
      <c r="AD2311" s="138">
        <f>F_GAMMA*AD$29</f>
        <v>0.60557184969146072</v>
      </c>
      <c r="AE2311" s="133"/>
      <c r="AF2311" s="155"/>
      <c r="AG2311" s="138">
        <f>F_GAMMA*AG$29</f>
        <v>0.57289312142622573</v>
      </c>
      <c r="AH2311" s="133"/>
      <c r="AI2311" s="155"/>
      <c r="AJ2311" s="138">
        <f>F_GAMMA*AJ$29</f>
        <v>0.53590819116049981</v>
      </c>
      <c r="AK2311" s="133"/>
      <c r="AL2311" s="155"/>
      <c r="AM2311" s="138">
        <f>F_GAMMA*AM$29</f>
        <v>0.49048815926850342</v>
      </c>
      <c r="AN2311" s="133"/>
      <c r="AO2311" s="155"/>
      <c r="AP2311" s="138">
        <f>F_GAMMA*AP$29</f>
        <v>0.59352979016280105</v>
      </c>
      <c r="AQ2311" s="133"/>
      <c r="AR2311" s="155"/>
      <c r="AS2311" s="138">
        <f>F_GAMMA*AS$29</f>
        <v>0.39097221161068291</v>
      </c>
      <c r="AT2311" s="133"/>
      <c r="AU2311" s="155"/>
    </row>
    <row r="2312" spans="13:47" x14ac:dyDescent="0.25">
      <c r="M2312" s="27"/>
      <c r="N2312" s="27"/>
      <c r="O2312" s="2" t="s">
        <v>193</v>
      </c>
      <c r="P2312" s="134"/>
      <c r="Q2312" s="2"/>
      <c r="R2312" s="181">
        <f>IF(R2307&lt;R2311,R2309,R2310)</f>
        <v>1.2248136302026271</v>
      </c>
      <c r="S2312" s="133"/>
      <c r="T2312" s="147"/>
      <c r="U2312" s="138">
        <f>IF(U2307&lt;U2311,U2309,U2310)</f>
        <v>10.329961893955875</v>
      </c>
      <c r="V2312" s="133"/>
      <c r="W2312" s="155"/>
      <c r="X2312" s="138">
        <f>IF(X2307&lt;X2311,X2309,X2310)</f>
        <v>29.739670398231457</v>
      </c>
      <c r="Y2312" s="133"/>
      <c r="Z2312" s="155"/>
      <c r="AA2312" s="138">
        <f>IF(AA2307&lt;AA2311,AA2309,AA2310)</f>
        <v>615.3517319375419</v>
      </c>
      <c r="AB2312" s="133"/>
      <c r="AC2312" s="155"/>
      <c r="AD2312" s="138">
        <f>IF(AD2307&lt;AD2311,AD2309,AD2310)</f>
        <v>234.52870499080862</v>
      </c>
      <c r="AE2312" s="133"/>
      <c r="AF2312" s="155"/>
      <c r="AG2312" s="138">
        <f>IF(AG2307&lt;AG2311,AG2309,AG2310)</f>
        <v>73.034621057444568</v>
      </c>
      <c r="AH2312" s="133"/>
      <c r="AI2312" s="155"/>
      <c r="AJ2312" s="138">
        <f>IF(AJ2307&lt;AJ2311,AJ2309,AJ2310)</f>
        <v>50.037429936804457</v>
      </c>
      <c r="AK2312" s="133"/>
      <c r="AL2312" s="155"/>
      <c r="AM2312" s="138">
        <f>IF(AM2307&lt;AM2311,AM2309,AM2310)</f>
        <v>43.712099991523608</v>
      </c>
      <c r="AN2312" s="133"/>
      <c r="AO2312" s="155"/>
      <c r="AP2312" s="138">
        <f>IF(AP2307&lt;AP2311,AP2309,AP2310)</f>
        <v>38.89419638101807</v>
      </c>
      <c r="AQ2312" s="133"/>
      <c r="AR2312" s="155"/>
      <c r="AS2312" s="138">
        <f>IF(AS2307&lt;AS2311,AS2309,AS2310)</f>
        <v>54.739063886051319</v>
      </c>
      <c r="AT2312" s="133"/>
      <c r="AU2312" s="155"/>
    </row>
    <row r="2313" spans="13:47" ht="13" x14ac:dyDescent="0.3">
      <c r="M2313" s="28"/>
      <c r="N2313" s="28"/>
      <c r="O2313" s="9" t="s">
        <v>194</v>
      </c>
      <c r="P2313" s="1"/>
      <c r="Q2313" s="1"/>
      <c r="R2313" s="135"/>
      <c r="S2313" s="132">
        <f>IF(R2306&lt;=0,W_max,ABS(R$23-R2312))</f>
        <v>0.77518636979737288</v>
      </c>
      <c r="T2313" s="151">
        <f>R2301</f>
        <v>283.16091831071287</v>
      </c>
      <c r="U2313" s="135"/>
      <c r="V2313" s="132">
        <f>IF(U2306&lt;=0,W_max,ABS(U$23-U2312))</f>
        <v>5.3299618939558755</v>
      </c>
      <c r="W2313" s="151">
        <f>U2301</f>
        <v>2328.6282344372635</v>
      </c>
      <c r="X2313" s="135"/>
      <c r="Y2313" s="132">
        <f>IF(X2306&lt;=0,W_max,ABS(X$23-X2312))</f>
        <v>19.739670398231457</v>
      </c>
      <c r="Z2313" s="151">
        <f>X2301</f>
        <v>5758.9747337716099</v>
      </c>
      <c r="AA2313" s="135"/>
      <c r="AB2313" s="132">
        <f>IF(AA2306&lt;=0,W_max,ABS(AA$23-AA2312))</f>
        <v>598.15173193754185</v>
      </c>
      <c r="AC2313" s="151">
        <f>AA2301</f>
        <v>11217.012829500727</v>
      </c>
      <c r="AD2313" s="135"/>
      <c r="AE2313" s="132">
        <f>IF(AD2306&lt;=0,W_max,ABS(AD$23-AD2312))</f>
        <v>7174</v>
      </c>
      <c r="AF2313" s="151">
        <f>AD2301</f>
        <v>18447.856245427978</v>
      </c>
      <c r="AG2313" s="135"/>
      <c r="AH2313" s="132">
        <f>IF(AG2306&lt;=0,W_max,ABS(AG$23-AG2312))</f>
        <v>7174</v>
      </c>
      <c r="AI2313" s="151">
        <f>AG2301</f>
        <v>25874.538614001907</v>
      </c>
      <c r="AJ2313" s="135"/>
      <c r="AK2313" s="132">
        <f>IF(AJ2306&lt;=0,W_max,ABS(AJ$23-AJ2312))</f>
        <v>7174</v>
      </c>
      <c r="AL2313" s="151">
        <f>AJ2301</f>
        <v>32853.798192975155</v>
      </c>
      <c r="AM2313" s="135"/>
      <c r="AN2313" s="132">
        <f>IF(AM2306&lt;=0,W_max,ABS(AM$23-AM2312))</f>
        <v>7174</v>
      </c>
      <c r="AO2313" s="151">
        <f>AM2301</f>
        <v>38523.662165715468</v>
      </c>
      <c r="AP2313" s="135"/>
      <c r="AQ2313" s="132">
        <f>IF(AP2306&lt;=0,W_max,ABS(AP$23-AP2312))</f>
        <v>7174</v>
      </c>
      <c r="AR2313" s="151">
        <f>AP2301</f>
        <v>42979.630475917002</v>
      </c>
      <c r="AS2313" s="135"/>
      <c r="AT2313" s="132">
        <f>IF(AS2306&lt;=0,W_max,ABS(AS$23-AS2312))</f>
        <v>7174</v>
      </c>
      <c r="AU2313" s="151">
        <f>AS2301</f>
        <v>47951.013273352568</v>
      </c>
    </row>
    <row r="2314" spans="13:47" ht="13" x14ac:dyDescent="0.25">
      <c r="M2314" s="12"/>
      <c r="N2314" s="12"/>
      <c r="O2314" s="12"/>
      <c r="P2314" s="12"/>
      <c r="Q2314" s="12"/>
      <c r="R2314" s="182"/>
      <c r="S2314" s="22"/>
      <c r="T2314" s="152"/>
      <c r="U2314" s="157"/>
      <c r="V2314" s="1"/>
      <c r="W2314" s="147"/>
      <c r="X2314" s="157"/>
      <c r="Y2314" s="1"/>
      <c r="Z2314" s="147"/>
      <c r="AA2314" s="157"/>
      <c r="AB2314" s="1"/>
      <c r="AC2314" s="147"/>
      <c r="AD2314" s="157"/>
      <c r="AE2314" s="1"/>
      <c r="AF2314" s="147"/>
      <c r="AG2314" s="157"/>
      <c r="AH2314" s="1"/>
      <c r="AI2314" s="147"/>
      <c r="AJ2314" s="157"/>
      <c r="AK2314" s="1"/>
      <c r="AL2314" s="147"/>
      <c r="AM2314" s="157"/>
      <c r="AN2314" s="1"/>
      <c r="AO2314" s="147"/>
      <c r="AP2314" s="157"/>
      <c r="AQ2314" s="1"/>
      <c r="AR2314" s="147"/>
      <c r="AS2314" s="157"/>
      <c r="AT2314" s="1"/>
      <c r="AU2314" s="147"/>
    </row>
    <row r="2315" spans="13:47" ht="14" x14ac:dyDescent="0.3">
      <c r="M2315" s="23"/>
      <c r="N2315" s="23"/>
      <c r="O2315" s="23" t="s">
        <v>238</v>
      </c>
      <c r="P2315" s="20"/>
      <c r="Q2315" s="20"/>
      <c r="R2315" s="18">
        <f>R2301*1.02</f>
        <v>288.82413667692714</v>
      </c>
      <c r="S2315" s="128" t="s">
        <v>185</v>
      </c>
      <c r="T2315" s="153" t="s">
        <v>186</v>
      </c>
      <c r="U2315" s="143">
        <f>U2301*1.01</f>
        <v>2351.9145167816359</v>
      </c>
      <c r="V2315" s="128" t="s">
        <v>185</v>
      </c>
      <c r="W2315" s="153" t="s">
        <v>186</v>
      </c>
      <c r="X2315" s="143">
        <f>X2301*1.01</f>
        <v>5816.5644811093262</v>
      </c>
      <c r="Y2315" s="128" t="s">
        <v>185</v>
      </c>
      <c r="Z2315" s="153" t="s">
        <v>186</v>
      </c>
      <c r="AA2315" s="143">
        <f>AA2301*1.01</f>
        <v>11329.182957795734</v>
      </c>
      <c r="AB2315" s="128" t="s">
        <v>185</v>
      </c>
      <c r="AC2315" s="153" t="s">
        <v>186</v>
      </c>
      <c r="AD2315" s="143">
        <f>AD2301*1.01</f>
        <v>18632.334807882256</v>
      </c>
      <c r="AE2315" s="128" t="s">
        <v>185</v>
      </c>
      <c r="AF2315" s="153" t="s">
        <v>186</v>
      </c>
      <c r="AG2315" s="143">
        <f>AG2301*1.01</f>
        <v>26133.284000141928</v>
      </c>
      <c r="AH2315" s="128" t="s">
        <v>185</v>
      </c>
      <c r="AI2315" s="153" t="s">
        <v>186</v>
      </c>
      <c r="AJ2315" s="143">
        <f>AJ2301*1.01</f>
        <v>33182.336174904907</v>
      </c>
      <c r="AK2315" s="128" t="s">
        <v>185</v>
      </c>
      <c r="AL2315" s="153" t="s">
        <v>186</v>
      </c>
      <c r="AM2315" s="143">
        <f>AM2301*1.01</f>
        <v>38908.898787372622</v>
      </c>
      <c r="AN2315" s="128" t="s">
        <v>185</v>
      </c>
      <c r="AO2315" s="153" t="s">
        <v>186</v>
      </c>
      <c r="AP2315" s="143">
        <f>AP2301*1.01</f>
        <v>43409.426780676171</v>
      </c>
      <c r="AQ2315" s="128" t="s">
        <v>185</v>
      </c>
      <c r="AR2315" s="153" t="s">
        <v>186</v>
      </c>
      <c r="AS2315" s="143">
        <f>AS2301*1.01</f>
        <v>48430.523406086097</v>
      </c>
      <c r="AT2315" s="128" t="s">
        <v>185</v>
      </c>
      <c r="AU2315" s="153" t="s">
        <v>186</v>
      </c>
    </row>
    <row r="2316" spans="13:47" ht="14" x14ac:dyDescent="0.3">
      <c r="M2316" s="12"/>
      <c r="N2316" s="12"/>
      <c r="O2316" s="20"/>
      <c r="P2316" s="20"/>
      <c r="Q2316" s="23"/>
      <c r="R2316" s="139"/>
      <c r="S2316" s="130" t="s">
        <v>228</v>
      </c>
      <c r="T2316" s="154" t="s">
        <v>187</v>
      </c>
      <c r="U2316" s="144"/>
      <c r="V2316" s="130" t="s">
        <v>228</v>
      </c>
      <c r="W2316" s="154" t="s">
        <v>187</v>
      </c>
      <c r="X2316" s="144"/>
      <c r="Y2316" s="130" t="s">
        <v>228</v>
      </c>
      <c r="Z2316" s="154" t="s">
        <v>187</v>
      </c>
      <c r="AA2316" s="144"/>
      <c r="AB2316" s="130" t="s">
        <v>228</v>
      </c>
      <c r="AC2316" s="154" t="s">
        <v>187</v>
      </c>
      <c r="AD2316" s="144"/>
      <c r="AE2316" s="130" t="s">
        <v>228</v>
      </c>
      <c r="AF2316" s="154" t="s">
        <v>187</v>
      </c>
      <c r="AG2316" s="144"/>
      <c r="AH2316" s="130" t="s">
        <v>228</v>
      </c>
      <c r="AI2316" s="154" t="s">
        <v>187</v>
      </c>
      <c r="AJ2316" s="144"/>
      <c r="AK2316" s="130" t="s">
        <v>228</v>
      </c>
      <c r="AL2316" s="154" t="s">
        <v>187</v>
      </c>
      <c r="AM2316" s="144"/>
      <c r="AN2316" s="130" t="s">
        <v>228</v>
      </c>
      <c r="AO2316" s="154" t="s">
        <v>187</v>
      </c>
      <c r="AP2316" s="144"/>
      <c r="AQ2316" s="130" t="s">
        <v>228</v>
      </c>
      <c r="AR2316" s="154" t="s">
        <v>187</v>
      </c>
      <c r="AS2316" s="144"/>
      <c r="AT2316" s="130" t="s">
        <v>228</v>
      </c>
      <c r="AU2316" s="154" t="s">
        <v>187</v>
      </c>
    </row>
    <row r="2317" spans="13:47" x14ac:dyDescent="0.25">
      <c r="M2317" s="20"/>
      <c r="N2317" s="20"/>
      <c r="O2317" s="7" t="s">
        <v>188</v>
      </c>
      <c r="P2317" s="7"/>
      <c r="Q2317" s="7"/>
      <c r="R2317" s="181">
        <f>P_1_minW-(R2315^2*R_up)+dpup_minQ</f>
        <v>100.48952227078789</v>
      </c>
      <c r="S2317" s="132"/>
      <c r="T2317" s="145"/>
      <c r="U2317" s="138">
        <f>P_1_minW-(U2315^2*R_up)+dpup_minQ</f>
        <v>98.317034882649395</v>
      </c>
      <c r="V2317" s="132"/>
      <c r="W2317" s="145"/>
      <c r="X2317" s="138">
        <f>P_1_minW-(X2315^2*R_up)+dpup_minQ</f>
        <v>87.031707861295473</v>
      </c>
      <c r="Y2317" s="132"/>
      <c r="Z2317" s="145"/>
      <c r="AA2317" s="138">
        <f>P_1_minW-(AA2315^2*R_up)+dpup_minQ</f>
        <v>49.341550901137232</v>
      </c>
      <c r="AB2317" s="132"/>
      <c r="AC2317" s="145"/>
      <c r="AD2317" s="138">
        <f>P_1_minW-(AD2315^2*R_up)+dpup_minQ</f>
        <v>-37.912927758260352</v>
      </c>
      <c r="AE2317" s="132"/>
      <c r="AF2317" s="145"/>
      <c r="AG2317" s="138">
        <f>P_1_minW-(AG2315^2*R_up)+dpup_minQ</f>
        <v>-171.81102438589099</v>
      </c>
      <c r="AH2317" s="132"/>
      <c r="AI2317" s="145"/>
      <c r="AJ2317" s="138">
        <f>P_1_minW-(AJ2315^2*R_up)+dpup_minQ</f>
        <v>-338.54088538980807</v>
      </c>
      <c r="AK2317" s="132"/>
      <c r="AL2317" s="145"/>
      <c r="AM2317" s="138">
        <f>P_1_minW-(AM2315^2*R_up)+dpup_minQ</f>
        <v>-503.16371653528631</v>
      </c>
      <c r="AN2317" s="132"/>
      <c r="AO2317" s="145"/>
      <c r="AP2317" s="138">
        <f>P_1_minW-(AP2315^2*R_up)+dpup_minQ</f>
        <v>-650.89537820352473</v>
      </c>
      <c r="AQ2317" s="132"/>
      <c r="AR2317" s="145"/>
      <c r="AS2317" s="138">
        <f>P_1_minW-(AS2315^2*R_up)+dpup_minQ</f>
        <v>-834.77932046933756</v>
      </c>
      <c r="AT2317" s="132"/>
      <c r="AU2317" s="145"/>
    </row>
    <row r="2318" spans="13:47" x14ac:dyDescent="0.25">
      <c r="M2318" s="20"/>
      <c r="N2318" s="20"/>
      <c r="O2318" s="7" t="s">
        <v>189</v>
      </c>
      <c r="P2318" s="1"/>
      <c r="Q2318" s="7"/>
      <c r="R2318" s="181">
        <f>P_2_minW+(R2315^2*R_dn)-dpdn_minQ</f>
        <v>50</v>
      </c>
      <c r="S2318" s="132"/>
      <c r="T2318" s="146"/>
      <c r="U2318" s="138">
        <f>P_2_minW+(U2315^2*R_dn)-dpdn_minQ</f>
        <v>50</v>
      </c>
      <c r="V2318" s="132"/>
      <c r="W2318" s="146"/>
      <c r="X2318" s="138">
        <f>P_2_minW+(X2315^2*R_dn)-dpdn_minQ</f>
        <v>50</v>
      </c>
      <c r="Y2318" s="132"/>
      <c r="Z2318" s="146"/>
      <c r="AA2318" s="138">
        <f>P_2_minW+(AA2315^2*R_dn)-dpdn_minQ</f>
        <v>50</v>
      </c>
      <c r="AB2318" s="132"/>
      <c r="AC2318" s="146"/>
      <c r="AD2318" s="138">
        <f>P_2_minW+(AD2315^2*R_dn)-dpdn_minQ</f>
        <v>50</v>
      </c>
      <c r="AE2318" s="132"/>
      <c r="AF2318" s="146"/>
      <c r="AG2318" s="138">
        <f>P_2_minW+(AG2315^2*R_dn)-dpdn_minQ</f>
        <v>50</v>
      </c>
      <c r="AH2318" s="132"/>
      <c r="AI2318" s="146"/>
      <c r="AJ2318" s="138">
        <f>P_2_minW+(AJ2315^2*R_dn)-dpdn_minQ</f>
        <v>50</v>
      </c>
      <c r="AK2318" s="132"/>
      <c r="AL2318" s="146"/>
      <c r="AM2318" s="138">
        <f>P_2_minW+(AM2315^2*R_dn)-dpdn_minQ</f>
        <v>50</v>
      </c>
      <c r="AN2318" s="132"/>
      <c r="AO2318" s="146"/>
      <c r="AP2318" s="138">
        <f>P_2_minW+(AP2315^2*R_dn)-dpdn_minQ</f>
        <v>50</v>
      </c>
      <c r="AQ2318" s="132"/>
      <c r="AR2318" s="146"/>
      <c r="AS2318" s="138">
        <f>P_2_minW+(AS2315^2*R_dn)-dpdn_minQ</f>
        <v>50</v>
      </c>
      <c r="AT2318" s="132"/>
      <c r="AU2318" s="146"/>
    </row>
    <row r="2319" spans="13:47" x14ac:dyDescent="0.25">
      <c r="M2319" s="20"/>
      <c r="N2319" s="20"/>
      <c r="O2319" s="7" t="s">
        <v>234</v>
      </c>
      <c r="P2319" s="1"/>
      <c r="Q2319" s="7"/>
      <c r="R2319" s="179">
        <f>'Valve Sizing'!G$8*R2317/P_1_maxW</f>
        <v>0.48474356437757515</v>
      </c>
      <c r="S2319" s="132"/>
      <c r="T2319" s="146"/>
      <c r="U2319" s="143">
        <f>'Valve Sizing'!$G$8*U2317/P_1_maxW</f>
        <v>0.47426387200473447</v>
      </c>
      <c r="V2319" s="132"/>
      <c r="W2319" s="146"/>
      <c r="X2319" s="143">
        <f>'Valve Sizing'!$G$8*X2317/P_1_maxW</f>
        <v>0.41982546368235835</v>
      </c>
      <c r="Y2319" s="132"/>
      <c r="Z2319" s="146"/>
      <c r="AA2319" s="143">
        <f>'Valve Sizing'!$G$8*AA2317/P_1_maxW</f>
        <v>0.23801485682540391</v>
      </c>
      <c r="AB2319" s="132"/>
      <c r="AC2319" s="146"/>
      <c r="AD2319" s="143">
        <f>'Valve Sizing'!$G$8*AD2317/P_1_maxW</f>
        <v>-0.18288521352510298</v>
      </c>
      <c r="AE2319" s="132"/>
      <c r="AF2319" s="146"/>
      <c r="AG2319" s="143">
        <f>'Valve Sizing'!$G$8*AG2317/P_1_maxW</f>
        <v>-0.82878579257003671</v>
      </c>
      <c r="AH2319" s="132"/>
      <c r="AI2319" s="146"/>
      <c r="AJ2319" s="143">
        <f>'Valve Sizing'!$G$8*AJ2317/P_1_maxW</f>
        <v>-1.6330609576308124</v>
      </c>
      <c r="AK2319" s="132"/>
      <c r="AL2319" s="146"/>
      <c r="AM2319" s="143">
        <f>'Valve Sizing'!$G$8*AM2317/P_1_maxW</f>
        <v>-2.4271721857880242</v>
      </c>
      <c r="AN2319" s="132"/>
      <c r="AO2319" s="146"/>
      <c r="AP2319" s="143">
        <f>'Valve Sizing'!$G$8*AP2317/P_1_maxW</f>
        <v>-3.1398034196743985</v>
      </c>
      <c r="AQ2319" s="132"/>
      <c r="AR2319" s="146"/>
      <c r="AS2319" s="143">
        <f>'Valve Sizing'!$G$8*AS2317/P_1_maxW</f>
        <v>-4.0268268186466329</v>
      </c>
      <c r="AT2319" s="132"/>
      <c r="AU2319" s="146"/>
    </row>
    <row r="2320" spans="13:47" x14ac:dyDescent="0.25">
      <c r="M2320" s="20"/>
      <c r="N2320" s="20"/>
      <c r="O2320" s="7" t="s">
        <v>190</v>
      </c>
      <c r="P2320" s="1"/>
      <c r="Q2320" s="7"/>
      <c r="R2320" s="181">
        <f>R2317-R2318</f>
        <v>50.489522270787887</v>
      </c>
      <c r="S2320" s="132"/>
      <c r="T2320" s="146"/>
      <c r="U2320" s="138">
        <f>U2317-U2318</f>
        <v>48.317034882649395</v>
      </c>
      <c r="V2320" s="132"/>
      <c r="W2320" s="146"/>
      <c r="X2320" s="138">
        <f>X2317-X2318</f>
        <v>37.031707861295473</v>
      </c>
      <c r="Y2320" s="132"/>
      <c r="Z2320" s="146"/>
      <c r="AA2320" s="138">
        <f>AA2317-AA2318</f>
        <v>-0.65844909886276781</v>
      </c>
      <c r="AB2320" s="132"/>
      <c r="AC2320" s="146"/>
      <c r="AD2320" s="138">
        <f>AD2317-AD2318</f>
        <v>-87.912927758260352</v>
      </c>
      <c r="AE2320" s="132"/>
      <c r="AF2320" s="146"/>
      <c r="AG2320" s="138">
        <f>AG2317-AG2318</f>
        <v>-221.81102438589099</v>
      </c>
      <c r="AH2320" s="132"/>
      <c r="AI2320" s="146"/>
      <c r="AJ2320" s="138">
        <f>AJ2317-AJ2318</f>
        <v>-388.54088538980807</v>
      </c>
      <c r="AK2320" s="132"/>
      <c r="AL2320" s="146"/>
      <c r="AM2320" s="138">
        <f>AM2317-AM2318</f>
        <v>-553.16371653528631</v>
      </c>
      <c r="AN2320" s="132"/>
      <c r="AO2320" s="146"/>
      <c r="AP2320" s="138">
        <f>AP2317-AP2318</f>
        <v>-700.89537820352473</v>
      </c>
      <c r="AQ2320" s="132"/>
      <c r="AR2320" s="146"/>
      <c r="AS2320" s="138">
        <f>AS2317-AS2318</f>
        <v>-884.77932046933756</v>
      </c>
      <c r="AT2320" s="132"/>
      <c r="AU2320" s="146"/>
    </row>
    <row r="2321" spans="13:47" ht="14.5" x14ac:dyDescent="0.35">
      <c r="M2321" s="27"/>
      <c r="N2321" s="27"/>
      <c r="O2321" s="2" t="s">
        <v>191</v>
      </c>
      <c r="P2321" s="10"/>
      <c r="Q2321" s="2"/>
      <c r="R2321" s="181">
        <f>R2320/R2317</f>
        <v>0.50243568811815409</v>
      </c>
      <c r="S2321" s="132"/>
      <c r="T2321" s="146"/>
      <c r="U2321" s="138">
        <f>U2320/U2317</f>
        <v>0.49144113164438197</v>
      </c>
      <c r="V2321" s="132"/>
      <c r="W2321" s="146"/>
      <c r="X2321" s="138">
        <f>X2320/X2317</f>
        <v>0.4254967387324376</v>
      </c>
      <c r="Y2321" s="132"/>
      <c r="Z2321" s="146"/>
      <c r="AA2321" s="138">
        <f>AA2320/AA2317</f>
        <v>-1.3344718332467165E-2</v>
      </c>
      <c r="AB2321" s="132"/>
      <c r="AC2321" s="146"/>
      <c r="AD2321" s="138">
        <f>AD2320/AD2317</f>
        <v>2.3188113647885227</v>
      </c>
      <c r="AE2321" s="132"/>
      <c r="AF2321" s="146"/>
      <c r="AG2321" s="138">
        <f>AG2320/AG2317</f>
        <v>1.2910174139215829</v>
      </c>
      <c r="AH2321" s="132"/>
      <c r="AI2321" s="146"/>
      <c r="AJ2321" s="138">
        <f>AJ2320/AJ2317</f>
        <v>1.147692648533214</v>
      </c>
      <c r="AK2321" s="132"/>
      <c r="AL2321" s="146"/>
      <c r="AM2321" s="138">
        <f>AM2320/AM2317</f>
        <v>1.0993712351603826</v>
      </c>
      <c r="AN2321" s="132"/>
      <c r="AO2321" s="146"/>
      <c r="AP2321" s="138">
        <f>AP2320/AP2317</f>
        <v>1.0768172607677755</v>
      </c>
      <c r="AQ2321" s="132"/>
      <c r="AR2321" s="146"/>
      <c r="AS2321" s="138">
        <f>AS2320/AS2317</f>
        <v>1.0598960692652144</v>
      </c>
      <c r="AT2321" s="132"/>
      <c r="AU2321" s="146"/>
    </row>
    <row r="2322" spans="13:47" x14ac:dyDescent="0.25">
      <c r="M2322" s="27"/>
      <c r="N2322" s="27"/>
      <c r="O2322" s="2" t="s">
        <v>26</v>
      </c>
      <c r="P2322" s="7">
        <v>12</v>
      </c>
      <c r="Q2322" s="2"/>
      <c r="R2322" s="181">
        <f>1-R2321/(3*F_GAMMA*R$29)</f>
        <v>0.73832573615287234</v>
      </c>
      <c r="S2322" s="133"/>
      <c r="T2322" s="146"/>
      <c r="U2322" s="138">
        <f>1-U2321/(3*F_GAMMA*U$29)</f>
        <v>0.74410818056645645</v>
      </c>
      <c r="V2322" s="133"/>
      <c r="W2322" s="146"/>
      <c r="X2322" s="138">
        <f>1-X2321/(3*F_GAMMA*X$29)</f>
        <v>0.77512153984542576</v>
      </c>
      <c r="Y2322" s="133"/>
      <c r="Z2322" s="146"/>
      <c r="AA2322" s="138">
        <f>1-AA2321/(3*F_GAMMA*AA$29)</f>
        <v>1.0071494949138668</v>
      </c>
      <c r="AB2322" s="133"/>
      <c r="AC2322" s="146"/>
      <c r="AD2322" s="138">
        <f>1-AD2321/(3*F_GAMMA*AD$29)</f>
        <v>-0.27637558117998084</v>
      </c>
      <c r="AE2322" s="133"/>
      <c r="AF2322" s="146"/>
      <c r="AG2322" s="138">
        <f>1-AG2321/(3*F_GAMMA*AG$29)</f>
        <v>0.24883172466353687</v>
      </c>
      <c r="AH2322" s="133"/>
      <c r="AI2322" s="146"/>
      <c r="AJ2322" s="138">
        <f>1-AJ2321/(3*F_GAMMA*AJ$29)</f>
        <v>0.28613851684315206</v>
      </c>
      <c r="AK2322" s="133"/>
      <c r="AL2322" s="146"/>
      <c r="AM2322" s="138">
        <f>1-AM2321/(3*F_GAMMA*AM$29)</f>
        <v>0.25287273206897554</v>
      </c>
      <c r="AN2322" s="133"/>
      <c r="AO2322" s="146"/>
      <c r="AP2322" s="138">
        <f>1-AP2321/(3*F_GAMMA*AP$29)</f>
        <v>0.39524672076840928</v>
      </c>
      <c r="AQ2322" s="133"/>
      <c r="AR2322" s="146"/>
      <c r="AS2322" s="138">
        <f>1-AS2321/(3*F_GAMMA*AS$29)</f>
        <v>9.6358566508878862E-2</v>
      </c>
      <c r="AT2322" s="133"/>
      <c r="AU2322" s="146"/>
    </row>
    <row r="2323" spans="13:47" x14ac:dyDescent="0.25">
      <c r="M2323" s="27"/>
      <c r="N2323" s="27"/>
      <c r="O2323" s="2" t="s">
        <v>71</v>
      </c>
      <c r="P2323" s="85">
        <v>5</v>
      </c>
      <c r="Q2323" s="2"/>
      <c r="R2323" s="179">
        <f>R2315/((N_6*R$27*R2322)*SQRT(R2321*R2317*R2319))</f>
        <v>1.2493282766973994</v>
      </c>
      <c r="S2323" s="133"/>
      <c r="T2323" s="146"/>
      <c r="U2323" s="143">
        <f>U2315/((N_6*U$27*U2322)*SQRT(U2321*U2317*U2319))</f>
        <v>10.438618067294016</v>
      </c>
      <c r="V2323" s="133"/>
      <c r="W2323" s="146"/>
      <c r="X2323" s="143">
        <f>X2315/((N_6*X$27*X2322)*SQRT(X2321*X2317*X2319))</f>
        <v>30.154672672475829</v>
      </c>
      <c r="Y2323" s="133"/>
      <c r="Z2323" s="146"/>
      <c r="AA2323" s="143" t="e">
        <f>AA2315/((N_6*AA$27*AA2322)*SQRT(AA2321*AA2317*AA2319))</f>
        <v>#NUM!</v>
      </c>
      <c r="AB2323" s="133"/>
      <c r="AC2323" s="146"/>
      <c r="AD2323" s="143">
        <f>AD2315/((N_6*AD$27*AD2322)*SQRT(AD2321*AD2317*AD2319))</f>
        <v>-271.12298703020679</v>
      </c>
      <c r="AE2323" s="133"/>
      <c r="AF2323" s="146"/>
      <c r="AG2323" s="143">
        <f>AG2315/((N_6*AG$27*AG2322)*SQRT(AG2321*AG2317*AG2319))</f>
        <v>127.60292989935168</v>
      </c>
      <c r="AH2323" s="133"/>
      <c r="AI2323" s="146"/>
      <c r="AJ2323" s="143">
        <f>AJ2315/((N_6*AJ$27*AJ2322)*SQRT(AJ2321*AJ2317*AJ2319))</f>
        <v>78.443285029476613</v>
      </c>
      <c r="AK2323" s="133"/>
      <c r="AL2323" s="146"/>
      <c r="AM2323" s="143">
        <f>AM2315/((N_6*AM$27*AM2322)*SQRT(AM2321*AM2317*AM2319))</f>
        <v>75.944922356769126</v>
      </c>
      <c r="AN2323" s="133"/>
      <c r="AO2323" s="146"/>
      <c r="AP2323" s="143">
        <f>AP2315/((N_6*AP$27*AP2322)*SQRT(AP2321*AP2317*AP2319))</f>
        <v>48.097334759328014</v>
      </c>
      <c r="AQ2323" s="133"/>
      <c r="AR2323" s="146"/>
      <c r="AS2323" s="143">
        <f>AS2315/((N_6*AS$27*AS2322)*SQRT(AS2321*AS2317*AS2319))</f>
        <v>227.30048145681437</v>
      </c>
      <c r="AT2323" s="133"/>
      <c r="AU2323" s="146"/>
    </row>
    <row r="2324" spans="13:47" x14ac:dyDescent="0.25">
      <c r="M2324" s="27"/>
      <c r="N2324" s="27"/>
      <c r="O2324" s="2" t="s">
        <v>73</v>
      </c>
      <c r="P2324" s="85">
        <v>5</v>
      </c>
      <c r="Q2324" s="2"/>
      <c r="R2324" s="179">
        <f>R2315/((N_6*R$27*0.667)*SQRT(R2325*R2317*R2319))</f>
        <v>1.2252927836923562</v>
      </c>
      <c r="S2324" s="133"/>
      <c r="T2324" s="155"/>
      <c r="U2324" s="143">
        <f>U2315/((N_6*U$27*0.667)*SQRT(U2325*U2317*U2319))</f>
        <v>10.203333486004626</v>
      </c>
      <c r="V2324" s="133"/>
      <c r="W2324" s="155"/>
      <c r="X2324" s="143">
        <f>X2315/((N_6*X$27*0.667)*SQRT(X2325*X2317*X2319))</f>
        <v>28.782807099940509</v>
      </c>
      <c r="Y2324" s="133"/>
      <c r="Z2324" s="155"/>
      <c r="AA2324" s="143">
        <f>AA2315/((N_6*AA$27*0.667)*SQRT(AA2325*AA2317*AA2319))</f>
        <v>100.13309638533934</v>
      </c>
      <c r="AB2324" s="133"/>
      <c r="AC2324" s="155"/>
      <c r="AD2324" s="143">
        <f>AD2315/((N_6*AD$27*0.667)*SQRT(AD2325*AD2317*AD2319))</f>
        <v>219.83156229677854</v>
      </c>
      <c r="AE2324" s="133"/>
      <c r="AF2324" s="155"/>
      <c r="AG2324" s="143">
        <f>AG2315/((N_6*AG$27*0.667)*SQRT(AG2325*AG2317*AG2319))</f>
        <v>71.461118323851508</v>
      </c>
      <c r="AH2324" s="133"/>
      <c r="AI2324" s="155"/>
      <c r="AJ2324" s="143">
        <f>AJ2315/((N_6*AJ$27*0.667)*SQRT(AJ2325*AJ2317*AJ2319))</f>
        <v>49.246329073706661</v>
      </c>
      <c r="AK2324" s="133"/>
      <c r="AL2324" s="155"/>
      <c r="AM2324" s="143">
        <f>AM2315/((N_6*AM$27*0.667)*SQRT(AM2325*AM2317*AM2319))</f>
        <v>43.105514211146058</v>
      </c>
      <c r="AN2324" s="133"/>
      <c r="AO2324" s="155"/>
      <c r="AP2324" s="143">
        <f>AP2315/((N_6*AP$27*0.667)*SQRT(AP2325*AP2317*AP2319))</f>
        <v>38.389565446971147</v>
      </c>
      <c r="AQ2324" s="133"/>
      <c r="AR2324" s="155"/>
      <c r="AS2324" s="143">
        <f>AS2315/((N_6*AS$27*0.667)*SQRT(AS2325*AS2317*AS2319))</f>
        <v>54.065913783815482</v>
      </c>
      <c r="AT2324" s="133"/>
      <c r="AU2324" s="155"/>
    </row>
    <row r="2325" spans="13:47" ht="15.5" x14ac:dyDescent="0.4">
      <c r="M2325" s="27"/>
      <c r="N2325" s="27"/>
      <c r="O2325" s="2" t="s">
        <v>192</v>
      </c>
      <c r="P2325" s="85">
        <v>10</v>
      </c>
      <c r="Q2325" s="2"/>
      <c r="R2325" s="181">
        <f>F_GAMMA*R$29</f>
        <v>0.64002688015162901</v>
      </c>
      <c r="S2325" s="133"/>
      <c r="T2325" s="155"/>
      <c r="U2325" s="138">
        <f>F_GAMMA*U$29</f>
        <v>0.64016782916606918</v>
      </c>
      <c r="V2325" s="133"/>
      <c r="W2325" s="155"/>
      <c r="X2325" s="138">
        <f>F_GAMMA*X$29</f>
        <v>0.6307062319203669</v>
      </c>
      <c r="Y2325" s="133"/>
      <c r="Z2325" s="155"/>
      <c r="AA2325" s="138">
        <f>F_GAMMA*AA$29</f>
        <v>0.62217534213893466</v>
      </c>
      <c r="AB2325" s="133"/>
      <c r="AC2325" s="155"/>
      <c r="AD2325" s="138">
        <f>F_GAMMA*AD$29</f>
        <v>0.60557184969146072</v>
      </c>
      <c r="AE2325" s="133"/>
      <c r="AF2325" s="155"/>
      <c r="AG2325" s="138">
        <f>F_GAMMA*AG$29</f>
        <v>0.57289312142622573</v>
      </c>
      <c r="AH2325" s="133"/>
      <c r="AI2325" s="155"/>
      <c r="AJ2325" s="138">
        <f>F_GAMMA*AJ$29</f>
        <v>0.53590819116049981</v>
      </c>
      <c r="AK2325" s="133"/>
      <c r="AL2325" s="155"/>
      <c r="AM2325" s="138">
        <f>F_GAMMA*AM$29</f>
        <v>0.49048815926850342</v>
      </c>
      <c r="AN2325" s="133"/>
      <c r="AO2325" s="155"/>
      <c r="AP2325" s="138">
        <f>F_GAMMA*AP$29</f>
        <v>0.59352979016280105</v>
      </c>
      <c r="AQ2325" s="133"/>
      <c r="AR2325" s="155"/>
      <c r="AS2325" s="138">
        <f>F_GAMMA*AS$29</f>
        <v>0.39097221161068291</v>
      </c>
      <c r="AT2325" s="133"/>
      <c r="AU2325" s="155"/>
    </row>
    <row r="2326" spans="13:47" x14ac:dyDescent="0.25">
      <c r="M2326" s="27"/>
      <c r="N2326" s="27"/>
      <c r="O2326" s="2" t="s">
        <v>193</v>
      </c>
      <c r="P2326" s="134"/>
      <c r="Q2326" s="2"/>
      <c r="R2326" s="181">
        <f>IF(R2321&lt;R2325,R2323,R2324)</f>
        <v>1.2493282766973994</v>
      </c>
      <c r="S2326" s="133"/>
      <c r="T2326" s="155"/>
      <c r="U2326" s="138">
        <f>IF(U2321&lt;U2325,U2323,U2324)</f>
        <v>10.438618067294016</v>
      </c>
      <c r="V2326" s="133"/>
      <c r="W2326" s="155"/>
      <c r="X2326" s="138">
        <f>IF(X2321&lt;X2325,X2323,X2324)</f>
        <v>30.154672672475829</v>
      </c>
      <c r="Y2326" s="133"/>
      <c r="Z2326" s="155"/>
      <c r="AA2326" s="138" t="e">
        <f>IF(AA2321&lt;AA2325,AA2323,AA2324)</f>
        <v>#NUM!</v>
      </c>
      <c r="AB2326" s="133"/>
      <c r="AC2326" s="155"/>
      <c r="AD2326" s="138">
        <f>IF(AD2321&lt;AD2325,AD2323,AD2324)</f>
        <v>219.83156229677854</v>
      </c>
      <c r="AE2326" s="133"/>
      <c r="AF2326" s="155"/>
      <c r="AG2326" s="138">
        <f>IF(AG2321&lt;AG2325,AG2323,AG2324)</f>
        <v>71.461118323851508</v>
      </c>
      <c r="AH2326" s="133"/>
      <c r="AI2326" s="155"/>
      <c r="AJ2326" s="138">
        <f>IF(AJ2321&lt;AJ2325,AJ2323,AJ2324)</f>
        <v>49.246329073706661</v>
      </c>
      <c r="AK2326" s="133"/>
      <c r="AL2326" s="155"/>
      <c r="AM2326" s="138">
        <f>IF(AM2321&lt;AM2325,AM2323,AM2324)</f>
        <v>43.105514211146058</v>
      </c>
      <c r="AN2326" s="133"/>
      <c r="AO2326" s="155"/>
      <c r="AP2326" s="138">
        <f>IF(AP2321&lt;AP2325,AP2323,AP2324)</f>
        <v>38.389565446971147</v>
      </c>
      <c r="AQ2326" s="133"/>
      <c r="AR2326" s="155"/>
      <c r="AS2326" s="138">
        <f>IF(AS2321&lt;AS2325,AS2323,AS2324)</f>
        <v>54.065913783815482</v>
      </c>
      <c r="AT2326" s="133"/>
      <c r="AU2326" s="155"/>
    </row>
    <row r="2327" spans="13:47" ht="13" x14ac:dyDescent="0.3">
      <c r="M2327" s="28"/>
      <c r="N2327" s="28"/>
      <c r="O2327" s="9" t="s">
        <v>194</v>
      </c>
      <c r="P2327" s="1"/>
      <c r="Q2327" s="1"/>
      <c r="R2327" s="135"/>
      <c r="S2327" s="132">
        <f>IF(R2320&lt;=0,W_max,ABS(R$23-R2326))</f>
        <v>0.75067172330260057</v>
      </c>
      <c r="T2327" s="151">
        <f>R2315</f>
        <v>288.82413667692714</v>
      </c>
      <c r="U2327" s="135"/>
      <c r="V2327" s="132">
        <f>IF(U2320&lt;=0,W_max,ABS(U$23-U2326))</f>
        <v>5.4386180672940156</v>
      </c>
      <c r="W2327" s="151">
        <f>U2315</f>
        <v>2351.9145167816359</v>
      </c>
      <c r="X2327" s="135"/>
      <c r="Y2327" s="132">
        <f>IF(X2320&lt;=0,W_max,ABS(X$23-X2326))</f>
        <v>20.154672672475829</v>
      </c>
      <c r="Z2327" s="151">
        <f>X2315</f>
        <v>5816.5644811093262</v>
      </c>
      <c r="AA2327" s="135"/>
      <c r="AB2327" s="132">
        <f>IF(AA2320&lt;=0,W_max,ABS(AA$23-AA2326))</f>
        <v>7174</v>
      </c>
      <c r="AC2327" s="151">
        <f>AA2315</f>
        <v>11329.182957795734</v>
      </c>
      <c r="AD2327" s="135"/>
      <c r="AE2327" s="132">
        <f>IF(AD2320&lt;=0,W_max,ABS(AD$23-AD2326))</f>
        <v>7174</v>
      </c>
      <c r="AF2327" s="151">
        <f>AD2315</f>
        <v>18632.334807882256</v>
      </c>
      <c r="AG2327" s="135"/>
      <c r="AH2327" s="132">
        <f>IF(AG2320&lt;=0,W_max,ABS(AG$23-AG2326))</f>
        <v>7174</v>
      </c>
      <c r="AI2327" s="151">
        <f>AG2315</f>
        <v>26133.284000141928</v>
      </c>
      <c r="AJ2327" s="135"/>
      <c r="AK2327" s="132">
        <f>IF(AJ2320&lt;=0,W_max,ABS(AJ$23-AJ2326))</f>
        <v>7174</v>
      </c>
      <c r="AL2327" s="151">
        <f>AJ2315</f>
        <v>33182.336174904907</v>
      </c>
      <c r="AM2327" s="135"/>
      <c r="AN2327" s="132">
        <f>IF(AM2320&lt;=0,W_max,ABS(AM$23-AM2326))</f>
        <v>7174</v>
      </c>
      <c r="AO2327" s="151">
        <f>AM2315</f>
        <v>38908.898787372622</v>
      </c>
      <c r="AP2327" s="135"/>
      <c r="AQ2327" s="132">
        <f>IF(AP2320&lt;=0,W_max,ABS(AP$23-AP2326))</f>
        <v>7174</v>
      </c>
      <c r="AR2327" s="151">
        <f>AP2315</f>
        <v>43409.426780676171</v>
      </c>
      <c r="AS2327" s="135"/>
      <c r="AT2327" s="132">
        <f>IF(AS2320&lt;=0,W_max,ABS(AS$23-AS2326))</f>
        <v>7174</v>
      </c>
      <c r="AU2327" s="151">
        <f>AS2315</f>
        <v>48430.523406086097</v>
      </c>
    </row>
    <row r="2328" spans="13:47" ht="13" x14ac:dyDescent="0.25">
      <c r="M2328" s="12"/>
      <c r="N2328" s="12"/>
      <c r="O2328" s="2"/>
      <c r="P2328" s="85"/>
      <c r="Q2328" s="2"/>
      <c r="R2328" s="18"/>
      <c r="S2328" s="150"/>
      <c r="T2328" s="152"/>
      <c r="U2328" s="157"/>
      <c r="V2328" s="1"/>
      <c r="W2328" s="147"/>
      <c r="X2328" s="157"/>
      <c r="Y2328" s="1"/>
      <c r="Z2328" s="147"/>
      <c r="AA2328" s="157"/>
      <c r="AB2328" s="1"/>
      <c r="AC2328" s="147"/>
      <c r="AD2328" s="157"/>
      <c r="AE2328" s="1"/>
      <c r="AF2328" s="147"/>
      <c r="AG2328" s="157"/>
      <c r="AH2328" s="1"/>
      <c r="AI2328" s="147"/>
      <c r="AJ2328" s="157"/>
      <c r="AK2328" s="1"/>
      <c r="AL2328" s="147"/>
      <c r="AM2328" s="157"/>
      <c r="AN2328" s="1"/>
      <c r="AO2328" s="147"/>
      <c r="AP2328" s="157"/>
      <c r="AQ2328" s="1"/>
      <c r="AR2328" s="147"/>
      <c r="AS2328" s="157"/>
      <c r="AT2328" s="1"/>
      <c r="AU2328" s="147"/>
    </row>
    <row r="2329" spans="13:47" ht="14" x14ac:dyDescent="0.3">
      <c r="M2329" s="23"/>
      <c r="N2329" s="23"/>
      <c r="O2329" s="23" t="s">
        <v>238</v>
      </c>
      <c r="P2329" s="20"/>
      <c r="Q2329" s="20"/>
      <c r="R2329" s="181">
        <f>R2315*1.02</f>
        <v>294.6006194104657</v>
      </c>
      <c r="S2329" s="128" t="s">
        <v>185</v>
      </c>
      <c r="T2329" s="153" t="s">
        <v>186</v>
      </c>
      <c r="U2329" s="143">
        <f>U2315*1.01</f>
        <v>2375.4336619494525</v>
      </c>
      <c r="V2329" s="128" t="s">
        <v>185</v>
      </c>
      <c r="W2329" s="153" t="s">
        <v>186</v>
      </c>
      <c r="X2329" s="143">
        <f>X2315*1.01</f>
        <v>5874.7301259204196</v>
      </c>
      <c r="Y2329" s="128" t="s">
        <v>185</v>
      </c>
      <c r="Z2329" s="153" t="s">
        <v>186</v>
      </c>
      <c r="AA2329" s="143">
        <f>AA2315*1.01</f>
        <v>11442.474787373692</v>
      </c>
      <c r="AB2329" s="128" t="s">
        <v>185</v>
      </c>
      <c r="AC2329" s="153" t="s">
        <v>186</v>
      </c>
      <c r="AD2329" s="143">
        <f>AD2315*1.01</f>
        <v>18818.658155961079</v>
      </c>
      <c r="AE2329" s="128" t="s">
        <v>185</v>
      </c>
      <c r="AF2329" s="153" t="s">
        <v>186</v>
      </c>
      <c r="AG2329" s="143">
        <f>AG2315*1.01</f>
        <v>26394.616840143346</v>
      </c>
      <c r="AH2329" s="128" t="s">
        <v>185</v>
      </c>
      <c r="AI2329" s="153" t="s">
        <v>186</v>
      </c>
      <c r="AJ2329" s="143">
        <f>AJ2315*1.01</f>
        <v>33514.159536653955</v>
      </c>
      <c r="AK2329" s="128" t="s">
        <v>185</v>
      </c>
      <c r="AL2329" s="153" t="s">
        <v>186</v>
      </c>
      <c r="AM2329" s="143">
        <f>AM2315*1.01</f>
        <v>39297.987775246351</v>
      </c>
      <c r="AN2329" s="128" t="s">
        <v>185</v>
      </c>
      <c r="AO2329" s="153" t="s">
        <v>186</v>
      </c>
      <c r="AP2329" s="143">
        <f>AP2315*1.01</f>
        <v>43843.521048482929</v>
      </c>
      <c r="AQ2329" s="128" t="s">
        <v>185</v>
      </c>
      <c r="AR2329" s="153" t="s">
        <v>186</v>
      </c>
      <c r="AS2329" s="143">
        <f>AS2315*1.01</f>
        <v>48914.82864014696</v>
      </c>
      <c r="AT2329" s="128" t="s">
        <v>185</v>
      </c>
      <c r="AU2329" s="153" t="s">
        <v>186</v>
      </c>
    </row>
    <row r="2330" spans="13:47" ht="14" x14ac:dyDescent="0.3">
      <c r="M2330" s="12"/>
      <c r="N2330" s="12"/>
      <c r="O2330" s="20"/>
      <c r="P2330" s="20"/>
      <c r="Q2330" s="23"/>
      <c r="R2330" s="139"/>
      <c r="S2330" s="130" t="s">
        <v>228</v>
      </c>
      <c r="T2330" s="154" t="s">
        <v>187</v>
      </c>
      <c r="U2330" s="144"/>
      <c r="V2330" s="130" t="s">
        <v>228</v>
      </c>
      <c r="W2330" s="154" t="s">
        <v>187</v>
      </c>
      <c r="X2330" s="144"/>
      <c r="Y2330" s="130" t="s">
        <v>228</v>
      </c>
      <c r="Z2330" s="154" t="s">
        <v>187</v>
      </c>
      <c r="AA2330" s="144"/>
      <c r="AB2330" s="130" t="s">
        <v>228</v>
      </c>
      <c r="AC2330" s="154" t="s">
        <v>187</v>
      </c>
      <c r="AD2330" s="144"/>
      <c r="AE2330" s="130" t="s">
        <v>228</v>
      </c>
      <c r="AF2330" s="154" t="s">
        <v>187</v>
      </c>
      <c r="AG2330" s="144"/>
      <c r="AH2330" s="130" t="s">
        <v>228</v>
      </c>
      <c r="AI2330" s="154" t="s">
        <v>187</v>
      </c>
      <c r="AJ2330" s="144"/>
      <c r="AK2330" s="130" t="s">
        <v>228</v>
      </c>
      <c r="AL2330" s="154" t="s">
        <v>187</v>
      </c>
      <c r="AM2330" s="144"/>
      <c r="AN2330" s="130" t="s">
        <v>228</v>
      </c>
      <c r="AO2330" s="154" t="s">
        <v>187</v>
      </c>
      <c r="AP2330" s="144"/>
      <c r="AQ2330" s="130" t="s">
        <v>228</v>
      </c>
      <c r="AR2330" s="154" t="s">
        <v>187</v>
      </c>
      <c r="AS2330" s="144"/>
      <c r="AT2330" s="130" t="s">
        <v>228</v>
      </c>
      <c r="AU2330" s="154" t="s">
        <v>187</v>
      </c>
    </row>
    <row r="2331" spans="13:47" x14ac:dyDescent="0.25">
      <c r="M2331" s="20"/>
      <c r="N2331" s="20"/>
      <c r="O2331" s="7" t="s">
        <v>188</v>
      </c>
      <c r="P2331" s="7"/>
      <c r="Q2331" s="7"/>
      <c r="R2331" s="181">
        <f>P_1_minW-(R2329^2*R_up)+dpup_minQ</f>
        <v>100.48817838636396</v>
      </c>
      <c r="S2331" s="132"/>
      <c r="T2331" s="145"/>
      <c r="U2331" s="138">
        <f>P_1_minW-(U2329^2*R_up)+dpup_minQ</f>
        <v>98.272699270382446</v>
      </c>
      <c r="V2331" s="132"/>
      <c r="W2331" s="145"/>
      <c r="X2331" s="138">
        <f>P_1_minW-(X2329^2*R_up)+dpup_minQ</f>
        <v>86.760537175899316</v>
      </c>
      <c r="Y2331" s="132"/>
      <c r="Z2331" s="145"/>
      <c r="AA2331" s="138">
        <f>P_1_minW-(AA2329^2*R_up)+dpup_minQ</f>
        <v>48.312808060841874</v>
      </c>
      <c r="AB2331" s="132"/>
      <c r="AC2331" s="145"/>
      <c r="AD2331" s="138">
        <f>P_1_minW-(AD2329^2*R_up)+dpup_minQ</f>
        <v>-40.695485619609585</v>
      </c>
      <c r="AE2331" s="132"/>
      <c r="AF2331" s="145"/>
      <c r="AG2331" s="138">
        <f>P_1_minW-(AG2329^2*R_up)+dpup_minQ</f>
        <v>-177.28493398945554</v>
      </c>
      <c r="AH2331" s="132"/>
      <c r="AI2331" s="145"/>
      <c r="AJ2331" s="138">
        <f>P_1_minW-(AJ2329^2*R_up)+dpup_minQ</f>
        <v>-347.36606519955137</v>
      </c>
      <c r="AK2331" s="132"/>
      <c r="AL2331" s="145"/>
      <c r="AM2331" s="138">
        <f>P_1_minW-(AM2329^2*R_up)+dpup_minQ</f>
        <v>-515.29781525105386</v>
      </c>
      <c r="AN2331" s="132"/>
      <c r="AO2331" s="145"/>
      <c r="AP2331" s="138">
        <f>P_1_minW-(AP2329^2*R_up)+dpup_minQ</f>
        <v>-665.99888331882369</v>
      </c>
      <c r="AQ2331" s="132"/>
      <c r="AR2331" s="145"/>
      <c r="AS2331" s="138">
        <f>P_1_minW-(AS2329^2*R_up)+dpup_minQ</f>
        <v>-853.57889282417966</v>
      </c>
      <c r="AT2331" s="132"/>
      <c r="AU2331" s="145"/>
    </row>
    <row r="2332" spans="13:47" x14ac:dyDescent="0.25">
      <c r="M2332" s="20"/>
      <c r="N2332" s="20"/>
      <c r="O2332" s="7" t="s">
        <v>189</v>
      </c>
      <c r="P2332" s="1"/>
      <c r="Q2332" s="7"/>
      <c r="R2332" s="181">
        <f>P_2_minW+(R2329^2*R_dn)-dpdn_minQ</f>
        <v>50</v>
      </c>
      <c r="S2332" s="132"/>
      <c r="T2332" s="146"/>
      <c r="U2332" s="138">
        <f>P_2_minW+(U2329^2*R_dn)-dpdn_minQ</f>
        <v>50</v>
      </c>
      <c r="V2332" s="132"/>
      <c r="W2332" s="146"/>
      <c r="X2332" s="138">
        <f>P_2_minW+(X2329^2*R_dn)-dpdn_minQ</f>
        <v>50</v>
      </c>
      <c r="Y2332" s="132"/>
      <c r="Z2332" s="146"/>
      <c r="AA2332" s="138">
        <f>P_2_minW+(AA2329^2*R_dn)-dpdn_minQ</f>
        <v>50</v>
      </c>
      <c r="AB2332" s="132"/>
      <c r="AC2332" s="146"/>
      <c r="AD2332" s="138">
        <f>P_2_minW+(AD2329^2*R_dn)-dpdn_minQ</f>
        <v>50</v>
      </c>
      <c r="AE2332" s="132"/>
      <c r="AF2332" s="146"/>
      <c r="AG2332" s="138">
        <f>P_2_minW+(AG2329^2*R_dn)-dpdn_minQ</f>
        <v>50</v>
      </c>
      <c r="AH2332" s="132"/>
      <c r="AI2332" s="146"/>
      <c r="AJ2332" s="138">
        <f>P_2_minW+(AJ2329^2*R_dn)-dpdn_minQ</f>
        <v>50</v>
      </c>
      <c r="AK2332" s="132"/>
      <c r="AL2332" s="146"/>
      <c r="AM2332" s="138">
        <f>P_2_minW+(AM2329^2*R_dn)-dpdn_minQ</f>
        <v>50</v>
      </c>
      <c r="AN2332" s="132"/>
      <c r="AO2332" s="146"/>
      <c r="AP2332" s="138">
        <f>P_2_minW+(AP2329^2*R_dn)-dpdn_minQ</f>
        <v>50</v>
      </c>
      <c r="AQ2332" s="132"/>
      <c r="AR2332" s="146"/>
      <c r="AS2332" s="138">
        <f>P_2_minW+(AS2329^2*R_dn)-dpdn_minQ</f>
        <v>50</v>
      </c>
      <c r="AT2332" s="132"/>
      <c r="AU2332" s="146"/>
    </row>
    <row r="2333" spans="13:47" x14ac:dyDescent="0.25">
      <c r="M2333" s="20"/>
      <c r="N2333" s="20"/>
      <c r="O2333" s="7" t="s">
        <v>234</v>
      </c>
      <c r="P2333" s="1"/>
      <c r="Q2333" s="7"/>
      <c r="R2333" s="179">
        <f>'Valve Sizing'!G$8*R2331/P_1_maxW</f>
        <v>0.48473708171837798</v>
      </c>
      <c r="S2333" s="132"/>
      <c r="T2333" s="146"/>
      <c r="U2333" s="143">
        <f>'Valve Sizing'!$G$8*U2331/P_1_maxW</f>
        <v>0.47405000490462801</v>
      </c>
      <c r="V2333" s="132"/>
      <c r="W2333" s="146"/>
      <c r="X2333" s="143">
        <f>'Valve Sizing'!$G$8*X2331/P_1_maxW</f>
        <v>0.41851738457497206</v>
      </c>
      <c r="Y2333" s="132"/>
      <c r="Z2333" s="146"/>
      <c r="AA2333" s="143">
        <f>'Valve Sizing'!$G$8*AA2331/P_1_maxW</f>
        <v>0.23305238452019278</v>
      </c>
      <c r="AB2333" s="132"/>
      <c r="AC2333" s="146"/>
      <c r="AD2333" s="143">
        <f>'Valve Sizing'!$G$8*AD2331/P_1_maxW</f>
        <v>-0.19630777724435922</v>
      </c>
      <c r="AE2333" s="132"/>
      <c r="AF2333" s="146"/>
      <c r="AG2333" s="143">
        <f>'Valve Sizing'!$G$8*AG2331/P_1_maxW</f>
        <v>-0.85519095792809574</v>
      </c>
      <c r="AH2333" s="132"/>
      <c r="AI2333" s="146"/>
      <c r="AJ2333" s="143">
        <f>'Valve Sizing'!$G$8*AJ2331/P_1_maxW</f>
        <v>-1.6756320538065932</v>
      </c>
      <c r="AK2333" s="132"/>
      <c r="AL2333" s="146"/>
      <c r="AM2333" s="143">
        <f>'Valve Sizing'!$G$8*AM2331/P_1_maxW</f>
        <v>-2.4857049176497652</v>
      </c>
      <c r="AN2333" s="132"/>
      <c r="AO2333" s="146"/>
      <c r="AP2333" s="143">
        <f>'Valve Sizing'!$G$8*AP2331/P_1_maxW</f>
        <v>-3.2126600393372549</v>
      </c>
      <c r="AQ2333" s="132"/>
      <c r="AR2333" s="146"/>
      <c r="AS2333" s="143">
        <f>'Valve Sizing'!$G$8*AS2331/P_1_maxW</f>
        <v>-4.1175126086288332</v>
      </c>
      <c r="AT2333" s="132"/>
      <c r="AU2333" s="146"/>
    </row>
    <row r="2334" spans="13:47" x14ac:dyDescent="0.25">
      <c r="M2334" s="20"/>
      <c r="N2334" s="20"/>
      <c r="O2334" s="7" t="s">
        <v>190</v>
      </c>
      <c r="P2334" s="1"/>
      <c r="Q2334" s="7"/>
      <c r="R2334" s="181">
        <f>R2331-R2332</f>
        <v>50.488178386363955</v>
      </c>
      <c r="S2334" s="132"/>
      <c r="T2334" s="146"/>
      <c r="U2334" s="138">
        <f>U2331-U2332</f>
        <v>48.272699270382446</v>
      </c>
      <c r="V2334" s="132"/>
      <c r="W2334" s="146"/>
      <c r="X2334" s="138">
        <f>X2331-X2332</f>
        <v>36.760537175899316</v>
      </c>
      <c r="Y2334" s="132"/>
      <c r="Z2334" s="146"/>
      <c r="AA2334" s="138">
        <f>AA2331-AA2332</f>
        <v>-1.6871919391581258</v>
      </c>
      <c r="AB2334" s="132"/>
      <c r="AC2334" s="146"/>
      <c r="AD2334" s="138">
        <f>AD2331-AD2332</f>
        <v>-90.695485619609585</v>
      </c>
      <c r="AE2334" s="132"/>
      <c r="AF2334" s="146"/>
      <c r="AG2334" s="138">
        <f>AG2331-AG2332</f>
        <v>-227.28493398945554</v>
      </c>
      <c r="AH2334" s="132"/>
      <c r="AI2334" s="146"/>
      <c r="AJ2334" s="138">
        <f>AJ2331-AJ2332</f>
        <v>-397.36606519955137</v>
      </c>
      <c r="AK2334" s="132"/>
      <c r="AL2334" s="146"/>
      <c r="AM2334" s="138">
        <f>AM2331-AM2332</f>
        <v>-565.29781525105386</v>
      </c>
      <c r="AN2334" s="132"/>
      <c r="AO2334" s="146"/>
      <c r="AP2334" s="138">
        <f>AP2331-AP2332</f>
        <v>-715.99888331882369</v>
      </c>
      <c r="AQ2334" s="132"/>
      <c r="AR2334" s="146"/>
      <c r="AS2334" s="138">
        <f>AS2331-AS2332</f>
        <v>-903.57889282417966</v>
      </c>
      <c r="AT2334" s="132"/>
      <c r="AU2334" s="146"/>
    </row>
    <row r="2335" spans="13:47" ht="14.5" x14ac:dyDescent="0.35">
      <c r="M2335" s="27"/>
      <c r="N2335" s="27"/>
      <c r="O2335" s="2" t="s">
        <v>191</v>
      </c>
      <c r="P2335" s="10"/>
      <c r="Q2335" s="2"/>
      <c r="R2335" s="181">
        <f>R2334/R2331</f>
        <v>0.50242903391325777</v>
      </c>
      <c r="S2335" s="132"/>
      <c r="T2335" s="146"/>
      <c r="U2335" s="138">
        <f>U2334/U2331</f>
        <v>0.49121169591126651</v>
      </c>
      <c r="V2335" s="132"/>
      <c r="W2335" s="146"/>
      <c r="X2335" s="138">
        <f>X2334/X2331</f>
        <v>0.42370112464115545</v>
      </c>
      <c r="Y2335" s="132"/>
      <c r="Z2335" s="146"/>
      <c r="AA2335" s="138">
        <f>AA2334/AA2331</f>
        <v>-3.4922249541641019E-2</v>
      </c>
      <c r="AB2335" s="132"/>
      <c r="AC2335" s="146"/>
      <c r="AD2335" s="138">
        <f>AD2334/AD2331</f>
        <v>2.2286375070532869</v>
      </c>
      <c r="AE2335" s="132"/>
      <c r="AF2335" s="146"/>
      <c r="AG2335" s="138">
        <f>AG2334/AG2331</f>
        <v>1.2820318617879503</v>
      </c>
      <c r="AH2335" s="132"/>
      <c r="AI2335" s="146"/>
      <c r="AJ2335" s="138">
        <f>AJ2334/AJ2331</f>
        <v>1.1439403701431701</v>
      </c>
      <c r="AK2335" s="132"/>
      <c r="AL2335" s="146"/>
      <c r="AM2335" s="138">
        <f>AM2334/AM2331</f>
        <v>1.0970312672015501</v>
      </c>
      <c r="AN2335" s="132"/>
      <c r="AO2335" s="146"/>
      <c r="AP2335" s="138">
        <f>AP2334/AP2331</f>
        <v>1.0750752009535491</v>
      </c>
      <c r="AQ2335" s="132"/>
      <c r="AR2335" s="146"/>
      <c r="AS2335" s="138">
        <f>AS2334/AS2331</f>
        <v>1.058576893618548</v>
      </c>
      <c r="AT2335" s="132"/>
      <c r="AU2335" s="146"/>
    </row>
    <row r="2336" spans="13:47" x14ac:dyDescent="0.25">
      <c r="M2336" s="27"/>
      <c r="N2336" s="27"/>
      <c r="O2336" s="2" t="s">
        <v>26</v>
      </c>
      <c r="P2336" s="7">
        <v>12</v>
      </c>
      <c r="Q2336" s="2"/>
      <c r="R2336" s="181">
        <f>1-R2335/(3*F_GAMMA*R$29)</f>
        <v>0.73832920173903371</v>
      </c>
      <c r="S2336" s="133"/>
      <c r="T2336" s="146"/>
      <c r="U2336" s="138">
        <f>1-U2335/(3*F_GAMMA*U$29)</f>
        <v>0.7442276470160667</v>
      </c>
      <c r="V2336" s="133"/>
      <c r="W2336" s="146"/>
      <c r="X2336" s="138">
        <f>1-X2335/(3*F_GAMMA*X$29)</f>
        <v>0.77607053638317203</v>
      </c>
      <c r="Y2336" s="133"/>
      <c r="Z2336" s="146"/>
      <c r="AA2336" s="138">
        <f>1-AA2335/(3*F_GAMMA*AA$29)</f>
        <v>1.0187097576178361</v>
      </c>
      <c r="AB2336" s="133"/>
      <c r="AC2336" s="146"/>
      <c r="AD2336" s="138">
        <f>1-AD2335/(3*F_GAMMA*AD$29)</f>
        <v>-0.22673993085421618</v>
      </c>
      <c r="AE2336" s="133"/>
      <c r="AF2336" s="146"/>
      <c r="AG2336" s="138">
        <f>1-AG2335/(3*F_GAMMA*AG$29)</f>
        <v>0.25405989713153165</v>
      </c>
      <c r="AH2336" s="133"/>
      <c r="AI2336" s="146"/>
      <c r="AJ2336" s="138">
        <f>1-AJ2335/(3*F_GAMMA*AJ$29)</f>
        <v>0.28847242306809595</v>
      </c>
      <c r="AK2336" s="133"/>
      <c r="AL2336" s="146"/>
      <c r="AM2336" s="138">
        <f>1-AM2335/(3*F_GAMMA*AM$29)</f>
        <v>0.25446296275012814</v>
      </c>
      <c r="AN2336" s="133"/>
      <c r="AO2336" s="146"/>
      <c r="AP2336" s="138">
        <f>1-AP2335/(3*F_GAMMA*AP$29)</f>
        <v>0.39622508211499452</v>
      </c>
      <c r="AQ2336" s="133"/>
      <c r="AR2336" s="146"/>
      <c r="AS2336" s="138">
        <f>1-AS2335/(3*F_GAMMA*AS$29)</f>
        <v>9.7483263360718886E-2</v>
      </c>
      <c r="AT2336" s="133"/>
      <c r="AU2336" s="146"/>
    </row>
    <row r="2337" spans="13:47" x14ac:dyDescent="0.25">
      <c r="M2337" s="27"/>
      <c r="N2337" s="27"/>
      <c r="O2337" s="2" t="s">
        <v>71</v>
      </c>
      <c r="P2337" s="85">
        <v>5</v>
      </c>
      <c r="Q2337" s="2"/>
      <c r="R2337" s="179">
        <f>R2329/((N_6*R$27*R2336)*SQRT(R2335*R2331*R2333))</f>
        <v>1.2743343414687776</v>
      </c>
      <c r="S2337" s="133"/>
      <c r="T2337" s="146"/>
      <c r="U2337" s="143">
        <f>U2329/((N_6*U$27*U2336)*SQRT(U2335*U2331*U2333))</f>
        <v>10.548530189674295</v>
      </c>
      <c r="V2337" s="133"/>
      <c r="W2337" s="146"/>
      <c r="X2337" s="143">
        <f>X2329/((N_6*X$27*X2336)*SQRT(X2335*X2331*X2333))</f>
        <v>30.578641369458015</v>
      </c>
      <c r="Y2337" s="133"/>
      <c r="Z2337" s="146"/>
      <c r="AA2337" s="143" t="e">
        <f>AA2329/((N_6*AA$27*AA2336)*SQRT(AA2335*AA2331*AA2333))</f>
        <v>#NUM!</v>
      </c>
      <c r="AB2337" s="133"/>
      <c r="AC2337" s="146"/>
      <c r="AD2337" s="143">
        <f>AD2329/((N_6*AD$27*AD2336)*SQRT(AD2335*AD2331*AD2333))</f>
        <v>-317.18559377298965</v>
      </c>
      <c r="AE2337" s="133"/>
      <c r="AF2337" s="146"/>
      <c r="AG2337" s="143">
        <f>AG2329/((N_6*AG$27*AG2336)*SQRT(AG2335*AG2331*AG2333))</f>
        <v>122.75734586199654</v>
      </c>
      <c r="AH2337" s="133"/>
      <c r="AI2337" s="146"/>
      <c r="AJ2337" s="143">
        <f>AJ2329/((N_6*AJ$27*AJ2336)*SQRT(AJ2335*AJ2331*AJ2333))</f>
        <v>76.715657000113211</v>
      </c>
      <c r="AK2337" s="133"/>
      <c r="AL2337" s="146"/>
      <c r="AM2337" s="143">
        <f>AM2329/((N_6*AM$27*AM2336)*SQRT(AM2335*AM2331*AM2333))</f>
        <v>74.50942888515543</v>
      </c>
      <c r="AN2337" s="133"/>
      <c r="AO2337" s="146"/>
      <c r="AP2337" s="143">
        <f>AP2329/((N_6*AP$27*AP2336)*SQRT(AP2335*AP2331*AP2333))</f>
        <v>47.397776133266333</v>
      </c>
      <c r="AQ2337" s="133"/>
      <c r="AR2337" s="146"/>
      <c r="AS2337" s="143">
        <f>AS2329/((N_6*AS$27*AS2336)*SQRT(AS2335*AS2331*AS2333))</f>
        <v>222.06517226594733</v>
      </c>
      <c r="AT2337" s="133"/>
      <c r="AU2337" s="146"/>
    </row>
    <row r="2338" spans="13:47" x14ac:dyDescent="0.25">
      <c r="M2338" s="27"/>
      <c r="N2338" s="27"/>
      <c r="O2338" s="2" t="s">
        <v>73</v>
      </c>
      <c r="P2338" s="85">
        <v>5</v>
      </c>
      <c r="Q2338" s="2"/>
      <c r="R2338" s="179">
        <f>R2329/((N_6*R$27*0.667)*SQRT(R2339*R2331*R2333))</f>
        <v>1.2498153536200733</v>
      </c>
      <c r="S2338" s="133"/>
      <c r="T2338" s="155"/>
      <c r="U2338" s="143">
        <f>U2329/((N_6*U$27*0.667)*SQRT(U2339*U2331*U2333))</f>
        <v>10.310016074940632</v>
      </c>
      <c r="V2338" s="133"/>
      <c r="W2338" s="155"/>
      <c r="X2338" s="143">
        <f>X2329/((N_6*X$27*0.667)*SQRT(X2339*X2331*X2333))</f>
        <v>29.161495651070688</v>
      </c>
      <c r="Y2338" s="133"/>
      <c r="Z2338" s="155"/>
      <c r="AA2338" s="143">
        <f>AA2329/((N_6*AA$27*0.667)*SQRT(AA2339*AA2331*AA2333))</f>
        <v>103.2879208474765</v>
      </c>
      <c r="AB2338" s="133"/>
      <c r="AC2338" s="155"/>
      <c r="AD2338" s="143">
        <f>AD2329/((N_6*AD$27*0.667)*SQRT(AD2339*AD2331*AD2333))</f>
        <v>206.84856301826491</v>
      </c>
      <c r="AE2338" s="133"/>
      <c r="AF2338" s="155"/>
      <c r="AG2338" s="143">
        <f>AG2329/((N_6*AG$27*0.667)*SQRT(AG2339*AG2331*AG2333))</f>
        <v>69.947207263250419</v>
      </c>
      <c r="AH2338" s="133"/>
      <c r="AI2338" s="155"/>
      <c r="AJ2338" s="143">
        <f>AJ2329/((N_6*AJ$27*0.667)*SQRT(AJ2339*AJ2331*AJ2333))</f>
        <v>48.475128955401352</v>
      </c>
      <c r="AK2338" s="133"/>
      <c r="AL2338" s="155"/>
      <c r="AM2338" s="143">
        <f>AM2329/((N_6*AM$27*0.667)*SQRT(AM2339*AM2331*AM2333))</f>
        <v>42.511381559630053</v>
      </c>
      <c r="AN2338" s="133"/>
      <c r="AO2338" s="155"/>
      <c r="AP2338" s="143">
        <f>AP2329/((N_6*AP$27*0.667)*SQRT(AP2339*AP2331*AP2333))</f>
        <v>37.894157572934617</v>
      </c>
      <c r="AQ2338" s="133"/>
      <c r="AR2338" s="155"/>
      <c r="AS2338" s="143">
        <f>AS2329/((N_6*AS$27*0.667)*SQRT(AS2339*AS2331*AS2333))</f>
        <v>53.403895316430749</v>
      </c>
      <c r="AT2338" s="133"/>
      <c r="AU2338" s="155"/>
    </row>
    <row r="2339" spans="13:47" ht="15.5" x14ac:dyDescent="0.4">
      <c r="M2339" s="27"/>
      <c r="N2339" s="27"/>
      <c r="O2339" s="2" t="s">
        <v>192</v>
      </c>
      <c r="P2339" s="85">
        <v>10</v>
      </c>
      <c r="Q2339" s="2"/>
      <c r="R2339" s="181">
        <f>F_GAMMA*R$29</f>
        <v>0.64002688015162901</v>
      </c>
      <c r="S2339" s="133"/>
      <c r="T2339" s="155"/>
      <c r="U2339" s="138">
        <f>F_GAMMA*U$29</f>
        <v>0.64016782916606918</v>
      </c>
      <c r="V2339" s="133"/>
      <c r="W2339" s="155"/>
      <c r="X2339" s="138">
        <f>F_GAMMA*X$29</f>
        <v>0.6307062319203669</v>
      </c>
      <c r="Y2339" s="133"/>
      <c r="Z2339" s="155"/>
      <c r="AA2339" s="138">
        <f>F_GAMMA*AA$29</f>
        <v>0.62217534213893466</v>
      </c>
      <c r="AB2339" s="133"/>
      <c r="AC2339" s="155"/>
      <c r="AD2339" s="138">
        <f>F_GAMMA*AD$29</f>
        <v>0.60557184969146072</v>
      </c>
      <c r="AE2339" s="133"/>
      <c r="AF2339" s="155"/>
      <c r="AG2339" s="138">
        <f>F_GAMMA*AG$29</f>
        <v>0.57289312142622573</v>
      </c>
      <c r="AH2339" s="133"/>
      <c r="AI2339" s="155"/>
      <c r="AJ2339" s="138">
        <f>F_GAMMA*AJ$29</f>
        <v>0.53590819116049981</v>
      </c>
      <c r="AK2339" s="133"/>
      <c r="AL2339" s="155"/>
      <c r="AM2339" s="138">
        <f>F_GAMMA*AM$29</f>
        <v>0.49048815926850342</v>
      </c>
      <c r="AN2339" s="133"/>
      <c r="AO2339" s="155"/>
      <c r="AP2339" s="138">
        <f>F_GAMMA*AP$29</f>
        <v>0.59352979016280105</v>
      </c>
      <c r="AQ2339" s="133"/>
      <c r="AR2339" s="155"/>
      <c r="AS2339" s="138">
        <f>F_GAMMA*AS$29</f>
        <v>0.39097221161068291</v>
      </c>
      <c r="AT2339" s="133"/>
      <c r="AU2339" s="155"/>
    </row>
    <row r="2340" spans="13:47" x14ac:dyDescent="0.25">
      <c r="M2340" s="27"/>
      <c r="N2340" s="27"/>
      <c r="O2340" s="2" t="s">
        <v>193</v>
      </c>
      <c r="P2340" s="134"/>
      <c r="Q2340" s="2"/>
      <c r="R2340" s="181">
        <f>IF(R2335&lt;R2339,R2337,R2338)</f>
        <v>1.2743343414687776</v>
      </c>
      <c r="S2340" s="133"/>
      <c r="T2340" s="155"/>
      <c r="U2340" s="138">
        <f>IF(U2335&lt;U2339,U2337,U2338)</f>
        <v>10.548530189674295</v>
      </c>
      <c r="V2340" s="133"/>
      <c r="W2340" s="155"/>
      <c r="X2340" s="138">
        <f>IF(X2335&lt;X2339,X2337,X2338)</f>
        <v>30.578641369458015</v>
      </c>
      <c r="Y2340" s="133"/>
      <c r="Z2340" s="155"/>
      <c r="AA2340" s="138" t="e">
        <f>IF(AA2335&lt;AA2339,AA2337,AA2338)</f>
        <v>#NUM!</v>
      </c>
      <c r="AB2340" s="133"/>
      <c r="AC2340" s="155"/>
      <c r="AD2340" s="138">
        <f>IF(AD2335&lt;AD2339,AD2337,AD2338)</f>
        <v>206.84856301826491</v>
      </c>
      <c r="AE2340" s="133"/>
      <c r="AF2340" s="155"/>
      <c r="AG2340" s="138">
        <f>IF(AG2335&lt;AG2339,AG2337,AG2338)</f>
        <v>69.947207263250419</v>
      </c>
      <c r="AH2340" s="133"/>
      <c r="AI2340" s="155"/>
      <c r="AJ2340" s="138">
        <f>IF(AJ2335&lt;AJ2339,AJ2337,AJ2338)</f>
        <v>48.475128955401352</v>
      </c>
      <c r="AK2340" s="133"/>
      <c r="AL2340" s="155"/>
      <c r="AM2340" s="138">
        <f>IF(AM2335&lt;AM2339,AM2337,AM2338)</f>
        <v>42.511381559630053</v>
      </c>
      <c r="AN2340" s="133"/>
      <c r="AO2340" s="155"/>
      <c r="AP2340" s="138">
        <f>IF(AP2335&lt;AP2339,AP2337,AP2338)</f>
        <v>37.894157572934617</v>
      </c>
      <c r="AQ2340" s="133"/>
      <c r="AR2340" s="155"/>
      <c r="AS2340" s="138">
        <f>IF(AS2335&lt;AS2339,AS2337,AS2338)</f>
        <v>53.403895316430749</v>
      </c>
      <c r="AT2340" s="133"/>
      <c r="AU2340" s="155"/>
    </row>
    <row r="2341" spans="13:47" ht="13" x14ac:dyDescent="0.3">
      <c r="M2341" s="28"/>
      <c r="N2341" s="28"/>
      <c r="O2341" s="9" t="s">
        <v>194</v>
      </c>
      <c r="P2341" s="1"/>
      <c r="Q2341" s="1"/>
      <c r="R2341" s="135"/>
      <c r="S2341" s="132">
        <f>IF(R2334&lt;=0,W_max,ABS(R$23-R2340))</f>
        <v>0.72566565853122245</v>
      </c>
      <c r="T2341" s="151">
        <f>R2329</f>
        <v>294.6006194104657</v>
      </c>
      <c r="U2341" s="135"/>
      <c r="V2341" s="132">
        <f>IF(U2334&lt;=0,W_max,ABS(U$23-U2340))</f>
        <v>5.5485301896742953</v>
      </c>
      <c r="W2341" s="151">
        <f>U2329</f>
        <v>2375.4336619494525</v>
      </c>
      <c r="X2341" s="135"/>
      <c r="Y2341" s="132">
        <f>IF(X2334&lt;=0,W_max,ABS(X$23-X2340))</f>
        <v>20.578641369458015</v>
      </c>
      <c r="Z2341" s="151">
        <f>X2329</f>
        <v>5874.7301259204196</v>
      </c>
      <c r="AA2341" s="135"/>
      <c r="AB2341" s="132">
        <f>IF(AA2334&lt;=0,W_max,ABS(AA$23-AA2340))</f>
        <v>7174</v>
      </c>
      <c r="AC2341" s="151">
        <f>AA2329</f>
        <v>11442.474787373692</v>
      </c>
      <c r="AD2341" s="135"/>
      <c r="AE2341" s="132">
        <f>IF(AD2334&lt;=0,W_max,ABS(AD$23-AD2340))</f>
        <v>7174</v>
      </c>
      <c r="AF2341" s="151">
        <f>AD2329</f>
        <v>18818.658155961079</v>
      </c>
      <c r="AG2341" s="135"/>
      <c r="AH2341" s="132">
        <f>IF(AG2334&lt;=0,W_max,ABS(AG$23-AG2340))</f>
        <v>7174</v>
      </c>
      <c r="AI2341" s="151">
        <f>AG2329</f>
        <v>26394.616840143346</v>
      </c>
      <c r="AJ2341" s="135"/>
      <c r="AK2341" s="132">
        <f>IF(AJ2334&lt;=0,W_max,ABS(AJ$23-AJ2340))</f>
        <v>7174</v>
      </c>
      <c r="AL2341" s="151">
        <f>AJ2329</f>
        <v>33514.159536653955</v>
      </c>
      <c r="AM2341" s="135"/>
      <c r="AN2341" s="132">
        <f>IF(AM2334&lt;=0,W_max,ABS(AM$23-AM2340))</f>
        <v>7174</v>
      </c>
      <c r="AO2341" s="151">
        <f>AM2329</f>
        <v>39297.987775246351</v>
      </c>
      <c r="AP2341" s="135"/>
      <c r="AQ2341" s="132">
        <f>IF(AP2334&lt;=0,W_max,ABS(AP$23-AP2340))</f>
        <v>7174</v>
      </c>
      <c r="AR2341" s="151">
        <f>AP2329</f>
        <v>43843.521048482929</v>
      </c>
      <c r="AS2341" s="135"/>
      <c r="AT2341" s="132">
        <f>IF(AS2334&lt;=0,W_max,ABS(AS$23-AS2340))</f>
        <v>7174</v>
      </c>
      <c r="AU2341" s="151">
        <f>AS2329</f>
        <v>48914.82864014696</v>
      </c>
    </row>
    <row r="2342" spans="13:47" ht="13" x14ac:dyDescent="0.25">
      <c r="M2342" s="12"/>
      <c r="N2342" s="12"/>
      <c r="O2342" s="2"/>
      <c r="P2342" s="85"/>
      <c r="Q2342" s="2"/>
      <c r="R2342" s="18"/>
      <c r="S2342" s="150"/>
      <c r="T2342" s="148"/>
      <c r="U2342" s="157"/>
      <c r="V2342" s="1"/>
      <c r="W2342" s="147"/>
      <c r="X2342" s="157"/>
      <c r="Y2342" s="1"/>
      <c r="Z2342" s="147"/>
      <c r="AA2342" s="157"/>
      <c r="AB2342" s="1"/>
      <c r="AC2342" s="147"/>
      <c r="AD2342" s="157"/>
      <c r="AE2342" s="1"/>
      <c r="AF2342" s="147"/>
      <c r="AG2342" s="157"/>
      <c r="AH2342" s="1"/>
      <c r="AI2342" s="147"/>
      <c r="AJ2342" s="157"/>
      <c r="AK2342" s="1"/>
      <c r="AL2342" s="147"/>
      <c r="AM2342" s="157"/>
      <c r="AN2342" s="1"/>
      <c r="AO2342" s="147"/>
      <c r="AP2342" s="157"/>
      <c r="AQ2342" s="1"/>
      <c r="AR2342" s="147"/>
      <c r="AS2342" s="157"/>
      <c r="AT2342" s="1"/>
      <c r="AU2342" s="147"/>
    </row>
    <row r="2343" spans="13:47" ht="14" x14ac:dyDescent="0.3">
      <c r="M2343" s="23"/>
      <c r="N2343" s="23"/>
      <c r="O2343" s="23" t="s">
        <v>238</v>
      </c>
      <c r="P2343" s="20"/>
      <c r="Q2343" s="20"/>
      <c r="R2343" s="181">
        <f>R2329*1.02</f>
        <v>300.49263179867501</v>
      </c>
      <c r="S2343" s="128" t="s">
        <v>185</v>
      </c>
      <c r="T2343" s="149" t="s">
        <v>186</v>
      </c>
      <c r="U2343" s="143">
        <f>U2329*1.01</f>
        <v>2399.187998568947</v>
      </c>
      <c r="V2343" s="128" t="s">
        <v>185</v>
      </c>
      <c r="W2343" s="153" t="s">
        <v>186</v>
      </c>
      <c r="X2343" s="143">
        <f>X2329*1.01</f>
        <v>5933.4774271796241</v>
      </c>
      <c r="Y2343" s="128" t="s">
        <v>185</v>
      </c>
      <c r="Z2343" s="153" t="s">
        <v>186</v>
      </c>
      <c r="AA2343" s="143">
        <f>AA2329*1.01</f>
        <v>11556.899535247429</v>
      </c>
      <c r="AB2343" s="128" t="s">
        <v>185</v>
      </c>
      <c r="AC2343" s="153" t="s">
        <v>186</v>
      </c>
      <c r="AD2343" s="143">
        <f>AD2329*1.01</f>
        <v>19006.844737520689</v>
      </c>
      <c r="AE2343" s="128" t="s">
        <v>185</v>
      </c>
      <c r="AF2343" s="153" t="s">
        <v>186</v>
      </c>
      <c r="AG2343" s="143">
        <f>AG2329*1.01</f>
        <v>26658.563008544781</v>
      </c>
      <c r="AH2343" s="128" t="s">
        <v>185</v>
      </c>
      <c r="AI2343" s="153" t="s">
        <v>186</v>
      </c>
      <c r="AJ2343" s="143">
        <f>AJ2329*1.01</f>
        <v>33849.301132020497</v>
      </c>
      <c r="AK2343" s="128" t="s">
        <v>185</v>
      </c>
      <c r="AL2343" s="153" t="s">
        <v>186</v>
      </c>
      <c r="AM2343" s="143">
        <f>AM2329*1.01</f>
        <v>39690.967652998814</v>
      </c>
      <c r="AN2343" s="128" t="s">
        <v>185</v>
      </c>
      <c r="AO2343" s="153" t="s">
        <v>186</v>
      </c>
      <c r="AP2343" s="143">
        <f>AP2329*1.01</f>
        <v>44281.956258967759</v>
      </c>
      <c r="AQ2343" s="128" t="s">
        <v>185</v>
      </c>
      <c r="AR2343" s="153" t="s">
        <v>186</v>
      </c>
      <c r="AS2343" s="143">
        <f>AS2329*1.01</f>
        <v>49403.976926548428</v>
      </c>
      <c r="AT2343" s="128" t="s">
        <v>185</v>
      </c>
      <c r="AU2343" s="153" t="s">
        <v>186</v>
      </c>
    </row>
    <row r="2344" spans="13:47" ht="14" x14ac:dyDescent="0.3">
      <c r="M2344" s="12"/>
      <c r="N2344" s="12"/>
      <c r="O2344" s="20"/>
      <c r="P2344" s="20"/>
      <c r="Q2344" s="23"/>
      <c r="R2344" s="139"/>
      <c r="S2344" s="130" t="s">
        <v>228</v>
      </c>
      <c r="T2344" s="131" t="s">
        <v>187</v>
      </c>
      <c r="U2344" s="144"/>
      <c r="V2344" s="130" t="s">
        <v>228</v>
      </c>
      <c r="W2344" s="154" t="s">
        <v>187</v>
      </c>
      <c r="X2344" s="144"/>
      <c r="Y2344" s="130" t="s">
        <v>228</v>
      </c>
      <c r="Z2344" s="154" t="s">
        <v>187</v>
      </c>
      <c r="AA2344" s="144"/>
      <c r="AB2344" s="130" t="s">
        <v>228</v>
      </c>
      <c r="AC2344" s="154" t="s">
        <v>187</v>
      </c>
      <c r="AD2344" s="144"/>
      <c r="AE2344" s="130" t="s">
        <v>228</v>
      </c>
      <c r="AF2344" s="154" t="s">
        <v>187</v>
      </c>
      <c r="AG2344" s="144"/>
      <c r="AH2344" s="130" t="s">
        <v>228</v>
      </c>
      <c r="AI2344" s="154" t="s">
        <v>187</v>
      </c>
      <c r="AJ2344" s="144"/>
      <c r="AK2344" s="130" t="s">
        <v>228</v>
      </c>
      <c r="AL2344" s="154" t="s">
        <v>187</v>
      </c>
      <c r="AM2344" s="144"/>
      <c r="AN2344" s="130" t="s">
        <v>228</v>
      </c>
      <c r="AO2344" s="154" t="s">
        <v>187</v>
      </c>
      <c r="AP2344" s="144"/>
      <c r="AQ2344" s="130" t="s">
        <v>228</v>
      </c>
      <c r="AR2344" s="154" t="s">
        <v>187</v>
      </c>
      <c r="AS2344" s="144"/>
      <c r="AT2344" s="130" t="s">
        <v>228</v>
      </c>
      <c r="AU2344" s="154" t="s">
        <v>187</v>
      </c>
    </row>
    <row r="2345" spans="13:47" x14ac:dyDescent="0.25">
      <c r="M2345" s="20"/>
      <c r="N2345" s="20"/>
      <c r="O2345" s="7" t="s">
        <v>188</v>
      </c>
      <c r="P2345" s="7"/>
      <c r="Q2345" s="7"/>
      <c r="R2345" s="181">
        <f>P_1_minW-(R2343^2*R_up)+dpup_minQ</f>
        <v>100.48678020900931</v>
      </c>
      <c r="S2345" s="132"/>
      <c r="T2345" s="145"/>
      <c r="U2345" s="138">
        <f>P_1_minW-(U2343^2*R_up)+dpup_minQ</f>
        <v>98.227472512308921</v>
      </c>
      <c r="V2345" s="132"/>
      <c r="W2345" s="145"/>
      <c r="X2345" s="138">
        <f>P_1_minW-(X2343^2*R_up)+dpup_minQ</f>
        <v>86.483915959726673</v>
      </c>
      <c r="Y2345" s="132"/>
      <c r="Z2345" s="145"/>
      <c r="AA2345" s="138">
        <f>P_1_minW-(AA2343^2*R_up)+dpup_minQ</f>
        <v>47.263387489456591</v>
      </c>
      <c r="AB2345" s="132"/>
      <c r="AC2345" s="145"/>
      <c r="AD2345" s="138">
        <f>P_1_minW-(AD2343^2*R_up)+dpup_minQ</f>
        <v>-43.533972893971921</v>
      </c>
      <c r="AE2345" s="132"/>
      <c r="AF2345" s="145"/>
      <c r="AG2345" s="138">
        <f>P_1_minW-(AG2343^2*R_up)+dpup_minQ</f>
        <v>-182.86886917605185</v>
      </c>
      <c r="AH2345" s="132"/>
      <c r="AI2345" s="145"/>
      <c r="AJ2345" s="138">
        <f>P_1_minW-(AJ2343^2*R_up)+dpup_minQ</f>
        <v>-356.36863112347061</v>
      </c>
      <c r="AK2345" s="132"/>
      <c r="AL2345" s="145"/>
      <c r="AM2345" s="138">
        <f>P_1_minW-(AM2343^2*R_up)+dpup_minQ</f>
        <v>-527.67580935100818</v>
      </c>
      <c r="AN2345" s="132"/>
      <c r="AO2345" s="145"/>
      <c r="AP2345" s="138">
        <f>P_1_minW-(AP2343^2*R_up)+dpup_minQ</f>
        <v>-681.40596888694017</v>
      </c>
      <c r="AQ2345" s="132"/>
      <c r="AR2345" s="145"/>
      <c r="AS2345" s="138">
        <f>P_1_minW-(AS2343^2*R_up)+dpup_minQ</f>
        <v>-872.75633658335369</v>
      </c>
      <c r="AT2345" s="132"/>
      <c r="AU2345" s="145"/>
    </row>
    <row r="2346" spans="13:47" x14ac:dyDescent="0.25">
      <c r="M2346" s="20"/>
      <c r="N2346" s="20"/>
      <c r="O2346" s="7" t="s">
        <v>189</v>
      </c>
      <c r="P2346" s="1"/>
      <c r="Q2346" s="7"/>
      <c r="R2346" s="181">
        <f>P_2_minW+(R2343^2*R_dn)-dpdn_minQ</f>
        <v>50</v>
      </c>
      <c r="S2346" s="132"/>
      <c r="T2346" s="146"/>
      <c r="U2346" s="138">
        <f>P_2_minW+(U2343^2*R_dn)-dpdn_minQ</f>
        <v>50</v>
      </c>
      <c r="V2346" s="132"/>
      <c r="W2346" s="146"/>
      <c r="X2346" s="138">
        <f>P_2_minW+(X2343^2*R_dn)-dpdn_minQ</f>
        <v>50</v>
      </c>
      <c r="Y2346" s="132"/>
      <c r="Z2346" s="146"/>
      <c r="AA2346" s="138">
        <f>P_2_minW+(AA2343^2*R_dn)-dpdn_minQ</f>
        <v>50</v>
      </c>
      <c r="AB2346" s="132"/>
      <c r="AC2346" s="146"/>
      <c r="AD2346" s="138">
        <f>P_2_minW+(AD2343^2*R_dn)-dpdn_minQ</f>
        <v>50</v>
      </c>
      <c r="AE2346" s="132"/>
      <c r="AF2346" s="146"/>
      <c r="AG2346" s="138">
        <f>P_2_minW+(AG2343^2*R_dn)-dpdn_minQ</f>
        <v>50</v>
      </c>
      <c r="AH2346" s="132"/>
      <c r="AI2346" s="146"/>
      <c r="AJ2346" s="138">
        <f>P_2_minW+(AJ2343^2*R_dn)-dpdn_minQ</f>
        <v>50</v>
      </c>
      <c r="AK2346" s="132"/>
      <c r="AL2346" s="146"/>
      <c r="AM2346" s="138">
        <f>P_2_minW+(AM2343^2*R_dn)-dpdn_minQ</f>
        <v>50</v>
      </c>
      <c r="AN2346" s="132"/>
      <c r="AO2346" s="146"/>
      <c r="AP2346" s="138">
        <f>P_2_minW+(AP2343^2*R_dn)-dpdn_minQ</f>
        <v>50</v>
      </c>
      <c r="AQ2346" s="132"/>
      <c r="AR2346" s="146"/>
      <c r="AS2346" s="138">
        <f>P_2_minW+(AS2343^2*R_dn)-dpdn_minQ</f>
        <v>50</v>
      </c>
      <c r="AT2346" s="132"/>
      <c r="AU2346" s="146"/>
    </row>
    <row r="2347" spans="13:47" x14ac:dyDescent="0.25">
      <c r="M2347" s="20"/>
      <c r="N2347" s="20"/>
      <c r="O2347" s="7" t="s">
        <v>234</v>
      </c>
      <c r="P2347" s="1"/>
      <c r="Q2347" s="7"/>
      <c r="R2347" s="179">
        <f>'Valve Sizing'!G$8*R2345/P_1_maxW</f>
        <v>0.48473033715974934</v>
      </c>
      <c r="S2347" s="132"/>
      <c r="T2347" s="146"/>
      <c r="U2347" s="143">
        <f>'Valve Sizing'!$G$8*U2345/P_1_maxW</f>
        <v>0.47383183907580922</v>
      </c>
      <c r="V2347" s="132"/>
      <c r="W2347" s="146"/>
      <c r="X2347" s="143">
        <f>'Valve Sizing'!$G$8*X2345/P_1_maxW</f>
        <v>0.41718301307752725</v>
      </c>
      <c r="Y2347" s="132"/>
      <c r="Z2347" s="146"/>
      <c r="AA2347" s="143">
        <f>'Valve Sizing'!$G$8*AA2345/P_1_maxW</f>
        <v>0.22799016652164697</v>
      </c>
      <c r="AB2347" s="132"/>
      <c r="AC2347" s="146"/>
      <c r="AD2347" s="143">
        <f>'Valve Sizing'!$G$8*AD2345/P_1_maxW</f>
        <v>-0.21000013449437244</v>
      </c>
      <c r="AE2347" s="132"/>
      <c r="AF2347" s="146"/>
      <c r="AG2347" s="143">
        <f>'Valve Sizing'!$G$8*AG2345/P_1_maxW</f>
        <v>-0.88212686710985244</v>
      </c>
      <c r="AH2347" s="132"/>
      <c r="AI2347" s="146"/>
      <c r="AJ2347" s="143">
        <f>'Valve Sizing'!$G$8*AJ2345/P_1_maxW</f>
        <v>-1.7190588290155078</v>
      </c>
      <c r="AK2347" s="132"/>
      <c r="AL2347" s="146"/>
      <c r="AM2347" s="143">
        <f>'Valve Sizing'!$G$8*AM2345/P_1_maxW</f>
        <v>-2.5454141574219271</v>
      </c>
      <c r="AN2347" s="132"/>
      <c r="AO2347" s="146"/>
      <c r="AP2347" s="143">
        <f>'Valve Sizing'!$G$8*AP2345/P_1_maxW</f>
        <v>-3.2869810770553349</v>
      </c>
      <c r="AQ2347" s="132"/>
      <c r="AR2347" s="146"/>
      <c r="AS2347" s="143">
        <f>'Valve Sizing'!$G$8*AS2345/P_1_maxW</f>
        <v>-4.2100211829896734</v>
      </c>
      <c r="AT2347" s="132"/>
      <c r="AU2347" s="146"/>
    </row>
    <row r="2348" spans="13:47" x14ac:dyDescent="0.25">
      <c r="M2348" s="20"/>
      <c r="N2348" s="20"/>
      <c r="O2348" s="7" t="s">
        <v>190</v>
      </c>
      <c r="P2348" s="1"/>
      <c r="Q2348" s="7"/>
      <c r="R2348" s="181">
        <f>R2345-R2346</f>
        <v>50.486780209009311</v>
      </c>
      <c r="S2348" s="132"/>
      <c r="T2348" s="146"/>
      <c r="U2348" s="138">
        <f>U2345-U2346</f>
        <v>48.227472512308921</v>
      </c>
      <c r="V2348" s="132"/>
      <c r="W2348" s="146"/>
      <c r="X2348" s="138">
        <f>X2345-X2346</f>
        <v>36.483915959726673</v>
      </c>
      <c r="Y2348" s="132"/>
      <c r="Z2348" s="146"/>
      <c r="AA2348" s="138">
        <f>AA2345-AA2346</f>
        <v>-2.7366125105434094</v>
      </c>
      <c r="AB2348" s="132"/>
      <c r="AC2348" s="146"/>
      <c r="AD2348" s="138">
        <f>AD2345-AD2346</f>
        <v>-93.533972893971921</v>
      </c>
      <c r="AE2348" s="132"/>
      <c r="AF2348" s="146"/>
      <c r="AG2348" s="138">
        <f>AG2345-AG2346</f>
        <v>-232.86886917605185</v>
      </c>
      <c r="AH2348" s="132"/>
      <c r="AI2348" s="146"/>
      <c r="AJ2348" s="138">
        <f>AJ2345-AJ2346</f>
        <v>-406.36863112347061</v>
      </c>
      <c r="AK2348" s="132"/>
      <c r="AL2348" s="146"/>
      <c r="AM2348" s="138">
        <f>AM2345-AM2346</f>
        <v>-577.67580935100818</v>
      </c>
      <c r="AN2348" s="132"/>
      <c r="AO2348" s="146"/>
      <c r="AP2348" s="138">
        <f>AP2345-AP2346</f>
        <v>-731.40596888694017</v>
      </c>
      <c r="AQ2348" s="132"/>
      <c r="AR2348" s="146"/>
      <c r="AS2348" s="138">
        <f>AS2345-AS2346</f>
        <v>-922.75633658335369</v>
      </c>
      <c r="AT2348" s="132"/>
      <c r="AU2348" s="146"/>
    </row>
    <row r="2349" spans="13:47" ht="14.5" x14ac:dyDescent="0.35">
      <c r="M2349" s="27"/>
      <c r="N2349" s="27"/>
      <c r="O2349" s="2" t="s">
        <v>191</v>
      </c>
      <c r="P2349" s="10"/>
      <c r="Q2349" s="2"/>
      <c r="R2349" s="181">
        <f>R2348/R2345</f>
        <v>0.50242211068956943</v>
      </c>
      <c r="S2349" s="132"/>
      <c r="T2349" s="146"/>
      <c r="U2349" s="138">
        <f>U2348/U2345</f>
        <v>0.49097743511893294</v>
      </c>
      <c r="V2349" s="132"/>
      <c r="W2349" s="146"/>
      <c r="X2349" s="138">
        <f>X2348/X2345</f>
        <v>0.42185781662241439</v>
      </c>
      <c r="Y2349" s="132"/>
      <c r="Z2349" s="146"/>
      <c r="AA2349" s="138">
        <f>AA2348/AA2345</f>
        <v>-5.7901319729862503E-2</v>
      </c>
      <c r="AB2349" s="132"/>
      <c r="AC2349" s="146"/>
      <c r="AD2349" s="138">
        <f>AD2348/AD2345</f>
        <v>2.1485283027528008</v>
      </c>
      <c r="AE2349" s="132"/>
      <c r="AF2349" s="146"/>
      <c r="AG2349" s="138">
        <f>AG2348/AG2345</f>
        <v>1.2734199660406054</v>
      </c>
      <c r="AH2349" s="132"/>
      <c r="AI2349" s="146"/>
      <c r="AJ2349" s="138">
        <f>AJ2348/AJ2345</f>
        <v>1.14030415595888</v>
      </c>
      <c r="AK2349" s="132"/>
      <c r="AL2349" s="146"/>
      <c r="AM2349" s="138">
        <f>AM2348/AM2345</f>
        <v>1.0947551491160743</v>
      </c>
      <c r="AN2349" s="132"/>
      <c r="AO2349" s="146"/>
      <c r="AP2349" s="138">
        <f>AP2348/AP2345</f>
        <v>1.073377695944862</v>
      </c>
      <c r="AQ2349" s="132"/>
      <c r="AR2349" s="146"/>
      <c r="AS2349" s="138">
        <f>AS2348/AS2345</f>
        <v>1.0572897587839223</v>
      </c>
      <c r="AT2349" s="132"/>
      <c r="AU2349" s="146"/>
    </row>
    <row r="2350" spans="13:47" x14ac:dyDescent="0.25">
      <c r="M2350" s="27"/>
      <c r="N2350" s="27"/>
      <c r="O2350" s="2" t="s">
        <v>26</v>
      </c>
      <c r="P2350" s="7">
        <v>12</v>
      </c>
      <c r="Q2350" s="2"/>
      <c r="R2350" s="181">
        <f>1-R2349/(3*F_GAMMA*R$29)</f>
        <v>0.73833280743326468</v>
      </c>
      <c r="S2350" s="133"/>
      <c r="T2350" s="146"/>
      <c r="U2350" s="138">
        <f>1-U2349/(3*F_GAMMA*U$29)</f>
        <v>0.74434962585852049</v>
      </c>
      <c r="V2350" s="133"/>
      <c r="W2350" s="146"/>
      <c r="X2350" s="138">
        <f>1-X2349/(3*F_GAMMA*X$29)</f>
        <v>0.77704473954646747</v>
      </c>
      <c r="Y2350" s="133"/>
      <c r="Z2350" s="146"/>
      <c r="AA2350" s="138">
        <f>1-AA2349/(3*F_GAMMA*AA$29)</f>
        <v>1.0310209013484888</v>
      </c>
      <c r="AB2350" s="133"/>
      <c r="AC2350" s="146"/>
      <c r="AD2350" s="138">
        <f>1-AD2349/(3*F_GAMMA*AD$29)</f>
        <v>-0.18264430766141526</v>
      </c>
      <c r="AE2350" s="133"/>
      <c r="AF2350" s="146"/>
      <c r="AG2350" s="138">
        <f>1-AG2349/(3*F_GAMMA*AG$29)</f>
        <v>0.25907066058534167</v>
      </c>
      <c r="AH2350" s="133"/>
      <c r="AI2350" s="146"/>
      <c r="AJ2350" s="138">
        <f>1-AJ2349/(3*F_GAMMA*AJ$29)</f>
        <v>0.29073413769525747</v>
      </c>
      <c r="AK2350" s="133"/>
      <c r="AL2350" s="146"/>
      <c r="AM2350" s="138">
        <f>1-AM2349/(3*F_GAMMA*AM$29)</f>
        <v>0.25600980137233553</v>
      </c>
      <c r="AN2350" s="133"/>
      <c r="AO2350" s="146"/>
      <c r="AP2350" s="138">
        <f>1-AP2349/(3*F_GAMMA*AP$29)</f>
        <v>0.39717842095707778</v>
      </c>
      <c r="AQ2350" s="133"/>
      <c r="AR2350" s="146"/>
      <c r="AS2350" s="138">
        <f>1-AS2349/(3*F_GAMMA*AS$29)</f>
        <v>9.8580643000841461E-2</v>
      </c>
      <c r="AT2350" s="133"/>
      <c r="AU2350" s="146"/>
    </row>
    <row r="2351" spans="13:47" x14ac:dyDescent="0.25">
      <c r="M2351" s="27"/>
      <c r="N2351" s="27"/>
      <c r="O2351" s="2" t="s">
        <v>71</v>
      </c>
      <c r="P2351" s="85">
        <v>5</v>
      </c>
      <c r="Q2351" s="2"/>
      <c r="R2351" s="179">
        <f>R2343/((N_6*R$27*R2350)*SQRT(R2349*R2345*R2347))</f>
        <v>1.2998417218372549</v>
      </c>
      <c r="S2351" s="133"/>
      <c r="T2351" s="146"/>
      <c r="U2351" s="143">
        <f>U2343/((N_6*U$27*U2350)*SQRT(U2349*U2345*U2347))</f>
        <v>10.659716330833257</v>
      </c>
      <c r="V2351" s="133"/>
      <c r="W2351" s="146"/>
      <c r="X2351" s="143">
        <f>X2343/((N_6*X$27*X2350)*SQRT(X2349*X2345*X2347))</f>
        <v>31.011899977364425</v>
      </c>
      <c r="Y2351" s="133"/>
      <c r="Z2351" s="146"/>
      <c r="AA2351" s="143" t="e">
        <f>AA2343/((N_6*AA$27*AA2350)*SQRT(AA2349*AA2345*AA2347))</f>
        <v>#NUM!</v>
      </c>
      <c r="AB2351" s="133"/>
      <c r="AC2351" s="146"/>
      <c r="AD2351" s="143">
        <f>AD2343/((N_6*AD$27*AD2350)*SQRT(AD2349*AD2345*AD2347))</f>
        <v>-378.63765954646868</v>
      </c>
      <c r="AE2351" s="133"/>
      <c r="AF2351" s="146"/>
      <c r="AG2351" s="143">
        <f>AG2343/((N_6*AG$27*AG2350)*SQRT(AG2349*AG2345*AG2347))</f>
        <v>118.27212006216728</v>
      </c>
      <c r="AH2351" s="133"/>
      <c r="AI2351" s="146"/>
      <c r="AJ2351" s="143">
        <f>AJ2343/((N_6*AJ$27*AJ2350)*SQRT(AJ2349*AJ2345*AJ2347))</f>
        <v>75.057296240860524</v>
      </c>
      <c r="AK2351" s="133"/>
      <c r="AL2351" s="146"/>
      <c r="AM2351" s="143">
        <f>AM2343/((N_6*AM$27*AM2350)*SQRT(AM2349*AM2345*AM2347))</f>
        <v>73.121099977795524</v>
      </c>
      <c r="AN2351" s="133"/>
      <c r="AO2351" s="146"/>
      <c r="AP2351" s="143">
        <f>AP2343/((N_6*AP$27*AP2350)*SQRT(AP2349*AP2345*AP2347))</f>
        <v>46.713925576434683</v>
      </c>
      <c r="AQ2351" s="133"/>
      <c r="AR2351" s="146"/>
      <c r="AS2351" s="143">
        <f>AS2343/((N_6*AS$27*AS2350)*SQRT(AS2349*AS2345*AS2347))</f>
        <v>217.04764923120445</v>
      </c>
      <c r="AT2351" s="133"/>
      <c r="AU2351" s="146"/>
    </row>
    <row r="2352" spans="13:47" x14ac:dyDescent="0.25">
      <c r="M2352" s="27"/>
      <c r="N2352" s="27"/>
      <c r="O2352" s="2" t="s">
        <v>73</v>
      </c>
      <c r="P2352" s="85">
        <v>5</v>
      </c>
      <c r="Q2352" s="2"/>
      <c r="R2352" s="179">
        <f>R2343/((N_6*R$27*0.667)*SQRT(R2353*R2345*R2347))</f>
        <v>1.2748293984764074</v>
      </c>
      <c r="S2352" s="133"/>
      <c r="T2352" s="147"/>
      <c r="U2352" s="143">
        <f>U2343/((N_6*U$27*0.667)*SQRT(U2353*U2345*U2347))</f>
        <v>10.417910734385137</v>
      </c>
      <c r="V2352" s="133"/>
      <c r="W2352" s="155"/>
      <c r="X2352" s="143">
        <f>X2343/((N_6*X$27*0.667)*SQRT(X2353*X2345*X2347))</f>
        <v>29.547317202945674</v>
      </c>
      <c r="Y2352" s="133"/>
      <c r="Z2352" s="155"/>
      <c r="AA2352" s="143">
        <f>AA2343/((N_6*AA$27*0.667)*SQRT(AA2353*AA2345*AA2347))</f>
        <v>106.63710448136951</v>
      </c>
      <c r="AB2352" s="133"/>
      <c r="AC2352" s="155"/>
      <c r="AD2352" s="143">
        <f>AD2343/((N_6*AD$27*0.667)*SQRT(AD2353*AD2345*AD2347))</f>
        <v>195.29531039289614</v>
      </c>
      <c r="AE2352" s="133"/>
      <c r="AF2352" s="155"/>
      <c r="AG2352" s="143">
        <f>AG2343/((N_6*AG$27*0.667)*SQRT(AG2353*AG2345*AG2347))</f>
        <v>68.489469744456841</v>
      </c>
      <c r="AH2352" s="133"/>
      <c r="AI2352" s="155"/>
      <c r="AJ2352" s="143">
        <f>AJ2343/((N_6*AJ$27*0.667)*SQRT(AJ2353*AJ2345*AJ2347))</f>
        <v>47.723058282980574</v>
      </c>
      <c r="AK2352" s="133"/>
      <c r="AL2352" s="155"/>
      <c r="AM2352" s="143">
        <f>AM2343/((N_6*AM$27*0.667)*SQRT(AM2353*AM2345*AM2347))</f>
        <v>41.929309377670528</v>
      </c>
      <c r="AN2352" s="133"/>
      <c r="AO2352" s="155"/>
      <c r="AP2352" s="143">
        <f>AP2343/((N_6*AP$27*0.667)*SQRT(AP2353*AP2345*AP2347))</f>
        <v>37.40771648331441</v>
      </c>
      <c r="AQ2352" s="133"/>
      <c r="AR2352" s="155"/>
      <c r="AS2352" s="143">
        <f>AS2343/((N_6*AS$27*0.667)*SQRT(AS2353*AS2345*AS2347))</f>
        <v>52.75273324889482</v>
      </c>
      <c r="AT2352" s="133"/>
      <c r="AU2352" s="155"/>
    </row>
    <row r="2353" spans="13:47" ht="15.5" x14ac:dyDescent="0.4">
      <c r="M2353" s="27"/>
      <c r="N2353" s="27"/>
      <c r="O2353" s="2" t="s">
        <v>192</v>
      </c>
      <c r="P2353" s="85">
        <v>10</v>
      </c>
      <c r="Q2353" s="2"/>
      <c r="R2353" s="181">
        <f>F_GAMMA*R$29</f>
        <v>0.64002688015162901</v>
      </c>
      <c r="S2353" s="133"/>
      <c r="T2353" s="147"/>
      <c r="U2353" s="138">
        <f>F_GAMMA*U$29</f>
        <v>0.64016782916606918</v>
      </c>
      <c r="V2353" s="133"/>
      <c r="W2353" s="155"/>
      <c r="X2353" s="138">
        <f>F_GAMMA*X$29</f>
        <v>0.6307062319203669</v>
      </c>
      <c r="Y2353" s="133"/>
      <c r="Z2353" s="155"/>
      <c r="AA2353" s="138">
        <f>F_GAMMA*AA$29</f>
        <v>0.62217534213893466</v>
      </c>
      <c r="AB2353" s="133"/>
      <c r="AC2353" s="155"/>
      <c r="AD2353" s="138">
        <f>F_GAMMA*AD$29</f>
        <v>0.60557184969146072</v>
      </c>
      <c r="AE2353" s="133"/>
      <c r="AF2353" s="155"/>
      <c r="AG2353" s="138">
        <f>F_GAMMA*AG$29</f>
        <v>0.57289312142622573</v>
      </c>
      <c r="AH2353" s="133"/>
      <c r="AI2353" s="155"/>
      <c r="AJ2353" s="138">
        <f>F_GAMMA*AJ$29</f>
        <v>0.53590819116049981</v>
      </c>
      <c r="AK2353" s="133"/>
      <c r="AL2353" s="155"/>
      <c r="AM2353" s="138">
        <f>F_GAMMA*AM$29</f>
        <v>0.49048815926850342</v>
      </c>
      <c r="AN2353" s="133"/>
      <c r="AO2353" s="155"/>
      <c r="AP2353" s="138">
        <f>F_GAMMA*AP$29</f>
        <v>0.59352979016280105</v>
      </c>
      <c r="AQ2353" s="133"/>
      <c r="AR2353" s="155"/>
      <c r="AS2353" s="138">
        <f>F_GAMMA*AS$29</f>
        <v>0.39097221161068291</v>
      </c>
      <c r="AT2353" s="133"/>
      <c r="AU2353" s="155"/>
    </row>
    <row r="2354" spans="13:47" x14ac:dyDescent="0.25">
      <c r="M2354" s="27"/>
      <c r="N2354" s="27"/>
      <c r="O2354" s="2" t="s">
        <v>193</v>
      </c>
      <c r="P2354" s="134"/>
      <c r="Q2354" s="2"/>
      <c r="R2354" s="181">
        <f>IF(R2349&lt;R2353,R2351,R2352)</f>
        <v>1.2998417218372549</v>
      </c>
      <c r="S2354" s="133"/>
      <c r="T2354" s="147"/>
      <c r="U2354" s="138">
        <f>IF(U2349&lt;U2353,U2351,U2352)</f>
        <v>10.659716330833257</v>
      </c>
      <c r="V2354" s="133"/>
      <c r="W2354" s="155"/>
      <c r="X2354" s="138">
        <f>IF(X2349&lt;X2353,X2351,X2352)</f>
        <v>31.011899977364425</v>
      </c>
      <c r="Y2354" s="133"/>
      <c r="Z2354" s="155"/>
      <c r="AA2354" s="138" t="e">
        <f>IF(AA2349&lt;AA2353,AA2351,AA2352)</f>
        <v>#NUM!</v>
      </c>
      <c r="AB2354" s="133"/>
      <c r="AC2354" s="155"/>
      <c r="AD2354" s="138">
        <f>IF(AD2349&lt;AD2353,AD2351,AD2352)</f>
        <v>195.29531039289614</v>
      </c>
      <c r="AE2354" s="133"/>
      <c r="AF2354" s="155"/>
      <c r="AG2354" s="138">
        <f>IF(AG2349&lt;AG2353,AG2351,AG2352)</f>
        <v>68.489469744456841</v>
      </c>
      <c r="AH2354" s="133"/>
      <c r="AI2354" s="155"/>
      <c r="AJ2354" s="138">
        <f>IF(AJ2349&lt;AJ2353,AJ2351,AJ2352)</f>
        <v>47.723058282980574</v>
      </c>
      <c r="AK2354" s="133"/>
      <c r="AL2354" s="155"/>
      <c r="AM2354" s="138">
        <f>IF(AM2349&lt;AM2353,AM2351,AM2352)</f>
        <v>41.929309377670528</v>
      </c>
      <c r="AN2354" s="133"/>
      <c r="AO2354" s="155"/>
      <c r="AP2354" s="138">
        <f>IF(AP2349&lt;AP2353,AP2351,AP2352)</f>
        <v>37.40771648331441</v>
      </c>
      <c r="AQ2354" s="133"/>
      <c r="AR2354" s="155"/>
      <c r="AS2354" s="138">
        <f>IF(AS2349&lt;AS2353,AS2351,AS2352)</f>
        <v>52.75273324889482</v>
      </c>
      <c r="AT2354" s="133"/>
      <c r="AU2354" s="155"/>
    </row>
    <row r="2355" spans="13:47" ht="13" x14ac:dyDescent="0.3">
      <c r="M2355" s="28"/>
      <c r="N2355" s="28"/>
      <c r="O2355" s="9" t="s">
        <v>194</v>
      </c>
      <c r="P2355" s="1"/>
      <c r="Q2355" s="1"/>
      <c r="R2355" s="135"/>
      <c r="S2355" s="132">
        <f>IF(R2348&lt;=0,W_max,ABS(R$23-R2354))</f>
        <v>0.70015827816274512</v>
      </c>
      <c r="T2355" s="151">
        <f>R2343</f>
        <v>300.49263179867501</v>
      </c>
      <c r="U2355" s="135"/>
      <c r="V2355" s="132">
        <f>IF(U2348&lt;=0,W_max,ABS(U$23-U2354))</f>
        <v>5.6597163308332572</v>
      </c>
      <c r="W2355" s="151">
        <f>U2343</f>
        <v>2399.187998568947</v>
      </c>
      <c r="X2355" s="135"/>
      <c r="Y2355" s="132">
        <f>IF(X2348&lt;=0,W_max,ABS(X$23-X2354))</f>
        <v>21.011899977364425</v>
      </c>
      <c r="Z2355" s="151">
        <f>X2343</f>
        <v>5933.4774271796241</v>
      </c>
      <c r="AA2355" s="135"/>
      <c r="AB2355" s="132">
        <f>IF(AA2348&lt;=0,W_max,ABS(AA$23-AA2354))</f>
        <v>7174</v>
      </c>
      <c r="AC2355" s="151">
        <f>AA2343</f>
        <v>11556.899535247429</v>
      </c>
      <c r="AD2355" s="135"/>
      <c r="AE2355" s="132">
        <f>IF(AD2348&lt;=0,W_max,ABS(AD$23-AD2354))</f>
        <v>7174</v>
      </c>
      <c r="AF2355" s="151">
        <f>AD2343</f>
        <v>19006.844737520689</v>
      </c>
      <c r="AG2355" s="135"/>
      <c r="AH2355" s="132">
        <f>IF(AG2348&lt;=0,W_max,ABS(AG$23-AG2354))</f>
        <v>7174</v>
      </c>
      <c r="AI2355" s="151">
        <f>AG2343</f>
        <v>26658.563008544781</v>
      </c>
      <c r="AJ2355" s="135"/>
      <c r="AK2355" s="132">
        <f>IF(AJ2348&lt;=0,W_max,ABS(AJ$23-AJ2354))</f>
        <v>7174</v>
      </c>
      <c r="AL2355" s="151">
        <f>AJ2343</f>
        <v>33849.301132020497</v>
      </c>
      <c r="AM2355" s="135"/>
      <c r="AN2355" s="132">
        <f>IF(AM2348&lt;=0,W_max,ABS(AM$23-AM2354))</f>
        <v>7174</v>
      </c>
      <c r="AO2355" s="151">
        <f>AM2343</f>
        <v>39690.967652998814</v>
      </c>
      <c r="AP2355" s="135"/>
      <c r="AQ2355" s="132">
        <f>IF(AP2348&lt;=0,W_max,ABS(AP$23-AP2354))</f>
        <v>7174</v>
      </c>
      <c r="AR2355" s="151">
        <f>AP2343</f>
        <v>44281.956258967759</v>
      </c>
      <c r="AS2355" s="135"/>
      <c r="AT2355" s="132">
        <f>IF(AS2348&lt;=0,W_max,ABS(AS$23-AS2354))</f>
        <v>7174</v>
      </c>
      <c r="AU2355" s="151">
        <f>AS2343</f>
        <v>49403.976926548428</v>
      </c>
    </row>
    <row r="2356" spans="13:47" ht="13" x14ac:dyDescent="0.25">
      <c r="M2356" s="12"/>
      <c r="N2356" s="12"/>
      <c r="O2356" s="12"/>
      <c r="P2356" s="12"/>
      <c r="Q2356" s="12"/>
      <c r="R2356" s="182"/>
      <c r="S2356" s="22"/>
      <c r="T2356" s="152"/>
      <c r="U2356" s="157"/>
      <c r="V2356" s="1"/>
      <c r="W2356" s="147"/>
      <c r="X2356" s="157"/>
      <c r="Y2356" s="1"/>
      <c r="Z2356" s="147"/>
      <c r="AA2356" s="157"/>
      <c r="AB2356" s="1"/>
      <c r="AC2356" s="147"/>
      <c r="AD2356" s="157"/>
      <c r="AE2356" s="1"/>
      <c r="AF2356" s="147"/>
      <c r="AG2356" s="157"/>
      <c r="AH2356" s="1"/>
      <c r="AI2356" s="147"/>
      <c r="AJ2356" s="157"/>
      <c r="AK2356" s="1"/>
      <c r="AL2356" s="147"/>
      <c r="AM2356" s="157"/>
      <c r="AN2356" s="1"/>
      <c r="AO2356" s="147"/>
      <c r="AP2356" s="157"/>
      <c r="AQ2356" s="1"/>
      <c r="AR2356" s="147"/>
      <c r="AS2356" s="157"/>
      <c r="AT2356" s="1"/>
      <c r="AU2356" s="147"/>
    </row>
    <row r="2357" spans="13:47" ht="14" x14ac:dyDescent="0.3">
      <c r="M2357" s="23"/>
      <c r="N2357" s="23"/>
      <c r="O2357" s="23" t="s">
        <v>238</v>
      </c>
      <c r="P2357" s="20"/>
      <c r="Q2357" s="20"/>
      <c r="R2357" s="18">
        <f>R2343*1.02</f>
        <v>306.50248443464852</v>
      </c>
      <c r="S2357" s="128" t="s">
        <v>185</v>
      </c>
      <c r="T2357" s="153" t="s">
        <v>186</v>
      </c>
      <c r="U2357" s="143">
        <f>U2343*1.01</f>
        <v>2423.1798785546366</v>
      </c>
      <c r="V2357" s="128" t="s">
        <v>185</v>
      </c>
      <c r="W2357" s="153" t="s">
        <v>186</v>
      </c>
      <c r="X2357" s="143">
        <f>X2343*1.01</f>
        <v>5992.8122014514202</v>
      </c>
      <c r="Y2357" s="128" t="s">
        <v>185</v>
      </c>
      <c r="Z2357" s="153" t="s">
        <v>186</v>
      </c>
      <c r="AA2357" s="143">
        <f>AA2343*1.01</f>
        <v>11672.468530599903</v>
      </c>
      <c r="AB2357" s="128" t="s">
        <v>185</v>
      </c>
      <c r="AC2357" s="153" t="s">
        <v>186</v>
      </c>
      <c r="AD2357" s="143">
        <f>AD2343*1.01</f>
        <v>19196.913184895897</v>
      </c>
      <c r="AE2357" s="128" t="s">
        <v>185</v>
      </c>
      <c r="AF2357" s="153" t="s">
        <v>186</v>
      </c>
      <c r="AG2357" s="143">
        <f>AG2343*1.01</f>
        <v>26925.148638630228</v>
      </c>
      <c r="AH2357" s="128" t="s">
        <v>185</v>
      </c>
      <c r="AI2357" s="153" t="s">
        <v>186</v>
      </c>
      <c r="AJ2357" s="143">
        <f>AJ2343*1.01</f>
        <v>34187.794143340703</v>
      </c>
      <c r="AK2357" s="128" t="s">
        <v>185</v>
      </c>
      <c r="AL2357" s="153" t="s">
        <v>186</v>
      </c>
      <c r="AM2357" s="143">
        <f>AM2343*1.01</f>
        <v>40087.877329528805</v>
      </c>
      <c r="AN2357" s="128" t="s">
        <v>185</v>
      </c>
      <c r="AO2357" s="153" t="s">
        <v>186</v>
      </c>
      <c r="AP2357" s="143">
        <f>AP2343*1.01</f>
        <v>44724.775821557436</v>
      </c>
      <c r="AQ2357" s="128" t="s">
        <v>185</v>
      </c>
      <c r="AR2357" s="153" t="s">
        <v>186</v>
      </c>
      <c r="AS2357" s="143">
        <f>AS2343*1.01</f>
        <v>49898.016695813916</v>
      </c>
      <c r="AT2357" s="128" t="s">
        <v>185</v>
      </c>
      <c r="AU2357" s="153" t="s">
        <v>186</v>
      </c>
    </row>
    <row r="2358" spans="13:47" ht="14" x14ac:dyDescent="0.3">
      <c r="M2358" s="12"/>
      <c r="N2358" s="12"/>
      <c r="O2358" s="20"/>
      <c r="P2358" s="20"/>
      <c r="Q2358" s="23"/>
      <c r="R2358" s="139"/>
      <c r="S2358" s="130" t="s">
        <v>228</v>
      </c>
      <c r="T2358" s="154" t="s">
        <v>187</v>
      </c>
      <c r="U2358" s="144"/>
      <c r="V2358" s="130" t="s">
        <v>228</v>
      </c>
      <c r="W2358" s="154" t="s">
        <v>187</v>
      </c>
      <c r="X2358" s="144"/>
      <c r="Y2358" s="130" t="s">
        <v>228</v>
      </c>
      <c r="Z2358" s="154" t="s">
        <v>187</v>
      </c>
      <c r="AA2358" s="144"/>
      <c r="AB2358" s="130" t="s">
        <v>228</v>
      </c>
      <c r="AC2358" s="154" t="s">
        <v>187</v>
      </c>
      <c r="AD2358" s="144"/>
      <c r="AE2358" s="130" t="s">
        <v>228</v>
      </c>
      <c r="AF2358" s="154" t="s">
        <v>187</v>
      </c>
      <c r="AG2358" s="144"/>
      <c r="AH2358" s="130" t="s">
        <v>228</v>
      </c>
      <c r="AI2358" s="154" t="s">
        <v>187</v>
      </c>
      <c r="AJ2358" s="144"/>
      <c r="AK2358" s="130" t="s">
        <v>228</v>
      </c>
      <c r="AL2358" s="154" t="s">
        <v>187</v>
      </c>
      <c r="AM2358" s="144"/>
      <c r="AN2358" s="130" t="s">
        <v>228</v>
      </c>
      <c r="AO2358" s="154" t="s">
        <v>187</v>
      </c>
      <c r="AP2358" s="144"/>
      <c r="AQ2358" s="130" t="s">
        <v>228</v>
      </c>
      <c r="AR2358" s="154" t="s">
        <v>187</v>
      </c>
      <c r="AS2358" s="144"/>
      <c r="AT2358" s="130" t="s">
        <v>228</v>
      </c>
      <c r="AU2358" s="154" t="s">
        <v>187</v>
      </c>
    </row>
    <row r="2359" spans="13:47" x14ac:dyDescent="0.25">
      <c r="M2359" s="20"/>
      <c r="N2359" s="20"/>
      <c r="O2359" s="7" t="s">
        <v>188</v>
      </c>
      <c r="P2359" s="7"/>
      <c r="Q2359" s="7"/>
      <c r="R2359" s="181">
        <f>P_1_minW-(R2357^2*R_up)+dpup_minQ</f>
        <v>100.48532554528953</v>
      </c>
      <c r="S2359" s="132"/>
      <c r="T2359" s="145"/>
      <c r="U2359" s="138">
        <f>P_1_minW-(U2357^2*R_up)+dpup_minQ</f>
        <v>98.18133669639812</v>
      </c>
      <c r="V2359" s="132"/>
      <c r="W2359" s="145"/>
      <c r="X2359" s="138">
        <f>P_1_minW-(X2357^2*R_up)+dpup_minQ</f>
        <v>86.201734657108972</v>
      </c>
      <c r="Y2359" s="132"/>
      <c r="Z2359" s="145"/>
      <c r="AA2359" s="138">
        <f>P_1_minW-(AA2357^2*R_up)+dpup_minQ</f>
        <v>46.192873564586471</v>
      </c>
      <c r="AB2359" s="132"/>
      <c r="AC2359" s="145"/>
      <c r="AD2359" s="138">
        <f>P_1_minW-(AD2357^2*R_up)+dpup_minQ</f>
        <v>-46.429513762548979</v>
      </c>
      <c r="AE2359" s="132"/>
      <c r="AF2359" s="145"/>
      <c r="AG2359" s="138">
        <f>P_1_minW-(AG2357^2*R_up)+dpup_minQ</f>
        <v>-188.56504145989865</v>
      </c>
      <c r="AH2359" s="132"/>
      <c r="AI2359" s="145"/>
      <c r="AJ2359" s="138">
        <f>P_1_minW-(AJ2357^2*R_up)+dpup_minQ</f>
        <v>-365.55214862246066</v>
      </c>
      <c r="AK2359" s="132"/>
      <c r="AL2359" s="145"/>
      <c r="AM2359" s="138">
        <f>P_1_minW-(AM2357^2*R_up)+dpup_minQ</f>
        <v>-540.30260113237171</v>
      </c>
      <c r="AN2359" s="132"/>
      <c r="AO2359" s="145"/>
      <c r="AP2359" s="138">
        <f>P_1_minW-(AP2357^2*R_up)+dpup_minQ</f>
        <v>-697.12273687497589</v>
      </c>
      <c r="AQ2359" s="132"/>
      <c r="AR2359" s="145"/>
      <c r="AS2359" s="138">
        <f>P_1_minW-(AS2357^2*R_up)+dpup_minQ</f>
        <v>-892.31924696208762</v>
      </c>
      <c r="AT2359" s="132"/>
      <c r="AU2359" s="145"/>
    </row>
    <row r="2360" spans="13:47" x14ac:dyDescent="0.25">
      <c r="M2360" s="20"/>
      <c r="N2360" s="20"/>
      <c r="O2360" s="7" t="s">
        <v>189</v>
      </c>
      <c r="P2360" s="1"/>
      <c r="Q2360" s="7"/>
      <c r="R2360" s="181">
        <f>P_2_minW+(R2357^2*R_dn)-dpdn_minQ</f>
        <v>50</v>
      </c>
      <c r="S2360" s="132"/>
      <c r="T2360" s="146"/>
      <c r="U2360" s="138">
        <f>P_2_minW+(U2357^2*R_dn)-dpdn_minQ</f>
        <v>50</v>
      </c>
      <c r="V2360" s="132"/>
      <c r="W2360" s="146"/>
      <c r="X2360" s="138">
        <f>P_2_minW+(X2357^2*R_dn)-dpdn_minQ</f>
        <v>50</v>
      </c>
      <c r="Y2360" s="132"/>
      <c r="Z2360" s="146"/>
      <c r="AA2360" s="138">
        <f>P_2_minW+(AA2357^2*R_dn)-dpdn_minQ</f>
        <v>50</v>
      </c>
      <c r="AB2360" s="132"/>
      <c r="AC2360" s="146"/>
      <c r="AD2360" s="138">
        <f>P_2_minW+(AD2357^2*R_dn)-dpdn_minQ</f>
        <v>50</v>
      </c>
      <c r="AE2360" s="132"/>
      <c r="AF2360" s="146"/>
      <c r="AG2360" s="138">
        <f>P_2_minW+(AG2357^2*R_dn)-dpdn_minQ</f>
        <v>50</v>
      </c>
      <c r="AH2360" s="132"/>
      <c r="AI2360" s="146"/>
      <c r="AJ2360" s="138">
        <f>P_2_minW+(AJ2357^2*R_dn)-dpdn_minQ</f>
        <v>50</v>
      </c>
      <c r="AK2360" s="132"/>
      <c r="AL2360" s="146"/>
      <c r="AM2360" s="138">
        <f>P_2_minW+(AM2357^2*R_dn)-dpdn_minQ</f>
        <v>50</v>
      </c>
      <c r="AN2360" s="132"/>
      <c r="AO2360" s="146"/>
      <c r="AP2360" s="138">
        <f>P_2_minW+(AP2357^2*R_dn)-dpdn_minQ</f>
        <v>50</v>
      </c>
      <c r="AQ2360" s="132"/>
      <c r="AR2360" s="146"/>
      <c r="AS2360" s="138">
        <f>P_2_minW+(AS2357^2*R_dn)-dpdn_minQ</f>
        <v>50</v>
      </c>
      <c r="AT2360" s="132"/>
      <c r="AU2360" s="146"/>
    </row>
    <row r="2361" spans="13:47" x14ac:dyDescent="0.25">
      <c r="M2361" s="20"/>
      <c r="N2361" s="20"/>
      <c r="O2361" s="7" t="s">
        <v>234</v>
      </c>
      <c r="P2361" s="1"/>
      <c r="Q2361" s="7"/>
      <c r="R2361" s="179">
        <f>'Valve Sizing'!G$8*R2359/P_1_maxW</f>
        <v>0.48472332012095204</v>
      </c>
      <c r="S2361" s="132"/>
      <c r="T2361" s="146"/>
      <c r="U2361" s="143">
        <f>'Valve Sizing'!$G$8*U2359/P_1_maxW</f>
        <v>0.47360928811383129</v>
      </c>
      <c r="V2361" s="132"/>
      <c r="W2361" s="146"/>
      <c r="X2361" s="143">
        <f>'Valve Sizing'!$G$8*X2359/P_1_maxW</f>
        <v>0.41582182071298385</v>
      </c>
      <c r="Y2361" s="132"/>
      <c r="Z2361" s="146"/>
      <c r="AA2361" s="143">
        <f>'Valve Sizing'!$G$8*AA2359/P_1_maxW</f>
        <v>0.22282619794133041</v>
      </c>
      <c r="AB2361" s="132"/>
      <c r="AC2361" s="146"/>
      <c r="AD2361" s="143">
        <f>'Valve Sizing'!$G$8*AD2359/P_1_maxW</f>
        <v>-0.2239677081251111</v>
      </c>
      <c r="AE2361" s="132"/>
      <c r="AF2361" s="146"/>
      <c r="AG2361" s="143">
        <f>'Valve Sizing'!$G$8*AG2359/P_1_maxW</f>
        <v>-0.90960418806616194</v>
      </c>
      <c r="AH2361" s="132"/>
      <c r="AI2361" s="146"/>
      <c r="AJ2361" s="143">
        <f>'Valve Sizing'!$G$8*AJ2359/P_1_maxW</f>
        <v>-1.7633584824061217</v>
      </c>
      <c r="AK2361" s="132"/>
      <c r="AL2361" s="146"/>
      <c r="AM2361" s="143">
        <f>'Valve Sizing'!$G$8*AM2359/P_1_maxW</f>
        <v>-2.6063235529135094</v>
      </c>
      <c r="AN2361" s="132"/>
      <c r="AO2361" s="146"/>
      <c r="AP2361" s="143">
        <f>'Valve Sizing'!$G$8*AP2359/P_1_maxW</f>
        <v>-3.3627959676315493</v>
      </c>
      <c r="AQ2361" s="132"/>
      <c r="AR2361" s="146"/>
      <c r="AS2361" s="143">
        <f>'Valve Sizing'!$G$8*AS2359/P_1_maxW</f>
        <v>-4.3043891796951694</v>
      </c>
      <c r="AT2361" s="132"/>
      <c r="AU2361" s="146"/>
    </row>
    <row r="2362" spans="13:47" x14ac:dyDescent="0.25">
      <c r="M2362" s="20"/>
      <c r="N2362" s="20"/>
      <c r="O2362" s="7" t="s">
        <v>190</v>
      </c>
      <c r="P2362" s="1"/>
      <c r="Q2362" s="7"/>
      <c r="R2362" s="181">
        <f>R2359-R2360</f>
        <v>50.485325545289527</v>
      </c>
      <c r="S2362" s="132"/>
      <c r="T2362" s="146"/>
      <c r="U2362" s="138">
        <f>U2359-U2360</f>
        <v>48.18133669639812</v>
      </c>
      <c r="V2362" s="132"/>
      <c r="W2362" s="146"/>
      <c r="X2362" s="138">
        <f>X2359-X2360</f>
        <v>36.201734657108972</v>
      </c>
      <c r="Y2362" s="132"/>
      <c r="Z2362" s="146"/>
      <c r="AA2362" s="138">
        <f>AA2359-AA2360</f>
        <v>-3.8071264354135295</v>
      </c>
      <c r="AB2362" s="132"/>
      <c r="AC2362" s="146"/>
      <c r="AD2362" s="138">
        <f>AD2359-AD2360</f>
        <v>-96.429513762548979</v>
      </c>
      <c r="AE2362" s="132"/>
      <c r="AF2362" s="146"/>
      <c r="AG2362" s="138">
        <f>AG2359-AG2360</f>
        <v>-238.56504145989865</v>
      </c>
      <c r="AH2362" s="132"/>
      <c r="AI2362" s="146"/>
      <c r="AJ2362" s="138">
        <f>AJ2359-AJ2360</f>
        <v>-415.55214862246066</v>
      </c>
      <c r="AK2362" s="132"/>
      <c r="AL2362" s="146"/>
      <c r="AM2362" s="138">
        <f>AM2359-AM2360</f>
        <v>-590.30260113237171</v>
      </c>
      <c r="AN2362" s="132"/>
      <c r="AO2362" s="146"/>
      <c r="AP2362" s="138">
        <f>AP2359-AP2360</f>
        <v>-747.12273687497589</v>
      </c>
      <c r="AQ2362" s="132"/>
      <c r="AR2362" s="146"/>
      <c r="AS2362" s="138">
        <f>AS2359-AS2360</f>
        <v>-942.31924696208762</v>
      </c>
      <c r="AT2362" s="132"/>
      <c r="AU2362" s="146"/>
    </row>
    <row r="2363" spans="13:47" ht="14.5" x14ac:dyDescent="0.35">
      <c r="M2363" s="27"/>
      <c r="N2363" s="27"/>
      <c r="O2363" s="2" t="s">
        <v>191</v>
      </c>
      <c r="P2363" s="10"/>
      <c r="Q2363" s="2"/>
      <c r="R2363" s="181">
        <f>R2362/R2359</f>
        <v>0.50241490756314855</v>
      </c>
      <c r="S2363" s="132"/>
      <c r="T2363" s="146"/>
      <c r="U2363" s="138">
        <f>U2362/U2359</f>
        <v>0.49073824331183402</v>
      </c>
      <c r="V2363" s="132"/>
      <c r="W2363" s="146"/>
      <c r="X2363" s="138">
        <f>X2362/X2359</f>
        <v>0.41996526869338874</v>
      </c>
      <c r="Y2363" s="132"/>
      <c r="Z2363" s="146"/>
      <c r="AA2363" s="138">
        <f>AA2362/AA2359</f>
        <v>-8.2418047236018754E-2</v>
      </c>
      <c r="AB2363" s="132"/>
      <c r="AC2363" s="146"/>
      <c r="AD2363" s="138">
        <f>AD2362/AD2359</f>
        <v>2.0769012196791743</v>
      </c>
      <c r="AE2363" s="132"/>
      <c r="AF2363" s="146"/>
      <c r="AG2363" s="138">
        <f>AG2362/AG2359</f>
        <v>1.2651604964148844</v>
      </c>
      <c r="AH2363" s="132"/>
      <c r="AI2363" s="146"/>
      <c r="AJ2363" s="138">
        <f>AJ2362/AJ2359</f>
        <v>1.1367793902687182</v>
      </c>
      <c r="AK2363" s="132"/>
      <c r="AL2363" s="146"/>
      <c r="AM2363" s="138">
        <f>AM2362/AM2359</f>
        <v>1.0925407353124148</v>
      </c>
      <c r="AN2363" s="132"/>
      <c r="AO2363" s="146"/>
      <c r="AP2363" s="138">
        <f>AP2362/AP2359</f>
        <v>1.0717233814867915</v>
      </c>
      <c r="AQ2363" s="132"/>
      <c r="AR2363" s="146"/>
      <c r="AS2363" s="138">
        <f>AS2362/AS2359</f>
        <v>1.0560337571673206</v>
      </c>
      <c r="AT2363" s="132"/>
      <c r="AU2363" s="146"/>
    </row>
    <row r="2364" spans="13:47" x14ac:dyDescent="0.25">
      <c r="M2364" s="27"/>
      <c r="N2364" s="27"/>
      <c r="O2364" s="2" t="s">
        <v>26</v>
      </c>
      <c r="P2364" s="7">
        <v>12</v>
      </c>
      <c r="Q2364" s="2"/>
      <c r="R2364" s="181">
        <f>1-R2363/(3*F_GAMMA*R$29)</f>
        <v>0.73833655890404626</v>
      </c>
      <c r="S2364" s="133"/>
      <c r="T2364" s="146"/>
      <c r="U2364" s="138">
        <f>1-U2363/(3*F_GAMMA*U$29)</f>
        <v>0.74447417226453116</v>
      </c>
      <c r="V2364" s="133"/>
      <c r="W2364" s="146"/>
      <c r="X2364" s="138">
        <f>1-X2363/(3*F_GAMMA*X$29)</f>
        <v>0.77804496639971177</v>
      </c>
      <c r="Y2364" s="133"/>
      <c r="Z2364" s="146"/>
      <c r="AA2364" s="138">
        <f>1-AA2363/(3*F_GAMMA*AA$29)</f>
        <v>1.0441558521389802</v>
      </c>
      <c r="AB2364" s="133"/>
      <c r="AC2364" s="146"/>
      <c r="AD2364" s="138">
        <f>1-AD2363/(3*F_GAMMA*AD$29)</f>
        <v>-0.14321761639424335</v>
      </c>
      <c r="AE2364" s="133"/>
      <c r="AF2364" s="146"/>
      <c r="AG2364" s="138">
        <f>1-AG2363/(3*F_GAMMA*AG$29)</f>
        <v>0.26387636768661205</v>
      </c>
      <c r="AH2364" s="133"/>
      <c r="AI2364" s="146"/>
      <c r="AJ2364" s="138">
        <f>1-AJ2363/(3*F_GAMMA*AJ$29)</f>
        <v>0.29292653168381799</v>
      </c>
      <c r="AK2364" s="133"/>
      <c r="AL2364" s="146"/>
      <c r="AM2364" s="138">
        <f>1-AM2363/(3*F_GAMMA*AM$29)</f>
        <v>0.25751470606902382</v>
      </c>
      <c r="AN2364" s="133"/>
      <c r="AO2364" s="146"/>
      <c r="AP2364" s="138">
        <f>1-AP2363/(3*F_GAMMA*AP$29)</f>
        <v>0.39810750347632073</v>
      </c>
      <c r="AQ2364" s="133"/>
      <c r="AR2364" s="146"/>
      <c r="AS2364" s="138">
        <f>1-AS2363/(3*F_GAMMA*AS$29)</f>
        <v>9.9651479221679495E-2</v>
      </c>
      <c r="AT2364" s="133"/>
      <c r="AU2364" s="146"/>
    </row>
    <row r="2365" spans="13:47" x14ac:dyDescent="0.25">
      <c r="M2365" s="27"/>
      <c r="N2365" s="27"/>
      <c r="O2365" s="2" t="s">
        <v>71</v>
      </c>
      <c r="P2365" s="85">
        <v>5</v>
      </c>
      <c r="Q2365" s="2"/>
      <c r="R2365" s="179">
        <f>R2357/((N_6*R$27*R2364)*SQRT(R2363*R2359*R2361))</f>
        <v>1.3258605172981173</v>
      </c>
      <c r="S2365" s="133"/>
      <c r="T2365" s="146"/>
      <c r="U2365" s="143">
        <f>U2357/((N_6*U$27*U2364)*SQRT(U2363*U2359*U2361))</f>
        <v>10.772194928687187</v>
      </c>
      <c r="V2365" s="133"/>
      <c r="W2365" s="146"/>
      <c r="X2365" s="143">
        <f>X2357/((N_6*X$27*X2364)*SQRT(X2363*X2359*X2361))</f>
        <v>31.454789195166974</v>
      </c>
      <c r="Y2365" s="133"/>
      <c r="Z2365" s="146"/>
      <c r="AA2365" s="143" t="e">
        <f>AA2357/((N_6*AA$27*AA2364)*SQRT(AA2363*AA2359*AA2361))</f>
        <v>#NUM!</v>
      </c>
      <c r="AB2365" s="133"/>
      <c r="AC2365" s="146"/>
      <c r="AD2365" s="143">
        <f>AD2357/((N_6*AD$27*AD2364)*SQRT(AD2363*AD2359*AD2361))</f>
        <v>-465.1057050640253</v>
      </c>
      <c r="AE2365" s="133"/>
      <c r="AF2365" s="146"/>
      <c r="AG2365" s="143">
        <f>AG2357/((N_6*AG$27*AG2364)*SQRT(AG2363*AG2359*AG2361))</f>
        <v>114.10721482349135</v>
      </c>
      <c r="AH2365" s="133"/>
      <c r="AI2365" s="146"/>
      <c r="AJ2365" s="143">
        <f>AJ2357/((N_6*AJ$27*AJ2364)*SQRT(AJ2363*AJ2359*AJ2361))</f>
        <v>73.46390256121623</v>
      </c>
      <c r="AK2365" s="133"/>
      <c r="AL2365" s="146"/>
      <c r="AM2365" s="143">
        <f>AM2357/((N_6*AM$27*AM2364)*SQRT(AM2363*AM2359*AM2361))</f>
        <v>71.777520578198249</v>
      </c>
      <c r="AN2365" s="133"/>
      <c r="AO2365" s="146"/>
      <c r="AP2365" s="143">
        <f>AP2357/((N_6*AP$27*AP2364)*SQRT(AP2363*AP2359*AP2361))</f>
        <v>46.045228910519455</v>
      </c>
      <c r="AQ2365" s="133"/>
      <c r="AR2365" s="146"/>
      <c r="AS2365" s="143">
        <f>AS2357/((N_6*AS$27*AS2364)*SQRT(AS2363*AS2359*AS2361))</f>
        <v>212.23412706208899</v>
      </c>
      <c r="AT2365" s="133"/>
      <c r="AU2365" s="146"/>
    </row>
    <row r="2366" spans="13:47" x14ac:dyDescent="0.25">
      <c r="M2366" s="27"/>
      <c r="N2366" s="27"/>
      <c r="O2366" s="2" t="s">
        <v>73</v>
      </c>
      <c r="P2366" s="85">
        <v>5</v>
      </c>
      <c r="Q2366" s="2"/>
      <c r="R2366" s="179">
        <f>R2357/((N_6*R$27*0.667)*SQRT(R2367*R2359*R2361))</f>
        <v>1.3003448104585573</v>
      </c>
      <c r="S2366" s="133"/>
      <c r="T2366" s="155"/>
      <c r="U2366" s="143">
        <f>U2357/((N_6*U$27*0.667)*SQRT(U2367*U2359*U2361))</f>
        <v>10.527034215234883</v>
      </c>
      <c r="V2366" s="133"/>
      <c r="W2366" s="155"/>
      <c r="X2366" s="143">
        <f>X2357/((N_6*X$27*0.667)*SQRT(X2367*X2359*X2361))</f>
        <v>29.940480723031985</v>
      </c>
      <c r="Y2366" s="133"/>
      <c r="Z2366" s="155"/>
      <c r="AA2366" s="143">
        <f>AA2357/((N_6*AA$27*0.667)*SQRT(AA2367*AA2359*AA2361))</f>
        <v>110.19948976843378</v>
      </c>
      <c r="AB2366" s="133"/>
      <c r="AC2366" s="155"/>
      <c r="AD2366" s="143">
        <f>AD2357/((N_6*AD$27*0.667)*SQRT(AD2367*AD2359*AD2361))</f>
        <v>184.94702745261722</v>
      </c>
      <c r="AE2366" s="133"/>
      <c r="AF2366" s="155"/>
      <c r="AG2366" s="143">
        <f>AG2357/((N_6*AG$27*0.667)*SQRT(AG2367*AG2359*AG2361))</f>
        <v>67.084745420071883</v>
      </c>
      <c r="AH2366" s="133"/>
      <c r="AI2366" s="155"/>
      <c r="AJ2366" s="143">
        <f>AJ2357/((N_6*AJ$27*0.667)*SQRT(AJ2367*AJ2359*AJ2361))</f>
        <v>46.989385858062754</v>
      </c>
      <c r="AK2366" s="133"/>
      <c r="AL2366" s="155"/>
      <c r="AM2366" s="143">
        <f>AM2357/((N_6*AM$27*0.667)*SQRT(AM2367*AM2359*AM2361))</f>
        <v>41.358921902599313</v>
      </c>
      <c r="AN2366" s="133"/>
      <c r="AO2366" s="155"/>
      <c r="AP2366" s="143">
        <f>AP2357/((N_6*AP$27*0.667)*SQRT(AP2367*AP2359*AP2361))</f>
        <v>36.929995745813081</v>
      </c>
      <c r="AQ2366" s="133"/>
      <c r="AR2366" s="155"/>
      <c r="AS2366" s="143">
        <f>AS2357/((N_6*AS$27*0.667)*SQRT(AS2367*AS2359*AS2361))</f>
        <v>52.112161869787251</v>
      </c>
      <c r="AT2366" s="133"/>
      <c r="AU2366" s="155"/>
    </row>
    <row r="2367" spans="13:47" ht="15.5" x14ac:dyDescent="0.4">
      <c r="M2367" s="27"/>
      <c r="N2367" s="27"/>
      <c r="O2367" s="2" t="s">
        <v>192</v>
      </c>
      <c r="P2367" s="85">
        <v>10</v>
      </c>
      <c r="Q2367" s="2"/>
      <c r="R2367" s="181">
        <f>F_GAMMA*R$29</f>
        <v>0.64002688015162901</v>
      </c>
      <c r="S2367" s="133"/>
      <c r="T2367" s="155"/>
      <c r="U2367" s="138">
        <f>F_GAMMA*U$29</f>
        <v>0.64016782916606918</v>
      </c>
      <c r="V2367" s="133"/>
      <c r="W2367" s="155"/>
      <c r="X2367" s="138">
        <f>F_GAMMA*X$29</f>
        <v>0.6307062319203669</v>
      </c>
      <c r="Y2367" s="133"/>
      <c r="Z2367" s="155"/>
      <c r="AA2367" s="138">
        <f>F_GAMMA*AA$29</f>
        <v>0.62217534213893466</v>
      </c>
      <c r="AB2367" s="133"/>
      <c r="AC2367" s="155"/>
      <c r="AD2367" s="138">
        <f>F_GAMMA*AD$29</f>
        <v>0.60557184969146072</v>
      </c>
      <c r="AE2367" s="133"/>
      <c r="AF2367" s="155"/>
      <c r="AG2367" s="138">
        <f>F_GAMMA*AG$29</f>
        <v>0.57289312142622573</v>
      </c>
      <c r="AH2367" s="133"/>
      <c r="AI2367" s="155"/>
      <c r="AJ2367" s="138">
        <f>F_GAMMA*AJ$29</f>
        <v>0.53590819116049981</v>
      </c>
      <c r="AK2367" s="133"/>
      <c r="AL2367" s="155"/>
      <c r="AM2367" s="138">
        <f>F_GAMMA*AM$29</f>
        <v>0.49048815926850342</v>
      </c>
      <c r="AN2367" s="133"/>
      <c r="AO2367" s="155"/>
      <c r="AP2367" s="138">
        <f>F_GAMMA*AP$29</f>
        <v>0.59352979016280105</v>
      </c>
      <c r="AQ2367" s="133"/>
      <c r="AR2367" s="155"/>
      <c r="AS2367" s="138">
        <f>F_GAMMA*AS$29</f>
        <v>0.39097221161068291</v>
      </c>
      <c r="AT2367" s="133"/>
      <c r="AU2367" s="155"/>
    </row>
    <row r="2368" spans="13:47" x14ac:dyDescent="0.25">
      <c r="M2368" s="27"/>
      <c r="N2368" s="27"/>
      <c r="O2368" s="2" t="s">
        <v>193</v>
      </c>
      <c r="P2368" s="134"/>
      <c r="Q2368" s="2"/>
      <c r="R2368" s="181">
        <f>IF(R2363&lt;R2367,R2365,R2366)</f>
        <v>1.3258605172981173</v>
      </c>
      <c r="S2368" s="133"/>
      <c r="T2368" s="155"/>
      <c r="U2368" s="138">
        <f>IF(U2363&lt;U2367,U2365,U2366)</f>
        <v>10.772194928687187</v>
      </c>
      <c r="V2368" s="133"/>
      <c r="W2368" s="155"/>
      <c r="X2368" s="138">
        <f>IF(X2363&lt;X2367,X2365,X2366)</f>
        <v>31.454789195166974</v>
      </c>
      <c r="Y2368" s="133"/>
      <c r="Z2368" s="155"/>
      <c r="AA2368" s="138" t="e">
        <f>IF(AA2363&lt;AA2367,AA2365,AA2366)</f>
        <v>#NUM!</v>
      </c>
      <c r="AB2368" s="133"/>
      <c r="AC2368" s="155"/>
      <c r="AD2368" s="138">
        <f>IF(AD2363&lt;AD2367,AD2365,AD2366)</f>
        <v>184.94702745261722</v>
      </c>
      <c r="AE2368" s="133"/>
      <c r="AF2368" s="155"/>
      <c r="AG2368" s="138">
        <f>IF(AG2363&lt;AG2367,AG2365,AG2366)</f>
        <v>67.084745420071883</v>
      </c>
      <c r="AH2368" s="133"/>
      <c r="AI2368" s="155"/>
      <c r="AJ2368" s="138">
        <f>IF(AJ2363&lt;AJ2367,AJ2365,AJ2366)</f>
        <v>46.989385858062754</v>
      </c>
      <c r="AK2368" s="133"/>
      <c r="AL2368" s="155"/>
      <c r="AM2368" s="138">
        <f>IF(AM2363&lt;AM2367,AM2365,AM2366)</f>
        <v>41.358921902599313</v>
      </c>
      <c r="AN2368" s="133"/>
      <c r="AO2368" s="155"/>
      <c r="AP2368" s="138">
        <f>IF(AP2363&lt;AP2367,AP2365,AP2366)</f>
        <v>36.929995745813081</v>
      </c>
      <c r="AQ2368" s="133"/>
      <c r="AR2368" s="155"/>
      <c r="AS2368" s="138">
        <f>IF(AS2363&lt;AS2367,AS2365,AS2366)</f>
        <v>52.112161869787251</v>
      </c>
      <c r="AT2368" s="133"/>
      <c r="AU2368" s="155"/>
    </row>
    <row r="2369" spans="13:47" ht="13" x14ac:dyDescent="0.3">
      <c r="M2369" s="28"/>
      <c r="N2369" s="28"/>
      <c r="O2369" s="9" t="s">
        <v>194</v>
      </c>
      <c r="P2369" s="1"/>
      <c r="Q2369" s="1"/>
      <c r="R2369" s="135"/>
      <c r="S2369" s="132">
        <f>IF(R2362&lt;=0,W_max,ABS(R$23-R2368))</f>
        <v>0.67413948270188273</v>
      </c>
      <c r="T2369" s="151">
        <f>R2357</f>
        <v>306.50248443464852</v>
      </c>
      <c r="U2369" s="135"/>
      <c r="V2369" s="132">
        <f>IF(U2362&lt;=0,W_max,ABS(U$23-U2368))</f>
        <v>5.7721949286871865</v>
      </c>
      <c r="W2369" s="151">
        <f>U2357</f>
        <v>2423.1798785546366</v>
      </c>
      <c r="X2369" s="135"/>
      <c r="Y2369" s="132">
        <f>IF(X2362&lt;=0,W_max,ABS(X$23-X2368))</f>
        <v>21.454789195166974</v>
      </c>
      <c r="Z2369" s="151">
        <f>X2357</f>
        <v>5992.8122014514202</v>
      </c>
      <c r="AA2369" s="135"/>
      <c r="AB2369" s="132">
        <f>IF(AA2362&lt;=0,W_max,ABS(AA$23-AA2368))</f>
        <v>7174</v>
      </c>
      <c r="AC2369" s="151">
        <f>AA2357</f>
        <v>11672.468530599903</v>
      </c>
      <c r="AD2369" s="135"/>
      <c r="AE2369" s="132">
        <f>IF(AD2362&lt;=0,W_max,ABS(AD$23-AD2368))</f>
        <v>7174</v>
      </c>
      <c r="AF2369" s="151">
        <f>AD2357</f>
        <v>19196.913184895897</v>
      </c>
      <c r="AG2369" s="135"/>
      <c r="AH2369" s="132">
        <f>IF(AG2362&lt;=0,W_max,ABS(AG$23-AG2368))</f>
        <v>7174</v>
      </c>
      <c r="AI2369" s="151">
        <f>AG2357</f>
        <v>26925.148638630228</v>
      </c>
      <c r="AJ2369" s="135"/>
      <c r="AK2369" s="132">
        <f>IF(AJ2362&lt;=0,W_max,ABS(AJ$23-AJ2368))</f>
        <v>7174</v>
      </c>
      <c r="AL2369" s="151">
        <f>AJ2357</f>
        <v>34187.794143340703</v>
      </c>
      <c r="AM2369" s="135"/>
      <c r="AN2369" s="132">
        <f>IF(AM2362&lt;=0,W_max,ABS(AM$23-AM2368))</f>
        <v>7174</v>
      </c>
      <c r="AO2369" s="151">
        <f>AM2357</f>
        <v>40087.877329528805</v>
      </c>
      <c r="AP2369" s="135"/>
      <c r="AQ2369" s="132">
        <f>IF(AP2362&lt;=0,W_max,ABS(AP$23-AP2368))</f>
        <v>7174</v>
      </c>
      <c r="AR2369" s="151">
        <f>AP2357</f>
        <v>44724.775821557436</v>
      </c>
      <c r="AS2369" s="135"/>
      <c r="AT2369" s="132">
        <f>IF(AS2362&lt;=0,W_max,ABS(AS$23-AS2368))</f>
        <v>7174</v>
      </c>
      <c r="AU2369" s="151">
        <f>AS2357</f>
        <v>49898.016695813916</v>
      </c>
    </row>
    <row r="2370" spans="13:47" ht="13" x14ac:dyDescent="0.25">
      <c r="M2370" s="12"/>
      <c r="N2370" s="12"/>
      <c r="O2370" s="2"/>
      <c r="P2370" s="85"/>
      <c r="Q2370" s="2"/>
      <c r="R2370" s="18"/>
      <c r="S2370" s="150"/>
      <c r="T2370" s="152"/>
      <c r="U2370" s="157"/>
      <c r="V2370" s="1"/>
      <c r="W2370" s="147"/>
      <c r="X2370" s="157"/>
      <c r="Y2370" s="1"/>
      <c r="Z2370" s="147"/>
      <c r="AA2370" s="157"/>
      <c r="AB2370" s="1"/>
      <c r="AC2370" s="147"/>
      <c r="AD2370" s="157"/>
      <c r="AE2370" s="1"/>
      <c r="AF2370" s="147"/>
      <c r="AG2370" s="157"/>
      <c r="AH2370" s="1"/>
      <c r="AI2370" s="147"/>
      <c r="AJ2370" s="157"/>
      <c r="AK2370" s="1"/>
      <c r="AL2370" s="147"/>
      <c r="AM2370" s="157"/>
      <c r="AN2370" s="1"/>
      <c r="AO2370" s="147"/>
      <c r="AP2370" s="157"/>
      <c r="AQ2370" s="1"/>
      <c r="AR2370" s="147"/>
      <c r="AS2370" s="157"/>
      <c r="AT2370" s="1"/>
      <c r="AU2370" s="147"/>
    </row>
    <row r="2371" spans="13:47" ht="14" x14ac:dyDescent="0.3">
      <c r="M2371" s="23"/>
      <c r="N2371" s="23"/>
      <c r="O2371" s="23" t="s">
        <v>238</v>
      </c>
      <c r="P2371" s="20"/>
      <c r="Q2371" s="20"/>
      <c r="R2371" s="181">
        <f>R2357*1.02</f>
        <v>312.63253412334149</v>
      </c>
      <c r="S2371" s="128" t="s">
        <v>185</v>
      </c>
      <c r="T2371" s="153" t="s">
        <v>186</v>
      </c>
      <c r="U2371" s="143">
        <f>U2357*1.01</f>
        <v>2447.4116773401829</v>
      </c>
      <c r="V2371" s="128" t="s">
        <v>185</v>
      </c>
      <c r="W2371" s="153" t="s">
        <v>186</v>
      </c>
      <c r="X2371" s="143">
        <f>X2357*1.01</f>
        <v>6052.7403234659341</v>
      </c>
      <c r="Y2371" s="128" t="s">
        <v>185</v>
      </c>
      <c r="Z2371" s="153" t="s">
        <v>186</v>
      </c>
      <c r="AA2371" s="143">
        <f>AA2357*1.01</f>
        <v>11789.193215905902</v>
      </c>
      <c r="AB2371" s="128" t="s">
        <v>185</v>
      </c>
      <c r="AC2371" s="153" t="s">
        <v>186</v>
      </c>
      <c r="AD2371" s="143">
        <f>AD2357*1.01</f>
        <v>19388.882316744857</v>
      </c>
      <c r="AE2371" s="128" t="s">
        <v>185</v>
      </c>
      <c r="AF2371" s="153" t="s">
        <v>186</v>
      </c>
      <c r="AG2371" s="143">
        <f>AG2357*1.01</f>
        <v>27194.400125016531</v>
      </c>
      <c r="AH2371" s="128" t="s">
        <v>185</v>
      </c>
      <c r="AI2371" s="153" t="s">
        <v>186</v>
      </c>
      <c r="AJ2371" s="143">
        <f>AJ2357*1.01</f>
        <v>34529.672084774109</v>
      </c>
      <c r="AK2371" s="128" t="s">
        <v>185</v>
      </c>
      <c r="AL2371" s="153" t="s">
        <v>186</v>
      </c>
      <c r="AM2371" s="143">
        <f>AM2357*1.01</f>
        <v>40488.756102824096</v>
      </c>
      <c r="AN2371" s="128" t="s">
        <v>185</v>
      </c>
      <c r="AO2371" s="153" t="s">
        <v>186</v>
      </c>
      <c r="AP2371" s="143">
        <f>AP2357*1.01</f>
        <v>45172.023579773013</v>
      </c>
      <c r="AQ2371" s="128" t="s">
        <v>185</v>
      </c>
      <c r="AR2371" s="153" t="s">
        <v>186</v>
      </c>
      <c r="AS2371" s="143">
        <f>AS2357*1.01</f>
        <v>50396.996862772059</v>
      </c>
      <c r="AT2371" s="128" t="s">
        <v>185</v>
      </c>
      <c r="AU2371" s="153" t="s">
        <v>186</v>
      </c>
    </row>
    <row r="2372" spans="13:47" ht="14" x14ac:dyDescent="0.3">
      <c r="M2372" s="12"/>
      <c r="N2372" s="12"/>
      <c r="O2372" s="20"/>
      <c r="P2372" s="20"/>
      <c r="Q2372" s="23"/>
      <c r="R2372" s="139"/>
      <c r="S2372" s="130" t="s">
        <v>228</v>
      </c>
      <c r="T2372" s="154" t="s">
        <v>187</v>
      </c>
      <c r="U2372" s="144"/>
      <c r="V2372" s="130" t="s">
        <v>228</v>
      </c>
      <c r="W2372" s="154" t="s">
        <v>187</v>
      </c>
      <c r="X2372" s="144"/>
      <c r="Y2372" s="130" t="s">
        <v>228</v>
      </c>
      <c r="Z2372" s="154" t="s">
        <v>187</v>
      </c>
      <c r="AA2372" s="144"/>
      <c r="AB2372" s="130" t="s">
        <v>228</v>
      </c>
      <c r="AC2372" s="154" t="s">
        <v>187</v>
      </c>
      <c r="AD2372" s="144"/>
      <c r="AE2372" s="130" t="s">
        <v>228</v>
      </c>
      <c r="AF2372" s="154" t="s">
        <v>187</v>
      </c>
      <c r="AG2372" s="144"/>
      <c r="AH2372" s="130" t="s">
        <v>228</v>
      </c>
      <c r="AI2372" s="154" t="s">
        <v>187</v>
      </c>
      <c r="AJ2372" s="144"/>
      <c r="AK2372" s="130" t="s">
        <v>228</v>
      </c>
      <c r="AL2372" s="154" t="s">
        <v>187</v>
      </c>
      <c r="AM2372" s="144"/>
      <c r="AN2372" s="130" t="s">
        <v>228</v>
      </c>
      <c r="AO2372" s="154" t="s">
        <v>187</v>
      </c>
      <c r="AP2372" s="144"/>
      <c r="AQ2372" s="130" t="s">
        <v>228</v>
      </c>
      <c r="AR2372" s="154" t="s">
        <v>187</v>
      </c>
      <c r="AS2372" s="144"/>
      <c r="AT2372" s="130" t="s">
        <v>228</v>
      </c>
      <c r="AU2372" s="154" t="s">
        <v>187</v>
      </c>
    </row>
    <row r="2373" spans="13:47" x14ac:dyDescent="0.25">
      <c r="M2373" s="20"/>
      <c r="N2373" s="20"/>
      <c r="O2373" s="7" t="s">
        <v>188</v>
      </c>
      <c r="P2373" s="7"/>
      <c r="Q2373" s="7"/>
      <c r="R2373" s="181">
        <f>P_1_minW-(R2371^2*R_up)+dpup_minQ</f>
        <v>100.48381211315545</v>
      </c>
      <c r="S2373" s="132"/>
      <c r="T2373" s="145"/>
      <c r="U2373" s="138">
        <f>P_1_minW-(U2371^2*R_up)+dpup_minQ</f>
        <v>98.134273550587523</v>
      </c>
      <c r="V2373" s="132"/>
      <c r="W2373" s="145"/>
      <c r="X2373" s="138">
        <f>P_1_minW-(X2371^2*R_up)+dpup_minQ</f>
        <v>85.913881510308656</v>
      </c>
      <c r="Y2373" s="132"/>
      <c r="Z2373" s="145"/>
      <c r="AA2373" s="138">
        <f>P_1_minW-(AA2371^2*R_up)+dpup_minQ</f>
        <v>45.100842309826447</v>
      </c>
      <c r="AB2373" s="132"/>
      <c r="AC2373" s="145"/>
      <c r="AD2373" s="138">
        <f>P_1_minW-(AD2371^2*R_up)+dpup_minQ</f>
        <v>-49.383255002584448</v>
      </c>
      <c r="AE2373" s="132"/>
      <c r="AF2373" s="145"/>
      <c r="AG2373" s="138">
        <f>P_1_minW-(AG2371^2*R_up)+dpup_minQ</f>
        <v>-194.37570680665092</v>
      </c>
      <c r="AH2373" s="132"/>
      <c r="AI2373" s="145"/>
      <c r="AJ2373" s="138">
        <f>P_1_minW-(AJ2371^2*R_up)+dpup_minQ</f>
        <v>-374.9202548231803</v>
      </c>
      <c r="AK2373" s="132"/>
      <c r="AL2373" s="145"/>
      <c r="AM2373" s="138">
        <f>P_1_minW-(AM2371^2*R_up)+dpup_minQ</f>
        <v>-553.18319142854068</v>
      </c>
      <c r="AN2373" s="132"/>
      <c r="AO2373" s="145"/>
      <c r="AP2373" s="138">
        <f>P_1_minW-(AP2371^2*R_up)+dpup_minQ</f>
        <v>-713.15541189957116</v>
      </c>
      <c r="AQ2373" s="132"/>
      <c r="AR2373" s="145"/>
      <c r="AS2373" s="138">
        <f>P_1_minW-(AS2371^2*R_up)+dpup_minQ</f>
        <v>-912.27537183943389</v>
      </c>
      <c r="AT2373" s="132"/>
      <c r="AU2373" s="145"/>
    </row>
    <row r="2374" spans="13:47" x14ac:dyDescent="0.25">
      <c r="M2374" s="20"/>
      <c r="N2374" s="20"/>
      <c r="O2374" s="7" t="s">
        <v>189</v>
      </c>
      <c r="P2374" s="1"/>
      <c r="Q2374" s="7"/>
      <c r="R2374" s="181">
        <f>P_2_minW+(R2371^2*R_dn)-dpdn_minQ</f>
        <v>50</v>
      </c>
      <c r="S2374" s="132"/>
      <c r="T2374" s="146"/>
      <c r="U2374" s="138">
        <f>P_2_minW+(U2371^2*R_dn)-dpdn_minQ</f>
        <v>50</v>
      </c>
      <c r="V2374" s="132"/>
      <c r="W2374" s="146"/>
      <c r="X2374" s="138">
        <f>P_2_minW+(X2371^2*R_dn)-dpdn_minQ</f>
        <v>50</v>
      </c>
      <c r="Y2374" s="132"/>
      <c r="Z2374" s="146"/>
      <c r="AA2374" s="138">
        <f>P_2_minW+(AA2371^2*R_dn)-dpdn_minQ</f>
        <v>50</v>
      </c>
      <c r="AB2374" s="132"/>
      <c r="AC2374" s="146"/>
      <c r="AD2374" s="138">
        <f>P_2_minW+(AD2371^2*R_dn)-dpdn_minQ</f>
        <v>50</v>
      </c>
      <c r="AE2374" s="132"/>
      <c r="AF2374" s="146"/>
      <c r="AG2374" s="138">
        <f>P_2_minW+(AG2371^2*R_dn)-dpdn_minQ</f>
        <v>50</v>
      </c>
      <c r="AH2374" s="132"/>
      <c r="AI2374" s="146"/>
      <c r="AJ2374" s="138">
        <f>P_2_minW+(AJ2371^2*R_dn)-dpdn_minQ</f>
        <v>50</v>
      </c>
      <c r="AK2374" s="132"/>
      <c r="AL2374" s="146"/>
      <c r="AM2374" s="138">
        <f>P_2_minW+(AM2371^2*R_dn)-dpdn_minQ</f>
        <v>50</v>
      </c>
      <c r="AN2374" s="132"/>
      <c r="AO2374" s="146"/>
      <c r="AP2374" s="138">
        <f>P_2_minW+(AP2371^2*R_dn)-dpdn_minQ</f>
        <v>50</v>
      </c>
      <c r="AQ2374" s="132"/>
      <c r="AR2374" s="146"/>
      <c r="AS2374" s="138">
        <f>P_2_minW+(AS2371^2*R_dn)-dpdn_minQ</f>
        <v>50</v>
      </c>
      <c r="AT2374" s="132"/>
      <c r="AU2374" s="146"/>
    </row>
    <row r="2375" spans="13:47" x14ac:dyDescent="0.25">
      <c r="M2375" s="20"/>
      <c r="N2375" s="20"/>
      <c r="O2375" s="7" t="s">
        <v>234</v>
      </c>
      <c r="P2375" s="1"/>
      <c r="Q2375" s="7"/>
      <c r="R2375" s="179">
        <f>'Valve Sizing'!G$8*R2373/P_1_maxW</f>
        <v>0.48471601959378718</v>
      </c>
      <c r="S2375" s="132"/>
      <c r="T2375" s="146"/>
      <c r="U2375" s="143">
        <f>'Valve Sizing'!$G$8*U2373/P_1_maxW</f>
        <v>0.47338226387751758</v>
      </c>
      <c r="V2375" s="132"/>
      <c r="W2375" s="146"/>
      <c r="X2375" s="143">
        <f>'Valve Sizing'!$G$8*X2373/P_1_maxW</f>
        <v>0.41443326838191308</v>
      </c>
      <c r="Y2375" s="132"/>
      <c r="Z2375" s="146"/>
      <c r="AA2375" s="143">
        <f>'Valve Sizing'!$G$8*AA2373/P_1_maxW</f>
        <v>0.21755843359254942</v>
      </c>
      <c r="AB2375" s="132"/>
      <c r="AC2375" s="146"/>
      <c r="AD2375" s="143">
        <f>'Valve Sizing'!$G$8*AD2373/P_1_maxW</f>
        <v>-0.23821602998582767</v>
      </c>
      <c r="AE2375" s="132"/>
      <c r="AF2375" s="146"/>
      <c r="AG2375" s="143">
        <f>'Valve Sizing'!$G$8*AG2373/P_1_maxW</f>
        <v>-0.93763380317369405</v>
      </c>
      <c r="AH2375" s="132"/>
      <c r="AI2375" s="146"/>
      <c r="AJ2375" s="143">
        <f>'Valve Sizing'!$G$8*AJ2373/P_1_maxW</f>
        <v>-1.8085485588298862</v>
      </c>
      <c r="AK2375" s="132"/>
      <c r="AL2375" s="146"/>
      <c r="AM2375" s="143">
        <f>'Valve Sizing'!$G$8*AM2373/P_1_maxW</f>
        <v>-2.6684572272544735</v>
      </c>
      <c r="AN2375" s="132"/>
      <c r="AO2375" s="146"/>
      <c r="AP2375" s="143">
        <f>'Valve Sizing'!$G$8*AP2373/P_1_maxW</f>
        <v>-3.4401347375083455</v>
      </c>
      <c r="AQ2375" s="132"/>
      <c r="AR2375" s="146"/>
      <c r="AS2375" s="143">
        <f>'Valve Sizing'!$G$8*AS2373/P_1_maxW</f>
        <v>-4.4006539731344443</v>
      </c>
      <c r="AT2375" s="132"/>
      <c r="AU2375" s="146"/>
    </row>
    <row r="2376" spans="13:47" x14ac:dyDescent="0.25">
      <c r="M2376" s="20"/>
      <c r="N2376" s="20"/>
      <c r="O2376" s="7" t="s">
        <v>190</v>
      </c>
      <c r="P2376" s="1"/>
      <c r="Q2376" s="7"/>
      <c r="R2376" s="181">
        <f>R2373-R2374</f>
        <v>50.483812113155452</v>
      </c>
      <c r="S2376" s="132"/>
      <c r="T2376" s="146"/>
      <c r="U2376" s="138">
        <f>U2373-U2374</f>
        <v>48.134273550587523</v>
      </c>
      <c r="V2376" s="132"/>
      <c r="W2376" s="146"/>
      <c r="X2376" s="138">
        <f>X2373-X2374</f>
        <v>35.913881510308656</v>
      </c>
      <c r="Y2376" s="132"/>
      <c r="Z2376" s="146"/>
      <c r="AA2376" s="138">
        <f>AA2373-AA2374</f>
        <v>-4.8991576901735527</v>
      </c>
      <c r="AB2376" s="132"/>
      <c r="AC2376" s="146"/>
      <c r="AD2376" s="138">
        <f>AD2373-AD2374</f>
        <v>-99.383255002584448</v>
      </c>
      <c r="AE2376" s="132"/>
      <c r="AF2376" s="146"/>
      <c r="AG2376" s="138">
        <f>AG2373-AG2374</f>
        <v>-244.37570680665092</v>
      </c>
      <c r="AH2376" s="132"/>
      <c r="AI2376" s="146"/>
      <c r="AJ2376" s="138">
        <f>AJ2373-AJ2374</f>
        <v>-424.9202548231803</v>
      </c>
      <c r="AK2376" s="132"/>
      <c r="AL2376" s="146"/>
      <c r="AM2376" s="138">
        <f>AM2373-AM2374</f>
        <v>-603.18319142854068</v>
      </c>
      <c r="AN2376" s="132"/>
      <c r="AO2376" s="146"/>
      <c r="AP2376" s="138">
        <f>AP2373-AP2374</f>
        <v>-763.15541189957116</v>
      </c>
      <c r="AQ2376" s="132"/>
      <c r="AR2376" s="146"/>
      <c r="AS2376" s="138">
        <f>AS2373-AS2374</f>
        <v>-962.27537183943389</v>
      </c>
      <c r="AT2376" s="132"/>
      <c r="AU2376" s="146"/>
    </row>
    <row r="2377" spans="13:47" ht="14.5" x14ac:dyDescent="0.35">
      <c r="M2377" s="27"/>
      <c r="N2377" s="27"/>
      <c r="O2377" s="2" t="s">
        <v>191</v>
      </c>
      <c r="P2377" s="10"/>
      <c r="Q2377" s="2"/>
      <c r="R2377" s="181">
        <f>R2376/R2373</f>
        <v>0.50240741320905813</v>
      </c>
      <c r="S2377" s="132"/>
      <c r="T2377" s="146"/>
      <c r="U2377" s="138">
        <f>U2376/U2373</f>
        <v>0.49049401202093423</v>
      </c>
      <c r="V2377" s="132"/>
      <c r="W2377" s="146"/>
      <c r="X2377" s="138">
        <f>X2376/X2373</f>
        <v>0.41802187119201933</v>
      </c>
      <c r="Y2377" s="132"/>
      <c r="Z2377" s="146"/>
      <c r="AA2377" s="138">
        <f>AA2376/AA2373</f>
        <v>-0.10862674485141795</v>
      </c>
      <c r="AB2377" s="132"/>
      <c r="AC2377" s="146"/>
      <c r="AD2377" s="138">
        <f>AD2376/AD2373</f>
        <v>2.0124889498957343</v>
      </c>
      <c r="AE2377" s="132"/>
      <c r="AF2377" s="146"/>
      <c r="AG2377" s="138">
        <f>AG2376/AG2373</f>
        <v>1.257233791307758</v>
      </c>
      <c r="AH2377" s="132"/>
      <c r="AI2377" s="146"/>
      <c r="AJ2377" s="138">
        <f>AJ2376/AJ2373</f>
        <v>1.1333616932048149</v>
      </c>
      <c r="AK2377" s="132"/>
      <c r="AL2377" s="146"/>
      <c r="AM2377" s="138">
        <f>AM2376/AM2373</f>
        <v>1.0903859711841206</v>
      </c>
      <c r="AN2377" s="132"/>
      <c r="AO2377" s="146"/>
      <c r="AP2377" s="138">
        <f>AP2376/AP2373</f>
        <v>1.0701109451961099</v>
      </c>
      <c r="AQ2377" s="132"/>
      <c r="AR2377" s="146"/>
      <c r="AS2377" s="138">
        <f>AS2376/AS2373</f>
        <v>1.0548080125183958</v>
      </c>
      <c r="AT2377" s="132"/>
      <c r="AU2377" s="146"/>
    </row>
    <row r="2378" spans="13:47" x14ac:dyDescent="0.25">
      <c r="M2378" s="27"/>
      <c r="N2378" s="27"/>
      <c r="O2378" s="2" t="s">
        <v>26</v>
      </c>
      <c r="P2378" s="7">
        <v>12</v>
      </c>
      <c r="Q2378" s="2"/>
      <c r="R2378" s="181">
        <f>1-R2377/(3*F_GAMMA*R$29)</f>
        <v>0.7383404620495353</v>
      </c>
      <c r="S2378" s="133"/>
      <c r="T2378" s="146"/>
      <c r="U2378" s="138">
        <f>1-U2377/(3*F_GAMMA*U$29)</f>
        <v>0.74460134271357736</v>
      </c>
      <c r="V2378" s="133"/>
      <c r="W2378" s="146"/>
      <c r="X2378" s="138">
        <f>1-X2377/(3*F_GAMMA*X$29)</f>
        <v>0.77907206766229276</v>
      </c>
      <c r="Y2378" s="133"/>
      <c r="Z2378" s="146"/>
      <c r="AA2378" s="138">
        <f>1-AA2377/(3*F_GAMMA*AA$29)</f>
        <v>1.0581972837849736</v>
      </c>
      <c r="AB2378" s="133"/>
      <c r="AC2378" s="146"/>
      <c r="AD2378" s="138">
        <f>1-AD2377/(3*F_GAMMA*AD$29)</f>
        <v>-0.10776227512397241</v>
      </c>
      <c r="AE2378" s="133"/>
      <c r="AF2378" s="146"/>
      <c r="AG2378" s="138">
        <f>1-AG2377/(3*F_GAMMA*AG$29)</f>
        <v>0.26848845838361834</v>
      </c>
      <c r="AH2378" s="133"/>
      <c r="AI2378" s="146"/>
      <c r="AJ2378" s="138">
        <f>1-AJ2377/(3*F_GAMMA*AJ$29)</f>
        <v>0.29505232929883007</v>
      </c>
      <c r="AK2378" s="133"/>
      <c r="AL2378" s="146"/>
      <c r="AM2378" s="138">
        <f>1-AM2377/(3*F_GAMMA*AM$29)</f>
        <v>0.2589790731406012</v>
      </c>
      <c r="AN2378" s="133"/>
      <c r="AO2378" s="146"/>
      <c r="AP2378" s="138">
        <f>1-AP2377/(3*F_GAMMA*AP$29)</f>
        <v>0.39901306672262893</v>
      </c>
      <c r="AQ2378" s="133"/>
      <c r="AR2378" s="146"/>
      <c r="AS2378" s="138">
        <f>1-AS2377/(3*F_GAMMA*AS$29)</f>
        <v>0.10069651909282118</v>
      </c>
      <c r="AT2378" s="133"/>
      <c r="AU2378" s="146"/>
    </row>
    <row r="2379" spans="13:47" x14ac:dyDescent="0.25">
      <c r="M2379" s="27"/>
      <c r="N2379" s="27"/>
      <c r="O2379" s="2" t="s">
        <v>71</v>
      </c>
      <c r="P2379" s="85">
        <v>5</v>
      </c>
      <c r="Q2379" s="2"/>
      <c r="R2379" s="179">
        <f>R2371/((N_6*R$27*R2378)*SQRT(R2377*R2373*R2375))</f>
        <v>1.3524010338245598</v>
      </c>
      <c r="S2379" s="133"/>
      <c r="T2379" s="146"/>
      <c r="U2379" s="143">
        <f>U2371/((N_6*U$27*U2378)*SQRT(U2377*U2373*U2375))</f>
        <v>10.885984799837361</v>
      </c>
      <c r="V2379" s="133"/>
      <c r="W2379" s="146"/>
      <c r="X2379" s="143">
        <f>X2371/((N_6*X$27*X2378)*SQRT(X2377*X2373*X2375))</f>
        <v>31.907668142713259</v>
      </c>
      <c r="Y2379" s="133"/>
      <c r="Z2379" s="146"/>
      <c r="AA2379" s="143" t="e">
        <f>AA2371/((N_6*AA$27*AA2378)*SQRT(AA2377*AA2373*AA2375))</f>
        <v>#NUM!</v>
      </c>
      <c r="AB2379" s="133"/>
      <c r="AC2379" s="146"/>
      <c r="AD2379" s="143">
        <f>AD2371/((N_6*AD$27*AD2378)*SQRT(AD2377*AD2373*AD2375))</f>
        <v>-596.29109239651973</v>
      </c>
      <c r="AE2379" s="133"/>
      <c r="AF2379" s="146"/>
      <c r="AG2379" s="143">
        <f>AG2371/((N_6*AG$27*AG2378)*SQRT(AG2377*AG2373*AG2375))</f>
        <v>110.22835825880497</v>
      </c>
      <c r="AH2379" s="133"/>
      <c r="AI2379" s="146"/>
      <c r="AJ2379" s="143">
        <f>AJ2371/((N_6*AJ$27*AJ2378)*SQRT(AJ2377*AJ2373*AJ2375))</f>
        <v>71.931530203510704</v>
      </c>
      <c r="AK2379" s="133"/>
      <c r="AL2379" s="146"/>
      <c r="AM2379" s="143">
        <f>AM2371/((N_6*AM$27*AM2378)*SQRT(AM2377*AM2373*AM2375))</f>
        <v>70.476440926788371</v>
      </c>
      <c r="AN2379" s="133"/>
      <c r="AO2379" s="146"/>
      <c r="AP2379" s="143">
        <f>AP2371/((N_6*AP$27*AP2378)*SQRT(AP2377*AP2373*AP2375))</f>
        <v>45.391158841073292</v>
      </c>
      <c r="AQ2379" s="133"/>
      <c r="AR2379" s="146"/>
      <c r="AS2379" s="143">
        <f>AS2371/((N_6*AS$27*AS2378)*SQRT(AS2377*AS2373*AS2375))</f>
        <v>207.61196806039806</v>
      </c>
      <c r="AT2379" s="133"/>
      <c r="AU2379" s="146"/>
    </row>
    <row r="2380" spans="13:47" x14ac:dyDescent="0.25">
      <c r="M2380" s="27"/>
      <c r="N2380" s="27"/>
      <c r="O2380" s="2" t="s">
        <v>73</v>
      </c>
      <c r="P2380" s="85">
        <v>5</v>
      </c>
      <c r="Q2380" s="2"/>
      <c r="R2380" s="179">
        <f>R2371/((N_6*R$27*0.667)*SQRT(R2381*R2373*R2375))</f>
        <v>1.326371683450573</v>
      </c>
      <c r="S2380" s="133"/>
      <c r="T2380" s="155"/>
      <c r="U2380" s="143">
        <f>U2371/((N_6*U$27*0.667)*SQRT(U2381*U2373*U2375))</f>
        <v>10.637403588353502</v>
      </c>
      <c r="V2380" s="133"/>
      <c r="W2380" s="155"/>
      <c r="X2380" s="143">
        <f>X2371/((N_6*X$27*0.667)*SQRT(X2381*X2373*X2375))</f>
        <v>30.341203804512578</v>
      </c>
      <c r="Y2380" s="133"/>
      <c r="Z2380" s="155"/>
      <c r="AA2380" s="143">
        <f>AA2371/((N_6*AA$27*0.667)*SQRT(AA2381*AA2373*AA2375))</f>
        <v>113.99643876745452</v>
      </c>
      <c r="AB2380" s="133"/>
      <c r="AC2380" s="155"/>
      <c r="AD2380" s="143">
        <f>AD2371/((N_6*AD$27*0.667)*SQRT(AD2381*AD2373*AD2375))</f>
        <v>175.62371215839181</v>
      </c>
      <c r="AE2380" s="133"/>
      <c r="AF2380" s="155"/>
      <c r="AG2380" s="143">
        <f>AG2371/((N_6*AG$27*0.667)*SQRT(AG2381*AG2373*AG2375))</f>
        <v>65.730107889388051</v>
      </c>
      <c r="AH2380" s="133"/>
      <c r="AI2380" s="155"/>
      <c r="AJ2380" s="143">
        <f>AJ2371/((N_6*AJ$27*0.667)*SQRT(AJ2381*AJ2373*AJ2375))</f>
        <v>46.273418011719336</v>
      </c>
      <c r="AK2380" s="133"/>
      <c r="AL2380" s="155"/>
      <c r="AM2380" s="143">
        <f>AM2371/((N_6*AM$27*0.667)*SQRT(AM2381*AM2373*AM2375))</f>
        <v>40.799859367673164</v>
      </c>
      <c r="AN2380" s="133"/>
      <c r="AO2380" s="155"/>
      <c r="AP2380" s="143">
        <f>AP2371/((N_6*AP$27*0.667)*SQRT(AP2381*AP2373*AP2375))</f>
        <v>36.460758300793991</v>
      </c>
      <c r="AQ2380" s="133"/>
      <c r="AR2380" s="155"/>
      <c r="AS2380" s="143">
        <f>AS2371/((N_6*AS$27*0.667)*SQRT(AS2381*AS2373*AS2375))</f>
        <v>51.481924578200029</v>
      </c>
      <c r="AT2380" s="133"/>
      <c r="AU2380" s="155"/>
    </row>
    <row r="2381" spans="13:47" ht="15.5" x14ac:dyDescent="0.4">
      <c r="M2381" s="27"/>
      <c r="N2381" s="27"/>
      <c r="O2381" s="2" t="s">
        <v>192</v>
      </c>
      <c r="P2381" s="85">
        <v>10</v>
      </c>
      <c r="Q2381" s="2"/>
      <c r="R2381" s="181">
        <f>F_GAMMA*R$29</f>
        <v>0.64002688015162901</v>
      </c>
      <c r="S2381" s="133"/>
      <c r="T2381" s="155"/>
      <c r="U2381" s="138">
        <f>F_GAMMA*U$29</f>
        <v>0.64016782916606918</v>
      </c>
      <c r="V2381" s="133"/>
      <c r="W2381" s="155"/>
      <c r="X2381" s="138">
        <f>F_GAMMA*X$29</f>
        <v>0.6307062319203669</v>
      </c>
      <c r="Y2381" s="133"/>
      <c r="Z2381" s="155"/>
      <c r="AA2381" s="138">
        <f>F_GAMMA*AA$29</f>
        <v>0.62217534213893466</v>
      </c>
      <c r="AB2381" s="133"/>
      <c r="AC2381" s="155"/>
      <c r="AD2381" s="138">
        <f>F_GAMMA*AD$29</f>
        <v>0.60557184969146072</v>
      </c>
      <c r="AE2381" s="133"/>
      <c r="AF2381" s="155"/>
      <c r="AG2381" s="138">
        <f>F_GAMMA*AG$29</f>
        <v>0.57289312142622573</v>
      </c>
      <c r="AH2381" s="133"/>
      <c r="AI2381" s="155"/>
      <c r="AJ2381" s="138">
        <f>F_GAMMA*AJ$29</f>
        <v>0.53590819116049981</v>
      </c>
      <c r="AK2381" s="133"/>
      <c r="AL2381" s="155"/>
      <c r="AM2381" s="138">
        <f>F_GAMMA*AM$29</f>
        <v>0.49048815926850342</v>
      </c>
      <c r="AN2381" s="133"/>
      <c r="AO2381" s="155"/>
      <c r="AP2381" s="138">
        <f>F_GAMMA*AP$29</f>
        <v>0.59352979016280105</v>
      </c>
      <c r="AQ2381" s="133"/>
      <c r="AR2381" s="155"/>
      <c r="AS2381" s="138">
        <f>F_GAMMA*AS$29</f>
        <v>0.39097221161068291</v>
      </c>
      <c r="AT2381" s="133"/>
      <c r="AU2381" s="155"/>
    </row>
    <row r="2382" spans="13:47" x14ac:dyDescent="0.25">
      <c r="M2382" s="27"/>
      <c r="N2382" s="27"/>
      <c r="O2382" s="2" t="s">
        <v>193</v>
      </c>
      <c r="P2382" s="134"/>
      <c r="Q2382" s="2"/>
      <c r="R2382" s="181">
        <f>IF(R2377&lt;R2381,R2379,R2380)</f>
        <v>1.3524010338245598</v>
      </c>
      <c r="S2382" s="133"/>
      <c r="T2382" s="155"/>
      <c r="U2382" s="138">
        <f>IF(U2377&lt;U2381,U2379,U2380)</f>
        <v>10.885984799837361</v>
      </c>
      <c r="V2382" s="133"/>
      <c r="W2382" s="155"/>
      <c r="X2382" s="138">
        <f>IF(X2377&lt;X2381,X2379,X2380)</f>
        <v>31.907668142713259</v>
      </c>
      <c r="Y2382" s="133"/>
      <c r="Z2382" s="155"/>
      <c r="AA2382" s="138" t="e">
        <f>IF(AA2377&lt;AA2381,AA2379,AA2380)</f>
        <v>#NUM!</v>
      </c>
      <c r="AB2382" s="133"/>
      <c r="AC2382" s="155"/>
      <c r="AD2382" s="138">
        <f>IF(AD2377&lt;AD2381,AD2379,AD2380)</f>
        <v>175.62371215839181</v>
      </c>
      <c r="AE2382" s="133"/>
      <c r="AF2382" s="155"/>
      <c r="AG2382" s="138">
        <f>IF(AG2377&lt;AG2381,AG2379,AG2380)</f>
        <v>65.730107889388051</v>
      </c>
      <c r="AH2382" s="133"/>
      <c r="AI2382" s="155"/>
      <c r="AJ2382" s="138">
        <f>IF(AJ2377&lt;AJ2381,AJ2379,AJ2380)</f>
        <v>46.273418011719336</v>
      </c>
      <c r="AK2382" s="133"/>
      <c r="AL2382" s="155"/>
      <c r="AM2382" s="138">
        <f>IF(AM2377&lt;AM2381,AM2379,AM2380)</f>
        <v>40.799859367673164</v>
      </c>
      <c r="AN2382" s="133"/>
      <c r="AO2382" s="155"/>
      <c r="AP2382" s="138">
        <f>IF(AP2377&lt;AP2381,AP2379,AP2380)</f>
        <v>36.460758300793991</v>
      </c>
      <c r="AQ2382" s="133"/>
      <c r="AR2382" s="155"/>
      <c r="AS2382" s="138">
        <f>IF(AS2377&lt;AS2381,AS2379,AS2380)</f>
        <v>51.481924578200029</v>
      </c>
      <c r="AT2382" s="133"/>
      <c r="AU2382" s="155"/>
    </row>
    <row r="2383" spans="13:47" ht="13" x14ac:dyDescent="0.3">
      <c r="M2383" s="28"/>
      <c r="N2383" s="28"/>
      <c r="O2383" s="9" t="s">
        <v>194</v>
      </c>
      <c r="P2383" s="1"/>
      <c r="Q2383" s="1"/>
      <c r="R2383" s="135"/>
      <c r="S2383" s="132">
        <f>IF(R2376&lt;=0,W_max,ABS(R$23-R2382))</f>
        <v>0.64759896617544022</v>
      </c>
      <c r="T2383" s="151">
        <f>R2371</f>
        <v>312.63253412334149</v>
      </c>
      <c r="U2383" s="135"/>
      <c r="V2383" s="132">
        <f>IF(U2376&lt;=0,W_max,ABS(U$23-U2382))</f>
        <v>5.8859847998373613</v>
      </c>
      <c r="W2383" s="151">
        <f>U2371</f>
        <v>2447.4116773401829</v>
      </c>
      <c r="X2383" s="135"/>
      <c r="Y2383" s="132">
        <f>IF(X2376&lt;=0,W_max,ABS(X$23-X2382))</f>
        <v>21.907668142713259</v>
      </c>
      <c r="Z2383" s="151">
        <f>X2371</f>
        <v>6052.7403234659341</v>
      </c>
      <c r="AA2383" s="135"/>
      <c r="AB2383" s="132">
        <f>IF(AA2376&lt;=0,W_max,ABS(AA$23-AA2382))</f>
        <v>7174</v>
      </c>
      <c r="AC2383" s="151">
        <f>AA2371</f>
        <v>11789.193215905902</v>
      </c>
      <c r="AD2383" s="135"/>
      <c r="AE2383" s="132">
        <f>IF(AD2376&lt;=0,W_max,ABS(AD$23-AD2382))</f>
        <v>7174</v>
      </c>
      <c r="AF2383" s="151">
        <f>AD2371</f>
        <v>19388.882316744857</v>
      </c>
      <c r="AG2383" s="135"/>
      <c r="AH2383" s="132">
        <f>IF(AG2376&lt;=0,W_max,ABS(AG$23-AG2382))</f>
        <v>7174</v>
      </c>
      <c r="AI2383" s="151">
        <f>AG2371</f>
        <v>27194.400125016531</v>
      </c>
      <c r="AJ2383" s="135"/>
      <c r="AK2383" s="132">
        <f>IF(AJ2376&lt;=0,W_max,ABS(AJ$23-AJ2382))</f>
        <v>7174</v>
      </c>
      <c r="AL2383" s="151">
        <f>AJ2371</f>
        <v>34529.672084774109</v>
      </c>
      <c r="AM2383" s="135"/>
      <c r="AN2383" s="132">
        <f>IF(AM2376&lt;=0,W_max,ABS(AM$23-AM2382))</f>
        <v>7174</v>
      </c>
      <c r="AO2383" s="151">
        <f>AM2371</f>
        <v>40488.756102824096</v>
      </c>
      <c r="AP2383" s="135"/>
      <c r="AQ2383" s="132">
        <f>IF(AP2376&lt;=0,W_max,ABS(AP$23-AP2382))</f>
        <v>7174</v>
      </c>
      <c r="AR2383" s="151">
        <f>AP2371</f>
        <v>45172.023579773013</v>
      </c>
      <c r="AS2383" s="135"/>
      <c r="AT2383" s="132">
        <f>IF(AS2376&lt;=0,W_max,ABS(AS$23-AS2382))</f>
        <v>7174</v>
      </c>
      <c r="AU2383" s="151">
        <f>AS2371</f>
        <v>50396.996862772059</v>
      </c>
    </row>
    <row r="2384" spans="13:47" ht="13" x14ac:dyDescent="0.25">
      <c r="M2384" s="12"/>
      <c r="N2384" s="12"/>
      <c r="O2384" s="2"/>
      <c r="P2384" s="85"/>
      <c r="Q2384" s="2"/>
      <c r="R2384" s="18"/>
      <c r="S2384" s="150"/>
      <c r="T2384" s="148"/>
      <c r="U2384" s="157"/>
      <c r="V2384" s="1"/>
      <c r="W2384" s="147"/>
      <c r="X2384" s="157"/>
      <c r="Y2384" s="1"/>
      <c r="Z2384" s="147"/>
      <c r="AA2384" s="157"/>
      <c r="AB2384" s="1"/>
      <c r="AC2384" s="147"/>
      <c r="AD2384" s="157"/>
      <c r="AE2384" s="1"/>
      <c r="AF2384" s="147"/>
      <c r="AG2384" s="157"/>
      <c r="AH2384" s="1"/>
      <c r="AI2384" s="147"/>
      <c r="AJ2384" s="157"/>
      <c r="AK2384" s="1"/>
      <c r="AL2384" s="147"/>
      <c r="AM2384" s="157"/>
      <c r="AN2384" s="1"/>
      <c r="AO2384" s="147"/>
      <c r="AP2384" s="157"/>
      <c r="AQ2384" s="1"/>
      <c r="AR2384" s="147"/>
      <c r="AS2384" s="157"/>
      <c r="AT2384" s="1"/>
      <c r="AU2384" s="147"/>
    </row>
    <row r="2385" spans="13:47" ht="14" x14ac:dyDescent="0.3">
      <c r="M2385" s="23"/>
      <c r="N2385" s="23"/>
      <c r="O2385" s="23" t="s">
        <v>238</v>
      </c>
      <c r="P2385" s="20"/>
      <c r="Q2385" s="20"/>
      <c r="R2385" s="181">
        <f>R2371*1.02</f>
        <v>318.88518480580831</v>
      </c>
      <c r="S2385" s="128" t="s">
        <v>185</v>
      </c>
      <c r="T2385" s="149" t="s">
        <v>186</v>
      </c>
      <c r="U2385" s="143">
        <f>U2371*1.01</f>
        <v>2471.8857941135848</v>
      </c>
      <c r="V2385" s="128" t="s">
        <v>185</v>
      </c>
      <c r="W2385" s="153" t="s">
        <v>186</v>
      </c>
      <c r="X2385" s="143">
        <f>X2371*1.01</f>
        <v>6113.2677267005938</v>
      </c>
      <c r="Y2385" s="128" t="s">
        <v>185</v>
      </c>
      <c r="Z2385" s="153" t="s">
        <v>186</v>
      </c>
      <c r="AA2385" s="143">
        <f>AA2371*1.01</f>
        <v>11907.08514806496</v>
      </c>
      <c r="AB2385" s="128" t="s">
        <v>185</v>
      </c>
      <c r="AC2385" s="153" t="s">
        <v>186</v>
      </c>
      <c r="AD2385" s="143">
        <f>AD2371*1.01</f>
        <v>19582.771139912307</v>
      </c>
      <c r="AE2385" s="128" t="s">
        <v>185</v>
      </c>
      <c r="AF2385" s="153" t="s">
        <v>186</v>
      </c>
      <c r="AG2385" s="143">
        <f>AG2371*1.01</f>
        <v>27466.344126266697</v>
      </c>
      <c r="AH2385" s="128" t="s">
        <v>185</v>
      </c>
      <c r="AI2385" s="153" t="s">
        <v>186</v>
      </c>
      <c r="AJ2385" s="143">
        <f>AJ2371*1.01</f>
        <v>34874.968805621851</v>
      </c>
      <c r="AK2385" s="128" t="s">
        <v>185</v>
      </c>
      <c r="AL2385" s="153" t="s">
        <v>186</v>
      </c>
      <c r="AM2385" s="143">
        <f>AM2371*1.01</f>
        <v>40893.643663852337</v>
      </c>
      <c r="AN2385" s="128" t="s">
        <v>185</v>
      </c>
      <c r="AO2385" s="153" t="s">
        <v>186</v>
      </c>
      <c r="AP2385" s="143">
        <f>AP2371*1.01</f>
        <v>45623.743815570742</v>
      </c>
      <c r="AQ2385" s="128" t="s">
        <v>185</v>
      </c>
      <c r="AR2385" s="153" t="s">
        <v>186</v>
      </c>
      <c r="AS2385" s="143">
        <f>AS2371*1.01</f>
        <v>50900.966831399783</v>
      </c>
      <c r="AT2385" s="128" t="s">
        <v>185</v>
      </c>
      <c r="AU2385" s="153" t="s">
        <v>186</v>
      </c>
    </row>
    <row r="2386" spans="13:47" ht="14" x14ac:dyDescent="0.3">
      <c r="M2386" s="12"/>
      <c r="N2386" s="12"/>
      <c r="O2386" s="20"/>
      <c r="P2386" s="20"/>
      <c r="Q2386" s="23"/>
      <c r="R2386" s="139"/>
      <c r="S2386" s="130" t="s">
        <v>228</v>
      </c>
      <c r="T2386" s="131" t="s">
        <v>187</v>
      </c>
      <c r="U2386" s="144"/>
      <c r="V2386" s="130" t="s">
        <v>228</v>
      </c>
      <c r="W2386" s="154" t="s">
        <v>187</v>
      </c>
      <c r="X2386" s="144"/>
      <c r="Y2386" s="130" t="s">
        <v>228</v>
      </c>
      <c r="Z2386" s="154" t="s">
        <v>187</v>
      </c>
      <c r="AA2386" s="144"/>
      <c r="AB2386" s="130" t="s">
        <v>228</v>
      </c>
      <c r="AC2386" s="154" t="s">
        <v>187</v>
      </c>
      <c r="AD2386" s="144"/>
      <c r="AE2386" s="130" t="s">
        <v>228</v>
      </c>
      <c r="AF2386" s="154" t="s">
        <v>187</v>
      </c>
      <c r="AG2386" s="144"/>
      <c r="AH2386" s="130" t="s">
        <v>228</v>
      </c>
      <c r="AI2386" s="154" t="s">
        <v>187</v>
      </c>
      <c r="AJ2386" s="144"/>
      <c r="AK2386" s="130" t="s">
        <v>228</v>
      </c>
      <c r="AL2386" s="154" t="s">
        <v>187</v>
      </c>
      <c r="AM2386" s="144"/>
      <c r="AN2386" s="130" t="s">
        <v>228</v>
      </c>
      <c r="AO2386" s="154" t="s">
        <v>187</v>
      </c>
      <c r="AP2386" s="144"/>
      <c r="AQ2386" s="130" t="s">
        <v>228</v>
      </c>
      <c r="AR2386" s="154" t="s">
        <v>187</v>
      </c>
      <c r="AS2386" s="144"/>
      <c r="AT2386" s="130" t="s">
        <v>228</v>
      </c>
      <c r="AU2386" s="154" t="s">
        <v>187</v>
      </c>
    </row>
    <row r="2387" spans="13:47" x14ac:dyDescent="0.25">
      <c r="M2387" s="20"/>
      <c r="N2387" s="20"/>
      <c r="O2387" s="7" t="s">
        <v>188</v>
      </c>
      <c r="P2387" s="7"/>
      <c r="Q2387" s="7"/>
      <c r="R2387" s="181">
        <f>P_1_minW-(R2385^2*R_up)+dpup_minQ</f>
        <v>100.48223753836318</v>
      </c>
      <c r="S2387" s="132"/>
      <c r="T2387" s="145"/>
      <c r="U2387" s="138">
        <f>P_1_minW-(U2385^2*R_up)+dpup_minQ</f>
        <v>98.086264435546127</v>
      </c>
      <c r="V2387" s="132"/>
      <c r="W2387" s="145"/>
      <c r="X2387" s="138">
        <f>P_1_minW-(X2385^2*R_up)+dpup_minQ</f>
        <v>85.620242515257658</v>
      </c>
      <c r="Y2387" s="132"/>
      <c r="Z2387" s="145"/>
      <c r="AA2387" s="138">
        <f>P_1_minW-(AA2385^2*R_up)+dpup_minQ</f>
        <v>43.986861226845761</v>
      </c>
      <c r="AB2387" s="132"/>
      <c r="AC2387" s="145"/>
      <c r="AD2387" s="138">
        <f>P_1_minW-(AD2385^2*R_up)+dpup_minQ</f>
        <v>-52.3963664415446</v>
      </c>
      <c r="AE2387" s="132"/>
      <c r="AF2387" s="145"/>
      <c r="AG2387" s="138">
        <f>P_1_minW-(AG2385^2*R_up)+dpup_minQ</f>
        <v>-200.30316652687279</v>
      </c>
      <c r="AH2387" s="132"/>
      <c r="AI2387" s="145"/>
      <c r="AJ2387" s="138">
        <f>P_1_minW-(AJ2385^2*R_up)+dpup_minQ</f>
        <v>-384.47665995853441</v>
      </c>
      <c r="AK2387" s="132"/>
      <c r="AL2387" s="145"/>
      <c r="AM2387" s="138">
        <f>P_1_minW-(AM2385^2*R_up)+dpup_minQ</f>
        <v>-566.32268158966258</v>
      </c>
      <c r="AN2387" s="132"/>
      <c r="AO2387" s="145"/>
      <c r="AP2387" s="138">
        <f>P_1_minW-(AP2385^2*R_up)+dpup_minQ</f>
        <v>-729.51034369216086</v>
      </c>
      <c r="AQ2387" s="132"/>
      <c r="AR2387" s="145"/>
      <c r="AS2387" s="138">
        <f>P_1_minW-(AS2385^2*R_up)+dpup_minQ</f>
        <v>-932.6326148268148</v>
      </c>
      <c r="AT2387" s="132"/>
      <c r="AU2387" s="145"/>
    </row>
    <row r="2388" spans="13:47" x14ac:dyDescent="0.25">
      <c r="M2388" s="20"/>
      <c r="N2388" s="20"/>
      <c r="O2388" s="7" t="s">
        <v>189</v>
      </c>
      <c r="P2388" s="1"/>
      <c r="Q2388" s="7"/>
      <c r="R2388" s="181">
        <f>P_2_minW+(R2385^2*R_dn)-dpdn_minQ</f>
        <v>50</v>
      </c>
      <c r="S2388" s="132"/>
      <c r="T2388" s="146"/>
      <c r="U2388" s="138">
        <f>P_2_minW+(U2385^2*R_dn)-dpdn_minQ</f>
        <v>50</v>
      </c>
      <c r="V2388" s="132"/>
      <c r="W2388" s="146"/>
      <c r="X2388" s="138">
        <f>P_2_minW+(X2385^2*R_dn)-dpdn_minQ</f>
        <v>50</v>
      </c>
      <c r="Y2388" s="132"/>
      <c r="Z2388" s="146"/>
      <c r="AA2388" s="138">
        <f>P_2_minW+(AA2385^2*R_dn)-dpdn_minQ</f>
        <v>50</v>
      </c>
      <c r="AB2388" s="132"/>
      <c r="AC2388" s="146"/>
      <c r="AD2388" s="138">
        <f>P_2_minW+(AD2385^2*R_dn)-dpdn_minQ</f>
        <v>50</v>
      </c>
      <c r="AE2388" s="132"/>
      <c r="AF2388" s="146"/>
      <c r="AG2388" s="138">
        <f>P_2_minW+(AG2385^2*R_dn)-dpdn_minQ</f>
        <v>50</v>
      </c>
      <c r="AH2388" s="132"/>
      <c r="AI2388" s="146"/>
      <c r="AJ2388" s="138">
        <f>P_2_minW+(AJ2385^2*R_dn)-dpdn_minQ</f>
        <v>50</v>
      </c>
      <c r="AK2388" s="132"/>
      <c r="AL2388" s="146"/>
      <c r="AM2388" s="138">
        <f>P_2_minW+(AM2385^2*R_dn)-dpdn_minQ</f>
        <v>50</v>
      </c>
      <c r="AN2388" s="132"/>
      <c r="AO2388" s="146"/>
      <c r="AP2388" s="138">
        <f>P_2_minW+(AP2385^2*R_dn)-dpdn_minQ</f>
        <v>50</v>
      </c>
      <c r="AQ2388" s="132"/>
      <c r="AR2388" s="146"/>
      <c r="AS2388" s="138">
        <f>P_2_minW+(AS2385^2*R_dn)-dpdn_minQ</f>
        <v>50</v>
      </c>
      <c r="AT2388" s="132"/>
      <c r="AU2388" s="146"/>
    </row>
    <row r="2389" spans="13:47" x14ac:dyDescent="0.25">
      <c r="M2389" s="20"/>
      <c r="N2389" s="20"/>
      <c r="O2389" s="7" t="s">
        <v>234</v>
      </c>
      <c r="P2389" s="1"/>
      <c r="Q2389" s="7"/>
      <c r="R2389" s="179">
        <f>'Valve Sizing'!G$8*R2387/P_1_maxW</f>
        <v>0.48470842412532511</v>
      </c>
      <c r="S2389" s="132"/>
      <c r="T2389" s="146"/>
      <c r="U2389" s="143">
        <f>'Valve Sizing'!$G$8*U2387/P_1_maxW</f>
        <v>0.47315067645405406</v>
      </c>
      <c r="V2389" s="132"/>
      <c r="W2389" s="146"/>
      <c r="X2389" s="143">
        <f>'Valve Sizing'!$G$8*X2387/P_1_maxW</f>
        <v>0.41301680614898784</v>
      </c>
      <c r="Y2389" s="132"/>
      <c r="Z2389" s="146"/>
      <c r="AA2389" s="143">
        <f>'Valve Sizing'!$G$8*AA2387/P_1_maxW</f>
        <v>0.21218478718035799</v>
      </c>
      <c r="AB2389" s="132"/>
      <c r="AC2389" s="146"/>
      <c r="AD2389" s="143">
        <f>'Valve Sizing'!$G$8*AD2387/P_1_maxW</f>
        <v>-0.25275074311594448</v>
      </c>
      <c r="AE2389" s="132"/>
      <c r="AF2389" s="146"/>
      <c r="AG2389" s="143">
        <f>'Valve Sizing'!$G$8*AG2387/P_1_maxW</f>
        <v>-0.96622681354488671</v>
      </c>
      <c r="AH2389" s="132"/>
      <c r="AI2389" s="146"/>
      <c r="AJ2389" s="143">
        <f>'Valve Sizing'!$G$8*AJ2387/P_1_maxW</f>
        <v>-1.8546469557897685</v>
      </c>
      <c r="AK2389" s="132"/>
      <c r="AL2389" s="146"/>
      <c r="AM2389" s="143">
        <f>'Valve Sizing'!$G$8*AM2387/P_1_maxW</f>
        <v>-2.7318397884496899</v>
      </c>
      <c r="AN2389" s="132"/>
      <c r="AO2389" s="146"/>
      <c r="AP2389" s="143">
        <f>'Valve Sizing'!$G$8*AP2387/P_1_maxW</f>
        <v>-3.5190280166596652</v>
      </c>
      <c r="AQ2389" s="132"/>
      <c r="AR2389" s="146"/>
      <c r="AS2389" s="143">
        <f>'Valve Sizing'!$G$8*AS2387/P_1_maxW</f>
        <v>-4.4988536889218489</v>
      </c>
      <c r="AT2389" s="132"/>
      <c r="AU2389" s="146"/>
    </row>
    <row r="2390" spans="13:47" x14ac:dyDescent="0.25">
      <c r="M2390" s="20"/>
      <c r="N2390" s="20"/>
      <c r="O2390" s="7" t="s">
        <v>190</v>
      </c>
      <c r="P2390" s="1"/>
      <c r="Q2390" s="7"/>
      <c r="R2390" s="181">
        <f>R2387-R2388</f>
        <v>50.482237538363179</v>
      </c>
      <c r="S2390" s="132"/>
      <c r="T2390" s="146"/>
      <c r="U2390" s="138">
        <f>U2387-U2388</f>
        <v>48.086264435546127</v>
      </c>
      <c r="V2390" s="132"/>
      <c r="W2390" s="146"/>
      <c r="X2390" s="138">
        <f>X2387-X2388</f>
        <v>35.620242515257658</v>
      </c>
      <c r="Y2390" s="132"/>
      <c r="Z2390" s="146"/>
      <c r="AA2390" s="138">
        <f>AA2387-AA2388</f>
        <v>-6.0131387731542389</v>
      </c>
      <c r="AB2390" s="132"/>
      <c r="AC2390" s="146"/>
      <c r="AD2390" s="138">
        <f>AD2387-AD2388</f>
        <v>-102.3963664415446</v>
      </c>
      <c r="AE2390" s="132"/>
      <c r="AF2390" s="146"/>
      <c r="AG2390" s="138">
        <f>AG2387-AG2388</f>
        <v>-250.30316652687279</v>
      </c>
      <c r="AH2390" s="132"/>
      <c r="AI2390" s="146"/>
      <c r="AJ2390" s="138">
        <f>AJ2387-AJ2388</f>
        <v>-434.47665995853441</v>
      </c>
      <c r="AK2390" s="132"/>
      <c r="AL2390" s="146"/>
      <c r="AM2390" s="138">
        <f>AM2387-AM2388</f>
        <v>-616.32268158966258</v>
      </c>
      <c r="AN2390" s="132"/>
      <c r="AO2390" s="146"/>
      <c r="AP2390" s="138">
        <f>AP2387-AP2388</f>
        <v>-779.51034369216086</v>
      </c>
      <c r="AQ2390" s="132"/>
      <c r="AR2390" s="146"/>
      <c r="AS2390" s="138">
        <f>AS2387-AS2388</f>
        <v>-982.6326148268148</v>
      </c>
      <c r="AT2390" s="132"/>
      <c r="AU2390" s="146"/>
    </row>
    <row r="2391" spans="13:47" ht="14.5" x14ac:dyDescent="0.35">
      <c r="M2391" s="27"/>
      <c r="N2391" s="27"/>
      <c r="O2391" s="2" t="s">
        <v>191</v>
      </c>
      <c r="P2391" s="10"/>
      <c r="Q2391" s="2"/>
      <c r="R2391" s="181">
        <f>R2390/R2387</f>
        <v>0.50239961584344228</v>
      </c>
      <c r="S2391" s="132"/>
      <c r="T2391" s="146"/>
      <c r="U2391" s="138">
        <f>U2390/U2387</f>
        <v>0.49024463019635428</v>
      </c>
      <c r="V2391" s="132"/>
      <c r="W2391" s="146"/>
      <c r="X2391" s="138">
        <f>X2390/X2387</f>
        <v>0.41602594747276123</v>
      </c>
      <c r="Y2391" s="132"/>
      <c r="Z2391" s="146"/>
      <c r="AA2391" s="138">
        <f>AA2390/AA2387</f>
        <v>-0.13670306553913289</v>
      </c>
      <c r="AB2391" s="132"/>
      <c r="AC2391" s="146"/>
      <c r="AD2391" s="138">
        <f>AD2390/AD2387</f>
        <v>1.9542646445871761</v>
      </c>
      <c r="AE2391" s="132"/>
      <c r="AF2391" s="146"/>
      <c r="AG2391" s="138">
        <f>AG2390/AG2387</f>
        <v>1.2496216154091202</v>
      </c>
      <c r="AH2391" s="132"/>
      <c r="AI2391" s="146"/>
      <c r="AJ2391" s="138">
        <f>AJ2390/AJ2387</f>
        <v>1.1300469058522109</v>
      </c>
      <c r="AK2391" s="132"/>
      <c r="AL2391" s="146"/>
      <c r="AM2391" s="138">
        <f>AM2390/AM2387</f>
        <v>1.0882888883412729</v>
      </c>
      <c r="AN2391" s="132"/>
      <c r="AO2391" s="146"/>
      <c r="AP2391" s="138">
        <f>AP2390/AP2387</f>
        <v>1.0685391241294024</v>
      </c>
      <c r="AQ2391" s="132"/>
      <c r="AR2391" s="146"/>
      <c r="AS2391" s="138">
        <f>AS2390/AS2387</f>
        <v>1.0536116786021736</v>
      </c>
      <c r="AT2391" s="132"/>
      <c r="AU2391" s="146"/>
    </row>
    <row r="2392" spans="13:47" x14ac:dyDescent="0.25">
      <c r="M2392" s="27"/>
      <c r="N2392" s="27"/>
      <c r="O2392" s="2" t="s">
        <v>26</v>
      </c>
      <c r="P2392" s="7">
        <v>12</v>
      </c>
      <c r="Q2392" s="2"/>
      <c r="R2392" s="181">
        <f>1-R2391/(3*F_GAMMA*R$29)</f>
        <v>0.73834452300689901</v>
      </c>
      <c r="S2392" s="133"/>
      <c r="T2392" s="146"/>
      <c r="U2392" s="138">
        <f>1-U2391/(3*F_GAMMA*U$29)</f>
        <v>0.74473119502897456</v>
      </c>
      <c r="V2392" s="133"/>
      <c r="W2392" s="146"/>
      <c r="X2392" s="138">
        <f>1-X2391/(3*F_GAMMA*X$29)</f>
        <v>0.78012692945491158</v>
      </c>
      <c r="Y2392" s="133"/>
      <c r="Z2392" s="146"/>
      <c r="AA2392" s="138">
        <f>1-AA2391/(3*F_GAMMA*AA$29)</f>
        <v>1.0732393031784098</v>
      </c>
      <c r="AB2392" s="133"/>
      <c r="AC2392" s="146"/>
      <c r="AD2392" s="138">
        <f>1-AD2391/(3*F_GAMMA*AD$29)</f>
        <v>-7.5713061179486951E-2</v>
      </c>
      <c r="AE2392" s="133"/>
      <c r="AF2392" s="146"/>
      <c r="AG2392" s="138">
        <f>1-AG2391/(3*F_GAMMA*AG$29)</f>
        <v>0.2729175427473749</v>
      </c>
      <c r="AH2392" s="133"/>
      <c r="AI2392" s="146"/>
      <c r="AJ2392" s="138">
        <f>1-AJ2391/(3*F_GAMMA*AJ$29)</f>
        <v>0.29711411737327986</v>
      </c>
      <c r="AK2392" s="133"/>
      <c r="AL2392" s="146"/>
      <c r="AM2392" s="138">
        <f>1-AM2391/(3*F_GAMMA*AM$29)</f>
        <v>0.26040424029514586</v>
      </c>
      <c r="AN2392" s="133"/>
      <c r="AO2392" s="146"/>
      <c r="AP2392" s="138">
        <f>1-AP2391/(3*F_GAMMA*AP$29)</f>
        <v>0.39989581997992618</v>
      </c>
      <c r="AQ2392" s="133"/>
      <c r="AR2392" s="146"/>
      <c r="AS2392" s="138">
        <f>1-AS2391/(3*F_GAMMA*AS$29)</f>
        <v>0.10171648409348255</v>
      </c>
      <c r="AT2392" s="133"/>
      <c r="AU2392" s="146"/>
    </row>
    <row r="2393" spans="13:47" x14ac:dyDescent="0.25">
      <c r="M2393" s="27"/>
      <c r="N2393" s="27"/>
      <c r="O2393" s="2" t="s">
        <v>71</v>
      </c>
      <c r="P2393" s="85">
        <v>5</v>
      </c>
      <c r="Q2393" s="2"/>
      <c r="R2393" s="179">
        <f>R2385/((N_6*R$27*R2392)*SQRT(R2391*R2387*R2389))</f>
        <v>1.3794737882728438</v>
      </c>
      <c r="S2393" s="133"/>
      <c r="T2393" s="146"/>
      <c r="U2393" s="143">
        <f>U2385/((N_6*U$27*U2392)*SQRT(U2391*U2387*U2389))</f>
        <v>11.001105150452913</v>
      </c>
      <c r="V2393" s="133"/>
      <c r="W2393" s="146"/>
      <c r="X2393" s="143">
        <f>X2385/((N_6*X$27*X2392)*SQRT(X2391*X2387*X2389))</f>
        <v>32.370915677269615</v>
      </c>
      <c r="Y2393" s="133"/>
      <c r="Z2393" s="146"/>
      <c r="AA2393" s="143" t="e">
        <f>AA2385/((N_6*AA$27*AA2392)*SQRT(AA2391*AA2387*AA2389))</f>
        <v>#NUM!</v>
      </c>
      <c r="AB2393" s="133"/>
      <c r="AC2393" s="146"/>
      <c r="AD2393" s="143">
        <f>AD2385/((N_6*AD$27*AD2392)*SQRT(AD2391*AD2387*AD2389))</f>
        <v>-819.84027204419533</v>
      </c>
      <c r="AE2393" s="133"/>
      <c r="AF2393" s="146"/>
      <c r="AG2393" s="143">
        <f>AG2385/((N_6*AG$27*AG2392)*SQRT(AG2391*AG2387*AG2389))</f>
        <v>106.60603981930531</v>
      </c>
      <c r="AH2393" s="133"/>
      <c r="AI2393" s="146"/>
      <c r="AJ2393" s="143">
        <f>AJ2385/((N_6*AJ$27*AJ2392)*SQRT(AJ2391*AJ2387*AJ2389))</f>
        <v>70.456551887700158</v>
      </c>
      <c r="AK2393" s="133"/>
      <c r="AL2393" s="146"/>
      <c r="AM2393" s="143">
        <f>AM2385/((N_6*AM$27*AM2392)*SQRT(AM2391*AM2387*AM2389))</f>
        <v>69.215762595017594</v>
      </c>
      <c r="AN2393" s="133"/>
      <c r="AO2393" s="146"/>
      <c r="AP2393" s="143">
        <f>AP2385/((N_6*AP$27*AP2392)*SQRT(AP2391*AP2387*AP2389))</f>
        <v>44.751213330207761</v>
      </c>
      <c r="AQ2393" s="133"/>
      <c r="AR2393" s="146"/>
      <c r="AS2393" s="143">
        <f>AS2385/((N_6*AS$27*AS2392)*SQRT(AS2391*AS2387*AS2389))</f>
        <v>203.16956506367731</v>
      </c>
      <c r="AT2393" s="133"/>
      <c r="AU2393" s="146"/>
    </row>
    <row r="2394" spans="13:47" x14ac:dyDescent="0.25">
      <c r="M2394" s="27"/>
      <c r="N2394" s="27"/>
      <c r="O2394" s="2" t="s">
        <v>73</v>
      </c>
      <c r="P2394" s="85">
        <v>5</v>
      </c>
      <c r="Q2394" s="2"/>
      <c r="R2394" s="179">
        <f>R2385/((N_6*R$27*0.667)*SQRT(R2395*R2387*R2389))</f>
        <v>1.3529203172928534</v>
      </c>
      <c r="S2394" s="133"/>
      <c r="T2394" s="147"/>
      <c r="U2394" s="143">
        <f>U2385/((N_6*U$27*0.667)*SQRT(U2395*U2387*U2389))</f>
        <v>10.749036253046173</v>
      </c>
      <c r="V2394" s="133"/>
      <c r="W2394" s="155"/>
      <c r="X2394" s="143">
        <f>X2385/((N_6*X$27*0.667)*SQRT(X2395*X2387*X2389))</f>
        <v>30.749713117867682</v>
      </c>
      <c r="Y2394" s="133"/>
      <c r="Z2394" s="155"/>
      <c r="AA2394" s="143">
        <f>AA2385/((N_6*AA$27*0.667)*SQRT(AA2395*AA2387*AA2389))</f>
        <v>118.0522687454425</v>
      </c>
      <c r="AB2394" s="133"/>
      <c r="AC2394" s="155"/>
      <c r="AD2394" s="143">
        <f>AD2385/((N_6*AD$27*0.667)*SQRT(AD2395*AD2387*AD2389))</f>
        <v>167.17951763718358</v>
      </c>
      <c r="AE2394" s="133"/>
      <c r="AF2394" s="155"/>
      <c r="AG2394" s="143">
        <f>AG2385/((N_6*AG$27*0.667)*SQRT(AG2395*AG2387*AG2389))</f>
        <v>64.422843457848074</v>
      </c>
      <c r="AH2394" s="133"/>
      <c r="AI2394" s="155"/>
      <c r="AJ2394" s="143">
        <f>AJ2385/((N_6*AJ$27*0.667)*SQRT(AJ2395*AJ2387*AJ2389))</f>
        <v>45.57449622847863</v>
      </c>
      <c r="AK2394" s="133"/>
      <c r="AL2394" s="155"/>
      <c r="AM2394" s="143">
        <f>AM2385/((N_6*AM$27*0.667)*SQRT(AM2395*AM2387*AM2389))</f>
        <v>40.251777158221508</v>
      </c>
      <c r="AN2394" s="133"/>
      <c r="AO2394" s="155"/>
      <c r="AP2394" s="143">
        <f>AP2385/((N_6*AP$27*0.667)*SQRT(AP2395*AP2387*AP2389))</f>
        <v>35.99977601729158</v>
      </c>
      <c r="AQ2394" s="133"/>
      <c r="AR2394" s="155"/>
      <c r="AS2394" s="143">
        <f>AS2385/((N_6*AS$27*0.667)*SQRT(AS2395*AS2387*AS2389))</f>
        <v>50.861773491881905</v>
      </c>
      <c r="AT2394" s="133"/>
      <c r="AU2394" s="155"/>
    </row>
    <row r="2395" spans="13:47" ht="15.5" x14ac:dyDescent="0.4">
      <c r="M2395" s="27"/>
      <c r="N2395" s="27"/>
      <c r="O2395" s="2" t="s">
        <v>192</v>
      </c>
      <c r="P2395" s="85">
        <v>10</v>
      </c>
      <c r="Q2395" s="2"/>
      <c r="R2395" s="181">
        <f>F_GAMMA*R$29</f>
        <v>0.64002688015162901</v>
      </c>
      <c r="S2395" s="133"/>
      <c r="T2395" s="147"/>
      <c r="U2395" s="138">
        <f>F_GAMMA*U$29</f>
        <v>0.64016782916606918</v>
      </c>
      <c r="V2395" s="133"/>
      <c r="W2395" s="155"/>
      <c r="X2395" s="138">
        <f>F_GAMMA*X$29</f>
        <v>0.6307062319203669</v>
      </c>
      <c r="Y2395" s="133"/>
      <c r="Z2395" s="155"/>
      <c r="AA2395" s="138">
        <f>F_GAMMA*AA$29</f>
        <v>0.62217534213893466</v>
      </c>
      <c r="AB2395" s="133"/>
      <c r="AC2395" s="155"/>
      <c r="AD2395" s="138">
        <f>F_GAMMA*AD$29</f>
        <v>0.60557184969146072</v>
      </c>
      <c r="AE2395" s="133"/>
      <c r="AF2395" s="155"/>
      <c r="AG2395" s="138">
        <f>F_GAMMA*AG$29</f>
        <v>0.57289312142622573</v>
      </c>
      <c r="AH2395" s="133"/>
      <c r="AI2395" s="155"/>
      <c r="AJ2395" s="138">
        <f>F_GAMMA*AJ$29</f>
        <v>0.53590819116049981</v>
      </c>
      <c r="AK2395" s="133"/>
      <c r="AL2395" s="155"/>
      <c r="AM2395" s="138">
        <f>F_GAMMA*AM$29</f>
        <v>0.49048815926850342</v>
      </c>
      <c r="AN2395" s="133"/>
      <c r="AO2395" s="155"/>
      <c r="AP2395" s="138">
        <f>F_GAMMA*AP$29</f>
        <v>0.59352979016280105</v>
      </c>
      <c r="AQ2395" s="133"/>
      <c r="AR2395" s="155"/>
      <c r="AS2395" s="138">
        <f>F_GAMMA*AS$29</f>
        <v>0.39097221161068291</v>
      </c>
      <c r="AT2395" s="133"/>
      <c r="AU2395" s="155"/>
    </row>
    <row r="2396" spans="13:47" x14ac:dyDescent="0.25">
      <c r="M2396" s="27"/>
      <c r="N2396" s="27"/>
      <c r="O2396" s="2" t="s">
        <v>193</v>
      </c>
      <c r="P2396" s="134"/>
      <c r="Q2396" s="2"/>
      <c r="R2396" s="181">
        <f>IF(R2391&lt;R2395,R2393,R2394)</f>
        <v>1.3794737882728438</v>
      </c>
      <c r="S2396" s="133"/>
      <c r="T2396" s="147"/>
      <c r="U2396" s="138">
        <f>IF(U2391&lt;U2395,U2393,U2394)</f>
        <v>11.001105150452913</v>
      </c>
      <c r="V2396" s="133"/>
      <c r="W2396" s="155"/>
      <c r="X2396" s="138">
        <f>IF(X2391&lt;X2395,X2393,X2394)</f>
        <v>32.370915677269615</v>
      </c>
      <c r="Y2396" s="133"/>
      <c r="Z2396" s="155"/>
      <c r="AA2396" s="138" t="e">
        <f>IF(AA2391&lt;AA2395,AA2393,AA2394)</f>
        <v>#NUM!</v>
      </c>
      <c r="AB2396" s="133"/>
      <c r="AC2396" s="155"/>
      <c r="AD2396" s="138">
        <f>IF(AD2391&lt;AD2395,AD2393,AD2394)</f>
        <v>167.17951763718358</v>
      </c>
      <c r="AE2396" s="133"/>
      <c r="AF2396" s="155"/>
      <c r="AG2396" s="138">
        <f>IF(AG2391&lt;AG2395,AG2393,AG2394)</f>
        <v>64.422843457848074</v>
      </c>
      <c r="AH2396" s="133"/>
      <c r="AI2396" s="155"/>
      <c r="AJ2396" s="138">
        <f>IF(AJ2391&lt;AJ2395,AJ2393,AJ2394)</f>
        <v>45.57449622847863</v>
      </c>
      <c r="AK2396" s="133"/>
      <c r="AL2396" s="155"/>
      <c r="AM2396" s="138">
        <f>IF(AM2391&lt;AM2395,AM2393,AM2394)</f>
        <v>40.251777158221508</v>
      </c>
      <c r="AN2396" s="133"/>
      <c r="AO2396" s="155"/>
      <c r="AP2396" s="138">
        <f>IF(AP2391&lt;AP2395,AP2393,AP2394)</f>
        <v>35.99977601729158</v>
      </c>
      <c r="AQ2396" s="133"/>
      <c r="AR2396" s="155"/>
      <c r="AS2396" s="138">
        <f>IF(AS2391&lt;AS2395,AS2393,AS2394)</f>
        <v>50.861773491881905</v>
      </c>
      <c r="AT2396" s="133"/>
      <c r="AU2396" s="155"/>
    </row>
    <row r="2397" spans="13:47" ht="13" x14ac:dyDescent="0.3">
      <c r="M2397" s="28"/>
      <c r="N2397" s="28"/>
      <c r="O2397" s="9" t="s">
        <v>194</v>
      </c>
      <c r="P2397" s="1"/>
      <c r="Q2397" s="1"/>
      <c r="R2397" s="135"/>
      <c r="S2397" s="132">
        <f>IF(R2390&lt;=0,W_max,ABS(R$23-R2396))</f>
        <v>0.62052621172715616</v>
      </c>
      <c r="T2397" s="151">
        <f>R2385</f>
        <v>318.88518480580831</v>
      </c>
      <c r="U2397" s="135"/>
      <c r="V2397" s="132">
        <f>IF(U2390&lt;=0,W_max,ABS(U$23-U2396))</f>
        <v>6.0011051504529132</v>
      </c>
      <c r="W2397" s="151">
        <f>U2385</f>
        <v>2471.8857941135848</v>
      </c>
      <c r="X2397" s="135"/>
      <c r="Y2397" s="132">
        <f>IF(X2390&lt;=0,W_max,ABS(X$23-X2396))</f>
        <v>22.370915677269615</v>
      </c>
      <c r="Z2397" s="151">
        <f>X2385</f>
        <v>6113.2677267005938</v>
      </c>
      <c r="AA2397" s="135"/>
      <c r="AB2397" s="132">
        <f>IF(AA2390&lt;=0,W_max,ABS(AA$23-AA2396))</f>
        <v>7174</v>
      </c>
      <c r="AC2397" s="151">
        <f>AA2385</f>
        <v>11907.08514806496</v>
      </c>
      <c r="AD2397" s="135"/>
      <c r="AE2397" s="132">
        <f>IF(AD2390&lt;=0,W_max,ABS(AD$23-AD2396))</f>
        <v>7174</v>
      </c>
      <c r="AF2397" s="151">
        <f>AD2385</f>
        <v>19582.771139912307</v>
      </c>
      <c r="AG2397" s="135"/>
      <c r="AH2397" s="132">
        <f>IF(AG2390&lt;=0,W_max,ABS(AG$23-AG2396))</f>
        <v>7174</v>
      </c>
      <c r="AI2397" s="151">
        <f>AG2385</f>
        <v>27466.344126266697</v>
      </c>
      <c r="AJ2397" s="135"/>
      <c r="AK2397" s="132">
        <f>IF(AJ2390&lt;=0,W_max,ABS(AJ$23-AJ2396))</f>
        <v>7174</v>
      </c>
      <c r="AL2397" s="151">
        <f>AJ2385</f>
        <v>34874.968805621851</v>
      </c>
      <c r="AM2397" s="135"/>
      <c r="AN2397" s="132">
        <f>IF(AM2390&lt;=0,W_max,ABS(AM$23-AM2396))</f>
        <v>7174</v>
      </c>
      <c r="AO2397" s="151">
        <f>AM2385</f>
        <v>40893.643663852337</v>
      </c>
      <c r="AP2397" s="135"/>
      <c r="AQ2397" s="132">
        <f>IF(AP2390&lt;=0,W_max,ABS(AP$23-AP2396))</f>
        <v>7174</v>
      </c>
      <c r="AR2397" s="151">
        <f>AP2385</f>
        <v>45623.743815570742</v>
      </c>
      <c r="AS2397" s="135"/>
      <c r="AT2397" s="132">
        <f>IF(AS2390&lt;=0,W_max,ABS(AS$23-AS2396))</f>
        <v>7174</v>
      </c>
      <c r="AU2397" s="151">
        <f>AS2385</f>
        <v>50900.966831399783</v>
      </c>
    </row>
    <row r="2398" spans="13:47" ht="13" x14ac:dyDescent="0.25">
      <c r="M2398" s="12"/>
      <c r="N2398" s="12"/>
      <c r="O2398" s="12"/>
      <c r="P2398" s="12"/>
      <c r="Q2398" s="12"/>
      <c r="R2398" s="182"/>
      <c r="S2398" s="22"/>
      <c r="T2398" s="152"/>
      <c r="U2398" s="157"/>
      <c r="V2398" s="1"/>
      <c r="W2398" s="147"/>
      <c r="X2398" s="157"/>
      <c r="Y2398" s="1"/>
      <c r="Z2398" s="147"/>
      <c r="AA2398" s="157"/>
      <c r="AB2398" s="1"/>
      <c r="AC2398" s="147"/>
      <c r="AD2398" s="157"/>
      <c r="AE2398" s="1"/>
      <c r="AF2398" s="147"/>
      <c r="AG2398" s="157"/>
      <c r="AH2398" s="1"/>
      <c r="AI2398" s="147"/>
      <c r="AJ2398" s="157"/>
      <c r="AK2398" s="1"/>
      <c r="AL2398" s="147"/>
      <c r="AM2398" s="157"/>
      <c r="AN2398" s="1"/>
      <c r="AO2398" s="147"/>
      <c r="AP2398" s="157"/>
      <c r="AQ2398" s="1"/>
      <c r="AR2398" s="147"/>
      <c r="AS2398" s="157"/>
      <c r="AT2398" s="1"/>
      <c r="AU2398" s="147"/>
    </row>
    <row r="2399" spans="13:47" ht="14" x14ac:dyDescent="0.3">
      <c r="M2399" s="23"/>
      <c r="N2399" s="23"/>
      <c r="O2399" s="23" t="s">
        <v>238</v>
      </c>
      <c r="P2399" s="20"/>
      <c r="Q2399" s="20"/>
      <c r="R2399" s="18">
        <f>R2385*1.02</f>
        <v>325.26288850192446</v>
      </c>
      <c r="S2399" s="128" t="s">
        <v>185</v>
      </c>
      <c r="T2399" s="153" t="s">
        <v>186</v>
      </c>
      <c r="U2399" s="143">
        <f>U2385*1.01</f>
        <v>2496.6046520547206</v>
      </c>
      <c r="V2399" s="128" t="s">
        <v>185</v>
      </c>
      <c r="W2399" s="153" t="s">
        <v>186</v>
      </c>
      <c r="X2399" s="143">
        <f>X2385*1.01</f>
        <v>6174.4004039676001</v>
      </c>
      <c r="Y2399" s="128" t="s">
        <v>185</v>
      </c>
      <c r="Z2399" s="153" t="s">
        <v>186</v>
      </c>
      <c r="AA2399" s="143">
        <f>AA2385*1.01</f>
        <v>12026.15599954561</v>
      </c>
      <c r="AB2399" s="128" t="s">
        <v>185</v>
      </c>
      <c r="AC2399" s="153" t="s">
        <v>186</v>
      </c>
      <c r="AD2399" s="143">
        <f>AD2385*1.01</f>
        <v>19778.598851311432</v>
      </c>
      <c r="AE2399" s="128" t="s">
        <v>185</v>
      </c>
      <c r="AF2399" s="153" t="s">
        <v>186</v>
      </c>
      <c r="AG2399" s="143">
        <f>AG2385*1.01</f>
        <v>27741.007567529363</v>
      </c>
      <c r="AH2399" s="128" t="s">
        <v>185</v>
      </c>
      <c r="AI2399" s="153" t="s">
        <v>186</v>
      </c>
      <c r="AJ2399" s="143">
        <f>AJ2385*1.01</f>
        <v>35223.718493678069</v>
      </c>
      <c r="AK2399" s="128" t="s">
        <v>185</v>
      </c>
      <c r="AL2399" s="153" t="s">
        <v>186</v>
      </c>
      <c r="AM2399" s="143">
        <f>AM2385*1.01</f>
        <v>41302.580100490864</v>
      </c>
      <c r="AN2399" s="128" t="s">
        <v>185</v>
      </c>
      <c r="AO2399" s="153" t="s">
        <v>186</v>
      </c>
      <c r="AP2399" s="143">
        <f>AP2385*1.01</f>
        <v>46079.981253726452</v>
      </c>
      <c r="AQ2399" s="128" t="s">
        <v>185</v>
      </c>
      <c r="AR2399" s="153" t="s">
        <v>186</v>
      </c>
      <c r="AS2399" s="143">
        <f>AS2385*1.01</f>
        <v>51409.976499713783</v>
      </c>
      <c r="AT2399" s="128" t="s">
        <v>185</v>
      </c>
      <c r="AU2399" s="153" t="s">
        <v>186</v>
      </c>
    </row>
    <row r="2400" spans="13:47" ht="14" x14ac:dyDescent="0.3">
      <c r="M2400" s="12"/>
      <c r="N2400" s="12"/>
      <c r="O2400" s="20"/>
      <c r="P2400" s="20"/>
      <c r="Q2400" s="23"/>
      <c r="R2400" s="139"/>
      <c r="S2400" s="130" t="s">
        <v>228</v>
      </c>
      <c r="T2400" s="154" t="s">
        <v>187</v>
      </c>
      <c r="U2400" s="144"/>
      <c r="V2400" s="130" t="s">
        <v>228</v>
      </c>
      <c r="W2400" s="154" t="s">
        <v>187</v>
      </c>
      <c r="X2400" s="144"/>
      <c r="Y2400" s="130" t="s">
        <v>228</v>
      </c>
      <c r="Z2400" s="154" t="s">
        <v>187</v>
      </c>
      <c r="AA2400" s="144"/>
      <c r="AB2400" s="130" t="s">
        <v>228</v>
      </c>
      <c r="AC2400" s="154" t="s">
        <v>187</v>
      </c>
      <c r="AD2400" s="144"/>
      <c r="AE2400" s="130" t="s">
        <v>228</v>
      </c>
      <c r="AF2400" s="154" t="s">
        <v>187</v>
      </c>
      <c r="AG2400" s="144"/>
      <c r="AH2400" s="130" t="s">
        <v>228</v>
      </c>
      <c r="AI2400" s="154" t="s">
        <v>187</v>
      </c>
      <c r="AJ2400" s="144"/>
      <c r="AK2400" s="130" t="s">
        <v>228</v>
      </c>
      <c r="AL2400" s="154" t="s">
        <v>187</v>
      </c>
      <c r="AM2400" s="144"/>
      <c r="AN2400" s="130" t="s">
        <v>228</v>
      </c>
      <c r="AO2400" s="154" t="s">
        <v>187</v>
      </c>
      <c r="AP2400" s="144"/>
      <c r="AQ2400" s="130" t="s">
        <v>228</v>
      </c>
      <c r="AR2400" s="154" t="s">
        <v>187</v>
      </c>
      <c r="AS2400" s="144"/>
      <c r="AT2400" s="130" t="s">
        <v>228</v>
      </c>
      <c r="AU2400" s="154" t="s">
        <v>187</v>
      </c>
    </row>
    <row r="2401" spans="13:47" x14ac:dyDescent="0.25">
      <c r="M2401" s="20"/>
      <c r="N2401" s="20"/>
      <c r="O2401" s="7" t="s">
        <v>188</v>
      </c>
      <c r="P2401" s="7"/>
      <c r="Q2401" s="7"/>
      <c r="R2401" s="181">
        <f>P_1_minW-(R2399^2*R_up)+dpup_minQ</f>
        <v>100.48059935074929</v>
      </c>
      <c r="S2401" s="132"/>
      <c r="T2401" s="145"/>
      <c r="U2401" s="138">
        <f>P_1_minW-(U2399^2*R_up)+dpup_minQ</f>
        <v>98.03729033729239</v>
      </c>
      <c r="V2401" s="132"/>
      <c r="W2401" s="145"/>
      <c r="X2401" s="138">
        <f>P_1_minW-(X2399^2*R_up)+dpup_minQ</f>
        <v>85.32070137640612</v>
      </c>
      <c r="Y2401" s="132"/>
      <c r="Z2401" s="145"/>
      <c r="AA2401" s="138">
        <f>P_1_minW-(AA2399^2*R_up)+dpup_minQ</f>
        <v>42.850489124097152</v>
      </c>
      <c r="AB2401" s="132"/>
      <c r="AC2401" s="145"/>
      <c r="AD2401" s="138">
        <f>P_1_minW-(AD2399^2*R_up)+dpup_minQ</f>
        <v>-55.470041420427904</v>
      </c>
      <c r="AE2401" s="132"/>
      <c r="AF2401" s="145"/>
      <c r="AG2401" s="138">
        <f>P_1_minW-(AG2399^2*R_up)+dpup_minQ</f>
        <v>-206.34976818747114</v>
      </c>
      <c r="AH2401" s="132"/>
      <c r="AI2401" s="145"/>
      <c r="AJ2401" s="138">
        <f>P_1_minW-(AJ2399^2*R_up)+dpup_minQ</f>
        <v>-394.2251488371092</v>
      </c>
      <c r="AK2401" s="132"/>
      <c r="AL2401" s="145"/>
      <c r="AM2401" s="138">
        <f>P_1_minW-(AM2399^2*R_up)+dpup_minQ</f>
        <v>-579.7262755030232</v>
      </c>
      <c r="AN2401" s="132"/>
      <c r="AO2401" s="145"/>
      <c r="AP2401" s="138">
        <f>P_1_minW-(AP2399^2*R_up)+dpup_minQ</f>
        <v>-746.19400961378153</v>
      </c>
      <c r="AQ2401" s="132"/>
      <c r="AR2401" s="145"/>
      <c r="AS2401" s="138">
        <f>P_1_minW-(AS2399^2*R_up)+dpup_minQ</f>
        <v>-953.39903839824194</v>
      </c>
      <c r="AT2401" s="132"/>
      <c r="AU2401" s="145"/>
    </row>
    <row r="2402" spans="13:47" x14ac:dyDescent="0.25">
      <c r="M2402" s="20"/>
      <c r="N2402" s="20"/>
      <c r="O2402" s="7" t="s">
        <v>189</v>
      </c>
      <c r="P2402" s="1"/>
      <c r="Q2402" s="7"/>
      <c r="R2402" s="181">
        <f>P_2_minW+(R2399^2*R_dn)-dpdn_minQ</f>
        <v>50</v>
      </c>
      <c r="S2402" s="132"/>
      <c r="T2402" s="146"/>
      <c r="U2402" s="138">
        <f>P_2_minW+(U2399^2*R_dn)-dpdn_minQ</f>
        <v>50</v>
      </c>
      <c r="V2402" s="132"/>
      <c r="W2402" s="146"/>
      <c r="X2402" s="138">
        <f>P_2_minW+(X2399^2*R_dn)-dpdn_minQ</f>
        <v>50</v>
      </c>
      <c r="Y2402" s="132"/>
      <c r="Z2402" s="146"/>
      <c r="AA2402" s="138">
        <f>P_2_minW+(AA2399^2*R_dn)-dpdn_minQ</f>
        <v>50</v>
      </c>
      <c r="AB2402" s="132"/>
      <c r="AC2402" s="146"/>
      <c r="AD2402" s="138">
        <f>P_2_minW+(AD2399^2*R_dn)-dpdn_minQ</f>
        <v>50</v>
      </c>
      <c r="AE2402" s="132"/>
      <c r="AF2402" s="146"/>
      <c r="AG2402" s="138">
        <f>P_2_minW+(AG2399^2*R_dn)-dpdn_minQ</f>
        <v>50</v>
      </c>
      <c r="AH2402" s="132"/>
      <c r="AI2402" s="146"/>
      <c r="AJ2402" s="138">
        <f>P_2_minW+(AJ2399^2*R_dn)-dpdn_minQ</f>
        <v>50</v>
      </c>
      <c r="AK2402" s="132"/>
      <c r="AL2402" s="146"/>
      <c r="AM2402" s="138">
        <f>P_2_minW+(AM2399^2*R_dn)-dpdn_minQ</f>
        <v>50</v>
      </c>
      <c r="AN2402" s="132"/>
      <c r="AO2402" s="146"/>
      <c r="AP2402" s="138">
        <f>P_2_minW+(AP2399^2*R_dn)-dpdn_minQ</f>
        <v>50</v>
      </c>
      <c r="AQ2402" s="132"/>
      <c r="AR2402" s="146"/>
      <c r="AS2402" s="138">
        <f>P_2_minW+(AS2399^2*R_dn)-dpdn_minQ</f>
        <v>50</v>
      </c>
      <c r="AT2402" s="132"/>
      <c r="AU2402" s="146"/>
    </row>
    <row r="2403" spans="13:47" x14ac:dyDescent="0.25">
      <c r="M2403" s="20"/>
      <c r="N2403" s="20"/>
      <c r="O2403" s="7" t="s">
        <v>234</v>
      </c>
      <c r="P2403" s="1"/>
      <c r="Q2403" s="7"/>
      <c r="R2403" s="179">
        <f>'Valve Sizing'!G$8*R2401/P_1_maxW</f>
        <v>0.484700521799937</v>
      </c>
      <c r="S2403" s="132"/>
      <c r="T2403" s="146"/>
      <c r="U2403" s="143">
        <f>'Valve Sizing'!$G$8*U2401/P_1_maxW</f>
        <v>0.47291443412337875</v>
      </c>
      <c r="V2403" s="132"/>
      <c r="W2403" s="146"/>
      <c r="X2403" s="143">
        <f>'Valve Sizing'!$G$8*X2401/P_1_maxW</f>
        <v>0.41157187302518078</v>
      </c>
      <c r="Y2403" s="132"/>
      <c r="Z2403" s="146"/>
      <c r="AA2403" s="143">
        <f>'Valve Sizing'!$G$8*AA2401/P_1_maxW</f>
        <v>0.20670313047528147</v>
      </c>
      <c r="AB2403" s="132"/>
      <c r="AC2403" s="146"/>
      <c r="AD2403" s="143">
        <f>'Valve Sizing'!$G$8*AD2401/P_1_maxW</f>
        <v>-0.26757760397997699</v>
      </c>
      <c r="AE2403" s="132"/>
      <c r="AF2403" s="146"/>
      <c r="AG2403" s="143">
        <f>'Valve Sizing'!$G$8*AG2401/P_1_maxW</f>
        <v>-0.99539454342454081</v>
      </c>
      <c r="AH2403" s="132"/>
      <c r="AI2403" s="146"/>
      <c r="AJ2403" s="143">
        <f>'Valve Sizing'!$G$8*AJ2401/P_1_maxW</f>
        <v>-1.9016719305285448</v>
      </c>
      <c r="AK2403" s="132"/>
      <c r="AL2403" s="146"/>
      <c r="AM2403" s="143">
        <f>'Valve Sizing'!$G$8*AM2401/P_1_maxW</f>
        <v>-2.7964963391249316</v>
      </c>
      <c r="AN2403" s="132"/>
      <c r="AO2403" s="146"/>
      <c r="AP2403" s="143">
        <f>'Valve Sizing'!$G$8*AP2401/P_1_maxW</f>
        <v>-3.5995070507219267</v>
      </c>
      <c r="AQ2403" s="132"/>
      <c r="AR2403" s="146"/>
      <c r="AS2403" s="143">
        <f>'Valve Sizing'!$G$8*AS2401/P_1_maxW</f>
        <v>-4.5990272189965795</v>
      </c>
      <c r="AT2403" s="132"/>
      <c r="AU2403" s="146"/>
    </row>
    <row r="2404" spans="13:47" x14ac:dyDescent="0.25">
      <c r="M2404" s="20"/>
      <c r="N2404" s="20"/>
      <c r="O2404" s="7" t="s">
        <v>190</v>
      </c>
      <c r="P2404" s="1"/>
      <c r="Q2404" s="7"/>
      <c r="R2404" s="181">
        <f>R2401-R2402</f>
        <v>50.480599350749287</v>
      </c>
      <c r="S2404" s="132"/>
      <c r="T2404" s="146"/>
      <c r="U2404" s="138">
        <f>U2401-U2402</f>
        <v>48.03729033729239</v>
      </c>
      <c r="V2404" s="132"/>
      <c r="W2404" s="146"/>
      <c r="X2404" s="138">
        <f>X2401-X2402</f>
        <v>35.32070137640612</v>
      </c>
      <c r="Y2404" s="132"/>
      <c r="Z2404" s="146"/>
      <c r="AA2404" s="138">
        <f>AA2401-AA2402</f>
        <v>-7.1495108759028483</v>
      </c>
      <c r="AB2404" s="132"/>
      <c r="AC2404" s="146"/>
      <c r="AD2404" s="138">
        <f>AD2401-AD2402</f>
        <v>-105.4700414204279</v>
      </c>
      <c r="AE2404" s="132"/>
      <c r="AF2404" s="146"/>
      <c r="AG2404" s="138">
        <f>AG2401-AG2402</f>
        <v>-256.34976818747111</v>
      </c>
      <c r="AH2404" s="132"/>
      <c r="AI2404" s="146"/>
      <c r="AJ2404" s="138">
        <f>AJ2401-AJ2402</f>
        <v>-444.2251488371092</v>
      </c>
      <c r="AK2404" s="132"/>
      <c r="AL2404" s="146"/>
      <c r="AM2404" s="138">
        <f>AM2401-AM2402</f>
        <v>-629.7262755030232</v>
      </c>
      <c r="AN2404" s="132"/>
      <c r="AO2404" s="146"/>
      <c r="AP2404" s="138">
        <f>AP2401-AP2402</f>
        <v>-796.19400961378153</v>
      </c>
      <c r="AQ2404" s="132"/>
      <c r="AR2404" s="146"/>
      <c r="AS2404" s="138">
        <f>AS2401-AS2402</f>
        <v>-1003.3990383982419</v>
      </c>
      <c r="AT2404" s="132"/>
      <c r="AU2404" s="146"/>
    </row>
    <row r="2405" spans="13:47" ht="14.5" x14ac:dyDescent="0.35">
      <c r="M2405" s="27"/>
      <c r="N2405" s="27"/>
      <c r="O2405" s="2" t="s">
        <v>191</v>
      </c>
      <c r="P2405" s="10"/>
      <c r="Q2405" s="2"/>
      <c r="R2405" s="181">
        <f>R2404/R2401</f>
        <v>0.50239150320487069</v>
      </c>
      <c r="S2405" s="132"/>
      <c r="T2405" s="146"/>
      <c r="U2405" s="138">
        <f>U2404/U2401</f>
        <v>0.4899899841378979</v>
      </c>
      <c r="V2405" s="132"/>
      <c r="W2405" s="146"/>
      <c r="X2405" s="138">
        <f>X2404/X2401</f>
        <v>0.41397575039360157</v>
      </c>
      <c r="Y2405" s="132"/>
      <c r="Z2405" s="146"/>
      <c r="AA2405" s="138">
        <f>AA2404/AA2401</f>
        <v>-0.1668478241916331</v>
      </c>
      <c r="AB2405" s="132"/>
      <c r="AC2405" s="146"/>
      <c r="AD2405" s="138">
        <f>AD2404/AD2401</f>
        <v>1.9013874646501805</v>
      </c>
      <c r="AE2405" s="132"/>
      <c r="AF2405" s="146"/>
      <c r="AG2405" s="138">
        <f>AG2404/AG2401</f>
        <v>1.2423070325650882</v>
      </c>
      <c r="AH2405" s="132"/>
      <c r="AI2405" s="146"/>
      <c r="AJ2405" s="138">
        <f>AJ2404/AJ2401</f>
        <v>1.1268310764736615</v>
      </c>
      <c r="AK2405" s="132"/>
      <c r="AL2405" s="146"/>
      <c r="AM2405" s="138">
        <f>AM2404/AM2401</f>
        <v>1.0862476001395924</v>
      </c>
      <c r="AN2405" s="132"/>
      <c r="AO2405" s="146"/>
      <c r="AP2405" s="138">
        <f>AP2404/AP2401</f>
        <v>1.0670067024873051</v>
      </c>
      <c r="AQ2405" s="132"/>
      <c r="AR2405" s="146"/>
      <c r="AS2405" s="138">
        <f>AS2404/AS2401</f>
        <v>1.0524439379380983</v>
      </c>
      <c r="AT2405" s="132"/>
      <c r="AU2405" s="146"/>
    </row>
    <row r="2406" spans="13:47" x14ac:dyDescent="0.25">
      <c r="M2406" s="27"/>
      <c r="N2406" s="27"/>
      <c r="O2406" s="2" t="s">
        <v>26</v>
      </c>
      <c r="P2406" s="7">
        <v>12</v>
      </c>
      <c r="Q2406" s="2"/>
      <c r="R2406" s="181">
        <f>1-R2405/(3*F_GAMMA*R$29)</f>
        <v>0.73834874816203078</v>
      </c>
      <c r="S2406" s="133"/>
      <c r="T2406" s="146"/>
      <c r="U2406" s="138">
        <f>1-U2405/(3*F_GAMMA*U$29)</f>
        <v>0.74486378841404988</v>
      </c>
      <c r="V2406" s="133"/>
      <c r="W2406" s="146"/>
      <c r="X2406" s="138">
        <f>1-X2405/(3*F_GAMMA*X$29)</f>
        <v>0.78121047515622122</v>
      </c>
      <c r="Y2406" s="133"/>
      <c r="Z2406" s="146"/>
      <c r="AA2406" s="138">
        <f>1-AA2405/(3*F_GAMMA*AA$29)</f>
        <v>1.0893894978319338</v>
      </c>
      <c r="AB2406" s="133"/>
      <c r="AC2406" s="146"/>
      <c r="AD2406" s="138">
        <f>1-AD2405/(3*F_GAMMA*AD$29)</f>
        <v>-4.6607139801791542E-2</v>
      </c>
      <c r="AE2406" s="133"/>
      <c r="AF2406" s="146"/>
      <c r="AG2406" s="138">
        <f>1-AG2405/(3*F_GAMMA*AG$29)</f>
        <v>0.27717347494511901</v>
      </c>
      <c r="AH2406" s="133"/>
      <c r="AI2406" s="146"/>
      <c r="AJ2406" s="138">
        <f>1-AJ2405/(3*F_GAMMA*AJ$29)</f>
        <v>0.29911435387621854</v>
      </c>
      <c r="AK2406" s="133"/>
      <c r="AL2406" s="146"/>
      <c r="AM2406" s="138">
        <f>1-AM2405/(3*F_GAMMA*AM$29)</f>
        <v>0.26179148968680277</v>
      </c>
      <c r="AN2406" s="133"/>
      <c r="AO2406" s="146"/>
      <c r="AP2406" s="138">
        <f>1-AP2405/(3*F_GAMMA*AP$29)</f>
        <v>0.40075644605548066</v>
      </c>
      <c r="AQ2406" s="133"/>
      <c r="AR2406" s="146"/>
      <c r="AS2406" s="138">
        <f>1-AS2405/(3*F_GAMMA*AS$29)</f>
        <v>0.10271207118756664</v>
      </c>
      <c r="AT2406" s="133"/>
      <c r="AU2406" s="146"/>
    </row>
    <row r="2407" spans="13:47" x14ac:dyDescent="0.25">
      <c r="M2407" s="27"/>
      <c r="N2407" s="27"/>
      <c r="O2407" s="2" t="s">
        <v>71</v>
      </c>
      <c r="P2407" s="85">
        <v>5</v>
      </c>
      <c r="Q2407" s="2"/>
      <c r="R2407" s="179">
        <f>R2399/((N_6*R$27*R2406)*SQRT(R2405*R2401*R2403))</f>
        <v>1.4070895128925196</v>
      </c>
      <c r="S2407" s="133"/>
      <c r="T2407" s="146"/>
      <c r="U2407" s="143">
        <f>U2399/((N_6*U$27*U2406)*SQRT(U2405*U2401*U2403))</f>
        <v>11.117575587547217</v>
      </c>
      <c r="V2407" s="133"/>
      <c r="W2407" s="146"/>
      <c r="X2407" s="143">
        <f>X2399/((N_6*X$27*X2406)*SQRT(X2405*X2401*X2403))</f>
        <v>32.844931827836689</v>
      </c>
      <c r="Y2407" s="133"/>
      <c r="Z2407" s="146"/>
      <c r="AA2407" s="143" t="e">
        <f>AA2399/((N_6*AA$27*AA2406)*SQRT(AA2405*AA2401*AA2403))</f>
        <v>#NUM!</v>
      </c>
      <c r="AB2407" s="133"/>
      <c r="AC2407" s="146"/>
      <c r="AD2407" s="143">
        <f>AD2399/((N_6*AD$27*AD2406)*SQRT(AD2405*AD2401*AD2403))</f>
        <v>-1288.1547234963894</v>
      </c>
      <c r="AE2407" s="133"/>
      <c r="AF2407" s="146"/>
      <c r="AG2407" s="143">
        <f>AG2399/((N_6*AG$27*AG2406)*SQRT(AG2405*AG2401*AG2403))</f>
        <v>103.21470895601998</v>
      </c>
      <c r="AH2407" s="133"/>
      <c r="AI2407" s="146"/>
      <c r="AJ2407" s="143">
        <f>AJ2399/((N_6*AJ$27*AJ2406)*SQRT(AJ2405*AJ2401*AJ2403))</f>
        <v>69.035627156538681</v>
      </c>
      <c r="AK2407" s="133"/>
      <c r="AL2407" s="146"/>
      <c r="AM2407" s="143">
        <f>AM2399/((N_6*AM$27*AM2406)*SQRT(AM2405*AM2401*AM2403))</f>
        <v>67.993525914920042</v>
      </c>
      <c r="AN2407" s="133"/>
      <c r="AO2407" s="146"/>
      <c r="AP2407" s="143">
        <f>AP2399/((N_6*AP$27*AP2406)*SQRT(AP2405*AP2401*AP2403))</f>
        <v>44.124914086581953</v>
      </c>
      <c r="AQ2407" s="133"/>
      <c r="AR2407" s="146"/>
      <c r="AS2407" s="143">
        <f>AS2399/((N_6*AS$27*AS2406)*SQRT(AS2405*AS2401*AS2403))</f>
        <v>198.89623843370376</v>
      </c>
      <c r="AT2407" s="133"/>
      <c r="AU2407" s="146"/>
    </row>
    <row r="2408" spans="13:47" x14ac:dyDescent="0.25">
      <c r="M2408" s="27"/>
      <c r="N2408" s="27"/>
      <c r="O2408" s="2" t="s">
        <v>73</v>
      </c>
      <c r="P2408" s="85">
        <v>5</v>
      </c>
      <c r="Q2408" s="2"/>
      <c r="R2408" s="179">
        <f>R2399/((N_6*R$27*0.667)*SQRT(R2409*R2401*R2403))</f>
        <v>1.3800012221515288</v>
      </c>
      <c r="S2408" s="133"/>
      <c r="T2408" s="155"/>
      <c r="U2408" s="143">
        <f>U2399/((N_6*U$27*0.667)*SQRT(U2409*U2401*U2403))</f>
        <v>10.861949945814917</v>
      </c>
      <c r="V2408" s="133"/>
      <c r="W2408" s="155"/>
      <c r="X2408" s="143">
        <f>X2399/((N_6*X$27*0.667)*SQRT(X2409*X2401*X2403))</f>
        <v>31.166244891020398</v>
      </c>
      <c r="Y2408" s="133"/>
      <c r="Z2408" s="155"/>
      <c r="AA2408" s="143">
        <f>AA2399/((N_6*AA$27*0.667)*SQRT(AA2409*AA2401*AA2403))</f>
        <v>122.39478142850218</v>
      </c>
      <c r="AB2408" s="133"/>
      <c r="AC2408" s="155"/>
      <c r="AD2408" s="143">
        <f>AD2399/((N_6*AD$27*0.667)*SQRT(AD2409*AD2401*AD2403))</f>
        <v>159.49501809920724</v>
      </c>
      <c r="AE2408" s="133"/>
      <c r="AF2408" s="155"/>
      <c r="AG2408" s="143">
        <f>AG2399/((N_6*AG$27*0.667)*SQRT(AG2409*AG2401*AG2403))</f>
        <v>63.160432168956739</v>
      </c>
      <c r="AH2408" s="133"/>
      <c r="AI2408" s="155"/>
      <c r="AJ2408" s="143">
        <f>AJ2399/((N_6*AJ$27*0.667)*SQRT(AJ2409*AJ2401*AJ2403))</f>
        <v>44.891994948356185</v>
      </c>
      <c r="AK2408" s="133"/>
      <c r="AL2408" s="155"/>
      <c r="AM2408" s="143">
        <f>AM2399/((N_6*AM$27*0.667)*SQRT(AM2409*AM2401*AM2403))</f>
        <v>39.714345020512013</v>
      </c>
      <c r="AN2408" s="133"/>
      <c r="AO2408" s="155"/>
      <c r="AP2408" s="143">
        <f>AP2399/((N_6*AP$27*0.667)*SQRT(AP2409*AP2401*AP2403))</f>
        <v>35.54682927392593</v>
      </c>
      <c r="AQ2408" s="133"/>
      <c r="AR2408" s="155"/>
      <c r="AS2408" s="143">
        <f>AS2399/((N_6*AS$27*0.667)*SQRT(AS2409*AS2401*AS2403))</f>
        <v>50.251469075339458</v>
      </c>
      <c r="AT2408" s="133"/>
      <c r="AU2408" s="155"/>
    </row>
    <row r="2409" spans="13:47" ht="15.5" x14ac:dyDescent="0.4">
      <c r="M2409" s="27"/>
      <c r="N2409" s="27"/>
      <c r="O2409" s="2" t="s">
        <v>192</v>
      </c>
      <c r="P2409" s="85">
        <v>10</v>
      </c>
      <c r="Q2409" s="2"/>
      <c r="R2409" s="181">
        <f>F_GAMMA*R$29</f>
        <v>0.64002688015162901</v>
      </c>
      <c r="S2409" s="133"/>
      <c r="T2409" s="155"/>
      <c r="U2409" s="138">
        <f>F_GAMMA*U$29</f>
        <v>0.64016782916606918</v>
      </c>
      <c r="V2409" s="133"/>
      <c r="W2409" s="155"/>
      <c r="X2409" s="138">
        <f>F_GAMMA*X$29</f>
        <v>0.6307062319203669</v>
      </c>
      <c r="Y2409" s="133"/>
      <c r="Z2409" s="155"/>
      <c r="AA2409" s="138">
        <f>F_GAMMA*AA$29</f>
        <v>0.62217534213893466</v>
      </c>
      <c r="AB2409" s="133"/>
      <c r="AC2409" s="155"/>
      <c r="AD2409" s="138">
        <f>F_GAMMA*AD$29</f>
        <v>0.60557184969146072</v>
      </c>
      <c r="AE2409" s="133"/>
      <c r="AF2409" s="155"/>
      <c r="AG2409" s="138">
        <f>F_GAMMA*AG$29</f>
        <v>0.57289312142622573</v>
      </c>
      <c r="AH2409" s="133"/>
      <c r="AI2409" s="155"/>
      <c r="AJ2409" s="138">
        <f>F_GAMMA*AJ$29</f>
        <v>0.53590819116049981</v>
      </c>
      <c r="AK2409" s="133"/>
      <c r="AL2409" s="155"/>
      <c r="AM2409" s="138">
        <f>F_GAMMA*AM$29</f>
        <v>0.49048815926850342</v>
      </c>
      <c r="AN2409" s="133"/>
      <c r="AO2409" s="155"/>
      <c r="AP2409" s="138">
        <f>F_GAMMA*AP$29</f>
        <v>0.59352979016280105</v>
      </c>
      <c r="AQ2409" s="133"/>
      <c r="AR2409" s="155"/>
      <c r="AS2409" s="138">
        <f>F_GAMMA*AS$29</f>
        <v>0.39097221161068291</v>
      </c>
      <c r="AT2409" s="133"/>
      <c r="AU2409" s="155"/>
    </row>
    <row r="2410" spans="13:47" x14ac:dyDescent="0.25">
      <c r="M2410" s="27"/>
      <c r="N2410" s="27"/>
      <c r="O2410" s="2" t="s">
        <v>193</v>
      </c>
      <c r="P2410" s="134"/>
      <c r="Q2410" s="2"/>
      <c r="R2410" s="181">
        <f>IF(R2405&lt;R2409,R2407,R2408)</f>
        <v>1.4070895128925196</v>
      </c>
      <c r="S2410" s="133"/>
      <c r="T2410" s="155"/>
      <c r="U2410" s="138">
        <f>IF(U2405&lt;U2409,U2407,U2408)</f>
        <v>11.117575587547217</v>
      </c>
      <c r="V2410" s="133"/>
      <c r="W2410" s="155"/>
      <c r="X2410" s="138">
        <f>IF(X2405&lt;X2409,X2407,X2408)</f>
        <v>32.844931827836689</v>
      </c>
      <c r="Y2410" s="133"/>
      <c r="Z2410" s="155"/>
      <c r="AA2410" s="138" t="e">
        <f>IF(AA2405&lt;AA2409,AA2407,AA2408)</f>
        <v>#NUM!</v>
      </c>
      <c r="AB2410" s="133"/>
      <c r="AC2410" s="155"/>
      <c r="AD2410" s="138">
        <f>IF(AD2405&lt;AD2409,AD2407,AD2408)</f>
        <v>159.49501809920724</v>
      </c>
      <c r="AE2410" s="133"/>
      <c r="AF2410" s="155"/>
      <c r="AG2410" s="138">
        <f>IF(AG2405&lt;AG2409,AG2407,AG2408)</f>
        <v>63.160432168956739</v>
      </c>
      <c r="AH2410" s="133"/>
      <c r="AI2410" s="155"/>
      <c r="AJ2410" s="138">
        <f>IF(AJ2405&lt;AJ2409,AJ2407,AJ2408)</f>
        <v>44.891994948356185</v>
      </c>
      <c r="AK2410" s="133"/>
      <c r="AL2410" s="155"/>
      <c r="AM2410" s="138">
        <f>IF(AM2405&lt;AM2409,AM2407,AM2408)</f>
        <v>39.714345020512013</v>
      </c>
      <c r="AN2410" s="133"/>
      <c r="AO2410" s="155"/>
      <c r="AP2410" s="138">
        <f>IF(AP2405&lt;AP2409,AP2407,AP2408)</f>
        <v>35.54682927392593</v>
      </c>
      <c r="AQ2410" s="133"/>
      <c r="AR2410" s="155"/>
      <c r="AS2410" s="138">
        <f>IF(AS2405&lt;AS2409,AS2407,AS2408)</f>
        <v>50.251469075339458</v>
      </c>
      <c r="AT2410" s="133"/>
      <c r="AU2410" s="155"/>
    </row>
    <row r="2411" spans="13:47" ht="13" x14ac:dyDescent="0.3">
      <c r="M2411" s="28"/>
      <c r="N2411" s="28"/>
      <c r="O2411" s="9" t="s">
        <v>194</v>
      </c>
      <c r="P2411" s="1"/>
      <c r="Q2411" s="1"/>
      <c r="R2411" s="135"/>
      <c r="S2411" s="132">
        <f>IF(R2404&lt;=0,W_max,ABS(R$23-R2410))</f>
        <v>0.5929104871074804</v>
      </c>
      <c r="T2411" s="151">
        <f>R2399</f>
        <v>325.26288850192446</v>
      </c>
      <c r="U2411" s="135"/>
      <c r="V2411" s="132">
        <f>IF(U2404&lt;=0,W_max,ABS(U$23-U2410))</f>
        <v>6.1175755875472166</v>
      </c>
      <c r="W2411" s="151">
        <f>U2399</f>
        <v>2496.6046520547206</v>
      </c>
      <c r="X2411" s="135"/>
      <c r="Y2411" s="132">
        <f>IF(X2404&lt;=0,W_max,ABS(X$23-X2410))</f>
        <v>22.844931827836689</v>
      </c>
      <c r="Z2411" s="151">
        <f>X2399</f>
        <v>6174.4004039676001</v>
      </c>
      <c r="AA2411" s="135"/>
      <c r="AB2411" s="132">
        <f>IF(AA2404&lt;=0,W_max,ABS(AA$23-AA2410))</f>
        <v>7174</v>
      </c>
      <c r="AC2411" s="151">
        <f>AA2399</f>
        <v>12026.15599954561</v>
      </c>
      <c r="AD2411" s="135"/>
      <c r="AE2411" s="132">
        <f>IF(AD2404&lt;=0,W_max,ABS(AD$23-AD2410))</f>
        <v>7174</v>
      </c>
      <c r="AF2411" s="151">
        <f>AD2399</f>
        <v>19778.598851311432</v>
      </c>
      <c r="AG2411" s="135"/>
      <c r="AH2411" s="132">
        <f>IF(AG2404&lt;=0,W_max,ABS(AG$23-AG2410))</f>
        <v>7174</v>
      </c>
      <c r="AI2411" s="151">
        <f>AG2399</f>
        <v>27741.007567529363</v>
      </c>
      <c r="AJ2411" s="135"/>
      <c r="AK2411" s="132">
        <f>IF(AJ2404&lt;=0,W_max,ABS(AJ$23-AJ2410))</f>
        <v>7174</v>
      </c>
      <c r="AL2411" s="151">
        <f>AJ2399</f>
        <v>35223.718493678069</v>
      </c>
      <c r="AM2411" s="135"/>
      <c r="AN2411" s="132">
        <f>IF(AM2404&lt;=0,W_max,ABS(AM$23-AM2410))</f>
        <v>7174</v>
      </c>
      <c r="AO2411" s="151">
        <f>AM2399</f>
        <v>41302.580100490864</v>
      </c>
      <c r="AP2411" s="135"/>
      <c r="AQ2411" s="132">
        <f>IF(AP2404&lt;=0,W_max,ABS(AP$23-AP2410))</f>
        <v>7174</v>
      </c>
      <c r="AR2411" s="151">
        <f>AP2399</f>
        <v>46079.981253726452</v>
      </c>
      <c r="AS2411" s="135"/>
      <c r="AT2411" s="132">
        <f>IF(AS2404&lt;=0,W_max,ABS(AS$23-AS2410))</f>
        <v>7174</v>
      </c>
      <c r="AU2411" s="151">
        <f>AS2399</f>
        <v>51409.976499713783</v>
      </c>
    </row>
    <row r="2412" spans="13:47" ht="13" x14ac:dyDescent="0.25">
      <c r="M2412" s="12"/>
      <c r="N2412" s="12"/>
      <c r="O2412" s="2"/>
      <c r="P2412" s="85"/>
      <c r="Q2412" s="2"/>
      <c r="R2412" s="18"/>
      <c r="S2412" s="150"/>
      <c r="T2412" s="152"/>
      <c r="U2412" s="157"/>
      <c r="V2412" s="1"/>
      <c r="W2412" s="147"/>
      <c r="X2412" s="157"/>
      <c r="Y2412" s="1"/>
      <c r="Z2412" s="147"/>
      <c r="AA2412" s="157"/>
      <c r="AB2412" s="1"/>
      <c r="AC2412" s="147"/>
      <c r="AD2412" s="157"/>
      <c r="AE2412" s="1"/>
      <c r="AF2412" s="147"/>
      <c r="AG2412" s="157"/>
      <c r="AH2412" s="1"/>
      <c r="AI2412" s="147"/>
      <c r="AJ2412" s="157"/>
      <c r="AK2412" s="1"/>
      <c r="AL2412" s="147"/>
      <c r="AM2412" s="157"/>
      <c r="AN2412" s="1"/>
      <c r="AO2412" s="147"/>
      <c r="AP2412" s="157"/>
      <c r="AQ2412" s="1"/>
      <c r="AR2412" s="147"/>
      <c r="AS2412" s="157"/>
      <c r="AT2412" s="1"/>
      <c r="AU2412" s="147"/>
    </row>
    <row r="2413" spans="13:47" ht="14" x14ac:dyDescent="0.3">
      <c r="M2413" s="23"/>
      <c r="N2413" s="23"/>
      <c r="O2413" s="23" t="s">
        <v>238</v>
      </c>
      <c r="P2413" s="20"/>
      <c r="Q2413" s="20"/>
      <c r="R2413" s="181">
        <f>R2399*1.02</f>
        <v>331.76814627196296</v>
      </c>
      <c r="S2413" s="128" t="s">
        <v>185</v>
      </c>
      <c r="T2413" s="153" t="s">
        <v>186</v>
      </c>
      <c r="U2413" s="143">
        <f>U2399*1.01</f>
        <v>2521.5706985752677</v>
      </c>
      <c r="V2413" s="128" t="s">
        <v>185</v>
      </c>
      <c r="W2413" s="153" t="s">
        <v>186</v>
      </c>
      <c r="X2413" s="143">
        <f>X2399*1.01</f>
        <v>6236.1444080072761</v>
      </c>
      <c r="Y2413" s="128" t="s">
        <v>185</v>
      </c>
      <c r="Z2413" s="153" t="s">
        <v>186</v>
      </c>
      <c r="AA2413" s="143">
        <f>AA2399*1.01</f>
        <v>12146.417559541067</v>
      </c>
      <c r="AB2413" s="128" t="s">
        <v>185</v>
      </c>
      <c r="AC2413" s="153" t="s">
        <v>186</v>
      </c>
      <c r="AD2413" s="143">
        <f>AD2399*1.01</f>
        <v>19976.384839824546</v>
      </c>
      <c r="AE2413" s="128" t="s">
        <v>185</v>
      </c>
      <c r="AF2413" s="153" t="s">
        <v>186</v>
      </c>
      <c r="AG2413" s="143">
        <f>AG2399*1.01</f>
        <v>28018.417643204655</v>
      </c>
      <c r="AH2413" s="128" t="s">
        <v>185</v>
      </c>
      <c r="AI2413" s="153" t="s">
        <v>186</v>
      </c>
      <c r="AJ2413" s="143">
        <f>AJ2399*1.01</f>
        <v>35575.955678614853</v>
      </c>
      <c r="AK2413" s="128" t="s">
        <v>185</v>
      </c>
      <c r="AL2413" s="153" t="s">
        <v>186</v>
      </c>
      <c r="AM2413" s="143">
        <f>AM2399*1.01</f>
        <v>41715.605901495772</v>
      </c>
      <c r="AN2413" s="128" t="s">
        <v>185</v>
      </c>
      <c r="AO2413" s="153" t="s">
        <v>186</v>
      </c>
      <c r="AP2413" s="143">
        <f>AP2399*1.01</f>
        <v>46540.781066263713</v>
      </c>
      <c r="AQ2413" s="128" t="s">
        <v>185</v>
      </c>
      <c r="AR2413" s="153" t="s">
        <v>186</v>
      </c>
      <c r="AS2413" s="143">
        <f>AS2399*1.01</f>
        <v>51924.076264710922</v>
      </c>
      <c r="AT2413" s="128" t="s">
        <v>185</v>
      </c>
      <c r="AU2413" s="153" t="s">
        <v>186</v>
      </c>
    </row>
    <row r="2414" spans="13:47" ht="14" x14ac:dyDescent="0.3">
      <c r="M2414" s="12"/>
      <c r="N2414" s="12"/>
      <c r="O2414" s="20"/>
      <c r="P2414" s="20"/>
      <c r="Q2414" s="23"/>
      <c r="R2414" s="139"/>
      <c r="S2414" s="130" t="s">
        <v>228</v>
      </c>
      <c r="T2414" s="154" t="s">
        <v>187</v>
      </c>
      <c r="U2414" s="144"/>
      <c r="V2414" s="130" t="s">
        <v>228</v>
      </c>
      <c r="W2414" s="154" t="s">
        <v>187</v>
      </c>
      <c r="X2414" s="144"/>
      <c r="Y2414" s="130" t="s">
        <v>228</v>
      </c>
      <c r="Z2414" s="154" t="s">
        <v>187</v>
      </c>
      <c r="AA2414" s="144"/>
      <c r="AB2414" s="130" t="s">
        <v>228</v>
      </c>
      <c r="AC2414" s="154" t="s">
        <v>187</v>
      </c>
      <c r="AD2414" s="144"/>
      <c r="AE2414" s="130" t="s">
        <v>228</v>
      </c>
      <c r="AF2414" s="154" t="s">
        <v>187</v>
      </c>
      <c r="AG2414" s="144"/>
      <c r="AH2414" s="130" t="s">
        <v>228</v>
      </c>
      <c r="AI2414" s="154" t="s">
        <v>187</v>
      </c>
      <c r="AJ2414" s="144"/>
      <c r="AK2414" s="130" t="s">
        <v>228</v>
      </c>
      <c r="AL2414" s="154" t="s">
        <v>187</v>
      </c>
      <c r="AM2414" s="144"/>
      <c r="AN2414" s="130" t="s">
        <v>228</v>
      </c>
      <c r="AO2414" s="154" t="s">
        <v>187</v>
      </c>
      <c r="AP2414" s="144"/>
      <c r="AQ2414" s="130" t="s">
        <v>228</v>
      </c>
      <c r="AR2414" s="154" t="s">
        <v>187</v>
      </c>
      <c r="AS2414" s="144"/>
      <c r="AT2414" s="130" t="s">
        <v>228</v>
      </c>
      <c r="AU2414" s="154" t="s">
        <v>187</v>
      </c>
    </row>
    <row r="2415" spans="13:47" x14ac:dyDescent="0.25">
      <c r="M2415" s="20"/>
      <c r="N2415" s="20"/>
      <c r="O2415" s="7" t="s">
        <v>188</v>
      </c>
      <c r="P2415" s="7"/>
      <c r="Q2415" s="7"/>
      <c r="R2415" s="181">
        <f>P_1_minW-(R2413^2*R_up)+dpup_minQ</f>
        <v>100.4788949803558</v>
      </c>
      <c r="S2415" s="132"/>
      <c r="T2415" s="145"/>
      <c r="U2415" s="138">
        <f>P_1_minW-(U2413^2*R_up)+dpup_minQ</f>
        <v>97.987331859663769</v>
      </c>
      <c r="V2415" s="132"/>
      <c r="W2415" s="145"/>
      <c r="X2415" s="138">
        <f>P_1_minW-(X2413^2*R_up)+dpup_minQ</f>
        <v>85.015139460663676</v>
      </c>
      <c r="Y2415" s="132"/>
      <c r="Z2415" s="145"/>
      <c r="AA2415" s="138">
        <f>P_1_minW-(AA2413^2*R_up)+dpup_minQ</f>
        <v>41.691275942083287</v>
      </c>
      <c r="AB2415" s="132"/>
      <c r="AC2415" s="145"/>
      <c r="AD2415" s="138">
        <f>P_1_minW-(AD2413^2*R_up)+dpup_minQ</f>
        <v>-58.605497266386706</v>
      </c>
      <c r="AE2415" s="132"/>
      <c r="AF2415" s="145"/>
      <c r="AG2415" s="138">
        <f>P_1_minW-(AG2413^2*R_up)+dpup_minQ</f>
        <v>-212.51790654144745</v>
      </c>
      <c r="AH2415" s="132"/>
      <c r="AI2415" s="145"/>
      <c r="AJ2415" s="138">
        <f>P_1_minW-(AJ2413^2*R_up)+dpup_minQ</f>
        <v>-404.16958234214343</v>
      </c>
      <c r="AK2415" s="132"/>
      <c r="AL2415" s="145"/>
      <c r="AM2415" s="138">
        <f>P_1_minW-(AM2413^2*R_up)+dpup_minQ</f>
        <v>-593.39928165404206</v>
      </c>
      <c r="AN2415" s="132"/>
      <c r="AO2415" s="145"/>
      <c r="AP2415" s="138">
        <f>P_1_minW-(AP2413^2*R_up)+dpup_minQ</f>
        <v>-763.21301722042654</v>
      </c>
      <c r="AQ2415" s="132"/>
      <c r="AR2415" s="145"/>
      <c r="AS2415" s="138">
        <f>P_1_minW-(AS2413^2*R_up)+dpup_minQ</f>
        <v>-974.58286708345497</v>
      </c>
      <c r="AT2415" s="132"/>
      <c r="AU2415" s="145"/>
    </row>
    <row r="2416" spans="13:47" x14ac:dyDescent="0.25">
      <c r="M2416" s="20"/>
      <c r="N2416" s="20"/>
      <c r="O2416" s="7" t="s">
        <v>189</v>
      </c>
      <c r="P2416" s="1"/>
      <c r="Q2416" s="7"/>
      <c r="R2416" s="181">
        <f>P_2_minW+(R2413^2*R_dn)-dpdn_minQ</f>
        <v>50</v>
      </c>
      <c r="S2416" s="132"/>
      <c r="T2416" s="146"/>
      <c r="U2416" s="138">
        <f>P_2_minW+(U2413^2*R_dn)-dpdn_minQ</f>
        <v>50</v>
      </c>
      <c r="V2416" s="132"/>
      <c r="W2416" s="146"/>
      <c r="X2416" s="138">
        <f>P_2_minW+(X2413^2*R_dn)-dpdn_minQ</f>
        <v>50</v>
      </c>
      <c r="Y2416" s="132"/>
      <c r="Z2416" s="146"/>
      <c r="AA2416" s="138">
        <f>P_2_minW+(AA2413^2*R_dn)-dpdn_minQ</f>
        <v>50</v>
      </c>
      <c r="AB2416" s="132"/>
      <c r="AC2416" s="146"/>
      <c r="AD2416" s="138">
        <f>P_2_minW+(AD2413^2*R_dn)-dpdn_minQ</f>
        <v>50</v>
      </c>
      <c r="AE2416" s="132"/>
      <c r="AF2416" s="146"/>
      <c r="AG2416" s="138">
        <f>P_2_minW+(AG2413^2*R_dn)-dpdn_minQ</f>
        <v>50</v>
      </c>
      <c r="AH2416" s="132"/>
      <c r="AI2416" s="146"/>
      <c r="AJ2416" s="138">
        <f>P_2_minW+(AJ2413^2*R_dn)-dpdn_minQ</f>
        <v>50</v>
      </c>
      <c r="AK2416" s="132"/>
      <c r="AL2416" s="146"/>
      <c r="AM2416" s="138">
        <f>P_2_minW+(AM2413^2*R_dn)-dpdn_minQ</f>
        <v>50</v>
      </c>
      <c r="AN2416" s="132"/>
      <c r="AO2416" s="146"/>
      <c r="AP2416" s="138">
        <f>P_2_minW+(AP2413^2*R_dn)-dpdn_minQ</f>
        <v>50</v>
      </c>
      <c r="AQ2416" s="132"/>
      <c r="AR2416" s="146"/>
      <c r="AS2416" s="138">
        <f>P_2_minW+(AS2413^2*R_dn)-dpdn_minQ</f>
        <v>50</v>
      </c>
      <c r="AT2416" s="132"/>
      <c r="AU2416" s="146"/>
    </row>
    <row r="2417" spans="13:47" x14ac:dyDescent="0.25">
      <c r="M2417" s="20"/>
      <c r="N2417" s="20"/>
      <c r="O2417" s="7" t="s">
        <v>234</v>
      </c>
      <c r="P2417" s="1"/>
      <c r="Q2417" s="7"/>
      <c r="R2417" s="179">
        <f>'Valve Sizing'!G$8*R2415/P_1_maxW</f>
        <v>0.48469230022060322</v>
      </c>
      <c r="S2417" s="132"/>
      <c r="T2417" s="146"/>
      <c r="U2417" s="143">
        <f>'Valve Sizing'!$G$8*U2415/P_1_maxW</f>
        <v>0.47267344332185701</v>
      </c>
      <c r="V2417" s="132"/>
      <c r="W2417" s="146"/>
      <c r="X2417" s="143">
        <f>'Valve Sizing'!$G$8*X2415/P_1_maxW</f>
        <v>0.41009789674558517</v>
      </c>
      <c r="Y2417" s="132"/>
      <c r="Z2417" s="146"/>
      <c r="AA2417" s="143">
        <f>'Valve Sizing'!$G$8*AA2415/P_1_maxW</f>
        <v>0.20111129247043288</v>
      </c>
      <c r="AB2417" s="132"/>
      <c r="AC2417" s="146"/>
      <c r="AD2417" s="143">
        <f>'Valve Sizing'!$G$8*AD2415/P_1_maxW</f>
        <v>-0.28270248474737614</v>
      </c>
      <c r="AE2417" s="132"/>
      <c r="AF2417" s="146"/>
      <c r="AG2417" s="143">
        <f>'Valve Sizing'!$G$8*AG2415/P_1_maxW</f>
        <v>-1.0251485446747755</v>
      </c>
      <c r="AH2417" s="132"/>
      <c r="AI2417" s="146"/>
      <c r="AJ2417" s="143">
        <f>'Valve Sizing'!$G$8*AJ2415/P_1_maxW</f>
        <v>-1.9496421072595709</v>
      </c>
      <c r="AK2417" s="132"/>
      <c r="AL2417" s="146"/>
      <c r="AM2417" s="143">
        <f>'Valve Sizing'!$G$8*AM2415/P_1_maxW</f>
        <v>-2.8624524864687437</v>
      </c>
      <c r="AN2417" s="132"/>
      <c r="AO2417" s="146"/>
      <c r="AP2417" s="143">
        <f>'Valve Sizing'!$G$8*AP2415/P_1_maxW</f>
        <v>-3.6816037133688377</v>
      </c>
      <c r="AQ2417" s="132"/>
      <c r="AR2417" s="146"/>
      <c r="AS2417" s="143">
        <f>'Valve Sizing'!$G$8*AS2415/P_1_maxW</f>
        <v>-4.7012142370258134</v>
      </c>
      <c r="AT2417" s="132"/>
      <c r="AU2417" s="146"/>
    </row>
    <row r="2418" spans="13:47" x14ac:dyDescent="0.25">
      <c r="M2418" s="20"/>
      <c r="N2418" s="20"/>
      <c r="O2418" s="7" t="s">
        <v>190</v>
      </c>
      <c r="P2418" s="1"/>
      <c r="Q2418" s="7"/>
      <c r="R2418" s="181">
        <f>R2415-R2416</f>
        <v>50.478894980355804</v>
      </c>
      <c r="S2418" s="132"/>
      <c r="T2418" s="146"/>
      <c r="U2418" s="138">
        <f>U2415-U2416</f>
        <v>47.987331859663769</v>
      </c>
      <c r="V2418" s="132"/>
      <c r="W2418" s="146"/>
      <c r="X2418" s="138">
        <f>X2415-X2416</f>
        <v>35.015139460663676</v>
      </c>
      <c r="Y2418" s="132"/>
      <c r="Z2418" s="146"/>
      <c r="AA2418" s="138">
        <f>AA2415-AA2416</f>
        <v>-8.308724057916713</v>
      </c>
      <c r="AB2418" s="132"/>
      <c r="AC2418" s="146"/>
      <c r="AD2418" s="138">
        <f>AD2415-AD2416</f>
        <v>-108.60549726638671</v>
      </c>
      <c r="AE2418" s="132"/>
      <c r="AF2418" s="146"/>
      <c r="AG2418" s="138">
        <f>AG2415-AG2416</f>
        <v>-262.51790654144747</v>
      </c>
      <c r="AH2418" s="132"/>
      <c r="AI2418" s="146"/>
      <c r="AJ2418" s="138">
        <f>AJ2415-AJ2416</f>
        <v>-454.16958234214343</v>
      </c>
      <c r="AK2418" s="132"/>
      <c r="AL2418" s="146"/>
      <c r="AM2418" s="138">
        <f>AM2415-AM2416</f>
        <v>-643.39928165404206</v>
      </c>
      <c r="AN2418" s="132"/>
      <c r="AO2418" s="146"/>
      <c r="AP2418" s="138">
        <f>AP2415-AP2416</f>
        <v>-813.21301722042654</v>
      </c>
      <c r="AQ2418" s="132"/>
      <c r="AR2418" s="146"/>
      <c r="AS2418" s="138">
        <f>AS2415-AS2416</f>
        <v>-1024.5828670834549</v>
      </c>
      <c r="AT2418" s="132"/>
      <c r="AU2418" s="146"/>
    </row>
    <row r="2419" spans="13:47" ht="14.5" x14ac:dyDescent="0.35">
      <c r="M2419" s="27"/>
      <c r="N2419" s="27"/>
      <c r="O2419" s="2" t="s">
        <v>191</v>
      </c>
      <c r="P2419" s="10"/>
      <c r="Q2419" s="2"/>
      <c r="R2419" s="181">
        <f>R2418/R2415</f>
        <v>0.5023830625349206</v>
      </c>
      <c r="S2419" s="132"/>
      <c r="T2419" s="146"/>
      <c r="U2419" s="138">
        <f>U2418/U2415</f>
        <v>0.48972995742338027</v>
      </c>
      <c r="V2419" s="132"/>
      <c r="W2419" s="146"/>
      <c r="X2419" s="138">
        <f>X2418/X2415</f>
        <v>0.41186945857878771</v>
      </c>
      <c r="Y2419" s="132"/>
      <c r="Z2419" s="146"/>
      <c r="AA2419" s="138">
        <f>AA2418/AA2415</f>
        <v>-0.19929167122299235</v>
      </c>
      <c r="AB2419" s="132"/>
      <c r="AC2419" s="146"/>
      <c r="AD2419" s="138">
        <f>AD2418/AD2415</f>
        <v>1.8531622856594647</v>
      </c>
      <c r="AE2419" s="132"/>
      <c r="AF2419" s="146"/>
      <c r="AG2419" s="138">
        <f>AG2418/AG2415</f>
        <v>1.2352742920053588</v>
      </c>
      <c r="AH2419" s="132"/>
      <c r="AI2419" s="146"/>
      <c r="AJ2419" s="138">
        <f>AJ2418/AJ2415</f>
        <v>1.123710447753768</v>
      </c>
      <c r="AK2419" s="132"/>
      <c r="AL2419" s="146"/>
      <c r="AM2419" s="138">
        <f>AM2418/AM2415</f>
        <v>1.08426029748575</v>
      </c>
      <c r="AN2419" s="132"/>
      <c r="AO2419" s="146"/>
      <c r="AP2419" s="138">
        <f>AP2418/AP2415</f>
        <v>1.065512509446048</v>
      </c>
      <c r="AQ2419" s="132"/>
      <c r="AR2419" s="146"/>
      <c r="AS2419" s="138">
        <f>AS2418/AS2415</f>
        <v>1.0513040006024632</v>
      </c>
      <c r="AT2419" s="132"/>
      <c r="AU2419" s="146"/>
    </row>
    <row r="2420" spans="13:47" x14ac:dyDescent="0.25">
      <c r="M2420" s="27"/>
      <c r="N2420" s="27"/>
      <c r="O2420" s="2" t="s">
        <v>26</v>
      </c>
      <c r="P2420" s="7">
        <v>12</v>
      </c>
      <c r="Q2420" s="2"/>
      <c r="R2420" s="181">
        <f>1-R2419/(3*F_GAMMA*R$29)</f>
        <v>0.73835314415966358</v>
      </c>
      <c r="S2420" s="133"/>
      <c r="T2420" s="146"/>
      <c r="U2420" s="138">
        <f>1-U2419/(3*F_GAMMA*U$29)</f>
        <v>0.74499918348946115</v>
      </c>
      <c r="V2420" s="133"/>
      <c r="W2420" s="146"/>
      <c r="X2420" s="138">
        <f>1-X2419/(3*F_GAMMA*X$29)</f>
        <v>0.78232366737800552</v>
      </c>
      <c r="Y2420" s="133"/>
      <c r="Z2420" s="146"/>
      <c r="AA2420" s="138">
        <f>1-AA2419/(3*F_GAMMA*AA$29)</f>
        <v>1.1067714397776576</v>
      </c>
      <c r="AB2420" s="133"/>
      <c r="AC2420" s="146"/>
      <c r="AD2420" s="138">
        <f>1-AD2419/(3*F_GAMMA*AD$29)</f>
        <v>-2.0061883988196305E-2</v>
      </c>
      <c r="AE2420" s="133"/>
      <c r="AF2420" s="146"/>
      <c r="AG2420" s="138">
        <f>1-AG2419/(3*F_GAMMA*AG$29)</f>
        <v>0.28126541943802397</v>
      </c>
      <c r="AH2420" s="133"/>
      <c r="AI2420" s="146"/>
      <c r="AJ2420" s="138">
        <f>1-AJ2419/(3*F_GAMMA*AJ$29)</f>
        <v>0.30105537584687603</v>
      </c>
      <c r="AK2420" s="133"/>
      <c r="AL2420" s="146"/>
      <c r="AM2420" s="138">
        <f>1-AM2419/(3*F_GAMMA*AM$29)</f>
        <v>0.26314205076647368</v>
      </c>
      <c r="AN2420" s="133"/>
      <c r="AO2420" s="146"/>
      <c r="AP2420" s="138">
        <f>1-AP2419/(3*F_GAMMA*AP$29)</f>
        <v>0.40159560249773618</v>
      </c>
      <c r="AQ2420" s="133"/>
      <c r="AR2420" s="146"/>
      <c r="AS2420" s="138">
        <f>1-AS2419/(3*F_GAMMA*AS$29)</f>
        <v>0.10368395384468176</v>
      </c>
      <c r="AT2420" s="133"/>
      <c r="AU2420" s="146"/>
    </row>
    <row r="2421" spans="13:47" x14ac:dyDescent="0.25">
      <c r="M2421" s="27"/>
      <c r="N2421" s="27"/>
      <c r="O2421" s="2" t="s">
        <v>71</v>
      </c>
      <c r="P2421" s="85">
        <v>5</v>
      </c>
      <c r="Q2421" s="2"/>
      <c r="R2421" s="179">
        <f>R2413/((N_6*R$27*R2420)*SQRT(R2419*R2415*R2417))</f>
        <v>1.435259159944859</v>
      </c>
      <c r="S2421" s="133"/>
      <c r="T2421" s="146"/>
      <c r="U2421" s="143">
        <f>U2413/((N_6*U$27*U2420)*SQRT(U2419*U2415*U2417))</f>
        <v>11.235416130664603</v>
      </c>
      <c r="V2421" s="133"/>
      <c r="W2421" s="146"/>
      <c r="X2421" s="143">
        <f>X2413/((N_6*X$27*X2420)*SQRT(X2419*X2415*X2417))</f>
        <v>33.330139359974432</v>
      </c>
      <c r="Y2421" s="133"/>
      <c r="Z2421" s="146"/>
      <c r="AA2421" s="143" t="e">
        <f>AA2413/((N_6*AA$27*AA2420)*SQRT(AA2419*AA2415*AA2417))</f>
        <v>#NUM!</v>
      </c>
      <c r="AB2421" s="133"/>
      <c r="AC2421" s="146"/>
      <c r="AD2421" s="143">
        <f>AD2413/((N_6*AD$27*AD2420)*SQRT(AD2419*AD2415*AD2417))</f>
        <v>-2897.8030342747315</v>
      </c>
      <c r="AE2421" s="133"/>
      <c r="AF2421" s="146"/>
      <c r="AG2421" s="143">
        <f>AG2413/((N_6*AG$27*AG2420)*SQRT(AG2419*AG2415*AG2417))</f>
        <v>100.03213052082147</v>
      </c>
      <c r="AH2421" s="133"/>
      <c r="AI2421" s="146"/>
      <c r="AJ2421" s="143">
        <f>AJ2413/((N_6*AJ$27*AJ2420)*SQRT(AJ2419*AJ2415*AJ2417))</f>
        <v>67.665674432049272</v>
      </c>
      <c r="AK2421" s="133"/>
      <c r="AL2421" s="146"/>
      <c r="AM2421" s="143">
        <f>AM2413/((N_6*AM$27*AM2420)*SQRT(AM2419*AM2415*AM2417))</f>
        <v>66.807898643909652</v>
      </c>
      <c r="AN2421" s="133"/>
      <c r="AO2421" s="146"/>
      <c r="AP2421" s="143">
        <f>AP2413/((N_6*AP$27*AP2420)*SQRT(AP2419*AP2415*AP2417))</f>
        <v>43.511805162905517</v>
      </c>
      <c r="AQ2421" s="133"/>
      <c r="AR2421" s="146"/>
      <c r="AS2421" s="143">
        <f>AS2413/((N_6*AS$27*AS2420)*SQRT(AS2419*AS2415*AS2417))</f>
        <v>194.78214516223727</v>
      </c>
      <c r="AT2421" s="133"/>
      <c r="AU2421" s="146"/>
    </row>
    <row r="2422" spans="13:47" x14ac:dyDescent="0.25">
      <c r="M2422" s="27"/>
      <c r="N2422" s="27"/>
      <c r="O2422" s="2" t="s">
        <v>73</v>
      </c>
      <c r="P2422" s="85">
        <v>5</v>
      </c>
      <c r="Q2422" s="2"/>
      <c r="R2422" s="179">
        <f>R2413/((N_6*R$27*0.667)*SQRT(R2423*R2415*R2417))</f>
        <v>1.4076251229906029</v>
      </c>
      <c r="S2422" s="133"/>
      <c r="T2422" s="155"/>
      <c r="U2422" s="143">
        <f>U2413/((N_6*U$27*0.667)*SQRT(U2423*U2415*U2417))</f>
        <v>10.976162749405379</v>
      </c>
      <c r="V2422" s="133"/>
      <c r="W2422" s="155"/>
      <c r="X2422" s="143">
        <f>X2413/((N_6*X$27*0.667)*SQRT(X2423*X2415*X2417))</f>
        <v>31.591045420175746</v>
      </c>
      <c r="Y2422" s="133"/>
      <c r="Z2422" s="155"/>
      <c r="AA2422" s="143">
        <f>AA2413/((N_6*AA$27*0.667)*SQRT(AA2423*AA2415*AA2417))</f>
        <v>127.05591021755787</v>
      </c>
      <c r="AB2422" s="133"/>
      <c r="AC2422" s="155"/>
      <c r="AD2422" s="143">
        <f>AD2413/((N_6*AD$27*0.667)*SQRT(AD2423*AD2415*AD2417))</f>
        <v>152.47148526531046</v>
      </c>
      <c r="AE2422" s="133"/>
      <c r="AF2422" s="155"/>
      <c r="AG2422" s="143">
        <f>AG2413/((N_6*AG$27*0.667)*SQRT(AG2423*AG2415*AG2417))</f>
        <v>61.940530829971685</v>
      </c>
      <c r="AH2422" s="133"/>
      <c r="AI2422" s="155"/>
      <c r="AJ2422" s="143">
        <f>AJ2413/((N_6*AJ$27*0.667)*SQRT(AJ2423*AJ2415*AJ2417))</f>
        <v>44.225319531543015</v>
      </c>
      <c r="AK2422" s="133"/>
      <c r="AL2422" s="155"/>
      <c r="AM2422" s="143">
        <f>AM2413/((N_6*AM$27*0.667)*SQRT(AM2423*AM2415*AM2417))</f>
        <v>39.187246319533699</v>
      </c>
      <c r="AN2422" s="133"/>
      <c r="AO2422" s="155"/>
      <c r="AP2422" s="143">
        <f>AP2413/((N_6*AP$27*0.667)*SQRT(AP2423*AP2415*AP2417))</f>
        <v>35.101706563109715</v>
      </c>
      <c r="AQ2422" s="133"/>
      <c r="AR2422" s="155"/>
      <c r="AS2422" s="143">
        <f>AS2413/((N_6*AS$27*0.667)*SQRT(AS2423*AS2415*AS2417))</f>
        <v>49.650779786722133</v>
      </c>
      <c r="AT2422" s="133"/>
      <c r="AU2422" s="155"/>
    </row>
    <row r="2423" spans="13:47" ht="15.5" x14ac:dyDescent="0.4">
      <c r="M2423" s="27"/>
      <c r="N2423" s="27"/>
      <c r="O2423" s="2" t="s">
        <v>192</v>
      </c>
      <c r="P2423" s="85">
        <v>10</v>
      </c>
      <c r="Q2423" s="2"/>
      <c r="R2423" s="181">
        <f>F_GAMMA*R$29</f>
        <v>0.64002688015162901</v>
      </c>
      <c r="S2423" s="133"/>
      <c r="T2423" s="155"/>
      <c r="U2423" s="138">
        <f>F_GAMMA*U$29</f>
        <v>0.64016782916606918</v>
      </c>
      <c r="V2423" s="133"/>
      <c r="W2423" s="155"/>
      <c r="X2423" s="138">
        <f>F_GAMMA*X$29</f>
        <v>0.6307062319203669</v>
      </c>
      <c r="Y2423" s="133"/>
      <c r="Z2423" s="155"/>
      <c r="AA2423" s="138">
        <f>F_GAMMA*AA$29</f>
        <v>0.62217534213893466</v>
      </c>
      <c r="AB2423" s="133"/>
      <c r="AC2423" s="155"/>
      <c r="AD2423" s="138">
        <f>F_GAMMA*AD$29</f>
        <v>0.60557184969146072</v>
      </c>
      <c r="AE2423" s="133"/>
      <c r="AF2423" s="155"/>
      <c r="AG2423" s="138">
        <f>F_GAMMA*AG$29</f>
        <v>0.57289312142622573</v>
      </c>
      <c r="AH2423" s="133"/>
      <c r="AI2423" s="155"/>
      <c r="AJ2423" s="138">
        <f>F_GAMMA*AJ$29</f>
        <v>0.53590819116049981</v>
      </c>
      <c r="AK2423" s="133"/>
      <c r="AL2423" s="155"/>
      <c r="AM2423" s="138">
        <f>F_GAMMA*AM$29</f>
        <v>0.49048815926850342</v>
      </c>
      <c r="AN2423" s="133"/>
      <c r="AO2423" s="155"/>
      <c r="AP2423" s="138">
        <f>F_GAMMA*AP$29</f>
        <v>0.59352979016280105</v>
      </c>
      <c r="AQ2423" s="133"/>
      <c r="AR2423" s="155"/>
      <c r="AS2423" s="138">
        <f>F_GAMMA*AS$29</f>
        <v>0.39097221161068291</v>
      </c>
      <c r="AT2423" s="133"/>
      <c r="AU2423" s="155"/>
    </row>
    <row r="2424" spans="13:47" x14ac:dyDescent="0.25">
      <c r="M2424" s="27"/>
      <c r="N2424" s="27"/>
      <c r="O2424" s="2" t="s">
        <v>193</v>
      </c>
      <c r="P2424" s="134"/>
      <c r="Q2424" s="2"/>
      <c r="R2424" s="181">
        <f>IF(R2419&lt;R2423,R2421,R2422)</f>
        <v>1.435259159944859</v>
      </c>
      <c r="S2424" s="133"/>
      <c r="T2424" s="155"/>
      <c r="U2424" s="138">
        <f>IF(U2419&lt;U2423,U2421,U2422)</f>
        <v>11.235416130664603</v>
      </c>
      <c r="V2424" s="133"/>
      <c r="W2424" s="155"/>
      <c r="X2424" s="138">
        <f>IF(X2419&lt;X2423,X2421,X2422)</f>
        <v>33.330139359974432</v>
      </c>
      <c r="Y2424" s="133"/>
      <c r="Z2424" s="155"/>
      <c r="AA2424" s="138" t="e">
        <f>IF(AA2419&lt;AA2423,AA2421,AA2422)</f>
        <v>#NUM!</v>
      </c>
      <c r="AB2424" s="133"/>
      <c r="AC2424" s="155"/>
      <c r="AD2424" s="138">
        <f>IF(AD2419&lt;AD2423,AD2421,AD2422)</f>
        <v>152.47148526531046</v>
      </c>
      <c r="AE2424" s="133"/>
      <c r="AF2424" s="155"/>
      <c r="AG2424" s="138">
        <f>IF(AG2419&lt;AG2423,AG2421,AG2422)</f>
        <v>61.940530829971685</v>
      </c>
      <c r="AH2424" s="133"/>
      <c r="AI2424" s="155"/>
      <c r="AJ2424" s="138">
        <f>IF(AJ2419&lt;AJ2423,AJ2421,AJ2422)</f>
        <v>44.225319531543015</v>
      </c>
      <c r="AK2424" s="133"/>
      <c r="AL2424" s="155"/>
      <c r="AM2424" s="138">
        <f>IF(AM2419&lt;AM2423,AM2421,AM2422)</f>
        <v>39.187246319533699</v>
      </c>
      <c r="AN2424" s="133"/>
      <c r="AO2424" s="155"/>
      <c r="AP2424" s="138">
        <f>IF(AP2419&lt;AP2423,AP2421,AP2422)</f>
        <v>35.101706563109715</v>
      </c>
      <c r="AQ2424" s="133"/>
      <c r="AR2424" s="155"/>
      <c r="AS2424" s="138">
        <f>IF(AS2419&lt;AS2423,AS2421,AS2422)</f>
        <v>49.650779786722133</v>
      </c>
      <c r="AT2424" s="133"/>
      <c r="AU2424" s="155"/>
    </row>
    <row r="2425" spans="13:47" ht="13" x14ac:dyDescent="0.3">
      <c r="M2425" s="28"/>
      <c r="N2425" s="28"/>
      <c r="O2425" s="9" t="s">
        <v>194</v>
      </c>
      <c r="P2425" s="1"/>
      <c r="Q2425" s="1"/>
      <c r="R2425" s="135"/>
      <c r="S2425" s="132">
        <f>IF(R2418&lt;=0,W_max,ABS(R$23-R2424))</f>
        <v>0.56474084005514102</v>
      </c>
      <c r="T2425" s="151">
        <f>R2413</f>
        <v>331.76814627196296</v>
      </c>
      <c r="U2425" s="135"/>
      <c r="V2425" s="132">
        <f>IF(U2418&lt;=0,W_max,ABS(U$23-U2424))</f>
        <v>6.2354161306646034</v>
      </c>
      <c r="W2425" s="151">
        <f>U2413</f>
        <v>2521.5706985752677</v>
      </c>
      <c r="X2425" s="135"/>
      <c r="Y2425" s="132">
        <f>IF(X2418&lt;=0,W_max,ABS(X$23-X2424))</f>
        <v>23.330139359974432</v>
      </c>
      <c r="Z2425" s="151">
        <f>X2413</f>
        <v>6236.1444080072761</v>
      </c>
      <c r="AA2425" s="135"/>
      <c r="AB2425" s="132">
        <f>IF(AA2418&lt;=0,W_max,ABS(AA$23-AA2424))</f>
        <v>7174</v>
      </c>
      <c r="AC2425" s="151">
        <f>AA2413</f>
        <v>12146.417559541067</v>
      </c>
      <c r="AD2425" s="135"/>
      <c r="AE2425" s="132">
        <f>IF(AD2418&lt;=0,W_max,ABS(AD$23-AD2424))</f>
        <v>7174</v>
      </c>
      <c r="AF2425" s="151">
        <f>AD2413</f>
        <v>19976.384839824546</v>
      </c>
      <c r="AG2425" s="135"/>
      <c r="AH2425" s="132">
        <f>IF(AG2418&lt;=0,W_max,ABS(AG$23-AG2424))</f>
        <v>7174</v>
      </c>
      <c r="AI2425" s="151">
        <f>AG2413</f>
        <v>28018.417643204655</v>
      </c>
      <c r="AJ2425" s="135"/>
      <c r="AK2425" s="132">
        <f>IF(AJ2418&lt;=0,W_max,ABS(AJ$23-AJ2424))</f>
        <v>7174</v>
      </c>
      <c r="AL2425" s="151">
        <f>AJ2413</f>
        <v>35575.955678614853</v>
      </c>
      <c r="AM2425" s="135"/>
      <c r="AN2425" s="132">
        <f>IF(AM2418&lt;=0,W_max,ABS(AM$23-AM2424))</f>
        <v>7174</v>
      </c>
      <c r="AO2425" s="151">
        <f>AM2413</f>
        <v>41715.605901495772</v>
      </c>
      <c r="AP2425" s="135"/>
      <c r="AQ2425" s="132">
        <f>IF(AP2418&lt;=0,W_max,ABS(AP$23-AP2424))</f>
        <v>7174</v>
      </c>
      <c r="AR2425" s="151">
        <f>AP2413</f>
        <v>46540.781066263713</v>
      </c>
      <c r="AS2425" s="135"/>
      <c r="AT2425" s="132">
        <f>IF(AS2418&lt;=0,W_max,ABS(AS$23-AS2424))</f>
        <v>7174</v>
      </c>
      <c r="AU2425" s="151">
        <f>AS2413</f>
        <v>51924.076264710922</v>
      </c>
    </row>
    <row r="2426" spans="13:47" ht="13" x14ac:dyDescent="0.25">
      <c r="M2426" s="12"/>
      <c r="N2426" s="12"/>
      <c r="O2426" s="2"/>
      <c r="P2426" s="85"/>
      <c r="Q2426" s="2"/>
      <c r="R2426" s="18"/>
      <c r="S2426" s="150"/>
      <c r="T2426" s="148"/>
      <c r="U2426" s="157"/>
      <c r="V2426" s="1"/>
      <c r="W2426" s="147"/>
      <c r="X2426" s="157"/>
      <c r="Y2426" s="1"/>
      <c r="Z2426" s="147"/>
      <c r="AA2426" s="157"/>
      <c r="AB2426" s="1"/>
      <c r="AC2426" s="147"/>
      <c r="AD2426" s="157"/>
      <c r="AE2426" s="1"/>
      <c r="AF2426" s="147"/>
      <c r="AG2426" s="157"/>
      <c r="AH2426" s="1"/>
      <c r="AI2426" s="147"/>
      <c r="AJ2426" s="157"/>
      <c r="AK2426" s="1"/>
      <c r="AL2426" s="147"/>
      <c r="AM2426" s="157"/>
      <c r="AN2426" s="1"/>
      <c r="AO2426" s="147"/>
      <c r="AP2426" s="157"/>
      <c r="AQ2426" s="1"/>
      <c r="AR2426" s="147"/>
      <c r="AS2426" s="157"/>
      <c r="AT2426" s="1"/>
      <c r="AU2426" s="147"/>
    </row>
    <row r="2427" spans="13:47" ht="14" x14ac:dyDescent="0.3">
      <c r="M2427" s="23"/>
      <c r="N2427" s="23"/>
      <c r="O2427" s="23" t="s">
        <v>238</v>
      </c>
      <c r="P2427" s="20"/>
      <c r="Q2427" s="20"/>
      <c r="R2427" s="181">
        <f>R2413*1.02</f>
        <v>338.40350919740223</v>
      </c>
      <c r="S2427" s="128" t="s">
        <v>185</v>
      </c>
      <c r="T2427" s="149" t="s">
        <v>186</v>
      </c>
      <c r="U2427" s="143">
        <f>U2413*1.01</f>
        <v>2546.7864055610203</v>
      </c>
      <c r="V2427" s="128" t="s">
        <v>185</v>
      </c>
      <c r="W2427" s="153" t="s">
        <v>186</v>
      </c>
      <c r="X2427" s="143">
        <f>X2413*1.01</f>
        <v>6298.505852087349</v>
      </c>
      <c r="Y2427" s="128" t="s">
        <v>185</v>
      </c>
      <c r="Z2427" s="153" t="s">
        <v>186</v>
      </c>
      <c r="AA2427" s="143">
        <f>AA2413*1.01</f>
        <v>12267.881735136478</v>
      </c>
      <c r="AB2427" s="128" t="s">
        <v>185</v>
      </c>
      <c r="AC2427" s="153" t="s">
        <v>186</v>
      </c>
      <c r="AD2427" s="143">
        <f>AD2413*1.01</f>
        <v>20176.148688222791</v>
      </c>
      <c r="AE2427" s="128" t="s">
        <v>185</v>
      </c>
      <c r="AF2427" s="153" t="s">
        <v>186</v>
      </c>
      <c r="AG2427" s="143">
        <f>AG2413*1.01</f>
        <v>28298.6018196367</v>
      </c>
      <c r="AH2427" s="128" t="s">
        <v>185</v>
      </c>
      <c r="AI2427" s="153" t="s">
        <v>186</v>
      </c>
      <c r="AJ2427" s="143">
        <f>AJ2413*1.01</f>
        <v>35931.715235401003</v>
      </c>
      <c r="AK2427" s="128" t="s">
        <v>185</v>
      </c>
      <c r="AL2427" s="153" t="s">
        <v>186</v>
      </c>
      <c r="AM2427" s="143">
        <f>AM2413*1.01</f>
        <v>42132.761960510732</v>
      </c>
      <c r="AN2427" s="128" t="s">
        <v>185</v>
      </c>
      <c r="AO2427" s="153" t="s">
        <v>186</v>
      </c>
      <c r="AP2427" s="143">
        <f>AP2413*1.01</f>
        <v>47006.188876926353</v>
      </c>
      <c r="AQ2427" s="128" t="s">
        <v>185</v>
      </c>
      <c r="AR2427" s="153" t="s">
        <v>186</v>
      </c>
      <c r="AS2427" s="143">
        <f>AS2413*1.01</f>
        <v>52443.317027358033</v>
      </c>
      <c r="AT2427" s="128" t="s">
        <v>185</v>
      </c>
      <c r="AU2427" s="153" t="s">
        <v>186</v>
      </c>
    </row>
    <row r="2428" spans="13:47" ht="14" x14ac:dyDescent="0.3">
      <c r="M2428" s="12"/>
      <c r="N2428" s="12"/>
      <c r="O2428" s="20"/>
      <c r="P2428" s="20"/>
      <c r="Q2428" s="23"/>
      <c r="R2428" s="139"/>
      <c r="S2428" s="130" t="s">
        <v>228</v>
      </c>
      <c r="T2428" s="131" t="s">
        <v>187</v>
      </c>
      <c r="U2428" s="144"/>
      <c r="V2428" s="130" t="s">
        <v>228</v>
      </c>
      <c r="W2428" s="154" t="s">
        <v>187</v>
      </c>
      <c r="X2428" s="144"/>
      <c r="Y2428" s="130" t="s">
        <v>228</v>
      </c>
      <c r="Z2428" s="154" t="s">
        <v>187</v>
      </c>
      <c r="AA2428" s="144"/>
      <c r="AB2428" s="130" t="s">
        <v>228</v>
      </c>
      <c r="AC2428" s="154" t="s">
        <v>187</v>
      </c>
      <c r="AD2428" s="144"/>
      <c r="AE2428" s="130" t="s">
        <v>228</v>
      </c>
      <c r="AF2428" s="154" t="s">
        <v>187</v>
      </c>
      <c r="AG2428" s="144"/>
      <c r="AH2428" s="130" t="s">
        <v>228</v>
      </c>
      <c r="AI2428" s="154" t="s">
        <v>187</v>
      </c>
      <c r="AJ2428" s="144"/>
      <c r="AK2428" s="130" t="s">
        <v>228</v>
      </c>
      <c r="AL2428" s="154" t="s">
        <v>187</v>
      </c>
      <c r="AM2428" s="144"/>
      <c r="AN2428" s="130" t="s">
        <v>228</v>
      </c>
      <c r="AO2428" s="154" t="s">
        <v>187</v>
      </c>
      <c r="AP2428" s="144"/>
      <c r="AQ2428" s="130" t="s">
        <v>228</v>
      </c>
      <c r="AR2428" s="154" t="s">
        <v>187</v>
      </c>
      <c r="AS2428" s="144"/>
      <c r="AT2428" s="130" t="s">
        <v>228</v>
      </c>
      <c r="AU2428" s="154" t="s">
        <v>187</v>
      </c>
    </row>
    <row r="2429" spans="13:47" x14ac:dyDescent="0.25">
      <c r="M2429" s="20"/>
      <c r="N2429" s="20"/>
      <c r="O2429" s="7" t="s">
        <v>188</v>
      </c>
      <c r="P2429" s="7"/>
      <c r="Q2429" s="7"/>
      <c r="R2429" s="181">
        <f>P_1_minW-(R2427^2*R_up)+dpup_minQ</f>
        <v>100.47712175339842</v>
      </c>
      <c r="S2429" s="132"/>
      <c r="T2429" s="145"/>
      <c r="U2429" s="138">
        <f>P_1_minW-(U2427^2*R_up)+dpup_minQ</f>
        <v>97.936369216634802</v>
      </c>
      <c r="V2429" s="132"/>
      <c r="W2429" s="145"/>
      <c r="X2429" s="138">
        <f>P_1_minW-(X2427^2*R_up)+dpup_minQ</f>
        <v>84.703435750414812</v>
      </c>
      <c r="Y2429" s="132"/>
      <c r="Z2429" s="145"/>
      <c r="AA2429" s="138">
        <f>P_1_minW-(AA2427^2*R_up)+dpup_minQ</f>
        <v>40.508762575110943</v>
      </c>
      <c r="AB2429" s="132"/>
      <c r="AC2429" s="145"/>
      <c r="AD2429" s="138">
        <f>P_1_minW-(AD2427^2*R_up)+dpup_minQ</f>
        <v>-61.803975774849263</v>
      </c>
      <c r="AE2429" s="132"/>
      <c r="AF2429" s="145"/>
      <c r="AG2429" s="138">
        <f>P_1_minW-(AG2427^2*R_up)+dpup_minQ</f>
        <v>-218.81002447633873</v>
      </c>
      <c r="AH2429" s="132"/>
      <c r="AI2429" s="145"/>
      <c r="AJ2429" s="138">
        <f>P_1_minW-(AJ2427^2*R_up)+dpup_minQ</f>
        <v>-414.31389896062876</v>
      </c>
      <c r="AK2429" s="132"/>
      <c r="AL2429" s="145"/>
      <c r="AM2429" s="138">
        <f>P_1_minW-(AM2427^2*R_up)+dpup_minQ</f>
        <v>-607.34711522869668</v>
      </c>
      <c r="AN2429" s="132"/>
      <c r="AO2429" s="145"/>
      <c r="AP2429" s="138">
        <f>P_1_minW-(AP2427^2*R_up)+dpup_minQ</f>
        <v>-780.5741068799656</v>
      </c>
      <c r="AQ2429" s="132"/>
      <c r="AR2429" s="145"/>
      <c r="AS2429" s="138">
        <f>P_1_minW-(AS2427^2*R_up)+dpup_minQ</f>
        <v>-996.19249072524087</v>
      </c>
      <c r="AT2429" s="132"/>
      <c r="AU2429" s="145"/>
    </row>
    <row r="2430" spans="13:47" x14ac:dyDescent="0.25">
      <c r="M2430" s="20"/>
      <c r="N2430" s="20"/>
      <c r="O2430" s="7" t="s">
        <v>189</v>
      </c>
      <c r="P2430" s="1"/>
      <c r="Q2430" s="7"/>
      <c r="R2430" s="181">
        <f>P_2_minW+(R2427^2*R_dn)-dpdn_minQ</f>
        <v>50</v>
      </c>
      <c r="S2430" s="132"/>
      <c r="T2430" s="146"/>
      <c r="U2430" s="138">
        <f>P_2_minW+(U2427^2*R_dn)-dpdn_minQ</f>
        <v>50</v>
      </c>
      <c r="V2430" s="132"/>
      <c r="W2430" s="146"/>
      <c r="X2430" s="138">
        <f>P_2_minW+(X2427^2*R_dn)-dpdn_minQ</f>
        <v>50</v>
      </c>
      <c r="Y2430" s="132"/>
      <c r="Z2430" s="146"/>
      <c r="AA2430" s="138">
        <f>P_2_minW+(AA2427^2*R_dn)-dpdn_minQ</f>
        <v>50</v>
      </c>
      <c r="AB2430" s="132"/>
      <c r="AC2430" s="146"/>
      <c r="AD2430" s="138">
        <f>P_2_minW+(AD2427^2*R_dn)-dpdn_minQ</f>
        <v>50</v>
      </c>
      <c r="AE2430" s="132"/>
      <c r="AF2430" s="146"/>
      <c r="AG2430" s="138">
        <f>P_2_minW+(AG2427^2*R_dn)-dpdn_minQ</f>
        <v>50</v>
      </c>
      <c r="AH2430" s="132"/>
      <c r="AI2430" s="146"/>
      <c r="AJ2430" s="138">
        <f>P_2_minW+(AJ2427^2*R_dn)-dpdn_minQ</f>
        <v>50</v>
      </c>
      <c r="AK2430" s="132"/>
      <c r="AL2430" s="146"/>
      <c r="AM2430" s="138">
        <f>P_2_minW+(AM2427^2*R_dn)-dpdn_minQ</f>
        <v>50</v>
      </c>
      <c r="AN2430" s="132"/>
      <c r="AO2430" s="146"/>
      <c r="AP2430" s="138">
        <f>P_2_minW+(AP2427^2*R_dn)-dpdn_minQ</f>
        <v>50</v>
      </c>
      <c r="AQ2430" s="132"/>
      <c r="AR2430" s="146"/>
      <c r="AS2430" s="138">
        <f>P_2_minW+(AS2427^2*R_dn)-dpdn_minQ</f>
        <v>50</v>
      </c>
      <c r="AT2430" s="132"/>
      <c r="AU2430" s="146"/>
    </row>
    <row r="2431" spans="13:47" x14ac:dyDescent="0.25">
      <c r="M2431" s="20"/>
      <c r="N2431" s="20"/>
      <c r="O2431" s="7" t="s">
        <v>234</v>
      </c>
      <c r="P2431" s="1"/>
      <c r="Q2431" s="7"/>
      <c r="R2431" s="179">
        <f>'Valve Sizing'!G$8*R2429/P_1_maxW</f>
        <v>0.48468374648946444</v>
      </c>
      <c r="S2431" s="132"/>
      <c r="T2431" s="146"/>
      <c r="U2431" s="143">
        <f>'Valve Sizing'!$G$8*U2429/P_1_maxW</f>
        <v>0.47242760860522459</v>
      </c>
      <c r="V2431" s="132"/>
      <c r="W2431" s="146"/>
      <c r="X2431" s="143">
        <f>'Valve Sizing'!$G$8*X2429/P_1_maxW</f>
        <v>0.40859429354276972</v>
      </c>
      <c r="Y2431" s="132"/>
      <c r="Z2431" s="146"/>
      <c r="AA2431" s="143">
        <f>'Valve Sizing'!$G$8*AA2429/P_1_maxW</f>
        <v>0.1954070585216868</v>
      </c>
      <c r="AB2431" s="132"/>
      <c r="AC2431" s="146"/>
      <c r="AD2431" s="143">
        <f>'Valve Sizing'!$G$8*AD2429/P_1_maxW</f>
        <v>-0.29813137561820002</v>
      </c>
      <c r="AE2431" s="132"/>
      <c r="AF2431" s="146"/>
      <c r="AG2431" s="143">
        <f>'Valve Sizing'!$G$8*AG2429/P_1_maxW</f>
        <v>-1.05550060135014</v>
      </c>
      <c r="AH2431" s="132"/>
      <c r="AI2431" s="146"/>
      <c r="AJ2431" s="143">
        <f>'Valve Sizing'!$G$8*AJ2429/P_1_maxW</f>
        <v>-1.9985764845428899</v>
      </c>
      <c r="AK2431" s="132"/>
      <c r="AL2431" s="146"/>
      <c r="AM2431" s="143">
        <f>'Valve Sizing'!$G$8*AM2429/P_1_maxW</f>
        <v>-2.9297343523741679</v>
      </c>
      <c r="AN2431" s="132"/>
      <c r="AO2431" s="146"/>
      <c r="AP2431" s="143">
        <f>'Valve Sizing'!$G$8*AP2429/P_1_maxW</f>
        <v>-3.7653505189349543</v>
      </c>
      <c r="AQ2431" s="132"/>
      <c r="AR2431" s="146"/>
      <c r="AS2431" s="143">
        <f>'Valve Sizing'!$G$8*AS2429/P_1_maxW</f>
        <v>-4.8054552141174351</v>
      </c>
      <c r="AT2431" s="132"/>
      <c r="AU2431" s="146"/>
    </row>
    <row r="2432" spans="13:47" x14ac:dyDescent="0.25">
      <c r="M2432" s="20"/>
      <c r="N2432" s="20"/>
      <c r="O2432" s="7" t="s">
        <v>190</v>
      </c>
      <c r="P2432" s="1"/>
      <c r="Q2432" s="7"/>
      <c r="R2432" s="181">
        <f>R2429-R2430</f>
        <v>50.477121753398421</v>
      </c>
      <c r="S2432" s="132"/>
      <c r="T2432" s="146"/>
      <c r="U2432" s="138">
        <f>U2429-U2430</f>
        <v>47.936369216634802</v>
      </c>
      <c r="V2432" s="132"/>
      <c r="W2432" s="146"/>
      <c r="X2432" s="138">
        <f>X2429-X2430</f>
        <v>34.703435750414812</v>
      </c>
      <c r="Y2432" s="132"/>
      <c r="Z2432" s="146"/>
      <c r="AA2432" s="138">
        <f>AA2429-AA2430</f>
        <v>-9.4912374248890572</v>
      </c>
      <c r="AB2432" s="132"/>
      <c r="AC2432" s="146"/>
      <c r="AD2432" s="138">
        <f>AD2429-AD2430</f>
        <v>-111.80397577484926</v>
      </c>
      <c r="AE2432" s="132"/>
      <c r="AF2432" s="146"/>
      <c r="AG2432" s="138">
        <f>AG2429-AG2430</f>
        <v>-268.81002447633875</v>
      </c>
      <c r="AH2432" s="132"/>
      <c r="AI2432" s="146"/>
      <c r="AJ2432" s="138">
        <f>AJ2429-AJ2430</f>
        <v>-464.31389896062876</v>
      </c>
      <c r="AK2432" s="132"/>
      <c r="AL2432" s="146"/>
      <c r="AM2432" s="138">
        <f>AM2429-AM2430</f>
        <v>-657.34711522869668</v>
      </c>
      <c r="AN2432" s="132"/>
      <c r="AO2432" s="146"/>
      <c r="AP2432" s="138">
        <f>AP2429-AP2430</f>
        <v>-830.5741068799656</v>
      </c>
      <c r="AQ2432" s="132"/>
      <c r="AR2432" s="146"/>
      <c r="AS2432" s="138">
        <f>AS2429-AS2430</f>
        <v>-1046.192490725241</v>
      </c>
      <c r="AT2432" s="132"/>
      <c r="AU2432" s="146"/>
    </row>
    <row r="2433" spans="13:47" ht="14.5" x14ac:dyDescent="0.35">
      <c r="M2433" s="27"/>
      <c r="N2433" s="27"/>
      <c r="O2433" s="2" t="s">
        <v>191</v>
      </c>
      <c r="P2433" s="10"/>
      <c r="Q2433" s="2"/>
      <c r="R2433" s="181">
        <f>R2432/R2429</f>
        <v>0.5023742805579634</v>
      </c>
      <c r="S2433" s="132"/>
      <c r="T2433" s="146"/>
      <c r="U2433" s="138">
        <f>U2432/U2429</f>
        <v>0.48946443083467567</v>
      </c>
      <c r="V2433" s="132"/>
      <c r="W2433" s="146"/>
      <c r="X2433" s="138">
        <f>X2432/X2429</f>
        <v>0.40970517244036186</v>
      </c>
      <c r="Y2433" s="132"/>
      <c r="Z2433" s="146"/>
      <c r="AA2433" s="138">
        <f>AA2432/AA2429</f>
        <v>-0.23430084805208501</v>
      </c>
      <c r="AB2433" s="132"/>
      <c r="AC2433" s="146"/>
      <c r="AD2433" s="138">
        <f>AD2432/AD2429</f>
        <v>1.8090094427282328</v>
      </c>
      <c r="AE2433" s="132"/>
      <c r="AF2433" s="146"/>
      <c r="AG2433" s="138">
        <f>AG2432/AG2429</f>
        <v>1.2285087263239478</v>
      </c>
      <c r="AH2433" s="132"/>
      <c r="AI2433" s="146"/>
      <c r="AJ2433" s="138">
        <f>AJ2432/AJ2429</f>
        <v>1.1206814449754952</v>
      </c>
      <c r="AK2433" s="132"/>
      <c r="AL2433" s="146"/>
      <c r="AM2433" s="138">
        <f>AM2432/AM2429</f>
        <v>1.0823252448991587</v>
      </c>
      <c r="AN2433" s="132"/>
      <c r="AO2433" s="146"/>
      <c r="AP2433" s="138">
        <f>AP2432/AP2429</f>
        <v>1.0640554171081271</v>
      </c>
      <c r="AQ2433" s="132"/>
      <c r="AR2433" s="146"/>
      <c r="AS2433" s="138">
        <f>AS2432/AS2429</f>
        <v>1.0501911030905278</v>
      </c>
      <c r="AT2433" s="132"/>
      <c r="AU2433" s="146"/>
    </row>
    <row r="2434" spans="13:47" x14ac:dyDescent="0.25">
      <c r="M2434" s="27"/>
      <c r="N2434" s="27"/>
      <c r="O2434" s="2" t="s">
        <v>26</v>
      </c>
      <c r="P2434" s="7">
        <v>12</v>
      </c>
      <c r="Q2434" s="2"/>
      <c r="R2434" s="181">
        <f>1-R2433/(3*F_GAMMA*R$29)</f>
        <v>0.73835771791389671</v>
      </c>
      <c r="S2434" s="133"/>
      <c r="T2434" s="146"/>
      <c r="U2434" s="138">
        <f>1-U2433/(3*F_GAMMA*U$29)</f>
        <v>0.74513744233170387</v>
      </c>
      <c r="V2434" s="133"/>
      <c r="W2434" s="146"/>
      <c r="X2434" s="138">
        <f>1-X2433/(3*F_GAMMA*X$29)</f>
        <v>0.78346751006782966</v>
      </c>
      <c r="Y2434" s="133"/>
      <c r="Z2434" s="146"/>
      <c r="AA2434" s="138">
        <f>1-AA2433/(3*F_GAMMA*AA$29)</f>
        <v>1.1255277690940511</v>
      </c>
      <c r="AB2434" s="133"/>
      <c r="AC2434" s="146"/>
      <c r="AD2434" s="138">
        <f>1-AD2433/(3*F_GAMMA*AD$29)</f>
        <v>4.2417792648252739E-3</v>
      </c>
      <c r="AE2434" s="133"/>
      <c r="AF2434" s="146"/>
      <c r="AG2434" s="138">
        <f>1-AG2433/(3*F_GAMMA*AG$29)</f>
        <v>0.28520191034029907</v>
      </c>
      <c r="AH2434" s="133"/>
      <c r="AI2434" s="146"/>
      <c r="AJ2434" s="138">
        <f>1-AJ2433/(3*F_GAMMA*AJ$29)</f>
        <v>0.30293940674883191</v>
      </c>
      <c r="AK2434" s="133"/>
      <c r="AL2434" s="146"/>
      <c r="AM2434" s="138">
        <f>1-AM2433/(3*F_GAMMA*AM$29)</f>
        <v>0.2644571029582039</v>
      </c>
      <c r="AN2434" s="133"/>
      <c r="AO2434" s="146"/>
      <c r="AP2434" s="138">
        <f>1-AP2433/(3*F_GAMMA*AP$29)</f>
        <v>0.40241392274723942</v>
      </c>
      <c r="AQ2434" s="133"/>
      <c r="AR2434" s="146"/>
      <c r="AS2434" s="138">
        <f>1-AS2433/(3*F_GAMMA*AS$29)</f>
        <v>0.10463278301027268</v>
      </c>
      <c r="AT2434" s="133"/>
      <c r="AU2434" s="146"/>
    </row>
    <row r="2435" spans="13:47" x14ac:dyDescent="0.25">
      <c r="M2435" s="27"/>
      <c r="N2435" s="27"/>
      <c r="O2435" s="2" t="s">
        <v>71</v>
      </c>
      <c r="P2435" s="85">
        <v>5</v>
      </c>
      <c r="Q2435" s="2"/>
      <c r="R2435" s="179">
        <f>R2427/((N_6*R$27*R2434)*SQRT(R2433*R2429*R2431))</f>
        <v>1.4639939064327887</v>
      </c>
      <c r="S2435" s="133"/>
      <c r="T2435" s="146"/>
      <c r="U2435" s="143">
        <f>U2427/((N_6*U$27*U2434)*SQRT(U2433*U2429*U2431))</f>
        <v>11.354647223995043</v>
      </c>
      <c r="V2435" s="133"/>
      <c r="W2435" s="146"/>
      <c r="X2435" s="143">
        <f>X2427/((N_6*X$27*X2434)*SQRT(X2433*X2429*X2431))</f>
        <v>33.82698548549665</v>
      </c>
      <c r="Y2435" s="133"/>
      <c r="Z2435" s="146"/>
      <c r="AA2435" s="143" t="e">
        <f>AA2427/((N_6*AA$27*AA2434)*SQRT(AA2433*AA2429*AA2431))</f>
        <v>#NUM!</v>
      </c>
      <c r="AB2435" s="133"/>
      <c r="AC2435" s="146"/>
      <c r="AD2435" s="143">
        <f>AD2427/((N_6*AD$27*AD2434)*SQRT(AD2433*AD2429*AD2431))</f>
        <v>13285.323616208028</v>
      </c>
      <c r="AE2435" s="133"/>
      <c r="AF2435" s="146"/>
      <c r="AG2435" s="143">
        <f>AG2427/((N_6*AG$27*AG2434)*SQRT(AG2433*AG2429*AG2431))</f>
        <v>97.038862253748079</v>
      </c>
      <c r="AH2435" s="133"/>
      <c r="AI2435" s="146"/>
      <c r="AJ2435" s="143">
        <f>AJ2427/((N_6*AJ$27*AJ2434)*SQRT(AJ2433*AJ2429*AJ2431))</f>
        <v>66.343846284723185</v>
      </c>
      <c r="AK2435" s="133"/>
      <c r="AL2435" s="146"/>
      <c r="AM2435" s="143">
        <f>AM2427/((N_6*AM$27*AM2434)*SQRT(AM2433*AM2429*AM2431))</f>
        <v>65.657165725306797</v>
      </c>
      <c r="AN2435" s="133"/>
      <c r="AO2435" s="146"/>
      <c r="AP2435" s="143">
        <f>AP2427/((N_6*AP$27*AP2434)*SQRT(AP2433*AP2429*AP2431))</f>
        <v>42.911451652097426</v>
      </c>
      <c r="AQ2435" s="133"/>
      <c r="AR2435" s="146"/>
      <c r="AS2435" s="143">
        <f>AS2427/((N_6*AS$27*AS2434)*SQRT(AS2433*AS2429*AS2431))</f>
        <v>190.81819846286993</v>
      </c>
      <c r="AT2435" s="133"/>
      <c r="AU2435" s="146"/>
    </row>
    <row r="2436" spans="13:47" x14ac:dyDescent="0.25">
      <c r="M2436" s="27"/>
      <c r="N2436" s="27"/>
      <c r="O2436" s="2" t="s">
        <v>73</v>
      </c>
      <c r="P2436" s="85">
        <v>5</v>
      </c>
      <c r="Q2436" s="2"/>
      <c r="R2436" s="179">
        <f>R2427/((N_6*R$27*0.667)*SQRT(R2437*R2429*R2431))</f>
        <v>1.4358029641498702</v>
      </c>
      <c r="S2436" s="133"/>
      <c r="T2436" s="147"/>
      <c r="U2436" s="143">
        <f>U2427/((N_6*U$27*0.667)*SQRT(U2437*U2429*U2431))</f>
        <v>11.091693102156302</v>
      </c>
      <c r="V2436" s="133"/>
      <c r="W2436" s="155"/>
      <c r="X2436" s="143">
        <f>X2427/((N_6*X$27*0.667)*SQRT(X2437*X2429*X2431))</f>
        <v>32.024371613664584</v>
      </c>
      <c r="Y2436" s="133"/>
      <c r="Z2436" s="155"/>
      <c r="AA2436" s="143">
        <f>AA2427/((N_6*AA$27*0.667)*SQRT(AA2437*AA2429*AA2431))</f>
        <v>132.07251722790105</v>
      </c>
      <c r="AB2436" s="133"/>
      <c r="AC2436" s="155"/>
      <c r="AD2436" s="143">
        <f>AD2427/((N_6*AD$27*0.667)*SQRT(AD2437*AD2429*AD2431))</f>
        <v>146.02659087702139</v>
      </c>
      <c r="AE2436" s="133"/>
      <c r="AF2436" s="155"/>
      <c r="AG2436" s="143">
        <f>AG2427/((N_6*AG$27*0.667)*SQRT(AG2437*AG2429*AG2431))</f>
        <v>60.760957791080372</v>
      </c>
      <c r="AH2436" s="133"/>
      <c r="AI2436" s="155"/>
      <c r="AJ2436" s="143">
        <f>AJ2427/((N_6*AJ$27*0.667)*SQRT(AJ2437*AJ2429*AJ2431))</f>
        <v>43.573904371881213</v>
      </c>
      <c r="AK2436" s="133"/>
      <c r="AL2436" s="155"/>
      <c r="AM2436" s="143">
        <f>AM2427/((N_6*AM$27*0.667)*SQRT(AM2437*AM2429*AM2431))</f>
        <v>38.67017734220682</v>
      </c>
      <c r="AN2436" s="133"/>
      <c r="AO2436" s="155"/>
      <c r="AP2436" s="143">
        <f>AP2427/((N_6*AP$27*0.667)*SQRT(AP2437*AP2429*AP2431))</f>
        <v>34.664204117052634</v>
      </c>
      <c r="AQ2436" s="133"/>
      <c r="AR2436" s="155"/>
      <c r="AS2436" s="143">
        <f>AS2427/((N_6*AS$27*0.667)*SQRT(AS2437*AS2429*AS2431))</f>
        <v>49.059481742396692</v>
      </c>
      <c r="AT2436" s="133"/>
      <c r="AU2436" s="155"/>
    </row>
    <row r="2437" spans="13:47" ht="15.5" x14ac:dyDescent="0.4">
      <c r="M2437" s="27"/>
      <c r="N2437" s="27"/>
      <c r="O2437" s="2" t="s">
        <v>192</v>
      </c>
      <c r="P2437" s="85">
        <v>10</v>
      </c>
      <c r="Q2437" s="2"/>
      <c r="R2437" s="181">
        <f>F_GAMMA*R$29</f>
        <v>0.64002688015162901</v>
      </c>
      <c r="S2437" s="133"/>
      <c r="T2437" s="147"/>
      <c r="U2437" s="138">
        <f>F_GAMMA*U$29</f>
        <v>0.64016782916606918</v>
      </c>
      <c r="V2437" s="133"/>
      <c r="W2437" s="155"/>
      <c r="X2437" s="138">
        <f>F_GAMMA*X$29</f>
        <v>0.6307062319203669</v>
      </c>
      <c r="Y2437" s="133"/>
      <c r="Z2437" s="155"/>
      <c r="AA2437" s="138">
        <f>F_GAMMA*AA$29</f>
        <v>0.62217534213893466</v>
      </c>
      <c r="AB2437" s="133"/>
      <c r="AC2437" s="155"/>
      <c r="AD2437" s="138">
        <f>F_GAMMA*AD$29</f>
        <v>0.60557184969146072</v>
      </c>
      <c r="AE2437" s="133"/>
      <c r="AF2437" s="155"/>
      <c r="AG2437" s="138">
        <f>F_GAMMA*AG$29</f>
        <v>0.57289312142622573</v>
      </c>
      <c r="AH2437" s="133"/>
      <c r="AI2437" s="155"/>
      <c r="AJ2437" s="138">
        <f>F_GAMMA*AJ$29</f>
        <v>0.53590819116049981</v>
      </c>
      <c r="AK2437" s="133"/>
      <c r="AL2437" s="155"/>
      <c r="AM2437" s="138">
        <f>F_GAMMA*AM$29</f>
        <v>0.49048815926850342</v>
      </c>
      <c r="AN2437" s="133"/>
      <c r="AO2437" s="155"/>
      <c r="AP2437" s="138">
        <f>F_GAMMA*AP$29</f>
        <v>0.59352979016280105</v>
      </c>
      <c r="AQ2437" s="133"/>
      <c r="AR2437" s="155"/>
      <c r="AS2437" s="138">
        <f>F_GAMMA*AS$29</f>
        <v>0.39097221161068291</v>
      </c>
      <c r="AT2437" s="133"/>
      <c r="AU2437" s="155"/>
    </row>
    <row r="2438" spans="13:47" x14ac:dyDescent="0.25">
      <c r="M2438" s="27"/>
      <c r="N2438" s="27"/>
      <c r="O2438" s="2" t="s">
        <v>193</v>
      </c>
      <c r="P2438" s="134"/>
      <c r="Q2438" s="2"/>
      <c r="R2438" s="181">
        <f>IF(R2433&lt;R2437,R2435,R2436)</f>
        <v>1.4639939064327887</v>
      </c>
      <c r="S2438" s="133"/>
      <c r="T2438" s="147"/>
      <c r="U2438" s="138">
        <f>IF(U2433&lt;U2437,U2435,U2436)</f>
        <v>11.354647223995043</v>
      </c>
      <c r="V2438" s="133"/>
      <c r="W2438" s="155"/>
      <c r="X2438" s="138">
        <f>IF(X2433&lt;X2437,X2435,X2436)</f>
        <v>33.82698548549665</v>
      </c>
      <c r="Y2438" s="133"/>
      <c r="Z2438" s="155"/>
      <c r="AA2438" s="138" t="e">
        <f>IF(AA2433&lt;AA2437,AA2435,AA2436)</f>
        <v>#NUM!</v>
      </c>
      <c r="AB2438" s="133"/>
      <c r="AC2438" s="155"/>
      <c r="AD2438" s="138">
        <f>IF(AD2433&lt;AD2437,AD2435,AD2436)</f>
        <v>146.02659087702139</v>
      </c>
      <c r="AE2438" s="133"/>
      <c r="AF2438" s="155"/>
      <c r="AG2438" s="138">
        <f>IF(AG2433&lt;AG2437,AG2435,AG2436)</f>
        <v>60.760957791080372</v>
      </c>
      <c r="AH2438" s="133"/>
      <c r="AI2438" s="155"/>
      <c r="AJ2438" s="138">
        <f>IF(AJ2433&lt;AJ2437,AJ2435,AJ2436)</f>
        <v>43.573904371881213</v>
      </c>
      <c r="AK2438" s="133"/>
      <c r="AL2438" s="155"/>
      <c r="AM2438" s="138">
        <f>IF(AM2433&lt;AM2437,AM2435,AM2436)</f>
        <v>38.67017734220682</v>
      </c>
      <c r="AN2438" s="133"/>
      <c r="AO2438" s="155"/>
      <c r="AP2438" s="138">
        <f>IF(AP2433&lt;AP2437,AP2435,AP2436)</f>
        <v>34.664204117052634</v>
      </c>
      <c r="AQ2438" s="133"/>
      <c r="AR2438" s="155"/>
      <c r="AS2438" s="138">
        <f>IF(AS2433&lt;AS2437,AS2435,AS2436)</f>
        <v>49.059481742396692</v>
      </c>
      <c r="AT2438" s="133"/>
      <c r="AU2438" s="155"/>
    </row>
    <row r="2439" spans="13:47" ht="13" x14ac:dyDescent="0.3">
      <c r="M2439" s="28"/>
      <c r="N2439" s="28"/>
      <c r="O2439" s="9" t="s">
        <v>194</v>
      </c>
      <c r="P2439" s="1"/>
      <c r="Q2439" s="1"/>
      <c r="R2439" s="135"/>
      <c r="S2439" s="132">
        <f>IF(R2432&lt;=0,W_max,ABS(R$23-R2438))</f>
        <v>0.53600609356721129</v>
      </c>
      <c r="T2439" s="151">
        <f>R2427</f>
        <v>338.40350919740223</v>
      </c>
      <c r="U2439" s="135"/>
      <c r="V2439" s="132">
        <f>IF(U2432&lt;=0,W_max,ABS(U$23-U2438))</f>
        <v>6.3546472239950429</v>
      </c>
      <c r="W2439" s="151">
        <f>U2427</f>
        <v>2546.7864055610203</v>
      </c>
      <c r="X2439" s="135"/>
      <c r="Y2439" s="132">
        <f>IF(X2432&lt;=0,W_max,ABS(X$23-X2438))</f>
        <v>23.82698548549665</v>
      </c>
      <c r="Z2439" s="151">
        <f>X2427</f>
        <v>6298.505852087349</v>
      </c>
      <c r="AA2439" s="135"/>
      <c r="AB2439" s="132">
        <f>IF(AA2432&lt;=0,W_max,ABS(AA$23-AA2438))</f>
        <v>7174</v>
      </c>
      <c r="AC2439" s="151">
        <f>AA2427</f>
        <v>12267.881735136478</v>
      </c>
      <c r="AD2439" s="135"/>
      <c r="AE2439" s="132">
        <f>IF(AD2432&lt;=0,W_max,ABS(AD$23-AD2438))</f>
        <v>7174</v>
      </c>
      <c r="AF2439" s="151">
        <f>AD2427</f>
        <v>20176.148688222791</v>
      </c>
      <c r="AG2439" s="135"/>
      <c r="AH2439" s="132">
        <f>IF(AG2432&lt;=0,W_max,ABS(AG$23-AG2438))</f>
        <v>7174</v>
      </c>
      <c r="AI2439" s="151">
        <f>AG2427</f>
        <v>28298.6018196367</v>
      </c>
      <c r="AJ2439" s="135"/>
      <c r="AK2439" s="132">
        <f>IF(AJ2432&lt;=0,W_max,ABS(AJ$23-AJ2438))</f>
        <v>7174</v>
      </c>
      <c r="AL2439" s="151">
        <f>AJ2427</f>
        <v>35931.715235401003</v>
      </c>
      <c r="AM2439" s="135"/>
      <c r="AN2439" s="132">
        <f>IF(AM2432&lt;=0,W_max,ABS(AM$23-AM2438))</f>
        <v>7174</v>
      </c>
      <c r="AO2439" s="151">
        <f>AM2427</f>
        <v>42132.761960510732</v>
      </c>
      <c r="AP2439" s="135"/>
      <c r="AQ2439" s="132">
        <f>IF(AP2432&lt;=0,W_max,ABS(AP$23-AP2438))</f>
        <v>7174</v>
      </c>
      <c r="AR2439" s="151">
        <f>AP2427</f>
        <v>47006.188876926353</v>
      </c>
      <c r="AS2439" s="135"/>
      <c r="AT2439" s="132">
        <f>IF(AS2432&lt;=0,W_max,ABS(AS$23-AS2438))</f>
        <v>7174</v>
      </c>
      <c r="AU2439" s="151">
        <f>AS2427</f>
        <v>52443.317027358033</v>
      </c>
    </row>
    <row r="2440" spans="13:47" ht="13" x14ac:dyDescent="0.25">
      <c r="M2440" s="12"/>
      <c r="N2440" s="12"/>
      <c r="O2440" s="12"/>
      <c r="P2440" s="12"/>
      <c r="Q2440" s="12"/>
      <c r="R2440" s="182"/>
      <c r="S2440" s="22"/>
      <c r="T2440" s="152"/>
      <c r="U2440" s="157"/>
      <c r="V2440" s="1"/>
      <c r="W2440" s="147"/>
      <c r="X2440" s="157"/>
      <c r="Y2440" s="1"/>
      <c r="Z2440" s="147"/>
      <c r="AA2440" s="157"/>
      <c r="AB2440" s="1"/>
      <c r="AC2440" s="147"/>
      <c r="AD2440" s="157"/>
      <c r="AE2440" s="1"/>
      <c r="AF2440" s="147"/>
      <c r="AG2440" s="157"/>
      <c r="AH2440" s="1"/>
      <c r="AI2440" s="147"/>
      <c r="AJ2440" s="157"/>
      <c r="AK2440" s="1"/>
      <c r="AL2440" s="147"/>
      <c r="AM2440" s="157"/>
      <c r="AN2440" s="1"/>
      <c r="AO2440" s="147"/>
      <c r="AP2440" s="157"/>
      <c r="AQ2440" s="1"/>
      <c r="AR2440" s="147"/>
      <c r="AS2440" s="157"/>
      <c r="AT2440" s="1"/>
      <c r="AU2440" s="147"/>
    </row>
    <row r="2441" spans="13:47" ht="14" x14ac:dyDescent="0.3">
      <c r="M2441" s="23"/>
      <c r="N2441" s="23"/>
      <c r="O2441" s="23" t="s">
        <v>238</v>
      </c>
      <c r="P2441" s="20"/>
      <c r="Q2441" s="20"/>
      <c r="R2441" s="18">
        <f>R2427*1.02</f>
        <v>345.17157938135028</v>
      </c>
      <c r="S2441" s="128" t="s">
        <v>185</v>
      </c>
      <c r="T2441" s="153" t="s">
        <v>186</v>
      </c>
      <c r="U2441" s="143">
        <f>U2427*1.01</f>
        <v>2572.2542696166306</v>
      </c>
      <c r="V2441" s="128" t="s">
        <v>185</v>
      </c>
      <c r="W2441" s="153" t="s">
        <v>186</v>
      </c>
      <c r="X2441" s="143">
        <f>X2427*1.01</f>
        <v>6361.4909106082223</v>
      </c>
      <c r="Y2441" s="128" t="s">
        <v>185</v>
      </c>
      <c r="Z2441" s="153" t="s">
        <v>186</v>
      </c>
      <c r="AA2441" s="143">
        <f>AA2427*1.01</f>
        <v>12390.560552487843</v>
      </c>
      <c r="AB2441" s="128" t="s">
        <v>185</v>
      </c>
      <c r="AC2441" s="153" t="s">
        <v>186</v>
      </c>
      <c r="AD2441" s="143">
        <f>AD2427*1.01</f>
        <v>20377.910175105018</v>
      </c>
      <c r="AE2441" s="128" t="s">
        <v>185</v>
      </c>
      <c r="AF2441" s="153" t="s">
        <v>186</v>
      </c>
      <c r="AG2441" s="143">
        <f>AG2427*1.01</f>
        <v>28581.587837833067</v>
      </c>
      <c r="AH2441" s="128" t="s">
        <v>185</v>
      </c>
      <c r="AI2441" s="153" t="s">
        <v>186</v>
      </c>
      <c r="AJ2441" s="143">
        <f>AJ2427*1.01</f>
        <v>36291.032387755011</v>
      </c>
      <c r="AK2441" s="128" t="s">
        <v>185</v>
      </c>
      <c r="AL2441" s="153" t="s">
        <v>186</v>
      </c>
      <c r="AM2441" s="143">
        <f>AM2427*1.01</f>
        <v>42554.08958011584</v>
      </c>
      <c r="AN2441" s="128" t="s">
        <v>185</v>
      </c>
      <c r="AO2441" s="153" t="s">
        <v>186</v>
      </c>
      <c r="AP2441" s="143">
        <f>AP2427*1.01</f>
        <v>47476.250765695615</v>
      </c>
      <c r="AQ2441" s="128" t="s">
        <v>185</v>
      </c>
      <c r="AR2441" s="153" t="s">
        <v>186</v>
      </c>
      <c r="AS2441" s="143">
        <f>AS2427*1.01</f>
        <v>52967.750197631613</v>
      </c>
      <c r="AT2441" s="128" t="s">
        <v>185</v>
      </c>
      <c r="AU2441" s="153" t="s">
        <v>186</v>
      </c>
    </row>
    <row r="2442" spans="13:47" ht="14" x14ac:dyDescent="0.3">
      <c r="M2442" s="12"/>
      <c r="N2442" s="12"/>
      <c r="O2442" s="20"/>
      <c r="P2442" s="20"/>
      <c r="Q2442" s="23"/>
      <c r="R2442" s="139"/>
      <c r="S2442" s="130" t="s">
        <v>228</v>
      </c>
      <c r="T2442" s="154" t="s">
        <v>187</v>
      </c>
      <c r="U2442" s="144"/>
      <c r="V2442" s="130" t="s">
        <v>228</v>
      </c>
      <c r="W2442" s="154" t="s">
        <v>187</v>
      </c>
      <c r="X2442" s="144"/>
      <c r="Y2442" s="130" t="s">
        <v>228</v>
      </c>
      <c r="Z2442" s="154" t="s">
        <v>187</v>
      </c>
      <c r="AA2442" s="144"/>
      <c r="AB2442" s="130" t="s">
        <v>228</v>
      </c>
      <c r="AC2442" s="154" t="s">
        <v>187</v>
      </c>
      <c r="AD2442" s="144"/>
      <c r="AE2442" s="130" t="s">
        <v>228</v>
      </c>
      <c r="AF2442" s="154" t="s">
        <v>187</v>
      </c>
      <c r="AG2442" s="144"/>
      <c r="AH2442" s="130" t="s">
        <v>228</v>
      </c>
      <c r="AI2442" s="154" t="s">
        <v>187</v>
      </c>
      <c r="AJ2442" s="144"/>
      <c r="AK2442" s="130" t="s">
        <v>228</v>
      </c>
      <c r="AL2442" s="154" t="s">
        <v>187</v>
      </c>
      <c r="AM2442" s="144"/>
      <c r="AN2442" s="130" t="s">
        <v>228</v>
      </c>
      <c r="AO2442" s="154" t="s">
        <v>187</v>
      </c>
      <c r="AP2442" s="144"/>
      <c r="AQ2442" s="130" t="s">
        <v>228</v>
      </c>
      <c r="AR2442" s="154" t="s">
        <v>187</v>
      </c>
      <c r="AS2442" s="144"/>
      <c r="AT2442" s="130" t="s">
        <v>228</v>
      </c>
      <c r="AU2442" s="154" t="s">
        <v>187</v>
      </c>
    </row>
    <row r="2443" spans="13:47" x14ac:dyDescent="0.25">
      <c r="M2443" s="20"/>
      <c r="N2443" s="20"/>
      <c r="O2443" s="7" t="s">
        <v>188</v>
      </c>
      <c r="P2443" s="7"/>
      <c r="Q2443" s="7"/>
      <c r="R2443" s="181">
        <f>P_1_minW-(R2441^2*R_up)+dpup_minQ</f>
        <v>100.47527688807196</v>
      </c>
      <c r="S2443" s="132"/>
      <c r="T2443" s="145"/>
      <c r="U2443" s="138">
        <f>P_1_minW-(U2441^2*R_up)+dpup_minQ</f>
        <v>97.884382224480945</v>
      </c>
      <c r="V2443" s="132"/>
      <c r="W2443" s="145"/>
      <c r="X2443" s="138">
        <f>P_1_minW-(X2441^2*R_up)+dpup_minQ</f>
        <v>84.385466795589949</v>
      </c>
      <c r="Y2443" s="132"/>
      <c r="Z2443" s="145"/>
      <c r="AA2443" s="138">
        <f>P_1_minW-(AA2441^2*R_up)+dpup_minQ</f>
        <v>39.30248068946247</v>
      </c>
      <c r="AB2443" s="132"/>
      <c r="AC2443" s="145"/>
      <c r="AD2443" s="138">
        <f>P_1_minW-(AD2441^2*R_up)+dpup_minQ</f>
        <v>-65.066743701331959</v>
      </c>
      <c r="AE2443" s="132"/>
      <c r="AF2443" s="145"/>
      <c r="AG2443" s="138">
        <f>P_1_minW-(AG2441^2*R_up)+dpup_minQ</f>
        <v>-225.22861398172134</v>
      </c>
      <c r="AH2443" s="132"/>
      <c r="AI2443" s="145"/>
      <c r="AJ2443" s="138">
        <f>P_1_minW-(AJ2441^2*R_up)+dpup_minQ</f>
        <v>-424.6621163431455</v>
      </c>
      <c r="AK2443" s="132"/>
      <c r="AL2443" s="145"/>
      <c r="AM2443" s="138">
        <f>P_1_minW-(AM2441^2*R_up)+dpup_minQ</f>
        <v>-621.57530025820165</v>
      </c>
      <c r="AN2443" s="132"/>
      <c r="AO2443" s="145"/>
      <c r="AP2443" s="138">
        <f>P_1_minW-(AP2441^2*R_up)+dpup_minQ</f>
        <v>-798.28415444166092</v>
      </c>
      <c r="AQ2443" s="132"/>
      <c r="AR2443" s="145"/>
      <c r="AS2443" s="138">
        <f>P_1_minW-(AS2441^2*R_up)+dpup_minQ</f>
        <v>-1018.2364678022262</v>
      </c>
      <c r="AT2443" s="132"/>
      <c r="AU2443" s="145"/>
    </row>
    <row r="2444" spans="13:47" x14ac:dyDescent="0.25">
      <c r="M2444" s="20"/>
      <c r="N2444" s="20"/>
      <c r="O2444" s="7" t="s">
        <v>189</v>
      </c>
      <c r="P2444" s="1"/>
      <c r="Q2444" s="7"/>
      <c r="R2444" s="181">
        <f>P_2_minW+(R2441^2*R_dn)-dpdn_minQ</f>
        <v>50</v>
      </c>
      <c r="S2444" s="132"/>
      <c r="T2444" s="146"/>
      <c r="U2444" s="138">
        <f>P_2_minW+(U2441^2*R_dn)-dpdn_minQ</f>
        <v>50</v>
      </c>
      <c r="V2444" s="132"/>
      <c r="W2444" s="146"/>
      <c r="X2444" s="138">
        <f>P_2_minW+(X2441^2*R_dn)-dpdn_minQ</f>
        <v>50</v>
      </c>
      <c r="Y2444" s="132"/>
      <c r="Z2444" s="146"/>
      <c r="AA2444" s="138">
        <f>P_2_minW+(AA2441^2*R_dn)-dpdn_minQ</f>
        <v>50</v>
      </c>
      <c r="AB2444" s="132"/>
      <c r="AC2444" s="146"/>
      <c r="AD2444" s="138">
        <f>P_2_minW+(AD2441^2*R_dn)-dpdn_minQ</f>
        <v>50</v>
      </c>
      <c r="AE2444" s="132"/>
      <c r="AF2444" s="146"/>
      <c r="AG2444" s="138">
        <f>P_2_minW+(AG2441^2*R_dn)-dpdn_minQ</f>
        <v>50</v>
      </c>
      <c r="AH2444" s="132"/>
      <c r="AI2444" s="146"/>
      <c r="AJ2444" s="138">
        <f>P_2_minW+(AJ2441^2*R_dn)-dpdn_minQ</f>
        <v>50</v>
      </c>
      <c r="AK2444" s="132"/>
      <c r="AL2444" s="146"/>
      <c r="AM2444" s="138">
        <f>P_2_minW+(AM2441^2*R_dn)-dpdn_minQ</f>
        <v>50</v>
      </c>
      <c r="AN2444" s="132"/>
      <c r="AO2444" s="146"/>
      <c r="AP2444" s="138">
        <f>P_2_minW+(AP2441^2*R_dn)-dpdn_minQ</f>
        <v>50</v>
      </c>
      <c r="AQ2444" s="132"/>
      <c r="AR2444" s="146"/>
      <c r="AS2444" s="138">
        <f>P_2_minW+(AS2441^2*R_dn)-dpdn_minQ</f>
        <v>50</v>
      </c>
      <c r="AT2444" s="132"/>
      <c r="AU2444" s="146"/>
    </row>
    <row r="2445" spans="13:47" x14ac:dyDescent="0.25">
      <c r="M2445" s="20"/>
      <c r="N2445" s="20"/>
      <c r="O2445" s="7" t="s">
        <v>234</v>
      </c>
      <c r="P2445" s="1"/>
      <c r="Q2445" s="7"/>
      <c r="R2445" s="179">
        <f>'Valve Sizing'!G$8*R2443/P_1_maxW</f>
        <v>0.48467484718758758</v>
      </c>
      <c r="S2445" s="132"/>
      <c r="T2445" s="146"/>
      <c r="U2445" s="143">
        <f>'Valve Sizing'!$G$8*U2443/P_1_maxW</f>
        <v>0.47217683261078786</v>
      </c>
      <c r="V2445" s="132"/>
      <c r="W2445" s="146"/>
      <c r="X2445" s="143">
        <f>'Valve Sizing'!$G$8*X2443/P_1_maxW</f>
        <v>0.40706046791557771</v>
      </c>
      <c r="Y2445" s="132"/>
      <c r="Z2445" s="146"/>
      <c r="AA2445" s="143">
        <f>'Valve Sizing'!$G$8*AA2443/P_1_maxW</f>
        <v>0.18958816947057103</v>
      </c>
      <c r="AB2445" s="132"/>
      <c r="AC2445" s="146"/>
      <c r="AD2445" s="143">
        <f>'Valve Sizing'!$G$8*AD2443/P_1_maxW</f>
        <v>-0.31387038719552762</v>
      </c>
      <c r="AE2445" s="132"/>
      <c r="AF2445" s="146"/>
      <c r="AG2445" s="143">
        <f>'Valve Sizing'!$G$8*AG2443/P_1_maxW</f>
        <v>-1.0864627343646795</v>
      </c>
      <c r="AH2445" s="132"/>
      <c r="AI2445" s="146"/>
      <c r="AJ2445" s="143">
        <f>'Valve Sizing'!$G$8*AJ2443/P_1_maxW</f>
        <v>-2.0484944428096035</v>
      </c>
      <c r="AK2445" s="132"/>
      <c r="AL2445" s="146"/>
      <c r="AM2445" s="143">
        <f>'Valve Sizing'!$G$8*AM2443/P_1_maxW</f>
        <v>-2.9983685837842904</v>
      </c>
      <c r="AN2445" s="132"/>
      <c r="AO2445" s="146"/>
      <c r="AP2445" s="143">
        <f>'Valve Sizing'!$G$8*AP2443/P_1_maxW</f>
        <v>-3.8507806352929479</v>
      </c>
      <c r="AQ2445" s="132"/>
      <c r="AR2445" s="146"/>
      <c r="AS2445" s="143">
        <f>'Valve Sizing'!$G$8*AS2443/P_1_maxW</f>
        <v>-4.9117914348485963</v>
      </c>
      <c r="AT2445" s="132"/>
      <c r="AU2445" s="146"/>
    </row>
    <row r="2446" spans="13:47" x14ac:dyDescent="0.25">
      <c r="M2446" s="20"/>
      <c r="N2446" s="20"/>
      <c r="O2446" s="7" t="s">
        <v>190</v>
      </c>
      <c r="P2446" s="1"/>
      <c r="Q2446" s="7"/>
      <c r="R2446" s="181">
        <f>R2443-R2444</f>
        <v>50.47527688807196</v>
      </c>
      <c r="S2446" s="132"/>
      <c r="T2446" s="146"/>
      <c r="U2446" s="138">
        <f>U2443-U2444</f>
        <v>47.884382224480945</v>
      </c>
      <c r="V2446" s="132"/>
      <c r="W2446" s="146"/>
      <c r="X2446" s="138">
        <f>X2443-X2444</f>
        <v>34.385466795589949</v>
      </c>
      <c r="Y2446" s="132"/>
      <c r="Z2446" s="146"/>
      <c r="AA2446" s="138">
        <f>AA2443-AA2444</f>
        <v>-10.69751931053753</v>
      </c>
      <c r="AB2446" s="132"/>
      <c r="AC2446" s="146"/>
      <c r="AD2446" s="138">
        <f>AD2443-AD2444</f>
        <v>-115.06674370133196</v>
      </c>
      <c r="AE2446" s="132"/>
      <c r="AF2446" s="146"/>
      <c r="AG2446" s="138">
        <f>AG2443-AG2444</f>
        <v>-275.22861398172131</v>
      </c>
      <c r="AH2446" s="132"/>
      <c r="AI2446" s="146"/>
      <c r="AJ2446" s="138">
        <f>AJ2443-AJ2444</f>
        <v>-474.6621163431455</v>
      </c>
      <c r="AK2446" s="132"/>
      <c r="AL2446" s="146"/>
      <c r="AM2446" s="138">
        <f>AM2443-AM2444</f>
        <v>-671.57530025820165</v>
      </c>
      <c r="AN2446" s="132"/>
      <c r="AO2446" s="146"/>
      <c r="AP2446" s="138">
        <f>AP2443-AP2444</f>
        <v>-848.28415444166092</v>
      </c>
      <c r="AQ2446" s="132"/>
      <c r="AR2446" s="146"/>
      <c r="AS2446" s="138">
        <f>AS2443-AS2444</f>
        <v>-1068.2364678022263</v>
      </c>
      <c r="AT2446" s="132"/>
      <c r="AU2446" s="146"/>
    </row>
    <row r="2447" spans="13:47" ht="14.5" x14ac:dyDescent="0.35">
      <c r="M2447" s="27"/>
      <c r="N2447" s="27"/>
      <c r="O2447" s="2" t="s">
        <v>191</v>
      </c>
      <c r="P2447" s="10"/>
      <c r="Q2447" s="2"/>
      <c r="R2447" s="181">
        <f>R2446/R2443</f>
        <v>0.50236514346012406</v>
      </c>
      <c r="S2447" s="132"/>
      <c r="T2447" s="146"/>
      <c r="U2447" s="138">
        <f>U2446/U2443</f>
        <v>0.48919328228139985</v>
      </c>
      <c r="V2447" s="132"/>
      <c r="W2447" s="146"/>
      <c r="X2447" s="138">
        <f>X2446/X2443</f>
        <v>0.40748090994013392</v>
      </c>
      <c r="Y2447" s="132"/>
      <c r="Z2447" s="146"/>
      <c r="AA2447" s="138">
        <f>AA2446/AA2443</f>
        <v>-0.27218432839038786</v>
      </c>
      <c r="AB2447" s="132"/>
      <c r="AC2447" s="146"/>
      <c r="AD2447" s="138">
        <f>AD2446/AD2443</f>
        <v>1.7684417131662371</v>
      </c>
      <c r="AE2447" s="132"/>
      <c r="AF2447" s="146"/>
      <c r="AG2447" s="138">
        <f>AG2446/AG2443</f>
        <v>1.2219966598207535</v>
      </c>
      <c r="AH2447" s="132"/>
      <c r="AI2447" s="146"/>
      <c r="AJ2447" s="138">
        <f>AJ2446/AJ2443</f>
        <v>1.1177406650505124</v>
      </c>
      <c r="AK2447" s="132"/>
      <c r="AL2447" s="146"/>
      <c r="AM2447" s="138">
        <f>AM2446/AM2443</f>
        <v>1.0804407768121256</v>
      </c>
      <c r="AN2447" s="132"/>
      <c r="AO2447" s="146"/>
      <c r="AP2447" s="138">
        <f>AP2446/AP2443</f>
        <v>1.0626343385645318</v>
      </c>
      <c r="AQ2447" s="132"/>
      <c r="AR2447" s="146"/>
      <c r="AS2447" s="138">
        <f>AS2446/AS2443</f>
        <v>1.0491045072348673</v>
      </c>
      <c r="AT2447" s="132"/>
      <c r="AU2447" s="146"/>
    </row>
    <row r="2448" spans="13:47" x14ac:dyDescent="0.25">
      <c r="M2448" s="27"/>
      <c r="N2448" s="27"/>
      <c r="O2448" s="2" t="s">
        <v>26</v>
      </c>
      <c r="P2448" s="7">
        <v>12</v>
      </c>
      <c r="Q2448" s="2"/>
      <c r="R2448" s="181">
        <f>1-R2447/(3*F_GAMMA*R$29)</f>
        <v>0.73836247661915455</v>
      </c>
      <c r="S2448" s="133"/>
      <c r="T2448" s="146"/>
      <c r="U2448" s="138">
        <f>1-U2447/(3*F_GAMMA*U$29)</f>
        <v>0.7452786285128491</v>
      </c>
      <c r="V2448" s="133"/>
      <c r="W2448" s="146"/>
      <c r="X2448" s="138">
        <f>1-X2447/(3*F_GAMMA*X$29)</f>
        <v>0.78464305074887197</v>
      </c>
      <c r="Y2448" s="133"/>
      <c r="Z2448" s="146"/>
      <c r="AA2448" s="138">
        <f>1-AA2447/(3*F_GAMMA*AA$29)</f>
        <v>1.1458240198840965</v>
      </c>
      <c r="AB2448" s="133"/>
      <c r="AC2448" s="146"/>
      <c r="AD2448" s="138">
        <f>1-AD2447/(3*F_GAMMA*AD$29)</f>
        <v>2.6572038717200819E-2</v>
      </c>
      <c r="AE2448" s="133"/>
      <c r="AF2448" s="146"/>
      <c r="AG2448" s="138">
        <f>1-AG2447/(3*F_GAMMA*AG$29)</f>
        <v>0.28899090474992672</v>
      </c>
      <c r="AH2448" s="133"/>
      <c r="AI2448" s="146"/>
      <c r="AJ2448" s="138">
        <f>1-AJ2447/(3*F_GAMMA*AJ$29)</f>
        <v>0.30476856329311142</v>
      </c>
      <c r="AK2448" s="133"/>
      <c r="AL2448" s="146"/>
      <c r="AM2448" s="138">
        <f>1-AM2447/(3*F_GAMMA*AM$29)</f>
        <v>0.26573777817358091</v>
      </c>
      <c r="AN2448" s="133"/>
      <c r="AO2448" s="146"/>
      <c r="AP2448" s="138">
        <f>1-AP2447/(3*F_GAMMA*AP$29)</f>
        <v>0.4032120172249154</v>
      </c>
      <c r="AQ2448" s="133"/>
      <c r="AR2448" s="146"/>
      <c r="AS2448" s="138">
        <f>1-AS2447/(3*F_GAMMA*AS$29)</f>
        <v>0.10555918802780928</v>
      </c>
      <c r="AT2448" s="133"/>
      <c r="AU2448" s="146"/>
    </row>
    <row r="2449" spans="13:47" x14ac:dyDescent="0.25">
      <c r="M2449" s="27"/>
      <c r="N2449" s="27"/>
      <c r="O2449" s="2" t="s">
        <v>71</v>
      </c>
      <c r="P2449" s="85">
        <v>5</v>
      </c>
      <c r="Q2449" s="2"/>
      <c r="R2449" s="179">
        <f>R2441/((N_6*R$27*R2448)*SQRT(R2447*R2443*R2445))</f>
        <v>1.4933051589457194</v>
      </c>
      <c r="S2449" s="133"/>
      <c r="T2449" s="146"/>
      <c r="U2449" s="143">
        <f>U2441/((N_6*U$27*U2448)*SQRT(U2447*U2443*U2445))</f>
        <v>11.475289748935138</v>
      </c>
      <c r="V2449" s="133"/>
      <c r="W2449" s="146"/>
      <c r="X2449" s="143">
        <f>X2441/((N_6*X$27*X2448)*SQRT(X2447*X2443*X2445))</f>
        <v>34.33594373325689</v>
      </c>
      <c r="Y2449" s="133"/>
      <c r="Z2449" s="146"/>
      <c r="AA2449" s="143" t="e">
        <f>AA2441/((N_6*AA$27*AA2448)*SQRT(AA2447*AA2443*AA2445))</f>
        <v>#NUM!</v>
      </c>
      <c r="AB2449" s="133"/>
      <c r="AC2449" s="146"/>
      <c r="AD2449" s="143">
        <f>AD2441/((N_6*AD$27*AD2448)*SQRT(AD2447*AD2443*AD2445))</f>
        <v>2057.7806658824525</v>
      </c>
      <c r="AE2449" s="133"/>
      <c r="AF2449" s="146"/>
      <c r="AG2449" s="143">
        <f>AG2441/((N_6*AG$27*AG2448)*SQRT(AG2447*AG2443*AG2445))</f>
        <v>94.217828192724625</v>
      </c>
      <c r="AH2449" s="133"/>
      <c r="AI2449" s="146"/>
      <c r="AJ2449" s="143">
        <f>AJ2441/((N_6*AJ$27*AJ2448)*SQRT(AJ2447*AJ2443*AJ2445))</f>
        <v>65.067507492030529</v>
      </c>
      <c r="AK2449" s="133"/>
      <c r="AL2449" s="146"/>
      <c r="AM2449" s="143">
        <f>AM2441/((N_6*AM$27*AM2448)*SQRT(AM2447*AM2443*AM2445))</f>
        <v>64.539720022818699</v>
      </c>
      <c r="AN2449" s="133"/>
      <c r="AO2449" s="146"/>
      <c r="AP2449" s="143">
        <f>AP2441/((N_6*AP$27*AP2448)*SQRT(AP2447*AP2443*AP2445))</f>
        <v>42.323438474069604</v>
      </c>
      <c r="AQ2449" s="133"/>
      <c r="AR2449" s="146"/>
      <c r="AS2449" s="143">
        <f>AS2441/((N_6*AS$27*AS2448)*SQRT(AS2447*AS2443*AS2445))</f>
        <v>186.99599646402643</v>
      </c>
      <c r="AT2449" s="133"/>
      <c r="AU2449" s="146"/>
    </row>
    <row r="2450" spans="13:47" x14ac:dyDescent="0.25">
      <c r="M2450" s="27"/>
      <c r="N2450" s="27"/>
      <c r="O2450" s="2" t="s">
        <v>73</v>
      </c>
      <c r="P2450" s="85">
        <v>5</v>
      </c>
      <c r="Q2450" s="2"/>
      <c r="R2450" s="179">
        <f>R2441/((N_6*R$27*0.667)*SQRT(R2451*R2443*R2445))</f>
        <v>1.464545914031729</v>
      </c>
      <c r="S2450" s="133"/>
      <c r="T2450" s="155"/>
      <c r="U2450" s="143">
        <f>U2441/((N_6*U$27*0.667)*SQRT(U2451*U2443*U2445))</f>
        <v>11.208559807663461</v>
      </c>
      <c r="V2450" s="133"/>
      <c r="W2450" s="155"/>
      <c r="X2450" s="143">
        <f>X2441/((N_6*X$27*0.667)*SQRT(X2451*X2443*X2445))</f>
        <v>32.46649157130549</v>
      </c>
      <c r="Y2450" s="133"/>
      <c r="Z2450" s="155"/>
      <c r="AA2450" s="143">
        <f>AA2441/((N_6*AA$27*0.667)*SQRT(AA2451*AA2443*AA2445))</f>
        <v>137.48738223951074</v>
      </c>
      <c r="AB2450" s="133"/>
      <c r="AC2450" s="155"/>
      <c r="AD2450" s="143">
        <f>AD2441/((N_6*AD$27*0.667)*SQRT(AD2451*AD2443*AD2445))</f>
        <v>140.09113727495679</v>
      </c>
      <c r="AE2450" s="133"/>
      <c r="AF2450" s="155"/>
      <c r="AG2450" s="143">
        <f>AG2441/((N_6*AG$27*0.667)*SQRT(AG2451*AG2443*AG2445))</f>
        <v>59.619679270310513</v>
      </c>
      <c r="AH2450" s="133"/>
      <c r="AI2450" s="155"/>
      <c r="AJ2450" s="143">
        <f>AJ2441/((N_6*AJ$27*0.667)*SQRT(AJ2451*AJ2443*AJ2445))</f>
        <v>42.937211146591892</v>
      </c>
      <c r="AK2450" s="133"/>
      <c r="AL2450" s="155"/>
      <c r="AM2450" s="143">
        <f>AM2441/((N_6*AM$27*0.667)*SQRT(AM2451*AM2443*AM2445))</f>
        <v>38.162846642811289</v>
      </c>
      <c r="AN2450" s="133"/>
      <c r="AO2450" s="155"/>
      <c r="AP2450" s="143">
        <f>AP2441/((N_6*AP$27*0.667)*SQRT(AP2451*AP2443*AP2445))</f>
        <v>34.234125554178341</v>
      </c>
      <c r="AQ2450" s="133"/>
      <c r="AR2450" s="155"/>
      <c r="AS2450" s="143">
        <f>AS2441/((N_6*AS$27*0.667)*SQRT(AS2451*AS2443*AS2445))</f>
        <v>48.477358398188571</v>
      </c>
      <c r="AT2450" s="133"/>
      <c r="AU2450" s="155"/>
    </row>
    <row r="2451" spans="13:47" ht="15.5" x14ac:dyDescent="0.4">
      <c r="M2451" s="27"/>
      <c r="N2451" s="27"/>
      <c r="O2451" s="2" t="s">
        <v>192</v>
      </c>
      <c r="P2451" s="85">
        <v>10</v>
      </c>
      <c r="Q2451" s="2"/>
      <c r="R2451" s="181">
        <f>F_GAMMA*R$29</f>
        <v>0.64002688015162901</v>
      </c>
      <c r="S2451" s="133"/>
      <c r="T2451" s="155"/>
      <c r="U2451" s="138">
        <f>F_GAMMA*U$29</f>
        <v>0.64016782916606918</v>
      </c>
      <c r="V2451" s="133"/>
      <c r="W2451" s="155"/>
      <c r="X2451" s="138">
        <f>F_GAMMA*X$29</f>
        <v>0.6307062319203669</v>
      </c>
      <c r="Y2451" s="133"/>
      <c r="Z2451" s="155"/>
      <c r="AA2451" s="138">
        <f>F_GAMMA*AA$29</f>
        <v>0.62217534213893466</v>
      </c>
      <c r="AB2451" s="133"/>
      <c r="AC2451" s="155"/>
      <c r="AD2451" s="138">
        <f>F_GAMMA*AD$29</f>
        <v>0.60557184969146072</v>
      </c>
      <c r="AE2451" s="133"/>
      <c r="AF2451" s="155"/>
      <c r="AG2451" s="138">
        <f>F_GAMMA*AG$29</f>
        <v>0.57289312142622573</v>
      </c>
      <c r="AH2451" s="133"/>
      <c r="AI2451" s="155"/>
      <c r="AJ2451" s="138">
        <f>F_GAMMA*AJ$29</f>
        <v>0.53590819116049981</v>
      </c>
      <c r="AK2451" s="133"/>
      <c r="AL2451" s="155"/>
      <c r="AM2451" s="138">
        <f>F_GAMMA*AM$29</f>
        <v>0.49048815926850342</v>
      </c>
      <c r="AN2451" s="133"/>
      <c r="AO2451" s="155"/>
      <c r="AP2451" s="138">
        <f>F_GAMMA*AP$29</f>
        <v>0.59352979016280105</v>
      </c>
      <c r="AQ2451" s="133"/>
      <c r="AR2451" s="155"/>
      <c r="AS2451" s="138">
        <f>F_GAMMA*AS$29</f>
        <v>0.39097221161068291</v>
      </c>
      <c r="AT2451" s="133"/>
      <c r="AU2451" s="155"/>
    </row>
    <row r="2452" spans="13:47" x14ac:dyDescent="0.25">
      <c r="M2452" s="27"/>
      <c r="N2452" s="27"/>
      <c r="O2452" s="2" t="s">
        <v>193</v>
      </c>
      <c r="P2452" s="134"/>
      <c r="Q2452" s="2"/>
      <c r="R2452" s="181">
        <f>IF(R2447&lt;R2451,R2449,R2450)</f>
        <v>1.4933051589457194</v>
      </c>
      <c r="S2452" s="133"/>
      <c r="T2452" s="155"/>
      <c r="U2452" s="138">
        <f>IF(U2447&lt;U2451,U2449,U2450)</f>
        <v>11.475289748935138</v>
      </c>
      <c r="V2452" s="133"/>
      <c r="W2452" s="155"/>
      <c r="X2452" s="138">
        <f>IF(X2447&lt;X2451,X2449,X2450)</f>
        <v>34.33594373325689</v>
      </c>
      <c r="Y2452" s="133"/>
      <c r="Z2452" s="155"/>
      <c r="AA2452" s="138" t="e">
        <f>IF(AA2447&lt;AA2451,AA2449,AA2450)</f>
        <v>#NUM!</v>
      </c>
      <c r="AB2452" s="133"/>
      <c r="AC2452" s="155"/>
      <c r="AD2452" s="138">
        <f>IF(AD2447&lt;AD2451,AD2449,AD2450)</f>
        <v>140.09113727495679</v>
      </c>
      <c r="AE2452" s="133"/>
      <c r="AF2452" s="155"/>
      <c r="AG2452" s="138">
        <f>IF(AG2447&lt;AG2451,AG2449,AG2450)</f>
        <v>59.619679270310513</v>
      </c>
      <c r="AH2452" s="133"/>
      <c r="AI2452" s="155"/>
      <c r="AJ2452" s="138">
        <f>IF(AJ2447&lt;AJ2451,AJ2449,AJ2450)</f>
        <v>42.937211146591892</v>
      </c>
      <c r="AK2452" s="133"/>
      <c r="AL2452" s="155"/>
      <c r="AM2452" s="138">
        <f>IF(AM2447&lt;AM2451,AM2449,AM2450)</f>
        <v>38.162846642811289</v>
      </c>
      <c r="AN2452" s="133"/>
      <c r="AO2452" s="155"/>
      <c r="AP2452" s="138">
        <f>IF(AP2447&lt;AP2451,AP2449,AP2450)</f>
        <v>34.234125554178341</v>
      </c>
      <c r="AQ2452" s="133"/>
      <c r="AR2452" s="155"/>
      <c r="AS2452" s="138">
        <f>IF(AS2447&lt;AS2451,AS2449,AS2450)</f>
        <v>48.477358398188571</v>
      </c>
      <c r="AT2452" s="133"/>
      <c r="AU2452" s="155"/>
    </row>
    <row r="2453" spans="13:47" ht="13" x14ac:dyDescent="0.3">
      <c r="M2453" s="28"/>
      <c r="N2453" s="28"/>
      <c r="O2453" s="9" t="s">
        <v>194</v>
      </c>
      <c r="P2453" s="1"/>
      <c r="Q2453" s="1"/>
      <c r="R2453" s="135"/>
      <c r="S2453" s="132">
        <f>IF(R2446&lt;=0,W_max,ABS(R$23-R2452))</f>
        <v>0.50669484105428064</v>
      </c>
      <c r="T2453" s="151">
        <f>R2441</f>
        <v>345.17157938135028</v>
      </c>
      <c r="U2453" s="135"/>
      <c r="V2453" s="132">
        <f>IF(U2446&lt;=0,W_max,ABS(U$23-U2452))</f>
        <v>6.475289748935138</v>
      </c>
      <c r="W2453" s="151">
        <f>U2441</f>
        <v>2572.2542696166306</v>
      </c>
      <c r="X2453" s="135"/>
      <c r="Y2453" s="132">
        <f>IF(X2446&lt;=0,W_max,ABS(X$23-X2452))</f>
        <v>24.33594373325689</v>
      </c>
      <c r="Z2453" s="151">
        <f>X2441</f>
        <v>6361.4909106082223</v>
      </c>
      <c r="AA2453" s="135"/>
      <c r="AB2453" s="132">
        <f>IF(AA2446&lt;=0,W_max,ABS(AA$23-AA2452))</f>
        <v>7174</v>
      </c>
      <c r="AC2453" s="151">
        <f>AA2441</f>
        <v>12390.560552487843</v>
      </c>
      <c r="AD2453" s="135"/>
      <c r="AE2453" s="132">
        <f>IF(AD2446&lt;=0,W_max,ABS(AD$23-AD2452))</f>
        <v>7174</v>
      </c>
      <c r="AF2453" s="151">
        <f>AD2441</f>
        <v>20377.910175105018</v>
      </c>
      <c r="AG2453" s="135"/>
      <c r="AH2453" s="132">
        <f>IF(AG2446&lt;=0,W_max,ABS(AG$23-AG2452))</f>
        <v>7174</v>
      </c>
      <c r="AI2453" s="151">
        <f>AG2441</f>
        <v>28581.587837833067</v>
      </c>
      <c r="AJ2453" s="135"/>
      <c r="AK2453" s="132">
        <f>IF(AJ2446&lt;=0,W_max,ABS(AJ$23-AJ2452))</f>
        <v>7174</v>
      </c>
      <c r="AL2453" s="151">
        <f>AJ2441</f>
        <v>36291.032387755011</v>
      </c>
      <c r="AM2453" s="135"/>
      <c r="AN2453" s="132">
        <f>IF(AM2446&lt;=0,W_max,ABS(AM$23-AM2452))</f>
        <v>7174</v>
      </c>
      <c r="AO2453" s="151">
        <f>AM2441</f>
        <v>42554.08958011584</v>
      </c>
      <c r="AP2453" s="135"/>
      <c r="AQ2453" s="132">
        <f>IF(AP2446&lt;=0,W_max,ABS(AP$23-AP2452))</f>
        <v>7174</v>
      </c>
      <c r="AR2453" s="151">
        <f>AP2441</f>
        <v>47476.250765695615</v>
      </c>
      <c r="AS2453" s="135"/>
      <c r="AT2453" s="132">
        <f>IF(AS2446&lt;=0,W_max,ABS(AS$23-AS2452))</f>
        <v>7174</v>
      </c>
      <c r="AU2453" s="151">
        <f>AS2441</f>
        <v>52967.750197631613</v>
      </c>
    </row>
    <row r="2454" spans="13:47" ht="13" x14ac:dyDescent="0.25">
      <c r="M2454" s="12"/>
      <c r="N2454" s="12"/>
      <c r="O2454" s="2"/>
      <c r="P2454" s="85"/>
      <c r="Q2454" s="2"/>
      <c r="R2454" s="18"/>
      <c r="S2454" s="150"/>
      <c r="T2454" s="152"/>
      <c r="U2454" s="157"/>
      <c r="V2454" s="1"/>
      <c r="W2454" s="147"/>
      <c r="X2454" s="157"/>
      <c r="Y2454" s="1"/>
      <c r="Z2454" s="147"/>
      <c r="AA2454" s="157"/>
      <c r="AB2454" s="1"/>
      <c r="AC2454" s="147"/>
      <c r="AD2454" s="157"/>
      <c r="AE2454" s="1"/>
      <c r="AF2454" s="147"/>
      <c r="AG2454" s="157"/>
      <c r="AH2454" s="1"/>
      <c r="AI2454" s="147"/>
      <c r="AJ2454" s="157"/>
      <c r="AK2454" s="1"/>
      <c r="AL2454" s="147"/>
      <c r="AM2454" s="157"/>
      <c r="AN2454" s="1"/>
      <c r="AO2454" s="147"/>
      <c r="AP2454" s="157"/>
      <c r="AQ2454" s="1"/>
      <c r="AR2454" s="147"/>
      <c r="AS2454" s="157"/>
      <c r="AT2454" s="1"/>
      <c r="AU2454" s="147"/>
    </row>
    <row r="2455" spans="13:47" ht="14" x14ac:dyDescent="0.3">
      <c r="M2455" s="23"/>
      <c r="N2455" s="23"/>
      <c r="O2455" s="23" t="s">
        <v>238</v>
      </c>
      <c r="P2455" s="20"/>
      <c r="Q2455" s="20"/>
      <c r="R2455" s="181">
        <f>R2441*1.02</f>
        <v>352.07501096897732</v>
      </c>
      <c r="S2455" s="128" t="s">
        <v>185</v>
      </c>
      <c r="T2455" s="153" t="s">
        <v>186</v>
      </c>
      <c r="U2455" s="143">
        <f>U2441*1.01</f>
        <v>2597.9768123127969</v>
      </c>
      <c r="V2455" s="128" t="s">
        <v>185</v>
      </c>
      <c r="W2455" s="153" t="s">
        <v>186</v>
      </c>
      <c r="X2455" s="143">
        <f>X2441*1.01</f>
        <v>6425.1058197143047</v>
      </c>
      <c r="Y2455" s="128" t="s">
        <v>185</v>
      </c>
      <c r="Z2455" s="153" t="s">
        <v>186</v>
      </c>
      <c r="AA2455" s="143">
        <f>AA2441*1.01</f>
        <v>12514.466158012721</v>
      </c>
      <c r="AB2455" s="128" t="s">
        <v>185</v>
      </c>
      <c r="AC2455" s="153" t="s">
        <v>186</v>
      </c>
      <c r="AD2455" s="143">
        <f>AD2441*1.01</f>
        <v>20581.689276856068</v>
      </c>
      <c r="AE2455" s="128" t="s">
        <v>185</v>
      </c>
      <c r="AF2455" s="153" t="s">
        <v>186</v>
      </c>
      <c r="AG2455" s="143">
        <f>AG2441*1.01</f>
        <v>28867.403716211396</v>
      </c>
      <c r="AH2455" s="128" t="s">
        <v>185</v>
      </c>
      <c r="AI2455" s="153" t="s">
        <v>186</v>
      </c>
      <c r="AJ2455" s="143">
        <f>AJ2441*1.01</f>
        <v>36653.942711632561</v>
      </c>
      <c r="AK2455" s="128" t="s">
        <v>185</v>
      </c>
      <c r="AL2455" s="153" t="s">
        <v>186</v>
      </c>
      <c r="AM2455" s="143">
        <f>AM2441*1.01</f>
        <v>42979.630475917002</v>
      </c>
      <c r="AN2455" s="128" t="s">
        <v>185</v>
      </c>
      <c r="AO2455" s="153" t="s">
        <v>186</v>
      </c>
      <c r="AP2455" s="143">
        <f>AP2441*1.01</f>
        <v>47951.013273352568</v>
      </c>
      <c r="AQ2455" s="128" t="s">
        <v>185</v>
      </c>
      <c r="AR2455" s="153" t="s">
        <v>186</v>
      </c>
      <c r="AS2455" s="143">
        <f>AS2441*1.01</f>
        <v>53497.427699607928</v>
      </c>
      <c r="AT2455" s="128" t="s">
        <v>185</v>
      </c>
      <c r="AU2455" s="153" t="s">
        <v>186</v>
      </c>
    </row>
    <row r="2456" spans="13:47" ht="14" x14ac:dyDescent="0.3">
      <c r="M2456" s="12"/>
      <c r="N2456" s="12"/>
      <c r="O2456" s="20"/>
      <c r="P2456" s="20"/>
      <c r="Q2456" s="23"/>
      <c r="R2456" s="139"/>
      <c r="S2456" s="130" t="s">
        <v>228</v>
      </c>
      <c r="T2456" s="154" t="s">
        <v>187</v>
      </c>
      <c r="U2456" s="144"/>
      <c r="V2456" s="130" t="s">
        <v>228</v>
      </c>
      <c r="W2456" s="154" t="s">
        <v>187</v>
      </c>
      <c r="X2456" s="144"/>
      <c r="Y2456" s="130" t="s">
        <v>228</v>
      </c>
      <c r="Z2456" s="154" t="s">
        <v>187</v>
      </c>
      <c r="AA2456" s="144"/>
      <c r="AB2456" s="130" t="s">
        <v>228</v>
      </c>
      <c r="AC2456" s="154" t="s">
        <v>187</v>
      </c>
      <c r="AD2456" s="144"/>
      <c r="AE2456" s="130" t="s">
        <v>228</v>
      </c>
      <c r="AF2456" s="154" t="s">
        <v>187</v>
      </c>
      <c r="AG2456" s="144"/>
      <c r="AH2456" s="130" t="s">
        <v>228</v>
      </c>
      <c r="AI2456" s="154" t="s">
        <v>187</v>
      </c>
      <c r="AJ2456" s="144"/>
      <c r="AK2456" s="130" t="s">
        <v>228</v>
      </c>
      <c r="AL2456" s="154" t="s">
        <v>187</v>
      </c>
      <c r="AM2456" s="144"/>
      <c r="AN2456" s="130" t="s">
        <v>228</v>
      </c>
      <c r="AO2456" s="154" t="s">
        <v>187</v>
      </c>
      <c r="AP2456" s="144"/>
      <c r="AQ2456" s="130" t="s">
        <v>228</v>
      </c>
      <c r="AR2456" s="154" t="s">
        <v>187</v>
      </c>
      <c r="AS2456" s="144"/>
      <c r="AT2456" s="130" t="s">
        <v>228</v>
      </c>
      <c r="AU2456" s="154" t="s">
        <v>187</v>
      </c>
    </row>
    <row r="2457" spans="13:47" x14ac:dyDescent="0.25">
      <c r="M2457" s="20"/>
      <c r="N2457" s="20"/>
      <c r="O2457" s="7" t="s">
        <v>188</v>
      </c>
      <c r="P2457" s="7"/>
      <c r="Q2457" s="7"/>
      <c r="R2457" s="181">
        <f>P_1_minW-(R2455^2*R_up)+dpup_minQ</f>
        <v>100.4733574901863</v>
      </c>
      <c r="S2457" s="132"/>
      <c r="T2457" s="145"/>
      <c r="U2457" s="138">
        <f>P_1_minW-(U2455^2*R_up)+dpup_minQ</f>
        <v>97.831350293784809</v>
      </c>
      <c r="V2457" s="132"/>
      <c r="W2457" s="145"/>
      <c r="X2457" s="138">
        <f>P_1_minW-(X2455^2*R_up)+dpup_minQ</f>
        <v>84.061106664773092</v>
      </c>
      <c r="Y2457" s="132"/>
      <c r="Z2457" s="145"/>
      <c r="AA2457" s="138">
        <f>P_1_minW-(AA2455^2*R_up)+dpup_minQ</f>
        <v>38.071952537912459</v>
      </c>
      <c r="AB2457" s="132"/>
      <c r="AC2457" s="145"/>
      <c r="AD2457" s="138">
        <f>P_1_minW-(AD2455^2*R_up)+dpup_minQ</f>
        <v>-68.395093263136928</v>
      </c>
      <c r="AE2457" s="132"/>
      <c r="AF2457" s="145"/>
      <c r="AG2457" s="138">
        <f>P_1_minW-(AG2455^2*R_up)+dpup_minQ</f>
        <v>-231.7762171361621</v>
      </c>
      <c r="AH2457" s="132"/>
      <c r="AI2457" s="145"/>
      <c r="AJ2457" s="138">
        <f>P_1_minW-(AJ2455^2*R_up)+dpup_minQ</f>
        <v>-435.21833289505093</v>
      </c>
      <c r="AK2457" s="132"/>
      <c r="AL2457" s="145"/>
      <c r="AM2457" s="138">
        <f>P_1_minW-(AM2455^2*R_up)+dpup_minQ</f>
        <v>-636.08947180679991</v>
      </c>
      <c r="AN2457" s="132"/>
      <c r="AO2457" s="145"/>
      <c r="AP2457" s="138">
        <f>P_1_minW-(AP2455^2*R_up)+dpup_minQ</f>
        <v>-816.35017395934642</v>
      </c>
      <c r="AQ2457" s="132"/>
      <c r="AR2457" s="145"/>
      <c r="AS2457" s="138">
        <f>P_1_minW-(AS2455^2*R_up)+dpup_minQ</f>
        <v>-1040.7235288184593</v>
      </c>
      <c r="AT2457" s="132"/>
      <c r="AU2457" s="145"/>
    </row>
    <row r="2458" spans="13:47" x14ac:dyDescent="0.25">
      <c r="M2458" s="20"/>
      <c r="N2458" s="20"/>
      <c r="O2458" s="7" t="s">
        <v>189</v>
      </c>
      <c r="P2458" s="1"/>
      <c r="Q2458" s="7"/>
      <c r="R2458" s="181">
        <f>P_2_minW+(R2455^2*R_dn)-dpdn_minQ</f>
        <v>50</v>
      </c>
      <c r="S2458" s="132"/>
      <c r="T2458" s="146"/>
      <c r="U2458" s="138">
        <f>P_2_minW+(U2455^2*R_dn)-dpdn_minQ</f>
        <v>50</v>
      </c>
      <c r="V2458" s="132"/>
      <c r="W2458" s="146"/>
      <c r="X2458" s="138">
        <f>P_2_minW+(X2455^2*R_dn)-dpdn_minQ</f>
        <v>50</v>
      </c>
      <c r="Y2458" s="132"/>
      <c r="Z2458" s="146"/>
      <c r="AA2458" s="138">
        <f>P_2_minW+(AA2455^2*R_dn)-dpdn_minQ</f>
        <v>50</v>
      </c>
      <c r="AB2458" s="132"/>
      <c r="AC2458" s="146"/>
      <c r="AD2458" s="138">
        <f>P_2_minW+(AD2455^2*R_dn)-dpdn_minQ</f>
        <v>50</v>
      </c>
      <c r="AE2458" s="132"/>
      <c r="AF2458" s="146"/>
      <c r="AG2458" s="138">
        <f>P_2_minW+(AG2455^2*R_dn)-dpdn_minQ</f>
        <v>50</v>
      </c>
      <c r="AH2458" s="132"/>
      <c r="AI2458" s="146"/>
      <c r="AJ2458" s="138">
        <f>P_2_minW+(AJ2455^2*R_dn)-dpdn_minQ</f>
        <v>50</v>
      </c>
      <c r="AK2458" s="132"/>
      <c r="AL2458" s="146"/>
      <c r="AM2458" s="138">
        <f>P_2_minW+(AM2455^2*R_dn)-dpdn_minQ</f>
        <v>50</v>
      </c>
      <c r="AN2458" s="132"/>
      <c r="AO2458" s="146"/>
      <c r="AP2458" s="138">
        <f>P_2_minW+(AP2455^2*R_dn)-dpdn_minQ</f>
        <v>50</v>
      </c>
      <c r="AQ2458" s="132"/>
      <c r="AR2458" s="146"/>
      <c r="AS2458" s="138">
        <f>P_2_minW+(AS2455^2*R_dn)-dpdn_minQ</f>
        <v>50</v>
      </c>
      <c r="AT2458" s="132"/>
      <c r="AU2458" s="146"/>
    </row>
    <row r="2459" spans="13:47" x14ac:dyDescent="0.25">
      <c r="M2459" s="20"/>
      <c r="N2459" s="20"/>
      <c r="O2459" s="7" t="s">
        <v>234</v>
      </c>
      <c r="P2459" s="1"/>
      <c r="Q2459" s="7"/>
      <c r="R2459" s="179">
        <f>'Valve Sizing'!G$8*R2457/P_1_maxW</f>
        <v>0.48466558835391493</v>
      </c>
      <c r="S2459" s="132"/>
      <c r="T2459" s="146"/>
      <c r="U2459" s="143">
        <f>'Valve Sizing'!$G$8*U2457/P_1_maxW</f>
        <v>0.47192101601886305</v>
      </c>
      <c r="V2459" s="132"/>
      <c r="W2459" s="146"/>
      <c r="X2459" s="143">
        <f>'Valve Sizing'!$G$8*X2457/P_1_maxW</f>
        <v>0.40549581239327914</v>
      </c>
      <c r="Y2459" s="132"/>
      <c r="Z2459" s="146"/>
      <c r="AA2459" s="143">
        <f>'Valve Sizing'!$G$8*AA2457/P_1_maxW</f>
        <v>0.18365232074952781</v>
      </c>
      <c r="AB2459" s="132"/>
      <c r="AC2459" s="146"/>
      <c r="AD2459" s="143">
        <f>'Valve Sizing'!$G$8*AD2457/P_1_maxW</f>
        <v>-0.32992575290555937</v>
      </c>
      <c r="AE2459" s="132"/>
      <c r="AF2459" s="146"/>
      <c r="AG2459" s="143">
        <f>'Valve Sizing'!$G$8*AG2457/P_1_maxW</f>
        <v>-1.1180472062528111</v>
      </c>
      <c r="AH2459" s="132"/>
      <c r="AI2459" s="146"/>
      <c r="AJ2459" s="143">
        <f>'Valve Sizing'!$G$8*AJ2457/P_1_maxW</f>
        <v>-2.0994157520374781</v>
      </c>
      <c r="AK2459" s="132"/>
      <c r="AL2459" s="146"/>
      <c r="AM2459" s="143">
        <f>'Valve Sizing'!$G$8*AM2457/P_1_maxW</f>
        <v>-3.0683823632457576</v>
      </c>
      <c r="AN2459" s="132"/>
      <c r="AO2459" s="146"/>
      <c r="AP2459" s="143">
        <f>'Valve Sizing'!$G$8*AP2457/P_1_maxW</f>
        <v>-3.9379278969897378</v>
      </c>
      <c r="AQ2459" s="132"/>
      <c r="AR2459" s="146"/>
      <c r="AS2459" s="143">
        <f>'Valve Sizing'!$G$8*AS2457/P_1_maxW</f>
        <v>-5.0202650136164548</v>
      </c>
      <c r="AT2459" s="132"/>
      <c r="AU2459" s="146"/>
    </row>
    <row r="2460" spans="13:47" x14ac:dyDescent="0.25">
      <c r="M2460" s="20"/>
      <c r="N2460" s="20"/>
      <c r="O2460" s="7" t="s">
        <v>190</v>
      </c>
      <c r="P2460" s="1"/>
      <c r="Q2460" s="7"/>
      <c r="R2460" s="181">
        <f>R2457-R2458</f>
        <v>50.473357490186302</v>
      </c>
      <c r="S2460" s="132"/>
      <c r="T2460" s="146"/>
      <c r="U2460" s="138">
        <f>U2457-U2458</f>
        <v>47.831350293784809</v>
      </c>
      <c r="V2460" s="132"/>
      <c r="W2460" s="146"/>
      <c r="X2460" s="138">
        <f>X2457-X2458</f>
        <v>34.061106664773092</v>
      </c>
      <c r="Y2460" s="132"/>
      <c r="Z2460" s="146"/>
      <c r="AA2460" s="138">
        <f>AA2457-AA2458</f>
        <v>-11.928047462087541</v>
      </c>
      <c r="AB2460" s="132"/>
      <c r="AC2460" s="146"/>
      <c r="AD2460" s="138">
        <f>AD2457-AD2458</f>
        <v>-118.39509326313693</v>
      </c>
      <c r="AE2460" s="132"/>
      <c r="AF2460" s="146"/>
      <c r="AG2460" s="138">
        <f>AG2457-AG2458</f>
        <v>-281.77621713616213</v>
      </c>
      <c r="AH2460" s="132"/>
      <c r="AI2460" s="146"/>
      <c r="AJ2460" s="138">
        <f>AJ2457-AJ2458</f>
        <v>-485.21833289505093</v>
      </c>
      <c r="AK2460" s="132"/>
      <c r="AL2460" s="146"/>
      <c r="AM2460" s="138">
        <f>AM2457-AM2458</f>
        <v>-686.08947180679991</v>
      </c>
      <c r="AN2460" s="132"/>
      <c r="AO2460" s="146"/>
      <c r="AP2460" s="138">
        <f>AP2457-AP2458</f>
        <v>-866.35017395934642</v>
      </c>
      <c r="AQ2460" s="132"/>
      <c r="AR2460" s="146"/>
      <c r="AS2460" s="138">
        <f>AS2457-AS2458</f>
        <v>-1090.7235288184593</v>
      </c>
      <c r="AT2460" s="132"/>
      <c r="AU2460" s="146"/>
    </row>
    <row r="2461" spans="13:47" ht="14.5" x14ac:dyDescent="0.35">
      <c r="M2461" s="27"/>
      <c r="N2461" s="27"/>
      <c r="O2461" s="2" t="s">
        <v>191</v>
      </c>
      <c r="P2461" s="10"/>
      <c r="Q2461" s="2"/>
      <c r="R2461" s="181">
        <f>R2460/R2457</f>
        <v>0.50235563686737816</v>
      </c>
      <c r="S2461" s="132"/>
      <c r="T2461" s="146"/>
      <c r="U2461" s="138">
        <f>U2460/U2457</f>
        <v>0.48891638672213561</v>
      </c>
      <c r="V2461" s="132"/>
      <c r="W2461" s="146"/>
      <c r="X2461" s="138">
        <f>X2460/X2457</f>
        <v>0.40519460207210006</v>
      </c>
      <c r="Y2461" s="132"/>
      <c r="Z2461" s="146"/>
      <c r="AA2461" s="138">
        <f>AA2460/AA2457</f>
        <v>-0.31330275089541215</v>
      </c>
      <c r="AB2461" s="132"/>
      <c r="AC2461" s="146"/>
      <c r="AD2461" s="138">
        <f>AD2460/AD2457</f>
        <v>1.731046594346098</v>
      </c>
      <c r="AE2461" s="132"/>
      <c r="AF2461" s="146"/>
      <c r="AG2461" s="138">
        <f>AG2460/AG2457</f>
        <v>1.2157253259967842</v>
      </c>
      <c r="AH2461" s="132"/>
      <c r="AI2461" s="146"/>
      <c r="AJ2461" s="138">
        <f>AJ2460/AJ2457</f>
        <v>1.114884866332267</v>
      </c>
      <c r="AK2461" s="132"/>
      <c r="AL2461" s="146"/>
      <c r="AM2461" s="138">
        <f>AM2460/AM2457</f>
        <v>1.0786052940916879</v>
      </c>
      <c r="AN2461" s="132"/>
      <c r="AO2461" s="146"/>
      <c r="AP2461" s="138">
        <f>AP2460/AP2457</f>
        <v>1.0612482260614915</v>
      </c>
      <c r="AQ2461" s="132"/>
      <c r="AR2461" s="146"/>
      <c r="AS2461" s="138">
        <f>AS2460/AS2457</f>
        <v>1.0480434991767364</v>
      </c>
      <c r="AT2461" s="132"/>
      <c r="AU2461" s="146"/>
    </row>
    <row r="2462" spans="13:47" x14ac:dyDescent="0.25">
      <c r="M2462" s="27"/>
      <c r="N2462" s="27"/>
      <c r="O2462" s="2" t="s">
        <v>26</v>
      </c>
      <c r="P2462" s="7">
        <v>12</v>
      </c>
      <c r="Q2462" s="2"/>
      <c r="R2462" s="181">
        <f>1-R2461/(3*F_GAMMA*R$29)</f>
        <v>0.73836742776159392</v>
      </c>
      <c r="S2462" s="133"/>
      <c r="T2462" s="146"/>
      <c r="U2462" s="138">
        <f>1-U2461/(3*F_GAMMA*U$29)</f>
        <v>0.74542280714156117</v>
      </c>
      <c r="V2462" s="133"/>
      <c r="W2462" s="146"/>
      <c r="X2462" s="138">
        <f>1-X2461/(3*F_GAMMA*X$29)</f>
        <v>0.78585138290750234</v>
      </c>
      <c r="Y2462" s="133"/>
      <c r="Z2462" s="146"/>
      <c r="AA2462" s="138">
        <f>1-AA2461/(3*F_GAMMA*AA$29)</f>
        <v>1.1678534059859127</v>
      </c>
      <c r="AB2462" s="133"/>
      <c r="AC2462" s="146"/>
      <c r="AD2462" s="138">
        <f>1-AD2461/(3*F_GAMMA*AD$29)</f>
        <v>4.7155953925716476E-2</v>
      </c>
      <c r="AE2462" s="133"/>
      <c r="AF2462" s="146"/>
      <c r="AG2462" s="138">
        <f>1-AG2461/(3*F_GAMMA*AG$29)</f>
        <v>0.2926398307534116</v>
      </c>
      <c r="AH2462" s="133"/>
      <c r="AI2462" s="146"/>
      <c r="AJ2462" s="138">
        <f>1-AJ2461/(3*F_GAMMA*AJ$29)</f>
        <v>0.30654486177442486</v>
      </c>
      <c r="AK2462" s="133"/>
      <c r="AL2462" s="146"/>
      <c r="AM2462" s="138">
        <f>1-AM2461/(3*F_GAMMA*AM$29)</f>
        <v>0.26698516317547716</v>
      </c>
      <c r="AN2462" s="133"/>
      <c r="AO2462" s="146"/>
      <c r="AP2462" s="138">
        <f>1-AP2461/(3*F_GAMMA*AP$29)</f>
        <v>0.40399047436164426</v>
      </c>
      <c r="AQ2462" s="133"/>
      <c r="AR2462" s="146"/>
      <c r="AS2462" s="138">
        <f>1-AS2461/(3*F_GAMMA*AS$29)</f>
        <v>0.10646377751577629</v>
      </c>
      <c r="AT2462" s="133"/>
      <c r="AU2462" s="146"/>
    </row>
    <row r="2463" spans="13:47" x14ac:dyDescent="0.25">
      <c r="M2463" s="27"/>
      <c r="N2463" s="27"/>
      <c r="O2463" s="2" t="s">
        <v>71</v>
      </c>
      <c r="P2463" s="85">
        <v>5</v>
      </c>
      <c r="Q2463" s="2"/>
      <c r="R2463" s="179">
        <f>R2455/((N_6*R$27*R2462)*SQRT(R2461*R2457*R2459))</f>
        <v>1.5232045586228369</v>
      </c>
      <c r="S2463" s="133"/>
      <c r="T2463" s="146"/>
      <c r="U2463" s="143">
        <f>U2455/((N_6*U$27*U2462)*SQRT(U2461*U2457*U2459))</f>
        <v>11.597365037114916</v>
      </c>
      <c r="V2463" s="133"/>
      <c r="W2463" s="146"/>
      <c r="X2463" s="143">
        <f>X2455/((N_6*X$27*X2462)*SQRT(X2461*X2457*X2459))</f>
        <v>34.857515999388355</v>
      </c>
      <c r="Y2463" s="133"/>
      <c r="Z2463" s="146"/>
      <c r="AA2463" s="143" t="e">
        <f>AA2455/((N_6*AA$27*AA2462)*SQRT(AA2461*AA2457*AA2459))</f>
        <v>#NUM!</v>
      </c>
      <c r="AB2463" s="133"/>
      <c r="AC2463" s="146"/>
      <c r="AD2463" s="143">
        <f>AD2455/((N_6*AD$27*AD2462)*SQRT(AD2461*AD2457*AD2459))</f>
        <v>1126.1180535617352</v>
      </c>
      <c r="AE2463" s="133"/>
      <c r="AF2463" s="146"/>
      <c r="AG2463" s="143">
        <f>AG2455/((N_6*AG$27*AG2462)*SQRT(AG2461*AG2457*AG2459))</f>
        <v>91.553968060770714</v>
      </c>
      <c r="AH2463" s="133"/>
      <c r="AI2463" s="146"/>
      <c r="AJ2463" s="143">
        <f>AJ2455/((N_6*AJ$27*AJ2462)*SQRT(AJ2461*AJ2457*AJ2459))</f>
        <v>63.83421552546573</v>
      </c>
      <c r="AK2463" s="133"/>
      <c r="AL2463" s="146"/>
      <c r="AM2463" s="143">
        <f>AM2455/((N_6*AM$27*AM2462)*SQRT(AM2461*AM2457*AM2459))</f>
        <v>63.454053922432479</v>
      </c>
      <c r="AN2463" s="133"/>
      <c r="AO2463" s="146"/>
      <c r="AP2463" s="143">
        <f>AP2455/((N_6*AP$27*AP2462)*SQRT(AP2461*AP2457*AP2459))</f>
        <v>41.74736924584348</v>
      </c>
      <c r="AQ2463" s="133"/>
      <c r="AR2463" s="146"/>
      <c r="AS2463" s="143">
        <f>AS2455/((N_6*AS$27*AS2462)*SQRT(AS2461*AS2457*AS2459))</f>
        <v>183.30775882337227</v>
      </c>
      <c r="AT2463" s="133"/>
      <c r="AU2463" s="146"/>
    </row>
    <row r="2464" spans="13:47" x14ac:dyDescent="0.25">
      <c r="M2464" s="27"/>
      <c r="N2464" s="27"/>
      <c r="O2464" s="2" t="s">
        <v>73</v>
      </c>
      <c r="P2464" s="85">
        <v>5</v>
      </c>
      <c r="Q2464" s="2"/>
      <c r="R2464" s="179">
        <f>R2455/((N_6*R$27*0.667)*SQRT(R2465*R2457*R2459))</f>
        <v>1.4938653699001292</v>
      </c>
      <c r="S2464" s="133"/>
      <c r="T2464" s="155"/>
      <c r="U2464" s="143">
        <f>U2455/((N_6*U$27*0.667)*SQRT(U2465*U2457*U2459))</f>
        <v>11.326782044770324</v>
      </c>
      <c r="V2464" s="133"/>
      <c r="W2464" s="155"/>
      <c r="X2464" s="143">
        <f>X2455/((N_6*X$27*0.667)*SQRT(X2465*X2457*X2459))</f>
        <v>32.917685202018468</v>
      </c>
      <c r="Y2464" s="133"/>
      <c r="Z2464" s="155"/>
      <c r="AA2464" s="143">
        <f>AA2455/((N_6*AA$27*0.667)*SQRT(AA2465*AA2457*AA2459))</f>
        <v>143.35043972156348</v>
      </c>
      <c r="AB2464" s="133"/>
      <c r="AC2464" s="155"/>
      <c r="AD2464" s="143">
        <f>AD2455/((N_6*AD$27*0.667)*SQRT(AD2465*AD2457*AD2459))</f>
        <v>134.60654011709221</v>
      </c>
      <c r="AE2464" s="133"/>
      <c r="AF2464" s="155"/>
      <c r="AG2464" s="143">
        <f>AG2455/((N_6*AG$27*0.667)*SQRT(AG2465*AG2457*AG2459))</f>
        <v>58.514797044082265</v>
      </c>
      <c r="AH2464" s="133"/>
      <c r="AI2464" s="155"/>
      <c r="AJ2464" s="143">
        <f>AJ2455/((N_6*AJ$27*0.667)*SQRT(AJ2465*AJ2457*AJ2459))</f>
        <v>42.314727190913032</v>
      </c>
      <c r="AK2464" s="133"/>
      <c r="AL2464" s="155"/>
      <c r="AM2464" s="143">
        <f>AM2455/((N_6*AM$27*0.667)*SQRT(AM2465*AM2457*AM2459))</f>
        <v>37.664974427681045</v>
      </c>
      <c r="AN2464" s="133"/>
      <c r="AO2464" s="155"/>
      <c r="AP2464" s="143">
        <f>AP2455/((N_6*AP$27*0.667)*SQRT(AP2465*AP2457*AP2459))</f>
        <v>33.811281544667288</v>
      </c>
      <c r="AQ2464" s="133"/>
      <c r="AR2464" s="155"/>
      <c r="AS2464" s="143">
        <f>AS2455/((N_6*AS$27*0.667)*SQRT(AS2465*AS2457*AS2459))</f>
        <v>47.904200246334796</v>
      </c>
      <c r="AT2464" s="133"/>
      <c r="AU2464" s="155"/>
    </row>
    <row r="2465" spans="13:47" ht="15.5" x14ac:dyDescent="0.4">
      <c r="M2465" s="27"/>
      <c r="N2465" s="27"/>
      <c r="O2465" s="2" t="s">
        <v>192</v>
      </c>
      <c r="P2465" s="85">
        <v>10</v>
      </c>
      <c r="Q2465" s="2"/>
      <c r="R2465" s="181">
        <f>F_GAMMA*R$29</f>
        <v>0.64002688015162901</v>
      </c>
      <c r="S2465" s="133"/>
      <c r="T2465" s="155"/>
      <c r="U2465" s="138">
        <f>F_GAMMA*U$29</f>
        <v>0.64016782916606918</v>
      </c>
      <c r="V2465" s="133"/>
      <c r="W2465" s="155"/>
      <c r="X2465" s="138">
        <f>F_GAMMA*X$29</f>
        <v>0.6307062319203669</v>
      </c>
      <c r="Y2465" s="133"/>
      <c r="Z2465" s="155"/>
      <c r="AA2465" s="138">
        <f>F_GAMMA*AA$29</f>
        <v>0.62217534213893466</v>
      </c>
      <c r="AB2465" s="133"/>
      <c r="AC2465" s="155"/>
      <c r="AD2465" s="138">
        <f>F_GAMMA*AD$29</f>
        <v>0.60557184969146072</v>
      </c>
      <c r="AE2465" s="133"/>
      <c r="AF2465" s="155"/>
      <c r="AG2465" s="138">
        <f>F_GAMMA*AG$29</f>
        <v>0.57289312142622573</v>
      </c>
      <c r="AH2465" s="133"/>
      <c r="AI2465" s="155"/>
      <c r="AJ2465" s="138">
        <f>F_GAMMA*AJ$29</f>
        <v>0.53590819116049981</v>
      </c>
      <c r="AK2465" s="133"/>
      <c r="AL2465" s="155"/>
      <c r="AM2465" s="138">
        <f>F_GAMMA*AM$29</f>
        <v>0.49048815926850342</v>
      </c>
      <c r="AN2465" s="133"/>
      <c r="AO2465" s="155"/>
      <c r="AP2465" s="138">
        <f>F_GAMMA*AP$29</f>
        <v>0.59352979016280105</v>
      </c>
      <c r="AQ2465" s="133"/>
      <c r="AR2465" s="155"/>
      <c r="AS2465" s="138">
        <f>F_GAMMA*AS$29</f>
        <v>0.39097221161068291</v>
      </c>
      <c r="AT2465" s="133"/>
      <c r="AU2465" s="155"/>
    </row>
    <row r="2466" spans="13:47" x14ac:dyDescent="0.25">
      <c r="M2466" s="27"/>
      <c r="N2466" s="27"/>
      <c r="O2466" s="2" t="s">
        <v>193</v>
      </c>
      <c r="P2466" s="134"/>
      <c r="Q2466" s="2"/>
      <c r="R2466" s="181">
        <f>IF(R2461&lt;R2465,R2463,R2464)</f>
        <v>1.5232045586228369</v>
      </c>
      <c r="S2466" s="133"/>
      <c r="T2466" s="155"/>
      <c r="U2466" s="138">
        <f>IF(U2461&lt;U2465,U2463,U2464)</f>
        <v>11.597365037114916</v>
      </c>
      <c r="V2466" s="133"/>
      <c r="W2466" s="155"/>
      <c r="X2466" s="138">
        <f>IF(X2461&lt;X2465,X2463,X2464)</f>
        <v>34.857515999388355</v>
      </c>
      <c r="Y2466" s="133"/>
      <c r="Z2466" s="155"/>
      <c r="AA2466" s="138" t="e">
        <f>IF(AA2461&lt;AA2465,AA2463,AA2464)</f>
        <v>#NUM!</v>
      </c>
      <c r="AB2466" s="133"/>
      <c r="AC2466" s="155"/>
      <c r="AD2466" s="138">
        <f>IF(AD2461&lt;AD2465,AD2463,AD2464)</f>
        <v>134.60654011709221</v>
      </c>
      <c r="AE2466" s="133"/>
      <c r="AF2466" s="155"/>
      <c r="AG2466" s="138">
        <f>IF(AG2461&lt;AG2465,AG2463,AG2464)</f>
        <v>58.514797044082265</v>
      </c>
      <c r="AH2466" s="133"/>
      <c r="AI2466" s="155"/>
      <c r="AJ2466" s="138">
        <f>IF(AJ2461&lt;AJ2465,AJ2463,AJ2464)</f>
        <v>42.314727190913032</v>
      </c>
      <c r="AK2466" s="133"/>
      <c r="AL2466" s="155"/>
      <c r="AM2466" s="138">
        <f>IF(AM2461&lt;AM2465,AM2463,AM2464)</f>
        <v>37.664974427681045</v>
      </c>
      <c r="AN2466" s="133"/>
      <c r="AO2466" s="155"/>
      <c r="AP2466" s="138">
        <f>IF(AP2461&lt;AP2465,AP2463,AP2464)</f>
        <v>33.811281544667288</v>
      </c>
      <c r="AQ2466" s="133"/>
      <c r="AR2466" s="155"/>
      <c r="AS2466" s="138">
        <f>IF(AS2461&lt;AS2465,AS2463,AS2464)</f>
        <v>47.904200246334796</v>
      </c>
      <c r="AT2466" s="133"/>
      <c r="AU2466" s="155"/>
    </row>
    <row r="2467" spans="13:47" ht="13" x14ac:dyDescent="0.3">
      <c r="M2467" s="28"/>
      <c r="N2467" s="28"/>
      <c r="O2467" s="9" t="s">
        <v>194</v>
      </c>
      <c r="P2467" s="1"/>
      <c r="Q2467" s="1"/>
      <c r="R2467" s="135"/>
      <c r="S2467" s="132">
        <f>IF(R2460&lt;=0,W_max,ABS(R$23-R2466))</f>
        <v>0.47679544137716312</v>
      </c>
      <c r="T2467" s="151">
        <f>R2455</f>
        <v>352.07501096897732</v>
      </c>
      <c r="U2467" s="135"/>
      <c r="V2467" s="132">
        <f>IF(U2460&lt;=0,W_max,ABS(U$23-U2466))</f>
        <v>6.5973650371149155</v>
      </c>
      <c r="W2467" s="151">
        <f>U2455</f>
        <v>2597.9768123127969</v>
      </c>
      <c r="X2467" s="135"/>
      <c r="Y2467" s="132">
        <f>IF(X2460&lt;=0,W_max,ABS(X$23-X2466))</f>
        <v>24.857515999388355</v>
      </c>
      <c r="Z2467" s="151">
        <f>X2455</f>
        <v>6425.1058197143047</v>
      </c>
      <c r="AA2467" s="135"/>
      <c r="AB2467" s="132">
        <f>IF(AA2460&lt;=0,W_max,ABS(AA$23-AA2466))</f>
        <v>7174</v>
      </c>
      <c r="AC2467" s="151">
        <f>AA2455</f>
        <v>12514.466158012721</v>
      </c>
      <c r="AD2467" s="135"/>
      <c r="AE2467" s="132">
        <f>IF(AD2460&lt;=0,W_max,ABS(AD$23-AD2466))</f>
        <v>7174</v>
      </c>
      <c r="AF2467" s="151">
        <f>AD2455</f>
        <v>20581.689276856068</v>
      </c>
      <c r="AG2467" s="135"/>
      <c r="AH2467" s="132">
        <f>IF(AG2460&lt;=0,W_max,ABS(AG$23-AG2466))</f>
        <v>7174</v>
      </c>
      <c r="AI2467" s="151">
        <f>AG2455</f>
        <v>28867.403716211396</v>
      </c>
      <c r="AJ2467" s="135"/>
      <c r="AK2467" s="132">
        <f>IF(AJ2460&lt;=0,W_max,ABS(AJ$23-AJ2466))</f>
        <v>7174</v>
      </c>
      <c r="AL2467" s="151">
        <f>AJ2455</f>
        <v>36653.942711632561</v>
      </c>
      <c r="AM2467" s="135"/>
      <c r="AN2467" s="132">
        <f>IF(AM2460&lt;=0,W_max,ABS(AM$23-AM2466))</f>
        <v>7174</v>
      </c>
      <c r="AO2467" s="151">
        <f>AM2455</f>
        <v>42979.630475917002</v>
      </c>
      <c r="AP2467" s="135"/>
      <c r="AQ2467" s="132">
        <f>IF(AP2460&lt;=0,W_max,ABS(AP$23-AP2466))</f>
        <v>7174</v>
      </c>
      <c r="AR2467" s="151">
        <f>AP2455</f>
        <v>47951.013273352568</v>
      </c>
      <c r="AS2467" s="135"/>
      <c r="AT2467" s="132">
        <f>IF(AS2460&lt;=0,W_max,ABS(AS$23-AS2466))</f>
        <v>7174</v>
      </c>
      <c r="AU2467" s="151">
        <f>AS2455</f>
        <v>53497.427699607928</v>
      </c>
    </row>
    <row r="2468" spans="13:47" ht="13" x14ac:dyDescent="0.25">
      <c r="M2468" s="12"/>
      <c r="N2468" s="12"/>
      <c r="O2468" s="2"/>
      <c r="P2468" s="85"/>
      <c r="Q2468" s="2"/>
      <c r="R2468" s="18"/>
      <c r="S2468" s="150"/>
      <c r="T2468" s="148"/>
      <c r="U2468" s="157"/>
      <c r="V2468" s="1"/>
      <c r="W2468" s="147"/>
      <c r="X2468" s="157"/>
      <c r="Y2468" s="1"/>
      <c r="Z2468" s="147"/>
      <c r="AA2468" s="157"/>
      <c r="AB2468" s="1"/>
      <c r="AC2468" s="147"/>
      <c r="AD2468" s="157"/>
      <c r="AE2468" s="1"/>
      <c r="AF2468" s="147"/>
      <c r="AG2468" s="157"/>
      <c r="AH2468" s="1"/>
      <c r="AI2468" s="147"/>
      <c r="AJ2468" s="157"/>
      <c r="AK2468" s="1"/>
      <c r="AL2468" s="147"/>
      <c r="AM2468" s="157"/>
      <c r="AN2468" s="1"/>
      <c r="AO2468" s="147"/>
      <c r="AP2468" s="157"/>
      <c r="AQ2468" s="1"/>
      <c r="AR2468" s="147"/>
      <c r="AS2468" s="157"/>
      <c r="AT2468" s="1"/>
      <c r="AU2468" s="147"/>
    </row>
    <row r="2469" spans="13:47" ht="14" x14ac:dyDescent="0.3">
      <c r="M2469" s="23"/>
      <c r="N2469" s="23"/>
      <c r="O2469" s="23" t="s">
        <v>238</v>
      </c>
      <c r="P2469" s="20"/>
      <c r="Q2469" s="20"/>
      <c r="R2469" s="181">
        <f>R2455*1.02</f>
        <v>359.11651118835687</v>
      </c>
      <c r="S2469" s="128" t="s">
        <v>185</v>
      </c>
      <c r="T2469" s="149" t="s">
        <v>186</v>
      </c>
      <c r="U2469" s="143">
        <f>U2455*1.01</f>
        <v>2623.9565804359249</v>
      </c>
      <c r="V2469" s="128" t="s">
        <v>185</v>
      </c>
      <c r="W2469" s="153" t="s">
        <v>186</v>
      </c>
      <c r="X2469" s="143">
        <f>X2455*1.01</f>
        <v>6489.3568779114476</v>
      </c>
      <c r="Y2469" s="128" t="s">
        <v>185</v>
      </c>
      <c r="Z2469" s="153" t="s">
        <v>186</v>
      </c>
      <c r="AA2469" s="143">
        <f>AA2455*1.01</f>
        <v>12639.610819592848</v>
      </c>
      <c r="AB2469" s="128" t="s">
        <v>185</v>
      </c>
      <c r="AC2469" s="153" t="s">
        <v>186</v>
      </c>
      <c r="AD2469" s="143">
        <f>AD2455*1.01</f>
        <v>20787.50616962463</v>
      </c>
      <c r="AE2469" s="128" t="s">
        <v>185</v>
      </c>
      <c r="AF2469" s="153" t="s">
        <v>186</v>
      </c>
      <c r="AG2469" s="143">
        <f>AG2455*1.01</f>
        <v>29156.077753373509</v>
      </c>
      <c r="AH2469" s="128" t="s">
        <v>185</v>
      </c>
      <c r="AI2469" s="153" t="s">
        <v>186</v>
      </c>
      <c r="AJ2469" s="143">
        <f>AJ2455*1.01</f>
        <v>37020.482138748885</v>
      </c>
      <c r="AK2469" s="128" t="s">
        <v>185</v>
      </c>
      <c r="AL2469" s="153" t="s">
        <v>186</v>
      </c>
      <c r="AM2469" s="143">
        <f>AM2455*1.01</f>
        <v>43409.426780676171</v>
      </c>
      <c r="AN2469" s="128" t="s">
        <v>185</v>
      </c>
      <c r="AO2469" s="153" t="s">
        <v>186</v>
      </c>
      <c r="AP2469" s="143">
        <f>AP2455*1.01</f>
        <v>48430.523406086097</v>
      </c>
      <c r="AQ2469" s="128" t="s">
        <v>185</v>
      </c>
      <c r="AR2469" s="153" t="s">
        <v>186</v>
      </c>
      <c r="AS2469" s="143">
        <f>AS2455*1.01</f>
        <v>54032.401976604007</v>
      </c>
      <c r="AT2469" s="128" t="s">
        <v>185</v>
      </c>
      <c r="AU2469" s="153" t="s">
        <v>186</v>
      </c>
    </row>
    <row r="2470" spans="13:47" ht="14" x14ac:dyDescent="0.3">
      <c r="M2470" s="12"/>
      <c r="N2470" s="12"/>
      <c r="O2470" s="20"/>
      <c r="P2470" s="20"/>
      <c r="Q2470" s="23"/>
      <c r="R2470" s="139"/>
      <c r="S2470" s="130" t="s">
        <v>228</v>
      </c>
      <c r="T2470" s="131" t="s">
        <v>187</v>
      </c>
      <c r="U2470" s="144"/>
      <c r="V2470" s="130" t="s">
        <v>228</v>
      </c>
      <c r="W2470" s="154" t="s">
        <v>187</v>
      </c>
      <c r="X2470" s="144"/>
      <c r="Y2470" s="130" t="s">
        <v>228</v>
      </c>
      <c r="Z2470" s="154" t="s">
        <v>187</v>
      </c>
      <c r="AA2470" s="144"/>
      <c r="AB2470" s="130" t="s">
        <v>228</v>
      </c>
      <c r="AC2470" s="154" t="s">
        <v>187</v>
      </c>
      <c r="AD2470" s="144"/>
      <c r="AE2470" s="130" t="s">
        <v>228</v>
      </c>
      <c r="AF2470" s="154" t="s">
        <v>187</v>
      </c>
      <c r="AG2470" s="144"/>
      <c r="AH2470" s="130" t="s">
        <v>228</v>
      </c>
      <c r="AI2470" s="154" t="s">
        <v>187</v>
      </c>
      <c r="AJ2470" s="144"/>
      <c r="AK2470" s="130" t="s">
        <v>228</v>
      </c>
      <c r="AL2470" s="154" t="s">
        <v>187</v>
      </c>
      <c r="AM2470" s="144"/>
      <c r="AN2470" s="130" t="s">
        <v>228</v>
      </c>
      <c r="AO2470" s="154" t="s">
        <v>187</v>
      </c>
      <c r="AP2470" s="144"/>
      <c r="AQ2470" s="130" t="s">
        <v>228</v>
      </c>
      <c r="AR2470" s="154" t="s">
        <v>187</v>
      </c>
      <c r="AS2470" s="144"/>
      <c r="AT2470" s="130" t="s">
        <v>228</v>
      </c>
      <c r="AU2470" s="154" t="s">
        <v>187</v>
      </c>
    </row>
    <row r="2471" spans="13:47" x14ac:dyDescent="0.25">
      <c r="M2471" s="20"/>
      <c r="N2471" s="20"/>
      <c r="O2471" s="7" t="s">
        <v>188</v>
      </c>
      <c r="P2471" s="7"/>
      <c r="Q2471" s="7"/>
      <c r="R2471" s="181">
        <f>P_1_minW-(R2469^2*R_up)+dpup_minQ</f>
        <v>100.47136054862607</v>
      </c>
      <c r="S2471" s="132"/>
      <c r="T2471" s="145"/>
      <c r="U2471" s="138">
        <f>P_1_minW-(U2469^2*R_up)+dpup_minQ</f>
        <v>97.777252421281673</v>
      </c>
      <c r="V2471" s="132"/>
      <c r="W2471" s="145"/>
      <c r="X2471" s="138">
        <f>P_1_minW-(X2469^2*R_up)+dpup_minQ</f>
        <v>83.730226895326823</v>
      </c>
      <c r="Y2471" s="132"/>
      <c r="Z2471" s="145"/>
      <c r="AA2471" s="138">
        <f>P_1_minW-(AA2469^2*R_up)+dpup_minQ</f>
        <v>36.816690770516296</v>
      </c>
      <c r="AB2471" s="132"/>
      <c r="AC2471" s="145"/>
      <c r="AD2471" s="138">
        <f>P_1_minW-(AD2469^2*R_up)+dpup_minQ</f>
        <v>-71.790342651134196</v>
      </c>
      <c r="AE2471" s="132"/>
      <c r="AF2471" s="145"/>
      <c r="AG2471" s="138">
        <f>P_1_minW-(AG2469^2*R_up)+dpup_minQ</f>
        <v>-238.45542711400716</v>
      </c>
      <c r="AH2471" s="132"/>
      <c r="AI2471" s="145"/>
      <c r="AJ2471" s="138">
        <f>P_1_minW-(AJ2469^2*R_up)+dpup_minQ</f>
        <v>-445.98672939964956</v>
      </c>
      <c r="AK2471" s="132"/>
      <c r="AL2471" s="145"/>
      <c r="AM2471" s="138">
        <f>P_1_minW-(AM2469^2*R_up)+dpup_minQ</f>
        <v>-650.89537820352473</v>
      </c>
      <c r="AN2471" s="132"/>
      <c r="AO2471" s="145"/>
      <c r="AP2471" s="138">
        <f>P_1_minW-(AP2469^2*R_up)+dpup_minQ</f>
        <v>-834.77932046933756</v>
      </c>
      <c r="AQ2471" s="132"/>
      <c r="AR2471" s="145"/>
      <c r="AS2471" s="138">
        <f>P_1_minW-(AS2469^2*R_up)+dpup_minQ</f>
        <v>-1063.6625797611184</v>
      </c>
      <c r="AT2471" s="132"/>
      <c r="AU2471" s="145"/>
    </row>
    <row r="2472" spans="13:47" x14ac:dyDescent="0.25">
      <c r="M2472" s="20"/>
      <c r="N2472" s="20"/>
      <c r="O2472" s="7" t="s">
        <v>189</v>
      </c>
      <c r="P2472" s="1"/>
      <c r="Q2472" s="7"/>
      <c r="R2472" s="181">
        <f>P_2_minW+(R2469^2*R_dn)-dpdn_minQ</f>
        <v>50</v>
      </c>
      <c r="S2472" s="132"/>
      <c r="T2472" s="146"/>
      <c r="U2472" s="138">
        <f>P_2_minW+(U2469^2*R_dn)-dpdn_minQ</f>
        <v>50</v>
      </c>
      <c r="V2472" s="132"/>
      <c r="W2472" s="146"/>
      <c r="X2472" s="138">
        <f>P_2_minW+(X2469^2*R_dn)-dpdn_minQ</f>
        <v>50</v>
      </c>
      <c r="Y2472" s="132"/>
      <c r="Z2472" s="146"/>
      <c r="AA2472" s="138">
        <f>P_2_minW+(AA2469^2*R_dn)-dpdn_minQ</f>
        <v>50</v>
      </c>
      <c r="AB2472" s="132"/>
      <c r="AC2472" s="146"/>
      <c r="AD2472" s="138">
        <f>P_2_minW+(AD2469^2*R_dn)-dpdn_minQ</f>
        <v>50</v>
      </c>
      <c r="AE2472" s="132"/>
      <c r="AF2472" s="146"/>
      <c r="AG2472" s="138">
        <f>P_2_minW+(AG2469^2*R_dn)-dpdn_minQ</f>
        <v>50</v>
      </c>
      <c r="AH2472" s="132"/>
      <c r="AI2472" s="146"/>
      <c r="AJ2472" s="138">
        <f>P_2_minW+(AJ2469^2*R_dn)-dpdn_minQ</f>
        <v>50</v>
      </c>
      <c r="AK2472" s="132"/>
      <c r="AL2472" s="146"/>
      <c r="AM2472" s="138">
        <f>P_2_minW+(AM2469^2*R_dn)-dpdn_minQ</f>
        <v>50</v>
      </c>
      <c r="AN2472" s="132"/>
      <c r="AO2472" s="146"/>
      <c r="AP2472" s="138">
        <f>P_2_minW+(AP2469^2*R_dn)-dpdn_minQ</f>
        <v>50</v>
      </c>
      <c r="AQ2472" s="132"/>
      <c r="AR2472" s="146"/>
      <c r="AS2472" s="138">
        <f>P_2_minW+(AS2469^2*R_dn)-dpdn_minQ</f>
        <v>50</v>
      </c>
      <c r="AT2472" s="132"/>
      <c r="AU2472" s="146"/>
    </row>
    <row r="2473" spans="13:47" x14ac:dyDescent="0.25">
      <c r="M2473" s="20"/>
      <c r="N2473" s="20"/>
      <c r="O2473" s="7" t="s">
        <v>234</v>
      </c>
      <c r="P2473" s="1"/>
      <c r="Q2473" s="7"/>
      <c r="R2473" s="179">
        <f>'Valve Sizing'!G$8*R2471/P_1_maxW</f>
        <v>0.48465595546336193</v>
      </c>
      <c r="S2473" s="132"/>
      <c r="T2473" s="146"/>
      <c r="U2473" s="143">
        <f>'Valve Sizing'!$G$8*U2471/P_1_maxW</f>
        <v>0.47166005751344048</v>
      </c>
      <c r="V2473" s="132"/>
      <c r="W2473" s="146"/>
      <c r="X2473" s="143">
        <f>'Valve Sizing'!$G$8*X2471/P_1_maxW</f>
        <v>0.40389970729498231</v>
      </c>
      <c r="Y2473" s="132"/>
      <c r="Z2473" s="146"/>
      <c r="AA2473" s="143">
        <f>'Valve Sizing'!$G$8*AA2471/P_1_maxW</f>
        <v>0.17759716146919163</v>
      </c>
      <c r="AB2473" s="132"/>
      <c r="AC2473" s="146"/>
      <c r="AD2473" s="143">
        <f>'Valve Sizing'!$G$8*AD2471/P_1_maxW</f>
        <v>-0.3463038314663629</v>
      </c>
      <c r="AE2473" s="132"/>
      <c r="AF2473" s="146"/>
      <c r="AG2473" s="143">
        <f>'Valve Sizing'!$G$8*AG2471/P_1_maxW</f>
        <v>-1.1502665260258942</v>
      </c>
      <c r="AH2473" s="132"/>
      <c r="AI2473" s="146"/>
      <c r="AJ2473" s="143">
        <f>'Valve Sizing'!$G$8*AJ2471/P_1_maxW</f>
        <v>-2.1513605795808326</v>
      </c>
      <c r="AK2473" s="132"/>
      <c r="AL2473" s="146"/>
      <c r="AM2473" s="143">
        <f>'Valve Sizing'!$G$8*AM2471/P_1_maxW</f>
        <v>-3.1398034196743985</v>
      </c>
      <c r="AN2473" s="132"/>
      <c r="AO2473" s="146"/>
      <c r="AP2473" s="143">
        <f>'Valve Sizing'!$G$8*AP2471/P_1_maxW</f>
        <v>-4.0268268186466329</v>
      </c>
      <c r="AQ2473" s="132"/>
      <c r="AR2473" s="146"/>
      <c r="AS2473" s="143">
        <f>'Valve Sizing'!$G$8*AS2471/P_1_maxW</f>
        <v>-5.1309189113175471</v>
      </c>
      <c r="AT2473" s="132"/>
      <c r="AU2473" s="146"/>
    </row>
    <row r="2474" spans="13:47" x14ac:dyDescent="0.25">
      <c r="M2474" s="20"/>
      <c r="N2474" s="20"/>
      <c r="O2474" s="7" t="s">
        <v>190</v>
      </c>
      <c r="P2474" s="1"/>
      <c r="Q2474" s="7"/>
      <c r="R2474" s="181">
        <f>R2471-R2472</f>
        <v>50.471360548626066</v>
      </c>
      <c r="S2474" s="132"/>
      <c r="T2474" s="146"/>
      <c r="U2474" s="138">
        <f>U2471-U2472</f>
        <v>47.777252421281673</v>
      </c>
      <c r="V2474" s="132"/>
      <c r="W2474" s="146"/>
      <c r="X2474" s="138">
        <f>X2471-X2472</f>
        <v>33.730226895326823</v>
      </c>
      <c r="Y2474" s="132"/>
      <c r="Z2474" s="146"/>
      <c r="AA2474" s="138">
        <f>AA2471-AA2472</f>
        <v>-13.183309229483704</v>
      </c>
      <c r="AB2474" s="132"/>
      <c r="AC2474" s="146"/>
      <c r="AD2474" s="138">
        <f>AD2471-AD2472</f>
        <v>-121.7903426511342</v>
      </c>
      <c r="AE2474" s="132"/>
      <c r="AF2474" s="146"/>
      <c r="AG2474" s="138">
        <f>AG2471-AG2472</f>
        <v>-288.45542711400719</v>
      </c>
      <c r="AH2474" s="132"/>
      <c r="AI2474" s="146"/>
      <c r="AJ2474" s="138">
        <f>AJ2471-AJ2472</f>
        <v>-495.98672939964956</v>
      </c>
      <c r="AK2474" s="132"/>
      <c r="AL2474" s="146"/>
      <c r="AM2474" s="138">
        <f>AM2471-AM2472</f>
        <v>-700.89537820352473</v>
      </c>
      <c r="AN2474" s="132"/>
      <c r="AO2474" s="146"/>
      <c r="AP2474" s="138">
        <f>AP2471-AP2472</f>
        <v>-884.77932046933756</v>
      </c>
      <c r="AQ2474" s="132"/>
      <c r="AR2474" s="146"/>
      <c r="AS2474" s="138">
        <f>AS2471-AS2472</f>
        <v>-1113.6625797611184</v>
      </c>
      <c r="AT2474" s="132"/>
      <c r="AU2474" s="146"/>
    </row>
    <row r="2475" spans="13:47" ht="14.5" x14ac:dyDescent="0.35">
      <c r="M2475" s="27"/>
      <c r="N2475" s="27"/>
      <c r="O2475" s="2" t="s">
        <v>191</v>
      </c>
      <c r="P2475" s="10"/>
      <c r="Q2475" s="2"/>
      <c r="R2475" s="181">
        <f>R2474/R2471</f>
        <v>0.50234574582275082</v>
      </c>
      <c r="S2475" s="132"/>
      <c r="T2475" s="146"/>
      <c r="U2475" s="138">
        <f>U2474/U2471</f>
        <v>0.48863361608310779</v>
      </c>
      <c r="V2475" s="132"/>
      <c r="W2475" s="146"/>
      <c r="X2475" s="138">
        <f>X2474/X2471</f>
        <v>0.40284408804354244</v>
      </c>
      <c r="Y2475" s="132"/>
      <c r="Z2475" s="146"/>
      <c r="AA2475" s="138">
        <f>AA2474/AA2471</f>
        <v>-0.35807969031375358</v>
      </c>
      <c r="AB2475" s="132"/>
      <c r="AC2475" s="146"/>
      <c r="AD2475" s="138">
        <f>AD2474/AD2471</f>
        <v>1.6964725080499399</v>
      </c>
      <c r="AE2475" s="132"/>
      <c r="AF2475" s="146"/>
      <c r="AG2475" s="138">
        <f>AG2474/AG2471</f>
        <v>1.2096827931540208</v>
      </c>
      <c r="AH2475" s="132"/>
      <c r="AI2475" s="146"/>
      <c r="AJ2475" s="138">
        <f>AJ2474/AJ2471</f>
        <v>1.112110959147385</v>
      </c>
      <c r="AK2475" s="132"/>
      <c r="AL2475" s="146"/>
      <c r="AM2475" s="138">
        <f>AM2474/AM2471</f>
        <v>1.0768172607677755</v>
      </c>
      <c r="AN2475" s="132"/>
      <c r="AO2475" s="146"/>
      <c r="AP2475" s="138">
        <f>AP2474/AP2471</f>
        <v>1.0598960692652144</v>
      </c>
      <c r="AQ2475" s="132"/>
      <c r="AR2475" s="146"/>
      <c r="AS2475" s="138">
        <f>AS2474/AS2471</f>
        <v>1.0470073883874238</v>
      </c>
      <c r="AT2475" s="132"/>
      <c r="AU2475" s="146"/>
    </row>
    <row r="2476" spans="13:47" x14ac:dyDescent="0.25">
      <c r="M2476" s="27"/>
      <c r="N2476" s="27"/>
      <c r="O2476" s="2" t="s">
        <v>26</v>
      </c>
      <c r="P2476" s="7">
        <v>12</v>
      </c>
      <c r="Q2476" s="2"/>
      <c r="R2476" s="181">
        <f>1-R2475/(3*F_GAMMA*R$29)</f>
        <v>0.73837257913097853</v>
      </c>
      <c r="S2476" s="133"/>
      <c r="T2476" s="146"/>
      <c r="U2476" s="138">
        <f>1-U2475/(3*F_GAMMA*U$29)</f>
        <v>0.74557004490544365</v>
      </c>
      <c r="V2476" s="133"/>
      <c r="W2476" s="146"/>
      <c r="X2476" s="138">
        <f>1-X2475/(3*F_GAMMA*X$29)</f>
        <v>0.78709364854010955</v>
      </c>
      <c r="Y2476" s="133"/>
      <c r="Z2476" s="146"/>
      <c r="AA2476" s="138">
        <f>1-AA2475/(3*F_GAMMA*AA$29)</f>
        <v>1.1918428595400645</v>
      </c>
      <c r="AB2476" s="133"/>
      <c r="AC2476" s="146"/>
      <c r="AD2476" s="138">
        <f>1-AD2475/(3*F_GAMMA*AD$29)</f>
        <v>6.6187048977318641E-2</v>
      </c>
      <c r="AE2476" s="133"/>
      <c r="AF2476" s="146"/>
      <c r="AG2476" s="138">
        <f>1-AG2475/(3*F_GAMMA*AG$29)</f>
        <v>0.29615563071491247</v>
      </c>
      <c r="AH2476" s="133"/>
      <c r="AI2476" s="146"/>
      <c r="AJ2476" s="138">
        <f>1-AJ2475/(3*F_GAMMA*AJ$29)</f>
        <v>0.30827022396060777</v>
      </c>
      <c r="AK2476" s="133"/>
      <c r="AL2476" s="146"/>
      <c r="AM2476" s="138">
        <f>1-AM2475/(3*F_GAMMA*AM$29)</f>
        <v>0.26820030180157506</v>
      </c>
      <c r="AN2476" s="133"/>
      <c r="AO2476" s="146"/>
      <c r="AP2476" s="138">
        <f>1-AP2475/(3*F_GAMMA*AP$29)</f>
        <v>0.40474986157280468</v>
      </c>
      <c r="AQ2476" s="133"/>
      <c r="AR2476" s="146"/>
      <c r="AS2476" s="138">
        <f>1-AS2475/(3*F_GAMMA*AS$29)</f>
        <v>0.1073471402020435</v>
      </c>
      <c r="AT2476" s="133"/>
      <c r="AU2476" s="146"/>
    </row>
    <row r="2477" spans="13:47" x14ac:dyDescent="0.25">
      <c r="M2477" s="27"/>
      <c r="N2477" s="27"/>
      <c r="O2477" s="2" t="s">
        <v>71</v>
      </c>
      <c r="P2477" s="85">
        <v>5</v>
      </c>
      <c r="Q2477" s="2"/>
      <c r="R2477" s="179">
        <f>R2469/((N_6*R$27*R2476)*SQRT(R2475*R2471*R2473))</f>
        <v>1.5537039862385587</v>
      </c>
      <c r="S2477" s="133"/>
      <c r="T2477" s="146"/>
      <c r="U2477" s="143">
        <f>U2469/((N_6*U$27*U2476)*SQRT(U2475*U2471*U2473))</f>
        <v>11.720894883910715</v>
      </c>
      <c r="V2477" s="133"/>
      <c r="W2477" s="146"/>
      <c r="X2477" s="143">
        <f>X2469/((N_6*X$27*X2476)*SQRT(X2475*X2471*X2473))</f>
        <v>35.392234797827875</v>
      </c>
      <c r="Y2477" s="133"/>
      <c r="Z2477" s="146"/>
      <c r="AA2477" s="143" t="e">
        <f>AA2469/((N_6*AA$27*AA2476)*SQRT(AA2475*AA2471*AA2473))</f>
        <v>#NUM!</v>
      </c>
      <c r="AB2477" s="133"/>
      <c r="AC2477" s="146"/>
      <c r="AD2477" s="143">
        <f>AD2469/((N_6*AD$27*AD2476)*SQRT(AD2475*AD2471*AD2473))</f>
        <v>779.84572761257084</v>
      </c>
      <c r="AE2477" s="133"/>
      <c r="AF2477" s="146"/>
      <c r="AG2477" s="143">
        <f>AG2469/((N_6*AG$27*AG2476)*SQRT(AG2475*AG2471*AG2473))</f>
        <v>89.033947289638732</v>
      </c>
      <c r="AH2477" s="133"/>
      <c r="AI2477" s="146"/>
      <c r="AJ2477" s="143">
        <f>AJ2469/((N_6*AJ$27*AJ2476)*SQRT(AJ2475*AJ2471*AJ2473))</f>
        <v>62.641703157753575</v>
      </c>
      <c r="AK2477" s="133"/>
      <c r="AL2477" s="146"/>
      <c r="AM2477" s="143">
        <f>AM2469/((N_6*AM$27*AM2476)*SQRT(AM2475*AM2471*AM2473))</f>
        <v>62.398751708304736</v>
      </c>
      <c r="AN2477" s="133"/>
      <c r="AO2477" s="146"/>
      <c r="AP2477" s="143">
        <f>AP2469/((N_6*AP$27*AP2476)*SQRT(AP2475*AP2471*AP2473))</f>
        <v>41.182865228373878</v>
      </c>
      <c r="AQ2477" s="133"/>
      <c r="AR2477" s="146"/>
      <c r="AS2477" s="143">
        <f>AS2469/((N_6*AS$27*AS2476)*SQRT(AS2475*AS2471*AS2473))</f>
        <v>179.74627025546749</v>
      </c>
      <c r="AT2477" s="133"/>
      <c r="AU2477" s="146"/>
    </row>
    <row r="2478" spans="13:47" x14ac:dyDescent="0.25">
      <c r="M2478" s="27"/>
      <c r="N2478" s="27"/>
      <c r="O2478" s="2" t="s">
        <v>73</v>
      </c>
      <c r="P2478" s="85">
        <v>5</v>
      </c>
      <c r="Q2478" s="2"/>
      <c r="R2478" s="179">
        <f>R2469/((N_6*R$27*0.667)*SQRT(R2479*R2471*R2473))</f>
        <v>1.5237729627950412</v>
      </c>
      <c r="S2478" s="133"/>
      <c r="T2478" s="147"/>
      <c r="U2478" s="143">
        <f>U2469/((N_6*U$27*0.667)*SQRT(U2479*U2471*U2473))</f>
        <v>11.44637937789825</v>
      </c>
      <c r="V2478" s="133"/>
      <c r="W2478" s="155"/>
      <c r="X2478" s="143">
        <f>X2469/((N_6*X$27*0.667)*SQRT(X2479*X2471*X2473))</f>
        <v>33.378244882667602</v>
      </c>
      <c r="Y2478" s="133"/>
      <c r="Z2478" s="155"/>
      <c r="AA2478" s="143">
        <f>AA2469/((N_6*AA$27*0.667)*SQRT(AA2479*AA2471*AA2473))</f>
        <v>149.72033969865208</v>
      </c>
      <c r="AB2478" s="133"/>
      <c r="AC2478" s="155"/>
      <c r="AD2478" s="143">
        <f>AD2469/((N_6*AD$27*0.667)*SQRT(AD2479*AD2471*AD2473))</f>
        <v>129.52286882059013</v>
      </c>
      <c r="AE2478" s="133"/>
      <c r="AF2478" s="155"/>
      <c r="AG2478" s="143">
        <f>AG2469/((N_6*AG$27*0.667)*SQRT(AG2479*AG2471*AG2473))</f>
        <v>57.444537346899033</v>
      </c>
      <c r="AH2478" s="133"/>
      <c r="AI2478" s="155"/>
      <c r="AJ2478" s="143">
        <f>AJ2469/((N_6*AJ$27*0.667)*SQRT(AJ2479*AJ2471*AJ2473))</f>
        <v>41.705963987371611</v>
      </c>
      <c r="AK2478" s="133"/>
      <c r="AL2478" s="155"/>
      <c r="AM2478" s="143">
        <f>AM2469/((N_6*AM$27*0.667)*SQRT(AM2479*AM2471*AM2473))</f>
        <v>37.176291976445981</v>
      </c>
      <c r="AN2478" s="133"/>
      <c r="AO2478" s="155"/>
      <c r="AP2478" s="143">
        <f>AP2469/((N_6*AP$27*0.667)*SQRT(AP2479*AP2471*AP2473))</f>
        <v>33.39548949393189</v>
      </c>
      <c r="AQ2478" s="133"/>
      <c r="AR2478" s="155"/>
      <c r="AS2478" s="143">
        <f>AS2469/((N_6*AS$27*0.667)*SQRT(AS2479*AS2471*AS2473))</f>
        <v>47.339804527255424</v>
      </c>
      <c r="AT2478" s="133"/>
      <c r="AU2478" s="155"/>
    </row>
    <row r="2479" spans="13:47" ht="15.5" x14ac:dyDescent="0.4">
      <c r="M2479" s="27"/>
      <c r="N2479" s="27"/>
      <c r="O2479" s="2" t="s">
        <v>192</v>
      </c>
      <c r="P2479" s="85">
        <v>10</v>
      </c>
      <c r="Q2479" s="2"/>
      <c r="R2479" s="181">
        <f>F_GAMMA*R$29</f>
        <v>0.64002688015162901</v>
      </c>
      <c r="S2479" s="133"/>
      <c r="T2479" s="147"/>
      <c r="U2479" s="138">
        <f>F_GAMMA*U$29</f>
        <v>0.64016782916606918</v>
      </c>
      <c r="V2479" s="133"/>
      <c r="W2479" s="155"/>
      <c r="X2479" s="138">
        <f>F_GAMMA*X$29</f>
        <v>0.6307062319203669</v>
      </c>
      <c r="Y2479" s="133"/>
      <c r="Z2479" s="155"/>
      <c r="AA2479" s="138">
        <f>F_GAMMA*AA$29</f>
        <v>0.62217534213893466</v>
      </c>
      <c r="AB2479" s="133"/>
      <c r="AC2479" s="155"/>
      <c r="AD2479" s="138">
        <f>F_GAMMA*AD$29</f>
        <v>0.60557184969146072</v>
      </c>
      <c r="AE2479" s="133"/>
      <c r="AF2479" s="155"/>
      <c r="AG2479" s="138">
        <f>F_GAMMA*AG$29</f>
        <v>0.57289312142622573</v>
      </c>
      <c r="AH2479" s="133"/>
      <c r="AI2479" s="155"/>
      <c r="AJ2479" s="138">
        <f>F_GAMMA*AJ$29</f>
        <v>0.53590819116049981</v>
      </c>
      <c r="AK2479" s="133"/>
      <c r="AL2479" s="155"/>
      <c r="AM2479" s="138">
        <f>F_GAMMA*AM$29</f>
        <v>0.49048815926850342</v>
      </c>
      <c r="AN2479" s="133"/>
      <c r="AO2479" s="155"/>
      <c r="AP2479" s="138">
        <f>F_GAMMA*AP$29</f>
        <v>0.59352979016280105</v>
      </c>
      <c r="AQ2479" s="133"/>
      <c r="AR2479" s="155"/>
      <c r="AS2479" s="138">
        <f>F_GAMMA*AS$29</f>
        <v>0.39097221161068291</v>
      </c>
      <c r="AT2479" s="133"/>
      <c r="AU2479" s="155"/>
    </row>
    <row r="2480" spans="13:47" x14ac:dyDescent="0.25">
      <c r="M2480" s="27"/>
      <c r="N2480" s="27"/>
      <c r="O2480" s="2" t="s">
        <v>193</v>
      </c>
      <c r="P2480" s="134"/>
      <c r="Q2480" s="2"/>
      <c r="R2480" s="181">
        <f>IF(R2475&lt;R2479,R2477,R2478)</f>
        <v>1.5537039862385587</v>
      </c>
      <c r="S2480" s="133"/>
      <c r="T2480" s="147"/>
      <c r="U2480" s="138">
        <f>IF(U2475&lt;U2479,U2477,U2478)</f>
        <v>11.720894883910715</v>
      </c>
      <c r="V2480" s="133"/>
      <c r="W2480" s="155"/>
      <c r="X2480" s="138">
        <f>IF(X2475&lt;X2479,X2477,X2478)</f>
        <v>35.392234797827875</v>
      </c>
      <c r="Y2480" s="133"/>
      <c r="Z2480" s="155"/>
      <c r="AA2480" s="138" t="e">
        <f>IF(AA2475&lt;AA2479,AA2477,AA2478)</f>
        <v>#NUM!</v>
      </c>
      <c r="AB2480" s="133"/>
      <c r="AC2480" s="155"/>
      <c r="AD2480" s="138">
        <f>IF(AD2475&lt;AD2479,AD2477,AD2478)</f>
        <v>129.52286882059013</v>
      </c>
      <c r="AE2480" s="133"/>
      <c r="AF2480" s="155"/>
      <c r="AG2480" s="138">
        <f>IF(AG2475&lt;AG2479,AG2477,AG2478)</f>
        <v>57.444537346899033</v>
      </c>
      <c r="AH2480" s="133"/>
      <c r="AI2480" s="155"/>
      <c r="AJ2480" s="138">
        <f>IF(AJ2475&lt;AJ2479,AJ2477,AJ2478)</f>
        <v>41.705963987371611</v>
      </c>
      <c r="AK2480" s="133"/>
      <c r="AL2480" s="155"/>
      <c r="AM2480" s="138">
        <f>IF(AM2475&lt;AM2479,AM2477,AM2478)</f>
        <v>37.176291976445981</v>
      </c>
      <c r="AN2480" s="133"/>
      <c r="AO2480" s="155"/>
      <c r="AP2480" s="138">
        <f>IF(AP2475&lt;AP2479,AP2477,AP2478)</f>
        <v>33.39548949393189</v>
      </c>
      <c r="AQ2480" s="133"/>
      <c r="AR2480" s="155"/>
      <c r="AS2480" s="138">
        <f>IF(AS2475&lt;AS2479,AS2477,AS2478)</f>
        <v>47.339804527255424</v>
      </c>
      <c r="AT2480" s="133"/>
      <c r="AU2480" s="155"/>
    </row>
    <row r="2481" spans="13:47" ht="13" x14ac:dyDescent="0.3">
      <c r="M2481" s="28"/>
      <c r="N2481" s="28"/>
      <c r="O2481" s="9" t="s">
        <v>194</v>
      </c>
      <c r="P2481" s="1"/>
      <c r="Q2481" s="1"/>
      <c r="R2481" s="135"/>
      <c r="S2481" s="132">
        <f>IF(R2474&lt;=0,W_max,ABS(R$23-R2480))</f>
        <v>0.44629601376144135</v>
      </c>
      <c r="T2481" s="151">
        <f>R2469</f>
        <v>359.11651118835687</v>
      </c>
      <c r="U2481" s="135"/>
      <c r="V2481" s="132">
        <f>IF(U2474&lt;=0,W_max,ABS(U$23-U2480))</f>
        <v>6.7208948839107148</v>
      </c>
      <c r="W2481" s="151">
        <f>U2469</f>
        <v>2623.9565804359249</v>
      </c>
      <c r="X2481" s="135"/>
      <c r="Y2481" s="132">
        <f>IF(X2474&lt;=0,W_max,ABS(X$23-X2480))</f>
        <v>25.392234797827875</v>
      </c>
      <c r="Z2481" s="151">
        <f>X2469</f>
        <v>6489.3568779114476</v>
      </c>
      <c r="AA2481" s="135"/>
      <c r="AB2481" s="132">
        <f>IF(AA2474&lt;=0,W_max,ABS(AA$23-AA2480))</f>
        <v>7174</v>
      </c>
      <c r="AC2481" s="151">
        <f>AA2469</f>
        <v>12639.610819592848</v>
      </c>
      <c r="AD2481" s="135"/>
      <c r="AE2481" s="132">
        <f>IF(AD2474&lt;=0,W_max,ABS(AD$23-AD2480))</f>
        <v>7174</v>
      </c>
      <c r="AF2481" s="151">
        <f>AD2469</f>
        <v>20787.50616962463</v>
      </c>
      <c r="AG2481" s="135"/>
      <c r="AH2481" s="132">
        <f>IF(AG2474&lt;=0,W_max,ABS(AG$23-AG2480))</f>
        <v>7174</v>
      </c>
      <c r="AI2481" s="151">
        <f>AG2469</f>
        <v>29156.077753373509</v>
      </c>
      <c r="AJ2481" s="135"/>
      <c r="AK2481" s="132">
        <f>IF(AJ2474&lt;=0,W_max,ABS(AJ$23-AJ2480))</f>
        <v>7174</v>
      </c>
      <c r="AL2481" s="151">
        <f>AJ2469</f>
        <v>37020.482138748885</v>
      </c>
      <c r="AM2481" s="135"/>
      <c r="AN2481" s="132">
        <f>IF(AM2474&lt;=0,W_max,ABS(AM$23-AM2480))</f>
        <v>7174</v>
      </c>
      <c r="AO2481" s="151">
        <f>AM2469</f>
        <v>43409.426780676171</v>
      </c>
      <c r="AP2481" s="135"/>
      <c r="AQ2481" s="132">
        <f>IF(AP2474&lt;=0,W_max,ABS(AP$23-AP2480))</f>
        <v>7174</v>
      </c>
      <c r="AR2481" s="151">
        <f>AP2469</f>
        <v>48430.523406086097</v>
      </c>
      <c r="AS2481" s="135"/>
      <c r="AT2481" s="132">
        <f>IF(AS2474&lt;=0,W_max,ABS(AS$23-AS2480))</f>
        <v>7174</v>
      </c>
      <c r="AU2481" s="151">
        <f>AS2469</f>
        <v>54032.401976604007</v>
      </c>
    </row>
    <row r="2482" spans="13:47" ht="13" x14ac:dyDescent="0.25">
      <c r="M2482" s="12"/>
      <c r="N2482" s="12"/>
      <c r="O2482" s="12"/>
      <c r="P2482" s="12"/>
      <c r="Q2482" s="12"/>
      <c r="R2482" s="182"/>
      <c r="S2482" s="22"/>
      <c r="T2482" s="152"/>
      <c r="U2482" s="157"/>
      <c r="V2482" s="1"/>
      <c r="W2482" s="147"/>
      <c r="X2482" s="157"/>
      <c r="Y2482" s="1"/>
      <c r="Z2482" s="147"/>
      <c r="AA2482" s="157"/>
      <c r="AB2482" s="1"/>
      <c r="AC2482" s="147"/>
      <c r="AD2482" s="157"/>
      <c r="AE2482" s="1"/>
      <c r="AF2482" s="147"/>
      <c r="AG2482" s="157"/>
      <c r="AH2482" s="1"/>
      <c r="AI2482" s="147"/>
      <c r="AJ2482" s="157"/>
      <c r="AK2482" s="1"/>
      <c r="AL2482" s="147"/>
      <c r="AM2482" s="157"/>
      <c r="AN2482" s="1"/>
      <c r="AO2482" s="147"/>
      <c r="AP2482" s="157"/>
      <c r="AQ2482" s="1"/>
      <c r="AR2482" s="147"/>
      <c r="AS2482" s="157"/>
      <c r="AT2482" s="1"/>
      <c r="AU2482" s="147"/>
    </row>
    <row r="2483" spans="13:47" ht="14" x14ac:dyDescent="0.3">
      <c r="M2483" s="23"/>
      <c r="N2483" s="23"/>
      <c r="O2483" s="23" t="s">
        <v>238</v>
      </c>
      <c r="P2483" s="20"/>
      <c r="Q2483" s="20"/>
      <c r="R2483" s="18">
        <f>R2469*1.02</f>
        <v>366.29884141212403</v>
      </c>
      <c r="S2483" s="128" t="s">
        <v>185</v>
      </c>
      <c r="T2483" s="153" t="s">
        <v>186</v>
      </c>
      <c r="U2483" s="143">
        <f>U2469*1.01</f>
        <v>2650.1961462402842</v>
      </c>
      <c r="V2483" s="128" t="s">
        <v>185</v>
      </c>
      <c r="W2483" s="153" t="s">
        <v>186</v>
      </c>
      <c r="X2483" s="143">
        <f>X2469*1.01</f>
        <v>6554.2504466905621</v>
      </c>
      <c r="Y2483" s="128" t="s">
        <v>185</v>
      </c>
      <c r="Z2483" s="153" t="s">
        <v>186</v>
      </c>
      <c r="AA2483" s="143">
        <f>AA2469*1.01</f>
        <v>12766.006927788776</v>
      </c>
      <c r="AB2483" s="128" t="s">
        <v>185</v>
      </c>
      <c r="AC2483" s="153" t="s">
        <v>186</v>
      </c>
      <c r="AD2483" s="143">
        <f>AD2469*1.01</f>
        <v>20995.381231320876</v>
      </c>
      <c r="AE2483" s="128" t="s">
        <v>185</v>
      </c>
      <c r="AF2483" s="153" t="s">
        <v>186</v>
      </c>
      <c r="AG2483" s="143">
        <f>AG2469*1.01</f>
        <v>29447.638530907243</v>
      </c>
      <c r="AH2483" s="128" t="s">
        <v>185</v>
      </c>
      <c r="AI2483" s="153" t="s">
        <v>186</v>
      </c>
      <c r="AJ2483" s="143">
        <f>AJ2469*1.01</f>
        <v>37390.686960136372</v>
      </c>
      <c r="AK2483" s="128" t="s">
        <v>185</v>
      </c>
      <c r="AL2483" s="153" t="s">
        <v>186</v>
      </c>
      <c r="AM2483" s="143">
        <f>AM2469*1.01</f>
        <v>43843.521048482929</v>
      </c>
      <c r="AN2483" s="128" t="s">
        <v>185</v>
      </c>
      <c r="AO2483" s="153" t="s">
        <v>186</v>
      </c>
      <c r="AP2483" s="143">
        <f>AP2469*1.01</f>
        <v>48914.82864014696</v>
      </c>
      <c r="AQ2483" s="128" t="s">
        <v>185</v>
      </c>
      <c r="AR2483" s="153" t="s">
        <v>186</v>
      </c>
      <c r="AS2483" s="143">
        <f>AS2469*1.01</f>
        <v>54572.725996370049</v>
      </c>
      <c r="AT2483" s="128" t="s">
        <v>185</v>
      </c>
      <c r="AU2483" s="153" t="s">
        <v>186</v>
      </c>
    </row>
    <row r="2484" spans="13:47" ht="14" x14ac:dyDescent="0.3">
      <c r="M2484" s="12"/>
      <c r="N2484" s="12"/>
      <c r="O2484" s="20"/>
      <c r="P2484" s="20"/>
      <c r="Q2484" s="23"/>
      <c r="R2484" s="139"/>
      <c r="S2484" s="130" t="s">
        <v>228</v>
      </c>
      <c r="T2484" s="154" t="s">
        <v>187</v>
      </c>
      <c r="U2484" s="144"/>
      <c r="V2484" s="130" t="s">
        <v>228</v>
      </c>
      <c r="W2484" s="154" t="s">
        <v>187</v>
      </c>
      <c r="X2484" s="144"/>
      <c r="Y2484" s="130" t="s">
        <v>228</v>
      </c>
      <c r="Z2484" s="154" t="s">
        <v>187</v>
      </c>
      <c r="AA2484" s="144"/>
      <c r="AB2484" s="130" t="s">
        <v>228</v>
      </c>
      <c r="AC2484" s="154" t="s">
        <v>187</v>
      </c>
      <c r="AD2484" s="144"/>
      <c r="AE2484" s="130" t="s">
        <v>228</v>
      </c>
      <c r="AF2484" s="154" t="s">
        <v>187</v>
      </c>
      <c r="AG2484" s="144"/>
      <c r="AH2484" s="130" t="s">
        <v>228</v>
      </c>
      <c r="AI2484" s="154" t="s">
        <v>187</v>
      </c>
      <c r="AJ2484" s="144"/>
      <c r="AK2484" s="130" t="s">
        <v>228</v>
      </c>
      <c r="AL2484" s="154" t="s">
        <v>187</v>
      </c>
      <c r="AM2484" s="144"/>
      <c r="AN2484" s="130" t="s">
        <v>228</v>
      </c>
      <c r="AO2484" s="154" t="s">
        <v>187</v>
      </c>
      <c r="AP2484" s="144"/>
      <c r="AQ2484" s="130" t="s">
        <v>228</v>
      </c>
      <c r="AR2484" s="154" t="s">
        <v>187</v>
      </c>
      <c r="AS2484" s="144"/>
      <c r="AT2484" s="130" t="s">
        <v>228</v>
      </c>
      <c r="AU2484" s="154" t="s">
        <v>187</v>
      </c>
    </row>
    <row r="2485" spans="13:47" x14ac:dyDescent="0.25">
      <c r="M2485" s="20"/>
      <c r="N2485" s="20"/>
      <c r="O2485" s="7" t="s">
        <v>188</v>
      </c>
      <c r="P2485" s="7"/>
      <c r="Q2485" s="7"/>
      <c r="R2485" s="181">
        <f>P_1_minW-(R2483^2*R_up)+dpup_minQ</f>
        <v>100.4692829306268</v>
      </c>
      <c r="S2485" s="132"/>
      <c r="T2485" s="145"/>
      <c r="U2485" s="138">
        <f>P_1_minW-(U2483^2*R_up)+dpup_minQ</f>
        <v>97.722067181541235</v>
      </c>
      <c r="V2485" s="132"/>
      <c r="W2485" s="145"/>
      <c r="X2485" s="138">
        <f>P_1_minW-(X2483^2*R_up)+dpup_minQ</f>
        <v>83.392696442514691</v>
      </c>
      <c r="Y2485" s="132"/>
      <c r="Z2485" s="145"/>
      <c r="AA2485" s="138">
        <f>P_1_minW-(AA2483^2*R_up)+dpup_minQ</f>
        <v>35.536198241595471</v>
      </c>
      <c r="AB2485" s="132"/>
      <c r="AC2485" s="145"/>
      <c r="AD2485" s="138">
        <f>P_1_minW-(AD2483^2*R_up)+dpup_minQ</f>
        <v>-75.25383655183019</v>
      </c>
      <c r="AE2485" s="132"/>
      <c r="AF2485" s="145"/>
      <c r="AG2485" s="138">
        <f>P_1_minW-(AG2483^2*R_up)+dpup_minQ</f>
        <v>-245.26888921240689</v>
      </c>
      <c r="AH2485" s="132"/>
      <c r="AI2485" s="145"/>
      <c r="AJ2485" s="138">
        <f>P_1_minW-(AJ2483^2*R_up)+dpup_minQ</f>
        <v>-456.97157067399064</v>
      </c>
      <c r="AK2485" s="132"/>
      <c r="AL2485" s="145"/>
      <c r="AM2485" s="138">
        <f>P_1_minW-(AM2483^2*R_up)+dpup_minQ</f>
        <v>-665.99888331882369</v>
      </c>
      <c r="AN2485" s="132"/>
      <c r="AO2485" s="145"/>
      <c r="AP2485" s="138">
        <f>P_1_minW-(AP2483^2*R_up)+dpup_minQ</f>
        <v>-853.57889282417966</v>
      </c>
      <c r="AQ2485" s="132"/>
      <c r="AR2485" s="145"/>
      <c r="AS2485" s="138">
        <f>P_1_minW-(AS2483^2*R_up)+dpup_minQ</f>
        <v>-1087.0627056277253</v>
      </c>
      <c r="AT2485" s="132"/>
      <c r="AU2485" s="145"/>
    </row>
    <row r="2486" spans="13:47" x14ac:dyDescent="0.25">
      <c r="M2486" s="20"/>
      <c r="N2486" s="20"/>
      <c r="O2486" s="7" t="s">
        <v>189</v>
      </c>
      <c r="P2486" s="1"/>
      <c r="Q2486" s="7"/>
      <c r="R2486" s="181">
        <f>P_2_minW+(R2483^2*R_dn)-dpdn_minQ</f>
        <v>50</v>
      </c>
      <c r="S2486" s="132"/>
      <c r="T2486" s="146"/>
      <c r="U2486" s="138">
        <f>P_2_minW+(U2483^2*R_dn)-dpdn_minQ</f>
        <v>50</v>
      </c>
      <c r="V2486" s="132"/>
      <c r="W2486" s="146"/>
      <c r="X2486" s="138">
        <f>P_2_minW+(X2483^2*R_dn)-dpdn_minQ</f>
        <v>50</v>
      </c>
      <c r="Y2486" s="132"/>
      <c r="Z2486" s="146"/>
      <c r="AA2486" s="138">
        <f>P_2_minW+(AA2483^2*R_dn)-dpdn_minQ</f>
        <v>50</v>
      </c>
      <c r="AB2486" s="132"/>
      <c r="AC2486" s="146"/>
      <c r="AD2486" s="138">
        <f>P_2_minW+(AD2483^2*R_dn)-dpdn_minQ</f>
        <v>50</v>
      </c>
      <c r="AE2486" s="132"/>
      <c r="AF2486" s="146"/>
      <c r="AG2486" s="138">
        <f>P_2_minW+(AG2483^2*R_dn)-dpdn_minQ</f>
        <v>50</v>
      </c>
      <c r="AH2486" s="132"/>
      <c r="AI2486" s="146"/>
      <c r="AJ2486" s="138">
        <f>P_2_minW+(AJ2483^2*R_dn)-dpdn_minQ</f>
        <v>50</v>
      </c>
      <c r="AK2486" s="132"/>
      <c r="AL2486" s="146"/>
      <c r="AM2486" s="138">
        <f>P_2_minW+(AM2483^2*R_dn)-dpdn_minQ</f>
        <v>50</v>
      </c>
      <c r="AN2486" s="132"/>
      <c r="AO2486" s="146"/>
      <c r="AP2486" s="138">
        <f>P_2_minW+(AP2483^2*R_dn)-dpdn_minQ</f>
        <v>50</v>
      </c>
      <c r="AQ2486" s="132"/>
      <c r="AR2486" s="146"/>
      <c r="AS2486" s="138">
        <f>P_2_minW+(AS2483^2*R_dn)-dpdn_minQ</f>
        <v>50</v>
      </c>
      <c r="AT2486" s="132"/>
      <c r="AU2486" s="146"/>
    </row>
    <row r="2487" spans="13:47" x14ac:dyDescent="0.25">
      <c r="M2487" s="20"/>
      <c r="N2487" s="20"/>
      <c r="O2487" s="7" t="s">
        <v>234</v>
      </c>
      <c r="P2487" s="1"/>
      <c r="Q2487" s="7"/>
      <c r="R2487" s="179">
        <f>'Valve Sizing'!G$8*R2485/P_1_maxW</f>
        <v>0.4846459334040305</v>
      </c>
      <c r="S2487" s="132"/>
      <c r="T2487" s="146"/>
      <c r="U2487" s="143">
        <f>'Valve Sizing'!$G$8*U2485/P_1_maxW</f>
        <v>0.47139385374205894</v>
      </c>
      <c r="V2487" s="132"/>
      <c r="W2487" s="146"/>
      <c r="X2487" s="143">
        <f>'Valve Sizing'!$G$8*X2485/P_1_maxW</f>
        <v>0.40227152048420978</v>
      </c>
      <c r="Y2487" s="132"/>
      <c r="Z2487" s="146"/>
      <c r="AA2487" s="143">
        <f>'Valve Sizing'!$G$8*AA2485/P_1_maxW</f>
        <v>0.17142029348732069</v>
      </c>
      <c r="AB2487" s="132"/>
      <c r="AC2487" s="146"/>
      <c r="AD2487" s="143">
        <f>'Valve Sizing'!$G$8*AD2485/P_1_maxW</f>
        <v>-0.36301110940623843</v>
      </c>
      <c r="AE2487" s="132"/>
      <c r="AF2487" s="146"/>
      <c r="AG2487" s="143">
        <f>'Valve Sizing'!$G$8*AG2485/P_1_maxW</f>
        <v>-1.1831334541264162</v>
      </c>
      <c r="AH2487" s="132"/>
      <c r="AI2487" s="146"/>
      <c r="AJ2487" s="143">
        <f>'Valve Sizing'!$G$8*AJ2485/P_1_maxW</f>
        <v>-2.2043494981578089</v>
      </c>
      <c r="AK2487" s="132"/>
      <c r="AL2487" s="146"/>
      <c r="AM2487" s="143">
        <f>'Valve Sizing'!$G$8*AM2485/P_1_maxW</f>
        <v>-3.2126600393372549</v>
      </c>
      <c r="AN2487" s="132"/>
      <c r="AO2487" s="146"/>
      <c r="AP2487" s="143">
        <f>'Valve Sizing'!$G$8*AP2485/P_1_maxW</f>
        <v>-4.1175126086288332</v>
      </c>
      <c r="AQ2487" s="132"/>
      <c r="AR2487" s="146"/>
      <c r="AS2487" s="143">
        <f>'Valve Sizing'!$G$8*AS2485/P_1_maxW</f>
        <v>-5.2437969523624322</v>
      </c>
      <c r="AT2487" s="132"/>
      <c r="AU2487" s="146"/>
    </row>
    <row r="2488" spans="13:47" x14ac:dyDescent="0.25">
      <c r="M2488" s="20"/>
      <c r="N2488" s="20"/>
      <c r="O2488" s="7" t="s">
        <v>190</v>
      </c>
      <c r="P2488" s="1"/>
      <c r="Q2488" s="7"/>
      <c r="R2488" s="181">
        <f>R2485-R2486</f>
        <v>50.469282930626804</v>
      </c>
      <c r="S2488" s="132"/>
      <c r="T2488" s="146"/>
      <c r="U2488" s="138">
        <f>U2485-U2486</f>
        <v>47.722067181541235</v>
      </c>
      <c r="V2488" s="132"/>
      <c r="W2488" s="146"/>
      <c r="X2488" s="138">
        <f>X2485-X2486</f>
        <v>33.392696442514691</v>
      </c>
      <c r="Y2488" s="132"/>
      <c r="Z2488" s="146"/>
      <c r="AA2488" s="138">
        <f>AA2485-AA2486</f>
        <v>-14.463801758404529</v>
      </c>
      <c r="AB2488" s="132"/>
      <c r="AC2488" s="146"/>
      <c r="AD2488" s="138">
        <f>AD2485-AD2486</f>
        <v>-125.25383655183019</v>
      </c>
      <c r="AE2488" s="132"/>
      <c r="AF2488" s="146"/>
      <c r="AG2488" s="138">
        <f>AG2485-AG2486</f>
        <v>-295.26888921240686</v>
      </c>
      <c r="AH2488" s="132"/>
      <c r="AI2488" s="146"/>
      <c r="AJ2488" s="138">
        <f>AJ2485-AJ2486</f>
        <v>-506.97157067399064</v>
      </c>
      <c r="AK2488" s="132"/>
      <c r="AL2488" s="146"/>
      <c r="AM2488" s="138">
        <f>AM2485-AM2486</f>
        <v>-715.99888331882369</v>
      </c>
      <c r="AN2488" s="132"/>
      <c r="AO2488" s="146"/>
      <c r="AP2488" s="138">
        <f>AP2485-AP2486</f>
        <v>-903.57889282417966</v>
      </c>
      <c r="AQ2488" s="132"/>
      <c r="AR2488" s="146"/>
      <c r="AS2488" s="138">
        <f>AS2485-AS2486</f>
        <v>-1137.0627056277253</v>
      </c>
      <c r="AT2488" s="132"/>
      <c r="AU2488" s="146"/>
    </row>
    <row r="2489" spans="13:47" ht="14.5" x14ac:dyDescent="0.35">
      <c r="M2489" s="27"/>
      <c r="N2489" s="27"/>
      <c r="O2489" s="2" t="s">
        <v>191</v>
      </c>
      <c r="P2489" s="10"/>
      <c r="Q2489" s="2"/>
      <c r="R2489" s="181">
        <f>R2488/R2485</f>
        <v>0.50233545476258068</v>
      </c>
      <c r="S2489" s="132"/>
      <c r="T2489" s="146"/>
      <c r="U2489" s="138">
        <f>U2488/U2485</f>
        <v>0.4883448391742114</v>
      </c>
      <c r="V2489" s="132"/>
      <c r="W2489" s="146"/>
      <c r="X2489" s="138">
        <f>X2488/X2485</f>
        <v>0.40042711013108162</v>
      </c>
      <c r="Y2489" s="132"/>
      <c r="Z2489" s="146"/>
      <c r="AA2489" s="138">
        <f>AA2488/AA2485</f>
        <v>-0.40701601392673753</v>
      </c>
      <c r="AB2489" s="132"/>
      <c r="AC2489" s="146"/>
      <c r="AD2489" s="138">
        <f>AD2488/AD2485</f>
        <v>1.6644179525061569</v>
      </c>
      <c r="AE2489" s="132"/>
      <c r="AF2489" s="146"/>
      <c r="AG2489" s="138">
        <f>AG2488/AG2485</f>
        <v>1.2038578971860519</v>
      </c>
      <c r="AH2489" s="132"/>
      <c r="AI2489" s="146"/>
      <c r="AJ2489" s="138">
        <f>AJ2488/AJ2485</f>
        <v>1.1094159969869781</v>
      </c>
      <c r="AK2489" s="132"/>
      <c r="AL2489" s="146"/>
      <c r="AM2489" s="138">
        <f>AM2488/AM2485</f>
        <v>1.0750752009535491</v>
      </c>
      <c r="AN2489" s="132"/>
      <c r="AO2489" s="146"/>
      <c r="AP2489" s="138">
        <f>AP2488/AP2485</f>
        <v>1.058576893618548</v>
      </c>
      <c r="AQ2489" s="132"/>
      <c r="AR2489" s="146"/>
      <c r="AS2489" s="138">
        <f>AS2488/AS2485</f>
        <v>1.0459955067367779</v>
      </c>
      <c r="AT2489" s="132"/>
      <c r="AU2489" s="146"/>
    </row>
    <row r="2490" spans="13:47" x14ac:dyDescent="0.25">
      <c r="M2490" s="27"/>
      <c r="N2490" s="27"/>
      <c r="O2490" s="2" t="s">
        <v>26</v>
      </c>
      <c r="P2490" s="7">
        <v>12</v>
      </c>
      <c r="Q2490" s="2"/>
      <c r="R2490" s="181">
        <f>1-R2489/(3*F_GAMMA*R$29)</f>
        <v>0.73837793883304181</v>
      </c>
      <c r="S2490" s="133"/>
      <c r="T2490" s="146"/>
      <c r="U2490" s="138">
        <f>1-U2489/(3*F_GAMMA*U$29)</f>
        <v>0.7457204101147632</v>
      </c>
      <c r="V2490" s="133"/>
      <c r="W2490" s="146"/>
      <c r="X2490" s="138">
        <f>1-X2489/(3*F_GAMMA*X$29)</f>
        <v>0.78837104087171939</v>
      </c>
      <c r="Y2490" s="133"/>
      <c r="Z2490" s="146"/>
      <c r="AA2490" s="138">
        <f>1-AA2489/(3*F_GAMMA*AA$29)</f>
        <v>1.2180607225220919</v>
      </c>
      <c r="AB2490" s="133"/>
      <c r="AC2490" s="146"/>
      <c r="AD2490" s="138">
        <f>1-AD2489/(3*F_GAMMA*AD$29)</f>
        <v>8.3831283684350666E-2</v>
      </c>
      <c r="AE2490" s="133"/>
      <c r="AF2490" s="146"/>
      <c r="AG2490" s="138">
        <f>1-AG2489/(3*F_GAMMA*AG$29)</f>
        <v>0.29954480038148001</v>
      </c>
      <c r="AH2490" s="133"/>
      <c r="AI2490" s="146"/>
      <c r="AJ2490" s="138">
        <f>1-AJ2489/(3*F_GAMMA*AJ$29)</f>
        <v>0.30994648257160284</v>
      </c>
      <c r="AK2490" s="133"/>
      <c r="AL2490" s="146"/>
      <c r="AM2490" s="138">
        <f>1-AM2489/(3*F_GAMMA*AM$29)</f>
        <v>0.26938419705728955</v>
      </c>
      <c r="AN2490" s="133"/>
      <c r="AO2490" s="146"/>
      <c r="AP2490" s="138">
        <f>1-AP2489/(3*F_GAMMA*AP$29)</f>
        <v>0.40549072618119253</v>
      </c>
      <c r="AQ2490" s="133"/>
      <c r="AR2490" s="146"/>
      <c r="AS2490" s="138">
        <f>1-AS2489/(3*F_GAMMA*AS$29)</f>
        <v>0.10820984571801628</v>
      </c>
      <c r="AT2490" s="133"/>
      <c r="AU2490" s="146"/>
    </row>
    <row r="2491" spans="13:47" x14ac:dyDescent="0.25">
      <c r="M2491" s="27"/>
      <c r="N2491" s="27"/>
      <c r="O2491" s="2" t="s">
        <v>71</v>
      </c>
      <c r="P2491" s="85">
        <v>5</v>
      </c>
      <c r="Q2491" s="2"/>
      <c r="R2491" s="179">
        <f>R2483/((N_6*R$27*R2490)*SQRT(R2489*R2485*R2487))</f>
        <v>1.5848155674140065</v>
      </c>
      <c r="S2491" s="133"/>
      <c r="T2491" s="146"/>
      <c r="U2491" s="143">
        <f>U2483/((N_6*U$27*U2490)*SQRT(U2489*U2485*U2487))</f>
        <v>11.845901562465519</v>
      </c>
      <c r="V2491" s="133"/>
      <c r="W2491" s="146"/>
      <c r="X2491" s="143">
        <f>X2483/((N_6*X$27*X2490)*SQRT(X2489*X2485*X2487))</f>
        <v>35.94066573480508</v>
      </c>
      <c r="Y2491" s="133"/>
      <c r="Z2491" s="146"/>
      <c r="AA2491" s="143" t="e">
        <f>AA2483/((N_6*AA$27*AA2490)*SQRT(AA2489*AA2485*AA2487))</f>
        <v>#NUM!</v>
      </c>
      <c r="AB2491" s="133"/>
      <c r="AC2491" s="146"/>
      <c r="AD2491" s="143">
        <f>AD2483/((N_6*AD$27*AD2490)*SQRT(AD2489*AD2485*AD2487))</f>
        <v>598.93069390434323</v>
      </c>
      <c r="AE2491" s="133"/>
      <c r="AF2491" s="146"/>
      <c r="AG2491" s="143">
        <f>AG2483/((N_6*AG$27*AG2490)*SQRT(AG2489*AG2485*AG2487))</f>
        <v>86.645915780549657</v>
      </c>
      <c r="AH2491" s="133"/>
      <c r="AI2491" s="146"/>
      <c r="AJ2491" s="143">
        <f>AJ2483/((N_6*AJ$27*AJ2490)*SQRT(AJ2489*AJ2485*AJ2487))</f>
        <v>61.487862925827685</v>
      </c>
      <c r="AK2491" s="133"/>
      <c r="AL2491" s="146"/>
      <c r="AM2491" s="143">
        <f>AM2483/((N_6*AM$27*AM2490)*SQRT(AM2489*AM2485*AM2487))</f>
        <v>61.372482630563411</v>
      </c>
      <c r="AN2491" s="133"/>
      <c r="AO2491" s="146"/>
      <c r="AP2491" s="143">
        <f>AP2483/((N_6*AP$27*AP2490)*SQRT(AP2489*AP2485*AP2487))</f>
        <v>40.629564344050038</v>
      </c>
      <c r="AQ2491" s="133"/>
      <c r="AR2491" s="146"/>
      <c r="AS2491" s="143">
        <f>AS2483/((N_6*AS$27*AS2490)*SQRT(AS2489*AS2485*AS2487))</f>
        <v>176.30483010855261</v>
      </c>
      <c r="AT2491" s="133"/>
      <c r="AU2491" s="146"/>
    </row>
    <row r="2492" spans="13:47" x14ac:dyDescent="0.25">
      <c r="M2492" s="27"/>
      <c r="N2492" s="27"/>
      <c r="O2492" s="2" t="s">
        <v>73</v>
      </c>
      <c r="P2492" s="85">
        <v>5</v>
      </c>
      <c r="Q2492" s="2"/>
      <c r="R2492" s="179">
        <f>R2483/((N_6*R$27*0.667)*SQRT(R2493*R2485*R2487))</f>
        <v>1.5542805625659615</v>
      </c>
      <c r="S2492" s="133"/>
      <c r="T2492" s="155"/>
      <c r="U2492" s="143">
        <f>U2483/((N_6*U$27*0.667)*SQRT(U2493*U2485*U2487))</f>
        <v>11.5673717677296</v>
      </c>
      <c r="V2492" s="133"/>
      <c r="W2492" s="155"/>
      <c r="X2492" s="143">
        <f>X2483/((N_6*X$27*0.667)*SQRT(X2493*X2485*X2487))</f>
        <v>33.848476161377825</v>
      </c>
      <c r="Y2492" s="133"/>
      <c r="Z2492" s="155"/>
      <c r="AA2492" s="143">
        <f>AA2483/((N_6*AA$27*0.667)*SQRT(AA2493*AA2485*AA2487))</f>
        <v>156.66643587981602</v>
      </c>
      <c r="AB2492" s="133"/>
      <c r="AC2492" s="155"/>
      <c r="AD2492" s="143">
        <f>AD2483/((N_6*AD$27*0.667)*SQRT(AD2493*AD2485*AD2487))</f>
        <v>124.7973056982641</v>
      </c>
      <c r="AE2492" s="133"/>
      <c r="AF2492" s="155"/>
      <c r="AG2492" s="143">
        <f>AG2483/((N_6*AG$27*0.667)*SQRT(AG2493*AG2485*AG2487))</f>
        <v>56.407240843840867</v>
      </c>
      <c r="AH2492" s="133"/>
      <c r="AI2492" s="155"/>
      <c r="AJ2492" s="143">
        <f>AJ2483/((N_6*AJ$27*0.667)*SQRT(AJ2493*AJ2485*AJ2487))</f>
        <v>41.110455760368723</v>
      </c>
      <c r="AK2492" s="133"/>
      <c r="AL2492" s="155"/>
      <c r="AM2492" s="143">
        <f>AM2483/((N_6*AM$27*0.667)*SQRT(AM2493*AM2485*AM2487))</f>
        <v>36.696541097315738</v>
      </c>
      <c r="AN2492" s="133"/>
      <c r="AO2492" s="155"/>
      <c r="AP2492" s="143">
        <f>AP2483/((N_6*AP$27*0.667)*SQRT(AP2493*AP2485*AP2487))</f>
        <v>32.98657324291397</v>
      </c>
      <c r="AQ2492" s="133"/>
      <c r="AR2492" s="155"/>
      <c r="AS2492" s="143">
        <f>AS2483/((N_6*AS$27*0.667)*SQRT(AS2493*AS2485*AS2487))</f>
        <v>46.783974955307265</v>
      </c>
      <c r="AT2492" s="133"/>
      <c r="AU2492" s="155"/>
    </row>
    <row r="2493" spans="13:47" ht="15.5" x14ac:dyDescent="0.4">
      <c r="M2493" s="27"/>
      <c r="N2493" s="27"/>
      <c r="O2493" s="2" t="s">
        <v>192</v>
      </c>
      <c r="P2493" s="85">
        <v>10</v>
      </c>
      <c r="Q2493" s="2"/>
      <c r="R2493" s="181">
        <f>F_GAMMA*R$29</f>
        <v>0.64002688015162901</v>
      </c>
      <c r="S2493" s="133"/>
      <c r="T2493" s="155"/>
      <c r="U2493" s="138">
        <f>F_GAMMA*U$29</f>
        <v>0.64016782916606918</v>
      </c>
      <c r="V2493" s="133"/>
      <c r="W2493" s="155"/>
      <c r="X2493" s="138">
        <f>F_GAMMA*X$29</f>
        <v>0.6307062319203669</v>
      </c>
      <c r="Y2493" s="133"/>
      <c r="Z2493" s="155"/>
      <c r="AA2493" s="138">
        <f>F_GAMMA*AA$29</f>
        <v>0.62217534213893466</v>
      </c>
      <c r="AB2493" s="133"/>
      <c r="AC2493" s="155"/>
      <c r="AD2493" s="138">
        <f>F_GAMMA*AD$29</f>
        <v>0.60557184969146072</v>
      </c>
      <c r="AE2493" s="133"/>
      <c r="AF2493" s="155"/>
      <c r="AG2493" s="138">
        <f>F_GAMMA*AG$29</f>
        <v>0.57289312142622573</v>
      </c>
      <c r="AH2493" s="133"/>
      <c r="AI2493" s="155"/>
      <c r="AJ2493" s="138">
        <f>F_GAMMA*AJ$29</f>
        <v>0.53590819116049981</v>
      </c>
      <c r="AK2493" s="133"/>
      <c r="AL2493" s="155"/>
      <c r="AM2493" s="138">
        <f>F_GAMMA*AM$29</f>
        <v>0.49048815926850342</v>
      </c>
      <c r="AN2493" s="133"/>
      <c r="AO2493" s="155"/>
      <c r="AP2493" s="138">
        <f>F_GAMMA*AP$29</f>
        <v>0.59352979016280105</v>
      </c>
      <c r="AQ2493" s="133"/>
      <c r="AR2493" s="155"/>
      <c r="AS2493" s="138">
        <f>F_GAMMA*AS$29</f>
        <v>0.39097221161068291</v>
      </c>
      <c r="AT2493" s="133"/>
      <c r="AU2493" s="155"/>
    </row>
    <row r="2494" spans="13:47" x14ac:dyDescent="0.25">
      <c r="M2494" s="27"/>
      <c r="N2494" s="27"/>
      <c r="O2494" s="2" t="s">
        <v>193</v>
      </c>
      <c r="P2494" s="134"/>
      <c r="Q2494" s="2"/>
      <c r="R2494" s="181">
        <f>IF(R2489&lt;R2493,R2491,R2492)</f>
        <v>1.5848155674140065</v>
      </c>
      <c r="S2494" s="133"/>
      <c r="T2494" s="155"/>
      <c r="U2494" s="138">
        <f>IF(U2489&lt;U2493,U2491,U2492)</f>
        <v>11.845901562465519</v>
      </c>
      <c r="V2494" s="133"/>
      <c r="W2494" s="155"/>
      <c r="X2494" s="138">
        <f>IF(X2489&lt;X2493,X2491,X2492)</f>
        <v>35.94066573480508</v>
      </c>
      <c r="Y2494" s="133"/>
      <c r="Z2494" s="155"/>
      <c r="AA2494" s="138" t="e">
        <f>IF(AA2489&lt;AA2493,AA2491,AA2492)</f>
        <v>#NUM!</v>
      </c>
      <c r="AB2494" s="133"/>
      <c r="AC2494" s="155"/>
      <c r="AD2494" s="138">
        <f>IF(AD2489&lt;AD2493,AD2491,AD2492)</f>
        <v>124.7973056982641</v>
      </c>
      <c r="AE2494" s="133"/>
      <c r="AF2494" s="155"/>
      <c r="AG2494" s="138">
        <f>IF(AG2489&lt;AG2493,AG2491,AG2492)</f>
        <v>56.407240843840867</v>
      </c>
      <c r="AH2494" s="133"/>
      <c r="AI2494" s="155"/>
      <c r="AJ2494" s="138">
        <f>IF(AJ2489&lt;AJ2493,AJ2491,AJ2492)</f>
        <v>41.110455760368723</v>
      </c>
      <c r="AK2494" s="133"/>
      <c r="AL2494" s="155"/>
      <c r="AM2494" s="138">
        <f>IF(AM2489&lt;AM2493,AM2491,AM2492)</f>
        <v>36.696541097315738</v>
      </c>
      <c r="AN2494" s="133"/>
      <c r="AO2494" s="155"/>
      <c r="AP2494" s="138">
        <f>IF(AP2489&lt;AP2493,AP2491,AP2492)</f>
        <v>32.98657324291397</v>
      </c>
      <c r="AQ2494" s="133"/>
      <c r="AR2494" s="155"/>
      <c r="AS2494" s="138">
        <f>IF(AS2489&lt;AS2493,AS2491,AS2492)</f>
        <v>46.783974955307265</v>
      </c>
      <c r="AT2494" s="133"/>
      <c r="AU2494" s="155"/>
    </row>
    <row r="2495" spans="13:47" ht="13" x14ac:dyDescent="0.3">
      <c r="M2495" s="28"/>
      <c r="N2495" s="28"/>
      <c r="O2495" s="9" t="s">
        <v>194</v>
      </c>
      <c r="P2495" s="1"/>
      <c r="Q2495" s="1"/>
      <c r="R2495" s="135"/>
      <c r="S2495" s="132">
        <f>IF(R2488&lt;=0,W_max,ABS(R$23-R2494))</f>
        <v>0.41518443258599347</v>
      </c>
      <c r="T2495" s="151">
        <f>R2483</f>
        <v>366.29884141212403</v>
      </c>
      <c r="U2495" s="135"/>
      <c r="V2495" s="132">
        <f>IF(U2488&lt;=0,W_max,ABS(U$23-U2494))</f>
        <v>6.8459015624655191</v>
      </c>
      <c r="W2495" s="151">
        <f>U2483</f>
        <v>2650.1961462402842</v>
      </c>
      <c r="X2495" s="135"/>
      <c r="Y2495" s="132">
        <f>IF(X2488&lt;=0,W_max,ABS(X$23-X2494))</f>
        <v>25.94066573480508</v>
      </c>
      <c r="Z2495" s="151">
        <f>X2483</f>
        <v>6554.2504466905621</v>
      </c>
      <c r="AA2495" s="135"/>
      <c r="AB2495" s="132">
        <f>IF(AA2488&lt;=0,W_max,ABS(AA$23-AA2494))</f>
        <v>7174</v>
      </c>
      <c r="AC2495" s="151">
        <f>AA2483</f>
        <v>12766.006927788776</v>
      </c>
      <c r="AD2495" s="135"/>
      <c r="AE2495" s="132">
        <f>IF(AD2488&lt;=0,W_max,ABS(AD$23-AD2494))</f>
        <v>7174</v>
      </c>
      <c r="AF2495" s="151">
        <f>AD2483</f>
        <v>20995.381231320876</v>
      </c>
      <c r="AG2495" s="135"/>
      <c r="AH2495" s="132">
        <f>IF(AG2488&lt;=0,W_max,ABS(AG$23-AG2494))</f>
        <v>7174</v>
      </c>
      <c r="AI2495" s="151">
        <f>AG2483</f>
        <v>29447.638530907243</v>
      </c>
      <c r="AJ2495" s="135"/>
      <c r="AK2495" s="132">
        <f>IF(AJ2488&lt;=0,W_max,ABS(AJ$23-AJ2494))</f>
        <v>7174</v>
      </c>
      <c r="AL2495" s="151">
        <f>AJ2483</f>
        <v>37390.686960136372</v>
      </c>
      <c r="AM2495" s="135"/>
      <c r="AN2495" s="132">
        <f>IF(AM2488&lt;=0,W_max,ABS(AM$23-AM2494))</f>
        <v>7174</v>
      </c>
      <c r="AO2495" s="151">
        <f>AM2483</f>
        <v>43843.521048482929</v>
      </c>
      <c r="AP2495" s="135"/>
      <c r="AQ2495" s="132">
        <f>IF(AP2488&lt;=0,W_max,ABS(AP$23-AP2494))</f>
        <v>7174</v>
      </c>
      <c r="AR2495" s="151">
        <f>AP2483</f>
        <v>48914.82864014696</v>
      </c>
      <c r="AS2495" s="135"/>
      <c r="AT2495" s="132">
        <f>IF(AS2488&lt;=0,W_max,ABS(AS$23-AS2494))</f>
        <v>7174</v>
      </c>
      <c r="AU2495" s="151">
        <f>AS2483</f>
        <v>54572.725996370049</v>
      </c>
    </row>
    <row r="2496" spans="13:47" ht="13" x14ac:dyDescent="0.25">
      <c r="M2496" s="12"/>
      <c r="N2496" s="12"/>
      <c r="O2496" s="2"/>
      <c r="P2496" s="85"/>
      <c r="Q2496" s="2"/>
      <c r="R2496" s="18"/>
      <c r="S2496" s="150"/>
      <c r="T2496" s="152"/>
      <c r="U2496" s="157"/>
      <c r="V2496" s="1"/>
      <c r="W2496" s="147"/>
      <c r="X2496" s="157"/>
      <c r="Y2496" s="1"/>
      <c r="Z2496" s="147"/>
      <c r="AA2496" s="157"/>
      <c r="AB2496" s="1"/>
      <c r="AC2496" s="147"/>
      <c r="AD2496" s="157"/>
      <c r="AE2496" s="1"/>
      <c r="AF2496" s="147"/>
      <c r="AG2496" s="157"/>
      <c r="AH2496" s="1"/>
      <c r="AI2496" s="147"/>
      <c r="AJ2496" s="157"/>
      <c r="AK2496" s="1"/>
      <c r="AL2496" s="147"/>
      <c r="AM2496" s="157"/>
      <c r="AN2496" s="1"/>
      <c r="AO2496" s="147"/>
      <c r="AP2496" s="157"/>
      <c r="AQ2496" s="1"/>
      <c r="AR2496" s="147"/>
      <c r="AS2496" s="157"/>
      <c r="AT2496" s="1"/>
      <c r="AU2496" s="147"/>
    </row>
    <row r="2497" spans="13:47" ht="14" x14ac:dyDescent="0.3">
      <c r="M2497" s="23"/>
      <c r="N2497" s="23"/>
      <c r="O2497" s="23" t="s">
        <v>238</v>
      </c>
      <c r="P2497" s="20"/>
      <c r="Q2497" s="20"/>
      <c r="R2497" s="181">
        <f>R2483*1.02</f>
        <v>373.62481824036649</v>
      </c>
      <c r="S2497" s="128" t="s">
        <v>185</v>
      </c>
      <c r="T2497" s="153" t="s">
        <v>186</v>
      </c>
      <c r="U2497" s="143">
        <f>U2483*1.01</f>
        <v>2676.6981077026871</v>
      </c>
      <c r="V2497" s="128" t="s">
        <v>185</v>
      </c>
      <c r="W2497" s="153" t="s">
        <v>186</v>
      </c>
      <c r="X2497" s="143">
        <f>X2483*1.01</f>
        <v>6619.7929511574675</v>
      </c>
      <c r="Y2497" s="128" t="s">
        <v>185</v>
      </c>
      <c r="Z2497" s="153" t="s">
        <v>186</v>
      </c>
      <c r="AA2497" s="143">
        <f>AA2483*1.01</f>
        <v>12893.666997066664</v>
      </c>
      <c r="AB2497" s="128" t="s">
        <v>185</v>
      </c>
      <c r="AC2497" s="153" t="s">
        <v>186</v>
      </c>
      <c r="AD2497" s="143">
        <f>AD2483*1.01</f>
        <v>21205.335043634084</v>
      </c>
      <c r="AE2497" s="128" t="s">
        <v>185</v>
      </c>
      <c r="AF2497" s="153" t="s">
        <v>186</v>
      </c>
      <c r="AG2497" s="143">
        <f>AG2483*1.01</f>
        <v>29742.114916216316</v>
      </c>
      <c r="AH2497" s="128" t="s">
        <v>185</v>
      </c>
      <c r="AI2497" s="153" t="s">
        <v>186</v>
      </c>
      <c r="AJ2497" s="143">
        <f>AJ2483*1.01</f>
        <v>37764.593829737736</v>
      </c>
      <c r="AK2497" s="128" t="s">
        <v>185</v>
      </c>
      <c r="AL2497" s="153" t="s">
        <v>186</v>
      </c>
      <c r="AM2497" s="143">
        <f>AM2483*1.01</f>
        <v>44281.956258967759</v>
      </c>
      <c r="AN2497" s="128" t="s">
        <v>185</v>
      </c>
      <c r="AO2497" s="153" t="s">
        <v>186</v>
      </c>
      <c r="AP2497" s="143">
        <f>AP2483*1.01</f>
        <v>49403.976926548428</v>
      </c>
      <c r="AQ2497" s="128" t="s">
        <v>185</v>
      </c>
      <c r="AR2497" s="153" t="s">
        <v>186</v>
      </c>
      <c r="AS2497" s="143">
        <f>AS2483*1.01</f>
        <v>55118.453256333749</v>
      </c>
      <c r="AT2497" s="128" t="s">
        <v>185</v>
      </c>
      <c r="AU2497" s="153" t="s">
        <v>186</v>
      </c>
    </row>
    <row r="2498" spans="13:47" ht="14" x14ac:dyDescent="0.3">
      <c r="M2498" s="12"/>
      <c r="N2498" s="12"/>
      <c r="O2498" s="20"/>
      <c r="P2498" s="20"/>
      <c r="Q2498" s="23"/>
      <c r="R2498" s="139"/>
      <c r="S2498" s="130" t="s">
        <v>228</v>
      </c>
      <c r="T2498" s="154" t="s">
        <v>187</v>
      </c>
      <c r="U2498" s="144"/>
      <c r="V2498" s="130" t="s">
        <v>228</v>
      </c>
      <c r="W2498" s="154" t="s">
        <v>187</v>
      </c>
      <c r="X2498" s="144"/>
      <c r="Y2498" s="130" t="s">
        <v>228</v>
      </c>
      <c r="Z2498" s="154" t="s">
        <v>187</v>
      </c>
      <c r="AA2498" s="144"/>
      <c r="AB2498" s="130" t="s">
        <v>228</v>
      </c>
      <c r="AC2498" s="154" t="s">
        <v>187</v>
      </c>
      <c r="AD2498" s="144"/>
      <c r="AE2498" s="130" t="s">
        <v>228</v>
      </c>
      <c r="AF2498" s="154" t="s">
        <v>187</v>
      </c>
      <c r="AG2498" s="144"/>
      <c r="AH2498" s="130" t="s">
        <v>228</v>
      </c>
      <c r="AI2498" s="154" t="s">
        <v>187</v>
      </c>
      <c r="AJ2498" s="144"/>
      <c r="AK2498" s="130" t="s">
        <v>228</v>
      </c>
      <c r="AL2498" s="154" t="s">
        <v>187</v>
      </c>
      <c r="AM2498" s="144"/>
      <c r="AN2498" s="130" t="s">
        <v>228</v>
      </c>
      <c r="AO2498" s="154" t="s">
        <v>187</v>
      </c>
      <c r="AP2498" s="144"/>
      <c r="AQ2498" s="130" t="s">
        <v>228</v>
      </c>
      <c r="AR2498" s="154" t="s">
        <v>187</v>
      </c>
      <c r="AS2498" s="144"/>
      <c r="AT2498" s="130" t="s">
        <v>228</v>
      </c>
      <c r="AU2498" s="154" t="s">
        <v>187</v>
      </c>
    </row>
    <row r="2499" spans="13:47" x14ac:dyDescent="0.25">
      <c r="M2499" s="20"/>
      <c r="N2499" s="20"/>
      <c r="O2499" s="7" t="s">
        <v>188</v>
      </c>
      <c r="P2499" s="7"/>
      <c r="Q2499" s="7"/>
      <c r="R2499" s="181">
        <f>P_1_minW-(R2497^2*R_up)+dpup_minQ</f>
        <v>100.46712137686036</v>
      </c>
      <c r="S2499" s="132"/>
      <c r="T2499" s="145"/>
      <c r="U2499" s="138">
        <f>P_1_minW-(U2497^2*R_up)+dpup_minQ</f>
        <v>97.665772718482003</v>
      </c>
      <c r="V2499" s="132"/>
      <c r="W2499" s="145"/>
      <c r="X2499" s="138">
        <f>P_1_minW-(X2497^2*R_up)+dpup_minQ</f>
        <v>83.048381627601032</v>
      </c>
      <c r="Y2499" s="132"/>
      <c r="Z2499" s="145"/>
      <c r="AA2499" s="138">
        <f>P_1_minW-(AA2497^2*R_up)+dpup_minQ</f>
        <v>34.229967812843327</v>
      </c>
      <c r="AB2499" s="132"/>
      <c r="AC2499" s="145"/>
      <c r="AD2499" s="138">
        <f>P_1_minW-(AD2497^2*R_up)+dpup_minQ</f>
        <v>-78.786946679930182</v>
      </c>
      <c r="AE2499" s="132"/>
      <c r="AF2499" s="145"/>
      <c r="AG2499" s="138">
        <f>P_1_minW-(AG2497^2*R_up)+dpup_minQ</f>
        <v>-252.21930189898447</v>
      </c>
      <c r="AH2499" s="132"/>
      <c r="AI2499" s="145"/>
      <c r="AJ2499" s="138">
        <f>P_1_minW-(AJ2497^2*R_up)+dpup_minQ</f>
        <v>-468.17720725794618</v>
      </c>
      <c r="AK2499" s="132"/>
      <c r="AL2499" s="145"/>
      <c r="AM2499" s="138">
        <f>P_1_minW-(AM2497^2*R_up)+dpup_minQ</f>
        <v>-681.40596888694017</v>
      </c>
      <c r="AN2499" s="132"/>
      <c r="AO2499" s="145"/>
      <c r="AP2499" s="138">
        <f>P_1_minW-(AP2497^2*R_up)+dpup_minQ</f>
        <v>-872.75633658335369</v>
      </c>
      <c r="AQ2499" s="132"/>
      <c r="AR2499" s="145"/>
      <c r="AS2499" s="138">
        <f>P_1_minW-(AS2497^2*R_up)+dpup_minQ</f>
        <v>-1110.9331740242508</v>
      </c>
      <c r="AT2499" s="132"/>
      <c r="AU2499" s="145"/>
    </row>
    <row r="2500" spans="13:47" x14ac:dyDescent="0.25">
      <c r="M2500" s="20"/>
      <c r="N2500" s="20"/>
      <c r="O2500" s="7" t="s">
        <v>189</v>
      </c>
      <c r="P2500" s="1"/>
      <c r="Q2500" s="7"/>
      <c r="R2500" s="181">
        <f>P_2_minW+(R2497^2*R_dn)-dpdn_minQ</f>
        <v>50</v>
      </c>
      <c r="S2500" s="132"/>
      <c r="T2500" s="146"/>
      <c r="U2500" s="138">
        <f>P_2_minW+(U2497^2*R_dn)-dpdn_minQ</f>
        <v>50</v>
      </c>
      <c r="V2500" s="132"/>
      <c r="W2500" s="146"/>
      <c r="X2500" s="138">
        <f>P_2_minW+(X2497^2*R_dn)-dpdn_minQ</f>
        <v>50</v>
      </c>
      <c r="Y2500" s="132"/>
      <c r="Z2500" s="146"/>
      <c r="AA2500" s="138">
        <f>P_2_minW+(AA2497^2*R_dn)-dpdn_minQ</f>
        <v>50</v>
      </c>
      <c r="AB2500" s="132"/>
      <c r="AC2500" s="146"/>
      <c r="AD2500" s="138">
        <f>P_2_minW+(AD2497^2*R_dn)-dpdn_minQ</f>
        <v>50</v>
      </c>
      <c r="AE2500" s="132"/>
      <c r="AF2500" s="146"/>
      <c r="AG2500" s="138">
        <f>P_2_minW+(AG2497^2*R_dn)-dpdn_minQ</f>
        <v>50</v>
      </c>
      <c r="AH2500" s="132"/>
      <c r="AI2500" s="146"/>
      <c r="AJ2500" s="138">
        <f>P_2_minW+(AJ2497^2*R_dn)-dpdn_minQ</f>
        <v>50</v>
      </c>
      <c r="AK2500" s="132"/>
      <c r="AL2500" s="146"/>
      <c r="AM2500" s="138">
        <f>P_2_minW+(AM2497^2*R_dn)-dpdn_minQ</f>
        <v>50</v>
      </c>
      <c r="AN2500" s="132"/>
      <c r="AO2500" s="146"/>
      <c r="AP2500" s="138">
        <f>P_2_minW+(AP2497^2*R_dn)-dpdn_minQ</f>
        <v>50</v>
      </c>
      <c r="AQ2500" s="132"/>
      <c r="AR2500" s="146"/>
      <c r="AS2500" s="138">
        <f>P_2_minW+(AS2497^2*R_dn)-dpdn_minQ</f>
        <v>50</v>
      </c>
      <c r="AT2500" s="132"/>
      <c r="AU2500" s="146"/>
    </row>
    <row r="2501" spans="13:47" x14ac:dyDescent="0.25">
      <c r="M2501" s="20"/>
      <c r="N2501" s="20"/>
      <c r="O2501" s="7" t="s">
        <v>234</v>
      </c>
      <c r="P2501" s="1"/>
      <c r="Q2501" s="7"/>
      <c r="R2501" s="179">
        <f>'Valve Sizing'!G$8*R2499/P_1_maxW</f>
        <v>0.48463550645350217</v>
      </c>
      <c r="S2501" s="132"/>
      <c r="T2501" s="146"/>
      <c r="U2501" s="143">
        <f>'Valve Sizing'!$G$8*U2499/P_1_maxW</f>
        <v>0.47112229927487259</v>
      </c>
      <c r="V2501" s="132"/>
      <c r="W2501" s="146"/>
      <c r="X2501" s="143">
        <f>'Valve Sizing'!$G$8*X2499/P_1_maxW</f>
        <v>0.40061060711854068</v>
      </c>
      <c r="Y2501" s="132"/>
      <c r="Z2501" s="146"/>
      <c r="AA2501" s="143">
        <f>'Valve Sizing'!$G$8*AA2499/P_1_maxW</f>
        <v>0.16511927045901409</v>
      </c>
      <c r="AB2501" s="132"/>
      <c r="AC2501" s="146"/>
      <c r="AD2501" s="143">
        <f>'Valve Sizing'!$G$8*AD2499/P_1_maxW</f>
        <v>-0.38005420363270553</v>
      </c>
      <c r="AE2501" s="132"/>
      <c r="AF2501" s="146"/>
      <c r="AG2501" s="143">
        <f>'Valve Sizing'!$G$8*AG2499/P_1_maxW</f>
        <v>-1.216661007481759</v>
      </c>
      <c r="AH2501" s="132"/>
      <c r="AI2501" s="146"/>
      <c r="AJ2501" s="143">
        <f>'Valve Sizing'!$G$8*AJ2499/P_1_maxW</f>
        <v>-2.2584034939981832</v>
      </c>
      <c r="AK2501" s="132"/>
      <c r="AL2501" s="146"/>
      <c r="AM2501" s="143">
        <f>'Valve Sizing'!$G$8*AM2499/P_1_maxW</f>
        <v>-3.2869810770553349</v>
      </c>
      <c r="AN2501" s="132"/>
      <c r="AO2501" s="146"/>
      <c r="AP2501" s="143">
        <f>'Valve Sizing'!$G$8*AP2499/P_1_maxW</f>
        <v>-4.2100211829896734</v>
      </c>
      <c r="AQ2501" s="132"/>
      <c r="AR2501" s="146"/>
      <c r="AS2501" s="143">
        <f>'Valve Sizing'!$G$8*AS2499/P_1_maxW</f>
        <v>-5.3589438420323194</v>
      </c>
      <c r="AT2501" s="132"/>
      <c r="AU2501" s="146"/>
    </row>
    <row r="2502" spans="13:47" x14ac:dyDescent="0.25">
      <c r="M2502" s="20"/>
      <c r="N2502" s="20"/>
      <c r="O2502" s="7" t="s">
        <v>190</v>
      </c>
      <c r="P2502" s="1"/>
      <c r="Q2502" s="7"/>
      <c r="R2502" s="181">
        <f>R2499-R2500</f>
        <v>50.467121376860362</v>
      </c>
      <c r="S2502" s="132"/>
      <c r="T2502" s="146"/>
      <c r="U2502" s="138">
        <f>U2499-U2500</f>
        <v>47.665772718482003</v>
      </c>
      <c r="V2502" s="132"/>
      <c r="W2502" s="146"/>
      <c r="X2502" s="138">
        <f>X2499-X2500</f>
        <v>33.048381627601032</v>
      </c>
      <c r="Y2502" s="132"/>
      <c r="Z2502" s="146"/>
      <c r="AA2502" s="138">
        <f>AA2499-AA2500</f>
        <v>-15.770032187156673</v>
      </c>
      <c r="AB2502" s="132"/>
      <c r="AC2502" s="146"/>
      <c r="AD2502" s="138">
        <f>AD2499-AD2500</f>
        <v>-128.78694667993017</v>
      </c>
      <c r="AE2502" s="132"/>
      <c r="AF2502" s="146"/>
      <c r="AG2502" s="138">
        <f>AG2499-AG2500</f>
        <v>-302.21930189898444</v>
      </c>
      <c r="AH2502" s="132"/>
      <c r="AI2502" s="146"/>
      <c r="AJ2502" s="138">
        <f>AJ2499-AJ2500</f>
        <v>-518.17720725794618</v>
      </c>
      <c r="AK2502" s="132"/>
      <c r="AL2502" s="146"/>
      <c r="AM2502" s="138">
        <f>AM2499-AM2500</f>
        <v>-731.40596888694017</v>
      </c>
      <c r="AN2502" s="132"/>
      <c r="AO2502" s="146"/>
      <c r="AP2502" s="138">
        <f>AP2499-AP2500</f>
        <v>-922.75633658335369</v>
      </c>
      <c r="AQ2502" s="132"/>
      <c r="AR2502" s="146"/>
      <c r="AS2502" s="138">
        <f>AS2499-AS2500</f>
        <v>-1160.9331740242508</v>
      </c>
      <c r="AT2502" s="132"/>
      <c r="AU2502" s="146"/>
    </row>
    <row r="2503" spans="13:47" ht="14.5" x14ac:dyDescent="0.35">
      <c r="M2503" s="27"/>
      <c r="N2503" s="27"/>
      <c r="O2503" s="2" t="s">
        <v>191</v>
      </c>
      <c r="P2503" s="10"/>
      <c r="Q2503" s="2"/>
      <c r="R2503" s="181">
        <f>R2502/R2499</f>
        <v>0.50232474749180955</v>
      </c>
      <c r="S2503" s="132"/>
      <c r="T2503" s="146"/>
      <c r="U2503" s="138">
        <f>U2502/U2499</f>
        <v>0.48804992160228783</v>
      </c>
      <c r="V2503" s="132"/>
      <c r="W2503" s="146"/>
      <c r="X2503" s="138">
        <f>X2502/X2499</f>
        <v>0.39794130818579904</v>
      </c>
      <c r="Y2503" s="132"/>
      <c r="Z2503" s="146"/>
      <c r="AA2503" s="138">
        <f>AA2502/AA2499</f>
        <v>-0.46070835571278701</v>
      </c>
      <c r="AB2503" s="132"/>
      <c r="AC2503" s="146"/>
      <c r="AD2503" s="138">
        <f>AD2502/AD2499</f>
        <v>1.6346228925855397</v>
      </c>
      <c r="AE2503" s="132"/>
      <c r="AF2503" s="146"/>
      <c r="AG2503" s="138">
        <f>AG2502/AG2499</f>
        <v>1.1982401807615235</v>
      </c>
      <c r="AH2503" s="132"/>
      <c r="AI2503" s="146"/>
      <c r="AJ2503" s="138">
        <f>AJ2502/AJ2499</f>
        <v>1.1067971683048041</v>
      </c>
      <c r="AK2503" s="132"/>
      <c r="AL2503" s="146"/>
      <c r="AM2503" s="138">
        <f>AM2502/AM2499</f>
        <v>1.073377695944862</v>
      </c>
      <c r="AN2503" s="132"/>
      <c r="AO2503" s="146"/>
      <c r="AP2503" s="138">
        <f>AP2502/AP2499</f>
        <v>1.0572897587839223</v>
      </c>
      <c r="AQ2503" s="132"/>
      <c r="AR2503" s="146"/>
      <c r="AS2503" s="138">
        <f>AS2502/AS2499</f>
        <v>1.0450072076062682</v>
      </c>
      <c r="AT2503" s="132"/>
      <c r="AU2503" s="146"/>
    </row>
    <row r="2504" spans="13:47" x14ac:dyDescent="0.25">
      <c r="M2504" s="27"/>
      <c r="N2504" s="27"/>
      <c r="O2504" s="2" t="s">
        <v>26</v>
      </c>
      <c r="P2504" s="7">
        <v>12</v>
      </c>
      <c r="Q2504" s="2"/>
      <c r="R2504" s="181">
        <f>1-R2503/(3*F_GAMMA*R$29)</f>
        <v>0.73838351530235546</v>
      </c>
      <c r="S2504" s="133"/>
      <c r="T2504" s="146"/>
      <c r="U2504" s="138">
        <f>1-U2503/(3*F_GAMMA*U$29)</f>
        <v>0.7458739727476057</v>
      </c>
      <c r="V2504" s="133"/>
      <c r="W2504" s="146"/>
      <c r="X2504" s="138">
        <f>1-X2503/(3*F_GAMMA*X$29)</f>
        <v>0.7896848072600815</v>
      </c>
      <c r="Y2504" s="133"/>
      <c r="Z2504" s="146"/>
      <c r="AA2504" s="138">
        <f>1-AA2503/(3*F_GAMMA*AA$29)</f>
        <v>1.2468266443609228</v>
      </c>
      <c r="AB2504" s="133"/>
      <c r="AC2504" s="146"/>
      <c r="AD2504" s="138">
        <f>1-AD2503/(3*F_GAMMA*AD$29)</f>
        <v>0.10023179279861338</v>
      </c>
      <c r="AE2504" s="133"/>
      <c r="AF2504" s="146"/>
      <c r="AG2504" s="138">
        <f>1-AG2503/(3*F_GAMMA*AG$29)</f>
        <v>0.30281342426868552</v>
      </c>
      <c r="AH2504" s="133"/>
      <c r="AI2504" s="146"/>
      <c r="AJ2504" s="138">
        <f>1-AJ2503/(3*F_GAMMA*AJ$29)</f>
        <v>0.31157538638098048</v>
      </c>
      <c r="AK2504" s="133"/>
      <c r="AL2504" s="146"/>
      <c r="AM2504" s="138">
        <f>1-AM2503/(3*F_GAMMA*AM$29)</f>
        <v>0.27053781308696001</v>
      </c>
      <c r="AN2504" s="133"/>
      <c r="AO2504" s="146"/>
      <c r="AP2504" s="138">
        <f>1-AP2503/(3*F_GAMMA*AP$29)</f>
        <v>0.40621359629148235</v>
      </c>
      <c r="AQ2504" s="133"/>
      <c r="AR2504" s="146"/>
      <c r="AS2504" s="138">
        <f>1-AS2503/(3*F_GAMMA*AS$29)</f>
        <v>0.10905244535481928</v>
      </c>
      <c r="AT2504" s="133"/>
      <c r="AU2504" s="146"/>
    </row>
    <row r="2505" spans="13:47" x14ac:dyDescent="0.25">
      <c r="M2505" s="27"/>
      <c r="N2505" s="27"/>
      <c r="O2505" s="2" t="s">
        <v>71</v>
      </c>
      <c r="P2505" s="85">
        <v>5</v>
      </c>
      <c r="Q2505" s="2"/>
      <c r="R2505" s="179">
        <f>R2497/((N_6*R$27*R2504)*SQRT(R2503*R2499*R2501))</f>
        <v>1.6165516779585323</v>
      </c>
      <c r="S2505" s="133"/>
      <c r="T2505" s="146"/>
      <c r="U2505" s="143">
        <f>U2497/((N_6*U$27*U2504)*SQRT(U2503*U2499*U2501))</f>
        <v>11.972407838239288</v>
      </c>
      <c r="V2505" s="133"/>
      <c r="W2505" s="146"/>
      <c r="X2505" s="143">
        <f>X2497/((N_6*X$27*X2504)*SQRT(X2503*X2499*X2501))</f>
        <v>36.503410234279492</v>
      </c>
      <c r="Y2505" s="133"/>
      <c r="Z2505" s="146"/>
      <c r="AA2505" s="143" t="e">
        <f>AA2497/((N_6*AA$27*AA2504)*SQRT(AA2503*AA2499*AA2501))</f>
        <v>#NUM!</v>
      </c>
      <c r="AB2505" s="133"/>
      <c r="AC2505" s="146"/>
      <c r="AD2505" s="143">
        <f>AD2497/((N_6*AD$27*AD2504)*SQRT(AD2503*AD2499*AD2501))</f>
        <v>487.63553396303047</v>
      </c>
      <c r="AE2505" s="133"/>
      <c r="AF2505" s="146"/>
      <c r="AG2505" s="143">
        <f>AG2497/((N_6*AG$27*AG2504)*SQRT(AG2503*AG2499*AG2501))</f>
        <v>84.379306099363859</v>
      </c>
      <c r="AH2505" s="133"/>
      <c r="AI2505" s="146"/>
      <c r="AJ2505" s="143">
        <f>AJ2497/((N_6*AJ$27*AJ2504)*SQRT(AJ2503*AJ2499*AJ2501))</f>
        <v>60.370733222244368</v>
      </c>
      <c r="AK2505" s="133"/>
      <c r="AL2505" s="146"/>
      <c r="AM2505" s="143">
        <f>AM2497/((N_6*AM$27*AM2504)*SQRT(AM2503*AM2499*AM2501))</f>
        <v>60.373994592746371</v>
      </c>
      <c r="AN2505" s="133"/>
      <c r="AO2505" s="146"/>
      <c r="AP2505" s="143">
        <f>AP2497/((N_6*AP$27*AP2504)*SQRT(AP2503*AP2499*AP2501))</f>
        <v>40.087120259382253</v>
      </c>
      <c r="AQ2505" s="133"/>
      <c r="AR2505" s="146"/>
      <c r="AS2505" s="143">
        <f>AS2497/((N_6*AS$27*AS2504)*SQRT(AS2503*AS2499*AS2501))</f>
        <v>172.97720724762863</v>
      </c>
      <c r="AT2505" s="133"/>
      <c r="AU2505" s="146"/>
    </row>
    <row r="2506" spans="13:47" x14ac:dyDescent="0.25">
      <c r="M2506" s="27"/>
      <c r="N2506" s="27"/>
      <c r="O2506" s="2" t="s">
        <v>73</v>
      </c>
      <c r="P2506" s="85">
        <v>5</v>
      </c>
      <c r="Q2506" s="2"/>
      <c r="R2506" s="179">
        <f>R2497/((N_6*R$27*0.667)*SQRT(R2507*R2499*R2501))</f>
        <v>1.5854002830281071</v>
      </c>
      <c r="S2506" s="133"/>
      <c r="T2506" s="155"/>
      <c r="U2506" s="143">
        <f>U2497/((N_6*U$27*0.667)*SQRT(U2507*U2499*U2501))</f>
        <v>11.689779582257728</v>
      </c>
      <c r="V2506" s="133"/>
      <c r="W2506" s="155"/>
      <c r="X2506" s="143">
        <f>X2497/((N_6*X$27*0.667)*SQRT(X2507*X2499*X2501))</f>
        <v>34.328698508865855</v>
      </c>
      <c r="Y2506" s="133"/>
      <c r="Z2506" s="155"/>
      <c r="AA2506" s="143">
        <f>AA2497/((N_6*AA$27*0.667)*SQRT(AA2507*AA2499*AA2501))</f>
        <v>164.27134402246944</v>
      </c>
      <c r="AB2506" s="133"/>
      <c r="AC2506" s="155"/>
      <c r="AD2506" s="143">
        <f>AD2497/((N_6*AD$27*0.667)*SQRT(AD2507*AD2499*AD2501))</f>
        <v>120.39292300679389</v>
      </c>
      <c r="AE2506" s="133"/>
      <c r="AF2506" s="155"/>
      <c r="AG2506" s="143">
        <f>AG2497/((N_6*AG$27*0.667)*SQRT(AG2507*AG2499*AG2501))</f>
        <v>55.401353556814662</v>
      </c>
      <c r="AH2506" s="133"/>
      <c r="AI2506" s="155"/>
      <c r="AJ2506" s="143">
        <f>AJ2497/((N_6*AJ$27*0.667)*SQRT(AJ2507*AJ2499*AJ2501))</f>
        <v>40.527758167613484</v>
      </c>
      <c r="AK2506" s="133"/>
      <c r="AL2506" s="155"/>
      <c r="AM2506" s="143">
        <f>AM2497/((N_6*AM$27*0.667)*SQRT(AM2507*AM2499*AM2501))</f>
        <v>36.225473614094511</v>
      </c>
      <c r="AN2506" s="133"/>
      <c r="AO2506" s="155"/>
      <c r="AP2506" s="143">
        <f>AP2497/((N_6*AP$27*0.667)*SQRT(AP2507*AP2499*AP2501))</f>
        <v>32.58436278417291</v>
      </c>
      <c r="AQ2506" s="133"/>
      <c r="AR2506" s="155"/>
      <c r="AS2506" s="143">
        <f>AS2497/((N_6*AS$27*0.667)*SQRT(AS2507*AS2499*AS2501))</f>
        <v>46.236521457738135</v>
      </c>
      <c r="AT2506" s="133"/>
      <c r="AU2506" s="155"/>
    </row>
    <row r="2507" spans="13:47" ht="15.5" x14ac:dyDescent="0.4">
      <c r="M2507" s="27"/>
      <c r="N2507" s="27"/>
      <c r="O2507" s="2" t="s">
        <v>192</v>
      </c>
      <c r="P2507" s="85">
        <v>10</v>
      </c>
      <c r="Q2507" s="2"/>
      <c r="R2507" s="181">
        <f>F_GAMMA*R$29</f>
        <v>0.64002688015162901</v>
      </c>
      <c r="S2507" s="133"/>
      <c r="T2507" s="155"/>
      <c r="U2507" s="138">
        <f>F_GAMMA*U$29</f>
        <v>0.64016782916606918</v>
      </c>
      <c r="V2507" s="133"/>
      <c r="W2507" s="155"/>
      <c r="X2507" s="138">
        <f>F_GAMMA*X$29</f>
        <v>0.6307062319203669</v>
      </c>
      <c r="Y2507" s="133"/>
      <c r="Z2507" s="155"/>
      <c r="AA2507" s="138">
        <f>F_GAMMA*AA$29</f>
        <v>0.62217534213893466</v>
      </c>
      <c r="AB2507" s="133"/>
      <c r="AC2507" s="155"/>
      <c r="AD2507" s="138">
        <f>F_GAMMA*AD$29</f>
        <v>0.60557184969146072</v>
      </c>
      <c r="AE2507" s="133"/>
      <c r="AF2507" s="155"/>
      <c r="AG2507" s="138">
        <f>F_GAMMA*AG$29</f>
        <v>0.57289312142622573</v>
      </c>
      <c r="AH2507" s="133"/>
      <c r="AI2507" s="155"/>
      <c r="AJ2507" s="138">
        <f>F_GAMMA*AJ$29</f>
        <v>0.53590819116049981</v>
      </c>
      <c r="AK2507" s="133"/>
      <c r="AL2507" s="155"/>
      <c r="AM2507" s="138">
        <f>F_GAMMA*AM$29</f>
        <v>0.49048815926850342</v>
      </c>
      <c r="AN2507" s="133"/>
      <c r="AO2507" s="155"/>
      <c r="AP2507" s="138">
        <f>F_GAMMA*AP$29</f>
        <v>0.59352979016280105</v>
      </c>
      <c r="AQ2507" s="133"/>
      <c r="AR2507" s="155"/>
      <c r="AS2507" s="138">
        <f>F_GAMMA*AS$29</f>
        <v>0.39097221161068291</v>
      </c>
      <c r="AT2507" s="133"/>
      <c r="AU2507" s="155"/>
    </row>
    <row r="2508" spans="13:47" x14ac:dyDescent="0.25">
      <c r="M2508" s="27"/>
      <c r="N2508" s="27"/>
      <c r="O2508" s="2" t="s">
        <v>193</v>
      </c>
      <c r="P2508" s="134"/>
      <c r="Q2508" s="2"/>
      <c r="R2508" s="181">
        <f>IF(R2503&lt;R2507,R2505,R2506)</f>
        <v>1.6165516779585323</v>
      </c>
      <c r="S2508" s="133"/>
      <c r="T2508" s="155"/>
      <c r="U2508" s="138">
        <f>IF(U2503&lt;U2507,U2505,U2506)</f>
        <v>11.972407838239288</v>
      </c>
      <c r="V2508" s="133"/>
      <c r="W2508" s="155"/>
      <c r="X2508" s="138">
        <f>IF(X2503&lt;X2507,X2505,X2506)</f>
        <v>36.503410234279492</v>
      </c>
      <c r="Y2508" s="133"/>
      <c r="Z2508" s="155"/>
      <c r="AA2508" s="138" t="e">
        <f>IF(AA2503&lt;AA2507,AA2505,AA2506)</f>
        <v>#NUM!</v>
      </c>
      <c r="AB2508" s="133"/>
      <c r="AC2508" s="155"/>
      <c r="AD2508" s="138">
        <f>IF(AD2503&lt;AD2507,AD2505,AD2506)</f>
        <v>120.39292300679389</v>
      </c>
      <c r="AE2508" s="133"/>
      <c r="AF2508" s="155"/>
      <c r="AG2508" s="138">
        <f>IF(AG2503&lt;AG2507,AG2505,AG2506)</f>
        <v>55.401353556814662</v>
      </c>
      <c r="AH2508" s="133"/>
      <c r="AI2508" s="155"/>
      <c r="AJ2508" s="138">
        <f>IF(AJ2503&lt;AJ2507,AJ2505,AJ2506)</f>
        <v>40.527758167613484</v>
      </c>
      <c r="AK2508" s="133"/>
      <c r="AL2508" s="155"/>
      <c r="AM2508" s="138">
        <f>IF(AM2503&lt;AM2507,AM2505,AM2506)</f>
        <v>36.225473614094511</v>
      </c>
      <c r="AN2508" s="133"/>
      <c r="AO2508" s="155"/>
      <c r="AP2508" s="138">
        <f>IF(AP2503&lt;AP2507,AP2505,AP2506)</f>
        <v>32.58436278417291</v>
      </c>
      <c r="AQ2508" s="133"/>
      <c r="AR2508" s="155"/>
      <c r="AS2508" s="138">
        <f>IF(AS2503&lt;AS2507,AS2505,AS2506)</f>
        <v>46.236521457738135</v>
      </c>
      <c r="AT2508" s="133"/>
      <c r="AU2508" s="155"/>
    </row>
    <row r="2509" spans="13:47" ht="13" x14ac:dyDescent="0.3">
      <c r="M2509" s="28"/>
      <c r="N2509" s="28"/>
      <c r="O2509" s="9" t="s">
        <v>194</v>
      </c>
      <c r="P2509" s="1"/>
      <c r="Q2509" s="1"/>
      <c r="R2509" s="135"/>
      <c r="S2509" s="132">
        <f>IF(R2502&lt;=0,W_max,ABS(R$23-R2508))</f>
        <v>0.38344832204146773</v>
      </c>
      <c r="T2509" s="151">
        <f>R2497</f>
        <v>373.62481824036649</v>
      </c>
      <c r="U2509" s="135"/>
      <c r="V2509" s="132">
        <f>IF(U2502&lt;=0,W_max,ABS(U$23-U2508))</f>
        <v>6.9724078382392882</v>
      </c>
      <c r="W2509" s="151">
        <f>U2497</f>
        <v>2676.6981077026871</v>
      </c>
      <c r="X2509" s="135"/>
      <c r="Y2509" s="132">
        <f>IF(X2502&lt;=0,W_max,ABS(X$23-X2508))</f>
        <v>26.503410234279492</v>
      </c>
      <c r="Z2509" s="151">
        <f>X2497</f>
        <v>6619.7929511574675</v>
      </c>
      <c r="AA2509" s="135"/>
      <c r="AB2509" s="132">
        <f>IF(AA2502&lt;=0,W_max,ABS(AA$23-AA2508))</f>
        <v>7174</v>
      </c>
      <c r="AC2509" s="151">
        <f>AA2497</f>
        <v>12893.666997066664</v>
      </c>
      <c r="AD2509" s="135"/>
      <c r="AE2509" s="132">
        <f>IF(AD2502&lt;=0,W_max,ABS(AD$23-AD2508))</f>
        <v>7174</v>
      </c>
      <c r="AF2509" s="151">
        <f>AD2497</f>
        <v>21205.335043634084</v>
      </c>
      <c r="AG2509" s="135"/>
      <c r="AH2509" s="132">
        <f>IF(AG2502&lt;=0,W_max,ABS(AG$23-AG2508))</f>
        <v>7174</v>
      </c>
      <c r="AI2509" s="151">
        <f>AG2497</f>
        <v>29742.114916216316</v>
      </c>
      <c r="AJ2509" s="135"/>
      <c r="AK2509" s="132">
        <f>IF(AJ2502&lt;=0,W_max,ABS(AJ$23-AJ2508))</f>
        <v>7174</v>
      </c>
      <c r="AL2509" s="151">
        <f>AJ2497</f>
        <v>37764.593829737736</v>
      </c>
      <c r="AM2509" s="135"/>
      <c r="AN2509" s="132">
        <f>IF(AM2502&lt;=0,W_max,ABS(AM$23-AM2508))</f>
        <v>7174</v>
      </c>
      <c r="AO2509" s="151">
        <f>AM2497</f>
        <v>44281.956258967759</v>
      </c>
      <c r="AP2509" s="135"/>
      <c r="AQ2509" s="132">
        <f>IF(AP2502&lt;=0,W_max,ABS(AP$23-AP2508))</f>
        <v>7174</v>
      </c>
      <c r="AR2509" s="151">
        <f>AP2497</f>
        <v>49403.976926548428</v>
      </c>
      <c r="AS2509" s="135"/>
      <c r="AT2509" s="132">
        <f>IF(AS2502&lt;=0,W_max,ABS(AS$23-AS2508))</f>
        <v>7174</v>
      </c>
      <c r="AU2509" s="151">
        <f>AS2497</f>
        <v>55118.453256333749</v>
      </c>
    </row>
    <row r="2510" spans="13:47" ht="13" x14ac:dyDescent="0.25">
      <c r="M2510" s="12"/>
      <c r="N2510" s="12"/>
      <c r="O2510" s="2"/>
      <c r="P2510" s="85"/>
      <c r="Q2510" s="2"/>
      <c r="R2510" s="18"/>
      <c r="S2510" s="150"/>
      <c r="T2510" s="148"/>
      <c r="U2510" s="157"/>
      <c r="V2510" s="1"/>
      <c r="W2510" s="147"/>
      <c r="X2510" s="157"/>
      <c r="Y2510" s="1"/>
      <c r="Z2510" s="147"/>
      <c r="AA2510" s="157"/>
      <c r="AB2510" s="1"/>
      <c r="AC2510" s="147"/>
      <c r="AD2510" s="157"/>
      <c r="AE2510" s="1"/>
      <c r="AF2510" s="147"/>
      <c r="AG2510" s="157"/>
      <c r="AH2510" s="1"/>
      <c r="AI2510" s="147"/>
      <c r="AJ2510" s="157"/>
      <c r="AK2510" s="1"/>
      <c r="AL2510" s="147"/>
      <c r="AM2510" s="157"/>
      <c r="AN2510" s="1"/>
      <c r="AO2510" s="147"/>
      <c r="AP2510" s="157"/>
      <c r="AQ2510" s="1"/>
      <c r="AR2510" s="147"/>
      <c r="AS2510" s="157"/>
      <c r="AT2510" s="1"/>
      <c r="AU2510" s="147"/>
    </row>
    <row r="2511" spans="13:47" ht="14" x14ac:dyDescent="0.3">
      <c r="M2511" s="23"/>
      <c r="N2511" s="23"/>
      <c r="O2511" s="23" t="s">
        <v>238</v>
      </c>
      <c r="P2511" s="20"/>
      <c r="Q2511" s="20"/>
      <c r="R2511" s="181">
        <f>R2497*1.02</f>
        <v>381.09731460517384</v>
      </c>
      <c r="S2511" s="128" t="s">
        <v>185</v>
      </c>
      <c r="T2511" s="149" t="s">
        <v>186</v>
      </c>
      <c r="U2511" s="143">
        <f>U2497*1.01</f>
        <v>2703.4650887797138</v>
      </c>
      <c r="V2511" s="128" t="s">
        <v>185</v>
      </c>
      <c r="W2511" s="153" t="s">
        <v>186</v>
      </c>
      <c r="X2511" s="143">
        <f>X2497*1.01</f>
        <v>6685.9908806690419</v>
      </c>
      <c r="Y2511" s="128" t="s">
        <v>185</v>
      </c>
      <c r="Z2511" s="153" t="s">
        <v>186</v>
      </c>
      <c r="AA2511" s="143">
        <f>AA2497*1.01</f>
        <v>13022.603667037331</v>
      </c>
      <c r="AB2511" s="128" t="s">
        <v>185</v>
      </c>
      <c r="AC2511" s="153" t="s">
        <v>186</v>
      </c>
      <c r="AD2511" s="143">
        <f>AD2497*1.01</f>
        <v>21417.388394070425</v>
      </c>
      <c r="AE2511" s="128" t="s">
        <v>185</v>
      </c>
      <c r="AF2511" s="153" t="s">
        <v>186</v>
      </c>
      <c r="AG2511" s="143">
        <f>AG2497*1.01</f>
        <v>30039.536065378481</v>
      </c>
      <c r="AH2511" s="128" t="s">
        <v>185</v>
      </c>
      <c r="AI2511" s="153" t="s">
        <v>186</v>
      </c>
      <c r="AJ2511" s="143">
        <f>AJ2497*1.01</f>
        <v>38142.239768035113</v>
      </c>
      <c r="AK2511" s="128" t="s">
        <v>185</v>
      </c>
      <c r="AL2511" s="153" t="s">
        <v>186</v>
      </c>
      <c r="AM2511" s="143">
        <f>AM2497*1.01</f>
        <v>44724.775821557436</v>
      </c>
      <c r="AN2511" s="128" t="s">
        <v>185</v>
      </c>
      <c r="AO2511" s="153" t="s">
        <v>186</v>
      </c>
      <c r="AP2511" s="143">
        <f>AP2497*1.01</f>
        <v>49898.016695813916</v>
      </c>
      <c r="AQ2511" s="128" t="s">
        <v>185</v>
      </c>
      <c r="AR2511" s="153" t="s">
        <v>186</v>
      </c>
      <c r="AS2511" s="143">
        <f>AS2497*1.01</f>
        <v>55669.637788897089</v>
      </c>
      <c r="AT2511" s="128" t="s">
        <v>185</v>
      </c>
      <c r="AU2511" s="153" t="s">
        <v>186</v>
      </c>
    </row>
    <row r="2512" spans="13:47" ht="14" x14ac:dyDescent="0.3">
      <c r="M2512" s="12"/>
      <c r="N2512" s="12"/>
      <c r="O2512" s="20"/>
      <c r="P2512" s="20"/>
      <c r="Q2512" s="23"/>
      <c r="R2512" s="139"/>
      <c r="S2512" s="130" t="s">
        <v>228</v>
      </c>
      <c r="T2512" s="131" t="s">
        <v>187</v>
      </c>
      <c r="U2512" s="144"/>
      <c r="V2512" s="130" t="s">
        <v>228</v>
      </c>
      <c r="W2512" s="154" t="s">
        <v>187</v>
      </c>
      <c r="X2512" s="144"/>
      <c r="Y2512" s="130" t="s">
        <v>228</v>
      </c>
      <c r="Z2512" s="154" t="s">
        <v>187</v>
      </c>
      <c r="AA2512" s="144"/>
      <c r="AB2512" s="130" t="s">
        <v>228</v>
      </c>
      <c r="AC2512" s="154" t="s">
        <v>187</v>
      </c>
      <c r="AD2512" s="144"/>
      <c r="AE2512" s="130" t="s">
        <v>228</v>
      </c>
      <c r="AF2512" s="154" t="s">
        <v>187</v>
      </c>
      <c r="AG2512" s="144"/>
      <c r="AH2512" s="130" t="s">
        <v>228</v>
      </c>
      <c r="AI2512" s="154" t="s">
        <v>187</v>
      </c>
      <c r="AJ2512" s="144"/>
      <c r="AK2512" s="130" t="s">
        <v>228</v>
      </c>
      <c r="AL2512" s="154" t="s">
        <v>187</v>
      </c>
      <c r="AM2512" s="144"/>
      <c r="AN2512" s="130" t="s">
        <v>228</v>
      </c>
      <c r="AO2512" s="154" t="s">
        <v>187</v>
      </c>
      <c r="AP2512" s="144"/>
      <c r="AQ2512" s="130" t="s">
        <v>228</v>
      </c>
      <c r="AR2512" s="154" t="s">
        <v>187</v>
      </c>
      <c r="AS2512" s="144"/>
      <c r="AT2512" s="130" t="s">
        <v>228</v>
      </c>
      <c r="AU2512" s="154" t="s">
        <v>187</v>
      </c>
    </row>
    <row r="2513" spans="13:47" x14ac:dyDescent="0.25">
      <c r="M2513" s="20"/>
      <c r="N2513" s="20"/>
      <c r="O2513" s="7" t="s">
        <v>188</v>
      </c>
      <c r="P2513" s="7"/>
      <c r="Q2513" s="7"/>
      <c r="R2513" s="181">
        <f>P_1_minW-(R2511^2*R_up)+dpup_minQ</f>
        <v>100.46487249632176</v>
      </c>
      <c r="S2513" s="132"/>
      <c r="T2513" s="145"/>
      <c r="U2513" s="138">
        <f>P_1_minW-(U2511^2*R_up)+dpup_minQ</f>
        <v>97.608346736715276</v>
      </c>
      <c r="V2513" s="132"/>
      <c r="W2513" s="145"/>
      <c r="X2513" s="138">
        <f>P_1_minW-(X2511^2*R_up)+dpup_minQ</f>
        <v>82.697146084907601</v>
      </c>
      <c r="Y2513" s="132"/>
      <c r="Z2513" s="145"/>
      <c r="AA2513" s="138">
        <f>P_1_minW-(AA2511^2*R_up)+dpup_minQ</f>
        <v>32.897482152473273</v>
      </c>
      <c r="AB2513" s="132"/>
      <c r="AC2513" s="145"/>
      <c r="AD2513" s="138">
        <f>P_1_minW-(AD2511^2*R_up)+dpup_minQ</f>
        <v>-82.391072321604994</v>
      </c>
      <c r="AE2513" s="132"/>
      <c r="AF2513" s="145"/>
      <c r="AG2513" s="138">
        <f>P_1_minW-(AG2511^2*R_up)+dpup_minQ</f>
        <v>-259.30941788056231</v>
      </c>
      <c r="AH2513" s="132"/>
      <c r="AI2513" s="145"/>
      <c r="AJ2513" s="138">
        <f>P_1_minW-(AJ2511^2*R_up)+dpup_minQ</f>
        <v>-479.60807713723909</v>
      </c>
      <c r="AK2513" s="132"/>
      <c r="AL2513" s="145"/>
      <c r="AM2513" s="138">
        <f>P_1_minW-(AM2511^2*R_up)+dpup_minQ</f>
        <v>-697.12273687497589</v>
      </c>
      <c r="AN2513" s="132"/>
      <c r="AO2513" s="145"/>
      <c r="AP2513" s="138">
        <f>P_1_minW-(AP2511^2*R_up)+dpup_minQ</f>
        <v>-892.31924696208762</v>
      </c>
      <c r="AQ2513" s="132"/>
      <c r="AR2513" s="145"/>
      <c r="AS2513" s="138">
        <f>P_1_minW-(AS2511^2*R_up)+dpup_minQ</f>
        <v>-1135.2834388355466</v>
      </c>
      <c r="AT2513" s="132"/>
      <c r="AU2513" s="145"/>
    </row>
    <row r="2514" spans="13:47" x14ac:dyDescent="0.25">
      <c r="M2514" s="20"/>
      <c r="N2514" s="20"/>
      <c r="O2514" s="7" t="s">
        <v>189</v>
      </c>
      <c r="P2514" s="1"/>
      <c r="Q2514" s="7"/>
      <c r="R2514" s="181">
        <f>P_2_minW+(R2511^2*R_dn)-dpdn_minQ</f>
        <v>50</v>
      </c>
      <c r="S2514" s="132"/>
      <c r="T2514" s="146"/>
      <c r="U2514" s="138">
        <f>P_2_minW+(U2511^2*R_dn)-dpdn_minQ</f>
        <v>50</v>
      </c>
      <c r="V2514" s="132"/>
      <c r="W2514" s="146"/>
      <c r="X2514" s="138">
        <f>P_2_minW+(X2511^2*R_dn)-dpdn_minQ</f>
        <v>50</v>
      </c>
      <c r="Y2514" s="132"/>
      <c r="Z2514" s="146"/>
      <c r="AA2514" s="138">
        <f>P_2_minW+(AA2511^2*R_dn)-dpdn_minQ</f>
        <v>50</v>
      </c>
      <c r="AB2514" s="132"/>
      <c r="AC2514" s="146"/>
      <c r="AD2514" s="138">
        <f>P_2_minW+(AD2511^2*R_dn)-dpdn_minQ</f>
        <v>50</v>
      </c>
      <c r="AE2514" s="132"/>
      <c r="AF2514" s="146"/>
      <c r="AG2514" s="138">
        <f>P_2_minW+(AG2511^2*R_dn)-dpdn_minQ</f>
        <v>50</v>
      </c>
      <c r="AH2514" s="132"/>
      <c r="AI2514" s="146"/>
      <c r="AJ2514" s="138">
        <f>P_2_minW+(AJ2511^2*R_dn)-dpdn_minQ</f>
        <v>50</v>
      </c>
      <c r="AK2514" s="132"/>
      <c r="AL2514" s="146"/>
      <c r="AM2514" s="138">
        <f>P_2_minW+(AM2511^2*R_dn)-dpdn_minQ</f>
        <v>50</v>
      </c>
      <c r="AN2514" s="132"/>
      <c r="AO2514" s="146"/>
      <c r="AP2514" s="138">
        <f>P_2_minW+(AP2511^2*R_dn)-dpdn_minQ</f>
        <v>50</v>
      </c>
      <c r="AQ2514" s="132"/>
      <c r="AR2514" s="146"/>
      <c r="AS2514" s="138">
        <f>P_2_minW+(AS2511^2*R_dn)-dpdn_minQ</f>
        <v>50</v>
      </c>
      <c r="AT2514" s="132"/>
      <c r="AU2514" s="146"/>
    </row>
    <row r="2515" spans="13:47" x14ac:dyDescent="0.25">
      <c r="M2515" s="20"/>
      <c r="N2515" s="20"/>
      <c r="O2515" s="7" t="s">
        <v>234</v>
      </c>
      <c r="P2515" s="1"/>
      <c r="Q2515" s="7"/>
      <c r="R2515" s="179">
        <f>'Valve Sizing'!G$8*R2513/P_1_maxW</f>
        <v>0.48462465825417239</v>
      </c>
      <c r="S2515" s="132"/>
      <c r="T2515" s="146"/>
      <c r="U2515" s="143">
        <f>'Valve Sizing'!$G$8*U2513/P_1_maxW</f>
        <v>0.47084528656289582</v>
      </c>
      <c r="V2515" s="132"/>
      <c r="W2515" s="146"/>
      <c r="X2515" s="143">
        <f>'Valve Sizing'!$G$8*X2513/P_1_maxW</f>
        <v>0.39891630939422162</v>
      </c>
      <c r="Y2515" s="132"/>
      <c r="Z2515" s="146"/>
      <c r="AA2515" s="143">
        <f>'Valve Sizing'!$G$8*AA2513/P_1_maxW</f>
        <v>0.15869159686783857</v>
      </c>
      <c r="AB2515" s="132"/>
      <c r="AC2515" s="146"/>
      <c r="AD2515" s="143">
        <f>'Valve Sizing'!$G$8*AD2513/P_1_maxW</f>
        <v>-0.39743986405312465</v>
      </c>
      <c r="AE2515" s="132"/>
      <c r="AF2515" s="146"/>
      <c r="AG2515" s="143">
        <f>'Valve Sizing'!$G$8*AG2513/P_1_maxW</f>
        <v>-1.2508624646595443</v>
      </c>
      <c r="AH2515" s="132"/>
      <c r="AI2515" s="146"/>
      <c r="AJ2515" s="143">
        <f>'Valve Sizing'!$G$8*AJ2513/P_1_maxW</f>
        <v>-2.313543975154948</v>
      </c>
      <c r="AK2515" s="132"/>
      <c r="AL2515" s="146"/>
      <c r="AM2515" s="143">
        <f>'Valve Sizing'!$G$8*AM2513/P_1_maxW</f>
        <v>-3.3627959676315493</v>
      </c>
      <c r="AN2515" s="132"/>
      <c r="AO2515" s="146"/>
      <c r="AP2515" s="143">
        <f>'Valve Sizing'!$G$8*AP2513/P_1_maxW</f>
        <v>-4.3043891796951694</v>
      </c>
      <c r="AQ2515" s="132"/>
      <c r="AR2515" s="146"/>
      <c r="AS2515" s="143">
        <f>'Valve Sizing'!$G$8*AS2513/P_1_maxW</f>
        <v>-5.4764051841845713</v>
      </c>
      <c r="AT2515" s="132"/>
      <c r="AU2515" s="146"/>
    </row>
    <row r="2516" spans="13:47" x14ac:dyDescent="0.25">
      <c r="M2516" s="20"/>
      <c r="N2516" s="20"/>
      <c r="O2516" s="7" t="s">
        <v>190</v>
      </c>
      <c r="P2516" s="1"/>
      <c r="Q2516" s="7"/>
      <c r="R2516" s="181">
        <f>R2513-R2514</f>
        <v>50.46487249632176</v>
      </c>
      <c r="S2516" s="132"/>
      <c r="T2516" s="146"/>
      <c r="U2516" s="138">
        <f>U2513-U2514</f>
        <v>47.608346736715276</v>
      </c>
      <c r="V2516" s="132"/>
      <c r="W2516" s="146"/>
      <c r="X2516" s="138">
        <f>X2513-X2514</f>
        <v>32.697146084907601</v>
      </c>
      <c r="Y2516" s="132"/>
      <c r="Z2516" s="146"/>
      <c r="AA2516" s="138">
        <f>AA2513-AA2514</f>
        <v>-17.102517847526727</v>
      </c>
      <c r="AB2516" s="132"/>
      <c r="AC2516" s="146"/>
      <c r="AD2516" s="138">
        <f>AD2513-AD2514</f>
        <v>-132.39107232160501</v>
      </c>
      <c r="AE2516" s="132"/>
      <c r="AF2516" s="146"/>
      <c r="AG2516" s="138">
        <f>AG2513-AG2514</f>
        <v>-309.30941788056231</v>
      </c>
      <c r="AH2516" s="132"/>
      <c r="AI2516" s="146"/>
      <c r="AJ2516" s="138">
        <f>AJ2513-AJ2514</f>
        <v>-529.60807713723909</v>
      </c>
      <c r="AK2516" s="132"/>
      <c r="AL2516" s="146"/>
      <c r="AM2516" s="138">
        <f>AM2513-AM2514</f>
        <v>-747.12273687497589</v>
      </c>
      <c r="AN2516" s="132"/>
      <c r="AO2516" s="146"/>
      <c r="AP2516" s="138">
        <f>AP2513-AP2514</f>
        <v>-942.31924696208762</v>
      </c>
      <c r="AQ2516" s="132"/>
      <c r="AR2516" s="146"/>
      <c r="AS2516" s="138">
        <f>AS2513-AS2514</f>
        <v>-1185.2834388355466</v>
      </c>
      <c r="AT2516" s="132"/>
      <c r="AU2516" s="146"/>
    </row>
    <row r="2517" spans="13:47" ht="14.5" x14ac:dyDescent="0.35">
      <c r="M2517" s="27"/>
      <c r="N2517" s="27"/>
      <c r="O2517" s="2" t="s">
        <v>191</v>
      </c>
      <c r="P2517" s="10"/>
      <c r="Q2517" s="2"/>
      <c r="R2517" s="181">
        <f>R2516/R2513</f>
        <v>0.50231360715825712</v>
      </c>
      <c r="S2517" s="132"/>
      <c r="T2517" s="146"/>
      <c r="U2517" s="138">
        <f>U2516/U2513</f>
        <v>0.48774872568154509</v>
      </c>
      <c r="V2517" s="132"/>
      <c r="W2517" s="146"/>
      <c r="X2517" s="138">
        <f>X2516/X2513</f>
        <v>0.39538421375916016</v>
      </c>
      <c r="Y2517" s="132"/>
      <c r="Z2517" s="146"/>
      <c r="AA2517" s="138">
        <f>AA2516/AA2513</f>
        <v>-0.51987315528464961</v>
      </c>
      <c r="AB2517" s="132"/>
      <c r="AC2517" s="146"/>
      <c r="AD2517" s="138">
        <f>AD2516/AD2513</f>
        <v>1.6068618673250203</v>
      </c>
      <c r="AE2517" s="132"/>
      <c r="AF2517" s="146"/>
      <c r="AG2517" s="138">
        <f>AG2516/AG2513</f>
        <v>1.1928198382020585</v>
      </c>
      <c r="AH2517" s="132"/>
      <c r="AI2517" s="146"/>
      <c r="AJ2517" s="138">
        <f>AJ2516/AJ2513</f>
        <v>1.1042517888740488</v>
      </c>
      <c r="AK2517" s="132"/>
      <c r="AL2517" s="146"/>
      <c r="AM2517" s="138">
        <f>AM2516/AM2513</f>
        <v>1.0717233814867915</v>
      </c>
      <c r="AN2517" s="132"/>
      <c r="AO2517" s="146"/>
      <c r="AP2517" s="138">
        <f>AP2516/AP2513</f>
        <v>1.0560337571673206</v>
      </c>
      <c r="AQ2517" s="132"/>
      <c r="AR2517" s="146"/>
      <c r="AS2517" s="138">
        <f>AS2516/AS2513</f>
        <v>1.0440418650441028</v>
      </c>
      <c r="AT2517" s="132"/>
      <c r="AU2517" s="146"/>
    </row>
    <row r="2518" spans="13:47" x14ac:dyDescent="0.25">
      <c r="M2518" s="27"/>
      <c r="N2518" s="27"/>
      <c r="O2518" s="2" t="s">
        <v>26</v>
      </c>
      <c r="P2518" s="7">
        <v>12</v>
      </c>
      <c r="Q2518" s="2"/>
      <c r="R2518" s="181">
        <f>1-R2517/(3*F_GAMMA*R$29)</f>
        <v>0.7383893173157281</v>
      </c>
      <c r="S2518" s="133"/>
      <c r="T2518" s="146"/>
      <c r="U2518" s="138">
        <f>1-U2517/(3*F_GAMMA*U$29)</f>
        <v>0.74603080449652115</v>
      </c>
      <c r="V2518" s="133"/>
      <c r="W2518" s="146"/>
      <c r="X2518" s="138">
        <f>1-X2517/(3*F_GAMMA*X$29)</f>
        <v>0.79103625230016683</v>
      </c>
      <c r="Y2518" s="133"/>
      <c r="Z2518" s="146"/>
      <c r="AA2518" s="138">
        <f>1-AA2517/(3*F_GAMMA*AA$29)</f>
        <v>1.2785244609112991</v>
      </c>
      <c r="AB2518" s="133"/>
      <c r="AC2518" s="146"/>
      <c r="AD2518" s="138">
        <f>1-AD2517/(3*F_GAMMA*AD$29)</f>
        <v>0.11551267993290559</v>
      </c>
      <c r="AE2518" s="133"/>
      <c r="AF2518" s="146"/>
      <c r="AG2518" s="138">
        <f>1-AG2517/(3*F_GAMMA*AG$29)</f>
        <v>0.30596720773296759</v>
      </c>
      <c r="AH2518" s="133"/>
      <c r="AI2518" s="146"/>
      <c r="AJ2518" s="138">
        <f>1-AJ2517/(3*F_GAMMA*AJ$29)</f>
        <v>0.31315860496999748</v>
      </c>
      <c r="AK2518" s="133"/>
      <c r="AL2518" s="146"/>
      <c r="AM2518" s="138">
        <f>1-AM2517/(3*F_GAMMA*AM$29)</f>
        <v>0.27166207703150169</v>
      </c>
      <c r="AN2518" s="133"/>
      <c r="AO2518" s="146"/>
      <c r="AP2518" s="138">
        <f>1-AP2517/(3*F_GAMMA*AP$29)</f>
        <v>0.40691898161918261</v>
      </c>
      <c r="AQ2518" s="133"/>
      <c r="AR2518" s="146"/>
      <c r="AS2518" s="138">
        <f>1-AS2517/(3*F_GAMMA*AS$29)</f>
        <v>0.10987547278362175</v>
      </c>
      <c r="AT2518" s="133"/>
      <c r="AU2518" s="146"/>
    </row>
    <row r="2519" spans="13:47" x14ac:dyDescent="0.25">
      <c r="M2519" s="27"/>
      <c r="N2519" s="27"/>
      <c r="O2519" s="2" t="s">
        <v>71</v>
      </c>
      <c r="P2519" s="85">
        <v>5</v>
      </c>
      <c r="Q2519" s="2"/>
      <c r="R2519" s="179">
        <f>R2511/((N_6*R$27*R2518)*SQRT(R2517*R2513*R2515))</f>
        <v>1.6489249493454936</v>
      </c>
      <c r="S2519" s="133"/>
      <c r="T2519" s="146"/>
      <c r="U2519" s="143">
        <f>U2511/((N_6*U$27*U2518)*SQRT(U2517*U2513*U2515))</f>
        <v>12.100436984112788</v>
      </c>
      <c r="V2519" s="133"/>
      <c r="W2519" s="146"/>
      <c r="X2519" s="143">
        <f>X2511/((N_6*X$27*X2518)*SQRT(X2517*X2513*X2515))</f>
        <v>37.081108545143593</v>
      </c>
      <c r="Y2519" s="133"/>
      <c r="Z2519" s="146"/>
      <c r="AA2519" s="143" t="e">
        <f>AA2511/((N_6*AA$27*AA2518)*SQRT(AA2517*AA2513*AA2515))</f>
        <v>#NUM!</v>
      </c>
      <c r="AB2519" s="133"/>
      <c r="AC2519" s="146"/>
      <c r="AD2519" s="143">
        <f>AD2511/((N_6*AD$27*AD2518)*SQRT(AD2517*AD2513*AD2515))</f>
        <v>412.17931065196751</v>
      </c>
      <c r="AE2519" s="133"/>
      <c r="AF2519" s="146"/>
      <c r="AG2519" s="143">
        <f>AG2511/((N_6*AG$27*AG2518)*SQRT(AG2517*AG2513*AG2515))</f>
        <v>82.224663779567678</v>
      </c>
      <c r="AH2519" s="133"/>
      <c r="AI2519" s="146"/>
      <c r="AJ2519" s="143">
        <f>AJ2511/((N_6*AJ$27*AJ2518)*SQRT(AJ2517*AJ2513*AJ2515))</f>
        <v>59.288485819002659</v>
      </c>
      <c r="AK2519" s="133"/>
      <c r="AL2519" s="146"/>
      <c r="AM2519" s="143">
        <f>AM2511/((N_6*AM$27*AM2518)*SQRT(AM2517*AM2513*AM2515))</f>
        <v>59.402108395109124</v>
      </c>
      <c r="AN2519" s="133"/>
      <c r="AO2519" s="146"/>
      <c r="AP2519" s="143">
        <f>AP2511/((N_6*AP$27*AP2518)*SQRT(AP2517*AP2513*AP2515))</f>
        <v>39.555201527864597</v>
      </c>
      <c r="AQ2519" s="133"/>
      <c r="AR2519" s="146"/>
      <c r="AS2519" s="143">
        <f>AS2511/((N_6*AS$27*AS2518)*SQRT(AS2517*AS2513*AS2515))</f>
        <v>169.75759960345511</v>
      </c>
      <c r="AT2519" s="133"/>
      <c r="AU2519" s="146"/>
    </row>
    <row r="2520" spans="13:47" x14ac:dyDescent="0.25">
      <c r="M2520" s="27"/>
      <c r="N2520" s="27"/>
      <c r="O2520" s="2" t="s">
        <v>73</v>
      </c>
      <c r="P2520" s="85">
        <v>5</v>
      </c>
      <c r="Q2520" s="2"/>
      <c r="R2520" s="179">
        <f>R2511/((N_6*R$27*0.667)*SQRT(R2521*R2513*R2515))</f>
        <v>1.617144487245129</v>
      </c>
      <c r="S2520" s="133"/>
      <c r="T2520" s="147"/>
      <c r="U2520" s="143">
        <f>U2511/((N_6*U$27*0.667)*SQRT(U2521*U2513*U2515))</f>
        <v>11.813623608218473</v>
      </c>
      <c r="V2520" s="133"/>
      <c r="W2520" s="155"/>
      <c r="X2520" s="143">
        <f>X2511/((N_6*X$27*0.667)*SQRT(X2521*X2513*X2515))</f>
        <v>34.81924612165168</v>
      </c>
      <c r="Y2520" s="133"/>
      <c r="Z2520" s="155"/>
      <c r="AA2520" s="143">
        <f>AA2511/((N_6*AA$27*0.667)*SQRT(AA2521*AA2513*AA2515))</f>
        <v>172.63427092456939</v>
      </c>
      <c r="AB2520" s="133"/>
      <c r="AC2520" s="155"/>
      <c r="AD2520" s="143">
        <f>AD2511/((N_6*AD$27*0.667)*SQRT(AD2521*AD2513*AD2515))</f>
        <v>116.27770392691934</v>
      </c>
      <c r="AE2520" s="133"/>
      <c r="AF2520" s="155"/>
      <c r="AG2520" s="143">
        <f>AG2511/((N_6*AG$27*0.667)*SQRT(AG2521*AG2513*AG2515))</f>
        <v>54.425418640377522</v>
      </c>
      <c r="AH2520" s="133"/>
      <c r="AI2520" s="155"/>
      <c r="AJ2520" s="143">
        <f>AJ2511/((N_6*AJ$27*0.667)*SQRT(AJ2521*AJ2513*AJ2515))</f>
        <v>39.957447080709528</v>
      </c>
      <c r="AK2520" s="133"/>
      <c r="AL2520" s="155"/>
      <c r="AM2520" s="143">
        <f>AM2511/((N_6*AM$27*0.667)*SQRT(AM2521*AM2513*AM2515))</f>
        <v>35.762850882793074</v>
      </c>
      <c r="AN2520" s="133"/>
      <c r="AO2520" s="155"/>
      <c r="AP2520" s="143">
        <f>AP2511/((N_6*AP$27*0.667)*SQRT(AP2521*AP2513*AP2515))</f>
        <v>32.188693992803955</v>
      </c>
      <c r="AQ2520" s="133"/>
      <c r="AR2520" s="155"/>
      <c r="AS2520" s="143">
        <f>AS2511/((N_6*AS$27*0.667)*SQRT(AS2521*AS2513*AS2515))</f>
        <v>45.697259926108494</v>
      </c>
      <c r="AT2520" s="133"/>
      <c r="AU2520" s="155"/>
    </row>
    <row r="2521" spans="13:47" ht="15.5" x14ac:dyDescent="0.4">
      <c r="M2521" s="27"/>
      <c r="N2521" s="27"/>
      <c r="O2521" s="2" t="s">
        <v>192</v>
      </c>
      <c r="P2521" s="85">
        <v>10</v>
      </c>
      <c r="Q2521" s="2"/>
      <c r="R2521" s="181">
        <f>F_GAMMA*R$29</f>
        <v>0.64002688015162901</v>
      </c>
      <c r="S2521" s="133"/>
      <c r="T2521" s="147"/>
      <c r="U2521" s="138">
        <f>F_GAMMA*U$29</f>
        <v>0.64016782916606918</v>
      </c>
      <c r="V2521" s="133"/>
      <c r="W2521" s="155"/>
      <c r="X2521" s="138">
        <f>F_GAMMA*X$29</f>
        <v>0.6307062319203669</v>
      </c>
      <c r="Y2521" s="133"/>
      <c r="Z2521" s="155"/>
      <c r="AA2521" s="138">
        <f>F_GAMMA*AA$29</f>
        <v>0.62217534213893466</v>
      </c>
      <c r="AB2521" s="133"/>
      <c r="AC2521" s="155"/>
      <c r="AD2521" s="138">
        <f>F_GAMMA*AD$29</f>
        <v>0.60557184969146072</v>
      </c>
      <c r="AE2521" s="133"/>
      <c r="AF2521" s="155"/>
      <c r="AG2521" s="138">
        <f>F_GAMMA*AG$29</f>
        <v>0.57289312142622573</v>
      </c>
      <c r="AH2521" s="133"/>
      <c r="AI2521" s="155"/>
      <c r="AJ2521" s="138">
        <f>F_GAMMA*AJ$29</f>
        <v>0.53590819116049981</v>
      </c>
      <c r="AK2521" s="133"/>
      <c r="AL2521" s="155"/>
      <c r="AM2521" s="138">
        <f>F_GAMMA*AM$29</f>
        <v>0.49048815926850342</v>
      </c>
      <c r="AN2521" s="133"/>
      <c r="AO2521" s="155"/>
      <c r="AP2521" s="138">
        <f>F_GAMMA*AP$29</f>
        <v>0.59352979016280105</v>
      </c>
      <c r="AQ2521" s="133"/>
      <c r="AR2521" s="155"/>
      <c r="AS2521" s="138">
        <f>F_GAMMA*AS$29</f>
        <v>0.39097221161068291</v>
      </c>
      <c r="AT2521" s="133"/>
      <c r="AU2521" s="155"/>
    </row>
    <row r="2522" spans="13:47" x14ac:dyDescent="0.25">
      <c r="M2522" s="27"/>
      <c r="N2522" s="27"/>
      <c r="O2522" s="2" t="s">
        <v>193</v>
      </c>
      <c r="P2522" s="134"/>
      <c r="Q2522" s="2"/>
      <c r="R2522" s="181">
        <f>IF(R2517&lt;R2521,R2519,R2520)</f>
        <v>1.6489249493454936</v>
      </c>
      <c r="S2522" s="133"/>
      <c r="T2522" s="147"/>
      <c r="U2522" s="138">
        <f>IF(U2517&lt;U2521,U2519,U2520)</f>
        <v>12.100436984112788</v>
      </c>
      <c r="V2522" s="133"/>
      <c r="W2522" s="155"/>
      <c r="X2522" s="138">
        <f>IF(X2517&lt;X2521,X2519,X2520)</f>
        <v>37.081108545143593</v>
      </c>
      <c r="Y2522" s="133"/>
      <c r="Z2522" s="155"/>
      <c r="AA2522" s="138" t="e">
        <f>IF(AA2517&lt;AA2521,AA2519,AA2520)</f>
        <v>#NUM!</v>
      </c>
      <c r="AB2522" s="133"/>
      <c r="AC2522" s="155"/>
      <c r="AD2522" s="138">
        <f>IF(AD2517&lt;AD2521,AD2519,AD2520)</f>
        <v>116.27770392691934</v>
      </c>
      <c r="AE2522" s="133"/>
      <c r="AF2522" s="155"/>
      <c r="AG2522" s="138">
        <f>IF(AG2517&lt;AG2521,AG2519,AG2520)</f>
        <v>54.425418640377522</v>
      </c>
      <c r="AH2522" s="133"/>
      <c r="AI2522" s="155"/>
      <c r="AJ2522" s="138">
        <f>IF(AJ2517&lt;AJ2521,AJ2519,AJ2520)</f>
        <v>39.957447080709528</v>
      </c>
      <c r="AK2522" s="133"/>
      <c r="AL2522" s="155"/>
      <c r="AM2522" s="138">
        <f>IF(AM2517&lt;AM2521,AM2519,AM2520)</f>
        <v>35.762850882793074</v>
      </c>
      <c r="AN2522" s="133"/>
      <c r="AO2522" s="155"/>
      <c r="AP2522" s="138">
        <f>IF(AP2517&lt;AP2521,AP2519,AP2520)</f>
        <v>32.188693992803955</v>
      </c>
      <c r="AQ2522" s="133"/>
      <c r="AR2522" s="155"/>
      <c r="AS2522" s="138">
        <f>IF(AS2517&lt;AS2521,AS2519,AS2520)</f>
        <v>45.697259926108494</v>
      </c>
      <c r="AT2522" s="133"/>
      <c r="AU2522" s="155"/>
    </row>
    <row r="2523" spans="13:47" ht="13" x14ac:dyDescent="0.3">
      <c r="M2523" s="28"/>
      <c r="N2523" s="28"/>
      <c r="O2523" s="9" t="s">
        <v>194</v>
      </c>
      <c r="P2523" s="1"/>
      <c r="Q2523" s="1"/>
      <c r="R2523" s="135"/>
      <c r="S2523" s="132">
        <f>IF(R2516&lt;=0,W_max,ABS(R$23-R2522))</f>
        <v>0.35107505065450639</v>
      </c>
      <c r="T2523" s="151">
        <f>R2511</f>
        <v>381.09731460517384</v>
      </c>
      <c r="U2523" s="135"/>
      <c r="V2523" s="132">
        <f>IF(U2516&lt;=0,W_max,ABS(U$23-U2522))</f>
        <v>7.1004369841127879</v>
      </c>
      <c r="W2523" s="151">
        <f>U2511</f>
        <v>2703.4650887797138</v>
      </c>
      <c r="X2523" s="135"/>
      <c r="Y2523" s="132">
        <f>IF(X2516&lt;=0,W_max,ABS(X$23-X2522))</f>
        <v>27.081108545143593</v>
      </c>
      <c r="Z2523" s="151">
        <f>X2511</f>
        <v>6685.9908806690419</v>
      </c>
      <c r="AA2523" s="135"/>
      <c r="AB2523" s="132">
        <f>IF(AA2516&lt;=0,W_max,ABS(AA$23-AA2522))</f>
        <v>7174</v>
      </c>
      <c r="AC2523" s="151">
        <f>AA2511</f>
        <v>13022.603667037331</v>
      </c>
      <c r="AD2523" s="135"/>
      <c r="AE2523" s="132">
        <f>IF(AD2516&lt;=0,W_max,ABS(AD$23-AD2522))</f>
        <v>7174</v>
      </c>
      <c r="AF2523" s="151">
        <f>AD2511</f>
        <v>21417.388394070425</v>
      </c>
      <c r="AG2523" s="135"/>
      <c r="AH2523" s="132">
        <f>IF(AG2516&lt;=0,W_max,ABS(AG$23-AG2522))</f>
        <v>7174</v>
      </c>
      <c r="AI2523" s="151">
        <f>AG2511</f>
        <v>30039.536065378481</v>
      </c>
      <c r="AJ2523" s="135"/>
      <c r="AK2523" s="132">
        <f>IF(AJ2516&lt;=0,W_max,ABS(AJ$23-AJ2522))</f>
        <v>7174</v>
      </c>
      <c r="AL2523" s="151">
        <f>AJ2511</f>
        <v>38142.239768035113</v>
      </c>
      <c r="AM2523" s="135"/>
      <c r="AN2523" s="132">
        <f>IF(AM2516&lt;=0,W_max,ABS(AM$23-AM2522))</f>
        <v>7174</v>
      </c>
      <c r="AO2523" s="151">
        <f>AM2511</f>
        <v>44724.775821557436</v>
      </c>
      <c r="AP2523" s="135"/>
      <c r="AQ2523" s="132">
        <f>IF(AP2516&lt;=0,W_max,ABS(AP$23-AP2522))</f>
        <v>7174</v>
      </c>
      <c r="AR2523" s="151">
        <f>AP2511</f>
        <v>49898.016695813916</v>
      </c>
      <c r="AS2523" s="135"/>
      <c r="AT2523" s="132">
        <f>IF(AS2516&lt;=0,W_max,ABS(AS$23-AS2522))</f>
        <v>7174</v>
      </c>
      <c r="AU2523" s="151">
        <f>AS2511</f>
        <v>55669.637788897089</v>
      </c>
    </row>
    <row r="2524" spans="13:47" ht="13" x14ac:dyDescent="0.25">
      <c r="M2524" s="12"/>
      <c r="N2524" s="12"/>
      <c r="O2524" s="12"/>
      <c r="P2524" s="12"/>
      <c r="Q2524" s="12"/>
      <c r="R2524" s="182"/>
      <c r="S2524" s="22"/>
      <c r="T2524" s="152"/>
      <c r="U2524" s="157"/>
      <c r="V2524" s="1"/>
      <c r="W2524" s="147"/>
      <c r="X2524" s="157"/>
      <c r="Y2524" s="1"/>
      <c r="Z2524" s="147"/>
      <c r="AA2524" s="157"/>
      <c r="AB2524" s="1"/>
      <c r="AC2524" s="147"/>
      <c r="AD2524" s="157"/>
      <c r="AE2524" s="1"/>
      <c r="AF2524" s="147"/>
      <c r="AG2524" s="157"/>
      <c r="AH2524" s="1"/>
      <c r="AI2524" s="147"/>
      <c r="AJ2524" s="157"/>
      <c r="AK2524" s="1"/>
      <c r="AL2524" s="147"/>
      <c r="AM2524" s="157"/>
      <c r="AN2524" s="1"/>
      <c r="AO2524" s="147"/>
      <c r="AP2524" s="157"/>
      <c r="AQ2524" s="1"/>
      <c r="AR2524" s="147"/>
      <c r="AS2524" s="157"/>
      <c r="AT2524" s="1"/>
      <c r="AU2524" s="147"/>
    </row>
    <row r="2525" spans="13:47" ht="14" x14ac:dyDescent="0.3">
      <c r="M2525" s="23"/>
      <c r="N2525" s="23"/>
      <c r="O2525" s="23" t="s">
        <v>238</v>
      </c>
      <c r="P2525" s="20"/>
      <c r="Q2525" s="20"/>
      <c r="R2525" s="18">
        <f>R2511*1.02</f>
        <v>388.71926089727731</v>
      </c>
      <c r="S2525" s="128" t="s">
        <v>185</v>
      </c>
      <c r="T2525" s="153" t="s">
        <v>186</v>
      </c>
      <c r="U2525" s="143">
        <f>U2511*1.01</f>
        <v>2730.4997396675108</v>
      </c>
      <c r="V2525" s="128" t="s">
        <v>185</v>
      </c>
      <c r="W2525" s="153" t="s">
        <v>186</v>
      </c>
      <c r="X2525" s="143">
        <f>X2511*1.01</f>
        <v>6752.8507894757322</v>
      </c>
      <c r="Y2525" s="128" t="s">
        <v>185</v>
      </c>
      <c r="Z2525" s="153" t="s">
        <v>186</v>
      </c>
      <c r="AA2525" s="143">
        <f>AA2511*1.01</f>
        <v>13152.829703707705</v>
      </c>
      <c r="AB2525" s="128" t="s">
        <v>185</v>
      </c>
      <c r="AC2525" s="153" t="s">
        <v>186</v>
      </c>
      <c r="AD2525" s="143">
        <f>AD2511*1.01</f>
        <v>21631.56227801113</v>
      </c>
      <c r="AE2525" s="128" t="s">
        <v>185</v>
      </c>
      <c r="AF2525" s="153" t="s">
        <v>186</v>
      </c>
      <c r="AG2525" s="143">
        <f>AG2511*1.01</f>
        <v>30339.931426032264</v>
      </c>
      <c r="AH2525" s="128" t="s">
        <v>185</v>
      </c>
      <c r="AI2525" s="153" t="s">
        <v>186</v>
      </c>
      <c r="AJ2525" s="143">
        <f>AJ2511*1.01</f>
        <v>38523.662165715468</v>
      </c>
      <c r="AK2525" s="128" t="s">
        <v>185</v>
      </c>
      <c r="AL2525" s="153" t="s">
        <v>186</v>
      </c>
      <c r="AM2525" s="143">
        <f>AM2511*1.01</f>
        <v>45172.023579773013</v>
      </c>
      <c r="AN2525" s="128" t="s">
        <v>185</v>
      </c>
      <c r="AO2525" s="153" t="s">
        <v>186</v>
      </c>
      <c r="AP2525" s="143">
        <f>AP2511*1.01</f>
        <v>50396.996862772059</v>
      </c>
      <c r="AQ2525" s="128" t="s">
        <v>185</v>
      </c>
      <c r="AR2525" s="153" t="s">
        <v>186</v>
      </c>
      <c r="AS2525" s="143">
        <f>AS2511*1.01</f>
        <v>56226.334166786059</v>
      </c>
      <c r="AT2525" s="128" t="s">
        <v>185</v>
      </c>
      <c r="AU2525" s="153" t="s">
        <v>186</v>
      </c>
    </row>
    <row r="2526" spans="13:47" ht="14" x14ac:dyDescent="0.3">
      <c r="M2526" s="12"/>
      <c r="N2526" s="12"/>
      <c r="O2526" s="20"/>
      <c r="P2526" s="20"/>
      <c r="Q2526" s="23"/>
      <c r="R2526" s="139"/>
      <c r="S2526" s="130" t="s">
        <v>228</v>
      </c>
      <c r="T2526" s="154" t="s">
        <v>187</v>
      </c>
      <c r="U2526" s="144"/>
      <c r="V2526" s="130" t="s">
        <v>228</v>
      </c>
      <c r="W2526" s="154" t="s">
        <v>187</v>
      </c>
      <c r="X2526" s="144"/>
      <c r="Y2526" s="130" t="s">
        <v>228</v>
      </c>
      <c r="Z2526" s="154" t="s">
        <v>187</v>
      </c>
      <c r="AA2526" s="144"/>
      <c r="AB2526" s="130" t="s">
        <v>228</v>
      </c>
      <c r="AC2526" s="154" t="s">
        <v>187</v>
      </c>
      <c r="AD2526" s="144"/>
      <c r="AE2526" s="130" t="s">
        <v>228</v>
      </c>
      <c r="AF2526" s="154" t="s">
        <v>187</v>
      </c>
      <c r="AG2526" s="144"/>
      <c r="AH2526" s="130" t="s">
        <v>228</v>
      </c>
      <c r="AI2526" s="154" t="s">
        <v>187</v>
      </c>
      <c r="AJ2526" s="144"/>
      <c r="AK2526" s="130" t="s">
        <v>228</v>
      </c>
      <c r="AL2526" s="154" t="s">
        <v>187</v>
      </c>
      <c r="AM2526" s="144"/>
      <c r="AN2526" s="130" t="s">
        <v>228</v>
      </c>
      <c r="AO2526" s="154" t="s">
        <v>187</v>
      </c>
      <c r="AP2526" s="144"/>
      <c r="AQ2526" s="130" t="s">
        <v>228</v>
      </c>
      <c r="AR2526" s="154" t="s">
        <v>187</v>
      </c>
      <c r="AS2526" s="144"/>
      <c r="AT2526" s="130" t="s">
        <v>228</v>
      </c>
      <c r="AU2526" s="154" t="s">
        <v>187</v>
      </c>
    </row>
    <row r="2527" spans="13:47" x14ac:dyDescent="0.25">
      <c r="M2527" s="20"/>
      <c r="N2527" s="20"/>
      <c r="O2527" s="7" t="s">
        <v>188</v>
      </c>
      <c r="P2527" s="7"/>
      <c r="Q2527" s="7"/>
      <c r="R2527" s="181">
        <f>P_1_minW-(R2525^2*R_up)+dpup_minQ</f>
        <v>100.4625327610094</v>
      </c>
      <c r="S2527" s="132"/>
      <c r="T2527" s="145"/>
      <c r="U2527" s="138">
        <f>P_1_minW-(U2525^2*R_up)+dpup_minQ</f>
        <v>97.549766492715051</v>
      </c>
      <c r="V2527" s="132"/>
      <c r="W2527" s="145"/>
      <c r="X2527" s="138">
        <f>P_1_minW-(X2525^2*R_up)+dpup_minQ</f>
        <v>82.338850707806046</v>
      </c>
      <c r="Y2527" s="132"/>
      <c r="Z2527" s="145"/>
      <c r="AA2527" s="138">
        <f>P_1_minW-(AA2525^2*R_up)+dpup_minQ</f>
        <v>31.53821353032977</v>
      </c>
      <c r="AB2527" s="132"/>
      <c r="AC2527" s="145"/>
      <c r="AD2527" s="138">
        <f>P_1_minW-(AD2525^2*R_up)+dpup_minQ</f>
        <v>-86.067640888677474</v>
      </c>
      <c r="AE2527" s="132"/>
      <c r="AF2527" s="145"/>
      <c r="AG2527" s="138">
        <f>P_1_minW-(AG2525^2*R_up)+dpup_minQ</f>
        <v>-266.54204519336974</v>
      </c>
      <c r="AH2527" s="132"/>
      <c r="AI2527" s="145"/>
      <c r="AJ2527" s="138">
        <f>P_1_minW-(AJ2525^2*R_up)+dpup_minQ</f>
        <v>-491.26870750110584</v>
      </c>
      <c r="AK2527" s="132"/>
      <c r="AL2527" s="145"/>
      <c r="AM2527" s="138">
        <f>P_1_minW-(AM2525^2*R_up)+dpup_minQ</f>
        <v>-713.15541189957116</v>
      </c>
      <c r="AN2527" s="132"/>
      <c r="AO2527" s="145"/>
      <c r="AP2527" s="138">
        <f>P_1_minW-(AP2525^2*R_up)+dpup_minQ</f>
        <v>-912.27537183943389</v>
      </c>
      <c r="AQ2527" s="132"/>
      <c r="AR2527" s="145"/>
      <c r="AS2527" s="138">
        <f>P_1_minW-(AS2525^2*R_up)+dpup_minQ</f>
        <v>-1160.1231439695491</v>
      </c>
      <c r="AT2527" s="132"/>
      <c r="AU2527" s="145"/>
    </row>
    <row r="2528" spans="13:47" x14ac:dyDescent="0.25">
      <c r="M2528" s="20"/>
      <c r="N2528" s="20"/>
      <c r="O2528" s="7" t="s">
        <v>189</v>
      </c>
      <c r="P2528" s="1"/>
      <c r="Q2528" s="7"/>
      <c r="R2528" s="181">
        <f>P_2_minW+(R2525^2*R_dn)-dpdn_minQ</f>
        <v>50</v>
      </c>
      <c r="S2528" s="132"/>
      <c r="T2528" s="146"/>
      <c r="U2528" s="138">
        <f>P_2_minW+(U2525^2*R_dn)-dpdn_minQ</f>
        <v>50</v>
      </c>
      <c r="V2528" s="132"/>
      <c r="W2528" s="146"/>
      <c r="X2528" s="138">
        <f>P_2_minW+(X2525^2*R_dn)-dpdn_minQ</f>
        <v>50</v>
      </c>
      <c r="Y2528" s="132"/>
      <c r="Z2528" s="146"/>
      <c r="AA2528" s="138">
        <f>P_2_minW+(AA2525^2*R_dn)-dpdn_minQ</f>
        <v>50</v>
      </c>
      <c r="AB2528" s="132"/>
      <c r="AC2528" s="146"/>
      <c r="AD2528" s="138">
        <f>P_2_minW+(AD2525^2*R_dn)-dpdn_minQ</f>
        <v>50</v>
      </c>
      <c r="AE2528" s="132"/>
      <c r="AF2528" s="146"/>
      <c r="AG2528" s="138">
        <f>P_2_minW+(AG2525^2*R_dn)-dpdn_minQ</f>
        <v>50</v>
      </c>
      <c r="AH2528" s="132"/>
      <c r="AI2528" s="146"/>
      <c r="AJ2528" s="138">
        <f>P_2_minW+(AJ2525^2*R_dn)-dpdn_minQ</f>
        <v>50</v>
      </c>
      <c r="AK2528" s="132"/>
      <c r="AL2528" s="146"/>
      <c r="AM2528" s="138">
        <f>P_2_minW+(AM2525^2*R_dn)-dpdn_minQ</f>
        <v>50</v>
      </c>
      <c r="AN2528" s="132"/>
      <c r="AO2528" s="146"/>
      <c r="AP2528" s="138">
        <f>P_2_minW+(AP2525^2*R_dn)-dpdn_minQ</f>
        <v>50</v>
      </c>
      <c r="AQ2528" s="132"/>
      <c r="AR2528" s="146"/>
      <c r="AS2528" s="138">
        <f>P_2_minW+(AS2525^2*R_dn)-dpdn_minQ</f>
        <v>50</v>
      </c>
      <c r="AT2528" s="132"/>
      <c r="AU2528" s="146"/>
    </row>
    <row r="2529" spans="13:47" x14ac:dyDescent="0.25">
      <c r="M2529" s="20"/>
      <c r="N2529" s="20"/>
      <c r="O2529" s="7" t="s">
        <v>234</v>
      </c>
      <c r="P2529" s="1"/>
      <c r="Q2529" s="7"/>
      <c r="R2529" s="179">
        <f>'Valve Sizing'!G$8*R2527/P_1_maxW</f>
        <v>0.48461337178758984</v>
      </c>
      <c r="S2529" s="132"/>
      <c r="T2529" s="146"/>
      <c r="U2529" s="143">
        <f>'Valve Sizing'!$G$8*U2527/P_1_maxW</f>
        <v>0.47056270589540833</v>
      </c>
      <c r="V2529" s="132"/>
      <c r="W2529" s="146"/>
      <c r="X2529" s="143">
        <f>'Valve Sizing'!$G$8*X2527/P_1_maxW</f>
        <v>0.39718795628564385</v>
      </c>
      <c r="Y2529" s="132"/>
      <c r="Z2529" s="146"/>
      <c r="AA2529" s="143">
        <f>'Valve Sizing'!$G$8*AA2527/P_1_maxW</f>
        <v>0.15213472703748038</v>
      </c>
      <c r="AB2529" s="132"/>
      <c r="AC2529" s="146"/>
      <c r="AD2529" s="143">
        <f>'Valve Sizing'!$G$8*AD2527/P_1_maxW</f>
        <v>-0.41517497624799427</v>
      </c>
      <c r="AE2529" s="132"/>
      <c r="AF2529" s="146"/>
      <c r="AG2529" s="143">
        <f>'Valve Sizing'!$G$8*AG2527/P_1_maxW</f>
        <v>-1.2857513711266024</v>
      </c>
      <c r="AH2529" s="132"/>
      <c r="AI2529" s="146"/>
      <c r="AJ2529" s="143">
        <f>'Valve Sizing'!$G$8*AJ2527/P_1_maxW</f>
        <v>-2.3697927799829648</v>
      </c>
      <c r="AK2529" s="132"/>
      <c r="AL2529" s="146"/>
      <c r="AM2529" s="143">
        <f>'Valve Sizing'!$G$8*AM2527/P_1_maxW</f>
        <v>-3.4401347375083455</v>
      </c>
      <c r="AN2529" s="132"/>
      <c r="AO2529" s="146"/>
      <c r="AP2529" s="143">
        <f>'Valve Sizing'!$G$8*AP2527/P_1_maxW</f>
        <v>-4.4006539731344443</v>
      </c>
      <c r="AQ2529" s="132"/>
      <c r="AR2529" s="146"/>
      <c r="AS2529" s="143">
        <f>'Valve Sizing'!$G$8*AS2527/P_1_maxW</f>
        <v>-5.5962274993140815</v>
      </c>
      <c r="AT2529" s="132"/>
      <c r="AU2529" s="146"/>
    </row>
    <row r="2530" spans="13:47" x14ac:dyDescent="0.25">
      <c r="M2530" s="20"/>
      <c r="N2530" s="20"/>
      <c r="O2530" s="7" t="s">
        <v>190</v>
      </c>
      <c r="P2530" s="1"/>
      <c r="Q2530" s="7"/>
      <c r="R2530" s="181">
        <f>R2527-R2528</f>
        <v>50.462532761009399</v>
      </c>
      <c r="S2530" s="132"/>
      <c r="T2530" s="146"/>
      <c r="U2530" s="138">
        <f>U2527-U2528</f>
        <v>47.549766492715051</v>
      </c>
      <c r="V2530" s="132"/>
      <c r="W2530" s="146"/>
      <c r="X2530" s="138">
        <f>X2527-X2528</f>
        <v>32.338850707806046</v>
      </c>
      <c r="Y2530" s="132"/>
      <c r="Z2530" s="146"/>
      <c r="AA2530" s="138">
        <f>AA2527-AA2528</f>
        <v>-18.46178646967023</v>
      </c>
      <c r="AB2530" s="132"/>
      <c r="AC2530" s="146"/>
      <c r="AD2530" s="138">
        <f>AD2527-AD2528</f>
        <v>-136.06764088867749</v>
      </c>
      <c r="AE2530" s="132"/>
      <c r="AF2530" s="146"/>
      <c r="AG2530" s="138">
        <f>AG2527-AG2528</f>
        <v>-316.54204519336974</v>
      </c>
      <c r="AH2530" s="132"/>
      <c r="AI2530" s="146"/>
      <c r="AJ2530" s="138">
        <f>AJ2527-AJ2528</f>
        <v>-541.26870750110584</v>
      </c>
      <c r="AK2530" s="132"/>
      <c r="AL2530" s="146"/>
      <c r="AM2530" s="138">
        <f>AM2527-AM2528</f>
        <v>-763.15541189957116</v>
      </c>
      <c r="AN2530" s="132"/>
      <c r="AO2530" s="146"/>
      <c r="AP2530" s="138">
        <f>AP2527-AP2528</f>
        <v>-962.27537183943389</v>
      </c>
      <c r="AQ2530" s="132"/>
      <c r="AR2530" s="146"/>
      <c r="AS2530" s="138">
        <f>AS2527-AS2528</f>
        <v>-1210.1231439695491</v>
      </c>
      <c r="AT2530" s="132"/>
      <c r="AU2530" s="146"/>
    </row>
    <row r="2531" spans="13:47" ht="14.5" x14ac:dyDescent="0.35">
      <c r="M2531" s="27"/>
      <c r="N2531" s="27"/>
      <c r="O2531" s="2" t="s">
        <v>191</v>
      </c>
      <c r="P2531" s="10"/>
      <c r="Q2531" s="2"/>
      <c r="R2531" s="181">
        <f>R2530/R2527</f>
        <v>0.5023020162258387</v>
      </c>
      <c r="S2531" s="132"/>
      <c r="T2531" s="146"/>
      <c r="U2531" s="138">
        <f>U2530/U2527</f>
        <v>0.48744111034100768</v>
      </c>
      <c r="V2531" s="132"/>
      <c r="W2531" s="146"/>
      <c r="X2531" s="138">
        <f>X2530/X2527</f>
        <v>0.39275324381884036</v>
      </c>
      <c r="Y2531" s="132"/>
      <c r="Z2531" s="146"/>
      <c r="AA2531" s="138">
        <f>AA2530/AA2527</f>
        <v>-0.58537832055439154</v>
      </c>
      <c r="AB2531" s="132"/>
      <c r="AC2531" s="146"/>
      <c r="AD2531" s="138">
        <f>AD2530/AD2527</f>
        <v>1.5809384280053818</v>
      </c>
      <c r="AE2531" s="132"/>
      <c r="AF2531" s="146"/>
      <c r="AG2531" s="138">
        <f>AG2530/AG2527</f>
        <v>1.1875876654421489</v>
      </c>
      <c r="AH2531" s="132"/>
      <c r="AI2531" s="146"/>
      <c r="AJ2531" s="138">
        <f>AJ2530/AJ2527</f>
        <v>1.1017772946588247</v>
      </c>
      <c r="AK2531" s="132"/>
      <c r="AL2531" s="146"/>
      <c r="AM2531" s="138">
        <f>AM2530/AM2527</f>
        <v>1.0701109451961099</v>
      </c>
      <c r="AN2531" s="132"/>
      <c r="AO2531" s="146"/>
      <c r="AP2531" s="138">
        <f>AP2530/AP2527</f>
        <v>1.0548080125183958</v>
      </c>
      <c r="AQ2531" s="132"/>
      <c r="AR2531" s="146"/>
      <c r="AS2531" s="138">
        <f>AS2530/AS2527</f>
        <v>1.0430988729600867</v>
      </c>
      <c r="AT2531" s="132"/>
      <c r="AU2531" s="146"/>
    </row>
    <row r="2532" spans="13:47" x14ac:dyDescent="0.25">
      <c r="M2532" s="27"/>
      <c r="N2532" s="27"/>
      <c r="O2532" s="2" t="s">
        <v>26</v>
      </c>
      <c r="P2532" s="7">
        <v>12</v>
      </c>
      <c r="Q2532" s="2"/>
      <c r="R2532" s="181">
        <f>1-R2531/(3*F_GAMMA*R$29)</f>
        <v>0.73839535400615353</v>
      </c>
      <c r="S2532" s="133"/>
      <c r="T2532" s="146"/>
      <c r="U2532" s="138">
        <f>1-U2531/(3*F_GAMMA*U$29)</f>
        <v>0.74619097881671381</v>
      </c>
      <c r="V2532" s="133"/>
      <c r="W2532" s="146"/>
      <c r="X2532" s="138">
        <f>1-X2531/(3*F_GAMMA*X$29)</f>
        <v>0.79242674114540357</v>
      </c>
      <c r="Y2532" s="133"/>
      <c r="Z2532" s="146"/>
      <c r="AA2532" s="138">
        <f>1-AA2531/(3*F_GAMMA*AA$29)</f>
        <v>1.3136191578738126</v>
      </c>
      <c r="AB2532" s="133"/>
      <c r="AC2532" s="146"/>
      <c r="AD2532" s="138">
        <f>1-AD2531/(3*F_GAMMA*AD$29)</f>
        <v>0.12978207908724571</v>
      </c>
      <c r="AE2532" s="133"/>
      <c r="AF2532" s="146"/>
      <c r="AG2532" s="138">
        <f>1-AG2531/(3*F_GAMMA*AG$29)</f>
        <v>0.30901150608707373</v>
      </c>
      <c r="AH2532" s="133"/>
      <c r="AI2532" s="146"/>
      <c r="AJ2532" s="138">
        <f>1-AJ2531/(3*F_GAMMA*AJ$29)</f>
        <v>0.31469773316150462</v>
      </c>
      <c r="AK2532" s="133"/>
      <c r="AL2532" s="146"/>
      <c r="AM2532" s="138">
        <f>1-AM2531/(3*F_GAMMA*AM$29)</f>
        <v>0.27275788078008156</v>
      </c>
      <c r="AN2532" s="133"/>
      <c r="AO2532" s="146"/>
      <c r="AP2532" s="138">
        <f>1-AP2531/(3*F_GAMMA*AP$29)</f>
        <v>0.40760737427682747</v>
      </c>
      <c r="AQ2532" s="133"/>
      <c r="AR2532" s="146"/>
      <c r="AS2532" s="138">
        <f>1-AS2531/(3*F_GAMMA*AS$29)</f>
        <v>0.11067944474208158</v>
      </c>
      <c r="AT2532" s="133"/>
      <c r="AU2532" s="146"/>
    </row>
    <row r="2533" spans="13:47" x14ac:dyDescent="0.25">
      <c r="M2533" s="27"/>
      <c r="N2533" s="27"/>
      <c r="O2533" s="2" t="s">
        <v>71</v>
      </c>
      <c r="P2533" s="85">
        <v>5</v>
      </c>
      <c r="Q2533" s="2"/>
      <c r="R2533" s="179">
        <f>R2525/((N_6*R$27*R2532)*SQRT(R2531*R2527*R2529))</f>
        <v>1.6819482743266623</v>
      </c>
      <c r="S2533" s="133"/>
      <c r="T2533" s="146"/>
      <c r="U2533" s="143">
        <f>U2525/((N_6*U$27*U2532)*SQRT(U2531*U2527*U2529))</f>
        <v>12.230012796069827</v>
      </c>
      <c r="V2533" s="133"/>
      <c r="W2533" s="146"/>
      <c r="X2533" s="143">
        <f>X2525/((N_6*X$27*X2532)*SQRT(X2531*X2527*X2529))</f>
        <v>37.674443065475096</v>
      </c>
      <c r="Y2533" s="133"/>
      <c r="Z2533" s="146"/>
      <c r="AA2533" s="143" t="e">
        <f>AA2525/((N_6*AA$27*AA2532)*SQRT(AA2531*AA2527*AA2529))</f>
        <v>#NUM!</v>
      </c>
      <c r="AB2533" s="133"/>
      <c r="AC2533" s="146"/>
      <c r="AD2533" s="143">
        <f>AD2525/((N_6*AD$27*AD2532)*SQRT(AD2531*AD2527*AD2529))</f>
        <v>357.59755875086944</v>
      </c>
      <c r="AE2533" s="133"/>
      <c r="AF2533" s="146"/>
      <c r="AG2533" s="143">
        <f>AG2525/((N_6*AG$27*AG2532)*SQRT(AG2531*AG2527*AG2529))</f>
        <v>80.173503922436311</v>
      </c>
      <c r="AH2533" s="133"/>
      <c r="AI2533" s="146"/>
      <c r="AJ2533" s="143">
        <f>AJ2525/((N_6*AJ$27*AJ2532)*SQRT(AJ2531*AJ2527*AJ2529))</f>
        <v>58.239414654275649</v>
      </c>
      <c r="AK2533" s="133"/>
      <c r="AL2533" s="146"/>
      <c r="AM2533" s="143">
        <f>AM2525/((N_6*AM$27*AM2532)*SQRT(AM2531*AM2527*AM2529))</f>
        <v>58.455712477431902</v>
      </c>
      <c r="AN2533" s="133"/>
      <c r="AO2533" s="146"/>
      <c r="AP2533" s="143">
        <f>AP2525/((N_6*AP$27*AP2532)*SQRT(AP2531*AP2527*AP2529))</f>
        <v>39.033490788442485</v>
      </c>
      <c r="AQ2533" s="133"/>
      <c r="AR2533" s="146"/>
      <c r="AS2533" s="143">
        <f>AS2525/((N_6*AS$27*AS2532)*SQRT(AS2531*AS2527*AS2529))</f>
        <v>166.64059783392261</v>
      </c>
      <c r="AT2533" s="133"/>
      <c r="AU2533" s="146"/>
    </row>
    <row r="2534" spans="13:47" x14ac:dyDescent="0.25">
      <c r="M2534" s="27"/>
      <c r="N2534" s="27"/>
      <c r="O2534" s="2" t="s">
        <v>73</v>
      </c>
      <c r="P2534" s="85">
        <v>5</v>
      </c>
      <c r="Q2534" s="2"/>
      <c r="R2534" s="179">
        <f>R2525/((N_6*R$27*0.667)*SQRT(R2535*R2527*R2529))</f>
        <v>1.6495257929422988</v>
      </c>
      <c r="S2534" s="133"/>
      <c r="T2534" s="155"/>
      <c r="U2534" s="143">
        <f>U2525/((N_6*U$27*0.667)*SQRT(U2535*U2527*U2529))</f>
        <v>11.938925062918413</v>
      </c>
      <c r="V2534" s="133"/>
      <c r="W2534" s="155"/>
      <c r="X2534" s="143">
        <f>X2525/((N_6*X$27*0.667)*SQRT(X2535*X2527*X2529))</f>
        <v>35.320468781376299</v>
      </c>
      <c r="Y2534" s="133"/>
      <c r="Z2534" s="155"/>
      <c r="AA2534" s="143">
        <f>AA2525/((N_6*AA$27*0.667)*SQRT(AA2535*AA2527*AA2529))</f>
        <v>181.87539917555827</v>
      </c>
      <c r="AB2534" s="133"/>
      <c r="AC2534" s="155"/>
      <c r="AD2534" s="143">
        <f>AD2525/((N_6*AD$27*0.667)*SQRT(AD2535*AD2527*AD2529))</f>
        <v>112.42375253766522</v>
      </c>
      <c r="AE2534" s="133"/>
      <c r="AF2534" s="155"/>
      <c r="AG2534" s="143">
        <f>AG2525/((N_6*AG$27*0.667)*SQRT(AG2535*AG2527*AG2529))</f>
        <v>53.478068915756168</v>
      </c>
      <c r="AH2534" s="133"/>
      <c r="AI2534" s="155"/>
      <c r="AJ2534" s="143">
        <f>AJ2525/((N_6*AJ$27*0.667)*SQRT(AJ2535*AJ2527*AJ2529))</f>
        <v>39.39911744788963</v>
      </c>
      <c r="AK2534" s="133"/>
      <c r="AL2534" s="155"/>
      <c r="AM2534" s="143">
        <f>AM2525/((N_6*AM$27*0.667)*SQRT(AM2535*AM2527*AM2529))</f>
        <v>35.308443335867146</v>
      </c>
      <c r="AN2534" s="133"/>
      <c r="AO2534" s="155"/>
      <c r="AP2534" s="143">
        <f>AP2525/((N_6*AP$27*0.667)*SQRT(AP2535*AP2527*AP2529))</f>
        <v>31.799408371293097</v>
      </c>
      <c r="AQ2534" s="133"/>
      <c r="AR2534" s="155"/>
      <c r="AS2534" s="143">
        <f>AS2525/((N_6*AS$27*0.667)*SQRT(AS2535*AS2527*AS2529))</f>
        <v>45.166011979494094</v>
      </c>
      <c r="AT2534" s="133"/>
      <c r="AU2534" s="155"/>
    </row>
    <row r="2535" spans="13:47" ht="15.5" x14ac:dyDescent="0.4">
      <c r="M2535" s="27"/>
      <c r="N2535" s="27"/>
      <c r="O2535" s="2" t="s">
        <v>192</v>
      </c>
      <c r="P2535" s="85">
        <v>10</v>
      </c>
      <c r="Q2535" s="2"/>
      <c r="R2535" s="181">
        <f>F_GAMMA*R$29</f>
        <v>0.64002688015162901</v>
      </c>
      <c r="S2535" s="133"/>
      <c r="T2535" s="155"/>
      <c r="U2535" s="138">
        <f>F_GAMMA*U$29</f>
        <v>0.64016782916606918</v>
      </c>
      <c r="V2535" s="133"/>
      <c r="W2535" s="155"/>
      <c r="X2535" s="138">
        <f>F_GAMMA*X$29</f>
        <v>0.6307062319203669</v>
      </c>
      <c r="Y2535" s="133"/>
      <c r="Z2535" s="155"/>
      <c r="AA2535" s="138">
        <f>F_GAMMA*AA$29</f>
        <v>0.62217534213893466</v>
      </c>
      <c r="AB2535" s="133"/>
      <c r="AC2535" s="155"/>
      <c r="AD2535" s="138">
        <f>F_GAMMA*AD$29</f>
        <v>0.60557184969146072</v>
      </c>
      <c r="AE2535" s="133"/>
      <c r="AF2535" s="155"/>
      <c r="AG2535" s="138">
        <f>F_GAMMA*AG$29</f>
        <v>0.57289312142622573</v>
      </c>
      <c r="AH2535" s="133"/>
      <c r="AI2535" s="155"/>
      <c r="AJ2535" s="138">
        <f>F_GAMMA*AJ$29</f>
        <v>0.53590819116049981</v>
      </c>
      <c r="AK2535" s="133"/>
      <c r="AL2535" s="155"/>
      <c r="AM2535" s="138">
        <f>F_GAMMA*AM$29</f>
        <v>0.49048815926850342</v>
      </c>
      <c r="AN2535" s="133"/>
      <c r="AO2535" s="155"/>
      <c r="AP2535" s="138">
        <f>F_GAMMA*AP$29</f>
        <v>0.59352979016280105</v>
      </c>
      <c r="AQ2535" s="133"/>
      <c r="AR2535" s="155"/>
      <c r="AS2535" s="138">
        <f>F_GAMMA*AS$29</f>
        <v>0.39097221161068291</v>
      </c>
      <c r="AT2535" s="133"/>
      <c r="AU2535" s="155"/>
    </row>
    <row r="2536" spans="13:47" x14ac:dyDescent="0.25">
      <c r="M2536" s="27"/>
      <c r="N2536" s="27"/>
      <c r="O2536" s="2" t="s">
        <v>193</v>
      </c>
      <c r="P2536" s="134"/>
      <c r="Q2536" s="2"/>
      <c r="R2536" s="181">
        <f>IF(R2531&lt;R2535,R2533,R2534)</f>
        <v>1.6819482743266623</v>
      </c>
      <c r="S2536" s="133"/>
      <c r="T2536" s="155"/>
      <c r="U2536" s="138">
        <f>IF(U2531&lt;U2535,U2533,U2534)</f>
        <v>12.230012796069827</v>
      </c>
      <c r="V2536" s="133"/>
      <c r="W2536" s="155"/>
      <c r="X2536" s="138">
        <f>IF(X2531&lt;X2535,X2533,X2534)</f>
        <v>37.674443065475096</v>
      </c>
      <c r="Y2536" s="133"/>
      <c r="Z2536" s="155"/>
      <c r="AA2536" s="138" t="e">
        <f>IF(AA2531&lt;AA2535,AA2533,AA2534)</f>
        <v>#NUM!</v>
      </c>
      <c r="AB2536" s="133"/>
      <c r="AC2536" s="155"/>
      <c r="AD2536" s="138">
        <f>IF(AD2531&lt;AD2535,AD2533,AD2534)</f>
        <v>112.42375253766522</v>
      </c>
      <c r="AE2536" s="133"/>
      <c r="AF2536" s="155"/>
      <c r="AG2536" s="138">
        <f>IF(AG2531&lt;AG2535,AG2533,AG2534)</f>
        <v>53.478068915756168</v>
      </c>
      <c r="AH2536" s="133"/>
      <c r="AI2536" s="155"/>
      <c r="AJ2536" s="138">
        <f>IF(AJ2531&lt;AJ2535,AJ2533,AJ2534)</f>
        <v>39.39911744788963</v>
      </c>
      <c r="AK2536" s="133"/>
      <c r="AL2536" s="155"/>
      <c r="AM2536" s="138">
        <f>IF(AM2531&lt;AM2535,AM2533,AM2534)</f>
        <v>35.308443335867146</v>
      </c>
      <c r="AN2536" s="133"/>
      <c r="AO2536" s="155"/>
      <c r="AP2536" s="138">
        <f>IF(AP2531&lt;AP2535,AP2533,AP2534)</f>
        <v>31.799408371293097</v>
      </c>
      <c r="AQ2536" s="133"/>
      <c r="AR2536" s="155"/>
      <c r="AS2536" s="138">
        <f>IF(AS2531&lt;AS2535,AS2533,AS2534)</f>
        <v>45.166011979494094</v>
      </c>
      <c r="AT2536" s="133"/>
      <c r="AU2536" s="155"/>
    </row>
    <row r="2537" spans="13:47" ht="13" x14ac:dyDescent="0.3">
      <c r="M2537" s="28"/>
      <c r="N2537" s="28"/>
      <c r="O2537" s="9" t="s">
        <v>194</v>
      </c>
      <c r="P2537" s="1"/>
      <c r="Q2537" s="1"/>
      <c r="R2537" s="135"/>
      <c r="S2537" s="132">
        <f>IF(R2530&lt;=0,W_max,ABS(R$23-R2536))</f>
        <v>0.31805172567333773</v>
      </c>
      <c r="T2537" s="151">
        <f>R2525</f>
        <v>388.71926089727731</v>
      </c>
      <c r="U2537" s="135"/>
      <c r="V2537" s="132">
        <f>IF(U2530&lt;=0,W_max,ABS(U$23-U2536))</f>
        <v>7.2300127960698273</v>
      </c>
      <c r="W2537" s="151">
        <f>U2525</f>
        <v>2730.4997396675108</v>
      </c>
      <c r="X2537" s="135"/>
      <c r="Y2537" s="132">
        <f>IF(X2530&lt;=0,W_max,ABS(X$23-X2536))</f>
        <v>27.674443065475096</v>
      </c>
      <c r="Z2537" s="151">
        <f>X2525</f>
        <v>6752.8507894757322</v>
      </c>
      <c r="AA2537" s="135"/>
      <c r="AB2537" s="132">
        <f>IF(AA2530&lt;=0,W_max,ABS(AA$23-AA2536))</f>
        <v>7174</v>
      </c>
      <c r="AC2537" s="151">
        <f>AA2525</f>
        <v>13152.829703707705</v>
      </c>
      <c r="AD2537" s="135"/>
      <c r="AE2537" s="132">
        <f>IF(AD2530&lt;=0,W_max,ABS(AD$23-AD2536))</f>
        <v>7174</v>
      </c>
      <c r="AF2537" s="151">
        <f>AD2525</f>
        <v>21631.56227801113</v>
      </c>
      <c r="AG2537" s="135"/>
      <c r="AH2537" s="132">
        <f>IF(AG2530&lt;=0,W_max,ABS(AG$23-AG2536))</f>
        <v>7174</v>
      </c>
      <c r="AI2537" s="151">
        <f>AG2525</f>
        <v>30339.931426032264</v>
      </c>
      <c r="AJ2537" s="135"/>
      <c r="AK2537" s="132">
        <f>IF(AJ2530&lt;=0,W_max,ABS(AJ$23-AJ2536))</f>
        <v>7174</v>
      </c>
      <c r="AL2537" s="151">
        <f>AJ2525</f>
        <v>38523.662165715468</v>
      </c>
      <c r="AM2537" s="135"/>
      <c r="AN2537" s="132">
        <f>IF(AM2530&lt;=0,W_max,ABS(AM$23-AM2536))</f>
        <v>7174</v>
      </c>
      <c r="AO2537" s="151">
        <f>AM2525</f>
        <v>45172.023579773013</v>
      </c>
      <c r="AP2537" s="135"/>
      <c r="AQ2537" s="132">
        <f>IF(AP2530&lt;=0,W_max,ABS(AP$23-AP2536))</f>
        <v>7174</v>
      </c>
      <c r="AR2537" s="151">
        <f>AP2525</f>
        <v>50396.996862772059</v>
      </c>
      <c r="AS2537" s="135"/>
      <c r="AT2537" s="132">
        <f>IF(AS2530&lt;=0,W_max,ABS(AS$23-AS2536))</f>
        <v>7174</v>
      </c>
      <c r="AU2537" s="151">
        <f>AS2525</f>
        <v>56226.334166786059</v>
      </c>
    </row>
    <row r="2538" spans="13:47" ht="13" x14ac:dyDescent="0.25">
      <c r="M2538" s="12"/>
      <c r="N2538" s="12"/>
      <c r="O2538" s="2"/>
      <c r="P2538" s="85"/>
      <c r="Q2538" s="2"/>
      <c r="R2538" s="18"/>
      <c r="S2538" s="150"/>
      <c r="T2538" s="152"/>
      <c r="U2538" s="157"/>
      <c r="V2538" s="1"/>
      <c r="W2538" s="147"/>
      <c r="X2538" s="157"/>
      <c r="Y2538" s="1"/>
      <c r="Z2538" s="147"/>
      <c r="AA2538" s="157"/>
      <c r="AB2538" s="1"/>
      <c r="AC2538" s="147"/>
      <c r="AD2538" s="157"/>
      <c r="AE2538" s="1"/>
      <c r="AF2538" s="147"/>
      <c r="AG2538" s="157"/>
      <c r="AH2538" s="1"/>
      <c r="AI2538" s="147"/>
      <c r="AJ2538" s="157"/>
      <c r="AK2538" s="1"/>
      <c r="AL2538" s="147"/>
      <c r="AM2538" s="157"/>
      <c r="AN2538" s="1"/>
      <c r="AO2538" s="147"/>
      <c r="AP2538" s="157"/>
      <c r="AQ2538" s="1"/>
      <c r="AR2538" s="147"/>
      <c r="AS2538" s="157"/>
      <c r="AT2538" s="1"/>
      <c r="AU2538" s="147"/>
    </row>
    <row r="2539" spans="13:47" ht="14" x14ac:dyDescent="0.3">
      <c r="M2539" s="23"/>
      <c r="N2539" s="23"/>
      <c r="O2539" s="23" t="s">
        <v>238</v>
      </c>
      <c r="P2539" s="20"/>
      <c r="Q2539" s="20"/>
      <c r="R2539" s="181">
        <f>R2525*1.02</f>
        <v>396.49364611522287</v>
      </c>
      <c r="S2539" s="128" t="s">
        <v>185</v>
      </c>
      <c r="T2539" s="153" t="s">
        <v>186</v>
      </c>
      <c r="U2539" s="143">
        <f>U2525*1.01</f>
        <v>2757.8047370641857</v>
      </c>
      <c r="V2539" s="128" t="s">
        <v>185</v>
      </c>
      <c r="W2539" s="153" t="s">
        <v>186</v>
      </c>
      <c r="X2539" s="143">
        <f>X2525*1.01</f>
        <v>6820.3792973704894</v>
      </c>
      <c r="Y2539" s="128" t="s">
        <v>185</v>
      </c>
      <c r="Z2539" s="153" t="s">
        <v>186</v>
      </c>
      <c r="AA2539" s="143">
        <f>AA2525*1.01</f>
        <v>13284.358000744782</v>
      </c>
      <c r="AB2539" s="128" t="s">
        <v>185</v>
      </c>
      <c r="AC2539" s="153" t="s">
        <v>186</v>
      </c>
      <c r="AD2539" s="143">
        <f>AD2525*1.01</f>
        <v>21847.877900791242</v>
      </c>
      <c r="AE2539" s="128" t="s">
        <v>185</v>
      </c>
      <c r="AF2539" s="153" t="s">
        <v>186</v>
      </c>
      <c r="AG2539" s="143">
        <f>AG2525*1.01</f>
        <v>30643.330740292586</v>
      </c>
      <c r="AH2539" s="128" t="s">
        <v>185</v>
      </c>
      <c r="AI2539" s="153" t="s">
        <v>186</v>
      </c>
      <c r="AJ2539" s="143">
        <f>AJ2525*1.01</f>
        <v>38908.898787372622</v>
      </c>
      <c r="AK2539" s="128" t="s">
        <v>185</v>
      </c>
      <c r="AL2539" s="153" t="s">
        <v>186</v>
      </c>
      <c r="AM2539" s="143">
        <f>AM2525*1.01</f>
        <v>45623.743815570742</v>
      </c>
      <c r="AN2539" s="128" t="s">
        <v>185</v>
      </c>
      <c r="AO2539" s="153" t="s">
        <v>186</v>
      </c>
      <c r="AP2539" s="143">
        <f>AP2525*1.01</f>
        <v>50900.966831399783</v>
      </c>
      <c r="AQ2539" s="128" t="s">
        <v>185</v>
      </c>
      <c r="AR2539" s="153" t="s">
        <v>186</v>
      </c>
      <c r="AS2539" s="143">
        <f>AS2525*1.01</f>
        <v>56788.597508453917</v>
      </c>
      <c r="AT2539" s="128" t="s">
        <v>185</v>
      </c>
      <c r="AU2539" s="153" t="s">
        <v>186</v>
      </c>
    </row>
    <row r="2540" spans="13:47" ht="14" x14ac:dyDescent="0.3">
      <c r="M2540" s="12"/>
      <c r="N2540" s="12"/>
      <c r="O2540" s="20"/>
      <c r="P2540" s="20"/>
      <c r="Q2540" s="23"/>
      <c r="R2540" s="139"/>
      <c r="S2540" s="130" t="s">
        <v>228</v>
      </c>
      <c r="T2540" s="154" t="s">
        <v>187</v>
      </c>
      <c r="U2540" s="144"/>
      <c r="V2540" s="130" t="s">
        <v>228</v>
      </c>
      <c r="W2540" s="154" t="s">
        <v>187</v>
      </c>
      <c r="X2540" s="144"/>
      <c r="Y2540" s="130" t="s">
        <v>228</v>
      </c>
      <c r="Z2540" s="154" t="s">
        <v>187</v>
      </c>
      <c r="AA2540" s="144"/>
      <c r="AB2540" s="130" t="s">
        <v>228</v>
      </c>
      <c r="AC2540" s="154" t="s">
        <v>187</v>
      </c>
      <c r="AD2540" s="144"/>
      <c r="AE2540" s="130" t="s">
        <v>228</v>
      </c>
      <c r="AF2540" s="154" t="s">
        <v>187</v>
      </c>
      <c r="AG2540" s="144"/>
      <c r="AH2540" s="130" t="s">
        <v>228</v>
      </c>
      <c r="AI2540" s="154" t="s">
        <v>187</v>
      </c>
      <c r="AJ2540" s="144"/>
      <c r="AK2540" s="130" t="s">
        <v>228</v>
      </c>
      <c r="AL2540" s="154" t="s">
        <v>187</v>
      </c>
      <c r="AM2540" s="144"/>
      <c r="AN2540" s="130" t="s">
        <v>228</v>
      </c>
      <c r="AO2540" s="154" t="s">
        <v>187</v>
      </c>
      <c r="AP2540" s="144"/>
      <c r="AQ2540" s="130" t="s">
        <v>228</v>
      </c>
      <c r="AR2540" s="154" t="s">
        <v>187</v>
      </c>
      <c r="AS2540" s="144"/>
      <c r="AT2540" s="130" t="s">
        <v>228</v>
      </c>
      <c r="AU2540" s="154" t="s">
        <v>187</v>
      </c>
    </row>
    <row r="2541" spans="13:47" x14ac:dyDescent="0.25">
      <c r="M2541" s="20"/>
      <c r="N2541" s="20"/>
      <c r="O2541" s="7" t="s">
        <v>188</v>
      </c>
      <c r="P2541" s="7"/>
      <c r="Q2541" s="7"/>
      <c r="R2541" s="181">
        <f>P_1_minW-(R2539^2*R_up)+dpup_minQ</f>
        <v>100.46009850039042</v>
      </c>
      <c r="S2541" s="132"/>
      <c r="T2541" s="145"/>
      <c r="U2541" s="138">
        <f>P_1_minW-(U2539^2*R_up)+dpup_minQ</f>
        <v>97.490008785810417</v>
      </c>
      <c r="V2541" s="132"/>
      <c r="W2541" s="145"/>
      <c r="X2541" s="138">
        <f>P_1_minW-(X2539^2*R_up)+dpup_minQ</f>
        <v>81.973353593624736</v>
      </c>
      <c r="Y2541" s="132"/>
      <c r="Z2541" s="145"/>
      <c r="AA2541" s="138">
        <f>P_1_minW-(AA2539^2*R_up)+dpup_minQ</f>
        <v>30.151623608881195</v>
      </c>
      <c r="AB2541" s="132"/>
      <c r="AC2541" s="145"/>
      <c r="AD2541" s="138">
        <f>P_1_minW-(AD2539^2*R_up)+dpup_minQ</f>
        <v>-89.81810848394808</v>
      </c>
      <c r="AE2541" s="132"/>
      <c r="AF2541" s="145"/>
      <c r="AG2541" s="138">
        <f>P_1_minW-(AG2539^2*R_up)+dpup_minQ</f>
        <v>-273.92004831516465</v>
      </c>
      <c r="AH2541" s="132"/>
      <c r="AI2541" s="145"/>
      <c r="AJ2541" s="138">
        <f>P_1_minW-(AJ2539^2*R_up)+dpup_minQ</f>
        <v>-503.16371653528631</v>
      </c>
      <c r="AK2541" s="132"/>
      <c r="AL2541" s="145"/>
      <c r="AM2541" s="138">
        <f>P_1_minW-(AM2539^2*R_up)+dpup_minQ</f>
        <v>-729.51034369216086</v>
      </c>
      <c r="AN2541" s="132"/>
      <c r="AO2541" s="145"/>
      <c r="AP2541" s="138">
        <f>P_1_minW-(AP2539^2*R_up)+dpup_minQ</f>
        <v>-932.6326148268148</v>
      </c>
      <c r="AQ2541" s="132"/>
      <c r="AR2541" s="145"/>
      <c r="AS2541" s="138">
        <f>P_1_minW-(AS2539^2*R_up)+dpup_minQ</f>
        <v>-1185.4621271767453</v>
      </c>
      <c r="AT2541" s="132"/>
      <c r="AU2541" s="145"/>
    </row>
    <row r="2542" spans="13:47" x14ac:dyDescent="0.25">
      <c r="M2542" s="20"/>
      <c r="N2542" s="20"/>
      <c r="O2542" s="7" t="s">
        <v>189</v>
      </c>
      <c r="P2542" s="1"/>
      <c r="Q2542" s="7"/>
      <c r="R2542" s="181">
        <f>P_2_minW+(R2539^2*R_dn)-dpdn_minQ</f>
        <v>50</v>
      </c>
      <c r="S2542" s="132"/>
      <c r="T2542" s="146"/>
      <c r="U2542" s="138">
        <f>P_2_minW+(U2539^2*R_dn)-dpdn_minQ</f>
        <v>50</v>
      </c>
      <c r="V2542" s="132"/>
      <c r="W2542" s="146"/>
      <c r="X2542" s="138">
        <f>P_2_minW+(X2539^2*R_dn)-dpdn_minQ</f>
        <v>50</v>
      </c>
      <c r="Y2542" s="132"/>
      <c r="Z2542" s="146"/>
      <c r="AA2542" s="138">
        <f>P_2_minW+(AA2539^2*R_dn)-dpdn_minQ</f>
        <v>50</v>
      </c>
      <c r="AB2542" s="132"/>
      <c r="AC2542" s="146"/>
      <c r="AD2542" s="138">
        <f>P_2_minW+(AD2539^2*R_dn)-dpdn_minQ</f>
        <v>50</v>
      </c>
      <c r="AE2542" s="132"/>
      <c r="AF2542" s="146"/>
      <c r="AG2542" s="138">
        <f>P_2_minW+(AG2539^2*R_dn)-dpdn_minQ</f>
        <v>50</v>
      </c>
      <c r="AH2542" s="132"/>
      <c r="AI2542" s="146"/>
      <c r="AJ2542" s="138">
        <f>P_2_minW+(AJ2539^2*R_dn)-dpdn_minQ</f>
        <v>50</v>
      </c>
      <c r="AK2542" s="132"/>
      <c r="AL2542" s="146"/>
      <c r="AM2542" s="138">
        <f>P_2_minW+(AM2539^2*R_dn)-dpdn_minQ</f>
        <v>50</v>
      </c>
      <c r="AN2542" s="132"/>
      <c r="AO2542" s="146"/>
      <c r="AP2542" s="138">
        <f>P_2_minW+(AP2539^2*R_dn)-dpdn_minQ</f>
        <v>50</v>
      </c>
      <c r="AQ2542" s="132"/>
      <c r="AR2542" s="146"/>
      <c r="AS2542" s="138">
        <f>P_2_minW+(AS2539^2*R_dn)-dpdn_minQ</f>
        <v>50</v>
      </c>
      <c r="AT2542" s="132"/>
      <c r="AU2542" s="146"/>
    </row>
    <row r="2543" spans="13:47" x14ac:dyDescent="0.25">
      <c r="M2543" s="20"/>
      <c r="N2543" s="20"/>
      <c r="O2543" s="7" t="s">
        <v>234</v>
      </c>
      <c r="P2543" s="1"/>
      <c r="Q2543" s="7"/>
      <c r="R2543" s="179">
        <f>'Valve Sizing'!G$8*R2541/P_1_maxW</f>
        <v>0.48460162934775719</v>
      </c>
      <c r="S2543" s="132"/>
      <c r="T2543" s="146"/>
      <c r="U2543" s="143">
        <f>'Valve Sizing'!$G$8*U2541/P_1_maxW</f>
        <v>0.47027444535650431</v>
      </c>
      <c r="V2543" s="132"/>
      <c r="W2543" s="146"/>
      <c r="X2543" s="143">
        <f>'Valve Sizing'!$G$8*X2541/P_1_maxW</f>
        <v>0.39542486327958354</v>
      </c>
      <c r="Y2543" s="132"/>
      <c r="Z2543" s="146"/>
      <c r="AA2543" s="143">
        <f>'Valve Sizing'!$G$8*AA2541/P_1_maxW</f>
        <v>0.14544606412353206</v>
      </c>
      <c r="AB2543" s="132"/>
      <c r="AC2543" s="146"/>
      <c r="AD2543" s="143">
        <f>'Valve Sizing'!$G$8*AD2541/P_1_maxW</f>
        <v>-0.4332665641979806</v>
      </c>
      <c r="AE2543" s="132"/>
      <c r="AF2543" s="146"/>
      <c r="AG2543" s="143">
        <f>'Valve Sizing'!$G$8*AG2541/P_1_maxW</f>
        <v>-1.3213415446136487</v>
      </c>
      <c r="AH2543" s="132"/>
      <c r="AI2543" s="146"/>
      <c r="AJ2543" s="143">
        <f>'Valve Sizing'!$G$8*AJ2541/P_1_maxW</f>
        <v>-2.4271721857880242</v>
      </c>
      <c r="AK2543" s="132"/>
      <c r="AL2543" s="146"/>
      <c r="AM2543" s="143">
        <f>'Valve Sizing'!$G$8*AM2541/P_1_maxW</f>
        <v>-3.5190280166596652</v>
      </c>
      <c r="AN2543" s="132"/>
      <c r="AO2543" s="146"/>
      <c r="AP2543" s="143">
        <f>'Valve Sizing'!$G$8*AP2541/P_1_maxW</f>
        <v>-4.4988536889218489</v>
      </c>
      <c r="AQ2543" s="132"/>
      <c r="AR2543" s="146"/>
      <c r="AS2543" s="143">
        <f>'Valve Sizing'!$G$8*AS2541/P_1_maxW</f>
        <v>-5.7184582429776967</v>
      </c>
      <c r="AT2543" s="132"/>
      <c r="AU2543" s="146"/>
    </row>
    <row r="2544" spans="13:47" x14ac:dyDescent="0.25">
      <c r="M2544" s="20"/>
      <c r="N2544" s="20"/>
      <c r="O2544" s="7" t="s">
        <v>190</v>
      </c>
      <c r="P2544" s="1"/>
      <c r="Q2544" s="7"/>
      <c r="R2544" s="181">
        <f>R2541-R2542</f>
        <v>50.460098500390416</v>
      </c>
      <c r="S2544" s="132"/>
      <c r="T2544" s="146"/>
      <c r="U2544" s="138">
        <f>U2541-U2542</f>
        <v>47.490008785810417</v>
      </c>
      <c r="V2544" s="132"/>
      <c r="W2544" s="146"/>
      <c r="X2544" s="138">
        <f>X2541-X2542</f>
        <v>31.973353593624736</v>
      </c>
      <c r="Y2544" s="132"/>
      <c r="Z2544" s="146"/>
      <c r="AA2544" s="138">
        <f>AA2541-AA2542</f>
        <v>-19.848376391118805</v>
      </c>
      <c r="AB2544" s="132"/>
      <c r="AC2544" s="146"/>
      <c r="AD2544" s="138">
        <f>AD2541-AD2542</f>
        <v>-139.81810848394809</v>
      </c>
      <c r="AE2544" s="132"/>
      <c r="AF2544" s="146"/>
      <c r="AG2544" s="138">
        <f>AG2541-AG2542</f>
        <v>-323.92004831516465</v>
      </c>
      <c r="AH2544" s="132"/>
      <c r="AI2544" s="146"/>
      <c r="AJ2544" s="138">
        <f>AJ2541-AJ2542</f>
        <v>-553.16371653528631</v>
      </c>
      <c r="AK2544" s="132"/>
      <c r="AL2544" s="146"/>
      <c r="AM2544" s="138">
        <f>AM2541-AM2542</f>
        <v>-779.51034369216086</v>
      </c>
      <c r="AN2544" s="132"/>
      <c r="AO2544" s="146"/>
      <c r="AP2544" s="138">
        <f>AP2541-AP2542</f>
        <v>-982.6326148268148</v>
      </c>
      <c r="AQ2544" s="132"/>
      <c r="AR2544" s="146"/>
      <c r="AS2544" s="138">
        <f>AS2541-AS2542</f>
        <v>-1235.4621271767453</v>
      </c>
      <c r="AT2544" s="132"/>
      <c r="AU2544" s="146"/>
    </row>
    <row r="2545" spans="13:47" ht="14.5" x14ac:dyDescent="0.35">
      <c r="M2545" s="27"/>
      <c r="N2545" s="27"/>
      <c r="O2545" s="2" t="s">
        <v>191</v>
      </c>
      <c r="P2545" s="10"/>
      <c r="Q2545" s="2"/>
      <c r="R2545" s="181">
        <f>R2544/R2541</f>
        <v>0.50228995644668128</v>
      </c>
      <c r="S2545" s="132"/>
      <c r="T2545" s="146"/>
      <c r="U2545" s="138">
        <f>U2544/U2541</f>
        <v>0.48712693102888044</v>
      </c>
      <c r="V2545" s="132"/>
      <c r="W2545" s="146"/>
      <c r="X2545" s="138">
        <f>X2544/X2541</f>
        <v>0.39004569402064065</v>
      </c>
      <c r="Y2545" s="132"/>
      <c r="Z2545" s="146"/>
      <c r="AA2545" s="138">
        <f>AA2544/AA2541</f>
        <v>-0.65828549230338773</v>
      </c>
      <c r="AB2545" s="132"/>
      <c r="AC2545" s="146"/>
      <c r="AD2545" s="138">
        <f>AD2544/AD2541</f>
        <v>1.5566806164587157</v>
      </c>
      <c r="AE2545" s="132"/>
      <c r="AF2545" s="146"/>
      <c r="AG2545" s="138">
        <f>AG2544/AG2541</f>
        <v>1.1825350145326763</v>
      </c>
      <c r="AH2545" s="132"/>
      <c r="AI2545" s="146"/>
      <c r="AJ2545" s="138">
        <f>AJ2544/AJ2541</f>
        <v>1.0993712351603826</v>
      </c>
      <c r="AK2545" s="132"/>
      <c r="AL2545" s="146"/>
      <c r="AM2545" s="138">
        <f>AM2544/AM2541</f>
        <v>1.0685391241294024</v>
      </c>
      <c r="AN2545" s="132"/>
      <c r="AO2545" s="146"/>
      <c r="AP2545" s="138">
        <f>AP2544/AP2541</f>
        <v>1.0536116786021736</v>
      </c>
      <c r="AQ2545" s="132"/>
      <c r="AR2545" s="146"/>
      <c r="AS2545" s="138">
        <f>AS2544/AS2541</f>
        <v>1.0421776443580515</v>
      </c>
      <c r="AT2545" s="132"/>
      <c r="AU2545" s="146"/>
    </row>
    <row r="2546" spans="13:47" x14ac:dyDescent="0.25">
      <c r="M2546" s="27"/>
      <c r="N2546" s="27"/>
      <c r="O2546" s="2" t="s">
        <v>26</v>
      </c>
      <c r="P2546" s="7">
        <v>12</v>
      </c>
      <c r="Q2546" s="2"/>
      <c r="R2546" s="181">
        <f>1-R2545/(3*F_GAMMA*R$29)</f>
        <v>0.73840163487733323</v>
      </c>
      <c r="S2546" s="133"/>
      <c r="T2546" s="146"/>
      <c r="U2546" s="138">
        <f>1-U2545/(3*F_GAMMA*U$29)</f>
        <v>0.7463545709758389</v>
      </c>
      <c r="V2546" s="133"/>
      <c r="W2546" s="146"/>
      <c r="X2546" s="138">
        <f>1-X2545/(3*F_GAMMA*X$29)</f>
        <v>0.79385770306352499</v>
      </c>
      <c r="Y2546" s="133"/>
      <c r="Z2546" s="146"/>
      <c r="AA2546" s="138">
        <f>1-AA2545/(3*F_GAMMA*AA$29)</f>
        <v>1.3526795142348524</v>
      </c>
      <c r="AB2546" s="133"/>
      <c r="AC2546" s="146"/>
      <c r="AD2546" s="138">
        <f>1-AD2545/(3*F_GAMMA*AD$29)</f>
        <v>0.14313464358696915</v>
      </c>
      <c r="AE2546" s="133"/>
      <c r="AF2546" s="146"/>
      <c r="AG2546" s="138">
        <f>1-AG2545/(3*F_GAMMA*AG$29)</f>
        <v>0.31195135107182637</v>
      </c>
      <c r="AH2546" s="133"/>
      <c r="AI2546" s="146"/>
      <c r="AJ2546" s="138">
        <f>1-AJ2545/(3*F_GAMMA*AJ$29)</f>
        <v>0.31619429515858333</v>
      </c>
      <c r="AK2546" s="133"/>
      <c r="AL2546" s="146"/>
      <c r="AM2546" s="138">
        <f>1-AM2545/(3*F_GAMMA*AM$29)</f>
        <v>0.27382608262281427</v>
      </c>
      <c r="AN2546" s="133"/>
      <c r="AO2546" s="146"/>
      <c r="AP2546" s="138">
        <f>1-AP2545/(3*F_GAMMA*AP$29)</f>
        <v>0.40827924951996353</v>
      </c>
      <c r="AQ2546" s="133"/>
      <c r="AR2546" s="146"/>
      <c r="AS2546" s="138">
        <f>1-AS2545/(3*F_GAMMA*AS$29)</f>
        <v>0.11146486168875758</v>
      </c>
      <c r="AT2546" s="133"/>
      <c r="AU2546" s="146"/>
    </row>
    <row r="2547" spans="13:47" x14ac:dyDescent="0.25">
      <c r="M2547" s="27"/>
      <c r="N2547" s="27"/>
      <c r="O2547" s="2" t="s">
        <v>71</v>
      </c>
      <c r="P2547" s="85">
        <v>5</v>
      </c>
      <c r="Q2547" s="2"/>
      <c r="R2547" s="179">
        <f>R2539/((N_6*R$27*R2546)*SQRT(R2545*R2541*R2543))</f>
        <v>1.7156348126898486</v>
      </c>
      <c r="S2547" s="133"/>
      <c r="T2547" s="146"/>
      <c r="U2547" s="143">
        <f>U2539/((N_6*U$27*U2546)*SQRT(U2545*U2541*U2543))</f>
        <v>12.361159609484011</v>
      </c>
      <c r="V2547" s="133"/>
      <c r="W2547" s="146"/>
      <c r="X2547" s="143">
        <f>X2539/((N_6*X$27*X2546)*SQRT(X2545*X2541*X2543))</f>
        <v>38.284142024336198</v>
      </c>
      <c r="Y2547" s="133"/>
      <c r="Z2547" s="146"/>
      <c r="AA2547" s="143" t="e">
        <f>AA2539/((N_6*AA$27*AA2546)*SQRT(AA2545*AA2541*AA2543))</f>
        <v>#NUM!</v>
      </c>
      <c r="AB2547" s="133"/>
      <c r="AC2547" s="146"/>
      <c r="AD2547" s="143">
        <f>AD2539/((N_6*AD$27*AD2546)*SQRT(AD2545*AD2541*AD2543))</f>
        <v>316.24203704129263</v>
      </c>
      <c r="AE2547" s="133"/>
      <c r="AF2547" s="146"/>
      <c r="AG2547" s="143">
        <f>AG2539/((N_6*AG$27*AG2546)*SQRT(AG2545*AG2541*AG2543))</f>
        <v>78.218189455670142</v>
      </c>
      <c r="AH2547" s="133"/>
      <c r="AI2547" s="146"/>
      <c r="AJ2547" s="143">
        <f>AJ2539/((N_6*AJ$27*AJ2546)*SQRT(AJ2545*AJ2541*AJ2543))</f>
        <v>57.221925735121417</v>
      </c>
      <c r="AK2547" s="133"/>
      <c r="AL2547" s="146"/>
      <c r="AM2547" s="143">
        <f>AM2539/((N_6*AM$27*AM2546)*SQRT(AM2545*AM2541*AM2543))</f>
        <v>57.533758111401767</v>
      </c>
      <c r="AN2547" s="133"/>
      <c r="AO2547" s="146"/>
      <c r="AP2547" s="143">
        <f>AP2539/((N_6*AP$27*AP2546)*SQRT(AP2545*AP2541*AP2543))</f>
        <v>38.521684015405825</v>
      </c>
      <c r="AQ2547" s="133"/>
      <c r="AR2547" s="146"/>
      <c r="AS2547" s="143">
        <f>AS2539/((N_6*AS$27*AS2546)*SQRT(AS2545*AS2541*AS2543))</f>
        <v>163.62115261806798</v>
      </c>
      <c r="AT2547" s="133"/>
      <c r="AU2547" s="146"/>
    </row>
    <row r="2548" spans="13:47" x14ac:dyDescent="0.25">
      <c r="M2548" s="27"/>
      <c r="N2548" s="27"/>
      <c r="O2548" s="2" t="s">
        <v>73</v>
      </c>
      <c r="P2548" s="85">
        <v>5</v>
      </c>
      <c r="Q2548" s="2"/>
      <c r="R2548" s="179">
        <f>R2539/((N_6*R$27*0.667)*SQRT(R2549*R2541*R2543))</f>
        <v>1.6825570780543357</v>
      </c>
      <c r="S2548" s="133"/>
      <c r="T2548" s="155"/>
      <c r="U2548" s="143">
        <f>U2539/((N_6*U$27*0.667)*SQRT(U2549*U2541*U2543))</f>
        <v>12.06570560647584</v>
      </c>
      <c r="V2548" s="133"/>
      <c r="W2548" s="155"/>
      <c r="X2548" s="143">
        <f>X2539/((N_6*X$27*0.667)*SQRT(X2549*X2541*X2543))</f>
        <v>35.832732774850214</v>
      </c>
      <c r="Y2548" s="133"/>
      <c r="Z2548" s="155"/>
      <c r="AA2548" s="143">
        <f>AA2539/((N_6*AA$27*0.667)*SQRT(AA2549*AA2541*AA2543))</f>
        <v>192.14174009380375</v>
      </c>
      <c r="AB2548" s="133"/>
      <c r="AC2548" s="155"/>
      <c r="AD2548" s="143">
        <f>AD2539/((N_6*AD$27*0.667)*SQRT(AD2549*AD2541*AD2543))</f>
        <v>108.80665154648143</v>
      </c>
      <c r="AE2548" s="133"/>
      <c r="AF2548" s="155"/>
      <c r="AG2548" s="143">
        <f>AG2539/((N_6*AG$27*0.667)*SQRT(AG2549*AG2541*AG2543))</f>
        <v>52.558020082747532</v>
      </c>
      <c r="AH2548" s="133"/>
      <c r="AI2548" s="155"/>
      <c r="AJ2548" s="143">
        <f>AJ2539/((N_6*AJ$27*0.667)*SQRT(AJ2549*AJ2541*AJ2543))</f>
        <v>38.852382232515644</v>
      </c>
      <c r="AK2548" s="133"/>
      <c r="AL2548" s="155"/>
      <c r="AM2548" s="143">
        <f>AM2539/((N_6*AM$27*0.667)*SQRT(AM2549*AM2541*AM2543))</f>
        <v>34.862030052259456</v>
      </c>
      <c r="AN2548" s="133"/>
      <c r="AO2548" s="155"/>
      <c r="AP2548" s="143">
        <f>AP2539/((N_6*AP$27*0.667)*SQRT(AP2549*AP2541*AP2543))</f>
        <v>31.416352807475239</v>
      </c>
      <c r="AQ2548" s="133"/>
      <c r="AR2548" s="155"/>
      <c r="AS2548" s="143">
        <f>AS2539/((N_6*AS$27*0.667)*SQRT(AS2549*AS2541*AS2543))</f>
        <v>44.642604738825881</v>
      </c>
      <c r="AT2548" s="133"/>
      <c r="AU2548" s="155"/>
    </row>
    <row r="2549" spans="13:47" ht="15.5" x14ac:dyDescent="0.4">
      <c r="M2549" s="27"/>
      <c r="N2549" s="27"/>
      <c r="O2549" s="2" t="s">
        <v>192</v>
      </c>
      <c r="P2549" s="85">
        <v>10</v>
      </c>
      <c r="Q2549" s="2"/>
      <c r="R2549" s="181">
        <f>F_GAMMA*R$29</f>
        <v>0.64002688015162901</v>
      </c>
      <c r="S2549" s="133"/>
      <c r="T2549" s="155"/>
      <c r="U2549" s="138">
        <f>F_GAMMA*U$29</f>
        <v>0.64016782916606918</v>
      </c>
      <c r="V2549" s="133"/>
      <c r="W2549" s="155"/>
      <c r="X2549" s="138">
        <f>F_GAMMA*X$29</f>
        <v>0.6307062319203669</v>
      </c>
      <c r="Y2549" s="133"/>
      <c r="Z2549" s="155"/>
      <c r="AA2549" s="138">
        <f>F_GAMMA*AA$29</f>
        <v>0.62217534213893466</v>
      </c>
      <c r="AB2549" s="133"/>
      <c r="AC2549" s="155"/>
      <c r="AD2549" s="138">
        <f>F_GAMMA*AD$29</f>
        <v>0.60557184969146072</v>
      </c>
      <c r="AE2549" s="133"/>
      <c r="AF2549" s="155"/>
      <c r="AG2549" s="138">
        <f>F_GAMMA*AG$29</f>
        <v>0.57289312142622573</v>
      </c>
      <c r="AH2549" s="133"/>
      <c r="AI2549" s="155"/>
      <c r="AJ2549" s="138">
        <f>F_GAMMA*AJ$29</f>
        <v>0.53590819116049981</v>
      </c>
      <c r="AK2549" s="133"/>
      <c r="AL2549" s="155"/>
      <c r="AM2549" s="138">
        <f>F_GAMMA*AM$29</f>
        <v>0.49048815926850342</v>
      </c>
      <c r="AN2549" s="133"/>
      <c r="AO2549" s="155"/>
      <c r="AP2549" s="138">
        <f>F_GAMMA*AP$29</f>
        <v>0.59352979016280105</v>
      </c>
      <c r="AQ2549" s="133"/>
      <c r="AR2549" s="155"/>
      <c r="AS2549" s="138">
        <f>F_GAMMA*AS$29</f>
        <v>0.39097221161068291</v>
      </c>
      <c r="AT2549" s="133"/>
      <c r="AU2549" s="155"/>
    </row>
    <row r="2550" spans="13:47" x14ac:dyDescent="0.25">
      <c r="M2550" s="27"/>
      <c r="N2550" s="27"/>
      <c r="O2550" s="2" t="s">
        <v>193</v>
      </c>
      <c r="P2550" s="134"/>
      <c r="Q2550" s="2"/>
      <c r="R2550" s="181">
        <f>IF(R2545&lt;R2549,R2547,R2548)</f>
        <v>1.7156348126898486</v>
      </c>
      <c r="S2550" s="133"/>
      <c r="T2550" s="155"/>
      <c r="U2550" s="138">
        <f>IF(U2545&lt;U2549,U2547,U2548)</f>
        <v>12.361159609484011</v>
      </c>
      <c r="V2550" s="133"/>
      <c r="W2550" s="155"/>
      <c r="X2550" s="138">
        <f>IF(X2545&lt;X2549,X2547,X2548)</f>
        <v>38.284142024336198</v>
      </c>
      <c r="Y2550" s="133"/>
      <c r="Z2550" s="155"/>
      <c r="AA2550" s="138" t="e">
        <f>IF(AA2545&lt;AA2549,AA2547,AA2548)</f>
        <v>#NUM!</v>
      </c>
      <c r="AB2550" s="133"/>
      <c r="AC2550" s="155"/>
      <c r="AD2550" s="138">
        <f>IF(AD2545&lt;AD2549,AD2547,AD2548)</f>
        <v>108.80665154648143</v>
      </c>
      <c r="AE2550" s="133"/>
      <c r="AF2550" s="155"/>
      <c r="AG2550" s="138">
        <f>IF(AG2545&lt;AG2549,AG2547,AG2548)</f>
        <v>52.558020082747532</v>
      </c>
      <c r="AH2550" s="133"/>
      <c r="AI2550" s="155"/>
      <c r="AJ2550" s="138">
        <f>IF(AJ2545&lt;AJ2549,AJ2547,AJ2548)</f>
        <v>38.852382232515644</v>
      </c>
      <c r="AK2550" s="133"/>
      <c r="AL2550" s="155"/>
      <c r="AM2550" s="138">
        <f>IF(AM2545&lt;AM2549,AM2547,AM2548)</f>
        <v>34.862030052259456</v>
      </c>
      <c r="AN2550" s="133"/>
      <c r="AO2550" s="155"/>
      <c r="AP2550" s="138">
        <f>IF(AP2545&lt;AP2549,AP2547,AP2548)</f>
        <v>31.416352807475239</v>
      </c>
      <c r="AQ2550" s="133"/>
      <c r="AR2550" s="155"/>
      <c r="AS2550" s="138">
        <f>IF(AS2545&lt;AS2549,AS2547,AS2548)</f>
        <v>44.642604738825881</v>
      </c>
      <c r="AT2550" s="133"/>
      <c r="AU2550" s="155"/>
    </row>
    <row r="2551" spans="13:47" ht="13" x14ac:dyDescent="0.3">
      <c r="M2551" s="28"/>
      <c r="N2551" s="28"/>
      <c r="O2551" s="9" t="s">
        <v>194</v>
      </c>
      <c r="P2551" s="1"/>
      <c r="Q2551" s="1"/>
      <c r="R2551" s="135"/>
      <c r="S2551" s="132">
        <f>IF(R2544&lt;=0,W_max,ABS(R$23-R2550))</f>
        <v>0.28436518731015137</v>
      </c>
      <c r="T2551" s="151">
        <f>R2539</f>
        <v>396.49364611522287</v>
      </c>
      <c r="U2551" s="135"/>
      <c r="V2551" s="132">
        <f>IF(U2544&lt;=0,W_max,ABS(U$23-U2550))</f>
        <v>7.3611596094840106</v>
      </c>
      <c r="W2551" s="151">
        <f>U2539</f>
        <v>2757.8047370641857</v>
      </c>
      <c r="X2551" s="135"/>
      <c r="Y2551" s="132">
        <f>IF(X2544&lt;=0,W_max,ABS(X$23-X2550))</f>
        <v>28.284142024336198</v>
      </c>
      <c r="Z2551" s="151">
        <f>X2539</f>
        <v>6820.3792973704894</v>
      </c>
      <c r="AA2551" s="135"/>
      <c r="AB2551" s="132">
        <f>IF(AA2544&lt;=0,W_max,ABS(AA$23-AA2550))</f>
        <v>7174</v>
      </c>
      <c r="AC2551" s="151">
        <f>AA2539</f>
        <v>13284.358000744782</v>
      </c>
      <c r="AD2551" s="135"/>
      <c r="AE2551" s="132">
        <f>IF(AD2544&lt;=0,W_max,ABS(AD$23-AD2550))</f>
        <v>7174</v>
      </c>
      <c r="AF2551" s="151">
        <f>AD2539</f>
        <v>21847.877900791242</v>
      </c>
      <c r="AG2551" s="135"/>
      <c r="AH2551" s="132">
        <f>IF(AG2544&lt;=0,W_max,ABS(AG$23-AG2550))</f>
        <v>7174</v>
      </c>
      <c r="AI2551" s="151">
        <f>AG2539</f>
        <v>30643.330740292586</v>
      </c>
      <c r="AJ2551" s="135"/>
      <c r="AK2551" s="132">
        <f>IF(AJ2544&lt;=0,W_max,ABS(AJ$23-AJ2550))</f>
        <v>7174</v>
      </c>
      <c r="AL2551" s="151">
        <f>AJ2539</f>
        <v>38908.898787372622</v>
      </c>
      <c r="AM2551" s="135"/>
      <c r="AN2551" s="132">
        <f>IF(AM2544&lt;=0,W_max,ABS(AM$23-AM2550))</f>
        <v>7174</v>
      </c>
      <c r="AO2551" s="151">
        <f>AM2539</f>
        <v>45623.743815570742</v>
      </c>
      <c r="AP2551" s="135"/>
      <c r="AQ2551" s="132">
        <f>IF(AP2544&lt;=0,W_max,ABS(AP$23-AP2550))</f>
        <v>7174</v>
      </c>
      <c r="AR2551" s="151">
        <f>AP2539</f>
        <v>50900.966831399783</v>
      </c>
      <c r="AS2551" s="135"/>
      <c r="AT2551" s="132">
        <f>IF(AS2544&lt;=0,W_max,ABS(AS$23-AS2550))</f>
        <v>7174</v>
      </c>
      <c r="AU2551" s="151">
        <f>AS2539</f>
        <v>56788.597508453917</v>
      </c>
    </row>
    <row r="2552" spans="13:47" ht="13" x14ac:dyDescent="0.25">
      <c r="M2552" s="12"/>
      <c r="N2552" s="12"/>
      <c r="O2552" s="2"/>
      <c r="P2552" s="85"/>
      <c r="Q2552" s="2"/>
      <c r="R2552" s="18"/>
      <c r="S2552" s="150"/>
      <c r="T2552" s="148"/>
      <c r="U2552" s="157"/>
      <c r="V2552" s="1"/>
      <c r="W2552" s="147"/>
      <c r="X2552" s="157"/>
      <c r="Y2552" s="1"/>
      <c r="Z2552" s="147"/>
      <c r="AA2552" s="157"/>
      <c r="AB2552" s="1"/>
      <c r="AC2552" s="147"/>
      <c r="AD2552" s="157"/>
      <c r="AE2552" s="1"/>
      <c r="AF2552" s="147"/>
      <c r="AG2552" s="157"/>
      <c r="AH2552" s="1"/>
      <c r="AI2552" s="147"/>
      <c r="AJ2552" s="157"/>
      <c r="AK2552" s="1"/>
      <c r="AL2552" s="147"/>
      <c r="AM2552" s="157"/>
      <c r="AN2552" s="1"/>
      <c r="AO2552" s="147"/>
      <c r="AP2552" s="157"/>
      <c r="AQ2552" s="1"/>
      <c r="AR2552" s="147"/>
      <c r="AS2552" s="157"/>
      <c r="AT2552" s="1"/>
      <c r="AU2552" s="147"/>
    </row>
    <row r="2553" spans="13:47" ht="14" x14ac:dyDescent="0.3">
      <c r="M2553" s="23"/>
      <c r="N2553" s="23"/>
      <c r="O2553" s="23" t="s">
        <v>238</v>
      </c>
      <c r="P2553" s="20"/>
      <c r="Q2553" s="20"/>
      <c r="R2553" s="181">
        <f>R2539*1.02</f>
        <v>404.42351903752734</v>
      </c>
      <c r="S2553" s="128" t="s">
        <v>185</v>
      </c>
      <c r="T2553" s="149" t="s">
        <v>186</v>
      </c>
      <c r="U2553" s="143">
        <f>U2539*1.01</f>
        <v>2785.3827844348275</v>
      </c>
      <c r="V2553" s="128" t="s">
        <v>185</v>
      </c>
      <c r="W2553" s="153" t="s">
        <v>186</v>
      </c>
      <c r="X2553" s="143">
        <f>X2539*1.01</f>
        <v>6888.5830903441947</v>
      </c>
      <c r="Y2553" s="128" t="s">
        <v>185</v>
      </c>
      <c r="Z2553" s="153" t="s">
        <v>186</v>
      </c>
      <c r="AA2553" s="143">
        <f>AA2539*1.01</f>
        <v>13417.201580752229</v>
      </c>
      <c r="AB2553" s="128" t="s">
        <v>185</v>
      </c>
      <c r="AC2553" s="153" t="s">
        <v>186</v>
      </c>
      <c r="AD2553" s="143">
        <f>AD2539*1.01</f>
        <v>22066.356679799155</v>
      </c>
      <c r="AE2553" s="128" t="s">
        <v>185</v>
      </c>
      <c r="AF2553" s="153" t="s">
        <v>186</v>
      </c>
      <c r="AG2553" s="143">
        <f>AG2539*1.01</f>
        <v>30949.764047695513</v>
      </c>
      <c r="AH2553" s="128" t="s">
        <v>185</v>
      </c>
      <c r="AI2553" s="153" t="s">
        <v>186</v>
      </c>
      <c r="AJ2553" s="143">
        <f>AJ2539*1.01</f>
        <v>39297.987775246351</v>
      </c>
      <c r="AK2553" s="128" t="s">
        <v>185</v>
      </c>
      <c r="AL2553" s="153" t="s">
        <v>186</v>
      </c>
      <c r="AM2553" s="143">
        <f>AM2539*1.01</f>
        <v>46079.981253726452</v>
      </c>
      <c r="AN2553" s="128" t="s">
        <v>185</v>
      </c>
      <c r="AO2553" s="153" t="s">
        <v>186</v>
      </c>
      <c r="AP2553" s="143">
        <f>AP2539*1.01</f>
        <v>51409.976499713783</v>
      </c>
      <c r="AQ2553" s="128" t="s">
        <v>185</v>
      </c>
      <c r="AR2553" s="153" t="s">
        <v>186</v>
      </c>
      <c r="AS2553" s="143">
        <f>AS2539*1.01</f>
        <v>57356.483483538454</v>
      </c>
      <c r="AT2553" s="128" t="s">
        <v>185</v>
      </c>
      <c r="AU2553" s="153" t="s">
        <v>186</v>
      </c>
    </row>
    <row r="2554" spans="13:47" ht="14" x14ac:dyDescent="0.3">
      <c r="M2554" s="12"/>
      <c r="N2554" s="12"/>
      <c r="O2554" s="20"/>
      <c r="P2554" s="20"/>
      <c r="Q2554" s="23"/>
      <c r="R2554" s="139"/>
      <c r="S2554" s="130" t="s">
        <v>228</v>
      </c>
      <c r="T2554" s="131" t="s">
        <v>187</v>
      </c>
      <c r="U2554" s="144"/>
      <c r="V2554" s="130" t="s">
        <v>228</v>
      </c>
      <c r="W2554" s="154" t="s">
        <v>187</v>
      </c>
      <c r="X2554" s="144"/>
      <c r="Y2554" s="130" t="s">
        <v>228</v>
      </c>
      <c r="Z2554" s="154" t="s">
        <v>187</v>
      </c>
      <c r="AA2554" s="144"/>
      <c r="AB2554" s="130" t="s">
        <v>228</v>
      </c>
      <c r="AC2554" s="154" t="s">
        <v>187</v>
      </c>
      <c r="AD2554" s="144"/>
      <c r="AE2554" s="130" t="s">
        <v>228</v>
      </c>
      <c r="AF2554" s="154" t="s">
        <v>187</v>
      </c>
      <c r="AG2554" s="144"/>
      <c r="AH2554" s="130" t="s">
        <v>228</v>
      </c>
      <c r="AI2554" s="154" t="s">
        <v>187</v>
      </c>
      <c r="AJ2554" s="144"/>
      <c r="AK2554" s="130" t="s">
        <v>228</v>
      </c>
      <c r="AL2554" s="154" t="s">
        <v>187</v>
      </c>
      <c r="AM2554" s="144"/>
      <c r="AN2554" s="130" t="s">
        <v>228</v>
      </c>
      <c r="AO2554" s="154" t="s">
        <v>187</v>
      </c>
      <c r="AP2554" s="144"/>
      <c r="AQ2554" s="130" t="s">
        <v>228</v>
      </c>
      <c r="AR2554" s="154" t="s">
        <v>187</v>
      </c>
      <c r="AS2554" s="144"/>
      <c r="AT2554" s="130" t="s">
        <v>228</v>
      </c>
      <c r="AU2554" s="154" t="s">
        <v>187</v>
      </c>
    </row>
    <row r="2555" spans="13:47" x14ac:dyDescent="0.25">
      <c r="M2555" s="20"/>
      <c r="N2555" s="20"/>
      <c r="O2555" s="7" t="s">
        <v>188</v>
      </c>
      <c r="P2555" s="7"/>
      <c r="Q2555" s="7"/>
      <c r="R2555" s="181">
        <f>P_1_minW-(R2553^2*R_up)+dpup_minQ</f>
        <v>100.45756589564243</v>
      </c>
      <c r="S2555" s="132"/>
      <c r="T2555" s="145"/>
      <c r="U2555" s="138">
        <f>P_1_minW-(U2553^2*R_up)+dpup_minQ</f>
        <v>97.429049948997005</v>
      </c>
      <c r="V2555" s="132"/>
      <c r="W2555" s="145"/>
      <c r="X2555" s="138">
        <f>P_1_minW-(X2553^2*R_up)+dpup_minQ</f>
        <v>81.600509987448376</v>
      </c>
      <c r="Y2555" s="132"/>
      <c r="Z2555" s="145"/>
      <c r="AA2555" s="138">
        <f>P_1_minW-(AA2553^2*R_up)+dpup_minQ</f>
        <v>28.737163230011504</v>
      </c>
      <c r="AB2555" s="132"/>
      <c r="AC2555" s="145"/>
      <c r="AD2555" s="138">
        <f>P_1_minW-(AD2553^2*R_up)+dpup_minQ</f>
        <v>-93.643960477883681</v>
      </c>
      <c r="AE2555" s="132"/>
      <c r="AF2555" s="145"/>
      <c r="AG2555" s="138">
        <f>P_1_minW-(AG2553^2*R_up)+dpup_minQ</f>
        <v>-281.44634929970772</v>
      </c>
      <c r="AH2555" s="132"/>
      <c r="AI2555" s="145"/>
      <c r="AJ2555" s="138">
        <f>P_1_minW-(AJ2553^2*R_up)+dpup_minQ</f>
        <v>-515.29781525105386</v>
      </c>
      <c r="AK2555" s="132"/>
      <c r="AL2555" s="145"/>
      <c r="AM2555" s="138">
        <f>P_1_minW-(AM2553^2*R_up)+dpup_minQ</f>
        <v>-746.19400961378153</v>
      </c>
      <c r="AN2555" s="132"/>
      <c r="AO2555" s="145"/>
      <c r="AP2555" s="138">
        <f>P_1_minW-(AP2553^2*R_up)+dpup_minQ</f>
        <v>-953.39903839824194</v>
      </c>
      <c r="AQ2555" s="132"/>
      <c r="AR2555" s="145"/>
      <c r="AS2555" s="138">
        <f>P_1_minW-(AS2553^2*R_up)+dpup_minQ</f>
        <v>-1211.3104239464058</v>
      </c>
      <c r="AT2555" s="132"/>
      <c r="AU2555" s="145"/>
    </row>
    <row r="2556" spans="13:47" x14ac:dyDescent="0.25">
      <c r="M2556" s="20"/>
      <c r="N2556" s="20"/>
      <c r="O2556" s="7" t="s">
        <v>189</v>
      </c>
      <c r="P2556" s="1"/>
      <c r="Q2556" s="7"/>
      <c r="R2556" s="181">
        <f>P_2_minW+(R2553^2*R_dn)-dpdn_minQ</f>
        <v>50</v>
      </c>
      <c r="S2556" s="132"/>
      <c r="T2556" s="146"/>
      <c r="U2556" s="138">
        <f>P_2_minW+(U2553^2*R_dn)-dpdn_minQ</f>
        <v>50</v>
      </c>
      <c r="V2556" s="132"/>
      <c r="W2556" s="146"/>
      <c r="X2556" s="138">
        <f>P_2_minW+(X2553^2*R_dn)-dpdn_minQ</f>
        <v>50</v>
      </c>
      <c r="Y2556" s="132"/>
      <c r="Z2556" s="146"/>
      <c r="AA2556" s="138">
        <f>P_2_minW+(AA2553^2*R_dn)-dpdn_minQ</f>
        <v>50</v>
      </c>
      <c r="AB2556" s="132"/>
      <c r="AC2556" s="146"/>
      <c r="AD2556" s="138">
        <f>P_2_minW+(AD2553^2*R_dn)-dpdn_minQ</f>
        <v>50</v>
      </c>
      <c r="AE2556" s="132"/>
      <c r="AF2556" s="146"/>
      <c r="AG2556" s="138">
        <f>P_2_minW+(AG2553^2*R_dn)-dpdn_minQ</f>
        <v>50</v>
      </c>
      <c r="AH2556" s="132"/>
      <c r="AI2556" s="146"/>
      <c r="AJ2556" s="138">
        <f>P_2_minW+(AJ2553^2*R_dn)-dpdn_minQ</f>
        <v>50</v>
      </c>
      <c r="AK2556" s="132"/>
      <c r="AL2556" s="146"/>
      <c r="AM2556" s="138">
        <f>P_2_minW+(AM2553^2*R_dn)-dpdn_minQ</f>
        <v>50</v>
      </c>
      <c r="AN2556" s="132"/>
      <c r="AO2556" s="146"/>
      <c r="AP2556" s="138">
        <f>P_2_minW+(AP2553^2*R_dn)-dpdn_minQ</f>
        <v>50</v>
      </c>
      <c r="AQ2556" s="132"/>
      <c r="AR2556" s="146"/>
      <c r="AS2556" s="138">
        <f>P_2_minW+(AS2553^2*R_dn)-dpdn_minQ</f>
        <v>50</v>
      </c>
      <c r="AT2556" s="132"/>
      <c r="AU2556" s="146"/>
    </row>
    <row r="2557" spans="13:47" x14ac:dyDescent="0.25">
      <c r="M2557" s="20"/>
      <c r="N2557" s="20"/>
      <c r="O2557" s="7" t="s">
        <v>234</v>
      </c>
      <c r="P2557" s="1"/>
      <c r="Q2557" s="7"/>
      <c r="R2557" s="179">
        <f>'Valve Sizing'!G$8*R2555/P_1_maxW</f>
        <v>0.48458941251335547</v>
      </c>
      <c r="S2557" s="132"/>
      <c r="T2557" s="146"/>
      <c r="U2557" s="143">
        <f>'Valve Sizing'!$G$8*U2555/P_1_maxW</f>
        <v>0.46998039078076836</v>
      </c>
      <c r="V2557" s="132"/>
      <c r="W2557" s="146"/>
      <c r="X2557" s="143">
        <f>'Valve Sizing'!$G$8*X2555/P_1_maxW</f>
        <v>0.39362633210410142</v>
      </c>
      <c r="Y2557" s="132"/>
      <c r="Z2557" s="146"/>
      <c r="AA2557" s="143">
        <f>'Valve Sizing'!$G$8*AA2555/P_1_maxW</f>
        <v>0.13862295908501338</v>
      </c>
      <c r="AB2557" s="132"/>
      <c r="AC2557" s="146"/>
      <c r="AD2557" s="143">
        <f>'Valve Sizing'!$G$8*AD2555/P_1_maxW</f>
        <v>-0.45172179306576182</v>
      </c>
      <c r="AE2557" s="132"/>
      <c r="AF2557" s="146"/>
      <c r="AG2557" s="143">
        <f>'Valve Sizing'!$G$8*AG2555/P_1_maxW</f>
        <v>-1.3576470805877849</v>
      </c>
      <c r="AH2557" s="132"/>
      <c r="AI2557" s="146"/>
      <c r="AJ2557" s="143">
        <f>'Valve Sizing'!$G$8*AJ2555/P_1_maxW</f>
        <v>-2.4857049176497652</v>
      </c>
      <c r="AK2557" s="132"/>
      <c r="AL2557" s="146"/>
      <c r="AM2557" s="143">
        <f>'Valve Sizing'!$G$8*AM2555/P_1_maxW</f>
        <v>-3.5995070507219267</v>
      </c>
      <c r="AN2557" s="132"/>
      <c r="AO2557" s="146"/>
      <c r="AP2557" s="143">
        <f>'Valve Sizing'!$G$8*AP2555/P_1_maxW</f>
        <v>-4.5990272189965795</v>
      </c>
      <c r="AQ2557" s="132"/>
      <c r="AR2557" s="146"/>
      <c r="AS2557" s="143">
        <f>'Valve Sizing'!$G$8*AS2555/P_1_maxW</f>
        <v>-5.8431458245889489</v>
      </c>
      <c r="AT2557" s="132"/>
      <c r="AU2557" s="146"/>
    </row>
    <row r="2558" spans="13:47" x14ac:dyDescent="0.25">
      <c r="M2558" s="20"/>
      <c r="N2558" s="20"/>
      <c r="O2558" s="7" t="s">
        <v>190</v>
      </c>
      <c r="P2558" s="1"/>
      <c r="Q2558" s="7"/>
      <c r="R2558" s="181">
        <f>R2555-R2556</f>
        <v>50.457565895642432</v>
      </c>
      <c r="S2558" s="132"/>
      <c r="T2558" s="146"/>
      <c r="U2558" s="138">
        <f>U2555-U2556</f>
        <v>47.429049948997005</v>
      </c>
      <c r="V2558" s="132"/>
      <c r="W2558" s="146"/>
      <c r="X2558" s="138">
        <f>X2555-X2556</f>
        <v>31.600509987448376</v>
      </c>
      <c r="Y2558" s="132"/>
      <c r="Z2558" s="146"/>
      <c r="AA2558" s="138">
        <f>AA2555-AA2556</f>
        <v>-21.262836769988496</v>
      </c>
      <c r="AB2558" s="132"/>
      <c r="AC2558" s="146"/>
      <c r="AD2558" s="138">
        <f>AD2555-AD2556</f>
        <v>-143.6439604778837</v>
      </c>
      <c r="AE2558" s="132"/>
      <c r="AF2558" s="146"/>
      <c r="AG2558" s="138">
        <f>AG2555-AG2556</f>
        <v>-331.44634929970772</v>
      </c>
      <c r="AH2558" s="132"/>
      <c r="AI2558" s="146"/>
      <c r="AJ2558" s="138">
        <f>AJ2555-AJ2556</f>
        <v>-565.29781525105386</v>
      </c>
      <c r="AK2558" s="132"/>
      <c r="AL2558" s="146"/>
      <c r="AM2558" s="138">
        <f>AM2555-AM2556</f>
        <v>-796.19400961378153</v>
      </c>
      <c r="AN2558" s="132"/>
      <c r="AO2558" s="146"/>
      <c r="AP2558" s="138">
        <f>AP2555-AP2556</f>
        <v>-1003.3990383982419</v>
      </c>
      <c r="AQ2558" s="132"/>
      <c r="AR2558" s="146"/>
      <c r="AS2558" s="138">
        <f>AS2555-AS2556</f>
        <v>-1261.3104239464058</v>
      </c>
      <c r="AT2558" s="132"/>
      <c r="AU2558" s="146"/>
    </row>
    <row r="2559" spans="13:47" ht="14.5" x14ac:dyDescent="0.35">
      <c r="M2559" s="27"/>
      <c r="N2559" s="27"/>
      <c r="O2559" s="2" t="s">
        <v>191</v>
      </c>
      <c r="P2559" s="10"/>
      <c r="Q2559" s="2"/>
      <c r="R2559" s="181">
        <f>R2558/R2555</f>
        <v>0.50227740883209215</v>
      </c>
      <c r="S2559" s="132"/>
      <c r="T2559" s="146"/>
      <c r="U2559" s="138">
        <f>U2558/U2555</f>
        <v>0.48680603961370422</v>
      </c>
      <c r="V2559" s="132"/>
      <c r="W2559" s="146"/>
      <c r="X2559" s="138">
        <f>X2558/X2555</f>
        <v>0.38725873149946122</v>
      </c>
      <c r="Y2559" s="132"/>
      <c r="Z2559" s="146"/>
      <c r="AA2559" s="138">
        <f>AA2558/AA2555</f>
        <v>-0.73990729703559488</v>
      </c>
      <c r="AB2559" s="132"/>
      <c r="AC2559" s="146"/>
      <c r="AD2559" s="138">
        <f>AD2558/AD2555</f>
        <v>1.5339372634907804</v>
      </c>
      <c r="AE2559" s="132"/>
      <c r="AF2559" s="146"/>
      <c r="AG2559" s="138">
        <f>AG2558/AG2555</f>
        <v>1.1776537522139106</v>
      </c>
      <c r="AH2559" s="132"/>
      <c r="AI2559" s="146"/>
      <c r="AJ2559" s="138">
        <f>AJ2558/AJ2555</f>
        <v>1.0970312672015501</v>
      </c>
      <c r="AK2559" s="132"/>
      <c r="AL2559" s="146"/>
      <c r="AM2559" s="138">
        <f>AM2558/AM2555</f>
        <v>1.0670067024873051</v>
      </c>
      <c r="AN2559" s="132"/>
      <c r="AO2559" s="146"/>
      <c r="AP2559" s="138">
        <f>AP2558/AP2555</f>
        <v>1.0524439379380983</v>
      </c>
      <c r="AQ2559" s="132"/>
      <c r="AR2559" s="146"/>
      <c r="AS2559" s="138">
        <f>AS2558/AS2555</f>
        <v>1.0412776106038135</v>
      </c>
      <c r="AT2559" s="132"/>
      <c r="AU2559" s="146"/>
    </row>
    <row r="2560" spans="13:47" x14ac:dyDescent="0.25">
      <c r="M2560" s="27"/>
      <c r="N2560" s="27"/>
      <c r="O2560" s="2" t="s">
        <v>26</v>
      </c>
      <c r="P2560" s="7">
        <v>12</v>
      </c>
      <c r="Q2560" s="2"/>
      <c r="R2560" s="181">
        <f>1-R2559/(3*F_GAMMA*R$29)</f>
        <v>0.73840816981879609</v>
      </c>
      <c r="S2560" s="133"/>
      <c r="T2560" s="146"/>
      <c r="U2560" s="138">
        <f>1-U2559/(3*F_GAMMA*U$29)</f>
        <v>0.74652165810547189</v>
      </c>
      <c r="V2560" s="133"/>
      <c r="W2560" s="146"/>
      <c r="X2560" s="138">
        <f>1-X2559/(3*F_GAMMA*X$29)</f>
        <v>0.79533063524659742</v>
      </c>
      <c r="Y2560" s="133"/>
      <c r="Z2560" s="146"/>
      <c r="AA2560" s="138">
        <f>1-AA2559/(3*F_GAMMA*AA$29)</f>
        <v>1.3964087757490342</v>
      </c>
      <c r="AB2560" s="133"/>
      <c r="AC2560" s="146"/>
      <c r="AD2560" s="138">
        <f>1-AD2559/(3*F_GAMMA*AD$29)</f>
        <v>0.15565358359357773</v>
      </c>
      <c r="AE2560" s="133"/>
      <c r="AF2560" s="146"/>
      <c r="AG2560" s="138">
        <f>1-AG2559/(3*F_GAMMA*AG$29)</f>
        <v>0.31479147496009707</v>
      </c>
      <c r="AH2560" s="133"/>
      <c r="AI2560" s="146"/>
      <c r="AJ2560" s="138">
        <f>1-AJ2559/(3*F_GAMMA*AJ$29)</f>
        <v>0.31764974841060734</v>
      </c>
      <c r="AK2560" s="133"/>
      <c r="AL2560" s="146"/>
      <c r="AM2560" s="138">
        <f>1-AM2559/(3*F_GAMMA*AM$29)</f>
        <v>0.27486750881094946</v>
      </c>
      <c r="AN2560" s="133"/>
      <c r="AO2560" s="146"/>
      <c r="AP2560" s="138">
        <f>1-AP2559/(3*F_GAMMA*AP$29)</f>
        <v>0.40893506645531619</v>
      </c>
      <c r="AQ2560" s="133"/>
      <c r="AR2560" s="146"/>
      <c r="AS2560" s="138">
        <f>1-AS2559/(3*F_GAMMA*AS$29)</f>
        <v>0.11223220842722959</v>
      </c>
      <c r="AT2560" s="133"/>
      <c r="AU2560" s="146"/>
    </row>
    <row r="2561" spans="13:47" x14ac:dyDescent="0.25">
      <c r="M2561" s="27"/>
      <c r="N2561" s="27"/>
      <c r="O2561" s="2" t="s">
        <v>71</v>
      </c>
      <c r="P2561" s="85">
        <v>5</v>
      </c>
      <c r="Q2561" s="2"/>
      <c r="R2561" s="179">
        <f>R2553/((N_6*R$27*R2560)*SQRT(R2559*R2555*R2557))</f>
        <v>1.7499979971645203</v>
      </c>
      <c r="S2561" s="133"/>
      <c r="T2561" s="146"/>
      <c r="U2561" s="143">
        <f>U2553/((N_6*U$27*U2560)*SQRT(U2559*U2555*U2557))</f>
        <v>12.493902316037429</v>
      </c>
      <c r="V2561" s="133"/>
      <c r="W2561" s="146"/>
      <c r="X2561" s="143">
        <f>X2553/((N_6*X$27*X2560)*SQRT(X2559*X2555*X2557))</f>
        <v>38.910983567724351</v>
      </c>
      <c r="Y2561" s="133"/>
      <c r="Z2561" s="146"/>
      <c r="AA2561" s="143" t="e">
        <f>AA2553/((N_6*AA$27*AA2560)*SQRT(AA2559*AA2555*AA2557))</f>
        <v>#NUM!</v>
      </c>
      <c r="AB2561" s="133"/>
      <c r="AC2561" s="146"/>
      <c r="AD2561" s="143">
        <f>AD2553/((N_6*AD$27*AD2560)*SQRT(AD2559*AD2555*AD2557))</f>
        <v>283.79628198890384</v>
      </c>
      <c r="AE2561" s="133"/>
      <c r="AF2561" s="146"/>
      <c r="AG2561" s="143">
        <f>AG2553/((N_6*AG$27*AG2560)*SQRT(AG2559*AG2555*AG2557))</f>
        <v>76.351827324320425</v>
      </c>
      <c r="AH2561" s="133"/>
      <c r="AI2561" s="146"/>
      <c r="AJ2561" s="143">
        <f>AJ2553/((N_6*AJ$27*AJ2560)*SQRT(AJ2559*AJ2555*AJ2557))</f>
        <v>56.234528028476717</v>
      </c>
      <c r="AK2561" s="133"/>
      <c r="AL2561" s="146"/>
      <c r="AM2561" s="143">
        <f>AM2553/((N_6*AM$27*AM2560)*SQRT(AM2559*AM2555*AM2557))</f>
        <v>56.635254998273389</v>
      </c>
      <c r="AN2561" s="133"/>
      <c r="AO2561" s="146"/>
      <c r="AP2561" s="143">
        <f>AP2553/((N_6*AP$27*AP2560)*SQRT(AP2559*AP2555*AP2557))</f>
        <v>38.019489815886125</v>
      </c>
      <c r="AQ2561" s="133"/>
      <c r="AR2561" s="146"/>
      <c r="AS2561" s="143">
        <f>AS2553/((N_6*AS$27*AS2560)*SQRT(AS2559*AS2555*AS2557))</f>
        <v>160.69454516591091</v>
      </c>
      <c r="AT2561" s="133"/>
      <c r="AU2561" s="146"/>
    </row>
    <row r="2562" spans="13:47" x14ac:dyDescent="0.25">
      <c r="M2562" s="27"/>
      <c r="N2562" s="27"/>
      <c r="O2562" s="2" t="s">
        <v>73</v>
      </c>
      <c r="P2562" s="85">
        <v>5</v>
      </c>
      <c r="Q2562" s="2"/>
      <c r="R2562" s="179">
        <f>R2553/((N_6*R$27*0.667)*SQRT(R2563*R2555*R2557))</f>
        <v>1.7162514864121716</v>
      </c>
      <c r="S2562" s="133"/>
      <c r="T2562" s="147"/>
      <c r="U2562" s="143">
        <f>U2553/((N_6*U$27*0.667)*SQRT(U2563*U2555*U2557))</f>
        <v>12.193987354491137</v>
      </c>
      <c r="V2562" s="133"/>
      <c r="W2562" s="155"/>
      <c r="X2562" s="143">
        <f>X2553/((N_6*X$27*0.667)*SQRT(X2563*X2555*X2557))</f>
        <v>36.356421879897333</v>
      </c>
      <c r="Y2562" s="133"/>
      <c r="Z2562" s="155"/>
      <c r="AA2562" s="143">
        <f>AA2553/((N_6*AA$27*0.667)*SQRT(AA2563*AA2555*AA2557))</f>
        <v>203.61506229054967</v>
      </c>
      <c r="AB2562" s="133"/>
      <c r="AC2562" s="155"/>
      <c r="AD2562" s="143">
        <f>AD2553/((N_6*AD$27*0.667)*SQRT(AD2563*AD2555*AD2557))</f>
        <v>105.40493650983446</v>
      </c>
      <c r="AE2562" s="133"/>
      <c r="AF2562" s="155"/>
      <c r="AG2562" s="143">
        <f>AG2553/((N_6*AG$27*0.667)*SQRT(AG2563*AG2555*AG2557))</f>
        <v>51.664064538764492</v>
      </c>
      <c r="AH2562" s="133"/>
      <c r="AI2562" s="155"/>
      <c r="AJ2562" s="143">
        <f>AJ2553/((N_6*AJ$27*0.667)*SQRT(AJ2563*AJ2555*AJ2557))</f>
        <v>38.316871421521789</v>
      </c>
      <c r="AK2562" s="133"/>
      <c r="AL2562" s="155"/>
      <c r="AM2562" s="143">
        <f>AM2553/((N_6*AM$27*0.667)*SQRT(AM2563*AM2555*AM2557))</f>
        <v>34.423398351559385</v>
      </c>
      <c r="AN2562" s="133"/>
      <c r="AO2562" s="155"/>
      <c r="AP2562" s="143">
        <f>AP2553/((N_6*AP$27*0.667)*SQRT(AP2563*AP2555*AP2557))</f>
        <v>31.039379344819274</v>
      </c>
      <c r="AQ2562" s="133"/>
      <c r="AR2562" s="155"/>
      <c r="AS2562" s="143">
        <f>AS2553/((N_6*AS$27*0.667)*SQRT(AS2563*AS2555*AS2557))</f>
        <v>44.12687061176328</v>
      </c>
      <c r="AT2562" s="133"/>
      <c r="AU2562" s="155"/>
    </row>
    <row r="2563" spans="13:47" ht="15.5" x14ac:dyDescent="0.4">
      <c r="M2563" s="27"/>
      <c r="N2563" s="27"/>
      <c r="O2563" s="2" t="s">
        <v>192</v>
      </c>
      <c r="P2563" s="85">
        <v>10</v>
      </c>
      <c r="Q2563" s="2"/>
      <c r="R2563" s="181">
        <f>F_GAMMA*R$29</f>
        <v>0.64002688015162901</v>
      </c>
      <c r="S2563" s="133"/>
      <c r="T2563" s="147"/>
      <c r="U2563" s="138">
        <f>F_GAMMA*U$29</f>
        <v>0.64016782916606918</v>
      </c>
      <c r="V2563" s="133"/>
      <c r="W2563" s="155"/>
      <c r="X2563" s="138">
        <f>F_GAMMA*X$29</f>
        <v>0.6307062319203669</v>
      </c>
      <c r="Y2563" s="133"/>
      <c r="Z2563" s="155"/>
      <c r="AA2563" s="138">
        <f>F_GAMMA*AA$29</f>
        <v>0.62217534213893466</v>
      </c>
      <c r="AB2563" s="133"/>
      <c r="AC2563" s="155"/>
      <c r="AD2563" s="138">
        <f>F_GAMMA*AD$29</f>
        <v>0.60557184969146072</v>
      </c>
      <c r="AE2563" s="133"/>
      <c r="AF2563" s="155"/>
      <c r="AG2563" s="138">
        <f>F_GAMMA*AG$29</f>
        <v>0.57289312142622573</v>
      </c>
      <c r="AH2563" s="133"/>
      <c r="AI2563" s="155"/>
      <c r="AJ2563" s="138">
        <f>F_GAMMA*AJ$29</f>
        <v>0.53590819116049981</v>
      </c>
      <c r="AK2563" s="133"/>
      <c r="AL2563" s="155"/>
      <c r="AM2563" s="138">
        <f>F_GAMMA*AM$29</f>
        <v>0.49048815926850342</v>
      </c>
      <c r="AN2563" s="133"/>
      <c r="AO2563" s="155"/>
      <c r="AP2563" s="138">
        <f>F_GAMMA*AP$29</f>
        <v>0.59352979016280105</v>
      </c>
      <c r="AQ2563" s="133"/>
      <c r="AR2563" s="155"/>
      <c r="AS2563" s="138">
        <f>F_GAMMA*AS$29</f>
        <v>0.39097221161068291</v>
      </c>
      <c r="AT2563" s="133"/>
      <c r="AU2563" s="155"/>
    </row>
    <row r="2564" spans="13:47" x14ac:dyDescent="0.25">
      <c r="M2564" s="27"/>
      <c r="N2564" s="27"/>
      <c r="O2564" s="2" t="s">
        <v>193</v>
      </c>
      <c r="P2564" s="134"/>
      <c r="Q2564" s="2"/>
      <c r="R2564" s="181">
        <f>IF(R2559&lt;R2563,R2561,R2562)</f>
        <v>1.7499979971645203</v>
      </c>
      <c r="S2564" s="133"/>
      <c r="T2564" s="147"/>
      <c r="U2564" s="138">
        <f>IF(U2559&lt;U2563,U2561,U2562)</f>
        <v>12.493902316037429</v>
      </c>
      <c r="V2564" s="133"/>
      <c r="W2564" s="155"/>
      <c r="X2564" s="138">
        <f>IF(X2559&lt;X2563,X2561,X2562)</f>
        <v>38.910983567724351</v>
      </c>
      <c r="Y2564" s="133"/>
      <c r="Z2564" s="155"/>
      <c r="AA2564" s="138" t="e">
        <f>IF(AA2559&lt;AA2563,AA2561,AA2562)</f>
        <v>#NUM!</v>
      </c>
      <c r="AB2564" s="133"/>
      <c r="AC2564" s="155"/>
      <c r="AD2564" s="138">
        <f>IF(AD2559&lt;AD2563,AD2561,AD2562)</f>
        <v>105.40493650983446</v>
      </c>
      <c r="AE2564" s="133"/>
      <c r="AF2564" s="155"/>
      <c r="AG2564" s="138">
        <f>IF(AG2559&lt;AG2563,AG2561,AG2562)</f>
        <v>51.664064538764492</v>
      </c>
      <c r="AH2564" s="133"/>
      <c r="AI2564" s="155"/>
      <c r="AJ2564" s="138">
        <f>IF(AJ2559&lt;AJ2563,AJ2561,AJ2562)</f>
        <v>38.316871421521789</v>
      </c>
      <c r="AK2564" s="133"/>
      <c r="AL2564" s="155"/>
      <c r="AM2564" s="138">
        <f>IF(AM2559&lt;AM2563,AM2561,AM2562)</f>
        <v>34.423398351559385</v>
      </c>
      <c r="AN2564" s="133"/>
      <c r="AO2564" s="155"/>
      <c r="AP2564" s="138">
        <f>IF(AP2559&lt;AP2563,AP2561,AP2562)</f>
        <v>31.039379344819274</v>
      </c>
      <c r="AQ2564" s="133"/>
      <c r="AR2564" s="155"/>
      <c r="AS2564" s="138">
        <f>IF(AS2559&lt;AS2563,AS2561,AS2562)</f>
        <v>44.12687061176328</v>
      </c>
      <c r="AT2564" s="133"/>
      <c r="AU2564" s="155"/>
    </row>
    <row r="2565" spans="13:47" ht="13" x14ac:dyDescent="0.3">
      <c r="M2565" s="28"/>
      <c r="N2565" s="28"/>
      <c r="O2565" s="9" t="s">
        <v>194</v>
      </c>
      <c r="P2565" s="1"/>
      <c r="Q2565" s="1"/>
      <c r="R2565" s="135"/>
      <c r="S2565" s="132">
        <f>IF(R2558&lt;=0,W_max,ABS(R$23-R2564))</f>
        <v>0.25000200283547969</v>
      </c>
      <c r="T2565" s="151">
        <f>R2553</f>
        <v>404.42351903752734</v>
      </c>
      <c r="U2565" s="135"/>
      <c r="V2565" s="132">
        <f>IF(U2558&lt;=0,W_max,ABS(U$23-U2564))</f>
        <v>7.4939023160374294</v>
      </c>
      <c r="W2565" s="151">
        <f>U2553</f>
        <v>2785.3827844348275</v>
      </c>
      <c r="X2565" s="135"/>
      <c r="Y2565" s="132">
        <f>IF(X2558&lt;=0,W_max,ABS(X$23-X2564))</f>
        <v>28.910983567724351</v>
      </c>
      <c r="Z2565" s="151">
        <f>X2553</f>
        <v>6888.5830903441947</v>
      </c>
      <c r="AA2565" s="135"/>
      <c r="AB2565" s="132">
        <f>IF(AA2558&lt;=0,W_max,ABS(AA$23-AA2564))</f>
        <v>7174</v>
      </c>
      <c r="AC2565" s="151">
        <f>AA2553</f>
        <v>13417.201580752229</v>
      </c>
      <c r="AD2565" s="135"/>
      <c r="AE2565" s="132">
        <f>IF(AD2558&lt;=0,W_max,ABS(AD$23-AD2564))</f>
        <v>7174</v>
      </c>
      <c r="AF2565" s="151">
        <f>AD2553</f>
        <v>22066.356679799155</v>
      </c>
      <c r="AG2565" s="135"/>
      <c r="AH2565" s="132">
        <f>IF(AG2558&lt;=0,W_max,ABS(AG$23-AG2564))</f>
        <v>7174</v>
      </c>
      <c r="AI2565" s="151">
        <f>AG2553</f>
        <v>30949.764047695513</v>
      </c>
      <c r="AJ2565" s="135"/>
      <c r="AK2565" s="132">
        <f>IF(AJ2558&lt;=0,W_max,ABS(AJ$23-AJ2564))</f>
        <v>7174</v>
      </c>
      <c r="AL2565" s="151">
        <f>AJ2553</f>
        <v>39297.987775246351</v>
      </c>
      <c r="AM2565" s="135"/>
      <c r="AN2565" s="132">
        <f>IF(AM2558&lt;=0,W_max,ABS(AM$23-AM2564))</f>
        <v>7174</v>
      </c>
      <c r="AO2565" s="151">
        <f>AM2553</f>
        <v>46079.981253726452</v>
      </c>
      <c r="AP2565" s="135"/>
      <c r="AQ2565" s="132">
        <f>IF(AP2558&lt;=0,W_max,ABS(AP$23-AP2564))</f>
        <v>7174</v>
      </c>
      <c r="AR2565" s="151">
        <f>AP2553</f>
        <v>51409.976499713783</v>
      </c>
      <c r="AS2565" s="135"/>
      <c r="AT2565" s="132">
        <f>IF(AS2558&lt;=0,W_max,ABS(AS$23-AS2564))</f>
        <v>7174</v>
      </c>
      <c r="AU2565" s="151">
        <f>AS2553</f>
        <v>57356.483483538454</v>
      </c>
    </row>
    <row r="2566" spans="13:47" ht="13" x14ac:dyDescent="0.25">
      <c r="M2566" s="12"/>
      <c r="N2566" s="12"/>
      <c r="O2566" s="12"/>
      <c r="P2566" s="12"/>
      <c r="Q2566" s="12"/>
      <c r="R2566" s="182"/>
      <c r="S2566" s="22"/>
      <c r="T2566" s="152"/>
      <c r="U2566" s="157"/>
      <c r="V2566" s="1"/>
      <c r="W2566" s="147"/>
      <c r="X2566" s="157"/>
      <c r="Y2566" s="1"/>
      <c r="Z2566" s="147"/>
      <c r="AA2566" s="157"/>
      <c r="AB2566" s="1"/>
      <c r="AC2566" s="147"/>
      <c r="AD2566" s="157"/>
      <c r="AE2566" s="1"/>
      <c r="AF2566" s="147"/>
      <c r="AG2566" s="157"/>
      <c r="AH2566" s="1"/>
      <c r="AI2566" s="147"/>
      <c r="AJ2566" s="157"/>
      <c r="AK2566" s="1"/>
      <c r="AL2566" s="147"/>
      <c r="AM2566" s="157"/>
      <c r="AN2566" s="1"/>
      <c r="AO2566" s="147"/>
      <c r="AP2566" s="157"/>
      <c r="AQ2566" s="1"/>
      <c r="AR2566" s="147"/>
      <c r="AS2566" s="157"/>
      <c r="AT2566" s="1"/>
      <c r="AU2566" s="147"/>
    </row>
    <row r="2567" spans="13:47" ht="14" x14ac:dyDescent="0.3">
      <c r="M2567" s="23"/>
      <c r="N2567" s="23"/>
      <c r="O2567" s="23" t="s">
        <v>238</v>
      </c>
      <c r="P2567" s="20"/>
      <c r="Q2567" s="20"/>
      <c r="R2567" s="18">
        <f>R2553*1.02</f>
        <v>412.51198941827789</v>
      </c>
      <c r="S2567" s="128" t="s">
        <v>185</v>
      </c>
      <c r="T2567" s="153" t="s">
        <v>186</v>
      </c>
      <c r="U2567" s="143">
        <f>U2553*1.01</f>
        <v>2813.2366122791759</v>
      </c>
      <c r="V2567" s="128" t="s">
        <v>185</v>
      </c>
      <c r="W2567" s="153" t="s">
        <v>186</v>
      </c>
      <c r="X2567" s="143">
        <f>X2553*1.01</f>
        <v>6957.4689212476369</v>
      </c>
      <c r="Y2567" s="128" t="s">
        <v>185</v>
      </c>
      <c r="Z2567" s="153" t="s">
        <v>186</v>
      </c>
      <c r="AA2567" s="143">
        <f>AA2553*1.01</f>
        <v>13551.373596559752</v>
      </c>
      <c r="AB2567" s="128" t="s">
        <v>185</v>
      </c>
      <c r="AC2567" s="153" t="s">
        <v>186</v>
      </c>
      <c r="AD2567" s="143">
        <f>AD2553*1.01</f>
        <v>22287.020246597149</v>
      </c>
      <c r="AE2567" s="128" t="s">
        <v>185</v>
      </c>
      <c r="AF2567" s="153" t="s">
        <v>186</v>
      </c>
      <c r="AG2567" s="143">
        <f>AG2553*1.01</f>
        <v>31259.261688172468</v>
      </c>
      <c r="AH2567" s="128" t="s">
        <v>185</v>
      </c>
      <c r="AI2567" s="153" t="s">
        <v>186</v>
      </c>
      <c r="AJ2567" s="143">
        <f>AJ2553*1.01</f>
        <v>39690.967652998814</v>
      </c>
      <c r="AK2567" s="128" t="s">
        <v>185</v>
      </c>
      <c r="AL2567" s="153" t="s">
        <v>186</v>
      </c>
      <c r="AM2567" s="143">
        <f>AM2553*1.01</f>
        <v>46540.781066263713</v>
      </c>
      <c r="AN2567" s="128" t="s">
        <v>185</v>
      </c>
      <c r="AO2567" s="153" t="s">
        <v>186</v>
      </c>
      <c r="AP2567" s="143">
        <f>AP2553*1.01</f>
        <v>51924.076264710922</v>
      </c>
      <c r="AQ2567" s="128" t="s">
        <v>185</v>
      </c>
      <c r="AR2567" s="153" t="s">
        <v>186</v>
      </c>
      <c r="AS2567" s="143">
        <f>AS2553*1.01</f>
        <v>57930.04831837384</v>
      </c>
      <c r="AT2567" s="128" t="s">
        <v>185</v>
      </c>
      <c r="AU2567" s="153" t="s">
        <v>186</v>
      </c>
    </row>
    <row r="2568" spans="13:47" ht="14" x14ac:dyDescent="0.3">
      <c r="M2568" s="12"/>
      <c r="N2568" s="12"/>
      <c r="O2568" s="20"/>
      <c r="P2568" s="20"/>
      <c r="Q2568" s="23"/>
      <c r="R2568" s="139"/>
      <c r="S2568" s="130" t="s">
        <v>228</v>
      </c>
      <c r="T2568" s="154" t="s">
        <v>187</v>
      </c>
      <c r="U2568" s="144"/>
      <c r="V2568" s="130" t="s">
        <v>228</v>
      </c>
      <c r="W2568" s="154" t="s">
        <v>187</v>
      </c>
      <c r="X2568" s="144"/>
      <c r="Y2568" s="130" t="s">
        <v>228</v>
      </c>
      <c r="Z2568" s="154" t="s">
        <v>187</v>
      </c>
      <c r="AA2568" s="144"/>
      <c r="AB2568" s="130" t="s">
        <v>228</v>
      </c>
      <c r="AC2568" s="154" t="s">
        <v>187</v>
      </c>
      <c r="AD2568" s="144"/>
      <c r="AE2568" s="130" t="s">
        <v>228</v>
      </c>
      <c r="AF2568" s="154" t="s">
        <v>187</v>
      </c>
      <c r="AG2568" s="144"/>
      <c r="AH2568" s="130" t="s">
        <v>228</v>
      </c>
      <c r="AI2568" s="154" t="s">
        <v>187</v>
      </c>
      <c r="AJ2568" s="144"/>
      <c r="AK2568" s="130" t="s">
        <v>228</v>
      </c>
      <c r="AL2568" s="154" t="s">
        <v>187</v>
      </c>
      <c r="AM2568" s="144"/>
      <c r="AN2568" s="130" t="s">
        <v>228</v>
      </c>
      <c r="AO2568" s="154" t="s">
        <v>187</v>
      </c>
      <c r="AP2568" s="144"/>
      <c r="AQ2568" s="130" t="s">
        <v>228</v>
      </c>
      <c r="AR2568" s="154" t="s">
        <v>187</v>
      </c>
      <c r="AS2568" s="144"/>
      <c r="AT2568" s="130" t="s">
        <v>228</v>
      </c>
      <c r="AU2568" s="154" t="s">
        <v>187</v>
      </c>
    </row>
    <row r="2569" spans="13:47" x14ac:dyDescent="0.25">
      <c r="M2569" s="20"/>
      <c r="N2569" s="20"/>
      <c r="O2569" s="7" t="s">
        <v>188</v>
      </c>
      <c r="P2569" s="7"/>
      <c r="Q2569" s="7"/>
      <c r="R2569" s="181">
        <f>P_1_minW-(R2567^2*R_up)+dpup_minQ</f>
        <v>100.45493097366263</v>
      </c>
      <c r="S2569" s="132"/>
      <c r="T2569" s="145"/>
      <c r="U2569" s="138">
        <f>P_1_minW-(U2567^2*R_up)+dpup_minQ</f>
        <v>97.36686583956363</v>
      </c>
      <c r="V2569" s="132"/>
      <c r="W2569" s="145"/>
      <c r="X2569" s="138">
        <f>P_1_minW-(X2567^2*R_up)+dpup_minQ</f>
        <v>81.220172224787888</v>
      </c>
      <c r="Y2569" s="132"/>
      <c r="Z2569" s="145"/>
      <c r="AA2569" s="138">
        <f>P_1_minW-(AA2567^2*R_up)+dpup_minQ</f>
        <v>27.294272197526524</v>
      </c>
      <c r="AB2569" s="132"/>
      <c r="AC2569" s="145"/>
      <c r="AD2569" s="138">
        <f>P_1_minW-(AD2567^2*R_up)+dpup_minQ</f>
        <v>-97.546712096897394</v>
      </c>
      <c r="AE2569" s="132"/>
      <c r="AF2569" s="145"/>
      <c r="AG2569" s="138">
        <f>P_1_minW-(AG2567^2*R_up)+dpup_minQ</f>
        <v>-289.12392893404007</v>
      </c>
      <c r="AH2569" s="132"/>
      <c r="AI2569" s="145"/>
      <c r="AJ2569" s="138">
        <f>P_1_minW-(AJ2567^2*R_up)+dpup_minQ</f>
        <v>-527.67580935100818</v>
      </c>
      <c r="AK2569" s="132"/>
      <c r="AL2569" s="145"/>
      <c r="AM2569" s="138">
        <f>P_1_minW-(AM2567^2*R_up)+dpup_minQ</f>
        <v>-763.21301722042654</v>
      </c>
      <c r="AN2569" s="132"/>
      <c r="AO2569" s="145"/>
      <c r="AP2569" s="138">
        <f>P_1_minW-(AP2567^2*R_up)+dpup_minQ</f>
        <v>-974.58286708345497</v>
      </c>
      <c r="AQ2569" s="132"/>
      <c r="AR2569" s="145"/>
      <c r="AS2569" s="138">
        <f>P_1_minW-(AS2567^2*R_up)+dpup_minQ</f>
        <v>-1237.678271481137</v>
      </c>
      <c r="AT2569" s="132"/>
      <c r="AU2569" s="145"/>
    </row>
    <row r="2570" spans="13:47" x14ac:dyDescent="0.25">
      <c r="M2570" s="20"/>
      <c r="N2570" s="20"/>
      <c r="O2570" s="7" t="s">
        <v>189</v>
      </c>
      <c r="P2570" s="1"/>
      <c r="Q2570" s="7"/>
      <c r="R2570" s="181">
        <f>P_2_minW+(R2567^2*R_dn)-dpdn_minQ</f>
        <v>50</v>
      </c>
      <c r="S2570" s="132"/>
      <c r="T2570" s="146"/>
      <c r="U2570" s="138">
        <f>P_2_minW+(U2567^2*R_dn)-dpdn_minQ</f>
        <v>50</v>
      </c>
      <c r="V2570" s="132"/>
      <c r="W2570" s="146"/>
      <c r="X2570" s="138">
        <f>P_2_minW+(X2567^2*R_dn)-dpdn_minQ</f>
        <v>50</v>
      </c>
      <c r="Y2570" s="132"/>
      <c r="Z2570" s="146"/>
      <c r="AA2570" s="138">
        <f>P_2_minW+(AA2567^2*R_dn)-dpdn_minQ</f>
        <v>50</v>
      </c>
      <c r="AB2570" s="132"/>
      <c r="AC2570" s="146"/>
      <c r="AD2570" s="138">
        <f>P_2_minW+(AD2567^2*R_dn)-dpdn_minQ</f>
        <v>50</v>
      </c>
      <c r="AE2570" s="132"/>
      <c r="AF2570" s="146"/>
      <c r="AG2570" s="138">
        <f>P_2_minW+(AG2567^2*R_dn)-dpdn_minQ</f>
        <v>50</v>
      </c>
      <c r="AH2570" s="132"/>
      <c r="AI2570" s="146"/>
      <c r="AJ2570" s="138">
        <f>P_2_minW+(AJ2567^2*R_dn)-dpdn_minQ</f>
        <v>50</v>
      </c>
      <c r="AK2570" s="132"/>
      <c r="AL2570" s="146"/>
      <c r="AM2570" s="138">
        <f>P_2_minW+(AM2567^2*R_dn)-dpdn_minQ</f>
        <v>50</v>
      </c>
      <c r="AN2570" s="132"/>
      <c r="AO2570" s="146"/>
      <c r="AP2570" s="138">
        <f>P_2_minW+(AP2567^2*R_dn)-dpdn_minQ</f>
        <v>50</v>
      </c>
      <c r="AQ2570" s="132"/>
      <c r="AR2570" s="146"/>
      <c r="AS2570" s="138">
        <f>P_2_minW+(AS2567^2*R_dn)-dpdn_minQ</f>
        <v>50</v>
      </c>
      <c r="AT2570" s="132"/>
      <c r="AU2570" s="146"/>
    </row>
    <row r="2571" spans="13:47" x14ac:dyDescent="0.25">
      <c r="M2571" s="20"/>
      <c r="N2571" s="20"/>
      <c r="O2571" s="7" t="s">
        <v>234</v>
      </c>
      <c r="P2571" s="1"/>
      <c r="Q2571" s="7"/>
      <c r="R2571" s="179">
        <f>'Valve Sizing'!G$8*R2569/P_1_maxW</f>
        <v>0.48457670211884379</v>
      </c>
      <c r="S2571" s="132"/>
      <c r="T2571" s="146"/>
      <c r="U2571" s="143">
        <f>'Valve Sizing'!$G$8*U2569/P_1_maxW</f>
        <v>0.46968042570806007</v>
      </c>
      <c r="V2571" s="132"/>
      <c r="W2571" s="146"/>
      <c r="X2571" s="143">
        <f>'Valve Sizing'!$G$8*X2569/P_1_maxW</f>
        <v>0.39179165045199216</v>
      </c>
      <c r="Y2571" s="132"/>
      <c r="Z2571" s="146"/>
      <c r="AA2571" s="143">
        <f>'Valve Sizing'!$G$8*AA2569/P_1_maxW</f>
        <v>0.13166270963522039</v>
      </c>
      <c r="AB2571" s="132"/>
      <c r="AC2571" s="146"/>
      <c r="AD2571" s="143">
        <f>'Valve Sizing'!$G$8*AD2569/P_1_maxW</f>
        <v>-0.47054797203378557</v>
      </c>
      <c r="AE2571" s="132"/>
      <c r="AF2571" s="146"/>
      <c r="AG2571" s="143">
        <f>'Valve Sizing'!$G$8*AG2569/P_1_maxW</f>
        <v>-1.3946823578350012</v>
      </c>
      <c r="AH2571" s="132"/>
      <c r="AI2571" s="146"/>
      <c r="AJ2571" s="143">
        <f>'Valve Sizing'!$G$8*AJ2569/P_1_maxW</f>
        <v>-2.5454141574219271</v>
      </c>
      <c r="AK2571" s="132"/>
      <c r="AL2571" s="146"/>
      <c r="AM2571" s="143">
        <f>'Valve Sizing'!$G$8*AM2569/P_1_maxW</f>
        <v>-3.6816037133688377</v>
      </c>
      <c r="AN2571" s="132"/>
      <c r="AO2571" s="146"/>
      <c r="AP2571" s="143">
        <f>'Valve Sizing'!$G$8*AP2569/P_1_maxW</f>
        <v>-4.7012142370258134</v>
      </c>
      <c r="AQ2571" s="132"/>
      <c r="AR2571" s="146"/>
      <c r="AS2571" s="143">
        <f>'Valve Sizing'!$G$8*AS2569/P_1_maxW</f>
        <v>-5.9703396265905893</v>
      </c>
      <c r="AT2571" s="132"/>
      <c r="AU2571" s="146"/>
    </row>
    <row r="2572" spans="13:47" x14ac:dyDescent="0.25">
      <c r="M2572" s="20"/>
      <c r="N2572" s="20"/>
      <c r="O2572" s="7" t="s">
        <v>190</v>
      </c>
      <c r="P2572" s="1"/>
      <c r="Q2572" s="7"/>
      <c r="R2572" s="181">
        <f>R2569-R2570</f>
        <v>50.454930973662627</v>
      </c>
      <c r="S2572" s="132"/>
      <c r="T2572" s="146"/>
      <c r="U2572" s="138">
        <f>U2569-U2570</f>
        <v>47.36686583956363</v>
      </c>
      <c r="V2572" s="132"/>
      <c r="W2572" s="146"/>
      <c r="X2572" s="138">
        <f>X2569-X2570</f>
        <v>31.220172224787888</v>
      </c>
      <c r="Y2572" s="132"/>
      <c r="Z2572" s="146"/>
      <c r="AA2572" s="138">
        <f>AA2569-AA2570</f>
        <v>-22.705727802473476</v>
      </c>
      <c r="AB2572" s="132"/>
      <c r="AC2572" s="146"/>
      <c r="AD2572" s="138">
        <f>AD2569-AD2570</f>
        <v>-147.54671209689741</v>
      </c>
      <c r="AE2572" s="132"/>
      <c r="AF2572" s="146"/>
      <c r="AG2572" s="138">
        <f>AG2569-AG2570</f>
        <v>-339.12392893404007</v>
      </c>
      <c r="AH2572" s="132"/>
      <c r="AI2572" s="146"/>
      <c r="AJ2572" s="138">
        <f>AJ2569-AJ2570</f>
        <v>-577.67580935100818</v>
      </c>
      <c r="AK2572" s="132"/>
      <c r="AL2572" s="146"/>
      <c r="AM2572" s="138">
        <f>AM2569-AM2570</f>
        <v>-813.21301722042654</v>
      </c>
      <c r="AN2572" s="132"/>
      <c r="AO2572" s="146"/>
      <c r="AP2572" s="138">
        <f>AP2569-AP2570</f>
        <v>-1024.5828670834549</v>
      </c>
      <c r="AQ2572" s="132"/>
      <c r="AR2572" s="146"/>
      <c r="AS2572" s="138">
        <f>AS2569-AS2570</f>
        <v>-1287.678271481137</v>
      </c>
      <c r="AT2572" s="132"/>
      <c r="AU2572" s="146"/>
    </row>
    <row r="2573" spans="13:47" ht="14.5" x14ac:dyDescent="0.35">
      <c r="M2573" s="27"/>
      <c r="N2573" s="27"/>
      <c r="O2573" s="2" t="s">
        <v>191</v>
      </c>
      <c r="P2573" s="10"/>
      <c r="Q2573" s="2"/>
      <c r="R2573" s="181">
        <f>R2572/R2569</f>
        <v>0.5022643536223319</v>
      </c>
      <c r="S2573" s="132"/>
      <c r="T2573" s="146"/>
      <c r="U2573" s="138">
        <f>U2572/U2569</f>
        <v>0.48647828428217499</v>
      </c>
      <c r="V2573" s="132"/>
      <c r="W2573" s="146"/>
      <c r="X2573" s="138">
        <f>X2572/X2569</f>
        <v>0.38438938713872473</v>
      </c>
      <c r="Y2573" s="132"/>
      <c r="Z2573" s="146"/>
      <c r="AA2573" s="138">
        <f>AA2572/AA2569</f>
        <v>-0.83188617883466132</v>
      </c>
      <c r="AB2573" s="132"/>
      <c r="AC2573" s="146"/>
      <c r="AD2573" s="138">
        <f>AD2572/AD2569</f>
        <v>1.5125749389721392</v>
      </c>
      <c r="AE2573" s="132"/>
      <c r="AF2573" s="146"/>
      <c r="AG2573" s="138">
        <f>AG2572/AG2569</f>
        <v>1.1729362221395616</v>
      </c>
      <c r="AH2573" s="132"/>
      <c r="AI2573" s="146"/>
      <c r="AJ2573" s="138">
        <f>AJ2572/AJ2569</f>
        <v>1.0947551491160743</v>
      </c>
      <c r="AK2573" s="132"/>
      <c r="AL2573" s="146"/>
      <c r="AM2573" s="138">
        <f>AM2572/AM2569</f>
        <v>1.065512509446048</v>
      </c>
      <c r="AN2573" s="132"/>
      <c r="AO2573" s="146"/>
      <c r="AP2573" s="138">
        <f>AP2572/AP2569</f>
        <v>1.0513040006024632</v>
      </c>
      <c r="AQ2573" s="132"/>
      <c r="AR2573" s="146"/>
      <c r="AS2573" s="138">
        <f>AS2572/AS2569</f>
        <v>1.0403982207267521</v>
      </c>
      <c r="AT2573" s="132"/>
      <c r="AU2573" s="146"/>
    </row>
    <row r="2574" spans="13:47" x14ac:dyDescent="0.25">
      <c r="M2574" s="27"/>
      <c r="N2574" s="27"/>
      <c r="O2574" s="2" t="s">
        <v>26</v>
      </c>
      <c r="P2574" s="7">
        <v>12</v>
      </c>
      <c r="Q2574" s="2"/>
      <c r="R2574" s="181">
        <f>1-R2573/(3*F_GAMMA*R$29)</f>
        <v>0.73841496912164051</v>
      </c>
      <c r="S2574" s="133"/>
      <c r="T2574" s="146"/>
      <c r="U2574" s="138">
        <f>1-U2573/(3*F_GAMMA*U$29)</f>
        <v>0.74669231925431268</v>
      </c>
      <c r="V2574" s="133"/>
      <c r="W2574" s="146"/>
      <c r="X2574" s="138">
        <f>1-X2573/(3*F_GAMMA*X$29)</f>
        <v>0.79684710689669236</v>
      </c>
      <c r="Y2574" s="133"/>
      <c r="Z2574" s="146"/>
      <c r="AA2574" s="138">
        <f>1-AA2573/(3*F_GAMMA*AA$29)</f>
        <v>1.4456868894732986</v>
      </c>
      <c r="AB2574" s="133"/>
      <c r="AC2574" s="146"/>
      <c r="AD2574" s="138">
        <f>1-AD2573/(3*F_GAMMA*AD$29)</f>
        <v>0.16741234490848211</v>
      </c>
      <c r="AE2574" s="133"/>
      <c r="AF2574" s="146"/>
      <c r="AG2574" s="138">
        <f>1-AG2573/(3*F_GAMMA*AG$29)</f>
        <v>0.31753633253644253</v>
      </c>
      <c r="AH2574" s="133"/>
      <c r="AI2574" s="146"/>
      <c r="AJ2574" s="138">
        <f>1-AJ2573/(3*F_GAMMA*AJ$29)</f>
        <v>0.31906548722745387</v>
      </c>
      <c r="AK2574" s="133"/>
      <c r="AL2574" s="146"/>
      <c r="AM2574" s="138">
        <f>1-AM2573/(3*F_GAMMA*AM$29)</f>
        <v>0.27588295503054527</v>
      </c>
      <c r="AN2574" s="133"/>
      <c r="AO2574" s="146"/>
      <c r="AP2574" s="138">
        <f>1-AP2573/(3*F_GAMMA*AP$29)</f>
        <v>0.40957526871335981</v>
      </c>
      <c r="AQ2574" s="133"/>
      <c r="AR2574" s="146"/>
      <c r="AS2574" s="138">
        <f>1-AS2573/(3*F_GAMMA*AS$29)</f>
        <v>0.11298195470155648</v>
      </c>
      <c r="AT2574" s="133"/>
      <c r="AU2574" s="146"/>
    </row>
    <row r="2575" spans="13:47" x14ac:dyDescent="0.25">
      <c r="M2575" s="27"/>
      <c r="N2575" s="27"/>
      <c r="O2575" s="2" t="s">
        <v>71</v>
      </c>
      <c r="P2575" s="85">
        <v>5</v>
      </c>
      <c r="Q2575" s="2"/>
      <c r="R2575" s="179">
        <f>R2567/((N_6*R$27*R2574)*SQRT(R2573*R2569*R2571))</f>
        <v>1.7850515394804234</v>
      </c>
      <c r="S2575" s="133"/>
      <c r="T2575" s="146"/>
      <c r="U2575" s="143">
        <f>U2567/((N_6*U$27*U2574)*SQRT(U2573*U2569*U2571))</f>
        <v>12.628266381300293</v>
      </c>
      <c r="V2575" s="133"/>
      <c r="W2575" s="146"/>
      <c r="X2575" s="143">
        <f>X2567/((N_6*X$27*X2574)*SQRT(X2573*X2569*X2571))</f>
        <v>39.555800302452951</v>
      </c>
      <c r="Y2575" s="133"/>
      <c r="Z2575" s="146"/>
      <c r="AA2575" s="143" t="e">
        <f>AA2567/((N_6*AA$27*AA2574)*SQRT(AA2573*AA2569*AA2571))</f>
        <v>#NUM!</v>
      </c>
      <c r="AB2575" s="133"/>
      <c r="AC2575" s="146"/>
      <c r="AD2575" s="143">
        <f>AD2567/((N_6*AD$27*AD2574)*SQRT(AD2573*AD2569*AD2571))</f>
        <v>257.63935636389533</v>
      </c>
      <c r="AE2575" s="133"/>
      <c r="AF2575" s="146"/>
      <c r="AG2575" s="143">
        <f>AG2567/((N_6*AG$27*AG2574)*SQRT(AG2573*AG2569*AG2571))</f>
        <v>74.568179603201955</v>
      </c>
      <c r="AH2575" s="133"/>
      <c r="AI2575" s="146"/>
      <c r="AJ2575" s="143">
        <f>AJ2567/((N_6*AJ$27*AJ2574)*SQRT(AJ2573*AJ2569*AJ2571))</f>
        <v>55.275825229183951</v>
      </c>
      <c r="AK2575" s="133"/>
      <c r="AL2575" s="146"/>
      <c r="AM2575" s="143">
        <f>AM2567/((N_6*AM$27*AM2574)*SQRT(AM2573*AM2569*AM2571))</f>
        <v>55.759267232434865</v>
      </c>
      <c r="AN2575" s="133"/>
      <c r="AO2575" s="146"/>
      <c r="AP2575" s="143">
        <f>AP2567/((N_6*AP$27*AP2574)*SQRT(AP2573*AP2569*AP2571))</f>
        <v>37.526628771456771</v>
      </c>
      <c r="AQ2575" s="133"/>
      <c r="AR2575" s="146"/>
      <c r="AS2575" s="143">
        <f>AS2567/((N_6*AS$27*AS2574)*SQRT(AS2573*AS2569*AS2571))</f>
        <v>157.85636058107536</v>
      </c>
      <c r="AT2575" s="133"/>
      <c r="AU2575" s="146"/>
    </row>
    <row r="2576" spans="13:47" x14ac:dyDescent="0.25">
      <c r="M2576" s="27"/>
      <c r="N2576" s="27"/>
      <c r="O2576" s="2" t="s">
        <v>73</v>
      </c>
      <c r="P2576" s="85">
        <v>5</v>
      </c>
      <c r="Q2576" s="2"/>
      <c r="R2576" s="179">
        <f>R2567/((N_6*R$27*0.667)*SQRT(R2577*R2569*R2571))</f>
        <v>1.7506224335731881</v>
      </c>
      <c r="S2576" s="133"/>
      <c r="T2576" s="155"/>
      <c r="U2576" s="143">
        <f>U2567/((N_6*U$27*0.667)*SQRT(U2577*U2569*U2571))</f>
        <v>12.323792891164032</v>
      </c>
      <c r="V2576" s="133"/>
      <c r="W2576" s="155"/>
      <c r="X2576" s="143">
        <f>X2567/((N_6*X$27*0.667)*SQRT(X2577*X2569*X2571))</f>
        <v>36.891938422548193</v>
      </c>
      <c r="Y2576" s="133"/>
      <c r="Z2576" s="155"/>
      <c r="AA2576" s="143">
        <f>AA2567/((N_6*AA$27*0.667)*SQRT(AA2577*AA2569*AA2571))</f>
        <v>216.52280856491845</v>
      </c>
      <c r="AB2576" s="133"/>
      <c r="AC2576" s="155"/>
      <c r="AD2576" s="143">
        <f>AD2567/((N_6*AD$27*0.667)*SQRT(AD2577*AD2569*AD2571))</f>
        <v>102.19966261789433</v>
      </c>
      <c r="AE2576" s="133"/>
      <c r="AF2576" s="155"/>
      <c r="AG2576" s="143">
        <f>AG2567/((N_6*AG$27*0.667)*SQRT(AG2577*AG2569*AG2571))</f>
        <v>50.795065742601992</v>
      </c>
      <c r="AH2576" s="133"/>
      <c r="AI2576" s="155"/>
      <c r="AJ2576" s="143">
        <f>AJ2567/((N_6*AJ$27*0.667)*SQRT(AJ2577*AJ2569*AJ2571))</f>
        <v>37.792231098484926</v>
      </c>
      <c r="AK2576" s="133"/>
      <c r="AL2576" s="155"/>
      <c r="AM2576" s="143">
        <f>AM2567/((N_6*AM$27*0.667)*SQRT(AM2577*AM2569*AM2571))</f>
        <v>33.992343410718519</v>
      </c>
      <c r="AN2576" s="133"/>
      <c r="AO2576" s="155"/>
      <c r="AP2576" s="143">
        <f>AP2567/((N_6*AP$27*0.667)*SQRT(AP2577*AP2569*AP2571))</f>
        <v>30.668344964315704</v>
      </c>
      <c r="AQ2576" s="133"/>
      <c r="AR2576" s="155"/>
      <c r="AS2576" s="143">
        <f>AS2567/((N_6*AS$27*0.667)*SQRT(AS2577*AS2569*AS2571))</f>
        <v>43.618647087533986</v>
      </c>
      <c r="AT2576" s="133"/>
      <c r="AU2576" s="155"/>
    </row>
    <row r="2577" spans="13:47" ht="15.5" x14ac:dyDescent="0.4">
      <c r="M2577" s="27"/>
      <c r="N2577" s="27"/>
      <c r="O2577" s="2" t="s">
        <v>192</v>
      </c>
      <c r="P2577" s="85">
        <v>10</v>
      </c>
      <c r="Q2577" s="2"/>
      <c r="R2577" s="181">
        <f>F_GAMMA*R$29</f>
        <v>0.64002688015162901</v>
      </c>
      <c r="S2577" s="133"/>
      <c r="T2577" s="155"/>
      <c r="U2577" s="138">
        <f>F_GAMMA*U$29</f>
        <v>0.64016782916606918</v>
      </c>
      <c r="V2577" s="133"/>
      <c r="W2577" s="155"/>
      <c r="X2577" s="138">
        <f>F_GAMMA*X$29</f>
        <v>0.6307062319203669</v>
      </c>
      <c r="Y2577" s="133"/>
      <c r="Z2577" s="155"/>
      <c r="AA2577" s="138">
        <f>F_GAMMA*AA$29</f>
        <v>0.62217534213893466</v>
      </c>
      <c r="AB2577" s="133"/>
      <c r="AC2577" s="155"/>
      <c r="AD2577" s="138">
        <f>F_GAMMA*AD$29</f>
        <v>0.60557184969146072</v>
      </c>
      <c r="AE2577" s="133"/>
      <c r="AF2577" s="155"/>
      <c r="AG2577" s="138">
        <f>F_GAMMA*AG$29</f>
        <v>0.57289312142622573</v>
      </c>
      <c r="AH2577" s="133"/>
      <c r="AI2577" s="155"/>
      <c r="AJ2577" s="138">
        <f>F_GAMMA*AJ$29</f>
        <v>0.53590819116049981</v>
      </c>
      <c r="AK2577" s="133"/>
      <c r="AL2577" s="155"/>
      <c r="AM2577" s="138">
        <f>F_GAMMA*AM$29</f>
        <v>0.49048815926850342</v>
      </c>
      <c r="AN2577" s="133"/>
      <c r="AO2577" s="155"/>
      <c r="AP2577" s="138">
        <f>F_GAMMA*AP$29</f>
        <v>0.59352979016280105</v>
      </c>
      <c r="AQ2577" s="133"/>
      <c r="AR2577" s="155"/>
      <c r="AS2577" s="138">
        <f>F_GAMMA*AS$29</f>
        <v>0.39097221161068291</v>
      </c>
      <c r="AT2577" s="133"/>
      <c r="AU2577" s="155"/>
    </row>
    <row r="2578" spans="13:47" x14ac:dyDescent="0.25">
      <c r="M2578" s="27"/>
      <c r="N2578" s="27"/>
      <c r="O2578" s="2" t="s">
        <v>193</v>
      </c>
      <c r="P2578" s="134"/>
      <c r="Q2578" s="2"/>
      <c r="R2578" s="181">
        <f>IF(R2573&lt;R2577,R2575,R2576)</f>
        <v>1.7850515394804234</v>
      </c>
      <c r="S2578" s="133"/>
      <c r="T2578" s="155"/>
      <c r="U2578" s="138">
        <f>IF(U2573&lt;U2577,U2575,U2576)</f>
        <v>12.628266381300293</v>
      </c>
      <c r="V2578" s="133"/>
      <c r="W2578" s="155"/>
      <c r="X2578" s="138">
        <f>IF(X2573&lt;X2577,X2575,X2576)</f>
        <v>39.555800302452951</v>
      </c>
      <c r="Y2578" s="133"/>
      <c r="Z2578" s="155"/>
      <c r="AA2578" s="138" t="e">
        <f>IF(AA2573&lt;AA2577,AA2575,AA2576)</f>
        <v>#NUM!</v>
      </c>
      <c r="AB2578" s="133"/>
      <c r="AC2578" s="155"/>
      <c r="AD2578" s="138">
        <f>IF(AD2573&lt;AD2577,AD2575,AD2576)</f>
        <v>102.19966261789433</v>
      </c>
      <c r="AE2578" s="133"/>
      <c r="AF2578" s="155"/>
      <c r="AG2578" s="138">
        <f>IF(AG2573&lt;AG2577,AG2575,AG2576)</f>
        <v>50.795065742601992</v>
      </c>
      <c r="AH2578" s="133"/>
      <c r="AI2578" s="155"/>
      <c r="AJ2578" s="138">
        <f>IF(AJ2573&lt;AJ2577,AJ2575,AJ2576)</f>
        <v>37.792231098484926</v>
      </c>
      <c r="AK2578" s="133"/>
      <c r="AL2578" s="155"/>
      <c r="AM2578" s="138">
        <f>IF(AM2573&lt;AM2577,AM2575,AM2576)</f>
        <v>33.992343410718519</v>
      </c>
      <c r="AN2578" s="133"/>
      <c r="AO2578" s="155"/>
      <c r="AP2578" s="138">
        <f>IF(AP2573&lt;AP2577,AP2575,AP2576)</f>
        <v>30.668344964315704</v>
      </c>
      <c r="AQ2578" s="133"/>
      <c r="AR2578" s="155"/>
      <c r="AS2578" s="138">
        <f>IF(AS2573&lt;AS2577,AS2575,AS2576)</f>
        <v>43.618647087533986</v>
      </c>
      <c r="AT2578" s="133"/>
      <c r="AU2578" s="155"/>
    </row>
    <row r="2579" spans="13:47" ht="13" x14ac:dyDescent="0.3">
      <c r="M2579" s="28"/>
      <c r="N2579" s="28"/>
      <c r="O2579" s="9" t="s">
        <v>194</v>
      </c>
      <c r="P2579" s="1"/>
      <c r="Q2579" s="1"/>
      <c r="R2579" s="135"/>
      <c r="S2579" s="132">
        <f>IF(R2572&lt;=0,W_max,ABS(R$23-R2578))</f>
        <v>0.21494846051957661</v>
      </c>
      <c r="T2579" s="151">
        <f>R2567</f>
        <v>412.51198941827789</v>
      </c>
      <c r="U2579" s="135"/>
      <c r="V2579" s="132">
        <f>IF(U2572&lt;=0,W_max,ABS(U$23-U2578))</f>
        <v>7.6282663813002927</v>
      </c>
      <c r="W2579" s="151">
        <f>U2567</f>
        <v>2813.2366122791759</v>
      </c>
      <c r="X2579" s="135"/>
      <c r="Y2579" s="132">
        <f>IF(X2572&lt;=0,W_max,ABS(X$23-X2578))</f>
        <v>29.555800302452951</v>
      </c>
      <c r="Z2579" s="151">
        <f>X2567</f>
        <v>6957.4689212476369</v>
      </c>
      <c r="AA2579" s="135"/>
      <c r="AB2579" s="132">
        <f>IF(AA2572&lt;=0,W_max,ABS(AA$23-AA2578))</f>
        <v>7174</v>
      </c>
      <c r="AC2579" s="151">
        <f>AA2567</f>
        <v>13551.373596559752</v>
      </c>
      <c r="AD2579" s="135"/>
      <c r="AE2579" s="132">
        <f>IF(AD2572&lt;=0,W_max,ABS(AD$23-AD2578))</f>
        <v>7174</v>
      </c>
      <c r="AF2579" s="151">
        <f>AD2567</f>
        <v>22287.020246597149</v>
      </c>
      <c r="AG2579" s="135"/>
      <c r="AH2579" s="132">
        <f>IF(AG2572&lt;=0,W_max,ABS(AG$23-AG2578))</f>
        <v>7174</v>
      </c>
      <c r="AI2579" s="151">
        <f>AG2567</f>
        <v>31259.261688172468</v>
      </c>
      <c r="AJ2579" s="135"/>
      <c r="AK2579" s="132">
        <f>IF(AJ2572&lt;=0,W_max,ABS(AJ$23-AJ2578))</f>
        <v>7174</v>
      </c>
      <c r="AL2579" s="151">
        <f>AJ2567</f>
        <v>39690.967652998814</v>
      </c>
      <c r="AM2579" s="135"/>
      <c r="AN2579" s="132">
        <f>IF(AM2572&lt;=0,W_max,ABS(AM$23-AM2578))</f>
        <v>7174</v>
      </c>
      <c r="AO2579" s="151">
        <f>AM2567</f>
        <v>46540.781066263713</v>
      </c>
      <c r="AP2579" s="135"/>
      <c r="AQ2579" s="132">
        <f>IF(AP2572&lt;=0,W_max,ABS(AP$23-AP2578))</f>
        <v>7174</v>
      </c>
      <c r="AR2579" s="151">
        <f>AP2567</f>
        <v>51924.076264710922</v>
      </c>
      <c r="AS2579" s="135"/>
      <c r="AT2579" s="132">
        <f>IF(AS2572&lt;=0,W_max,ABS(AS$23-AS2578))</f>
        <v>7174</v>
      </c>
      <c r="AU2579" s="151">
        <f>AS2567</f>
        <v>57930.04831837384</v>
      </c>
    </row>
    <row r="2580" spans="13:47" ht="13" x14ac:dyDescent="0.25">
      <c r="M2580" s="12"/>
      <c r="N2580" s="12"/>
      <c r="O2580" s="2"/>
      <c r="P2580" s="85"/>
      <c r="Q2580" s="2"/>
      <c r="R2580" s="18"/>
      <c r="S2580" s="150"/>
      <c r="T2580" s="152"/>
      <c r="U2580" s="157"/>
      <c r="V2580" s="1"/>
      <c r="W2580" s="147"/>
      <c r="X2580" s="157"/>
      <c r="Y2580" s="1"/>
      <c r="Z2580" s="147"/>
      <c r="AA2580" s="157"/>
      <c r="AB2580" s="1"/>
      <c r="AC2580" s="147"/>
      <c r="AD2580" s="157"/>
      <c r="AE2580" s="1"/>
      <c r="AF2580" s="147"/>
      <c r="AG2580" s="157"/>
      <c r="AH2580" s="1"/>
      <c r="AI2580" s="147"/>
      <c r="AJ2580" s="157"/>
      <c r="AK2580" s="1"/>
      <c r="AL2580" s="147"/>
      <c r="AM2580" s="157"/>
      <c r="AN2580" s="1"/>
      <c r="AO2580" s="147"/>
      <c r="AP2580" s="157"/>
      <c r="AQ2580" s="1"/>
      <c r="AR2580" s="147"/>
      <c r="AS2580" s="157"/>
      <c r="AT2580" s="1"/>
      <c r="AU2580" s="147"/>
    </row>
    <row r="2581" spans="13:47" ht="14" x14ac:dyDescent="0.3">
      <c r="M2581" s="23"/>
      <c r="N2581" s="23"/>
      <c r="O2581" s="23" t="s">
        <v>238</v>
      </c>
      <c r="P2581" s="20"/>
      <c r="Q2581" s="20"/>
      <c r="R2581" s="181">
        <f>R2567*1.02</f>
        <v>420.76222920664344</v>
      </c>
      <c r="S2581" s="128" t="s">
        <v>185</v>
      </c>
      <c r="T2581" s="153" t="s">
        <v>186</v>
      </c>
      <c r="U2581" s="143">
        <f>U2567*1.01</f>
        <v>2841.3689784019675</v>
      </c>
      <c r="V2581" s="128" t="s">
        <v>185</v>
      </c>
      <c r="W2581" s="153" t="s">
        <v>186</v>
      </c>
      <c r="X2581" s="143">
        <f>X2567*1.01</f>
        <v>7027.0436104601131</v>
      </c>
      <c r="Y2581" s="128" t="s">
        <v>185</v>
      </c>
      <c r="Z2581" s="153" t="s">
        <v>186</v>
      </c>
      <c r="AA2581" s="143">
        <f>AA2567*1.01</f>
        <v>13686.88733252535</v>
      </c>
      <c r="AB2581" s="128" t="s">
        <v>185</v>
      </c>
      <c r="AC2581" s="153" t="s">
        <v>186</v>
      </c>
      <c r="AD2581" s="143">
        <f>AD2567*1.01</f>
        <v>22509.890449063121</v>
      </c>
      <c r="AE2581" s="128" t="s">
        <v>185</v>
      </c>
      <c r="AF2581" s="153" t="s">
        <v>186</v>
      </c>
      <c r="AG2581" s="143">
        <f>AG2567*1.01</f>
        <v>31571.854305054192</v>
      </c>
      <c r="AH2581" s="128" t="s">
        <v>185</v>
      </c>
      <c r="AI2581" s="153" t="s">
        <v>186</v>
      </c>
      <c r="AJ2581" s="143">
        <f>AJ2567*1.01</f>
        <v>40087.877329528805</v>
      </c>
      <c r="AK2581" s="128" t="s">
        <v>185</v>
      </c>
      <c r="AL2581" s="153" t="s">
        <v>186</v>
      </c>
      <c r="AM2581" s="143">
        <f>AM2567*1.01</f>
        <v>47006.188876926353</v>
      </c>
      <c r="AN2581" s="128" t="s">
        <v>185</v>
      </c>
      <c r="AO2581" s="153" t="s">
        <v>186</v>
      </c>
      <c r="AP2581" s="143">
        <f>AP2567*1.01</f>
        <v>52443.317027358033</v>
      </c>
      <c r="AQ2581" s="128" t="s">
        <v>185</v>
      </c>
      <c r="AR2581" s="153" t="s">
        <v>186</v>
      </c>
      <c r="AS2581" s="143">
        <f>AS2567*1.01</f>
        <v>58509.348801557579</v>
      </c>
      <c r="AT2581" s="128" t="s">
        <v>185</v>
      </c>
      <c r="AU2581" s="153" t="s">
        <v>186</v>
      </c>
    </row>
    <row r="2582" spans="13:47" ht="14" x14ac:dyDescent="0.3">
      <c r="M2582" s="12"/>
      <c r="N2582" s="12"/>
      <c r="O2582" s="20"/>
      <c r="P2582" s="20"/>
      <c r="Q2582" s="23"/>
      <c r="R2582" s="139"/>
      <c r="S2582" s="130" t="s">
        <v>228</v>
      </c>
      <c r="T2582" s="154" t="s">
        <v>187</v>
      </c>
      <c r="U2582" s="144"/>
      <c r="V2582" s="130" t="s">
        <v>228</v>
      </c>
      <c r="W2582" s="154" t="s">
        <v>187</v>
      </c>
      <c r="X2582" s="144"/>
      <c r="Y2582" s="130" t="s">
        <v>228</v>
      </c>
      <c r="Z2582" s="154" t="s">
        <v>187</v>
      </c>
      <c r="AA2582" s="144"/>
      <c r="AB2582" s="130" t="s">
        <v>228</v>
      </c>
      <c r="AC2582" s="154" t="s">
        <v>187</v>
      </c>
      <c r="AD2582" s="144"/>
      <c r="AE2582" s="130" t="s">
        <v>228</v>
      </c>
      <c r="AF2582" s="154" t="s">
        <v>187</v>
      </c>
      <c r="AG2582" s="144"/>
      <c r="AH2582" s="130" t="s">
        <v>228</v>
      </c>
      <c r="AI2582" s="154" t="s">
        <v>187</v>
      </c>
      <c r="AJ2582" s="144"/>
      <c r="AK2582" s="130" t="s">
        <v>228</v>
      </c>
      <c r="AL2582" s="154" t="s">
        <v>187</v>
      </c>
      <c r="AM2582" s="144"/>
      <c r="AN2582" s="130" t="s">
        <v>228</v>
      </c>
      <c r="AO2582" s="154" t="s">
        <v>187</v>
      </c>
      <c r="AP2582" s="144"/>
      <c r="AQ2582" s="130" t="s">
        <v>228</v>
      </c>
      <c r="AR2582" s="154" t="s">
        <v>187</v>
      </c>
      <c r="AS2582" s="144"/>
      <c r="AT2582" s="130" t="s">
        <v>228</v>
      </c>
      <c r="AU2582" s="154" t="s">
        <v>187</v>
      </c>
    </row>
    <row r="2583" spans="13:47" x14ac:dyDescent="0.25">
      <c r="M2583" s="20"/>
      <c r="N2583" s="20"/>
      <c r="O2583" s="7" t="s">
        <v>188</v>
      </c>
      <c r="P2583" s="7"/>
      <c r="Q2583" s="7"/>
      <c r="R2583" s="181">
        <f>P_1_minW-(R2581^2*R_up)+dpup_minQ</f>
        <v>100.45218960083484</v>
      </c>
      <c r="S2583" s="132"/>
      <c r="T2583" s="145"/>
      <c r="U2583" s="138">
        <f>P_1_minW-(U2581^2*R_up)+dpup_minQ</f>
        <v>97.303431829530652</v>
      </c>
      <c r="V2583" s="132"/>
      <c r="W2583" s="145"/>
      <c r="X2583" s="138">
        <f>P_1_minW-(X2581^2*R_up)+dpup_minQ</f>
        <v>80.832189673097915</v>
      </c>
      <c r="Y2583" s="132"/>
      <c r="Z2583" s="145"/>
      <c r="AA2583" s="138">
        <f>P_1_minW-(AA2581^2*R_up)+dpup_minQ</f>
        <v>25.822379055288593</v>
      </c>
      <c r="AB2583" s="132"/>
      <c r="AC2583" s="145"/>
      <c r="AD2583" s="138">
        <f>P_1_minW-(AD2581^2*R_up)+dpup_minQ</f>
        <v>-101.52790902345326</v>
      </c>
      <c r="AE2583" s="132"/>
      <c r="AF2583" s="145"/>
      <c r="AG2583" s="138">
        <f>P_1_minW-(AG2581^2*R_up)+dpup_minQ</f>
        <v>-296.95582791902245</v>
      </c>
      <c r="AH2583" s="132"/>
      <c r="AI2583" s="145"/>
      <c r="AJ2583" s="138">
        <f>P_1_minW-(AJ2581^2*R_up)+dpup_minQ</f>
        <v>-540.30260113237171</v>
      </c>
      <c r="AK2583" s="132"/>
      <c r="AL2583" s="145"/>
      <c r="AM2583" s="138">
        <f>P_1_minW-(AM2581^2*R_up)+dpup_minQ</f>
        <v>-780.5741068799656</v>
      </c>
      <c r="AN2583" s="132"/>
      <c r="AO2583" s="145"/>
      <c r="AP2583" s="138">
        <f>P_1_minW-(AP2581^2*R_up)+dpup_minQ</f>
        <v>-996.19249072524087</v>
      </c>
      <c r="AQ2583" s="132"/>
      <c r="AR2583" s="145"/>
      <c r="AS2583" s="138">
        <f>P_1_minW-(AS2581^2*R_up)+dpup_minQ</f>
        <v>-1264.576112751316</v>
      </c>
      <c r="AT2583" s="132"/>
      <c r="AU2583" s="145"/>
    </row>
    <row r="2584" spans="13:47" x14ac:dyDescent="0.25">
      <c r="M2584" s="20"/>
      <c r="N2584" s="20"/>
      <c r="O2584" s="7" t="s">
        <v>189</v>
      </c>
      <c r="P2584" s="1"/>
      <c r="Q2584" s="7"/>
      <c r="R2584" s="181">
        <f>P_2_minW+(R2581^2*R_dn)-dpdn_minQ</f>
        <v>50</v>
      </c>
      <c r="S2584" s="132"/>
      <c r="T2584" s="146"/>
      <c r="U2584" s="138">
        <f>P_2_minW+(U2581^2*R_dn)-dpdn_minQ</f>
        <v>50</v>
      </c>
      <c r="V2584" s="132"/>
      <c r="W2584" s="146"/>
      <c r="X2584" s="138">
        <f>P_2_minW+(X2581^2*R_dn)-dpdn_minQ</f>
        <v>50</v>
      </c>
      <c r="Y2584" s="132"/>
      <c r="Z2584" s="146"/>
      <c r="AA2584" s="138">
        <f>P_2_minW+(AA2581^2*R_dn)-dpdn_minQ</f>
        <v>50</v>
      </c>
      <c r="AB2584" s="132"/>
      <c r="AC2584" s="146"/>
      <c r="AD2584" s="138">
        <f>P_2_minW+(AD2581^2*R_dn)-dpdn_minQ</f>
        <v>50</v>
      </c>
      <c r="AE2584" s="132"/>
      <c r="AF2584" s="146"/>
      <c r="AG2584" s="138">
        <f>P_2_minW+(AG2581^2*R_dn)-dpdn_minQ</f>
        <v>50</v>
      </c>
      <c r="AH2584" s="132"/>
      <c r="AI2584" s="146"/>
      <c r="AJ2584" s="138">
        <f>P_2_minW+(AJ2581^2*R_dn)-dpdn_minQ</f>
        <v>50</v>
      </c>
      <c r="AK2584" s="132"/>
      <c r="AL2584" s="146"/>
      <c r="AM2584" s="138">
        <f>P_2_minW+(AM2581^2*R_dn)-dpdn_minQ</f>
        <v>50</v>
      </c>
      <c r="AN2584" s="132"/>
      <c r="AO2584" s="146"/>
      <c r="AP2584" s="138">
        <f>P_2_minW+(AP2581^2*R_dn)-dpdn_minQ</f>
        <v>50</v>
      </c>
      <c r="AQ2584" s="132"/>
      <c r="AR2584" s="146"/>
      <c r="AS2584" s="138">
        <f>P_2_minW+(AS2581^2*R_dn)-dpdn_minQ</f>
        <v>50</v>
      </c>
      <c r="AT2584" s="132"/>
      <c r="AU2584" s="146"/>
    </row>
    <row r="2585" spans="13:47" x14ac:dyDescent="0.25">
      <c r="M2585" s="20"/>
      <c r="N2585" s="20"/>
      <c r="O2585" s="7" t="s">
        <v>234</v>
      </c>
      <c r="P2585" s="1"/>
      <c r="Q2585" s="7"/>
      <c r="R2585" s="179">
        <f>'Valve Sizing'!G$8*R2583/P_1_maxW</f>
        <v>0.48456347822439383</v>
      </c>
      <c r="S2585" s="132"/>
      <c r="T2585" s="146"/>
      <c r="U2585" s="143">
        <f>'Valve Sizing'!$G$8*U2583/P_1_maxW</f>
        <v>0.46937443133739032</v>
      </c>
      <c r="V2585" s="132"/>
      <c r="W2585" s="146"/>
      <c r="X2585" s="143">
        <f>'Valve Sizing'!$G$8*X2583/P_1_maxW</f>
        <v>0.38992009169867548</v>
      </c>
      <c r="Y2585" s="132"/>
      <c r="Z2585" s="146"/>
      <c r="AA2585" s="143">
        <f>'Valve Sizing'!$G$8*AA2583/P_1_maxW</f>
        <v>0.12456255917148658</v>
      </c>
      <c r="AB2585" s="132"/>
      <c r="AC2585" s="146"/>
      <c r="AD2585" s="143">
        <f>'Valve Sizing'!$G$8*AD2583/P_1_maxW</f>
        <v>-0.48975255719906646</v>
      </c>
      <c r="AE2585" s="132"/>
      <c r="AF2585" s="146"/>
      <c r="AG2585" s="143">
        <f>'Valve Sizing'!$G$8*AG2583/P_1_maxW</f>
        <v>-1.4324620441548865</v>
      </c>
      <c r="AH2585" s="132"/>
      <c r="AI2585" s="146"/>
      <c r="AJ2585" s="143">
        <f>'Valve Sizing'!$G$8*AJ2583/P_1_maxW</f>
        <v>-2.6063235529135094</v>
      </c>
      <c r="AK2585" s="132"/>
      <c r="AL2585" s="146"/>
      <c r="AM2585" s="143">
        <f>'Valve Sizing'!$G$8*AM2583/P_1_maxW</f>
        <v>-3.7653505189349543</v>
      </c>
      <c r="AN2585" s="132"/>
      <c r="AO2585" s="146"/>
      <c r="AP2585" s="143">
        <f>'Valve Sizing'!$G$8*AP2583/P_1_maxW</f>
        <v>-4.8054552141174351</v>
      </c>
      <c r="AQ2585" s="132"/>
      <c r="AR2585" s="146"/>
      <c r="AS2585" s="143">
        <f>'Valve Sizing'!$G$8*AS2583/P_1_maxW</f>
        <v>-6.100090024012462</v>
      </c>
      <c r="AT2585" s="132"/>
      <c r="AU2585" s="146"/>
    </row>
    <row r="2586" spans="13:47" x14ac:dyDescent="0.25">
      <c r="M2586" s="20"/>
      <c r="N2586" s="20"/>
      <c r="O2586" s="7" t="s">
        <v>190</v>
      </c>
      <c r="P2586" s="1"/>
      <c r="Q2586" s="7"/>
      <c r="R2586" s="181">
        <f>R2583-R2584</f>
        <v>50.452189600834842</v>
      </c>
      <c r="S2586" s="132"/>
      <c r="T2586" s="146"/>
      <c r="U2586" s="138">
        <f>U2583-U2584</f>
        <v>47.303431829530652</v>
      </c>
      <c r="V2586" s="132"/>
      <c r="W2586" s="146"/>
      <c r="X2586" s="138">
        <f>X2583-X2584</f>
        <v>30.832189673097915</v>
      </c>
      <c r="Y2586" s="132"/>
      <c r="Z2586" s="146"/>
      <c r="AA2586" s="138">
        <f>AA2583-AA2584</f>
        <v>-24.177620944711407</v>
      </c>
      <c r="AB2586" s="132"/>
      <c r="AC2586" s="146"/>
      <c r="AD2586" s="138">
        <f>AD2583-AD2584</f>
        <v>-151.52790902345328</v>
      </c>
      <c r="AE2586" s="132"/>
      <c r="AF2586" s="146"/>
      <c r="AG2586" s="138">
        <f>AG2583-AG2584</f>
        <v>-346.95582791902245</v>
      </c>
      <c r="AH2586" s="132"/>
      <c r="AI2586" s="146"/>
      <c r="AJ2586" s="138">
        <f>AJ2583-AJ2584</f>
        <v>-590.30260113237171</v>
      </c>
      <c r="AK2586" s="132"/>
      <c r="AL2586" s="146"/>
      <c r="AM2586" s="138">
        <f>AM2583-AM2584</f>
        <v>-830.5741068799656</v>
      </c>
      <c r="AN2586" s="132"/>
      <c r="AO2586" s="146"/>
      <c r="AP2586" s="138">
        <f>AP2583-AP2584</f>
        <v>-1046.192490725241</v>
      </c>
      <c r="AQ2586" s="132"/>
      <c r="AR2586" s="146"/>
      <c r="AS2586" s="138">
        <f>AS2583-AS2584</f>
        <v>-1314.576112751316</v>
      </c>
      <c r="AT2586" s="132"/>
      <c r="AU2586" s="146"/>
    </row>
    <row r="2587" spans="13:47" ht="14.5" x14ac:dyDescent="0.35">
      <c r="M2587" s="27"/>
      <c r="N2587" s="27"/>
      <c r="O2587" s="2" t="s">
        <v>191</v>
      </c>
      <c r="P2587" s="10"/>
      <c r="Q2587" s="2"/>
      <c r="R2587" s="181">
        <f>R2586/R2583</f>
        <v>0.50225077025514175</v>
      </c>
      <c r="S2587" s="132"/>
      <c r="T2587" s="146"/>
      <c r="U2587" s="138">
        <f>U2586/U2583</f>
        <v>0.48614350943349272</v>
      </c>
      <c r="V2587" s="132"/>
      <c r="W2587" s="146"/>
      <c r="X2587" s="138">
        <f>X2586/X2583</f>
        <v>0.38143454727367482</v>
      </c>
      <c r="Y2587" s="132"/>
      <c r="Z2587" s="146"/>
      <c r="AA2587" s="138">
        <f>AA2586/AA2583</f>
        <v>-0.93630493506986423</v>
      </c>
      <c r="AB2587" s="132"/>
      <c r="AC2587" s="146"/>
      <c r="AD2587" s="138">
        <f>AD2586/AD2583</f>
        <v>1.4924754235650599</v>
      </c>
      <c r="AE2587" s="132"/>
      <c r="AF2587" s="146"/>
      <c r="AG2587" s="138">
        <f>AG2586/AG2583</f>
        <v>1.1683752103819112</v>
      </c>
      <c r="AH2587" s="132"/>
      <c r="AI2587" s="146"/>
      <c r="AJ2587" s="138">
        <f>AJ2586/AJ2583</f>
        <v>1.0925407353124148</v>
      </c>
      <c r="AK2587" s="132"/>
      <c r="AL2587" s="146"/>
      <c r="AM2587" s="138">
        <f>AM2586/AM2583</f>
        <v>1.0640554171081271</v>
      </c>
      <c r="AN2587" s="132"/>
      <c r="AO2587" s="146"/>
      <c r="AP2587" s="138">
        <f>AP2586/AP2583</f>
        <v>1.0501911030905278</v>
      </c>
      <c r="AQ2587" s="132"/>
      <c r="AR2587" s="146"/>
      <c r="AS2587" s="138">
        <f>AS2586/AS2583</f>
        <v>1.039538940753211</v>
      </c>
      <c r="AT2587" s="132"/>
      <c r="AU2587" s="146"/>
    </row>
    <row r="2588" spans="13:47" x14ac:dyDescent="0.25">
      <c r="M2588" s="27"/>
      <c r="N2588" s="27"/>
      <c r="O2588" s="2" t="s">
        <v>26</v>
      </c>
      <c r="P2588" s="7">
        <v>12</v>
      </c>
      <c r="Q2588" s="2"/>
      <c r="R2588" s="181">
        <f>1-R2587/(3*F_GAMMA*R$29)</f>
        <v>0.73842204349492668</v>
      </c>
      <c r="S2588" s="133"/>
      <c r="T2588" s="146"/>
      <c r="U2588" s="138">
        <f>1-U2587/(3*F_GAMMA*U$29)</f>
        <v>0.74686663544319831</v>
      </c>
      <c r="V2588" s="133"/>
      <c r="W2588" s="146"/>
      <c r="X2588" s="138">
        <f>1-X2587/(3*F_GAMMA*X$29)</f>
        <v>0.79840876361076085</v>
      </c>
      <c r="Y2588" s="133"/>
      <c r="Z2588" s="146"/>
      <c r="AA2588" s="138">
        <f>1-AA2587/(3*F_GAMMA*AA$29)</f>
        <v>1.5016297237854763</v>
      </c>
      <c r="AB2588" s="133"/>
      <c r="AC2588" s="146"/>
      <c r="AD2588" s="138">
        <f>1-AD2587/(3*F_GAMMA*AD$29)</f>
        <v>0.17847600064551816</v>
      </c>
      <c r="AE2588" s="133"/>
      <c r="AF2588" s="146"/>
      <c r="AG2588" s="138">
        <f>1-AG2587/(3*F_GAMMA*AG$29)</f>
        <v>0.32019012116767143</v>
      </c>
      <c r="AH2588" s="133"/>
      <c r="AI2588" s="146"/>
      <c r="AJ2588" s="138">
        <f>1-AJ2587/(3*F_GAMMA*AJ$29)</f>
        <v>0.32044284616080909</v>
      </c>
      <c r="AK2588" s="133"/>
      <c r="AL2588" s="146"/>
      <c r="AM2588" s="138">
        <f>1-AM2587/(3*F_GAMMA*AM$29)</f>
        <v>0.27687318779518111</v>
      </c>
      <c r="AN2588" s="133"/>
      <c r="AO2588" s="146"/>
      <c r="AP2588" s="138">
        <f>1-AP2587/(3*F_GAMMA*AP$29)</f>
        <v>0.41020028508736528</v>
      </c>
      <c r="AQ2588" s="133"/>
      <c r="AR2588" s="146"/>
      <c r="AS2588" s="138">
        <f>1-AS2587/(3*F_GAMMA*AS$29)</f>
        <v>0.11371455576460154</v>
      </c>
      <c r="AT2588" s="133"/>
      <c r="AU2588" s="146"/>
    </row>
    <row r="2589" spans="13:47" x14ac:dyDescent="0.25">
      <c r="M2589" s="27"/>
      <c r="N2589" s="27"/>
      <c r="O2589" s="2" t="s">
        <v>71</v>
      </c>
      <c r="P2589" s="85">
        <v>5</v>
      </c>
      <c r="Q2589" s="2"/>
      <c r="R2589" s="179">
        <f>R2581/((N_6*R$27*R2588)*SQRT(R2587*R2583*R2585))</f>
        <v>1.8208094365844207</v>
      </c>
      <c r="S2589" s="133"/>
      <c r="T2589" s="146"/>
      <c r="U2589" s="143">
        <f>U2581/((N_6*U$27*U2588)*SQRT(U2587*U2583*U2585))</f>
        <v>12.764277863001915</v>
      </c>
      <c r="V2589" s="133"/>
      <c r="W2589" s="146"/>
      <c r="X2589" s="143">
        <f>X2581/((N_6*X$27*X2588)*SQRT(X2587*X2583*X2585))</f>
        <v>40.219484360192823</v>
      </c>
      <c r="Y2589" s="133"/>
      <c r="Z2589" s="146"/>
      <c r="AA2589" s="143" t="e">
        <f>AA2581/((N_6*AA$27*AA2588)*SQRT(AA2587*AA2583*AA2585))</f>
        <v>#NUM!</v>
      </c>
      <c r="AB2589" s="133"/>
      <c r="AC2589" s="146"/>
      <c r="AD2589" s="143">
        <f>AD2581/((N_6*AD$27*AD2588)*SQRT(AD2587*AD2583*AD2585))</f>
        <v>236.08765751021693</v>
      </c>
      <c r="AE2589" s="133"/>
      <c r="AF2589" s="146"/>
      <c r="AG2589" s="143">
        <f>AG2581/((N_6*AG$27*AG2588)*SQRT(AG2587*AG2583*AG2585))</f>
        <v>72.861587084447152</v>
      </c>
      <c r="AH2589" s="133"/>
      <c r="AI2589" s="146"/>
      <c r="AJ2589" s="143">
        <f>AJ2581/((N_6*AJ$27*AJ2588)*SQRT(AJ2587*AJ2583*AJ2585))</f>
        <v>54.344508307901968</v>
      </c>
      <c r="AK2589" s="133"/>
      <c r="AL2589" s="146"/>
      <c r="AM2589" s="143">
        <f>AM2581/((N_6*AM$27*AM2588)*SQRT(AM2587*AM2583*AM2585))</f>
        <v>54.904909595821877</v>
      </c>
      <c r="AN2589" s="133"/>
      <c r="AO2589" s="146"/>
      <c r="AP2589" s="143">
        <f>AP2581/((N_6*AP$27*AP2588)*SQRT(AP2587*AP2583*AP2585))</f>
        <v>37.04283282062903</v>
      </c>
      <c r="AQ2589" s="133"/>
      <c r="AR2589" s="146"/>
      <c r="AS2589" s="143">
        <f>AS2581/((N_6*AS$27*AS2588)*SQRT(AS2587*AS2583*AS2585))</f>
        <v>155.10246375926425</v>
      </c>
      <c r="AT2589" s="133"/>
      <c r="AU2589" s="146"/>
    </row>
    <row r="2590" spans="13:47" x14ac:dyDescent="0.25">
      <c r="M2590" s="27"/>
      <c r="N2590" s="27"/>
      <c r="O2590" s="2" t="s">
        <v>73</v>
      </c>
      <c r="P2590" s="85">
        <v>5</v>
      </c>
      <c r="Q2590" s="2"/>
      <c r="R2590" s="179">
        <f>R2581/((N_6*R$27*0.667)*SQRT(R2591*R2583*R2585))</f>
        <v>1.7856836127996154</v>
      </c>
      <c r="S2590" s="133"/>
      <c r="T2590" s="155"/>
      <c r="U2590" s="143">
        <f>U2581/((N_6*U$27*0.667)*SQRT(U2591*U2583*U2585))</f>
        <v>12.455145282875966</v>
      </c>
      <c r="V2590" s="133"/>
      <c r="W2590" s="155"/>
      <c r="X2590" s="143">
        <f>X2581/((N_6*X$27*0.667)*SQRT(X2591*X2583*X2585))</f>
        <v>37.439704411678157</v>
      </c>
      <c r="Y2590" s="133"/>
      <c r="Z2590" s="155"/>
      <c r="AA2590" s="143">
        <f>AA2581/((N_6*AA$27*0.667)*SQRT(AA2591*AA2583*AA2585))</f>
        <v>231.15340325161768</v>
      </c>
      <c r="AB2590" s="133"/>
      <c r="AC2590" s="155"/>
      <c r="AD2590" s="143">
        <f>AD2581/((N_6*AD$27*0.667)*SQRT(AD2591*AD2583*AD2585))</f>
        <v>99.174045573219786</v>
      </c>
      <c r="AE2590" s="133"/>
      <c r="AF2590" s="155"/>
      <c r="AG2590" s="143">
        <f>AG2581/((N_6*AG$27*0.667)*SQRT(AG2591*AG2583*AG2585))</f>
        <v>49.949953067728352</v>
      </c>
      <c r="AH2590" s="133"/>
      <c r="AI2590" s="155"/>
      <c r="AJ2590" s="143">
        <f>AJ2581/((N_6*AJ$27*0.667)*SQRT(AJ2591*AJ2583*AJ2585))</f>
        <v>37.278122576462565</v>
      </c>
      <c r="AK2590" s="133"/>
      <c r="AL2590" s="155"/>
      <c r="AM2590" s="143">
        <f>AM2581/((N_6*AM$27*0.667)*SQRT(AM2591*AM2583*AM2585))</f>
        <v>33.568667901874989</v>
      </c>
      <c r="AN2590" s="133"/>
      <c r="AO2590" s="155"/>
      <c r="AP2590" s="143">
        <f>AP2581/((N_6*AP$27*0.667)*SQRT(AP2591*AP2583*AP2585))</f>
        <v>30.303111377290605</v>
      </c>
      <c r="AQ2590" s="133"/>
      <c r="AR2590" s="155"/>
      <c r="AS2590" s="143">
        <f>AS2581/((N_6*AS$27*0.667)*SQRT(AS2591*AS2583*AS2585))</f>
        <v>43.117776541208436</v>
      </c>
      <c r="AT2590" s="133"/>
      <c r="AU2590" s="155"/>
    </row>
    <row r="2591" spans="13:47" ht="15.5" x14ac:dyDescent="0.4">
      <c r="M2591" s="27"/>
      <c r="N2591" s="27"/>
      <c r="O2591" s="2" t="s">
        <v>192</v>
      </c>
      <c r="P2591" s="85">
        <v>10</v>
      </c>
      <c r="Q2591" s="2"/>
      <c r="R2591" s="181">
        <f>F_GAMMA*R$29</f>
        <v>0.64002688015162901</v>
      </c>
      <c r="S2591" s="133"/>
      <c r="T2591" s="155"/>
      <c r="U2591" s="138">
        <f>F_GAMMA*U$29</f>
        <v>0.64016782916606918</v>
      </c>
      <c r="V2591" s="133"/>
      <c r="W2591" s="155"/>
      <c r="X2591" s="138">
        <f>F_GAMMA*X$29</f>
        <v>0.6307062319203669</v>
      </c>
      <c r="Y2591" s="133"/>
      <c r="Z2591" s="155"/>
      <c r="AA2591" s="138">
        <f>F_GAMMA*AA$29</f>
        <v>0.62217534213893466</v>
      </c>
      <c r="AB2591" s="133"/>
      <c r="AC2591" s="155"/>
      <c r="AD2591" s="138">
        <f>F_GAMMA*AD$29</f>
        <v>0.60557184969146072</v>
      </c>
      <c r="AE2591" s="133"/>
      <c r="AF2591" s="155"/>
      <c r="AG2591" s="138">
        <f>F_GAMMA*AG$29</f>
        <v>0.57289312142622573</v>
      </c>
      <c r="AH2591" s="133"/>
      <c r="AI2591" s="155"/>
      <c r="AJ2591" s="138">
        <f>F_GAMMA*AJ$29</f>
        <v>0.53590819116049981</v>
      </c>
      <c r="AK2591" s="133"/>
      <c r="AL2591" s="155"/>
      <c r="AM2591" s="138">
        <f>F_GAMMA*AM$29</f>
        <v>0.49048815926850342</v>
      </c>
      <c r="AN2591" s="133"/>
      <c r="AO2591" s="155"/>
      <c r="AP2591" s="138">
        <f>F_GAMMA*AP$29</f>
        <v>0.59352979016280105</v>
      </c>
      <c r="AQ2591" s="133"/>
      <c r="AR2591" s="155"/>
      <c r="AS2591" s="138">
        <f>F_GAMMA*AS$29</f>
        <v>0.39097221161068291</v>
      </c>
      <c r="AT2591" s="133"/>
      <c r="AU2591" s="155"/>
    </row>
    <row r="2592" spans="13:47" x14ac:dyDescent="0.25">
      <c r="M2592" s="27"/>
      <c r="N2592" s="27"/>
      <c r="O2592" s="2" t="s">
        <v>193</v>
      </c>
      <c r="P2592" s="134"/>
      <c r="Q2592" s="2"/>
      <c r="R2592" s="181">
        <f>IF(R2587&lt;R2591,R2589,R2590)</f>
        <v>1.8208094365844207</v>
      </c>
      <c r="S2592" s="133"/>
      <c r="T2592" s="155"/>
      <c r="U2592" s="138">
        <f>IF(U2587&lt;U2591,U2589,U2590)</f>
        <v>12.764277863001915</v>
      </c>
      <c r="V2592" s="133"/>
      <c r="W2592" s="155"/>
      <c r="X2592" s="138">
        <f>IF(X2587&lt;X2591,X2589,X2590)</f>
        <v>40.219484360192823</v>
      </c>
      <c r="Y2592" s="133"/>
      <c r="Z2592" s="155"/>
      <c r="AA2592" s="138" t="e">
        <f>IF(AA2587&lt;AA2591,AA2589,AA2590)</f>
        <v>#NUM!</v>
      </c>
      <c r="AB2592" s="133"/>
      <c r="AC2592" s="155"/>
      <c r="AD2592" s="138">
        <f>IF(AD2587&lt;AD2591,AD2589,AD2590)</f>
        <v>99.174045573219786</v>
      </c>
      <c r="AE2592" s="133"/>
      <c r="AF2592" s="155"/>
      <c r="AG2592" s="138">
        <f>IF(AG2587&lt;AG2591,AG2589,AG2590)</f>
        <v>49.949953067728352</v>
      </c>
      <c r="AH2592" s="133"/>
      <c r="AI2592" s="155"/>
      <c r="AJ2592" s="138">
        <f>IF(AJ2587&lt;AJ2591,AJ2589,AJ2590)</f>
        <v>37.278122576462565</v>
      </c>
      <c r="AK2592" s="133"/>
      <c r="AL2592" s="155"/>
      <c r="AM2592" s="138">
        <f>IF(AM2587&lt;AM2591,AM2589,AM2590)</f>
        <v>33.568667901874989</v>
      </c>
      <c r="AN2592" s="133"/>
      <c r="AO2592" s="155"/>
      <c r="AP2592" s="138">
        <f>IF(AP2587&lt;AP2591,AP2589,AP2590)</f>
        <v>30.303111377290605</v>
      </c>
      <c r="AQ2592" s="133"/>
      <c r="AR2592" s="155"/>
      <c r="AS2592" s="138">
        <f>IF(AS2587&lt;AS2591,AS2589,AS2590)</f>
        <v>43.117776541208436</v>
      </c>
      <c r="AT2592" s="133"/>
      <c r="AU2592" s="155"/>
    </row>
    <row r="2593" spans="13:47" ht="13" x14ac:dyDescent="0.3">
      <c r="M2593" s="28"/>
      <c r="N2593" s="28"/>
      <c r="O2593" s="9" t="s">
        <v>194</v>
      </c>
      <c r="P2593" s="1"/>
      <c r="Q2593" s="1"/>
      <c r="R2593" s="135"/>
      <c r="S2593" s="132">
        <f>IF(R2586&lt;=0,W_max,ABS(R$23-R2592))</f>
        <v>0.17919056341557926</v>
      </c>
      <c r="T2593" s="151">
        <f>R2581</f>
        <v>420.76222920664344</v>
      </c>
      <c r="U2593" s="135"/>
      <c r="V2593" s="132">
        <f>IF(U2586&lt;=0,W_max,ABS(U$23-U2592))</f>
        <v>7.7642778630019151</v>
      </c>
      <c r="W2593" s="151">
        <f>U2581</f>
        <v>2841.3689784019675</v>
      </c>
      <c r="X2593" s="135"/>
      <c r="Y2593" s="132">
        <f>IF(X2586&lt;=0,W_max,ABS(X$23-X2592))</f>
        <v>30.219484360192823</v>
      </c>
      <c r="Z2593" s="151">
        <f>X2581</f>
        <v>7027.0436104601131</v>
      </c>
      <c r="AA2593" s="135"/>
      <c r="AB2593" s="132">
        <f>IF(AA2586&lt;=0,W_max,ABS(AA$23-AA2592))</f>
        <v>7174</v>
      </c>
      <c r="AC2593" s="151">
        <f>AA2581</f>
        <v>13686.88733252535</v>
      </c>
      <c r="AD2593" s="135"/>
      <c r="AE2593" s="132">
        <f>IF(AD2586&lt;=0,W_max,ABS(AD$23-AD2592))</f>
        <v>7174</v>
      </c>
      <c r="AF2593" s="151">
        <f>AD2581</f>
        <v>22509.890449063121</v>
      </c>
      <c r="AG2593" s="135"/>
      <c r="AH2593" s="132">
        <f>IF(AG2586&lt;=0,W_max,ABS(AG$23-AG2592))</f>
        <v>7174</v>
      </c>
      <c r="AI2593" s="151">
        <f>AG2581</f>
        <v>31571.854305054192</v>
      </c>
      <c r="AJ2593" s="135"/>
      <c r="AK2593" s="132">
        <f>IF(AJ2586&lt;=0,W_max,ABS(AJ$23-AJ2592))</f>
        <v>7174</v>
      </c>
      <c r="AL2593" s="151">
        <f>AJ2581</f>
        <v>40087.877329528805</v>
      </c>
      <c r="AM2593" s="135"/>
      <c r="AN2593" s="132">
        <f>IF(AM2586&lt;=0,W_max,ABS(AM$23-AM2592))</f>
        <v>7174</v>
      </c>
      <c r="AO2593" s="151">
        <f>AM2581</f>
        <v>47006.188876926353</v>
      </c>
      <c r="AP2593" s="135"/>
      <c r="AQ2593" s="132">
        <f>IF(AP2586&lt;=0,W_max,ABS(AP$23-AP2592))</f>
        <v>7174</v>
      </c>
      <c r="AR2593" s="151">
        <f>AP2581</f>
        <v>52443.317027358033</v>
      </c>
      <c r="AS2593" s="135"/>
      <c r="AT2593" s="132">
        <f>IF(AS2586&lt;=0,W_max,ABS(AS$23-AS2592))</f>
        <v>7174</v>
      </c>
      <c r="AU2593" s="151">
        <f>AS2581</f>
        <v>58509.348801557579</v>
      </c>
    </row>
    <row r="2594" spans="13:47" ht="13" x14ac:dyDescent="0.25">
      <c r="M2594" s="12"/>
      <c r="N2594" s="12"/>
      <c r="O2594" s="2"/>
      <c r="P2594" s="85"/>
      <c r="Q2594" s="2"/>
      <c r="R2594" s="18"/>
      <c r="S2594" s="150"/>
      <c r="T2594" s="148"/>
      <c r="U2594" s="157"/>
      <c r="V2594" s="1"/>
      <c r="W2594" s="147"/>
      <c r="X2594" s="157"/>
      <c r="Y2594" s="1"/>
      <c r="Z2594" s="147"/>
      <c r="AA2594" s="157"/>
      <c r="AB2594" s="1"/>
      <c r="AC2594" s="147"/>
      <c r="AD2594" s="157"/>
      <c r="AE2594" s="1"/>
      <c r="AF2594" s="147"/>
      <c r="AG2594" s="157"/>
      <c r="AH2594" s="1"/>
      <c r="AI2594" s="147"/>
      <c r="AJ2594" s="157"/>
      <c r="AK2594" s="1"/>
      <c r="AL2594" s="147"/>
      <c r="AM2594" s="157"/>
      <c r="AN2594" s="1"/>
      <c r="AO2594" s="147"/>
      <c r="AP2594" s="157"/>
      <c r="AQ2594" s="1"/>
      <c r="AR2594" s="147"/>
      <c r="AS2594" s="157"/>
      <c r="AT2594" s="1"/>
      <c r="AU2594" s="147"/>
    </row>
    <row r="2595" spans="13:47" ht="14" x14ac:dyDescent="0.3">
      <c r="M2595" s="23"/>
      <c r="N2595" s="23"/>
      <c r="O2595" s="23" t="s">
        <v>238</v>
      </c>
      <c r="P2595" s="20"/>
      <c r="Q2595" s="20"/>
      <c r="R2595" s="181">
        <f>R2581*1.02</f>
        <v>429.17747379077633</v>
      </c>
      <c r="S2595" s="128" t="s">
        <v>185</v>
      </c>
      <c r="T2595" s="149" t="s">
        <v>186</v>
      </c>
      <c r="U2595" s="143">
        <f>U2581*1.01</f>
        <v>2869.7826681859874</v>
      </c>
      <c r="V2595" s="128" t="s">
        <v>185</v>
      </c>
      <c r="W2595" s="153" t="s">
        <v>186</v>
      </c>
      <c r="X2595" s="143">
        <f>X2581*1.01</f>
        <v>7097.3140465647139</v>
      </c>
      <c r="Y2595" s="128" t="s">
        <v>185</v>
      </c>
      <c r="Z2595" s="153" t="s">
        <v>186</v>
      </c>
      <c r="AA2595" s="143">
        <f>AA2581*1.01</f>
        <v>13823.756205850603</v>
      </c>
      <c r="AB2595" s="128" t="s">
        <v>185</v>
      </c>
      <c r="AC2595" s="153" t="s">
        <v>186</v>
      </c>
      <c r="AD2595" s="143">
        <f>AD2581*1.01</f>
        <v>22734.989353553752</v>
      </c>
      <c r="AE2595" s="128" t="s">
        <v>185</v>
      </c>
      <c r="AF2595" s="153" t="s">
        <v>186</v>
      </c>
      <c r="AG2595" s="143">
        <f>AG2581*1.01</f>
        <v>31887.572848104734</v>
      </c>
      <c r="AH2595" s="128" t="s">
        <v>185</v>
      </c>
      <c r="AI2595" s="153" t="s">
        <v>186</v>
      </c>
      <c r="AJ2595" s="143">
        <f>AJ2581*1.01</f>
        <v>40488.756102824096</v>
      </c>
      <c r="AK2595" s="128" t="s">
        <v>185</v>
      </c>
      <c r="AL2595" s="153" t="s">
        <v>186</v>
      </c>
      <c r="AM2595" s="143">
        <f>AM2581*1.01</f>
        <v>47476.250765695615</v>
      </c>
      <c r="AN2595" s="128" t="s">
        <v>185</v>
      </c>
      <c r="AO2595" s="153" t="s">
        <v>186</v>
      </c>
      <c r="AP2595" s="143">
        <f>AP2581*1.01</f>
        <v>52967.750197631613</v>
      </c>
      <c r="AQ2595" s="128" t="s">
        <v>185</v>
      </c>
      <c r="AR2595" s="153" t="s">
        <v>186</v>
      </c>
      <c r="AS2595" s="143">
        <f>AS2581*1.01</f>
        <v>59094.442289573155</v>
      </c>
      <c r="AT2595" s="128" t="s">
        <v>185</v>
      </c>
      <c r="AU2595" s="153" t="s">
        <v>186</v>
      </c>
    </row>
    <row r="2596" spans="13:47" ht="14" x14ac:dyDescent="0.3">
      <c r="M2596" s="12"/>
      <c r="N2596" s="12"/>
      <c r="O2596" s="20"/>
      <c r="P2596" s="20"/>
      <c r="Q2596" s="23"/>
      <c r="R2596" s="139"/>
      <c r="S2596" s="130" t="s">
        <v>228</v>
      </c>
      <c r="T2596" s="131" t="s">
        <v>187</v>
      </c>
      <c r="U2596" s="144"/>
      <c r="V2596" s="130" t="s">
        <v>228</v>
      </c>
      <c r="W2596" s="154" t="s">
        <v>187</v>
      </c>
      <c r="X2596" s="144"/>
      <c r="Y2596" s="130" t="s">
        <v>228</v>
      </c>
      <c r="Z2596" s="154" t="s">
        <v>187</v>
      </c>
      <c r="AA2596" s="144"/>
      <c r="AB2596" s="130" t="s">
        <v>228</v>
      </c>
      <c r="AC2596" s="154" t="s">
        <v>187</v>
      </c>
      <c r="AD2596" s="144"/>
      <c r="AE2596" s="130" t="s">
        <v>228</v>
      </c>
      <c r="AF2596" s="154" t="s">
        <v>187</v>
      </c>
      <c r="AG2596" s="144"/>
      <c r="AH2596" s="130" t="s">
        <v>228</v>
      </c>
      <c r="AI2596" s="154" t="s">
        <v>187</v>
      </c>
      <c r="AJ2596" s="144"/>
      <c r="AK2596" s="130" t="s">
        <v>228</v>
      </c>
      <c r="AL2596" s="154" t="s">
        <v>187</v>
      </c>
      <c r="AM2596" s="144"/>
      <c r="AN2596" s="130" t="s">
        <v>228</v>
      </c>
      <c r="AO2596" s="154" t="s">
        <v>187</v>
      </c>
      <c r="AP2596" s="144"/>
      <c r="AQ2596" s="130" t="s">
        <v>228</v>
      </c>
      <c r="AR2596" s="154" t="s">
        <v>187</v>
      </c>
      <c r="AS2596" s="144"/>
      <c r="AT2596" s="130" t="s">
        <v>228</v>
      </c>
      <c r="AU2596" s="154" t="s">
        <v>187</v>
      </c>
    </row>
    <row r="2597" spans="13:47" x14ac:dyDescent="0.25">
      <c r="M2597" s="20"/>
      <c r="N2597" s="20"/>
      <c r="O2597" s="7" t="s">
        <v>188</v>
      </c>
      <c r="P2597" s="7"/>
      <c r="Q2597" s="7"/>
      <c r="R2597" s="181">
        <f>P_1_minW-(R2595^2*R_up)+dpup_minQ</f>
        <v>100.44933747654481</v>
      </c>
      <c r="S2597" s="132"/>
      <c r="T2597" s="145"/>
      <c r="U2597" s="138">
        <f>P_1_minW-(U2595^2*R_up)+dpup_minQ</f>
        <v>97.23872279589601</v>
      </c>
      <c r="V2597" s="132"/>
      <c r="W2597" s="145"/>
      <c r="X2597" s="138">
        <f>P_1_minW-(X2595^2*R_up)+dpup_minQ</f>
        <v>80.436408672118986</v>
      </c>
      <c r="Y2597" s="132"/>
      <c r="Z2597" s="145"/>
      <c r="AA2597" s="138">
        <f>P_1_minW-(AA2595^2*R_up)+dpup_minQ</f>
        <v>24.320900860891697</v>
      </c>
      <c r="AB2597" s="132"/>
      <c r="AC2597" s="145"/>
      <c r="AD2597" s="138">
        <f>P_1_minW-(AD2595^2*R_up)+dpup_minQ</f>
        <v>-105.58912800823286</v>
      </c>
      <c r="AE2597" s="132"/>
      <c r="AF2597" s="145"/>
      <c r="AG2597" s="138">
        <f>P_1_minW-(AG2595^2*R_up)+dpup_minQ</f>
        <v>-304.94514807360298</v>
      </c>
      <c r="AH2597" s="132"/>
      <c r="AI2597" s="145"/>
      <c r="AJ2597" s="138">
        <f>P_1_minW-(AJ2595^2*R_up)+dpup_minQ</f>
        <v>-553.18319142854068</v>
      </c>
      <c r="AK2597" s="132"/>
      <c r="AL2597" s="145"/>
      <c r="AM2597" s="138">
        <f>P_1_minW-(AM2595^2*R_up)+dpup_minQ</f>
        <v>-798.28415444166092</v>
      </c>
      <c r="AN2597" s="132"/>
      <c r="AO2597" s="145"/>
      <c r="AP2597" s="138">
        <f>P_1_minW-(AP2595^2*R_up)+dpup_minQ</f>
        <v>-1018.2364678022262</v>
      </c>
      <c r="AQ2597" s="132"/>
      <c r="AR2597" s="145"/>
      <c r="AS2597" s="138">
        <f>P_1_minW-(AS2595^2*R_up)+dpup_minQ</f>
        <v>-1292.0146006310256</v>
      </c>
      <c r="AT2597" s="132"/>
      <c r="AU2597" s="145"/>
    </row>
    <row r="2598" spans="13:47" x14ac:dyDescent="0.25">
      <c r="M2598" s="20"/>
      <c r="N2598" s="20"/>
      <c r="O2598" s="7" t="s">
        <v>189</v>
      </c>
      <c r="P2598" s="1"/>
      <c r="Q2598" s="7"/>
      <c r="R2598" s="181">
        <f>P_2_minW+(R2595^2*R_dn)-dpdn_minQ</f>
        <v>50</v>
      </c>
      <c r="S2598" s="132"/>
      <c r="T2598" s="146"/>
      <c r="U2598" s="138">
        <f>P_2_minW+(U2595^2*R_dn)-dpdn_minQ</f>
        <v>50</v>
      </c>
      <c r="V2598" s="132"/>
      <c r="W2598" s="146"/>
      <c r="X2598" s="138">
        <f>P_2_minW+(X2595^2*R_dn)-dpdn_minQ</f>
        <v>50</v>
      </c>
      <c r="Y2598" s="132"/>
      <c r="Z2598" s="146"/>
      <c r="AA2598" s="138">
        <f>P_2_minW+(AA2595^2*R_dn)-dpdn_minQ</f>
        <v>50</v>
      </c>
      <c r="AB2598" s="132"/>
      <c r="AC2598" s="146"/>
      <c r="AD2598" s="138">
        <f>P_2_minW+(AD2595^2*R_dn)-dpdn_minQ</f>
        <v>50</v>
      </c>
      <c r="AE2598" s="132"/>
      <c r="AF2598" s="146"/>
      <c r="AG2598" s="138">
        <f>P_2_minW+(AG2595^2*R_dn)-dpdn_minQ</f>
        <v>50</v>
      </c>
      <c r="AH2598" s="132"/>
      <c r="AI2598" s="146"/>
      <c r="AJ2598" s="138">
        <f>P_2_minW+(AJ2595^2*R_dn)-dpdn_minQ</f>
        <v>50</v>
      </c>
      <c r="AK2598" s="132"/>
      <c r="AL2598" s="146"/>
      <c r="AM2598" s="138">
        <f>P_2_minW+(AM2595^2*R_dn)-dpdn_minQ</f>
        <v>50</v>
      </c>
      <c r="AN2598" s="132"/>
      <c r="AO2598" s="146"/>
      <c r="AP2598" s="138">
        <f>P_2_minW+(AP2595^2*R_dn)-dpdn_minQ</f>
        <v>50</v>
      </c>
      <c r="AQ2598" s="132"/>
      <c r="AR2598" s="146"/>
      <c r="AS2598" s="138">
        <f>P_2_minW+(AS2595^2*R_dn)-dpdn_minQ</f>
        <v>50</v>
      </c>
      <c r="AT2598" s="132"/>
      <c r="AU2598" s="146"/>
    </row>
    <row r="2599" spans="13:47" x14ac:dyDescent="0.25">
      <c r="M2599" s="20"/>
      <c r="N2599" s="20"/>
      <c r="O2599" s="7" t="s">
        <v>234</v>
      </c>
      <c r="P2599" s="1"/>
      <c r="Q2599" s="7"/>
      <c r="R2599" s="179">
        <f>'Valve Sizing'!G$8*R2597/P_1_maxW</f>
        <v>0.48454972008460817</v>
      </c>
      <c r="S2599" s="132"/>
      <c r="T2599" s="146"/>
      <c r="U2599" s="143">
        <f>'Valve Sizing'!$G$8*U2597/P_1_maxW</f>
        <v>0.46906228647987025</v>
      </c>
      <c r="V2599" s="132"/>
      <c r="W2599" s="146"/>
      <c r="X2599" s="143">
        <f>'Valve Sizing'!$G$8*X2597/P_1_maxW</f>
        <v>0.38801091461441717</v>
      </c>
      <c r="Y2599" s="132"/>
      <c r="Z2599" s="146"/>
      <c r="AA2599" s="143">
        <f>'Valve Sizing'!$G$8*AA2597/P_1_maxW</f>
        <v>0.11731969568343181</v>
      </c>
      <c r="AB2599" s="132"/>
      <c r="AC2599" s="146"/>
      <c r="AD2599" s="143">
        <f>'Valve Sizing'!$G$8*AD2597/P_1_maxW</f>
        <v>-0.50934315452616929</v>
      </c>
      <c r="AE2599" s="132"/>
      <c r="AF2599" s="146"/>
      <c r="AG2599" s="143">
        <f>'Valve Sizing'!$G$8*AG2597/P_1_maxW</f>
        <v>-1.4710011021698013</v>
      </c>
      <c r="AH2599" s="132"/>
      <c r="AI2599" s="146"/>
      <c r="AJ2599" s="143">
        <f>'Valve Sizing'!$G$8*AJ2597/P_1_maxW</f>
        <v>-2.6684572272544735</v>
      </c>
      <c r="AK2599" s="132"/>
      <c r="AL2599" s="146"/>
      <c r="AM2599" s="143">
        <f>'Valve Sizing'!$G$8*AM2597/P_1_maxW</f>
        <v>-3.8507806352929479</v>
      </c>
      <c r="AN2599" s="132"/>
      <c r="AO2599" s="146"/>
      <c r="AP2599" s="143">
        <f>'Valve Sizing'!$G$8*AP2597/P_1_maxW</f>
        <v>-4.9117914348485963</v>
      </c>
      <c r="AQ2599" s="132"/>
      <c r="AR2599" s="146"/>
      <c r="AS2599" s="143">
        <f>'Valve Sizing'!$G$8*AS2597/P_1_maxW</f>
        <v>-6.2324484044225139</v>
      </c>
      <c r="AT2599" s="132"/>
      <c r="AU2599" s="146"/>
    </row>
    <row r="2600" spans="13:47" x14ac:dyDescent="0.25">
      <c r="M2600" s="20"/>
      <c r="N2600" s="20"/>
      <c r="O2600" s="7" t="s">
        <v>190</v>
      </c>
      <c r="P2600" s="1"/>
      <c r="Q2600" s="7"/>
      <c r="R2600" s="181">
        <f>R2597-R2598</f>
        <v>50.449337476544812</v>
      </c>
      <c r="S2600" s="132"/>
      <c r="T2600" s="146"/>
      <c r="U2600" s="138">
        <f>U2597-U2598</f>
        <v>47.23872279589601</v>
      </c>
      <c r="V2600" s="132"/>
      <c r="W2600" s="146"/>
      <c r="X2600" s="138">
        <f>X2597-X2598</f>
        <v>30.436408672118986</v>
      </c>
      <c r="Y2600" s="132"/>
      <c r="Z2600" s="146"/>
      <c r="AA2600" s="138">
        <f>AA2597-AA2598</f>
        <v>-25.679099139108303</v>
      </c>
      <c r="AB2600" s="132"/>
      <c r="AC2600" s="146"/>
      <c r="AD2600" s="138">
        <f>AD2597-AD2598</f>
        <v>-155.58912800823288</v>
      </c>
      <c r="AE2600" s="132"/>
      <c r="AF2600" s="146"/>
      <c r="AG2600" s="138">
        <f>AG2597-AG2598</f>
        <v>-354.94514807360298</v>
      </c>
      <c r="AH2600" s="132"/>
      <c r="AI2600" s="146"/>
      <c r="AJ2600" s="138">
        <f>AJ2597-AJ2598</f>
        <v>-603.18319142854068</v>
      </c>
      <c r="AK2600" s="132"/>
      <c r="AL2600" s="146"/>
      <c r="AM2600" s="138">
        <f>AM2597-AM2598</f>
        <v>-848.28415444166092</v>
      </c>
      <c r="AN2600" s="132"/>
      <c r="AO2600" s="146"/>
      <c r="AP2600" s="138">
        <f>AP2597-AP2598</f>
        <v>-1068.2364678022263</v>
      </c>
      <c r="AQ2600" s="132"/>
      <c r="AR2600" s="146"/>
      <c r="AS2600" s="138">
        <f>AS2597-AS2598</f>
        <v>-1342.0146006310256</v>
      </c>
      <c r="AT2600" s="132"/>
      <c r="AU2600" s="146"/>
    </row>
    <row r="2601" spans="13:47" ht="14.5" x14ac:dyDescent="0.35">
      <c r="M2601" s="27"/>
      <c r="N2601" s="27"/>
      <c r="O2601" s="2" t="s">
        <v>191</v>
      </c>
      <c r="P2601" s="10"/>
      <c r="Q2601" s="2"/>
      <c r="R2601" s="181">
        <f>R2600/R2597</f>
        <v>0.50223663733297264</v>
      </c>
      <c r="S2601" s="132"/>
      <c r="T2601" s="146"/>
      <c r="U2601" s="138">
        <f>U2600/U2597</f>
        <v>0.48580155557009985</v>
      </c>
      <c r="V2601" s="132"/>
      <c r="W2601" s="146"/>
      <c r="X2601" s="138">
        <f>X2600/X2597</f>
        <v>0.37839094477957352</v>
      </c>
      <c r="Y2601" s="132"/>
      <c r="Z2601" s="146"/>
      <c r="AA2601" s="138">
        <f>AA2600/AA2597</f>
        <v>-1.0558449000711403</v>
      </c>
      <c r="AB2601" s="132"/>
      <c r="AC2601" s="146"/>
      <c r="AD2601" s="138">
        <f>AD2600/AD2597</f>
        <v>1.4735336008845672</v>
      </c>
      <c r="AE2601" s="132"/>
      <c r="AF2601" s="146"/>
      <c r="AG2601" s="138">
        <f>AG2600/AG2597</f>
        <v>1.1639639138902835</v>
      </c>
      <c r="AH2601" s="132"/>
      <c r="AI2601" s="146"/>
      <c r="AJ2601" s="138">
        <f>AJ2600/AJ2597</f>
        <v>1.0903859711841206</v>
      </c>
      <c r="AK2601" s="132"/>
      <c r="AL2601" s="146"/>
      <c r="AM2601" s="138">
        <f>AM2600/AM2597</f>
        <v>1.0626343385645318</v>
      </c>
      <c r="AN2601" s="132"/>
      <c r="AO2601" s="146"/>
      <c r="AP2601" s="138">
        <f>AP2600/AP2597</f>
        <v>1.0491045072348673</v>
      </c>
      <c r="AQ2601" s="132"/>
      <c r="AR2601" s="146"/>
      <c r="AS2601" s="138">
        <f>AS2600/AS2597</f>
        <v>1.0386992530700347</v>
      </c>
      <c r="AT2601" s="132"/>
      <c r="AU2601" s="146"/>
    </row>
    <row r="2602" spans="13:47" x14ac:dyDescent="0.25">
      <c r="M2602" s="27"/>
      <c r="N2602" s="27"/>
      <c r="O2602" s="2" t="s">
        <v>26</v>
      </c>
      <c r="P2602" s="7">
        <v>12</v>
      </c>
      <c r="Q2602" s="2"/>
      <c r="R2602" s="181">
        <f>1-R2601/(3*F_GAMMA*R$29)</f>
        <v>0.73842940408274327</v>
      </c>
      <c r="S2602" s="133"/>
      <c r="T2602" s="146"/>
      <c r="U2602" s="138">
        <f>1-U2601/(3*F_GAMMA*U$29)</f>
        <v>0.747044689721995</v>
      </c>
      <c r="V2602" s="133"/>
      <c r="W2602" s="146"/>
      <c r="X2602" s="138">
        <f>1-X2601/(3*F_GAMMA*X$29)</f>
        <v>0.80001733209059245</v>
      </c>
      <c r="Y2602" s="133"/>
      <c r="Z2602" s="146"/>
      <c r="AA2602" s="138">
        <f>1-AA2601/(3*F_GAMMA*AA$29)</f>
        <v>1.5656738160239108</v>
      </c>
      <c r="AB2602" s="133"/>
      <c r="AC2602" s="146"/>
      <c r="AD2602" s="138">
        <f>1-AD2601/(3*F_GAMMA*AD$29)</f>
        <v>0.18890241147804698</v>
      </c>
      <c r="AE2602" s="133"/>
      <c r="AF2602" s="146"/>
      <c r="AG2602" s="138">
        <f>1-AG2601/(3*F_GAMMA*AG$29)</f>
        <v>0.32275679915503352</v>
      </c>
      <c r="AH2602" s="133"/>
      <c r="AI2602" s="146"/>
      <c r="AJ2602" s="138">
        <f>1-AJ2601/(3*F_GAMMA*AJ$29)</f>
        <v>0.32178310316989867</v>
      </c>
      <c r="AK2602" s="133"/>
      <c r="AL2602" s="146"/>
      <c r="AM2602" s="138">
        <f>1-AM2601/(3*F_GAMMA*AM$29)</f>
        <v>0.27783894576285884</v>
      </c>
      <c r="AN2602" s="133"/>
      <c r="AO2602" s="146"/>
      <c r="AP2602" s="138">
        <f>1-AP2601/(3*F_GAMMA*AP$29)</f>
        <v>0.41081053014086832</v>
      </c>
      <c r="AQ2602" s="133"/>
      <c r="AR2602" s="146"/>
      <c r="AS2602" s="138">
        <f>1-AS2601/(3*F_GAMMA*AS$29)</f>
        <v>0.11443045292066534</v>
      </c>
      <c r="AT2602" s="133"/>
      <c r="AU2602" s="146"/>
    </row>
    <row r="2603" spans="13:47" x14ac:dyDescent="0.25">
      <c r="M2603" s="27"/>
      <c r="N2603" s="27"/>
      <c r="O2603" s="2" t="s">
        <v>71</v>
      </c>
      <c r="P2603" s="85">
        <v>5</v>
      </c>
      <c r="Q2603" s="2"/>
      <c r="R2603" s="179">
        <f>R2595/((N_6*R$27*R2602)*SQRT(R2601*R2597*R2599))</f>
        <v>1.8572859770210266</v>
      </c>
      <c r="S2603" s="133"/>
      <c r="T2603" s="146"/>
      <c r="U2603" s="143">
        <f>U2595/((N_6*U$27*U2602)*SQRT(U2601*U2597*U2599))</f>
        <v>12.901963430025178</v>
      </c>
      <c r="V2603" s="133"/>
      <c r="W2603" s="146"/>
      <c r="X2603" s="143">
        <f>X2595/((N_6*X$27*X2602)*SQRT(X2601*X2597*X2599))</f>
        <v>40.902993053898697</v>
      </c>
      <c r="Y2603" s="133"/>
      <c r="Z2603" s="146"/>
      <c r="AA2603" s="143" t="e">
        <f>AA2595/((N_6*AA$27*AA2602)*SQRT(AA2601*AA2597*AA2599))</f>
        <v>#NUM!</v>
      </c>
      <c r="AB2603" s="133"/>
      <c r="AC2603" s="146"/>
      <c r="AD2603" s="143">
        <f>AD2595/((N_6*AD$27*AD2602)*SQRT(AD2601*AD2597*AD2599))</f>
        <v>218.0101890012736</v>
      </c>
      <c r="AE2603" s="133"/>
      <c r="AF2603" s="146"/>
      <c r="AG2603" s="143">
        <f>AG2595/((N_6*AG$27*AG2602)*SQRT(AG2601*AG2597*AG2599))</f>
        <v>71.226903341963578</v>
      </c>
      <c r="AH2603" s="133"/>
      <c r="AI2603" s="146"/>
      <c r="AJ2603" s="143">
        <f>AJ2595/((N_6*AJ$27*AJ2602)*SQRT(AJ2601*AJ2597*AJ2599))</f>
        <v>53.439348753872032</v>
      </c>
      <c r="AK2603" s="133"/>
      <c r="AL2603" s="146"/>
      <c r="AM2603" s="143">
        <f>AM2595/((N_6*AM$27*AM2602)*SQRT(AM2601*AM2597*AM2599))</f>
        <v>54.07134415191365</v>
      </c>
      <c r="AN2603" s="133"/>
      <c r="AO2603" s="146"/>
      <c r="AP2603" s="143">
        <f>AP2595/((N_6*AP$27*AP2602)*SQRT(AP2601*AP2597*AP2599))</f>
        <v>36.567844679299611</v>
      </c>
      <c r="AQ2603" s="133"/>
      <c r="AR2603" s="146"/>
      <c r="AS2603" s="143">
        <f>AS2595/((N_6*AS$27*AS2602)*SQRT(AS2601*AS2597*AS2599))</f>
        <v>152.42897754526265</v>
      </c>
      <c r="AT2603" s="133"/>
      <c r="AU2603" s="146"/>
    </row>
    <row r="2604" spans="13:47" x14ac:dyDescent="0.25">
      <c r="M2604" s="27"/>
      <c r="N2604" s="27"/>
      <c r="O2604" s="2" t="s">
        <v>73</v>
      </c>
      <c r="P2604" s="85">
        <v>5</v>
      </c>
      <c r="Q2604" s="2"/>
      <c r="R2604" s="179">
        <f>R2595/((N_6*R$27*0.667)*SQRT(R2605*R2597*R2599))</f>
        <v>1.8214490011900195</v>
      </c>
      <c r="S2604" s="133"/>
      <c r="T2604" s="147"/>
      <c r="U2604" s="143">
        <f>U2595/((N_6*U$27*0.667)*SQRT(U2605*U2597*U2599))</f>
        <v>12.588068092256711</v>
      </c>
      <c r="V2604" s="133"/>
      <c r="W2604" s="155"/>
      <c r="X2604" s="143">
        <f>X2595/((N_6*X$27*0.667)*SQRT(X2605*X2597*X2599))</f>
        <v>38.000162757789404</v>
      </c>
      <c r="Y2604" s="133"/>
      <c r="Z2604" s="155"/>
      <c r="AA2604" s="143">
        <f>AA2595/((N_6*AA$27*0.667)*SQRT(AA2605*AA2597*AA2599))</f>
        <v>247.87815801528038</v>
      </c>
      <c r="AB2604" s="133"/>
      <c r="AC2604" s="155"/>
      <c r="AD2604" s="143">
        <f>AD2595/((N_6*AD$27*0.667)*SQRT(AD2605*AD2597*AD2599))</f>
        <v>96.313162188603243</v>
      </c>
      <c r="AE2604" s="133"/>
      <c r="AF2604" s="155"/>
      <c r="AG2604" s="143">
        <f>AG2595/((N_6*AG$27*0.667)*SQRT(AG2605*AG2597*AG2599))</f>
        <v>49.127717096207341</v>
      </c>
      <c r="AH2604" s="133"/>
      <c r="AI2604" s="155"/>
      <c r="AJ2604" s="143">
        <f>AJ2595/((N_6*AJ$27*0.667)*SQRT(AJ2605*AJ2597*AJ2599))</f>
        <v>36.774221586152287</v>
      </c>
      <c r="AK2604" s="133"/>
      <c r="AL2604" s="155"/>
      <c r="AM2604" s="143">
        <f>AM2595/((N_6*AM$27*0.667)*SQRT(AM2605*AM2597*AM2599))</f>
        <v>33.152181649945128</v>
      </c>
      <c r="AN2604" s="133"/>
      <c r="AO2604" s="155"/>
      <c r="AP2604" s="143">
        <f>AP2595/((N_6*AP$27*0.667)*SQRT(AP2605*AP2597*AP2599))</f>
        <v>29.943544828514462</v>
      </c>
      <c r="AQ2604" s="133"/>
      <c r="AR2604" s="155"/>
      <c r="AS2604" s="143">
        <f>AS2595/((N_6*AS$27*0.667)*SQRT(AS2605*AS2597*AS2599))</f>
        <v>42.624106046908416</v>
      </c>
      <c r="AT2604" s="133"/>
      <c r="AU2604" s="155"/>
    </row>
    <row r="2605" spans="13:47" ht="15.5" x14ac:dyDescent="0.4">
      <c r="M2605" s="27"/>
      <c r="N2605" s="27"/>
      <c r="O2605" s="2" t="s">
        <v>192</v>
      </c>
      <c r="P2605" s="85">
        <v>10</v>
      </c>
      <c r="Q2605" s="2"/>
      <c r="R2605" s="181">
        <f>F_GAMMA*R$29</f>
        <v>0.64002688015162901</v>
      </c>
      <c r="S2605" s="133"/>
      <c r="T2605" s="147"/>
      <c r="U2605" s="138">
        <f>F_GAMMA*U$29</f>
        <v>0.64016782916606918</v>
      </c>
      <c r="V2605" s="133"/>
      <c r="W2605" s="155"/>
      <c r="X2605" s="138">
        <f>F_GAMMA*X$29</f>
        <v>0.6307062319203669</v>
      </c>
      <c r="Y2605" s="133"/>
      <c r="Z2605" s="155"/>
      <c r="AA2605" s="138">
        <f>F_GAMMA*AA$29</f>
        <v>0.62217534213893466</v>
      </c>
      <c r="AB2605" s="133"/>
      <c r="AC2605" s="155"/>
      <c r="AD2605" s="138">
        <f>F_GAMMA*AD$29</f>
        <v>0.60557184969146072</v>
      </c>
      <c r="AE2605" s="133"/>
      <c r="AF2605" s="155"/>
      <c r="AG2605" s="138">
        <f>F_GAMMA*AG$29</f>
        <v>0.57289312142622573</v>
      </c>
      <c r="AH2605" s="133"/>
      <c r="AI2605" s="155"/>
      <c r="AJ2605" s="138">
        <f>F_GAMMA*AJ$29</f>
        <v>0.53590819116049981</v>
      </c>
      <c r="AK2605" s="133"/>
      <c r="AL2605" s="155"/>
      <c r="AM2605" s="138">
        <f>F_GAMMA*AM$29</f>
        <v>0.49048815926850342</v>
      </c>
      <c r="AN2605" s="133"/>
      <c r="AO2605" s="155"/>
      <c r="AP2605" s="138">
        <f>F_GAMMA*AP$29</f>
        <v>0.59352979016280105</v>
      </c>
      <c r="AQ2605" s="133"/>
      <c r="AR2605" s="155"/>
      <c r="AS2605" s="138">
        <f>F_GAMMA*AS$29</f>
        <v>0.39097221161068291</v>
      </c>
      <c r="AT2605" s="133"/>
      <c r="AU2605" s="155"/>
    </row>
    <row r="2606" spans="13:47" x14ac:dyDescent="0.25">
      <c r="M2606" s="27"/>
      <c r="N2606" s="27"/>
      <c r="O2606" s="2" t="s">
        <v>193</v>
      </c>
      <c r="P2606" s="134"/>
      <c r="Q2606" s="2"/>
      <c r="R2606" s="181">
        <f>IF(R2601&lt;R2605,R2603,R2604)</f>
        <v>1.8572859770210266</v>
      </c>
      <c r="S2606" s="133"/>
      <c r="T2606" s="147"/>
      <c r="U2606" s="138">
        <f>IF(U2601&lt;U2605,U2603,U2604)</f>
        <v>12.901963430025178</v>
      </c>
      <c r="V2606" s="133"/>
      <c r="W2606" s="155"/>
      <c r="X2606" s="138">
        <f>IF(X2601&lt;X2605,X2603,X2604)</f>
        <v>40.902993053898697</v>
      </c>
      <c r="Y2606" s="133"/>
      <c r="Z2606" s="155"/>
      <c r="AA2606" s="138" t="e">
        <f>IF(AA2601&lt;AA2605,AA2603,AA2604)</f>
        <v>#NUM!</v>
      </c>
      <c r="AB2606" s="133"/>
      <c r="AC2606" s="155"/>
      <c r="AD2606" s="138">
        <f>IF(AD2601&lt;AD2605,AD2603,AD2604)</f>
        <v>96.313162188603243</v>
      </c>
      <c r="AE2606" s="133"/>
      <c r="AF2606" s="155"/>
      <c r="AG2606" s="138">
        <f>IF(AG2601&lt;AG2605,AG2603,AG2604)</f>
        <v>49.127717096207341</v>
      </c>
      <c r="AH2606" s="133"/>
      <c r="AI2606" s="155"/>
      <c r="AJ2606" s="138">
        <f>IF(AJ2601&lt;AJ2605,AJ2603,AJ2604)</f>
        <v>36.774221586152287</v>
      </c>
      <c r="AK2606" s="133"/>
      <c r="AL2606" s="155"/>
      <c r="AM2606" s="138">
        <f>IF(AM2601&lt;AM2605,AM2603,AM2604)</f>
        <v>33.152181649945128</v>
      </c>
      <c r="AN2606" s="133"/>
      <c r="AO2606" s="155"/>
      <c r="AP2606" s="138">
        <f>IF(AP2601&lt;AP2605,AP2603,AP2604)</f>
        <v>29.943544828514462</v>
      </c>
      <c r="AQ2606" s="133"/>
      <c r="AR2606" s="155"/>
      <c r="AS2606" s="138">
        <f>IF(AS2601&lt;AS2605,AS2603,AS2604)</f>
        <v>42.624106046908416</v>
      </c>
      <c r="AT2606" s="133"/>
      <c r="AU2606" s="155"/>
    </row>
    <row r="2607" spans="13:47" ht="13" x14ac:dyDescent="0.3">
      <c r="M2607" s="28"/>
      <c r="N2607" s="28"/>
      <c r="O2607" s="9" t="s">
        <v>194</v>
      </c>
      <c r="P2607" s="1"/>
      <c r="Q2607" s="1"/>
      <c r="R2607" s="135"/>
      <c r="S2607" s="132">
        <f>IF(R2600&lt;=0,W_max,ABS(R$23-R2606))</f>
        <v>0.1427140229789734</v>
      </c>
      <c r="T2607" s="151">
        <f>R2595</f>
        <v>429.17747379077633</v>
      </c>
      <c r="U2607" s="135"/>
      <c r="V2607" s="132">
        <f>IF(U2600&lt;=0,W_max,ABS(U$23-U2606))</f>
        <v>7.9019634300251784</v>
      </c>
      <c r="W2607" s="151">
        <f>U2595</f>
        <v>2869.7826681859874</v>
      </c>
      <c r="X2607" s="135"/>
      <c r="Y2607" s="132">
        <f>IF(X2600&lt;=0,W_max,ABS(X$23-X2606))</f>
        <v>30.902993053898697</v>
      </c>
      <c r="Z2607" s="151">
        <f>X2595</f>
        <v>7097.3140465647139</v>
      </c>
      <c r="AA2607" s="135"/>
      <c r="AB2607" s="132">
        <f>IF(AA2600&lt;=0,W_max,ABS(AA$23-AA2606))</f>
        <v>7174</v>
      </c>
      <c r="AC2607" s="151">
        <f>AA2595</f>
        <v>13823.756205850603</v>
      </c>
      <c r="AD2607" s="135"/>
      <c r="AE2607" s="132">
        <f>IF(AD2600&lt;=0,W_max,ABS(AD$23-AD2606))</f>
        <v>7174</v>
      </c>
      <c r="AF2607" s="151">
        <f>AD2595</f>
        <v>22734.989353553752</v>
      </c>
      <c r="AG2607" s="135"/>
      <c r="AH2607" s="132">
        <f>IF(AG2600&lt;=0,W_max,ABS(AG$23-AG2606))</f>
        <v>7174</v>
      </c>
      <c r="AI2607" s="151">
        <f>AG2595</f>
        <v>31887.572848104734</v>
      </c>
      <c r="AJ2607" s="135"/>
      <c r="AK2607" s="132">
        <f>IF(AJ2600&lt;=0,W_max,ABS(AJ$23-AJ2606))</f>
        <v>7174</v>
      </c>
      <c r="AL2607" s="151">
        <f>AJ2595</f>
        <v>40488.756102824096</v>
      </c>
      <c r="AM2607" s="135"/>
      <c r="AN2607" s="132">
        <f>IF(AM2600&lt;=0,W_max,ABS(AM$23-AM2606))</f>
        <v>7174</v>
      </c>
      <c r="AO2607" s="151">
        <f>AM2595</f>
        <v>47476.250765695615</v>
      </c>
      <c r="AP2607" s="135"/>
      <c r="AQ2607" s="132">
        <f>IF(AP2600&lt;=0,W_max,ABS(AP$23-AP2606))</f>
        <v>7174</v>
      </c>
      <c r="AR2607" s="151">
        <f>AP2595</f>
        <v>52967.750197631613</v>
      </c>
      <c r="AS2607" s="135"/>
      <c r="AT2607" s="132">
        <f>IF(AS2600&lt;=0,W_max,ABS(AS$23-AS2606))</f>
        <v>7174</v>
      </c>
      <c r="AU2607" s="151">
        <f>AS2595</f>
        <v>59094.442289573155</v>
      </c>
    </row>
    <row r="2608" spans="13:47" ht="13" x14ac:dyDescent="0.25">
      <c r="M2608" s="12"/>
      <c r="N2608" s="12"/>
      <c r="O2608" s="12"/>
      <c r="P2608" s="12"/>
      <c r="Q2608" s="12"/>
      <c r="R2608" s="182"/>
      <c r="S2608" s="22"/>
      <c r="T2608" s="152"/>
      <c r="U2608" s="157"/>
      <c r="V2608" s="1"/>
      <c r="W2608" s="147"/>
      <c r="X2608" s="157"/>
      <c r="Y2608" s="1"/>
      <c r="Z2608" s="147"/>
      <c r="AA2608" s="157"/>
      <c r="AB2608" s="1"/>
      <c r="AC2608" s="147"/>
      <c r="AD2608" s="157"/>
      <c r="AE2608" s="1"/>
      <c r="AF2608" s="147"/>
      <c r="AG2608" s="157"/>
      <c r="AH2608" s="1"/>
      <c r="AI2608" s="147"/>
      <c r="AJ2608" s="157"/>
      <c r="AK2608" s="1"/>
      <c r="AL2608" s="147"/>
      <c r="AM2608" s="157"/>
      <c r="AN2608" s="1"/>
      <c r="AO2608" s="147"/>
      <c r="AP2608" s="157"/>
      <c r="AQ2608" s="1"/>
      <c r="AR2608" s="147"/>
      <c r="AS2608" s="157"/>
      <c r="AT2608" s="1"/>
      <c r="AU2608" s="147"/>
    </row>
    <row r="2609" spans="13:47" ht="14" x14ac:dyDescent="0.3">
      <c r="M2609" s="23"/>
      <c r="N2609" s="23"/>
      <c r="O2609" s="23" t="s">
        <v>238</v>
      </c>
      <c r="P2609" s="20"/>
      <c r="Q2609" s="20"/>
      <c r="R2609" s="18">
        <f>R2595*1.02</f>
        <v>437.76102326659185</v>
      </c>
      <c r="S2609" s="128" t="s">
        <v>185</v>
      </c>
      <c r="T2609" s="153" t="s">
        <v>186</v>
      </c>
      <c r="U2609" s="143">
        <f>U2595*1.01</f>
        <v>2898.4804948678475</v>
      </c>
      <c r="V2609" s="128" t="s">
        <v>185</v>
      </c>
      <c r="W2609" s="153" t="s">
        <v>186</v>
      </c>
      <c r="X2609" s="143">
        <f>X2595*1.01</f>
        <v>7168.2871870303607</v>
      </c>
      <c r="Y2609" s="128" t="s">
        <v>185</v>
      </c>
      <c r="Z2609" s="153" t="s">
        <v>186</v>
      </c>
      <c r="AA2609" s="143">
        <f>AA2595*1.01</f>
        <v>13961.993767909109</v>
      </c>
      <c r="AB2609" s="128" t="s">
        <v>185</v>
      </c>
      <c r="AC2609" s="153" t="s">
        <v>186</v>
      </c>
      <c r="AD2609" s="143">
        <f>AD2595*1.01</f>
        <v>22962.33924708929</v>
      </c>
      <c r="AE2609" s="128" t="s">
        <v>185</v>
      </c>
      <c r="AF2609" s="153" t="s">
        <v>186</v>
      </c>
      <c r="AG2609" s="143">
        <f>AG2595*1.01</f>
        <v>32206.448576585783</v>
      </c>
      <c r="AH2609" s="128" t="s">
        <v>185</v>
      </c>
      <c r="AI2609" s="153" t="s">
        <v>186</v>
      </c>
      <c r="AJ2609" s="143">
        <f>AJ2595*1.01</f>
        <v>40893.643663852337</v>
      </c>
      <c r="AK2609" s="128" t="s">
        <v>185</v>
      </c>
      <c r="AL2609" s="153" t="s">
        <v>186</v>
      </c>
      <c r="AM2609" s="143">
        <f>AM2595*1.01</f>
        <v>47951.013273352568</v>
      </c>
      <c r="AN2609" s="128" t="s">
        <v>185</v>
      </c>
      <c r="AO2609" s="153" t="s">
        <v>186</v>
      </c>
      <c r="AP2609" s="143">
        <f>AP2595*1.01</f>
        <v>53497.427699607928</v>
      </c>
      <c r="AQ2609" s="128" t="s">
        <v>185</v>
      </c>
      <c r="AR2609" s="153" t="s">
        <v>186</v>
      </c>
      <c r="AS2609" s="143">
        <f>AS2595*1.01</f>
        <v>59685.386712468884</v>
      </c>
      <c r="AT2609" s="128" t="s">
        <v>185</v>
      </c>
      <c r="AU2609" s="153" t="s">
        <v>186</v>
      </c>
    </row>
    <row r="2610" spans="13:47" ht="14" x14ac:dyDescent="0.3">
      <c r="M2610" s="12"/>
      <c r="N2610" s="12"/>
      <c r="O2610" s="20"/>
      <c r="P2610" s="20"/>
      <c r="Q2610" s="23"/>
      <c r="R2610" s="139"/>
      <c r="S2610" s="130" t="s">
        <v>228</v>
      </c>
      <c r="T2610" s="154" t="s">
        <v>187</v>
      </c>
      <c r="U2610" s="144"/>
      <c r="V2610" s="130" t="s">
        <v>228</v>
      </c>
      <c r="W2610" s="154" t="s">
        <v>187</v>
      </c>
      <c r="X2610" s="144"/>
      <c r="Y2610" s="130" t="s">
        <v>228</v>
      </c>
      <c r="Z2610" s="154" t="s">
        <v>187</v>
      </c>
      <c r="AA2610" s="144"/>
      <c r="AB2610" s="130" t="s">
        <v>228</v>
      </c>
      <c r="AC2610" s="154" t="s">
        <v>187</v>
      </c>
      <c r="AD2610" s="144"/>
      <c r="AE2610" s="130" t="s">
        <v>228</v>
      </c>
      <c r="AF2610" s="154" t="s">
        <v>187</v>
      </c>
      <c r="AG2610" s="144"/>
      <c r="AH2610" s="130" t="s">
        <v>228</v>
      </c>
      <c r="AI2610" s="154" t="s">
        <v>187</v>
      </c>
      <c r="AJ2610" s="144"/>
      <c r="AK2610" s="130" t="s">
        <v>228</v>
      </c>
      <c r="AL2610" s="154" t="s">
        <v>187</v>
      </c>
      <c r="AM2610" s="144"/>
      <c r="AN2610" s="130" t="s">
        <v>228</v>
      </c>
      <c r="AO2610" s="154" t="s">
        <v>187</v>
      </c>
      <c r="AP2610" s="144"/>
      <c r="AQ2610" s="130" t="s">
        <v>228</v>
      </c>
      <c r="AR2610" s="154" t="s">
        <v>187</v>
      </c>
      <c r="AS2610" s="144"/>
      <c r="AT2610" s="130" t="s">
        <v>228</v>
      </c>
      <c r="AU2610" s="154" t="s">
        <v>187</v>
      </c>
    </row>
    <row r="2611" spans="13:47" x14ac:dyDescent="0.25">
      <c r="M2611" s="20"/>
      <c r="N2611" s="20"/>
      <c r="O2611" s="7" t="s">
        <v>188</v>
      </c>
      <c r="P2611" s="7"/>
      <c r="Q2611" s="7"/>
      <c r="R2611" s="181">
        <f>P_1_minW-(R2609^2*R_up)+dpup_minQ</f>
        <v>100.44637012643345</v>
      </c>
      <c r="S2611" s="132"/>
      <c r="T2611" s="145"/>
      <c r="U2611" s="138">
        <f>P_1_minW-(U2609^2*R_up)+dpup_minQ</f>
        <v>97.172713110685322</v>
      </c>
      <c r="V2611" s="132"/>
      <c r="W2611" s="145"/>
      <c r="X2611" s="138">
        <f>P_1_minW-(X2609^2*R_up)+dpup_minQ</f>
        <v>80.032672473020369</v>
      </c>
      <c r="Y2611" s="132"/>
      <c r="Z2611" s="145"/>
      <c r="AA2611" s="138">
        <f>P_1_minW-(AA2609^2*R_up)+dpup_minQ</f>
        <v>22.789242954787412</v>
      </c>
      <c r="AB2611" s="132"/>
      <c r="AC2611" s="145"/>
      <c r="AD2611" s="138">
        <f>P_1_minW-(AD2609^2*R_up)+dpup_minQ</f>
        <v>-109.73197749460657</v>
      </c>
      <c r="AE2611" s="132"/>
      <c r="AF2611" s="145"/>
      <c r="AG2611" s="138">
        <f>P_1_minW-(AG2609^2*R_up)+dpup_minQ</f>
        <v>-313.09505356329066</v>
      </c>
      <c r="AH2611" s="132"/>
      <c r="AI2611" s="145"/>
      <c r="AJ2611" s="138">
        <f>P_1_minW-(AJ2609^2*R_up)+dpup_minQ</f>
        <v>-566.32268158966258</v>
      </c>
      <c r="AK2611" s="132"/>
      <c r="AL2611" s="145"/>
      <c r="AM2611" s="138">
        <f>P_1_minW-(AM2609^2*R_up)+dpup_minQ</f>
        <v>-816.35017395934642</v>
      </c>
      <c r="AN2611" s="132"/>
      <c r="AO2611" s="145"/>
      <c r="AP2611" s="138">
        <f>P_1_minW-(AP2609^2*R_up)+dpup_minQ</f>
        <v>-1040.7235288184593</v>
      </c>
      <c r="AQ2611" s="132"/>
      <c r="AR2611" s="145"/>
      <c r="AS2611" s="138">
        <f>P_1_minW-(AS2609^2*R_up)+dpup_minQ</f>
        <v>-1320.0046021171174</v>
      </c>
      <c r="AT2611" s="132"/>
      <c r="AU2611" s="145"/>
    </row>
    <row r="2612" spans="13:47" x14ac:dyDescent="0.25">
      <c r="M2612" s="20"/>
      <c r="N2612" s="20"/>
      <c r="O2612" s="7" t="s">
        <v>189</v>
      </c>
      <c r="P2612" s="1"/>
      <c r="Q2612" s="7"/>
      <c r="R2612" s="181">
        <f>P_2_minW+(R2609^2*R_dn)-dpdn_minQ</f>
        <v>50</v>
      </c>
      <c r="S2612" s="132"/>
      <c r="T2612" s="146"/>
      <c r="U2612" s="138">
        <f>P_2_minW+(U2609^2*R_dn)-dpdn_minQ</f>
        <v>50</v>
      </c>
      <c r="V2612" s="132"/>
      <c r="W2612" s="146"/>
      <c r="X2612" s="138">
        <f>P_2_minW+(X2609^2*R_dn)-dpdn_minQ</f>
        <v>50</v>
      </c>
      <c r="Y2612" s="132"/>
      <c r="Z2612" s="146"/>
      <c r="AA2612" s="138">
        <f>P_2_minW+(AA2609^2*R_dn)-dpdn_minQ</f>
        <v>50</v>
      </c>
      <c r="AB2612" s="132"/>
      <c r="AC2612" s="146"/>
      <c r="AD2612" s="138">
        <f>P_2_minW+(AD2609^2*R_dn)-dpdn_minQ</f>
        <v>50</v>
      </c>
      <c r="AE2612" s="132"/>
      <c r="AF2612" s="146"/>
      <c r="AG2612" s="138">
        <f>P_2_minW+(AG2609^2*R_dn)-dpdn_minQ</f>
        <v>50</v>
      </c>
      <c r="AH2612" s="132"/>
      <c r="AI2612" s="146"/>
      <c r="AJ2612" s="138">
        <f>P_2_minW+(AJ2609^2*R_dn)-dpdn_minQ</f>
        <v>50</v>
      </c>
      <c r="AK2612" s="132"/>
      <c r="AL2612" s="146"/>
      <c r="AM2612" s="138">
        <f>P_2_minW+(AM2609^2*R_dn)-dpdn_minQ</f>
        <v>50</v>
      </c>
      <c r="AN2612" s="132"/>
      <c r="AO2612" s="146"/>
      <c r="AP2612" s="138">
        <f>P_2_minW+(AP2609^2*R_dn)-dpdn_minQ</f>
        <v>50</v>
      </c>
      <c r="AQ2612" s="132"/>
      <c r="AR2612" s="146"/>
      <c r="AS2612" s="138">
        <f>P_2_minW+(AS2609^2*R_dn)-dpdn_minQ</f>
        <v>50</v>
      </c>
      <c r="AT2612" s="132"/>
      <c r="AU2612" s="146"/>
    </row>
    <row r="2613" spans="13:47" x14ac:dyDescent="0.25">
      <c r="M2613" s="20"/>
      <c r="N2613" s="20"/>
      <c r="O2613" s="7" t="s">
        <v>234</v>
      </c>
      <c r="P2613" s="1"/>
      <c r="Q2613" s="7"/>
      <c r="R2613" s="179">
        <f>'Valve Sizing'!G$8*R2611/P_1_maxW</f>
        <v>0.48453540611597512</v>
      </c>
      <c r="S2613" s="132"/>
      <c r="T2613" s="146"/>
      <c r="U2613" s="143">
        <f>'Valve Sizing'!$G$8*U2611/P_1_maxW</f>
        <v>0.46874386751071395</v>
      </c>
      <c r="V2613" s="132"/>
      <c r="W2613" s="146"/>
      <c r="X2613" s="143">
        <f>'Valve Sizing'!$G$8*X2611/P_1_maxW</f>
        <v>0.38606336307076528</v>
      </c>
      <c r="Y2613" s="132"/>
      <c r="Z2613" s="146"/>
      <c r="AA2613" s="143">
        <f>'Valve Sizing'!$G$8*AA2611/P_1_maxW</f>
        <v>0.10993125063926708</v>
      </c>
      <c r="AB2613" s="132"/>
      <c r="AC2613" s="146"/>
      <c r="AD2613" s="143">
        <f>'Valve Sizing'!$G$8*AD2611/P_1_maxW</f>
        <v>-0.52932752285954721</v>
      </c>
      <c r="AE2613" s="132"/>
      <c r="AF2613" s="146"/>
      <c r="AG2613" s="143">
        <f>'Valve Sizing'!$G$8*AG2611/P_1_maxW</f>
        <v>-1.510314795250816</v>
      </c>
      <c r="AH2613" s="132"/>
      <c r="AI2613" s="146"/>
      <c r="AJ2613" s="143">
        <f>'Valve Sizing'!$G$8*AJ2611/P_1_maxW</f>
        <v>-2.7318397884496899</v>
      </c>
      <c r="AK2613" s="132"/>
      <c r="AL2613" s="146"/>
      <c r="AM2613" s="143">
        <f>'Valve Sizing'!$G$8*AM2611/P_1_maxW</f>
        <v>-3.9379278969897378</v>
      </c>
      <c r="AN2613" s="132"/>
      <c r="AO2613" s="146"/>
      <c r="AP2613" s="143">
        <f>'Valve Sizing'!$G$8*AP2611/P_1_maxW</f>
        <v>-5.0202650136164548</v>
      </c>
      <c r="AQ2613" s="132"/>
      <c r="AR2613" s="146"/>
      <c r="AS2613" s="143">
        <f>'Valve Sizing'!$G$8*AS2611/P_1_maxW</f>
        <v>-6.3674671882788081</v>
      </c>
      <c r="AT2613" s="132"/>
      <c r="AU2613" s="146"/>
    </row>
    <row r="2614" spans="13:47" x14ac:dyDescent="0.25">
      <c r="M2614" s="20"/>
      <c r="N2614" s="20"/>
      <c r="O2614" s="7" t="s">
        <v>190</v>
      </c>
      <c r="P2614" s="1"/>
      <c r="Q2614" s="7"/>
      <c r="R2614" s="181">
        <f>R2611-R2612</f>
        <v>50.44637012643345</v>
      </c>
      <c r="S2614" s="132"/>
      <c r="T2614" s="146"/>
      <c r="U2614" s="138">
        <f>U2611-U2612</f>
        <v>47.172713110685322</v>
      </c>
      <c r="V2614" s="132"/>
      <c r="W2614" s="146"/>
      <c r="X2614" s="138">
        <f>X2611-X2612</f>
        <v>30.032672473020369</v>
      </c>
      <c r="Y2614" s="132"/>
      <c r="Z2614" s="146"/>
      <c r="AA2614" s="138">
        <f>AA2611-AA2612</f>
        <v>-27.210757045212588</v>
      </c>
      <c r="AB2614" s="132"/>
      <c r="AC2614" s="146"/>
      <c r="AD2614" s="138">
        <f>AD2611-AD2612</f>
        <v>-159.73197749460655</v>
      </c>
      <c r="AE2614" s="132"/>
      <c r="AF2614" s="146"/>
      <c r="AG2614" s="138">
        <f>AG2611-AG2612</f>
        <v>-363.09505356329066</v>
      </c>
      <c r="AH2614" s="132"/>
      <c r="AI2614" s="146"/>
      <c r="AJ2614" s="138">
        <f>AJ2611-AJ2612</f>
        <v>-616.32268158966258</v>
      </c>
      <c r="AK2614" s="132"/>
      <c r="AL2614" s="146"/>
      <c r="AM2614" s="138">
        <f>AM2611-AM2612</f>
        <v>-866.35017395934642</v>
      </c>
      <c r="AN2614" s="132"/>
      <c r="AO2614" s="146"/>
      <c r="AP2614" s="138">
        <f>AP2611-AP2612</f>
        <v>-1090.7235288184593</v>
      </c>
      <c r="AQ2614" s="132"/>
      <c r="AR2614" s="146"/>
      <c r="AS2614" s="138">
        <f>AS2611-AS2612</f>
        <v>-1370.0046021171174</v>
      </c>
      <c r="AT2614" s="132"/>
      <c r="AU2614" s="146"/>
    </row>
    <row r="2615" spans="13:47" ht="14.5" x14ac:dyDescent="0.35">
      <c r="M2615" s="27"/>
      <c r="N2615" s="27"/>
      <c r="O2615" s="2" t="s">
        <v>191</v>
      </c>
      <c r="P2615" s="10"/>
      <c r="Q2615" s="2"/>
      <c r="R2615" s="181">
        <f>R2614/R2611</f>
        <v>0.50222193258886105</v>
      </c>
      <c r="S2615" s="132"/>
      <c r="T2615" s="146"/>
      <c r="U2615" s="138">
        <f>U2614/U2611</f>
        <v>0.48545225918466312</v>
      </c>
      <c r="V2615" s="132"/>
      <c r="W2615" s="146"/>
      <c r="X2615" s="138">
        <f>X2614/X2611</f>
        <v>0.37525514949091093</v>
      </c>
      <c r="Y2615" s="132"/>
      <c r="Z2615" s="146"/>
      <c r="AA2615" s="138">
        <f>AA2614/AA2611</f>
        <v>-1.1940175941428688</v>
      </c>
      <c r="AB2615" s="132"/>
      <c r="AC2615" s="146"/>
      <c r="AD2615" s="138">
        <f>AD2614/AD2611</f>
        <v>1.4556556907256823</v>
      </c>
      <c r="AE2615" s="132"/>
      <c r="AF2615" s="146"/>
      <c r="AG2615" s="138">
        <f>AG2614/AG2611</f>
        <v>1.1596959116120074</v>
      </c>
      <c r="AH2615" s="132"/>
      <c r="AI2615" s="146"/>
      <c r="AJ2615" s="138">
        <f>AJ2614/AJ2611</f>
        <v>1.0882888883412729</v>
      </c>
      <c r="AK2615" s="132"/>
      <c r="AL2615" s="146"/>
      <c r="AM2615" s="138">
        <f>AM2614/AM2611</f>
        <v>1.0612482260614915</v>
      </c>
      <c r="AN2615" s="132"/>
      <c r="AO2615" s="146"/>
      <c r="AP2615" s="138">
        <f>AP2614/AP2611</f>
        <v>1.0480434991767364</v>
      </c>
      <c r="AQ2615" s="132"/>
      <c r="AR2615" s="146"/>
      <c r="AS2615" s="138">
        <f>AS2614/AS2611</f>
        <v>1.0378786558166588</v>
      </c>
      <c r="AT2615" s="132"/>
      <c r="AU2615" s="146"/>
    </row>
    <row r="2616" spans="13:47" x14ac:dyDescent="0.25">
      <c r="M2616" s="27"/>
      <c r="N2616" s="27"/>
      <c r="O2616" s="2" t="s">
        <v>26</v>
      </c>
      <c r="P2616" s="7">
        <v>12</v>
      </c>
      <c r="Q2616" s="2"/>
      <c r="R2616" s="181">
        <f>1-R2615/(3*F_GAMMA*R$29)</f>
        <v>0.73843706248198027</v>
      </c>
      <c r="S2616" s="133"/>
      <c r="T2616" s="146"/>
      <c r="U2616" s="138">
        <f>1-U2615/(3*F_GAMMA*U$29)</f>
        <v>0.74722656722844605</v>
      </c>
      <c r="V2616" s="133"/>
      <c r="W2616" s="146"/>
      <c r="X2616" s="138">
        <f>1-X2615/(3*F_GAMMA*X$29)</f>
        <v>0.80167462520634025</v>
      </c>
      <c r="Y2616" s="133"/>
      <c r="Z2616" s="146"/>
      <c r="AA2616" s="138">
        <f>1-AA2615/(3*F_GAMMA*AA$29)</f>
        <v>1.6397004795240071</v>
      </c>
      <c r="AB2616" s="133"/>
      <c r="AC2616" s="146"/>
      <c r="AD2616" s="138">
        <f>1-AD2615/(3*F_GAMMA*AD$29)</f>
        <v>0.1987431981482517</v>
      </c>
      <c r="AE2616" s="133"/>
      <c r="AF2616" s="146"/>
      <c r="AG2616" s="138">
        <f>1-AG2615/(3*F_GAMMA*AG$29)</f>
        <v>0.3252401025372601</v>
      </c>
      <c r="AH2616" s="133"/>
      <c r="AI2616" s="146"/>
      <c r="AJ2616" s="138">
        <f>1-AJ2615/(3*F_GAMMA*AJ$29)</f>
        <v>0.32308748258751652</v>
      </c>
      <c r="AK2616" s="133"/>
      <c r="AL2616" s="146"/>
      <c r="AM2616" s="138">
        <f>1-AM2615/(3*F_GAMMA*AM$29)</f>
        <v>0.27878094098187189</v>
      </c>
      <c r="AN2616" s="133"/>
      <c r="AO2616" s="146"/>
      <c r="AP2616" s="138">
        <f>1-AP2615/(3*F_GAMMA*AP$29)</f>
        <v>0.41140640478536294</v>
      </c>
      <c r="AQ2616" s="133"/>
      <c r="AR2616" s="146"/>
      <c r="AS2616" s="138">
        <f>1-AS2615/(3*F_GAMMA*AS$29)</f>
        <v>0.11513007404377562</v>
      </c>
      <c r="AT2616" s="133"/>
      <c r="AU2616" s="146"/>
    </row>
    <row r="2617" spans="13:47" x14ac:dyDescent="0.25">
      <c r="M2617" s="27"/>
      <c r="N2617" s="27"/>
      <c r="O2617" s="2" t="s">
        <v>71</v>
      </c>
      <c r="P2617" s="85">
        <v>5</v>
      </c>
      <c r="Q2617" s="2"/>
      <c r="R2617" s="179">
        <f>R2609/((N_6*R$27*R2616)*SQRT(R2615*R2611*R2613))</f>
        <v>1.8944957474823543</v>
      </c>
      <c r="S2617" s="133"/>
      <c r="T2617" s="146"/>
      <c r="U2617" s="143">
        <f>U2609/((N_6*U$27*U2616)*SQRT(U2615*U2611*U2613))</f>
        <v>13.041350382158274</v>
      </c>
      <c r="V2617" s="133"/>
      <c r="W2617" s="146"/>
      <c r="X2617" s="143">
        <f>X2609/((N_6*X$27*X2616)*SQRT(X2615*X2611*X2613))</f>
        <v>41.607355210698742</v>
      </c>
      <c r="Y2617" s="133"/>
      <c r="Z2617" s="146"/>
      <c r="AA2617" s="143" t="e">
        <f>AA2609/((N_6*AA$27*AA2616)*SQRT(AA2615*AA2611*AA2613))</f>
        <v>#NUM!</v>
      </c>
      <c r="AB2617" s="133"/>
      <c r="AC2617" s="146"/>
      <c r="AD2617" s="143">
        <f>AD2609/((N_6*AD$27*AD2616)*SQRT(AD2615*AD2611*AD2613))</f>
        <v>202.61895966242466</v>
      </c>
      <c r="AE2617" s="133"/>
      <c r="AF2617" s="146"/>
      <c r="AG2617" s="143">
        <f>AG2609/((N_6*AG$27*AG2616)*SQRT(AG2615*AG2611*AG2613))</f>
        <v>69.659437632366703</v>
      </c>
      <c r="AH2617" s="133"/>
      <c r="AI2617" s="146"/>
      <c r="AJ2617" s="143">
        <f>AJ2609/((N_6*AJ$27*AJ2616)*SQRT(AJ2615*AJ2611*AJ2613))</f>
        <v>52.559192437954223</v>
      </c>
      <c r="AK2617" s="133"/>
      <c r="AL2617" s="146"/>
      <c r="AM2617" s="143">
        <f>AM2609/((N_6*AM$27*AM2616)*SQRT(AM2615*AM2611*AM2613))</f>
        <v>53.257777111379667</v>
      </c>
      <c r="AN2617" s="133"/>
      <c r="AO2617" s="146"/>
      <c r="AP2617" s="143">
        <f>AP2609/((N_6*AP$27*AP2616)*SQRT(AP2615*AP2611*AP2613))</f>
        <v>36.10141729644738</v>
      </c>
      <c r="AQ2617" s="133"/>
      <c r="AR2617" s="146"/>
      <c r="AS2617" s="143">
        <f>AS2609/((N_6*AS$27*AS2616)*SQRT(AS2615*AS2611*AS2613))</f>
        <v>149.83226290528592</v>
      </c>
      <c r="AT2617" s="133"/>
      <c r="AU2617" s="146"/>
    </row>
    <row r="2618" spans="13:47" x14ac:dyDescent="0.25">
      <c r="M2618" s="27"/>
      <c r="N2618" s="27"/>
      <c r="O2618" s="2" t="s">
        <v>73</v>
      </c>
      <c r="P2618" s="85">
        <v>5</v>
      </c>
      <c r="Q2618" s="2"/>
      <c r="R2618" s="179">
        <f>R2609/((N_6*R$27*0.667)*SQRT(R2619*R2611*R2613))</f>
        <v>1.8579328659690131</v>
      </c>
      <c r="S2618" s="133"/>
      <c r="T2618" s="155"/>
      <c r="U2618" s="143">
        <f>U2609/((N_6*U$27*0.667)*SQRT(U2619*U2611*U2613))</f>
        <v>12.722585392755256</v>
      </c>
      <c r="V2618" s="133"/>
      <c r="W2618" s="155"/>
      <c r="X2618" s="143">
        <f>X2609/((N_6*X$27*0.667)*SQRT(X2619*X2611*X2613))</f>
        <v>38.573778583305668</v>
      </c>
      <c r="Y2618" s="133"/>
      <c r="Z2618" s="155"/>
      <c r="AA2618" s="143">
        <f>AA2609/((N_6*AA$27*0.667)*SQRT(AA2619*AA2611*AA2613))</f>
        <v>267.18335136523984</v>
      </c>
      <c r="AB2618" s="133"/>
      <c r="AC2618" s="155"/>
      <c r="AD2618" s="143">
        <f>AD2609/((N_6*AD$27*0.667)*SQRT(AD2619*AD2611*AD2613))</f>
        <v>93.603699430524401</v>
      </c>
      <c r="AE2618" s="133"/>
      <c r="AF2618" s="155"/>
      <c r="AG2618" s="143">
        <f>AG2609/((N_6*AG$27*0.667)*SQRT(AG2619*AG2611*AG2613))</f>
        <v>48.327405309859252</v>
      </c>
      <c r="AH2618" s="133"/>
      <c r="AI2618" s="155"/>
      <c r="AJ2618" s="143">
        <f>AJ2609/((N_6*AJ$27*0.667)*SQRT(AJ2619*AJ2611*AJ2613))</f>
        <v>36.280217515300698</v>
      </c>
      <c r="AK2618" s="133"/>
      <c r="AL2618" s="155"/>
      <c r="AM2618" s="143">
        <f>AM2609/((N_6*AM$27*0.667)*SQRT(AM2619*AM2611*AM2613))</f>
        <v>32.742701308736578</v>
      </c>
      <c r="AN2618" s="133"/>
      <c r="AO2618" s="155"/>
      <c r="AP2618" s="143">
        <f>AP2609/((N_6*AP$27*0.667)*SQRT(AP2619*AP2611*AP2613))</f>
        <v>29.589515909015766</v>
      </c>
      <c r="AQ2618" s="133"/>
      <c r="AR2618" s="155"/>
      <c r="AS2618" s="143">
        <f>AS2609/((N_6*AS$27*0.667)*SQRT(AS2619*AS2611*AS2613))</f>
        <v>42.137487199480482</v>
      </c>
      <c r="AT2618" s="133"/>
      <c r="AU2618" s="155"/>
    </row>
    <row r="2619" spans="13:47" ht="15.5" x14ac:dyDescent="0.4">
      <c r="M2619" s="27"/>
      <c r="N2619" s="27"/>
      <c r="O2619" s="2" t="s">
        <v>192</v>
      </c>
      <c r="P2619" s="85">
        <v>10</v>
      </c>
      <c r="Q2619" s="2"/>
      <c r="R2619" s="181">
        <f>F_GAMMA*R$29</f>
        <v>0.64002688015162901</v>
      </c>
      <c r="S2619" s="133"/>
      <c r="T2619" s="155"/>
      <c r="U2619" s="138">
        <f>F_GAMMA*U$29</f>
        <v>0.64016782916606918</v>
      </c>
      <c r="V2619" s="133"/>
      <c r="W2619" s="155"/>
      <c r="X2619" s="138">
        <f>F_GAMMA*X$29</f>
        <v>0.6307062319203669</v>
      </c>
      <c r="Y2619" s="133"/>
      <c r="Z2619" s="155"/>
      <c r="AA2619" s="138">
        <f>F_GAMMA*AA$29</f>
        <v>0.62217534213893466</v>
      </c>
      <c r="AB2619" s="133"/>
      <c r="AC2619" s="155"/>
      <c r="AD2619" s="138">
        <f>F_GAMMA*AD$29</f>
        <v>0.60557184969146072</v>
      </c>
      <c r="AE2619" s="133"/>
      <c r="AF2619" s="155"/>
      <c r="AG2619" s="138">
        <f>F_GAMMA*AG$29</f>
        <v>0.57289312142622573</v>
      </c>
      <c r="AH2619" s="133"/>
      <c r="AI2619" s="155"/>
      <c r="AJ2619" s="138">
        <f>F_GAMMA*AJ$29</f>
        <v>0.53590819116049981</v>
      </c>
      <c r="AK2619" s="133"/>
      <c r="AL2619" s="155"/>
      <c r="AM2619" s="138">
        <f>F_GAMMA*AM$29</f>
        <v>0.49048815926850342</v>
      </c>
      <c r="AN2619" s="133"/>
      <c r="AO2619" s="155"/>
      <c r="AP2619" s="138">
        <f>F_GAMMA*AP$29</f>
        <v>0.59352979016280105</v>
      </c>
      <c r="AQ2619" s="133"/>
      <c r="AR2619" s="155"/>
      <c r="AS2619" s="138">
        <f>F_GAMMA*AS$29</f>
        <v>0.39097221161068291</v>
      </c>
      <c r="AT2619" s="133"/>
      <c r="AU2619" s="155"/>
    </row>
    <row r="2620" spans="13:47" x14ac:dyDescent="0.25">
      <c r="M2620" s="27"/>
      <c r="N2620" s="27"/>
      <c r="O2620" s="2" t="s">
        <v>193</v>
      </c>
      <c r="P2620" s="134"/>
      <c r="Q2620" s="2"/>
      <c r="R2620" s="181">
        <f>IF(R2615&lt;R2619,R2617,R2618)</f>
        <v>1.8944957474823543</v>
      </c>
      <c r="S2620" s="133"/>
      <c r="T2620" s="155"/>
      <c r="U2620" s="138">
        <f>IF(U2615&lt;U2619,U2617,U2618)</f>
        <v>13.041350382158274</v>
      </c>
      <c r="V2620" s="133"/>
      <c r="W2620" s="155"/>
      <c r="X2620" s="138">
        <f>IF(X2615&lt;X2619,X2617,X2618)</f>
        <v>41.607355210698742</v>
      </c>
      <c r="Y2620" s="133"/>
      <c r="Z2620" s="155"/>
      <c r="AA2620" s="138" t="e">
        <f>IF(AA2615&lt;AA2619,AA2617,AA2618)</f>
        <v>#NUM!</v>
      </c>
      <c r="AB2620" s="133"/>
      <c r="AC2620" s="155"/>
      <c r="AD2620" s="138">
        <f>IF(AD2615&lt;AD2619,AD2617,AD2618)</f>
        <v>93.603699430524401</v>
      </c>
      <c r="AE2620" s="133"/>
      <c r="AF2620" s="155"/>
      <c r="AG2620" s="138">
        <f>IF(AG2615&lt;AG2619,AG2617,AG2618)</f>
        <v>48.327405309859252</v>
      </c>
      <c r="AH2620" s="133"/>
      <c r="AI2620" s="155"/>
      <c r="AJ2620" s="138">
        <f>IF(AJ2615&lt;AJ2619,AJ2617,AJ2618)</f>
        <v>36.280217515300698</v>
      </c>
      <c r="AK2620" s="133"/>
      <c r="AL2620" s="155"/>
      <c r="AM2620" s="138">
        <f>IF(AM2615&lt;AM2619,AM2617,AM2618)</f>
        <v>32.742701308736578</v>
      </c>
      <c r="AN2620" s="133"/>
      <c r="AO2620" s="155"/>
      <c r="AP2620" s="138">
        <f>IF(AP2615&lt;AP2619,AP2617,AP2618)</f>
        <v>29.589515909015766</v>
      </c>
      <c r="AQ2620" s="133"/>
      <c r="AR2620" s="155"/>
      <c r="AS2620" s="138">
        <f>IF(AS2615&lt;AS2619,AS2617,AS2618)</f>
        <v>42.137487199480482</v>
      </c>
      <c r="AT2620" s="133"/>
      <c r="AU2620" s="155"/>
    </row>
    <row r="2621" spans="13:47" ht="13" x14ac:dyDescent="0.3">
      <c r="M2621" s="28"/>
      <c r="N2621" s="28"/>
      <c r="O2621" s="9" t="s">
        <v>194</v>
      </c>
      <c r="P2621" s="1"/>
      <c r="Q2621" s="1"/>
      <c r="R2621" s="135"/>
      <c r="S2621" s="132">
        <f>IF(R2614&lt;=0,W_max,ABS(R$23-R2620))</f>
        <v>0.10550425251764572</v>
      </c>
      <c r="T2621" s="151">
        <f>R2609</f>
        <v>437.76102326659185</v>
      </c>
      <c r="U2621" s="135"/>
      <c r="V2621" s="132">
        <f>IF(U2614&lt;=0,W_max,ABS(U$23-U2620))</f>
        <v>8.0413503821582744</v>
      </c>
      <c r="W2621" s="151">
        <f>U2609</f>
        <v>2898.4804948678475</v>
      </c>
      <c r="X2621" s="135"/>
      <c r="Y2621" s="132">
        <f>IF(X2614&lt;=0,W_max,ABS(X$23-X2620))</f>
        <v>31.607355210698742</v>
      </c>
      <c r="Z2621" s="151">
        <f>X2609</f>
        <v>7168.2871870303607</v>
      </c>
      <c r="AA2621" s="135"/>
      <c r="AB2621" s="132">
        <f>IF(AA2614&lt;=0,W_max,ABS(AA$23-AA2620))</f>
        <v>7174</v>
      </c>
      <c r="AC2621" s="151">
        <f>AA2609</f>
        <v>13961.993767909109</v>
      </c>
      <c r="AD2621" s="135"/>
      <c r="AE2621" s="132">
        <f>IF(AD2614&lt;=0,W_max,ABS(AD$23-AD2620))</f>
        <v>7174</v>
      </c>
      <c r="AF2621" s="151">
        <f>AD2609</f>
        <v>22962.33924708929</v>
      </c>
      <c r="AG2621" s="135"/>
      <c r="AH2621" s="132">
        <f>IF(AG2614&lt;=0,W_max,ABS(AG$23-AG2620))</f>
        <v>7174</v>
      </c>
      <c r="AI2621" s="151">
        <f>AG2609</f>
        <v>32206.448576585783</v>
      </c>
      <c r="AJ2621" s="135"/>
      <c r="AK2621" s="132">
        <f>IF(AJ2614&lt;=0,W_max,ABS(AJ$23-AJ2620))</f>
        <v>7174</v>
      </c>
      <c r="AL2621" s="151">
        <f>AJ2609</f>
        <v>40893.643663852337</v>
      </c>
      <c r="AM2621" s="135"/>
      <c r="AN2621" s="132">
        <f>IF(AM2614&lt;=0,W_max,ABS(AM$23-AM2620))</f>
        <v>7174</v>
      </c>
      <c r="AO2621" s="151">
        <f>AM2609</f>
        <v>47951.013273352568</v>
      </c>
      <c r="AP2621" s="135"/>
      <c r="AQ2621" s="132">
        <f>IF(AP2614&lt;=0,W_max,ABS(AP$23-AP2620))</f>
        <v>7174</v>
      </c>
      <c r="AR2621" s="151">
        <f>AP2609</f>
        <v>53497.427699607928</v>
      </c>
      <c r="AS2621" s="135"/>
      <c r="AT2621" s="132">
        <f>IF(AS2614&lt;=0,W_max,ABS(AS$23-AS2620))</f>
        <v>7174</v>
      </c>
      <c r="AU2621" s="151">
        <f>AS2609</f>
        <v>59685.386712468884</v>
      </c>
    </row>
    <row r="2622" spans="13:47" ht="13" x14ac:dyDescent="0.25">
      <c r="M2622" s="12"/>
      <c r="N2622" s="12"/>
      <c r="O2622" s="2"/>
      <c r="P2622" s="85"/>
      <c r="Q2622" s="2"/>
      <c r="R2622" s="18"/>
      <c r="S2622" s="150"/>
      <c r="T2622" s="152"/>
      <c r="U2622" s="157"/>
      <c r="V2622" s="1"/>
      <c r="W2622" s="147"/>
      <c r="X2622" s="157"/>
      <c r="Y2622" s="1"/>
      <c r="Z2622" s="147"/>
      <c r="AA2622" s="157"/>
      <c r="AB2622" s="1"/>
      <c r="AC2622" s="147"/>
      <c r="AD2622" s="157"/>
      <c r="AE2622" s="1"/>
      <c r="AF2622" s="147"/>
      <c r="AG2622" s="157"/>
      <c r="AH2622" s="1"/>
      <c r="AI2622" s="147"/>
      <c r="AJ2622" s="157"/>
      <c r="AK2622" s="1"/>
      <c r="AL2622" s="147"/>
      <c r="AM2622" s="157"/>
      <c r="AN2622" s="1"/>
      <c r="AO2622" s="147"/>
      <c r="AP2622" s="157"/>
      <c r="AQ2622" s="1"/>
      <c r="AR2622" s="147"/>
      <c r="AS2622" s="157"/>
      <c r="AT2622" s="1"/>
      <c r="AU2622" s="147"/>
    </row>
    <row r="2623" spans="13:47" ht="14" x14ac:dyDescent="0.3">
      <c r="M2623" s="23"/>
      <c r="N2623" s="23"/>
      <c r="O2623" s="23" t="s">
        <v>238</v>
      </c>
      <c r="P2623" s="20"/>
      <c r="Q2623" s="20"/>
      <c r="R2623" s="181">
        <f>R2609*1.02</f>
        <v>446.51624373192368</v>
      </c>
      <c r="S2623" s="128" t="s">
        <v>185</v>
      </c>
      <c r="T2623" s="153" t="s">
        <v>186</v>
      </c>
      <c r="U2623" s="143">
        <f>U2609*1.01</f>
        <v>2927.4652998165261</v>
      </c>
      <c r="V2623" s="128" t="s">
        <v>185</v>
      </c>
      <c r="W2623" s="153" t="s">
        <v>186</v>
      </c>
      <c r="X2623" s="143">
        <f>X2609*1.01</f>
        <v>7239.9700589006643</v>
      </c>
      <c r="Y2623" s="128" t="s">
        <v>185</v>
      </c>
      <c r="Z2623" s="153" t="s">
        <v>186</v>
      </c>
      <c r="AA2623" s="143">
        <f>AA2609*1.01</f>
        <v>14101.613705588201</v>
      </c>
      <c r="AB2623" s="128" t="s">
        <v>185</v>
      </c>
      <c r="AC2623" s="153" t="s">
        <v>186</v>
      </c>
      <c r="AD2623" s="143">
        <f>AD2609*1.01</f>
        <v>23191.962639560184</v>
      </c>
      <c r="AE2623" s="128" t="s">
        <v>185</v>
      </c>
      <c r="AF2623" s="153" t="s">
        <v>186</v>
      </c>
      <c r="AG2623" s="143">
        <f>AG2609*1.01</f>
        <v>32528.513062351642</v>
      </c>
      <c r="AH2623" s="128" t="s">
        <v>185</v>
      </c>
      <c r="AI2623" s="153" t="s">
        <v>186</v>
      </c>
      <c r="AJ2623" s="143">
        <f>AJ2609*1.01</f>
        <v>41302.580100490864</v>
      </c>
      <c r="AK2623" s="128" t="s">
        <v>185</v>
      </c>
      <c r="AL2623" s="153" t="s">
        <v>186</v>
      </c>
      <c r="AM2623" s="143">
        <f>AM2609*1.01</f>
        <v>48430.523406086097</v>
      </c>
      <c r="AN2623" s="128" t="s">
        <v>185</v>
      </c>
      <c r="AO2623" s="153" t="s">
        <v>186</v>
      </c>
      <c r="AP2623" s="143">
        <f>AP2609*1.01</f>
        <v>54032.401976604007</v>
      </c>
      <c r="AQ2623" s="128" t="s">
        <v>185</v>
      </c>
      <c r="AR2623" s="153" t="s">
        <v>186</v>
      </c>
      <c r="AS2623" s="143">
        <f>AS2609*1.01</f>
        <v>60282.24057959357</v>
      </c>
      <c r="AT2623" s="128" t="s">
        <v>185</v>
      </c>
      <c r="AU2623" s="153" t="s">
        <v>186</v>
      </c>
    </row>
    <row r="2624" spans="13:47" ht="14" x14ac:dyDescent="0.3">
      <c r="M2624" s="12"/>
      <c r="N2624" s="12"/>
      <c r="O2624" s="20"/>
      <c r="P2624" s="20"/>
      <c r="Q2624" s="23"/>
      <c r="R2624" s="139"/>
      <c r="S2624" s="130" t="s">
        <v>228</v>
      </c>
      <c r="T2624" s="154" t="s">
        <v>187</v>
      </c>
      <c r="U2624" s="144"/>
      <c r="V2624" s="130" t="s">
        <v>228</v>
      </c>
      <c r="W2624" s="154" t="s">
        <v>187</v>
      </c>
      <c r="X2624" s="144"/>
      <c r="Y2624" s="130" t="s">
        <v>228</v>
      </c>
      <c r="Z2624" s="154" t="s">
        <v>187</v>
      </c>
      <c r="AA2624" s="144"/>
      <c r="AB2624" s="130" t="s">
        <v>228</v>
      </c>
      <c r="AC2624" s="154" t="s">
        <v>187</v>
      </c>
      <c r="AD2624" s="144"/>
      <c r="AE2624" s="130" t="s">
        <v>228</v>
      </c>
      <c r="AF2624" s="154" t="s">
        <v>187</v>
      </c>
      <c r="AG2624" s="144"/>
      <c r="AH2624" s="130" t="s">
        <v>228</v>
      </c>
      <c r="AI2624" s="154" t="s">
        <v>187</v>
      </c>
      <c r="AJ2624" s="144"/>
      <c r="AK2624" s="130" t="s">
        <v>228</v>
      </c>
      <c r="AL2624" s="154" t="s">
        <v>187</v>
      </c>
      <c r="AM2624" s="144"/>
      <c r="AN2624" s="130" t="s">
        <v>228</v>
      </c>
      <c r="AO2624" s="154" t="s">
        <v>187</v>
      </c>
      <c r="AP2624" s="144"/>
      <c r="AQ2624" s="130" t="s">
        <v>228</v>
      </c>
      <c r="AR2624" s="154" t="s">
        <v>187</v>
      </c>
      <c r="AS2624" s="144"/>
      <c r="AT2624" s="130" t="s">
        <v>228</v>
      </c>
      <c r="AU2624" s="154" t="s">
        <v>187</v>
      </c>
    </row>
    <row r="2625" spans="13:47" x14ac:dyDescent="0.25">
      <c r="M2625" s="20"/>
      <c r="N2625" s="20"/>
      <c r="O2625" s="7" t="s">
        <v>188</v>
      </c>
      <c r="P2625" s="7"/>
      <c r="Q2625" s="7"/>
      <c r="R2625" s="181">
        <f>P_1_minW-(R2623^2*R_up)+dpup_minQ</f>
        <v>100.44328289537761</v>
      </c>
      <c r="S2625" s="132"/>
      <c r="T2625" s="145"/>
      <c r="U2625" s="138">
        <f>P_1_minW-(U2623^2*R_up)+dpup_minQ</f>
        <v>97.105376630801885</v>
      </c>
      <c r="V2625" s="132"/>
      <c r="W2625" s="145"/>
      <c r="X2625" s="138">
        <f>P_1_minW-(X2623^2*R_up)+dpup_minQ</f>
        <v>79.620821176319865</v>
      </c>
      <c r="Y2625" s="132"/>
      <c r="Z2625" s="145"/>
      <c r="AA2625" s="138">
        <f>P_1_minW-(AA2623^2*R_up)+dpup_minQ</f>
        <v>21.226798724770418</v>
      </c>
      <c r="AB2625" s="132"/>
      <c r="AC2625" s="145"/>
      <c r="AD2625" s="138">
        <f>P_1_minW-(AD2623^2*R_up)+dpup_minQ</f>
        <v>-113.9580982556564</v>
      </c>
      <c r="AE2625" s="132"/>
      <c r="AF2625" s="145"/>
      <c r="AG2625" s="138">
        <f>P_1_minW-(AG2623^2*R_up)+dpup_minQ</f>
        <v>-321.40877215332102</v>
      </c>
      <c r="AH2625" s="132"/>
      <c r="AI2625" s="145"/>
      <c r="AJ2625" s="138">
        <f>P_1_minW-(AJ2623^2*R_up)+dpup_minQ</f>
        <v>-579.7262755030232</v>
      </c>
      <c r="AK2625" s="132"/>
      <c r="AL2625" s="145"/>
      <c r="AM2625" s="138">
        <f>P_1_minW-(AM2623^2*R_up)+dpup_minQ</f>
        <v>-834.77932046933756</v>
      </c>
      <c r="AN2625" s="132"/>
      <c r="AO2625" s="145"/>
      <c r="AP2625" s="138">
        <f>P_1_minW-(AP2623^2*R_up)+dpup_minQ</f>
        <v>-1063.6625797611184</v>
      </c>
      <c r="AQ2625" s="132"/>
      <c r="AR2625" s="145"/>
      <c r="AS2625" s="138">
        <f>P_1_minW-(AS2623^2*R_up)+dpup_minQ</f>
        <v>-1348.5572026330794</v>
      </c>
      <c r="AT2625" s="132"/>
      <c r="AU2625" s="145"/>
    </row>
    <row r="2626" spans="13:47" x14ac:dyDescent="0.25">
      <c r="M2626" s="20"/>
      <c r="N2626" s="20"/>
      <c r="O2626" s="7" t="s">
        <v>189</v>
      </c>
      <c r="P2626" s="1"/>
      <c r="Q2626" s="7"/>
      <c r="R2626" s="181">
        <f>P_2_minW+(R2623^2*R_dn)-dpdn_minQ</f>
        <v>50</v>
      </c>
      <c r="S2626" s="132"/>
      <c r="T2626" s="146"/>
      <c r="U2626" s="138">
        <f>P_2_minW+(U2623^2*R_dn)-dpdn_minQ</f>
        <v>50</v>
      </c>
      <c r="V2626" s="132"/>
      <c r="W2626" s="146"/>
      <c r="X2626" s="138">
        <f>P_2_minW+(X2623^2*R_dn)-dpdn_minQ</f>
        <v>50</v>
      </c>
      <c r="Y2626" s="132"/>
      <c r="Z2626" s="146"/>
      <c r="AA2626" s="138">
        <f>P_2_minW+(AA2623^2*R_dn)-dpdn_minQ</f>
        <v>50</v>
      </c>
      <c r="AB2626" s="132"/>
      <c r="AC2626" s="146"/>
      <c r="AD2626" s="138">
        <f>P_2_minW+(AD2623^2*R_dn)-dpdn_minQ</f>
        <v>50</v>
      </c>
      <c r="AE2626" s="132"/>
      <c r="AF2626" s="146"/>
      <c r="AG2626" s="138">
        <f>P_2_minW+(AG2623^2*R_dn)-dpdn_minQ</f>
        <v>50</v>
      </c>
      <c r="AH2626" s="132"/>
      <c r="AI2626" s="146"/>
      <c r="AJ2626" s="138">
        <f>P_2_minW+(AJ2623^2*R_dn)-dpdn_minQ</f>
        <v>50</v>
      </c>
      <c r="AK2626" s="132"/>
      <c r="AL2626" s="146"/>
      <c r="AM2626" s="138">
        <f>P_2_minW+(AM2623^2*R_dn)-dpdn_minQ</f>
        <v>50</v>
      </c>
      <c r="AN2626" s="132"/>
      <c r="AO2626" s="146"/>
      <c r="AP2626" s="138">
        <f>P_2_minW+(AP2623^2*R_dn)-dpdn_minQ</f>
        <v>50</v>
      </c>
      <c r="AQ2626" s="132"/>
      <c r="AR2626" s="146"/>
      <c r="AS2626" s="138">
        <f>P_2_minW+(AS2623^2*R_dn)-dpdn_minQ</f>
        <v>50</v>
      </c>
      <c r="AT2626" s="132"/>
      <c r="AU2626" s="146"/>
    </row>
    <row r="2627" spans="13:47" x14ac:dyDescent="0.25">
      <c r="M2627" s="20"/>
      <c r="N2627" s="20"/>
      <c r="O2627" s="7" t="s">
        <v>234</v>
      </c>
      <c r="P2627" s="1"/>
      <c r="Q2627" s="7"/>
      <c r="R2627" s="179">
        <f>'Valve Sizing'!G$8*R2625/P_1_maxW</f>
        <v>0.48452051386300932</v>
      </c>
      <c r="S2627" s="132"/>
      <c r="T2627" s="146"/>
      <c r="U2627" s="143">
        <f>'Valve Sizing'!$G$8*U2625/P_1_maxW</f>
        <v>0.46841904832027759</v>
      </c>
      <c r="V2627" s="132"/>
      <c r="W2627" s="146"/>
      <c r="X2627" s="143">
        <f>'Valve Sizing'!$G$8*X2625/P_1_maxW</f>
        <v>0.38407666574108595</v>
      </c>
      <c r="Y2627" s="132"/>
      <c r="Z2627" s="146"/>
      <c r="AA2627" s="143">
        <f>'Valve Sizing'!$G$8*AA2625/P_1_maxW</f>
        <v>0.10239429784971457</v>
      </c>
      <c r="AB2627" s="132"/>
      <c r="AC2627" s="146"/>
      <c r="AD2627" s="143">
        <f>'Valve Sizing'!$G$8*AD2625/P_1_maxW</f>
        <v>-0.54971357699642587</v>
      </c>
      <c r="AE2627" s="132"/>
      <c r="AF2627" s="146"/>
      <c r="AG2627" s="143">
        <f>'Valve Sizing'!$G$8*AG2625/P_1_maxW</f>
        <v>-1.5504186935627593</v>
      </c>
      <c r="AH2627" s="132"/>
      <c r="AI2627" s="146"/>
      <c r="AJ2627" s="143">
        <f>'Valve Sizing'!$G$8*AJ2625/P_1_maxW</f>
        <v>-2.7964963391249316</v>
      </c>
      <c r="AK2627" s="132"/>
      <c r="AL2627" s="146"/>
      <c r="AM2627" s="143">
        <f>'Valve Sizing'!$G$8*AM2625/P_1_maxW</f>
        <v>-4.0268268186466329</v>
      </c>
      <c r="AN2627" s="132"/>
      <c r="AO2627" s="146"/>
      <c r="AP2627" s="143">
        <f>'Valve Sizing'!$G$8*AP2625/P_1_maxW</f>
        <v>-5.1309189113175471</v>
      </c>
      <c r="AQ2627" s="132"/>
      <c r="AR2627" s="146"/>
      <c r="AS2627" s="143">
        <f>'Valve Sizing'!$G$8*AS2625/P_1_maxW</f>
        <v>-6.5051998496906123</v>
      </c>
      <c r="AT2627" s="132"/>
      <c r="AU2627" s="146"/>
    </row>
    <row r="2628" spans="13:47" x14ac:dyDescent="0.25">
      <c r="M2628" s="20"/>
      <c r="N2628" s="20"/>
      <c r="O2628" s="7" t="s">
        <v>190</v>
      </c>
      <c r="P2628" s="1"/>
      <c r="Q2628" s="7"/>
      <c r="R2628" s="181">
        <f>R2625-R2626</f>
        <v>50.443282895377607</v>
      </c>
      <c r="S2628" s="132"/>
      <c r="T2628" s="146"/>
      <c r="U2628" s="138">
        <f>U2625-U2626</f>
        <v>47.105376630801885</v>
      </c>
      <c r="V2628" s="132"/>
      <c r="W2628" s="146"/>
      <c r="X2628" s="138">
        <f>X2625-X2626</f>
        <v>29.620821176319865</v>
      </c>
      <c r="Y2628" s="132"/>
      <c r="Z2628" s="146"/>
      <c r="AA2628" s="138">
        <f>AA2625-AA2626</f>
        <v>-28.773201275229582</v>
      </c>
      <c r="AB2628" s="132"/>
      <c r="AC2628" s="146"/>
      <c r="AD2628" s="138">
        <f>AD2625-AD2626</f>
        <v>-163.95809825565641</v>
      </c>
      <c r="AE2628" s="132"/>
      <c r="AF2628" s="146"/>
      <c r="AG2628" s="138">
        <f>AG2625-AG2626</f>
        <v>-371.40877215332102</v>
      </c>
      <c r="AH2628" s="132"/>
      <c r="AI2628" s="146"/>
      <c r="AJ2628" s="138">
        <f>AJ2625-AJ2626</f>
        <v>-629.7262755030232</v>
      </c>
      <c r="AK2628" s="132"/>
      <c r="AL2628" s="146"/>
      <c r="AM2628" s="138">
        <f>AM2625-AM2626</f>
        <v>-884.77932046933756</v>
      </c>
      <c r="AN2628" s="132"/>
      <c r="AO2628" s="146"/>
      <c r="AP2628" s="138">
        <f>AP2625-AP2626</f>
        <v>-1113.6625797611184</v>
      </c>
      <c r="AQ2628" s="132"/>
      <c r="AR2628" s="146"/>
      <c r="AS2628" s="138">
        <f>AS2625-AS2626</f>
        <v>-1398.5572026330794</v>
      </c>
      <c r="AT2628" s="132"/>
      <c r="AU2628" s="146"/>
    </row>
    <row r="2629" spans="13:47" ht="14.5" x14ac:dyDescent="0.35">
      <c r="M2629" s="27"/>
      <c r="N2629" s="27"/>
      <c r="O2629" s="2" t="s">
        <v>191</v>
      </c>
      <c r="P2629" s="10"/>
      <c r="Q2629" s="2"/>
      <c r="R2629" s="181">
        <f>R2628/R2625</f>
        <v>0.50220663285089617</v>
      </c>
      <c r="S2629" s="132"/>
      <c r="T2629" s="146"/>
      <c r="U2629" s="138">
        <f>U2628/U2625</f>
        <v>0.48509545264314469</v>
      </c>
      <c r="V2629" s="132"/>
      <c r="W2629" s="146"/>
      <c r="X2629" s="138">
        <f>X2628/X2625</f>
        <v>0.37202355789228447</v>
      </c>
      <c r="Y2629" s="132"/>
      <c r="Z2629" s="146"/>
      <c r="AA2629" s="138">
        <f>AA2628/AA2625</f>
        <v>-1.3555129837667399</v>
      </c>
      <c r="AB2629" s="132"/>
      <c r="AC2629" s="146"/>
      <c r="AD2629" s="138">
        <f>AD2628/AD2625</f>
        <v>1.4387577606624216</v>
      </c>
      <c r="AE2629" s="132"/>
      <c r="AF2629" s="146"/>
      <c r="AG2629" s="138">
        <f>AG2628/AG2625</f>
        <v>1.1555651380172929</v>
      </c>
      <c r="AH2629" s="132"/>
      <c r="AI2629" s="146"/>
      <c r="AJ2629" s="138">
        <f>AJ2628/AJ2625</f>
        <v>1.0862476001395924</v>
      </c>
      <c r="AK2629" s="132"/>
      <c r="AL2629" s="146"/>
      <c r="AM2629" s="138">
        <f>AM2628/AM2625</f>
        <v>1.0598960692652144</v>
      </c>
      <c r="AN2629" s="132"/>
      <c r="AO2629" s="146"/>
      <c r="AP2629" s="138">
        <f>AP2628/AP2625</f>
        <v>1.0470073883874238</v>
      </c>
      <c r="AQ2629" s="132"/>
      <c r="AR2629" s="146"/>
      <c r="AS2629" s="138">
        <f>AS2628/AS2625</f>
        <v>1.0370766623042569</v>
      </c>
      <c r="AT2629" s="132"/>
      <c r="AU2629" s="146"/>
    </row>
    <row r="2630" spans="13:47" x14ac:dyDescent="0.25">
      <c r="M2630" s="27"/>
      <c r="N2630" s="27"/>
      <c r="O2630" s="2" t="s">
        <v>26</v>
      </c>
      <c r="P2630" s="7">
        <v>12</v>
      </c>
      <c r="Q2630" s="2"/>
      <c r="R2630" s="181">
        <f>1-R2629/(3*F_GAMMA*R$29)</f>
        <v>0.7384450307608339</v>
      </c>
      <c r="S2630" s="133"/>
      <c r="T2630" s="146"/>
      <c r="U2630" s="138">
        <f>1-U2629/(3*F_GAMMA*U$29)</f>
        <v>0.7474123552490568</v>
      </c>
      <c r="V2630" s="133"/>
      <c r="W2630" s="146"/>
      <c r="X2630" s="138">
        <f>1-X2629/(3*F_GAMMA*X$29)</f>
        <v>0.80338254744497473</v>
      </c>
      <c r="Y2630" s="133"/>
      <c r="Z2630" s="146"/>
      <c r="AA2630" s="138">
        <f>1-AA2629/(3*F_GAMMA*AA$29)</f>
        <v>1.7262223856417029</v>
      </c>
      <c r="AB2630" s="133"/>
      <c r="AC2630" s="146"/>
      <c r="AD2630" s="138">
        <f>1-AD2629/(3*F_GAMMA*AD$29)</f>
        <v>0.20804456074839583</v>
      </c>
      <c r="AE2630" s="133"/>
      <c r="AF2630" s="146"/>
      <c r="AG2630" s="138">
        <f>1-AG2629/(3*F_GAMMA*AG$29)</f>
        <v>0.32764356049490428</v>
      </c>
      <c r="AH2630" s="133"/>
      <c r="AI2630" s="146"/>
      <c r="AJ2630" s="138">
        <f>1-AJ2629/(3*F_GAMMA*AJ$29)</f>
        <v>0.32435715790090691</v>
      </c>
      <c r="AK2630" s="133"/>
      <c r="AL2630" s="146"/>
      <c r="AM2630" s="138">
        <f>1-AM2629/(3*F_GAMMA*AM$29)</f>
        <v>0.27969986007008096</v>
      </c>
      <c r="AN2630" s="133"/>
      <c r="AO2630" s="146"/>
      <c r="AP2630" s="138">
        <f>1-AP2629/(3*F_GAMMA*AP$29)</f>
        <v>0.41198829682992144</v>
      </c>
      <c r="AQ2630" s="133"/>
      <c r="AR2630" s="146"/>
      <c r="AS2630" s="138">
        <f>1-AS2629/(3*F_GAMMA*AS$29)</f>
        <v>0.11581383407290746</v>
      </c>
      <c r="AT2630" s="133"/>
      <c r="AU2630" s="146"/>
    </row>
    <row r="2631" spans="13:47" x14ac:dyDescent="0.25">
      <c r="M2631" s="27"/>
      <c r="N2631" s="27"/>
      <c r="O2631" s="2" t="s">
        <v>71</v>
      </c>
      <c r="P2631" s="85">
        <v>5</v>
      </c>
      <c r="Q2631" s="2"/>
      <c r="R2631" s="179">
        <f>R2623/((N_6*R$27*R2630)*SQRT(R2629*R2625*R2627))</f>
        <v>1.9324536395334697</v>
      </c>
      <c r="S2631" s="133"/>
      <c r="T2631" s="146"/>
      <c r="U2631" s="143">
        <f>U2623/((N_6*U$27*U2630)*SQRT(U2629*U2625*U2627))</f>
        <v>13.182466670639339</v>
      </c>
      <c r="V2631" s="133"/>
      <c r="W2631" s="146"/>
      <c r="X2631" s="143">
        <f>X2623/((N_6*X$27*X2630)*SQRT(X2629*X2625*X2627))</f>
        <v>42.333678279435588</v>
      </c>
      <c r="Y2631" s="133"/>
      <c r="Z2631" s="146"/>
      <c r="AA2631" s="143" t="e">
        <f>AA2623/((N_6*AA$27*AA2630)*SQRT(AA2629*AA2625*AA2627))</f>
        <v>#NUM!</v>
      </c>
      <c r="AB2631" s="133"/>
      <c r="AC2631" s="146"/>
      <c r="AD2631" s="143">
        <f>AD2623/((N_6*AD$27*AD2630)*SQRT(AD2629*AD2625*AD2627))</f>
        <v>189.34806339270347</v>
      </c>
      <c r="AE2631" s="133"/>
      <c r="AF2631" s="146"/>
      <c r="AG2631" s="143">
        <f>AG2623/((N_6*AG$27*AG2630)*SQRT(AG2629*AG2625*AG2627))</f>
        <v>68.154905279248283</v>
      </c>
      <c r="AH2631" s="133"/>
      <c r="AI2631" s="146"/>
      <c r="AJ2631" s="143">
        <f>AJ2623/((N_6*AJ$27*AJ2630)*SQRT(AJ2629*AJ2625*AJ2627))</f>
        <v>51.702954030370478</v>
      </c>
      <c r="AK2631" s="133"/>
      <c r="AL2631" s="146"/>
      <c r="AM2631" s="143">
        <f>AM2623/((N_6*AM$27*AM2630)*SQRT(AM2629*AM2625*AM2627))</f>
        <v>52.463455944386425</v>
      </c>
      <c r="AN2631" s="133"/>
      <c r="AO2631" s="146"/>
      <c r="AP2631" s="143">
        <f>AP2623/((N_6*AP$27*AP2630)*SQRT(AP2629*AP2625*AP2627))</f>
        <v>35.643313342594205</v>
      </c>
      <c r="AQ2631" s="133"/>
      <c r="AR2631" s="146"/>
      <c r="AS2631" s="143">
        <f>AS2623/((N_6*AS$27*AS2630)*SQRT(AS2629*AS2625*AS2627))</f>
        <v>147.30890090095789</v>
      </c>
      <c r="AT2631" s="133"/>
      <c r="AU2631" s="146"/>
    </row>
    <row r="2632" spans="13:47" x14ac:dyDescent="0.25">
      <c r="M2632" s="27"/>
      <c r="N2632" s="27"/>
      <c r="O2632" s="2" t="s">
        <v>73</v>
      </c>
      <c r="P2632" s="85">
        <v>5</v>
      </c>
      <c r="Q2632" s="2"/>
      <c r="R2632" s="179">
        <f>R2623/((N_6*R$27*0.667)*SQRT(R2633*R2625*R2627))</f>
        <v>1.8951497709405583</v>
      </c>
      <c r="S2632" s="133"/>
      <c r="T2632" s="155"/>
      <c r="U2632" s="143">
        <f>U2623/((N_6*U$27*0.667)*SQRT(U2633*U2625*U2627))</f>
        <v>12.858721783735851</v>
      </c>
      <c r="V2632" s="133"/>
      <c r="W2632" s="155"/>
      <c r="X2632" s="143">
        <f>X2623/((N_6*X$27*0.667)*SQRT(X2633*X2625*X2627))</f>
        <v>39.161040632495933</v>
      </c>
      <c r="Y2632" s="133"/>
      <c r="Z2632" s="155"/>
      <c r="AA2632" s="143">
        <f>AA2623/((N_6*AA$27*0.667)*SQRT(AA2633*AA2625*AA2627))</f>
        <v>289.71845686922649</v>
      </c>
      <c r="AB2632" s="133"/>
      <c r="AC2632" s="155"/>
      <c r="AD2632" s="143">
        <f>AD2623/((N_6*AD$27*0.667)*SQRT(AD2633*AD2625*AD2627))</f>
        <v>91.033743002994726</v>
      </c>
      <c r="AE2632" s="133"/>
      <c r="AF2632" s="155"/>
      <c r="AG2632" s="143">
        <f>AG2623/((N_6*AG$27*0.667)*SQRT(AG2633*AG2625*AG2627))</f>
        <v>47.548118140085371</v>
      </c>
      <c r="AH2632" s="133"/>
      <c r="AI2632" s="155"/>
      <c r="AJ2632" s="143">
        <f>AJ2623/((N_6*AJ$27*0.667)*SQRT(AJ2633*AJ2625*AJ2627))</f>
        <v>35.795812695628513</v>
      </c>
      <c r="AK2632" s="133"/>
      <c r="AL2632" s="155"/>
      <c r="AM2632" s="143">
        <f>AM2623/((N_6*AM$27*0.667)*SQRT(AM2633*AM2625*AM2627))</f>
        <v>32.340050054426939</v>
      </c>
      <c r="AN2632" s="133"/>
      <c r="AO2632" s="155"/>
      <c r="AP2632" s="143">
        <f>AP2623/((N_6*AP$27*0.667)*SQRT(AP2633*AP2625*AP2627))</f>
        <v>29.24089937804764</v>
      </c>
      <c r="AQ2632" s="133"/>
      <c r="AR2632" s="155"/>
      <c r="AS2632" s="143">
        <f>AS2623/((N_6*AS$27*0.667)*SQRT(AS2633*AS2625*AS2627))</f>
        <v>41.657775944191904</v>
      </c>
      <c r="AT2632" s="133"/>
      <c r="AU2632" s="155"/>
    </row>
    <row r="2633" spans="13:47" ht="15.5" x14ac:dyDescent="0.4">
      <c r="M2633" s="27"/>
      <c r="N2633" s="27"/>
      <c r="O2633" s="2" t="s">
        <v>192</v>
      </c>
      <c r="P2633" s="85">
        <v>10</v>
      </c>
      <c r="Q2633" s="2"/>
      <c r="R2633" s="181">
        <f>F_GAMMA*R$29</f>
        <v>0.64002688015162901</v>
      </c>
      <c r="S2633" s="133"/>
      <c r="T2633" s="155"/>
      <c r="U2633" s="138">
        <f>F_GAMMA*U$29</f>
        <v>0.64016782916606918</v>
      </c>
      <c r="V2633" s="133"/>
      <c r="W2633" s="155"/>
      <c r="X2633" s="138">
        <f>F_GAMMA*X$29</f>
        <v>0.6307062319203669</v>
      </c>
      <c r="Y2633" s="133"/>
      <c r="Z2633" s="155"/>
      <c r="AA2633" s="138">
        <f>F_GAMMA*AA$29</f>
        <v>0.62217534213893466</v>
      </c>
      <c r="AB2633" s="133"/>
      <c r="AC2633" s="155"/>
      <c r="AD2633" s="138">
        <f>F_GAMMA*AD$29</f>
        <v>0.60557184969146072</v>
      </c>
      <c r="AE2633" s="133"/>
      <c r="AF2633" s="155"/>
      <c r="AG2633" s="138">
        <f>F_GAMMA*AG$29</f>
        <v>0.57289312142622573</v>
      </c>
      <c r="AH2633" s="133"/>
      <c r="AI2633" s="155"/>
      <c r="AJ2633" s="138">
        <f>F_GAMMA*AJ$29</f>
        <v>0.53590819116049981</v>
      </c>
      <c r="AK2633" s="133"/>
      <c r="AL2633" s="155"/>
      <c r="AM2633" s="138">
        <f>F_GAMMA*AM$29</f>
        <v>0.49048815926850342</v>
      </c>
      <c r="AN2633" s="133"/>
      <c r="AO2633" s="155"/>
      <c r="AP2633" s="138">
        <f>F_GAMMA*AP$29</f>
        <v>0.59352979016280105</v>
      </c>
      <c r="AQ2633" s="133"/>
      <c r="AR2633" s="155"/>
      <c r="AS2633" s="138">
        <f>F_GAMMA*AS$29</f>
        <v>0.39097221161068291</v>
      </c>
      <c r="AT2633" s="133"/>
      <c r="AU2633" s="155"/>
    </row>
    <row r="2634" spans="13:47" x14ac:dyDescent="0.25">
      <c r="M2634" s="27"/>
      <c r="N2634" s="27"/>
      <c r="O2634" s="2" t="s">
        <v>193</v>
      </c>
      <c r="P2634" s="134"/>
      <c r="Q2634" s="2"/>
      <c r="R2634" s="181">
        <f>IF(R2629&lt;R2633,R2631,R2632)</f>
        <v>1.9324536395334697</v>
      </c>
      <c r="S2634" s="133"/>
      <c r="T2634" s="155"/>
      <c r="U2634" s="138">
        <f>IF(U2629&lt;U2633,U2631,U2632)</f>
        <v>13.182466670639339</v>
      </c>
      <c r="V2634" s="133"/>
      <c r="W2634" s="155"/>
      <c r="X2634" s="138">
        <f>IF(X2629&lt;X2633,X2631,X2632)</f>
        <v>42.333678279435588</v>
      </c>
      <c r="Y2634" s="133"/>
      <c r="Z2634" s="155"/>
      <c r="AA2634" s="138" t="e">
        <f>IF(AA2629&lt;AA2633,AA2631,AA2632)</f>
        <v>#NUM!</v>
      </c>
      <c r="AB2634" s="133"/>
      <c r="AC2634" s="155"/>
      <c r="AD2634" s="138">
        <f>IF(AD2629&lt;AD2633,AD2631,AD2632)</f>
        <v>91.033743002994726</v>
      </c>
      <c r="AE2634" s="133"/>
      <c r="AF2634" s="155"/>
      <c r="AG2634" s="138">
        <f>IF(AG2629&lt;AG2633,AG2631,AG2632)</f>
        <v>47.548118140085371</v>
      </c>
      <c r="AH2634" s="133"/>
      <c r="AI2634" s="155"/>
      <c r="AJ2634" s="138">
        <f>IF(AJ2629&lt;AJ2633,AJ2631,AJ2632)</f>
        <v>35.795812695628513</v>
      </c>
      <c r="AK2634" s="133"/>
      <c r="AL2634" s="155"/>
      <c r="AM2634" s="138">
        <f>IF(AM2629&lt;AM2633,AM2631,AM2632)</f>
        <v>32.340050054426939</v>
      </c>
      <c r="AN2634" s="133"/>
      <c r="AO2634" s="155"/>
      <c r="AP2634" s="138">
        <f>IF(AP2629&lt;AP2633,AP2631,AP2632)</f>
        <v>29.24089937804764</v>
      </c>
      <c r="AQ2634" s="133"/>
      <c r="AR2634" s="155"/>
      <c r="AS2634" s="138">
        <f>IF(AS2629&lt;AS2633,AS2631,AS2632)</f>
        <v>41.657775944191904</v>
      </c>
      <c r="AT2634" s="133"/>
      <c r="AU2634" s="155"/>
    </row>
    <row r="2635" spans="13:47" ht="13" x14ac:dyDescent="0.3">
      <c r="M2635" s="28"/>
      <c r="N2635" s="28"/>
      <c r="O2635" s="9" t="s">
        <v>194</v>
      </c>
      <c r="P2635" s="1"/>
      <c r="Q2635" s="1"/>
      <c r="R2635" s="135"/>
      <c r="S2635" s="132">
        <f>IF(R2628&lt;=0,W_max,ABS(R$23-R2634))</f>
        <v>6.7546360466530286E-2</v>
      </c>
      <c r="T2635" s="151">
        <f>R2623</f>
        <v>446.51624373192368</v>
      </c>
      <c r="U2635" s="135"/>
      <c r="V2635" s="132">
        <f>IF(U2628&lt;=0,W_max,ABS(U$23-U2634))</f>
        <v>8.1824666706393394</v>
      </c>
      <c r="W2635" s="151">
        <f>U2623</f>
        <v>2927.4652998165261</v>
      </c>
      <c r="X2635" s="135"/>
      <c r="Y2635" s="132">
        <f>IF(X2628&lt;=0,W_max,ABS(X$23-X2634))</f>
        <v>32.333678279435588</v>
      </c>
      <c r="Z2635" s="151">
        <f>X2623</f>
        <v>7239.9700589006643</v>
      </c>
      <c r="AA2635" s="135"/>
      <c r="AB2635" s="132">
        <f>IF(AA2628&lt;=0,W_max,ABS(AA$23-AA2634))</f>
        <v>7174</v>
      </c>
      <c r="AC2635" s="151">
        <f>AA2623</f>
        <v>14101.613705588201</v>
      </c>
      <c r="AD2635" s="135"/>
      <c r="AE2635" s="132">
        <f>IF(AD2628&lt;=0,W_max,ABS(AD$23-AD2634))</f>
        <v>7174</v>
      </c>
      <c r="AF2635" s="151">
        <f>AD2623</f>
        <v>23191.962639560184</v>
      </c>
      <c r="AG2635" s="135"/>
      <c r="AH2635" s="132">
        <f>IF(AG2628&lt;=0,W_max,ABS(AG$23-AG2634))</f>
        <v>7174</v>
      </c>
      <c r="AI2635" s="151">
        <f>AG2623</f>
        <v>32528.513062351642</v>
      </c>
      <c r="AJ2635" s="135"/>
      <c r="AK2635" s="132">
        <f>IF(AJ2628&lt;=0,W_max,ABS(AJ$23-AJ2634))</f>
        <v>7174</v>
      </c>
      <c r="AL2635" s="151">
        <f>AJ2623</f>
        <v>41302.580100490864</v>
      </c>
      <c r="AM2635" s="135"/>
      <c r="AN2635" s="132">
        <f>IF(AM2628&lt;=0,W_max,ABS(AM$23-AM2634))</f>
        <v>7174</v>
      </c>
      <c r="AO2635" s="151">
        <f>AM2623</f>
        <v>48430.523406086097</v>
      </c>
      <c r="AP2635" s="135"/>
      <c r="AQ2635" s="132">
        <f>IF(AP2628&lt;=0,W_max,ABS(AP$23-AP2634))</f>
        <v>7174</v>
      </c>
      <c r="AR2635" s="151">
        <f>AP2623</f>
        <v>54032.401976604007</v>
      </c>
      <c r="AS2635" s="135"/>
      <c r="AT2635" s="132">
        <f>IF(AS2628&lt;=0,W_max,ABS(AS$23-AS2634))</f>
        <v>7174</v>
      </c>
      <c r="AU2635" s="151">
        <f>AS2623</f>
        <v>60282.24057959357</v>
      </c>
    </row>
    <row r="2636" spans="13:47" ht="13" x14ac:dyDescent="0.25">
      <c r="M2636" s="12"/>
      <c r="N2636" s="12"/>
      <c r="O2636" s="2"/>
      <c r="P2636" s="85"/>
      <c r="Q2636" s="2"/>
      <c r="R2636" s="18"/>
      <c r="S2636" s="150"/>
      <c r="T2636" s="148"/>
      <c r="U2636" s="157"/>
      <c r="V2636" s="1"/>
      <c r="W2636" s="147"/>
      <c r="X2636" s="157"/>
      <c r="Y2636" s="1"/>
      <c r="Z2636" s="147"/>
      <c r="AA2636" s="157"/>
      <c r="AB2636" s="1"/>
      <c r="AC2636" s="147"/>
      <c r="AD2636" s="157"/>
      <c r="AE2636" s="1"/>
      <c r="AF2636" s="147"/>
      <c r="AG2636" s="157"/>
      <c r="AH2636" s="1"/>
      <c r="AI2636" s="147"/>
      <c r="AJ2636" s="157"/>
      <c r="AK2636" s="1"/>
      <c r="AL2636" s="147"/>
      <c r="AM2636" s="157"/>
      <c r="AN2636" s="1"/>
      <c r="AO2636" s="147"/>
      <c r="AP2636" s="157"/>
      <c r="AQ2636" s="1"/>
      <c r="AR2636" s="147"/>
      <c r="AS2636" s="157"/>
      <c r="AT2636" s="1"/>
      <c r="AU2636" s="147"/>
    </row>
    <row r="2637" spans="13:47" ht="14" x14ac:dyDescent="0.3">
      <c r="M2637" s="23"/>
      <c r="N2637" s="23"/>
      <c r="O2637" s="23" t="s">
        <v>238</v>
      </c>
      <c r="P2637" s="20"/>
      <c r="Q2637" s="20"/>
      <c r="R2637" s="181">
        <f>R2623*1.02</f>
        <v>455.44656860656215</v>
      </c>
      <c r="S2637" s="128" t="s">
        <v>185</v>
      </c>
      <c r="T2637" s="149" t="s">
        <v>186</v>
      </c>
      <c r="U2637" s="143">
        <f>U2623*1.01</f>
        <v>2956.7399528146916</v>
      </c>
      <c r="V2637" s="128" t="s">
        <v>185</v>
      </c>
      <c r="W2637" s="153" t="s">
        <v>186</v>
      </c>
      <c r="X2637" s="143">
        <f>X2623*1.01</f>
        <v>7312.3697594896712</v>
      </c>
      <c r="Y2637" s="128" t="s">
        <v>185</v>
      </c>
      <c r="Z2637" s="153" t="s">
        <v>186</v>
      </c>
      <c r="AA2637" s="143">
        <f>AA2623*1.01</f>
        <v>14242.629842644083</v>
      </c>
      <c r="AB2637" s="128" t="s">
        <v>185</v>
      </c>
      <c r="AC2637" s="153" t="s">
        <v>186</v>
      </c>
      <c r="AD2637" s="143">
        <f>AD2623*1.01</f>
        <v>23423.882265955788</v>
      </c>
      <c r="AE2637" s="128" t="s">
        <v>185</v>
      </c>
      <c r="AF2637" s="153" t="s">
        <v>186</v>
      </c>
      <c r="AG2637" s="143">
        <f>AG2623*1.01</f>
        <v>32853.798192975155</v>
      </c>
      <c r="AH2637" s="128" t="s">
        <v>185</v>
      </c>
      <c r="AI2637" s="153" t="s">
        <v>186</v>
      </c>
      <c r="AJ2637" s="143">
        <f>AJ2623*1.01</f>
        <v>41715.605901495772</v>
      </c>
      <c r="AK2637" s="128" t="s">
        <v>185</v>
      </c>
      <c r="AL2637" s="153" t="s">
        <v>186</v>
      </c>
      <c r="AM2637" s="143">
        <f>AM2623*1.01</f>
        <v>48914.82864014696</v>
      </c>
      <c r="AN2637" s="128" t="s">
        <v>185</v>
      </c>
      <c r="AO2637" s="153" t="s">
        <v>186</v>
      </c>
      <c r="AP2637" s="143">
        <f>AP2623*1.01</f>
        <v>54572.725996370049</v>
      </c>
      <c r="AQ2637" s="128" t="s">
        <v>185</v>
      </c>
      <c r="AR2637" s="153" t="s">
        <v>186</v>
      </c>
      <c r="AS2637" s="143">
        <f>AS2623*1.01</f>
        <v>60885.062985389508</v>
      </c>
      <c r="AT2637" s="128" t="s">
        <v>185</v>
      </c>
      <c r="AU2637" s="153" t="s">
        <v>186</v>
      </c>
    </row>
    <row r="2638" spans="13:47" ht="14" x14ac:dyDescent="0.3">
      <c r="M2638" s="12"/>
      <c r="N2638" s="12"/>
      <c r="O2638" s="20"/>
      <c r="P2638" s="20"/>
      <c r="Q2638" s="23"/>
      <c r="R2638" s="139"/>
      <c r="S2638" s="130" t="s">
        <v>228</v>
      </c>
      <c r="T2638" s="131" t="s">
        <v>187</v>
      </c>
      <c r="U2638" s="144"/>
      <c r="V2638" s="130" t="s">
        <v>228</v>
      </c>
      <c r="W2638" s="154" t="s">
        <v>187</v>
      </c>
      <c r="X2638" s="144"/>
      <c r="Y2638" s="130" t="s">
        <v>228</v>
      </c>
      <c r="Z2638" s="154" t="s">
        <v>187</v>
      </c>
      <c r="AA2638" s="144"/>
      <c r="AB2638" s="130" t="s">
        <v>228</v>
      </c>
      <c r="AC2638" s="154" t="s">
        <v>187</v>
      </c>
      <c r="AD2638" s="144"/>
      <c r="AE2638" s="130" t="s">
        <v>228</v>
      </c>
      <c r="AF2638" s="154" t="s">
        <v>187</v>
      </c>
      <c r="AG2638" s="144"/>
      <c r="AH2638" s="130" t="s">
        <v>228</v>
      </c>
      <c r="AI2638" s="154" t="s">
        <v>187</v>
      </c>
      <c r="AJ2638" s="144"/>
      <c r="AK2638" s="130" t="s">
        <v>228</v>
      </c>
      <c r="AL2638" s="154" t="s">
        <v>187</v>
      </c>
      <c r="AM2638" s="144"/>
      <c r="AN2638" s="130" t="s">
        <v>228</v>
      </c>
      <c r="AO2638" s="154" t="s">
        <v>187</v>
      </c>
      <c r="AP2638" s="144"/>
      <c r="AQ2638" s="130" t="s">
        <v>228</v>
      </c>
      <c r="AR2638" s="154" t="s">
        <v>187</v>
      </c>
      <c r="AS2638" s="144"/>
      <c r="AT2638" s="130" t="s">
        <v>228</v>
      </c>
      <c r="AU2638" s="154" t="s">
        <v>187</v>
      </c>
    </row>
    <row r="2639" spans="13:47" x14ac:dyDescent="0.25">
      <c r="M2639" s="20"/>
      <c r="N2639" s="20"/>
      <c r="O2639" s="7" t="s">
        <v>188</v>
      </c>
      <c r="P2639" s="7"/>
      <c r="Q2639" s="7"/>
      <c r="R2639" s="181">
        <f>P_1_minW-(R2637^2*R_up)+dpup_minQ</f>
        <v>100.4400709401871</v>
      </c>
      <c r="S2639" s="132"/>
      <c r="T2639" s="145"/>
      <c r="U2639" s="138">
        <f>P_1_minW-(U2637^2*R_up)+dpup_minQ</f>
        <v>97.036686687672798</v>
      </c>
      <c r="V2639" s="132"/>
      <c r="W2639" s="145"/>
      <c r="X2639" s="138">
        <f>P_1_minW-(X2637^2*R_up)+dpup_minQ</f>
        <v>79.200691668555692</v>
      </c>
      <c r="Y2639" s="132"/>
      <c r="Z2639" s="145"/>
      <c r="AA2639" s="138">
        <f>P_1_minW-(AA2637^2*R_up)+dpup_minQ</f>
        <v>19.632949365730099</v>
      </c>
      <c r="AB2639" s="132"/>
      <c r="AC2639" s="145"/>
      <c r="AD2639" s="138">
        <f>P_1_minW-(AD2637^2*R_up)+dpup_minQ</f>
        <v>-118.26916404400332</v>
      </c>
      <c r="AE2639" s="132"/>
      <c r="AF2639" s="145"/>
      <c r="AG2639" s="138">
        <f>P_1_minW-(AG2637^2*R_up)+dpup_minQ</f>
        <v>-329.88959648701098</v>
      </c>
      <c r="AH2639" s="132"/>
      <c r="AI2639" s="145"/>
      <c r="AJ2639" s="138">
        <f>P_1_minW-(AJ2637^2*R_up)+dpup_minQ</f>
        <v>-593.39928165404206</v>
      </c>
      <c r="AK2639" s="132"/>
      <c r="AL2639" s="145"/>
      <c r="AM2639" s="138">
        <f>P_1_minW-(AM2637^2*R_up)+dpup_minQ</f>
        <v>-853.57889282417966</v>
      </c>
      <c r="AN2639" s="132"/>
      <c r="AO2639" s="145"/>
      <c r="AP2639" s="138">
        <f>P_1_minW-(AP2637^2*R_up)+dpup_minQ</f>
        <v>-1087.0627056277253</v>
      </c>
      <c r="AQ2639" s="132"/>
      <c r="AR2639" s="145"/>
      <c r="AS2639" s="138">
        <f>P_1_minW-(AS2637^2*R_up)+dpup_minQ</f>
        <v>-1377.6837104194126</v>
      </c>
      <c r="AT2639" s="132"/>
      <c r="AU2639" s="145"/>
    </row>
    <row r="2640" spans="13:47" x14ac:dyDescent="0.25">
      <c r="M2640" s="20"/>
      <c r="N2640" s="20"/>
      <c r="O2640" s="7" t="s">
        <v>189</v>
      </c>
      <c r="P2640" s="1"/>
      <c r="Q2640" s="7"/>
      <c r="R2640" s="181">
        <f>P_2_minW+(R2637^2*R_dn)-dpdn_minQ</f>
        <v>50</v>
      </c>
      <c r="S2640" s="132"/>
      <c r="T2640" s="146"/>
      <c r="U2640" s="138">
        <f>P_2_minW+(U2637^2*R_dn)-dpdn_minQ</f>
        <v>50</v>
      </c>
      <c r="V2640" s="132"/>
      <c r="W2640" s="146"/>
      <c r="X2640" s="138">
        <f>P_2_minW+(X2637^2*R_dn)-dpdn_minQ</f>
        <v>50</v>
      </c>
      <c r="Y2640" s="132"/>
      <c r="Z2640" s="146"/>
      <c r="AA2640" s="138">
        <f>P_2_minW+(AA2637^2*R_dn)-dpdn_minQ</f>
        <v>50</v>
      </c>
      <c r="AB2640" s="132"/>
      <c r="AC2640" s="146"/>
      <c r="AD2640" s="138">
        <f>P_2_minW+(AD2637^2*R_dn)-dpdn_minQ</f>
        <v>50</v>
      </c>
      <c r="AE2640" s="132"/>
      <c r="AF2640" s="146"/>
      <c r="AG2640" s="138">
        <f>P_2_minW+(AG2637^2*R_dn)-dpdn_minQ</f>
        <v>50</v>
      </c>
      <c r="AH2640" s="132"/>
      <c r="AI2640" s="146"/>
      <c r="AJ2640" s="138">
        <f>P_2_minW+(AJ2637^2*R_dn)-dpdn_minQ</f>
        <v>50</v>
      </c>
      <c r="AK2640" s="132"/>
      <c r="AL2640" s="146"/>
      <c r="AM2640" s="138">
        <f>P_2_minW+(AM2637^2*R_dn)-dpdn_minQ</f>
        <v>50</v>
      </c>
      <c r="AN2640" s="132"/>
      <c r="AO2640" s="146"/>
      <c r="AP2640" s="138">
        <f>P_2_minW+(AP2637^2*R_dn)-dpdn_minQ</f>
        <v>50</v>
      </c>
      <c r="AQ2640" s="132"/>
      <c r="AR2640" s="146"/>
      <c r="AS2640" s="138">
        <f>P_2_minW+(AS2637^2*R_dn)-dpdn_minQ</f>
        <v>50</v>
      </c>
      <c r="AT2640" s="132"/>
      <c r="AU2640" s="146"/>
    </row>
    <row r="2641" spans="13:47" x14ac:dyDescent="0.25">
      <c r="M2641" s="20"/>
      <c r="N2641" s="20"/>
      <c r="O2641" s="7" t="s">
        <v>234</v>
      </c>
      <c r="P2641" s="1"/>
      <c r="Q2641" s="7"/>
      <c r="R2641" s="179">
        <f>'Valve Sizing'!G$8*R2639/P_1_maxW</f>
        <v>0.48450501996302375</v>
      </c>
      <c r="S2641" s="132"/>
      <c r="T2641" s="146"/>
      <c r="U2641" s="143">
        <f>'Valve Sizing'!$G$8*U2639/P_1_maxW</f>
        <v>0.46808770026411339</v>
      </c>
      <c r="V2641" s="132"/>
      <c r="W2641" s="146"/>
      <c r="X2641" s="143">
        <f>'Valve Sizing'!$G$8*X2639/P_1_maxW</f>
        <v>0.38205003579508007</v>
      </c>
      <c r="Y2641" s="132"/>
      <c r="Z2641" s="146"/>
      <c r="AA2641" s="143">
        <f>'Valve Sizing'!$G$8*AA2639/P_1_maxW</f>
        <v>9.4705852309092134E-2</v>
      </c>
      <c r="AB2641" s="132"/>
      <c r="AC2641" s="146"/>
      <c r="AD2641" s="143">
        <f>'Valve Sizing'!$G$8*AD2639/P_1_maxW</f>
        <v>-0.5705093908214558</v>
      </c>
      <c r="AE2641" s="132"/>
      <c r="AF2641" s="146"/>
      <c r="AG2641" s="143">
        <f>'Valve Sizing'!$G$8*AG2639/P_1_maxW</f>
        <v>-1.5913286802307725</v>
      </c>
      <c r="AH2641" s="132"/>
      <c r="AI2641" s="146"/>
      <c r="AJ2641" s="143">
        <f>'Valve Sizing'!$G$8*AJ2639/P_1_maxW</f>
        <v>-2.8624524864687437</v>
      </c>
      <c r="AK2641" s="132"/>
      <c r="AL2641" s="146"/>
      <c r="AM2641" s="143">
        <f>'Valve Sizing'!$G$8*AM2639/P_1_maxW</f>
        <v>-4.1175126086288332</v>
      </c>
      <c r="AN2641" s="132"/>
      <c r="AO2641" s="146"/>
      <c r="AP2641" s="143">
        <f>'Valve Sizing'!$G$8*AP2639/P_1_maxW</f>
        <v>-5.2437969523624322</v>
      </c>
      <c r="AQ2641" s="132"/>
      <c r="AR2641" s="146"/>
      <c r="AS2641" s="143">
        <f>'Valve Sizing'!$G$8*AS2639/P_1_maxW</f>
        <v>-6.6457009375967955</v>
      </c>
      <c r="AT2641" s="132"/>
      <c r="AU2641" s="146"/>
    </row>
    <row r="2642" spans="13:47" x14ac:dyDescent="0.25">
      <c r="M2642" s="20"/>
      <c r="N2642" s="20"/>
      <c r="O2642" s="7" t="s">
        <v>190</v>
      </c>
      <c r="P2642" s="1"/>
      <c r="Q2642" s="7"/>
      <c r="R2642" s="181">
        <f>R2639-R2640</f>
        <v>50.440070940187098</v>
      </c>
      <c r="S2642" s="132"/>
      <c r="T2642" s="146"/>
      <c r="U2642" s="138">
        <f>U2639-U2640</f>
        <v>47.036686687672798</v>
      </c>
      <c r="V2642" s="132"/>
      <c r="W2642" s="146"/>
      <c r="X2642" s="138">
        <f>X2639-X2640</f>
        <v>29.200691668555692</v>
      </c>
      <c r="Y2642" s="132"/>
      <c r="Z2642" s="146"/>
      <c r="AA2642" s="138">
        <f>AA2639-AA2640</f>
        <v>-30.367050634269901</v>
      </c>
      <c r="AB2642" s="132"/>
      <c r="AC2642" s="146"/>
      <c r="AD2642" s="138">
        <f>AD2639-AD2640</f>
        <v>-168.26916404400333</v>
      </c>
      <c r="AE2642" s="132"/>
      <c r="AF2642" s="146"/>
      <c r="AG2642" s="138">
        <f>AG2639-AG2640</f>
        <v>-379.88959648701098</v>
      </c>
      <c r="AH2642" s="132"/>
      <c r="AI2642" s="146"/>
      <c r="AJ2642" s="138">
        <f>AJ2639-AJ2640</f>
        <v>-643.39928165404206</v>
      </c>
      <c r="AK2642" s="132"/>
      <c r="AL2642" s="146"/>
      <c r="AM2642" s="138">
        <f>AM2639-AM2640</f>
        <v>-903.57889282417966</v>
      </c>
      <c r="AN2642" s="132"/>
      <c r="AO2642" s="146"/>
      <c r="AP2642" s="138">
        <f>AP2639-AP2640</f>
        <v>-1137.0627056277253</v>
      </c>
      <c r="AQ2642" s="132"/>
      <c r="AR2642" s="146"/>
      <c r="AS2642" s="138">
        <f>AS2639-AS2640</f>
        <v>-1427.6837104194126</v>
      </c>
      <c r="AT2642" s="132"/>
      <c r="AU2642" s="146"/>
    </row>
    <row r="2643" spans="13:47" ht="14.5" x14ac:dyDescent="0.35">
      <c r="M2643" s="27"/>
      <c r="N2643" s="27"/>
      <c r="O2643" s="2" t="s">
        <v>191</v>
      </c>
      <c r="P2643" s="10"/>
      <c r="Q2643" s="2"/>
      <c r="R2643" s="181">
        <f>R2642/R2639</f>
        <v>0.50219071400521598</v>
      </c>
      <c r="S2643" s="132"/>
      <c r="T2643" s="146"/>
      <c r="U2643" s="138">
        <f>U2642/U2639</f>
        <v>0.48473096406380262</v>
      </c>
      <c r="V2643" s="132"/>
      <c r="W2643" s="146"/>
      <c r="X2643" s="138">
        <f>X2642/X2639</f>
        <v>0.36869238201550919</v>
      </c>
      <c r="Y2643" s="132"/>
      <c r="Z2643" s="146"/>
      <c r="AA2643" s="138">
        <f>AA2642/AA2639</f>
        <v>-1.5467391102875505</v>
      </c>
      <c r="AB2643" s="132"/>
      <c r="AC2643" s="146"/>
      <c r="AD2643" s="138">
        <f>AD2642/AD2639</f>
        <v>1.4227644661578649</v>
      </c>
      <c r="AE2643" s="132"/>
      <c r="AF2643" s="146"/>
      <c r="AG2643" s="138">
        <f>AG2642/AG2639</f>
        <v>1.1515658587977591</v>
      </c>
      <c r="AH2643" s="132"/>
      <c r="AI2643" s="146"/>
      <c r="AJ2643" s="138">
        <f>AJ2642/AJ2639</f>
        <v>1.08426029748575</v>
      </c>
      <c r="AK2643" s="132"/>
      <c r="AL2643" s="146"/>
      <c r="AM2643" s="138">
        <f>AM2642/AM2639</f>
        <v>1.058576893618548</v>
      </c>
      <c r="AN2643" s="132"/>
      <c r="AO2643" s="146"/>
      <c r="AP2643" s="138">
        <f>AP2642/AP2639</f>
        <v>1.0459955067367779</v>
      </c>
      <c r="AQ2643" s="132"/>
      <c r="AR2643" s="146"/>
      <c r="AS2643" s="138">
        <f>AS2642/AS2639</f>
        <v>1.0362928004605487</v>
      </c>
      <c r="AT2643" s="132"/>
      <c r="AU2643" s="146"/>
    </row>
    <row r="2644" spans="13:47" x14ac:dyDescent="0.25">
      <c r="M2644" s="27"/>
      <c r="N2644" s="27"/>
      <c r="O2644" s="2" t="s">
        <v>26</v>
      </c>
      <c r="P2644" s="7">
        <v>12</v>
      </c>
      <c r="Q2644" s="2"/>
      <c r="R2644" s="181">
        <f>1-R2643/(3*F_GAMMA*R$29)</f>
        <v>0.73845332147808029</v>
      </c>
      <c r="S2644" s="133"/>
      <c r="T2644" s="146"/>
      <c r="U2644" s="138">
        <f>1-U2643/(3*F_GAMMA*U$29)</f>
        <v>0.74760214328209851</v>
      </c>
      <c r="V2644" s="133"/>
      <c r="W2644" s="146"/>
      <c r="X2644" s="138">
        <f>1-X2643/(3*F_GAMMA*X$29)</f>
        <v>0.80514310077825035</v>
      </c>
      <c r="Y2644" s="133"/>
      <c r="Z2644" s="146"/>
      <c r="AA2644" s="138">
        <f>1-AA2643/(3*F_GAMMA*AA$29)</f>
        <v>1.8286726723317366</v>
      </c>
      <c r="AB2644" s="133"/>
      <c r="AC2644" s="146"/>
      <c r="AD2644" s="138">
        <f>1-AD2643/(3*F_GAMMA*AD$29)</f>
        <v>0.21684797221955621</v>
      </c>
      <c r="AE2644" s="133"/>
      <c r="AF2644" s="146"/>
      <c r="AG2644" s="138">
        <f>1-AG2643/(3*F_GAMMA*AG$29)</f>
        <v>0.32997050948996143</v>
      </c>
      <c r="AH2644" s="133"/>
      <c r="AI2644" s="146"/>
      <c r="AJ2644" s="138">
        <f>1-AJ2643/(3*F_GAMMA*AJ$29)</f>
        <v>0.32559325436084896</v>
      </c>
      <c r="AK2644" s="133"/>
      <c r="AL2644" s="146"/>
      <c r="AM2644" s="138">
        <f>1-AM2643/(3*F_GAMMA*AM$29)</f>
        <v>0.28059636533171917</v>
      </c>
      <c r="AN2644" s="133"/>
      <c r="AO2644" s="146"/>
      <c r="AP2644" s="138">
        <f>1-AP2643/(3*F_GAMMA*AP$29)</f>
        <v>0.41255658150432029</v>
      </c>
      <c r="AQ2644" s="133"/>
      <c r="AR2644" s="146"/>
      <c r="AS2644" s="138">
        <f>1-AS2643/(3*F_GAMMA*AS$29)</f>
        <v>0.1164821354853266</v>
      </c>
      <c r="AT2644" s="133"/>
      <c r="AU2644" s="146"/>
    </row>
    <row r="2645" spans="13:47" x14ac:dyDescent="0.25">
      <c r="M2645" s="27"/>
      <c r="N2645" s="27"/>
      <c r="O2645" s="2" t="s">
        <v>71</v>
      </c>
      <c r="P2645" s="85">
        <v>5</v>
      </c>
      <c r="Q2645" s="2"/>
      <c r="R2645" s="179">
        <f>R2637/((N_6*R$27*R2644)*SQRT(R2643*R2639*R2641))</f>
        <v>1.9711748565194196</v>
      </c>
      <c r="S2645" s="133"/>
      <c r="T2645" s="146"/>
      <c r="U2645" s="143">
        <f>U2637/((N_6*U$27*U2644)*SQRT(U2643*U2639*U2641))</f>
        <v>13.325340919531651</v>
      </c>
      <c r="V2645" s="133"/>
      <c r="W2645" s="146"/>
      <c r="X2645" s="143">
        <f>X2637/((N_6*X$27*X2644)*SQRT(X2643*X2639*X2641))</f>
        <v>43.083156327906821</v>
      </c>
      <c r="Y2645" s="133"/>
      <c r="Z2645" s="146"/>
      <c r="AA2645" s="143" t="e">
        <f>AA2637/((N_6*AA$27*AA2644)*SQRT(AA2643*AA2639*AA2641))</f>
        <v>#NUM!</v>
      </c>
      <c r="AB2645" s="133"/>
      <c r="AC2645" s="146"/>
      <c r="AD2645" s="143">
        <f>AD2637/((N_6*AD$27*AD2644)*SQRT(AD2643*AD2639*AD2641))</f>
        <v>177.78054875501493</v>
      </c>
      <c r="AE2645" s="133"/>
      <c r="AF2645" s="146"/>
      <c r="AG2645" s="143">
        <f>AG2637/((N_6*AG$27*AG2644)*SQRT(AG2643*AG2639*AG2641))</f>
        <v>66.709384419525463</v>
      </c>
      <c r="AH2645" s="133"/>
      <c r="AI2645" s="146"/>
      <c r="AJ2645" s="143">
        <f>AJ2637/((N_6*AJ$27*AJ2644)*SQRT(AJ2643*AJ2639*AJ2641))</f>
        <v>50.869611915404036</v>
      </c>
      <c r="AK2645" s="133"/>
      <c r="AL2645" s="146"/>
      <c r="AM2645" s="143">
        <f>AM2637/((N_6*AM$27*AM2644)*SQRT(AM2643*AM2639*AM2641))</f>
        <v>51.687666717169535</v>
      </c>
      <c r="AN2645" s="133"/>
      <c r="AO2645" s="146"/>
      <c r="AP2645" s="143">
        <f>AP2637/((N_6*AP$27*AP2644)*SQRT(AP2643*AP2639*AP2641))</f>
        <v>35.193304728744302</v>
      </c>
      <c r="AQ2645" s="133"/>
      <c r="AR2645" s="146"/>
      <c r="AS2645" s="143">
        <f>AS2637/((N_6*AS$27*AS2644)*SQRT(AS2643*AS2639*AS2641))</f>
        <v>144.8556762767264</v>
      </c>
      <c r="AT2645" s="133"/>
      <c r="AU2645" s="146"/>
    </row>
    <row r="2646" spans="13:47" x14ac:dyDescent="0.25">
      <c r="M2646" s="27"/>
      <c r="N2646" s="27"/>
      <c r="O2646" s="2" t="s">
        <v>73</v>
      </c>
      <c r="P2646" s="85">
        <v>5</v>
      </c>
      <c r="Q2646" s="2"/>
      <c r="R2646" s="179">
        <f>R2637/((N_6*R$27*0.667)*SQRT(R2647*R2639*R2641))</f>
        <v>1.9331145831104755</v>
      </c>
      <c r="S2646" s="133"/>
      <c r="T2646" s="147"/>
      <c r="U2646" s="143">
        <f>U2637/((N_6*U$27*0.667)*SQRT(U2647*U2639*U2641))</f>
        <v>12.996502406121218</v>
      </c>
      <c r="V2646" s="133"/>
      <c r="W2646" s="155"/>
      <c r="X2646" s="143">
        <f>X2637/((N_6*X$27*0.667)*SQRT(X2647*X2639*X2641))</f>
        <v>39.762462789976411</v>
      </c>
      <c r="Y2646" s="133"/>
      <c r="Z2646" s="155"/>
      <c r="AA2646" s="143">
        <f>AA2637/((N_6*AA$27*0.667)*SQRT(AA2647*AA2639*AA2641))</f>
        <v>316.37087270057805</v>
      </c>
      <c r="AB2646" s="133"/>
      <c r="AC2646" s="155"/>
      <c r="AD2646" s="143">
        <f>AD2637/((N_6*AD$27*0.667)*SQRT(AD2647*AD2639*AD2641))</f>
        <v>88.592598389502726</v>
      </c>
      <c r="AE2646" s="133"/>
      <c r="AF2646" s="155"/>
      <c r="AG2646" s="143">
        <f>AG2637/((N_6*AG$27*0.667)*SQRT(AG2647*AG2639*AG2641))</f>
        <v>46.78900534200293</v>
      </c>
      <c r="AH2646" s="133"/>
      <c r="AI2646" s="155"/>
      <c r="AJ2646" s="143">
        <f>AJ2637/((N_6*AJ$27*0.667)*SQRT(AJ2647*AJ2639*AJ2641))</f>
        <v>35.320721733846725</v>
      </c>
      <c r="AK2646" s="133"/>
      <c r="AL2646" s="155"/>
      <c r="AM2646" s="143">
        <f>AM2637/((N_6*AM$27*0.667)*SQRT(AM2647*AM2639*AM2641))</f>
        <v>31.944057295333206</v>
      </c>
      <c r="AN2646" s="133"/>
      <c r="AO2646" s="155"/>
      <c r="AP2646" s="143">
        <f>AP2637/((N_6*AP$27*0.667)*SQRT(AP2647*AP2639*AP2641))</f>
        <v>28.897573993691186</v>
      </c>
      <c r="AQ2646" s="133"/>
      <c r="AR2646" s="155"/>
      <c r="AS2646" s="143">
        <f>AS2637/((N_6*AS$27*0.667)*SQRT(AS2647*AS2639*AS2641))</f>
        <v>41.184832414033359</v>
      </c>
      <c r="AT2646" s="133"/>
      <c r="AU2646" s="155"/>
    </row>
    <row r="2647" spans="13:47" ht="15.5" x14ac:dyDescent="0.4">
      <c r="M2647" s="27"/>
      <c r="N2647" s="27"/>
      <c r="O2647" s="2" t="s">
        <v>192</v>
      </c>
      <c r="P2647" s="85">
        <v>10</v>
      </c>
      <c r="Q2647" s="2"/>
      <c r="R2647" s="181">
        <f>F_GAMMA*R$29</f>
        <v>0.64002688015162901</v>
      </c>
      <c r="S2647" s="133"/>
      <c r="T2647" s="147"/>
      <c r="U2647" s="138">
        <f>F_GAMMA*U$29</f>
        <v>0.64016782916606918</v>
      </c>
      <c r="V2647" s="133"/>
      <c r="W2647" s="155"/>
      <c r="X2647" s="138">
        <f>F_GAMMA*X$29</f>
        <v>0.6307062319203669</v>
      </c>
      <c r="Y2647" s="133"/>
      <c r="Z2647" s="155"/>
      <c r="AA2647" s="138">
        <f>F_GAMMA*AA$29</f>
        <v>0.62217534213893466</v>
      </c>
      <c r="AB2647" s="133"/>
      <c r="AC2647" s="155"/>
      <c r="AD2647" s="138">
        <f>F_GAMMA*AD$29</f>
        <v>0.60557184969146072</v>
      </c>
      <c r="AE2647" s="133"/>
      <c r="AF2647" s="155"/>
      <c r="AG2647" s="138">
        <f>F_GAMMA*AG$29</f>
        <v>0.57289312142622573</v>
      </c>
      <c r="AH2647" s="133"/>
      <c r="AI2647" s="155"/>
      <c r="AJ2647" s="138">
        <f>F_GAMMA*AJ$29</f>
        <v>0.53590819116049981</v>
      </c>
      <c r="AK2647" s="133"/>
      <c r="AL2647" s="155"/>
      <c r="AM2647" s="138">
        <f>F_GAMMA*AM$29</f>
        <v>0.49048815926850342</v>
      </c>
      <c r="AN2647" s="133"/>
      <c r="AO2647" s="155"/>
      <c r="AP2647" s="138">
        <f>F_GAMMA*AP$29</f>
        <v>0.59352979016280105</v>
      </c>
      <c r="AQ2647" s="133"/>
      <c r="AR2647" s="155"/>
      <c r="AS2647" s="138">
        <f>F_GAMMA*AS$29</f>
        <v>0.39097221161068291</v>
      </c>
      <c r="AT2647" s="133"/>
      <c r="AU2647" s="155"/>
    </row>
    <row r="2648" spans="13:47" x14ac:dyDescent="0.25">
      <c r="M2648" s="27"/>
      <c r="N2648" s="27"/>
      <c r="O2648" s="2" t="s">
        <v>193</v>
      </c>
      <c r="P2648" s="134"/>
      <c r="Q2648" s="2"/>
      <c r="R2648" s="181">
        <f>IF(R2643&lt;R2647,R2645,R2646)</f>
        <v>1.9711748565194196</v>
      </c>
      <c r="S2648" s="133"/>
      <c r="T2648" s="147"/>
      <c r="U2648" s="138">
        <f>IF(U2643&lt;U2647,U2645,U2646)</f>
        <v>13.325340919531651</v>
      </c>
      <c r="V2648" s="133"/>
      <c r="W2648" s="155"/>
      <c r="X2648" s="138">
        <f>IF(X2643&lt;X2647,X2645,X2646)</f>
        <v>43.083156327906821</v>
      </c>
      <c r="Y2648" s="133"/>
      <c r="Z2648" s="155"/>
      <c r="AA2648" s="138" t="e">
        <f>IF(AA2643&lt;AA2647,AA2645,AA2646)</f>
        <v>#NUM!</v>
      </c>
      <c r="AB2648" s="133"/>
      <c r="AC2648" s="155"/>
      <c r="AD2648" s="138">
        <f>IF(AD2643&lt;AD2647,AD2645,AD2646)</f>
        <v>88.592598389502726</v>
      </c>
      <c r="AE2648" s="133"/>
      <c r="AF2648" s="155"/>
      <c r="AG2648" s="138">
        <f>IF(AG2643&lt;AG2647,AG2645,AG2646)</f>
        <v>46.78900534200293</v>
      </c>
      <c r="AH2648" s="133"/>
      <c r="AI2648" s="155"/>
      <c r="AJ2648" s="138">
        <f>IF(AJ2643&lt;AJ2647,AJ2645,AJ2646)</f>
        <v>35.320721733846725</v>
      </c>
      <c r="AK2648" s="133"/>
      <c r="AL2648" s="155"/>
      <c r="AM2648" s="138">
        <f>IF(AM2643&lt;AM2647,AM2645,AM2646)</f>
        <v>31.944057295333206</v>
      </c>
      <c r="AN2648" s="133"/>
      <c r="AO2648" s="155"/>
      <c r="AP2648" s="138">
        <f>IF(AP2643&lt;AP2647,AP2645,AP2646)</f>
        <v>28.897573993691186</v>
      </c>
      <c r="AQ2648" s="133"/>
      <c r="AR2648" s="155"/>
      <c r="AS2648" s="138">
        <f>IF(AS2643&lt;AS2647,AS2645,AS2646)</f>
        <v>41.184832414033359</v>
      </c>
      <c r="AT2648" s="133"/>
      <c r="AU2648" s="155"/>
    </row>
    <row r="2649" spans="13:47" ht="13" x14ac:dyDescent="0.3">
      <c r="M2649" s="28"/>
      <c r="N2649" s="28"/>
      <c r="O2649" s="9" t="s">
        <v>194</v>
      </c>
      <c r="P2649" s="1"/>
      <c r="Q2649" s="1"/>
      <c r="R2649" s="135"/>
      <c r="S2649" s="132">
        <f>IF(R2642&lt;=0,W_max,ABS(R$23-R2648))</f>
        <v>2.8825143480580406E-2</v>
      </c>
      <c r="T2649" s="151">
        <f>R2637</f>
        <v>455.44656860656215</v>
      </c>
      <c r="U2649" s="135"/>
      <c r="V2649" s="132">
        <f>IF(U2642&lt;=0,W_max,ABS(U$23-U2648))</f>
        <v>8.3253409195316515</v>
      </c>
      <c r="W2649" s="151">
        <f>U2637</f>
        <v>2956.7399528146916</v>
      </c>
      <c r="X2649" s="135"/>
      <c r="Y2649" s="132">
        <f>IF(X2642&lt;=0,W_max,ABS(X$23-X2648))</f>
        <v>33.083156327906821</v>
      </c>
      <c r="Z2649" s="151">
        <f>X2637</f>
        <v>7312.3697594896712</v>
      </c>
      <c r="AA2649" s="135"/>
      <c r="AB2649" s="132">
        <f>IF(AA2642&lt;=0,W_max,ABS(AA$23-AA2648))</f>
        <v>7174</v>
      </c>
      <c r="AC2649" s="151">
        <f>AA2637</f>
        <v>14242.629842644083</v>
      </c>
      <c r="AD2649" s="135"/>
      <c r="AE2649" s="132">
        <f>IF(AD2642&lt;=0,W_max,ABS(AD$23-AD2648))</f>
        <v>7174</v>
      </c>
      <c r="AF2649" s="151">
        <f>AD2637</f>
        <v>23423.882265955788</v>
      </c>
      <c r="AG2649" s="135"/>
      <c r="AH2649" s="132">
        <f>IF(AG2642&lt;=0,W_max,ABS(AG$23-AG2648))</f>
        <v>7174</v>
      </c>
      <c r="AI2649" s="151">
        <f>AG2637</f>
        <v>32853.798192975155</v>
      </c>
      <c r="AJ2649" s="135"/>
      <c r="AK2649" s="132">
        <f>IF(AJ2642&lt;=0,W_max,ABS(AJ$23-AJ2648))</f>
        <v>7174</v>
      </c>
      <c r="AL2649" s="151">
        <f>AJ2637</f>
        <v>41715.605901495772</v>
      </c>
      <c r="AM2649" s="135"/>
      <c r="AN2649" s="132">
        <f>IF(AM2642&lt;=0,W_max,ABS(AM$23-AM2648))</f>
        <v>7174</v>
      </c>
      <c r="AO2649" s="151">
        <f>AM2637</f>
        <v>48914.82864014696</v>
      </c>
      <c r="AP2649" s="135"/>
      <c r="AQ2649" s="132">
        <f>IF(AP2642&lt;=0,W_max,ABS(AP$23-AP2648))</f>
        <v>7174</v>
      </c>
      <c r="AR2649" s="151">
        <f>AP2637</f>
        <v>54572.725996370049</v>
      </c>
      <c r="AS2649" s="135"/>
      <c r="AT2649" s="132">
        <f>IF(AS2642&lt;=0,W_max,ABS(AS$23-AS2648))</f>
        <v>7174</v>
      </c>
      <c r="AU2649" s="151">
        <f>AS2637</f>
        <v>60885.062985389508</v>
      </c>
    </row>
    <row r="2650" spans="13:47" ht="13" x14ac:dyDescent="0.25">
      <c r="M2650" s="12"/>
      <c r="N2650" s="12"/>
      <c r="O2650" s="12"/>
      <c r="P2650" s="12"/>
      <c r="Q2650" s="12"/>
      <c r="R2650" s="182"/>
      <c r="S2650" s="22"/>
      <c r="T2650" s="152"/>
      <c r="U2650" s="157"/>
      <c r="V2650" s="1"/>
      <c r="W2650" s="147"/>
      <c r="X2650" s="157"/>
      <c r="Y2650" s="1"/>
      <c r="Z2650" s="147"/>
      <c r="AA2650" s="157"/>
      <c r="AB2650" s="1"/>
      <c r="AC2650" s="147"/>
      <c r="AD2650" s="157"/>
      <c r="AE2650" s="1"/>
      <c r="AF2650" s="147"/>
      <c r="AG2650" s="157"/>
      <c r="AH2650" s="1"/>
      <c r="AI2650" s="147"/>
      <c r="AJ2650" s="157"/>
      <c r="AK2650" s="1"/>
      <c r="AL2650" s="147"/>
      <c r="AM2650" s="157"/>
      <c r="AN2650" s="1"/>
      <c r="AO2650" s="147"/>
      <c r="AP2650" s="157"/>
      <c r="AQ2650" s="1"/>
      <c r="AR2650" s="147"/>
      <c r="AS2650" s="157"/>
      <c r="AT2650" s="1"/>
      <c r="AU2650" s="147"/>
    </row>
    <row r="2651" spans="13:47" ht="14" x14ac:dyDescent="0.3">
      <c r="M2651" s="23"/>
      <c r="N2651" s="23"/>
      <c r="O2651" s="23" t="s">
        <v>238</v>
      </c>
      <c r="P2651" s="20"/>
      <c r="Q2651" s="20"/>
      <c r="R2651" s="18">
        <f>R2637*1.02</f>
        <v>464.55549997869338</v>
      </c>
      <c r="S2651" s="128" t="s">
        <v>185</v>
      </c>
      <c r="T2651" s="153" t="s">
        <v>186</v>
      </c>
      <c r="U2651" s="143">
        <f>U2637*1.01</f>
        <v>2986.3073523428384</v>
      </c>
      <c r="V2651" s="128" t="s">
        <v>185</v>
      </c>
      <c r="W2651" s="153" t="s">
        <v>186</v>
      </c>
      <c r="X2651" s="143">
        <f>X2637*1.01</f>
        <v>7385.493457084568</v>
      </c>
      <c r="Y2651" s="128" t="s">
        <v>185</v>
      </c>
      <c r="Z2651" s="153" t="s">
        <v>186</v>
      </c>
      <c r="AA2651" s="143">
        <f>AA2637*1.01</f>
        <v>14385.056141070523</v>
      </c>
      <c r="AB2651" s="128" t="s">
        <v>185</v>
      </c>
      <c r="AC2651" s="153" t="s">
        <v>186</v>
      </c>
      <c r="AD2651" s="143">
        <f>AD2637*1.01</f>
        <v>23658.121088615346</v>
      </c>
      <c r="AE2651" s="128" t="s">
        <v>185</v>
      </c>
      <c r="AF2651" s="153" t="s">
        <v>186</v>
      </c>
      <c r="AG2651" s="143">
        <f>AG2637*1.01</f>
        <v>33182.336174904907</v>
      </c>
      <c r="AH2651" s="128" t="s">
        <v>185</v>
      </c>
      <c r="AI2651" s="153" t="s">
        <v>186</v>
      </c>
      <c r="AJ2651" s="143">
        <f>AJ2637*1.01</f>
        <v>42132.761960510732</v>
      </c>
      <c r="AK2651" s="128" t="s">
        <v>185</v>
      </c>
      <c r="AL2651" s="153" t="s">
        <v>186</v>
      </c>
      <c r="AM2651" s="143">
        <f>AM2637*1.01</f>
        <v>49403.976926548428</v>
      </c>
      <c r="AN2651" s="128" t="s">
        <v>185</v>
      </c>
      <c r="AO2651" s="153" t="s">
        <v>186</v>
      </c>
      <c r="AP2651" s="143">
        <f>AP2637*1.01</f>
        <v>55118.453256333749</v>
      </c>
      <c r="AQ2651" s="128" t="s">
        <v>185</v>
      </c>
      <c r="AR2651" s="153" t="s">
        <v>186</v>
      </c>
      <c r="AS2651" s="143">
        <f>AS2637*1.01</f>
        <v>61493.9136152434</v>
      </c>
      <c r="AT2651" s="128" t="s">
        <v>185</v>
      </c>
      <c r="AU2651" s="153" t="s">
        <v>186</v>
      </c>
    </row>
    <row r="2652" spans="13:47" ht="14" x14ac:dyDescent="0.3">
      <c r="M2652" s="12"/>
      <c r="N2652" s="12"/>
      <c r="O2652" s="20"/>
      <c r="P2652" s="20"/>
      <c r="Q2652" s="23"/>
      <c r="R2652" s="139"/>
      <c r="S2652" s="130" t="s">
        <v>228</v>
      </c>
      <c r="T2652" s="154" t="s">
        <v>187</v>
      </c>
      <c r="U2652" s="144"/>
      <c r="V2652" s="130" t="s">
        <v>228</v>
      </c>
      <c r="W2652" s="154" t="s">
        <v>187</v>
      </c>
      <c r="X2652" s="144"/>
      <c r="Y2652" s="130" t="s">
        <v>228</v>
      </c>
      <c r="Z2652" s="154" t="s">
        <v>187</v>
      </c>
      <c r="AA2652" s="144"/>
      <c r="AB2652" s="130" t="s">
        <v>228</v>
      </c>
      <c r="AC2652" s="154" t="s">
        <v>187</v>
      </c>
      <c r="AD2652" s="144"/>
      <c r="AE2652" s="130" t="s">
        <v>228</v>
      </c>
      <c r="AF2652" s="154" t="s">
        <v>187</v>
      </c>
      <c r="AG2652" s="144"/>
      <c r="AH2652" s="130" t="s">
        <v>228</v>
      </c>
      <c r="AI2652" s="154" t="s">
        <v>187</v>
      </c>
      <c r="AJ2652" s="144"/>
      <c r="AK2652" s="130" t="s">
        <v>228</v>
      </c>
      <c r="AL2652" s="154" t="s">
        <v>187</v>
      </c>
      <c r="AM2652" s="144"/>
      <c r="AN2652" s="130" t="s">
        <v>228</v>
      </c>
      <c r="AO2652" s="154" t="s">
        <v>187</v>
      </c>
      <c r="AP2652" s="144"/>
      <c r="AQ2652" s="130" t="s">
        <v>228</v>
      </c>
      <c r="AR2652" s="154" t="s">
        <v>187</v>
      </c>
      <c r="AS2652" s="144"/>
      <c r="AT2652" s="130" t="s">
        <v>228</v>
      </c>
      <c r="AU2652" s="154" t="s">
        <v>187</v>
      </c>
    </row>
    <row r="2653" spans="13:47" x14ac:dyDescent="0.25">
      <c r="M2653" s="20"/>
      <c r="N2653" s="20"/>
      <c r="O2653" s="7" t="s">
        <v>188</v>
      </c>
      <c r="P2653" s="7"/>
      <c r="Q2653" s="7"/>
      <c r="R2653" s="181">
        <f>P_1_minW-(R2651^2*R_up)+dpup_minQ</f>
        <v>100.4367292220069</v>
      </c>
      <c r="S2653" s="132"/>
      <c r="T2653" s="145"/>
      <c r="U2653" s="138">
        <f>P_1_minW-(U2651^2*R_up)+dpup_minQ</f>
        <v>96.966616076686805</v>
      </c>
      <c r="V2653" s="132"/>
      <c r="W2653" s="145"/>
      <c r="X2653" s="138">
        <f>P_1_minW-(X2651^2*R_up)+dpup_minQ</f>
        <v>78.772117557685448</v>
      </c>
      <c r="Y2653" s="132"/>
      <c r="Z2653" s="145"/>
      <c r="AA2653" s="138">
        <f>P_1_minW-(AA2651^2*R_up)+dpup_minQ</f>
        <v>18.007063634573072</v>
      </c>
      <c r="AB2653" s="132"/>
      <c r="AC2653" s="145"/>
      <c r="AD2653" s="138">
        <f>P_1_minW-(AD2651^2*R_up)+dpup_minQ</f>
        <v>-122.66688225469598</v>
      </c>
      <c r="AE2653" s="132"/>
      <c r="AF2653" s="145"/>
      <c r="AG2653" s="138">
        <f>P_1_minW-(AG2651^2*R_up)+dpup_minQ</f>
        <v>-338.54088538980807</v>
      </c>
      <c r="AH2653" s="132"/>
      <c r="AI2653" s="145"/>
      <c r="AJ2653" s="138">
        <f>P_1_minW-(AJ2651^2*R_up)+dpup_minQ</f>
        <v>-607.34711522869668</v>
      </c>
      <c r="AK2653" s="132"/>
      <c r="AL2653" s="145"/>
      <c r="AM2653" s="138">
        <f>P_1_minW-(AM2651^2*R_up)+dpup_minQ</f>
        <v>-872.75633658335369</v>
      </c>
      <c r="AN2653" s="132"/>
      <c r="AO2653" s="145"/>
      <c r="AP2653" s="138">
        <f>P_1_minW-(AP2651^2*R_up)+dpup_minQ</f>
        <v>-1110.9331740242508</v>
      </c>
      <c r="AQ2653" s="132"/>
      <c r="AR2653" s="145"/>
      <c r="AS2653" s="138">
        <f>P_1_minW-(AS2651^2*R_up)+dpup_minQ</f>
        <v>-1407.3956610122509</v>
      </c>
      <c r="AT2653" s="132"/>
      <c r="AU2653" s="145"/>
    </row>
    <row r="2654" spans="13:47" x14ac:dyDescent="0.25">
      <c r="M2654" s="20"/>
      <c r="N2654" s="20"/>
      <c r="O2654" s="7" t="s">
        <v>189</v>
      </c>
      <c r="P2654" s="1"/>
      <c r="Q2654" s="7"/>
      <c r="R2654" s="181">
        <f>P_2_minW+(R2651^2*R_dn)-dpdn_minQ</f>
        <v>50</v>
      </c>
      <c r="S2654" s="132"/>
      <c r="T2654" s="146"/>
      <c r="U2654" s="138">
        <f>P_2_minW+(U2651^2*R_dn)-dpdn_minQ</f>
        <v>50</v>
      </c>
      <c r="V2654" s="132"/>
      <c r="W2654" s="146"/>
      <c r="X2654" s="138">
        <f>P_2_minW+(X2651^2*R_dn)-dpdn_minQ</f>
        <v>50</v>
      </c>
      <c r="Y2654" s="132"/>
      <c r="Z2654" s="146"/>
      <c r="AA2654" s="138">
        <f>P_2_minW+(AA2651^2*R_dn)-dpdn_minQ</f>
        <v>50</v>
      </c>
      <c r="AB2654" s="132"/>
      <c r="AC2654" s="146"/>
      <c r="AD2654" s="138">
        <f>P_2_minW+(AD2651^2*R_dn)-dpdn_minQ</f>
        <v>50</v>
      </c>
      <c r="AE2654" s="132"/>
      <c r="AF2654" s="146"/>
      <c r="AG2654" s="138">
        <f>P_2_minW+(AG2651^2*R_dn)-dpdn_minQ</f>
        <v>50</v>
      </c>
      <c r="AH2654" s="132"/>
      <c r="AI2654" s="146"/>
      <c r="AJ2654" s="138">
        <f>P_2_minW+(AJ2651^2*R_dn)-dpdn_minQ</f>
        <v>50</v>
      </c>
      <c r="AK2654" s="132"/>
      <c r="AL2654" s="146"/>
      <c r="AM2654" s="138">
        <f>P_2_minW+(AM2651^2*R_dn)-dpdn_minQ</f>
        <v>50</v>
      </c>
      <c r="AN2654" s="132"/>
      <c r="AO2654" s="146"/>
      <c r="AP2654" s="138">
        <f>P_2_minW+(AP2651^2*R_dn)-dpdn_minQ</f>
        <v>50</v>
      </c>
      <c r="AQ2654" s="132"/>
      <c r="AR2654" s="146"/>
      <c r="AS2654" s="138">
        <f>P_2_minW+(AS2651^2*R_dn)-dpdn_minQ</f>
        <v>50</v>
      </c>
      <c r="AT2654" s="132"/>
      <c r="AU2654" s="146"/>
    </row>
    <row r="2655" spans="13:47" x14ac:dyDescent="0.25">
      <c r="M2655" s="20"/>
      <c r="N2655" s="20"/>
      <c r="O2655" s="7" t="s">
        <v>234</v>
      </c>
      <c r="P2655" s="1"/>
      <c r="Q2655" s="7"/>
      <c r="R2655" s="179">
        <f>'Valve Sizing'!G$8*R2653/P_1_maxW</f>
        <v>0.48448890010947865</v>
      </c>
      <c r="S2655" s="132"/>
      <c r="T2655" s="146"/>
      <c r="U2655" s="143">
        <f>'Valve Sizing'!$G$8*U2653/P_1_maxW</f>
        <v>0.46774969211202039</v>
      </c>
      <c r="V2655" s="132"/>
      <c r="W2655" s="146"/>
      <c r="X2655" s="143">
        <f>'Valve Sizing'!$G$8*X2653/P_1_maxW</f>
        <v>0.37998267058715945</v>
      </c>
      <c r="Y2655" s="132"/>
      <c r="Z2655" s="146"/>
      <c r="AA2655" s="143">
        <f>'Valve Sizing'!$G$8*AA2653/P_1_maxW</f>
        <v>8.6862869013103194E-2</v>
      </c>
      <c r="AB2655" s="132"/>
      <c r="AC2655" s="146"/>
      <c r="AD2655" s="143">
        <f>'Valve Sizing'!$G$8*AD2653/P_1_maxW</f>
        <v>-0.59172320050436877</v>
      </c>
      <c r="AE2655" s="132"/>
      <c r="AF2655" s="146"/>
      <c r="AG2655" s="143">
        <f>'Valve Sizing'!$G$8*AG2653/P_1_maxW</f>
        <v>-1.6330609576308124</v>
      </c>
      <c r="AH2655" s="132"/>
      <c r="AI2655" s="146"/>
      <c r="AJ2655" s="143">
        <f>'Valve Sizing'!$G$8*AJ2653/P_1_maxW</f>
        <v>-2.9297343523741679</v>
      </c>
      <c r="AK2655" s="132"/>
      <c r="AL2655" s="146"/>
      <c r="AM2655" s="143">
        <f>'Valve Sizing'!$G$8*AM2653/P_1_maxW</f>
        <v>-4.2100211829896734</v>
      </c>
      <c r="AN2655" s="132"/>
      <c r="AO2655" s="146"/>
      <c r="AP2655" s="143">
        <f>'Valve Sizing'!$G$8*AP2653/P_1_maxW</f>
        <v>-5.3589438420323194</v>
      </c>
      <c r="AQ2655" s="132"/>
      <c r="AR2655" s="146"/>
      <c r="AS2655" s="143">
        <f>'Valve Sizing'!$G$8*AS2653/P_1_maxW</f>
        <v>-6.7890260973698933</v>
      </c>
      <c r="AT2655" s="132"/>
      <c r="AU2655" s="146"/>
    </row>
    <row r="2656" spans="13:47" x14ac:dyDescent="0.25">
      <c r="M2656" s="20"/>
      <c r="N2656" s="20"/>
      <c r="O2656" s="7" t="s">
        <v>190</v>
      </c>
      <c r="P2656" s="1"/>
      <c r="Q2656" s="7"/>
      <c r="R2656" s="181">
        <f>R2653-R2654</f>
        <v>50.436729222006903</v>
      </c>
      <c r="S2656" s="132"/>
      <c r="T2656" s="146"/>
      <c r="U2656" s="138">
        <f>U2653-U2654</f>
        <v>46.966616076686805</v>
      </c>
      <c r="V2656" s="132"/>
      <c r="W2656" s="146"/>
      <c r="X2656" s="138">
        <f>X2653-X2654</f>
        <v>28.772117557685448</v>
      </c>
      <c r="Y2656" s="132"/>
      <c r="Z2656" s="146"/>
      <c r="AA2656" s="138">
        <f>AA2653-AA2654</f>
        <v>-31.992936365426928</v>
      </c>
      <c r="AB2656" s="132"/>
      <c r="AC2656" s="146"/>
      <c r="AD2656" s="138">
        <f>AD2653-AD2654</f>
        <v>-172.66688225469596</v>
      </c>
      <c r="AE2656" s="132"/>
      <c r="AF2656" s="146"/>
      <c r="AG2656" s="138">
        <f>AG2653-AG2654</f>
        <v>-388.54088538980807</v>
      </c>
      <c r="AH2656" s="132"/>
      <c r="AI2656" s="146"/>
      <c r="AJ2656" s="138">
        <f>AJ2653-AJ2654</f>
        <v>-657.34711522869668</v>
      </c>
      <c r="AK2656" s="132"/>
      <c r="AL2656" s="146"/>
      <c r="AM2656" s="138">
        <f>AM2653-AM2654</f>
        <v>-922.75633658335369</v>
      </c>
      <c r="AN2656" s="132"/>
      <c r="AO2656" s="146"/>
      <c r="AP2656" s="138">
        <f>AP2653-AP2654</f>
        <v>-1160.9331740242508</v>
      </c>
      <c r="AQ2656" s="132"/>
      <c r="AR2656" s="146"/>
      <c r="AS2656" s="138">
        <f>AS2653-AS2654</f>
        <v>-1457.3956610122509</v>
      </c>
      <c r="AT2656" s="132"/>
      <c r="AU2656" s="146"/>
    </row>
    <row r="2657" spans="13:47" ht="14.5" x14ac:dyDescent="0.35">
      <c r="M2657" s="27"/>
      <c r="N2657" s="27"/>
      <c r="O2657" s="2" t="s">
        <v>191</v>
      </c>
      <c r="P2657" s="10"/>
      <c r="Q2657" s="2"/>
      <c r="R2657" s="181">
        <f>R2656/R2653</f>
        <v>0.50217415095747264</v>
      </c>
      <c r="S2657" s="132"/>
      <c r="T2657" s="146"/>
      <c r="U2657" s="138">
        <f>U2656/U2653</f>
        <v>0.48435861719195078</v>
      </c>
      <c r="V2657" s="132"/>
      <c r="W2657" s="146"/>
      <c r="X2657" s="138">
        <f>X2656/X2653</f>
        <v>0.36525763747071288</v>
      </c>
      <c r="Y2657" s="132"/>
      <c r="Z2657" s="146"/>
      <c r="AA2657" s="138">
        <f>AA2656/AA2653</f>
        <v>-1.7766881383148645</v>
      </c>
      <c r="AB2657" s="132"/>
      <c r="AC2657" s="146"/>
      <c r="AD2657" s="138">
        <f>AD2656/AD2653</f>
        <v>1.4076079792766223</v>
      </c>
      <c r="AE2657" s="132"/>
      <c r="AF2657" s="146"/>
      <c r="AG2657" s="138">
        <f>AG2656/AG2653</f>
        <v>1.147692648533214</v>
      </c>
      <c r="AH2657" s="132"/>
      <c r="AI2657" s="146"/>
      <c r="AJ2657" s="138">
        <f>AJ2656/AJ2653</f>
        <v>1.0823252448991587</v>
      </c>
      <c r="AK2657" s="132"/>
      <c r="AL2657" s="146"/>
      <c r="AM2657" s="138">
        <f>AM2656/AM2653</f>
        <v>1.0572897587839223</v>
      </c>
      <c r="AN2657" s="132"/>
      <c r="AO2657" s="146"/>
      <c r="AP2657" s="138">
        <f>AP2656/AP2653</f>
        <v>1.0450072076062682</v>
      </c>
      <c r="AQ2657" s="132"/>
      <c r="AR2657" s="146"/>
      <c r="AS2657" s="138">
        <f>AS2656/AS2653</f>
        <v>1.0355266122989453</v>
      </c>
      <c r="AT2657" s="132"/>
      <c r="AU2657" s="146"/>
    </row>
    <row r="2658" spans="13:47" x14ac:dyDescent="0.25">
      <c r="M2658" s="27"/>
      <c r="N2658" s="27"/>
      <c r="O2658" s="2" t="s">
        <v>26</v>
      </c>
      <c r="P2658" s="7">
        <v>12</v>
      </c>
      <c r="Q2658" s="2"/>
      <c r="R2658" s="181">
        <f>1-R2657/(3*F_GAMMA*R$29)</f>
        <v>0.73846194770314311</v>
      </c>
      <c r="S2658" s="133"/>
      <c r="T2658" s="146"/>
      <c r="U2658" s="138">
        <f>1-U2657/(3*F_GAMMA*U$29)</f>
        <v>0.74779602310282045</v>
      </c>
      <c r="V2658" s="133"/>
      <c r="W2658" s="146"/>
      <c r="X2658" s="138">
        <f>1-X2657/(3*F_GAMMA*X$29)</f>
        <v>0.8069583909883683</v>
      </c>
      <c r="Y2658" s="133"/>
      <c r="Z2658" s="146"/>
      <c r="AA2658" s="138">
        <f>1-AA2657/(3*F_GAMMA*AA$29)</f>
        <v>1.9518689336068875</v>
      </c>
      <c r="AB2658" s="133"/>
      <c r="AC2658" s="146"/>
      <c r="AD2658" s="138">
        <f>1-AD2657/(3*F_GAMMA*AD$29)</f>
        <v>0.22519076803531546</v>
      </c>
      <c r="AE2658" s="133"/>
      <c r="AF2658" s="146"/>
      <c r="AG2658" s="138">
        <f>1-AG2657/(3*F_GAMMA*AG$29)</f>
        <v>0.33222410626027621</v>
      </c>
      <c r="AH2658" s="133"/>
      <c r="AI2658" s="146"/>
      <c r="AJ2658" s="138">
        <f>1-AJ2657/(3*F_GAMMA*AJ$29)</f>
        <v>0.32679685143121096</v>
      </c>
      <c r="AK2658" s="133"/>
      <c r="AL2658" s="146"/>
      <c r="AM2658" s="138">
        <f>1-AM2657/(3*F_GAMMA*AM$29)</f>
        <v>0.28147109581556018</v>
      </c>
      <c r="AN2658" s="133"/>
      <c r="AO2658" s="146"/>
      <c r="AP2658" s="138">
        <f>1-AP2657/(3*F_GAMMA*AP$29)</f>
        <v>0.41311162195715556</v>
      </c>
      <c r="AQ2658" s="133"/>
      <c r="AR2658" s="146"/>
      <c r="AS2658" s="138">
        <f>1-AS2657/(3*F_GAMMA*AS$29)</f>
        <v>0.11713536874918351</v>
      </c>
      <c r="AT2658" s="133"/>
      <c r="AU2658" s="146"/>
    </row>
    <row r="2659" spans="13:47" x14ac:dyDescent="0.25">
      <c r="M2659" s="27"/>
      <c r="N2659" s="27"/>
      <c r="O2659" s="2" t="s">
        <v>71</v>
      </c>
      <c r="P2659" s="85">
        <v>5</v>
      </c>
      <c r="Q2659" s="2"/>
      <c r="R2659" s="179">
        <f>R2651/((N_6*R$27*R2658)*SQRT(R2657*R2653*R2655))</f>
        <v>2.0106749206605175</v>
      </c>
      <c r="S2659" s="133"/>
      <c r="T2659" s="146"/>
      <c r="U2659" s="143">
        <f>U2651/((N_6*U$27*U2658)*SQRT(U2657*U2653*U2655))</f>
        <v>13.470002447969</v>
      </c>
      <c r="V2659" s="133"/>
      <c r="W2659" s="146"/>
      <c r="X2659" s="143">
        <f>X2651/((N_6*X$27*X2658)*SQRT(X2657*X2653*X2655))</f>
        <v>43.857079065073016</v>
      </c>
      <c r="Y2659" s="133"/>
      <c r="Z2659" s="146"/>
      <c r="AA2659" s="143" t="e">
        <f>AA2651/((N_6*AA$27*AA2658)*SQRT(AA2657*AA2653*AA2655))</f>
        <v>#NUM!</v>
      </c>
      <c r="AB2659" s="133"/>
      <c r="AC2659" s="146"/>
      <c r="AD2659" s="143">
        <f>AD2651/((N_6*AD$27*AD2658)*SQRT(AD2657*AD2653*AD2655))</f>
        <v>167.6024042593377</v>
      </c>
      <c r="AE2659" s="133"/>
      <c r="AF2659" s="146"/>
      <c r="AG2659" s="143">
        <f>AG2651/((N_6*AG$27*AG2658)*SQRT(AG2657*AG2653*AG2655))</f>
        <v>65.319278178718662</v>
      </c>
      <c r="AH2659" s="133"/>
      <c r="AI2659" s="146"/>
      <c r="AJ2659" s="143">
        <f>AJ2651/((N_6*AJ$27*AJ2658)*SQRT(AJ2657*AJ2653*AJ2655))</f>
        <v>50.058203552081984</v>
      </c>
      <c r="AK2659" s="133"/>
      <c r="AL2659" s="146"/>
      <c r="AM2659" s="143">
        <f>AM2651/((N_6*AM$27*AM2658)*SQRT(AM2657*AM2653*AM2655))</f>
        <v>50.929731632773972</v>
      </c>
      <c r="AN2659" s="133"/>
      <c r="AO2659" s="146"/>
      <c r="AP2659" s="143">
        <f>AP2651/((N_6*AP$27*AP2658)*SQRT(AP2657*AP2653*AP2655))</f>
        <v>34.751172153697318</v>
      </c>
      <c r="AQ2659" s="133"/>
      <c r="AR2659" s="146"/>
      <c r="AS2659" s="143">
        <f>AS2651/((N_6*AS$27*AS2658)*SQRT(AS2657*AS2653*AS2655))</f>
        <v>142.46956249466072</v>
      </c>
      <c r="AT2659" s="133"/>
      <c r="AU2659" s="146"/>
    </row>
    <row r="2660" spans="13:47" x14ac:dyDescent="0.25">
      <c r="M2660" s="27"/>
      <c r="N2660" s="27"/>
      <c r="O2660" s="2" t="s">
        <v>73</v>
      </c>
      <c r="P2660" s="85">
        <v>5</v>
      </c>
      <c r="Q2660" s="2"/>
      <c r="R2660" s="179">
        <f>R2651/((N_6*R$27*0.667)*SQRT(R2661*R2653*R2655))</f>
        <v>1.9718424794840366</v>
      </c>
      <c r="S2660" s="133"/>
      <c r="T2660" s="155"/>
      <c r="U2660" s="143">
        <f>U2651/((N_6*U$27*0.667)*SQRT(U2661*U2653*U2655))</f>
        <v>13.13595295860587</v>
      </c>
      <c r="V2660" s="133"/>
      <c r="W2660" s="155"/>
      <c r="X2660" s="143">
        <f>X2651/((N_6*X$27*0.667)*SQRT(X2661*X2653*X2655))</f>
        <v>40.378585717670951</v>
      </c>
      <c r="Y2660" s="133"/>
      <c r="Z2660" s="155"/>
      <c r="AA2660" s="143">
        <f>AA2651/((N_6*AA$27*0.667)*SQRT(AA2661*AA2653*AA2655))</f>
        <v>348.38585485546605</v>
      </c>
      <c r="AB2660" s="133"/>
      <c r="AC2660" s="155"/>
      <c r="AD2660" s="143">
        <f>AD2651/((N_6*AD$27*0.667)*SQRT(AD2661*AD2653*AD2655))</f>
        <v>86.270638684367484</v>
      </c>
      <c r="AE2660" s="133"/>
      <c r="AF2660" s="155"/>
      <c r="AG2660" s="143">
        <f>AG2651/((N_6*AG$27*0.667)*SQRT(AG2661*AG2653*AG2655))</f>
        <v>46.049262662247109</v>
      </c>
      <c r="AH2660" s="133"/>
      <c r="AI2660" s="155"/>
      <c r="AJ2660" s="143">
        <f>AJ2651/((N_6*AJ$27*0.667)*SQRT(AJ2661*AJ2653*AJ2655))</f>
        <v>34.854670883617324</v>
      </c>
      <c r="AK2660" s="133"/>
      <c r="AL2660" s="155"/>
      <c r="AM2660" s="143">
        <f>AM2651/((N_6*AM$27*0.667)*SQRT(AM2661*AM2653*AM2655))</f>
        <v>31.554558396972595</v>
      </c>
      <c r="AN2660" s="133"/>
      <c r="AO2660" s="155"/>
      <c r="AP2660" s="143">
        <f>AP2651/((N_6*AP$27*0.667)*SQRT(AP2661*AP2653*AP2655))</f>
        <v>28.559422351612422</v>
      </c>
      <c r="AQ2660" s="133"/>
      <c r="AR2660" s="155"/>
      <c r="AS2660" s="143">
        <f>AS2651/((N_6*AS$27*0.667)*SQRT(AS2661*AS2653*AS2655))</f>
        <v>40.718520774237341</v>
      </c>
      <c r="AT2660" s="133"/>
      <c r="AU2660" s="155"/>
    </row>
    <row r="2661" spans="13:47" ht="15.5" x14ac:dyDescent="0.4">
      <c r="M2661" s="27"/>
      <c r="N2661" s="27"/>
      <c r="O2661" s="2" t="s">
        <v>192</v>
      </c>
      <c r="P2661" s="85">
        <v>10</v>
      </c>
      <c r="Q2661" s="2"/>
      <c r="R2661" s="181">
        <f>F_GAMMA*R$29</f>
        <v>0.64002688015162901</v>
      </c>
      <c r="S2661" s="133"/>
      <c r="T2661" s="155"/>
      <c r="U2661" s="138">
        <f>F_GAMMA*U$29</f>
        <v>0.64016782916606918</v>
      </c>
      <c r="V2661" s="133"/>
      <c r="W2661" s="155"/>
      <c r="X2661" s="138">
        <f>F_GAMMA*X$29</f>
        <v>0.6307062319203669</v>
      </c>
      <c r="Y2661" s="133"/>
      <c r="Z2661" s="155"/>
      <c r="AA2661" s="138">
        <f>F_GAMMA*AA$29</f>
        <v>0.62217534213893466</v>
      </c>
      <c r="AB2661" s="133"/>
      <c r="AC2661" s="155"/>
      <c r="AD2661" s="138">
        <f>F_GAMMA*AD$29</f>
        <v>0.60557184969146072</v>
      </c>
      <c r="AE2661" s="133"/>
      <c r="AF2661" s="155"/>
      <c r="AG2661" s="138">
        <f>F_GAMMA*AG$29</f>
        <v>0.57289312142622573</v>
      </c>
      <c r="AH2661" s="133"/>
      <c r="AI2661" s="155"/>
      <c r="AJ2661" s="138">
        <f>F_GAMMA*AJ$29</f>
        <v>0.53590819116049981</v>
      </c>
      <c r="AK2661" s="133"/>
      <c r="AL2661" s="155"/>
      <c r="AM2661" s="138">
        <f>F_GAMMA*AM$29</f>
        <v>0.49048815926850342</v>
      </c>
      <c r="AN2661" s="133"/>
      <c r="AO2661" s="155"/>
      <c r="AP2661" s="138">
        <f>F_GAMMA*AP$29</f>
        <v>0.59352979016280105</v>
      </c>
      <c r="AQ2661" s="133"/>
      <c r="AR2661" s="155"/>
      <c r="AS2661" s="138">
        <f>F_GAMMA*AS$29</f>
        <v>0.39097221161068291</v>
      </c>
      <c r="AT2661" s="133"/>
      <c r="AU2661" s="155"/>
    </row>
    <row r="2662" spans="13:47" x14ac:dyDescent="0.25">
      <c r="M2662" s="27"/>
      <c r="N2662" s="27"/>
      <c r="O2662" s="2" t="s">
        <v>193</v>
      </c>
      <c r="P2662" s="134"/>
      <c r="Q2662" s="2"/>
      <c r="R2662" s="181">
        <f>IF(R2657&lt;R2661,R2659,R2660)</f>
        <v>2.0106749206605175</v>
      </c>
      <c r="S2662" s="133"/>
      <c r="T2662" s="155"/>
      <c r="U2662" s="138">
        <f>IF(U2657&lt;U2661,U2659,U2660)</f>
        <v>13.470002447969</v>
      </c>
      <c r="V2662" s="133"/>
      <c r="W2662" s="155"/>
      <c r="X2662" s="138">
        <f>IF(X2657&lt;X2661,X2659,X2660)</f>
        <v>43.857079065073016</v>
      </c>
      <c r="Y2662" s="133"/>
      <c r="Z2662" s="155"/>
      <c r="AA2662" s="138" t="e">
        <f>IF(AA2657&lt;AA2661,AA2659,AA2660)</f>
        <v>#NUM!</v>
      </c>
      <c r="AB2662" s="133"/>
      <c r="AC2662" s="155"/>
      <c r="AD2662" s="138">
        <f>IF(AD2657&lt;AD2661,AD2659,AD2660)</f>
        <v>86.270638684367484</v>
      </c>
      <c r="AE2662" s="133"/>
      <c r="AF2662" s="155"/>
      <c r="AG2662" s="138">
        <f>IF(AG2657&lt;AG2661,AG2659,AG2660)</f>
        <v>46.049262662247109</v>
      </c>
      <c r="AH2662" s="133"/>
      <c r="AI2662" s="155"/>
      <c r="AJ2662" s="138">
        <f>IF(AJ2657&lt;AJ2661,AJ2659,AJ2660)</f>
        <v>34.854670883617324</v>
      </c>
      <c r="AK2662" s="133"/>
      <c r="AL2662" s="155"/>
      <c r="AM2662" s="138">
        <f>IF(AM2657&lt;AM2661,AM2659,AM2660)</f>
        <v>31.554558396972595</v>
      </c>
      <c r="AN2662" s="133"/>
      <c r="AO2662" s="155"/>
      <c r="AP2662" s="138">
        <f>IF(AP2657&lt;AP2661,AP2659,AP2660)</f>
        <v>28.559422351612422</v>
      </c>
      <c r="AQ2662" s="133"/>
      <c r="AR2662" s="155"/>
      <c r="AS2662" s="138">
        <f>IF(AS2657&lt;AS2661,AS2659,AS2660)</f>
        <v>40.718520774237341</v>
      </c>
      <c r="AT2662" s="133"/>
      <c r="AU2662" s="155"/>
    </row>
    <row r="2663" spans="13:47" ht="13" x14ac:dyDescent="0.3">
      <c r="M2663" s="28"/>
      <c r="N2663" s="28"/>
      <c r="O2663" s="9" t="s">
        <v>194</v>
      </c>
      <c r="P2663" s="1"/>
      <c r="Q2663" s="1"/>
      <c r="R2663" s="135"/>
      <c r="S2663" s="132">
        <f>IF(R2656&lt;=0,W_max,ABS(R$23-R2662))</f>
        <v>1.0674920660517451E-2</v>
      </c>
      <c r="T2663" s="151">
        <f>R2651</f>
        <v>464.55549997869338</v>
      </c>
      <c r="U2663" s="135"/>
      <c r="V2663" s="132">
        <f>IF(U2656&lt;=0,W_max,ABS(U$23-U2662))</f>
        <v>8.4700024479689997</v>
      </c>
      <c r="W2663" s="151">
        <f>U2651</f>
        <v>2986.3073523428384</v>
      </c>
      <c r="X2663" s="135"/>
      <c r="Y2663" s="132">
        <f>IF(X2656&lt;=0,W_max,ABS(X$23-X2662))</f>
        <v>33.857079065073016</v>
      </c>
      <c r="Z2663" s="151">
        <f>X2651</f>
        <v>7385.493457084568</v>
      </c>
      <c r="AA2663" s="135"/>
      <c r="AB2663" s="132">
        <f>IF(AA2656&lt;=0,W_max,ABS(AA$23-AA2662))</f>
        <v>7174</v>
      </c>
      <c r="AC2663" s="151">
        <f>AA2651</f>
        <v>14385.056141070523</v>
      </c>
      <c r="AD2663" s="135"/>
      <c r="AE2663" s="132">
        <f>IF(AD2656&lt;=0,W_max,ABS(AD$23-AD2662))</f>
        <v>7174</v>
      </c>
      <c r="AF2663" s="151">
        <f>AD2651</f>
        <v>23658.121088615346</v>
      </c>
      <c r="AG2663" s="135"/>
      <c r="AH2663" s="132">
        <f>IF(AG2656&lt;=0,W_max,ABS(AG$23-AG2662))</f>
        <v>7174</v>
      </c>
      <c r="AI2663" s="151">
        <f>AG2651</f>
        <v>33182.336174904907</v>
      </c>
      <c r="AJ2663" s="135"/>
      <c r="AK2663" s="132">
        <f>IF(AJ2656&lt;=0,W_max,ABS(AJ$23-AJ2662))</f>
        <v>7174</v>
      </c>
      <c r="AL2663" s="151">
        <f>AJ2651</f>
        <v>42132.761960510732</v>
      </c>
      <c r="AM2663" s="135"/>
      <c r="AN2663" s="132">
        <f>IF(AM2656&lt;=0,W_max,ABS(AM$23-AM2662))</f>
        <v>7174</v>
      </c>
      <c r="AO2663" s="151">
        <f>AM2651</f>
        <v>49403.976926548428</v>
      </c>
      <c r="AP2663" s="135"/>
      <c r="AQ2663" s="132">
        <f>IF(AP2656&lt;=0,W_max,ABS(AP$23-AP2662))</f>
        <v>7174</v>
      </c>
      <c r="AR2663" s="151">
        <f>AP2651</f>
        <v>55118.453256333749</v>
      </c>
      <c r="AS2663" s="135"/>
      <c r="AT2663" s="132">
        <f>IF(AS2656&lt;=0,W_max,ABS(AS$23-AS2662))</f>
        <v>7174</v>
      </c>
      <c r="AU2663" s="151">
        <f>AS2651</f>
        <v>61493.9136152434</v>
      </c>
    </row>
    <row r="2664" spans="13:47" ht="13" x14ac:dyDescent="0.25">
      <c r="M2664" s="12"/>
      <c r="N2664" s="12"/>
      <c r="O2664" s="2"/>
      <c r="P2664" s="85"/>
      <c r="Q2664" s="2"/>
      <c r="R2664" s="18"/>
      <c r="S2664" s="150"/>
      <c r="T2664" s="152"/>
      <c r="U2664" s="157"/>
      <c r="V2664" s="1"/>
      <c r="W2664" s="147"/>
      <c r="X2664" s="157"/>
      <c r="Y2664" s="1"/>
      <c r="Z2664" s="147"/>
      <c r="AA2664" s="157"/>
      <c r="AB2664" s="1"/>
      <c r="AC2664" s="147"/>
      <c r="AD2664" s="157"/>
      <c r="AE2664" s="1"/>
      <c r="AF2664" s="147"/>
      <c r="AG2664" s="157"/>
      <c r="AH2664" s="1"/>
      <c r="AI2664" s="147"/>
      <c r="AJ2664" s="157"/>
      <c r="AK2664" s="1"/>
      <c r="AL2664" s="147"/>
      <c r="AM2664" s="157"/>
      <c r="AN2664" s="1"/>
      <c r="AO2664" s="147"/>
      <c r="AP2664" s="157"/>
      <c r="AQ2664" s="1"/>
      <c r="AR2664" s="147"/>
      <c r="AS2664" s="157"/>
      <c r="AT2664" s="1"/>
      <c r="AU2664" s="147"/>
    </row>
    <row r="2665" spans="13:47" ht="14" x14ac:dyDescent="0.3">
      <c r="M2665" s="23"/>
      <c r="N2665" s="23"/>
      <c r="O2665" s="23" t="s">
        <v>238</v>
      </c>
      <c r="P2665" s="20"/>
      <c r="Q2665" s="20"/>
      <c r="R2665" s="181">
        <f>R2651*1.02</f>
        <v>473.84660997826722</v>
      </c>
      <c r="S2665" s="128" t="s">
        <v>185</v>
      </c>
      <c r="T2665" s="153" t="s">
        <v>186</v>
      </c>
      <c r="U2665" s="143">
        <f>U2651*1.01</f>
        <v>3016.1704258662667</v>
      </c>
      <c r="V2665" s="128" t="s">
        <v>185</v>
      </c>
      <c r="W2665" s="153" t="s">
        <v>186</v>
      </c>
      <c r="X2665" s="143">
        <f>X2651*1.01</f>
        <v>7459.3483916554142</v>
      </c>
      <c r="Y2665" s="128" t="s">
        <v>185</v>
      </c>
      <c r="Z2665" s="153" t="s">
        <v>186</v>
      </c>
      <c r="AA2665" s="143">
        <f>AA2651*1.01</f>
        <v>14528.906702481228</v>
      </c>
      <c r="AB2665" s="128" t="s">
        <v>185</v>
      </c>
      <c r="AC2665" s="153" t="s">
        <v>186</v>
      </c>
      <c r="AD2665" s="143">
        <f>AD2651*1.01</f>
        <v>23894.7022995015</v>
      </c>
      <c r="AE2665" s="128" t="s">
        <v>185</v>
      </c>
      <c r="AF2665" s="153" t="s">
        <v>186</v>
      </c>
      <c r="AG2665" s="143">
        <f>AG2651*1.01</f>
        <v>33514.159536653955</v>
      </c>
      <c r="AH2665" s="128" t="s">
        <v>185</v>
      </c>
      <c r="AI2665" s="153" t="s">
        <v>186</v>
      </c>
      <c r="AJ2665" s="143">
        <f>AJ2651*1.01</f>
        <v>42554.08958011584</v>
      </c>
      <c r="AK2665" s="128" t="s">
        <v>185</v>
      </c>
      <c r="AL2665" s="153" t="s">
        <v>186</v>
      </c>
      <c r="AM2665" s="143">
        <f>AM2651*1.01</f>
        <v>49898.016695813916</v>
      </c>
      <c r="AN2665" s="128" t="s">
        <v>185</v>
      </c>
      <c r="AO2665" s="153" t="s">
        <v>186</v>
      </c>
      <c r="AP2665" s="143">
        <f>AP2651*1.01</f>
        <v>55669.637788897089</v>
      </c>
      <c r="AQ2665" s="128" t="s">
        <v>185</v>
      </c>
      <c r="AR2665" s="153" t="s">
        <v>186</v>
      </c>
      <c r="AS2665" s="143">
        <f>AS2651*1.01</f>
        <v>62108.852751395832</v>
      </c>
      <c r="AT2665" s="128" t="s">
        <v>185</v>
      </c>
      <c r="AU2665" s="153" t="s">
        <v>186</v>
      </c>
    </row>
    <row r="2666" spans="13:47" ht="14" x14ac:dyDescent="0.3">
      <c r="M2666" s="12"/>
      <c r="N2666" s="12"/>
      <c r="O2666" s="20"/>
      <c r="P2666" s="20"/>
      <c r="Q2666" s="23"/>
      <c r="R2666" s="139"/>
      <c r="S2666" s="130" t="s">
        <v>228</v>
      </c>
      <c r="T2666" s="154" t="s">
        <v>187</v>
      </c>
      <c r="U2666" s="144"/>
      <c r="V2666" s="130" t="s">
        <v>228</v>
      </c>
      <c r="W2666" s="154" t="s">
        <v>187</v>
      </c>
      <c r="X2666" s="144"/>
      <c r="Y2666" s="130" t="s">
        <v>228</v>
      </c>
      <c r="Z2666" s="154" t="s">
        <v>187</v>
      </c>
      <c r="AA2666" s="144"/>
      <c r="AB2666" s="130" t="s">
        <v>228</v>
      </c>
      <c r="AC2666" s="154" t="s">
        <v>187</v>
      </c>
      <c r="AD2666" s="144"/>
      <c r="AE2666" s="130" t="s">
        <v>228</v>
      </c>
      <c r="AF2666" s="154" t="s">
        <v>187</v>
      </c>
      <c r="AG2666" s="144"/>
      <c r="AH2666" s="130" t="s">
        <v>228</v>
      </c>
      <c r="AI2666" s="154" t="s">
        <v>187</v>
      </c>
      <c r="AJ2666" s="144"/>
      <c r="AK2666" s="130" t="s">
        <v>228</v>
      </c>
      <c r="AL2666" s="154" t="s">
        <v>187</v>
      </c>
      <c r="AM2666" s="144"/>
      <c r="AN2666" s="130" t="s">
        <v>228</v>
      </c>
      <c r="AO2666" s="154" t="s">
        <v>187</v>
      </c>
      <c r="AP2666" s="144"/>
      <c r="AQ2666" s="130" t="s">
        <v>228</v>
      </c>
      <c r="AR2666" s="154" t="s">
        <v>187</v>
      </c>
      <c r="AS2666" s="144"/>
      <c r="AT2666" s="130" t="s">
        <v>228</v>
      </c>
      <c r="AU2666" s="154" t="s">
        <v>187</v>
      </c>
    </row>
    <row r="2667" spans="13:47" x14ac:dyDescent="0.25">
      <c r="M2667" s="20"/>
      <c r="N2667" s="20"/>
      <c r="O2667" s="7" t="s">
        <v>188</v>
      </c>
      <c r="P2667" s="7"/>
      <c r="Q2667" s="7"/>
      <c r="R2667" s="181">
        <f>P_1_minW-(R2665^2*R_up)+dpup_minQ</f>
        <v>100.43325249841222</v>
      </c>
      <c r="S2667" s="132"/>
      <c r="T2667" s="145"/>
      <c r="U2667" s="138">
        <f>P_1_minW-(U2665^2*R_up)+dpup_minQ</f>
        <v>96.895137046420004</v>
      </c>
      <c r="V2667" s="132"/>
      <c r="W2667" s="145"/>
      <c r="X2667" s="138">
        <f>P_1_minW-(X2665^2*R_up)+dpup_minQ</f>
        <v>78.33492910718671</v>
      </c>
      <c r="Y2667" s="132"/>
      <c r="Z2667" s="145"/>
      <c r="AA2667" s="138">
        <f>P_1_minW-(AA2665^2*R_up)+dpup_minQ</f>
        <v>16.348497600219787</v>
      </c>
      <c r="AB2667" s="132"/>
      <c r="AC2667" s="145"/>
      <c r="AD2667" s="138">
        <f>P_1_minW-(AD2665^2*R_up)+dpup_minQ</f>
        <v>-127.15299460142357</v>
      </c>
      <c r="AE2667" s="132"/>
      <c r="AF2667" s="145"/>
      <c r="AG2667" s="138">
        <f>P_1_minW-(AG2665^2*R_up)+dpup_minQ</f>
        <v>-347.36606519955137</v>
      </c>
      <c r="AH2667" s="132"/>
      <c r="AI2667" s="145"/>
      <c r="AJ2667" s="138">
        <f>P_1_minW-(AJ2665^2*R_up)+dpup_minQ</f>
        <v>-621.57530025820165</v>
      </c>
      <c r="AK2667" s="132"/>
      <c r="AL2667" s="145"/>
      <c r="AM2667" s="138">
        <f>P_1_minW-(AM2665^2*R_up)+dpup_minQ</f>
        <v>-892.31924696208762</v>
      </c>
      <c r="AN2667" s="132"/>
      <c r="AO2667" s="145"/>
      <c r="AP2667" s="138">
        <f>P_1_minW-(AP2665^2*R_up)+dpup_minQ</f>
        <v>-1135.2834388355466</v>
      </c>
      <c r="AQ2667" s="132"/>
      <c r="AR2667" s="145"/>
      <c r="AS2667" s="138">
        <f>P_1_minW-(AS2665^2*R_up)+dpup_minQ</f>
        <v>-1437.7048218120053</v>
      </c>
      <c r="AT2667" s="132"/>
      <c r="AU2667" s="145"/>
    </row>
    <row r="2668" spans="13:47" x14ac:dyDescent="0.25">
      <c r="M2668" s="20"/>
      <c r="N2668" s="20"/>
      <c r="O2668" s="7" t="s">
        <v>189</v>
      </c>
      <c r="P2668" s="1"/>
      <c r="Q2668" s="7"/>
      <c r="R2668" s="181">
        <f>P_2_minW+(R2665^2*R_dn)-dpdn_minQ</f>
        <v>50</v>
      </c>
      <c r="S2668" s="132"/>
      <c r="T2668" s="146"/>
      <c r="U2668" s="138">
        <f>P_2_minW+(U2665^2*R_dn)-dpdn_minQ</f>
        <v>50</v>
      </c>
      <c r="V2668" s="132"/>
      <c r="W2668" s="146"/>
      <c r="X2668" s="138">
        <f>P_2_minW+(X2665^2*R_dn)-dpdn_minQ</f>
        <v>50</v>
      </c>
      <c r="Y2668" s="132"/>
      <c r="Z2668" s="146"/>
      <c r="AA2668" s="138">
        <f>P_2_minW+(AA2665^2*R_dn)-dpdn_minQ</f>
        <v>50</v>
      </c>
      <c r="AB2668" s="132"/>
      <c r="AC2668" s="146"/>
      <c r="AD2668" s="138">
        <f>P_2_minW+(AD2665^2*R_dn)-dpdn_minQ</f>
        <v>50</v>
      </c>
      <c r="AE2668" s="132"/>
      <c r="AF2668" s="146"/>
      <c r="AG2668" s="138">
        <f>P_2_minW+(AG2665^2*R_dn)-dpdn_minQ</f>
        <v>50</v>
      </c>
      <c r="AH2668" s="132"/>
      <c r="AI2668" s="146"/>
      <c r="AJ2668" s="138">
        <f>P_2_minW+(AJ2665^2*R_dn)-dpdn_minQ</f>
        <v>50</v>
      </c>
      <c r="AK2668" s="132"/>
      <c r="AL2668" s="146"/>
      <c r="AM2668" s="138">
        <f>P_2_minW+(AM2665^2*R_dn)-dpdn_minQ</f>
        <v>50</v>
      </c>
      <c r="AN2668" s="132"/>
      <c r="AO2668" s="146"/>
      <c r="AP2668" s="138">
        <f>P_2_minW+(AP2665^2*R_dn)-dpdn_minQ</f>
        <v>50</v>
      </c>
      <c r="AQ2668" s="132"/>
      <c r="AR2668" s="146"/>
      <c r="AS2668" s="138">
        <f>P_2_minW+(AS2665^2*R_dn)-dpdn_minQ</f>
        <v>50</v>
      </c>
      <c r="AT2668" s="132"/>
      <c r="AU2668" s="146"/>
    </row>
    <row r="2669" spans="13:47" x14ac:dyDescent="0.25">
      <c r="M2669" s="20"/>
      <c r="N2669" s="20"/>
      <c r="O2669" s="7" t="s">
        <v>234</v>
      </c>
      <c r="P2669" s="1"/>
      <c r="Q2669" s="7"/>
      <c r="R2669" s="179">
        <f>'Valve Sizing'!G$8*R2667/P_1_maxW</f>
        <v>0.48447212901385039</v>
      </c>
      <c r="S2669" s="132"/>
      <c r="T2669" s="146"/>
      <c r="U2669" s="143">
        <f>'Valve Sizing'!$G$8*U2667/P_1_maxW</f>
        <v>0.46740488999607022</v>
      </c>
      <c r="V2669" s="132"/>
      <c r="W2669" s="146"/>
      <c r="X2669" s="143">
        <f>'Valve Sizing'!$G$8*X2667/P_1_maxW</f>
        <v>0.3778737513385596</v>
      </c>
      <c r="Y2669" s="132"/>
      <c r="Z2669" s="146"/>
      <c r="AA2669" s="143">
        <f>'Valve Sizing'!$G$8*AA2667/P_1_maxW</f>
        <v>7.8862241752864881E-2</v>
      </c>
      <c r="AB2669" s="132"/>
      <c r="AC2669" s="146"/>
      <c r="AD2669" s="143">
        <f>'Valve Sizing'!$G$8*AD2667/P_1_maxW</f>
        <v>-0.61336340776190823</v>
      </c>
      <c r="AE2669" s="132"/>
      <c r="AF2669" s="146"/>
      <c r="AG2669" s="143">
        <f>'Valve Sizing'!$G$8*AG2667/P_1_maxW</f>
        <v>-1.6756320538065932</v>
      </c>
      <c r="AH2669" s="132"/>
      <c r="AI2669" s="146"/>
      <c r="AJ2669" s="143">
        <f>'Valve Sizing'!$G$8*AJ2667/P_1_maxW</f>
        <v>-2.9983685837842904</v>
      </c>
      <c r="AK2669" s="132"/>
      <c r="AL2669" s="146"/>
      <c r="AM2669" s="143">
        <f>'Valve Sizing'!$G$8*AM2667/P_1_maxW</f>
        <v>-4.3043891796951694</v>
      </c>
      <c r="AN2669" s="132"/>
      <c r="AO2669" s="146"/>
      <c r="AP2669" s="143">
        <f>'Valve Sizing'!$G$8*AP2667/P_1_maxW</f>
        <v>-5.4764051841845713</v>
      </c>
      <c r="AQ2669" s="132"/>
      <c r="AR2669" s="146"/>
      <c r="AS2669" s="143">
        <f>'Valve Sizing'!$G$8*AS2667/P_1_maxW</f>
        <v>-6.9352320928544291</v>
      </c>
      <c r="AT2669" s="132"/>
      <c r="AU2669" s="146"/>
    </row>
    <row r="2670" spans="13:47" x14ac:dyDescent="0.25">
      <c r="M2670" s="20"/>
      <c r="N2670" s="20"/>
      <c r="O2670" s="7" t="s">
        <v>190</v>
      </c>
      <c r="P2670" s="1"/>
      <c r="Q2670" s="7"/>
      <c r="R2670" s="181">
        <f>R2667-R2668</f>
        <v>50.433252498412216</v>
      </c>
      <c r="S2670" s="132"/>
      <c r="T2670" s="146"/>
      <c r="U2670" s="138">
        <f>U2667-U2668</f>
        <v>46.895137046420004</v>
      </c>
      <c r="V2670" s="132"/>
      <c r="W2670" s="146"/>
      <c r="X2670" s="138">
        <f>X2667-X2668</f>
        <v>28.33492910718671</v>
      </c>
      <c r="Y2670" s="132"/>
      <c r="Z2670" s="146"/>
      <c r="AA2670" s="138">
        <f>AA2667-AA2668</f>
        <v>-33.651502399780213</v>
      </c>
      <c r="AB2670" s="132"/>
      <c r="AC2670" s="146"/>
      <c r="AD2670" s="138">
        <f>AD2667-AD2668</f>
        <v>-177.15299460142359</v>
      </c>
      <c r="AE2670" s="132"/>
      <c r="AF2670" s="146"/>
      <c r="AG2670" s="138">
        <f>AG2667-AG2668</f>
        <v>-397.36606519955137</v>
      </c>
      <c r="AH2670" s="132"/>
      <c r="AI2670" s="146"/>
      <c r="AJ2670" s="138">
        <f>AJ2667-AJ2668</f>
        <v>-671.57530025820165</v>
      </c>
      <c r="AK2670" s="132"/>
      <c r="AL2670" s="146"/>
      <c r="AM2670" s="138">
        <f>AM2667-AM2668</f>
        <v>-942.31924696208762</v>
      </c>
      <c r="AN2670" s="132"/>
      <c r="AO2670" s="146"/>
      <c r="AP2670" s="138">
        <f>AP2667-AP2668</f>
        <v>-1185.2834388355466</v>
      </c>
      <c r="AQ2670" s="132"/>
      <c r="AR2670" s="146"/>
      <c r="AS2670" s="138">
        <f>AS2667-AS2668</f>
        <v>-1487.7048218120053</v>
      </c>
      <c r="AT2670" s="132"/>
      <c r="AU2670" s="146"/>
    </row>
    <row r="2671" spans="13:47" ht="14.5" x14ac:dyDescent="0.35">
      <c r="M2671" s="27"/>
      <c r="N2671" s="27"/>
      <c r="O2671" s="2" t="s">
        <v>191</v>
      </c>
      <c r="P2671" s="10"/>
      <c r="Q2671" s="2"/>
      <c r="R2671" s="181">
        <f>R2670/R2667</f>
        <v>0.50215691759270198</v>
      </c>
      <c r="S2671" s="132"/>
      <c r="T2671" s="146"/>
      <c r="U2671" s="138">
        <f>U2670/U2667</f>
        <v>0.48397823127030343</v>
      </c>
      <c r="V2671" s="132"/>
      <c r="W2671" s="146"/>
      <c r="X2671" s="138">
        <f>X2670/X2667</f>
        <v>0.36171513053156218</v>
      </c>
      <c r="Y2671" s="132"/>
      <c r="Z2671" s="146"/>
      <c r="AA2671" s="138">
        <f>AA2670/AA2667</f>
        <v>-2.0583850102120582</v>
      </c>
      <c r="AB2671" s="132"/>
      <c r="AC2671" s="146"/>
      <c r="AD2671" s="138">
        <f>AD2670/AD2667</f>
        <v>1.3932270738627199</v>
      </c>
      <c r="AE2671" s="132"/>
      <c r="AF2671" s="146"/>
      <c r="AG2671" s="138">
        <f>AG2670/AG2667</f>
        <v>1.1439403701431701</v>
      </c>
      <c r="AH2671" s="132"/>
      <c r="AI2671" s="146"/>
      <c r="AJ2671" s="138">
        <f>AJ2670/AJ2667</f>
        <v>1.0804407768121256</v>
      </c>
      <c r="AK2671" s="132"/>
      <c r="AL2671" s="146"/>
      <c r="AM2671" s="138">
        <f>AM2670/AM2667</f>
        <v>1.0560337571673206</v>
      </c>
      <c r="AN2671" s="132"/>
      <c r="AO2671" s="146"/>
      <c r="AP2671" s="138">
        <f>AP2670/AP2667</f>
        <v>1.0440418650441028</v>
      </c>
      <c r="AQ2671" s="132"/>
      <c r="AR2671" s="146"/>
      <c r="AS2671" s="138">
        <f>AS2670/AS2667</f>
        <v>1.0347776534107904</v>
      </c>
      <c r="AT2671" s="132"/>
      <c r="AU2671" s="146"/>
    </row>
    <row r="2672" spans="13:47" x14ac:dyDescent="0.25">
      <c r="M2672" s="27"/>
      <c r="N2672" s="27"/>
      <c r="O2672" s="2" t="s">
        <v>26</v>
      </c>
      <c r="P2672" s="7">
        <v>12</v>
      </c>
      <c r="Q2672" s="2"/>
      <c r="R2672" s="181">
        <f>1-R2671/(3*F_GAMMA*R$29)</f>
        <v>0.73847092303699502</v>
      </c>
      <c r="S2672" s="133"/>
      <c r="T2672" s="146"/>
      <c r="U2672" s="138">
        <f>1-U2671/(3*F_GAMMA*U$29)</f>
        <v>0.74799408883096075</v>
      </c>
      <c r="V2672" s="133"/>
      <c r="W2672" s="146"/>
      <c r="X2672" s="138">
        <f>1-X2671/(3*F_GAMMA*X$29)</f>
        <v>0.80883063449353898</v>
      </c>
      <c r="Y2672" s="133"/>
      <c r="Z2672" s="146"/>
      <c r="AA2672" s="138">
        <f>1-AA2671/(3*F_GAMMA*AA$29)</f>
        <v>2.1027893429182818</v>
      </c>
      <c r="AB2672" s="133"/>
      <c r="AC2672" s="146"/>
      <c r="AD2672" s="138">
        <f>1-AD2671/(3*F_GAMMA*AD$29)</f>
        <v>0.23310664976001882</v>
      </c>
      <c r="AE2672" s="133"/>
      <c r="AF2672" s="146"/>
      <c r="AG2672" s="138">
        <f>1-AG2671/(3*F_GAMMA*AG$29)</f>
        <v>0.33440733977551584</v>
      </c>
      <c r="AH2672" s="133"/>
      <c r="AI2672" s="146"/>
      <c r="AJ2672" s="138">
        <f>1-AJ2671/(3*F_GAMMA*AJ$29)</f>
        <v>0.32796898509024464</v>
      </c>
      <c r="AK2672" s="133"/>
      <c r="AL2672" s="146"/>
      <c r="AM2672" s="138">
        <f>1-AM2671/(3*F_GAMMA*AM$29)</f>
        <v>0.28232466831802039</v>
      </c>
      <c r="AN2672" s="133"/>
      <c r="AO2672" s="146"/>
      <c r="AP2672" s="138">
        <f>1-AP2671/(3*F_GAMMA*AP$29)</f>
        <v>0.41365376973033963</v>
      </c>
      <c r="AQ2672" s="133"/>
      <c r="AR2672" s="146"/>
      <c r="AS2672" s="138">
        <f>1-AS2671/(3*F_GAMMA*AS$29)</f>
        <v>0.11777391275641569</v>
      </c>
      <c r="AT2672" s="133"/>
      <c r="AU2672" s="146"/>
    </row>
    <row r="2673" spans="13:47" x14ac:dyDescent="0.25">
      <c r="M2673" s="27"/>
      <c r="N2673" s="27"/>
      <c r="O2673" s="2" t="s">
        <v>71</v>
      </c>
      <c r="P2673" s="85">
        <v>5</v>
      </c>
      <c r="Q2673" s="2"/>
      <c r="R2673" s="179">
        <f>R2665/((N_6*R$27*R2672)*SQRT(R2671*R2667*R2669))</f>
        <v>2.0509696803427673</v>
      </c>
      <c r="S2673" s="133"/>
      <c r="T2673" s="146"/>
      <c r="U2673" s="143">
        <f>U2665/((N_6*U$27*U2672)*SQRT(U2671*U2667*U2669))</f>
        <v>13.616481293313095</v>
      </c>
      <c r="V2673" s="133"/>
      <c r="W2673" s="146"/>
      <c r="X2673" s="143">
        <f>X2665/((N_6*X$27*X2672)*SQRT(X2671*X2667*X2669))</f>
        <v>44.656842047849608</v>
      </c>
      <c r="Y2673" s="133"/>
      <c r="Z2673" s="146"/>
      <c r="AA2673" s="143" t="e">
        <f>AA2665/((N_6*AA$27*AA2672)*SQRT(AA2671*AA2667*AA2669))</f>
        <v>#NUM!</v>
      </c>
      <c r="AB2673" s="133"/>
      <c r="AC2673" s="146"/>
      <c r="AD2673" s="143">
        <f>AD2665/((N_6*AD$27*AD2672)*SQRT(AD2671*AD2667*AD2669))</f>
        <v>158.57261179353054</v>
      </c>
      <c r="AE2673" s="133"/>
      <c r="AF2673" s="146"/>
      <c r="AG2673" s="143">
        <f>AG2665/((N_6*AG$27*AG2672)*SQRT(AG2671*AG2667*AG2669))</f>
        <v>63.981281495325391</v>
      </c>
      <c r="AH2673" s="133"/>
      <c r="AI2673" s="146"/>
      <c r="AJ2673" s="143">
        <f>AJ2665/((N_6*AJ$27*AJ2672)*SQRT(AJ2671*AJ2667*AJ2669))</f>
        <v>49.267821235766242</v>
      </c>
      <c r="AK2673" s="133"/>
      <c r="AL2673" s="146"/>
      <c r="AM2673" s="143">
        <f>AM2665/((N_6*AM$27*AM2672)*SQRT(AM2671*AM2667*AM2669))</f>
        <v>50.189006757898106</v>
      </c>
      <c r="AN2673" s="133"/>
      <c r="AO2673" s="146"/>
      <c r="AP2673" s="143">
        <f>AP2665/((N_6*AP$27*AP2672)*SQRT(AP2671*AP2667*AP2669))</f>
        <v>34.316704677795279</v>
      </c>
      <c r="AQ2673" s="133"/>
      <c r="AR2673" s="146"/>
      <c r="AS2673" s="143">
        <f>AS2665/((N_6*AS$27*AS2672)*SQRT(AS2671*AS2667*AS2669))</f>
        <v>140.14770806982824</v>
      </c>
      <c r="AT2673" s="133"/>
      <c r="AU2673" s="146"/>
    </row>
    <row r="2674" spans="13:47" x14ac:dyDescent="0.25">
      <c r="M2674" s="27"/>
      <c r="N2674" s="27"/>
      <c r="O2674" s="2" t="s">
        <v>73</v>
      </c>
      <c r="P2674" s="85">
        <v>5</v>
      </c>
      <c r="Q2674" s="2"/>
      <c r="R2674" s="179">
        <f>R2665/((N_6*R$27*0.667)*SQRT(R2675*R2667*R2669))</f>
        <v>2.0113489540447795</v>
      </c>
      <c r="S2674" s="133"/>
      <c r="T2674" s="155"/>
      <c r="U2674" s="143">
        <f>U2665/((N_6*U$27*0.667)*SQRT(U2675*U2667*U2669))</f>
        <v>13.277099714463649</v>
      </c>
      <c r="V2674" s="133"/>
      <c r="W2674" s="155"/>
      <c r="X2674" s="143">
        <f>X2665/((N_6*X$27*0.667)*SQRT(X2675*X2667*X2669))</f>
        <v>41.009978621151028</v>
      </c>
      <c r="Y2674" s="133"/>
      <c r="Z2674" s="155"/>
      <c r="AA2674" s="143">
        <f>AA2665/((N_6*AA$27*0.667)*SQRT(AA2675*AA2667*AA2669))</f>
        <v>387.56713156687908</v>
      </c>
      <c r="AB2674" s="133"/>
      <c r="AC2674" s="155"/>
      <c r="AD2674" s="143">
        <f>AD2665/((N_6*AD$27*0.667)*SQRT(AD2675*AD2667*AD2669))</f>
        <v>84.059174648714006</v>
      </c>
      <c r="AE2674" s="133"/>
      <c r="AF2674" s="155"/>
      <c r="AG2674" s="143">
        <f>AG2665/((N_6*AG$27*0.667)*SQRT(AG2675*AG2667*AG2669))</f>
        <v>45.328128773062289</v>
      </c>
      <c r="AH2674" s="133"/>
      <c r="AI2674" s="155"/>
      <c r="AJ2674" s="143">
        <f>AJ2665/((N_6*AJ$27*0.667)*SQRT(AJ2675*AJ2667*AJ2669))</f>
        <v>34.39739745556696</v>
      </c>
      <c r="AK2674" s="133"/>
      <c r="AL2674" s="155"/>
      <c r="AM2674" s="143">
        <f>AM2665/((N_6*AM$27*0.667)*SQRT(AM2675*AM2667*AM2669))</f>
        <v>31.171394421485068</v>
      </c>
      <c r="AN2674" s="133"/>
      <c r="AO2674" s="155"/>
      <c r="AP2674" s="143">
        <f>AP2665/((N_6*AP$27*0.667)*SQRT(AP2675*AP2667*AP2669))</f>
        <v>28.226330731520164</v>
      </c>
      <c r="AQ2674" s="133"/>
      <c r="AR2674" s="155"/>
      <c r="AS2674" s="143">
        <f>AS2665/((N_6*AS$27*0.667)*SQRT(AS2675*AS2667*AS2669))</f>
        <v>40.258709073643381</v>
      </c>
      <c r="AT2674" s="133"/>
      <c r="AU2674" s="155"/>
    </row>
    <row r="2675" spans="13:47" ht="15.5" x14ac:dyDescent="0.4">
      <c r="M2675" s="27"/>
      <c r="N2675" s="27"/>
      <c r="O2675" s="2" t="s">
        <v>192</v>
      </c>
      <c r="P2675" s="85">
        <v>10</v>
      </c>
      <c r="Q2675" s="2"/>
      <c r="R2675" s="181">
        <f>F_GAMMA*R$29</f>
        <v>0.64002688015162901</v>
      </c>
      <c r="S2675" s="133"/>
      <c r="T2675" s="155"/>
      <c r="U2675" s="138">
        <f>F_GAMMA*U$29</f>
        <v>0.64016782916606918</v>
      </c>
      <c r="V2675" s="133"/>
      <c r="W2675" s="155"/>
      <c r="X2675" s="138">
        <f>F_GAMMA*X$29</f>
        <v>0.6307062319203669</v>
      </c>
      <c r="Y2675" s="133"/>
      <c r="Z2675" s="155"/>
      <c r="AA2675" s="138">
        <f>F_GAMMA*AA$29</f>
        <v>0.62217534213893466</v>
      </c>
      <c r="AB2675" s="133"/>
      <c r="AC2675" s="155"/>
      <c r="AD2675" s="138">
        <f>F_GAMMA*AD$29</f>
        <v>0.60557184969146072</v>
      </c>
      <c r="AE2675" s="133"/>
      <c r="AF2675" s="155"/>
      <c r="AG2675" s="138">
        <f>F_GAMMA*AG$29</f>
        <v>0.57289312142622573</v>
      </c>
      <c r="AH2675" s="133"/>
      <c r="AI2675" s="155"/>
      <c r="AJ2675" s="138">
        <f>F_GAMMA*AJ$29</f>
        <v>0.53590819116049981</v>
      </c>
      <c r="AK2675" s="133"/>
      <c r="AL2675" s="155"/>
      <c r="AM2675" s="138">
        <f>F_GAMMA*AM$29</f>
        <v>0.49048815926850342</v>
      </c>
      <c r="AN2675" s="133"/>
      <c r="AO2675" s="155"/>
      <c r="AP2675" s="138">
        <f>F_GAMMA*AP$29</f>
        <v>0.59352979016280105</v>
      </c>
      <c r="AQ2675" s="133"/>
      <c r="AR2675" s="155"/>
      <c r="AS2675" s="138">
        <f>F_GAMMA*AS$29</f>
        <v>0.39097221161068291</v>
      </c>
      <c r="AT2675" s="133"/>
      <c r="AU2675" s="155"/>
    </row>
    <row r="2676" spans="13:47" x14ac:dyDescent="0.25">
      <c r="M2676" s="27"/>
      <c r="N2676" s="27"/>
      <c r="O2676" s="2" t="s">
        <v>193</v>
      </c>
      <c r="P2676" s="134"/>
      <c r="Q2676" s="2"/>
      <c r="R2676" s="181">
        <f>IF(R2671&lt;R2675,R2673,R2674)</f>
        <v>2.0509696803427673</v>
      </c>
      <c r="S2676" s="133"/>
      <c r="T2676" s="155"/>
      <c r="U2676" s="138">
        <f>IF(U2671&lt;U2675,U2673,U2674)</f>
        <v>13.616481293313095</v>
      </c>
      <c r="V2676" s="133"/>
      <c r="W2676" s="155"/>
      <c r="X2676" s="138">
        <f>IF(X2671&lt;X2675,X2673,X2674)</f>
        <v>44.656842047849608</v>
      </c>
      <c r="Y2676" s="133"/>
      <c r="Z2676" s="155"/>
      <c r="AA2676" s="138" t="e">
        <f>IF(AA2671&lt;AA2675,AA2673,AA2674)</f>
        <v>#NUM!</v>
      </c>
      <c r="AB2676" s="133"/>
      <c r="AC2676" s="155"/>
      <c r="AD2676" s="138">
        <f>IF(AD2671&lt;AD2675,AD2673,AD2674)</f>
        <v>84.059174648714006</v>
      </c>
      <c r="AE2676" s="133"/>
      <c r="AF2676" s="155"/>
      <c r="AG2676" s="138">
        <f>IF(AG2671&lt;AG2675,AG2673,AG2674)</f>
        <v>45.328128773062289</v>
      </c>
      <c r="AH2676" s="133"/>
      <c r="AI2676" s="155"/>
      <c r="AJ2676" s="138">
        <f>IF(AJ2671&lt;AJ2675,AJ2673,AJ2674)</f>
        <v>34.39739745556696</v>
      </c>
      <c r="AK2676" s="133"/>
      <c r="AL2676" s="155"/>
      <c r="AM2676" s="138">
        <f>IF(AM2671&lt;AM2675,AM2673,AM2674)</f>
        <v>31.171394421485068</v>
      </c>
      <c r="AN2676" s="133"/>
      <c r="AO2676" s="155"/>
      <c r="AP2676" s="138">
        <f>IF(AP2671&lt;AP2675,AP2673,AP2674)</f>
        <v>28.226330731520164</v>
      </c>
      <c r="AQ2676" s="133"/>
      <c r="AR2676" s="155"/>
      <c r="AS2676" s="138">
        <f>IF(AS2671&lt;AS2675,AS2673,AS2674)</f>
        <v>40.258709073643381</v>
      </c>
      <c r="AT2676" s="133"/>
      <c r="AU2676" s="155"/>
    </row>
    <row r="2677" spans="13:47" ht="13" x14ac:dyDescent="0.3">
      <c r="M2677" s="28"/>
      <c r="N2677" s="28"/>
      <c r="O2677" s="9" t="s">
        <v>194</v>
      </c>
      <c r="P2677" s="1"/>
      <c r="Q2677" s="1"/>
      <c r="R2677" s="135"/>
      <c r="S2677" s="132">
        <f>IF(R2670&lt;=0,W_max,ABS(R$23-R2676))</f>
        <v>5.0969680342767276E-2</v>
      </c>
      <c r="T2677" s="151">
        <f>R2665</f>
        <v>473.84660997826722</v>
      </c>
      <c r="U2677" s="135"/>
      <c r="V2677" s="132">
        <f>IF(U2670&lt;=0,W_max,ABS(U$23-U2676))</f>
        <v>8.616481293313095</v>
      </c>
      <c r="W2677" s="151">
        <f>U2665</f>
        <v>3016.1704258662667</v>
      </c>
      <c r="X2677" s="135"/>
      <c r="Y2677" s="132">
        <f>IF(X2670&lt;=0,W_max,ABS(X$23-X2676))</f>
        <v>34.656842047849608</v>
      </c>
      <c r="Z2677" s="151">
        <f>X2665</f>
        <v>7459.3483916554142</v>
      </c>
      <c r="AA2677" s="135"/>
      <c r="AB2677" s="132">
        <f>IF(AA2670&lt;=0,W_max,ABS(AA$23-AA2676))</f>
        <v>7174</v>
      </c>
      <c r="AC2677" s="151">
        <f>AA2665</f>
        <v>14528.906702481228</v>
      </c>
      <c r="AD2677" s="135"/>
      <c r="AE2677" s="132">
        <f>IF(AD2670&lt;=0,W_max,ABS(AD$23-AD2676))</f>
        <v>7174</v>
      </c>
      <c r="AF2677" s="151">
        <f>AD2665</f>
        <v>23894.7022995015</v>
      </c>
      <c r="AG2677" s="135"/>
      <c r="AH2677" s="132">
        <f>IF(AG2670&lt;=0,W_max,ABS(AG$23-AG2676))</f>
        <v>7174</v>
      </c>
      <c r="AI2677" s="151">
        <f>AG2665</f>
        <v>33514.159536653955</v>
      </c>
      <c r="AJ2677" s="135"/>
      <c r="AK2677" s="132">
        <f>IF(AJ2670&lt;=0,W_max,ABS(AJ$23-AJ2676))</f>
        <v>7174</v>
      </c>
      <c r="AL2677" s="151">
        <f>AJ2665</f>
        <v>42554.08958011584</v>
      </c>
      <c r="AM2677" s="135"/>
      <c r="AN2677" s="132">
        <f>IF(AM2670&lt;=0,W_max,ABS(AM$23-AM2676))</f>
        <v>7174</v>
      </c>
      <c r="AO2677" s="151">
        <f>AM2665</f>
        <v>49898.016695813916</v>
      </c>
      <c r="AP2677" s="135"/>
      <c r="AQ2677" s="132">
        <f>IF(AP2670&lt;=0,W_max,ABS(AP$23-AP2676))</f>
        <v>7174</v>
      </c>
      <c r="AR2677" s="151">
        <f>AP2665</f>
        <v>55669.637788897089</v>
      </c>
      <c r="AS2677" s="135"/>
      <c r="AT2677" s="132">
        <f>IF(AS2670&lt;=0,W_max,ABS(AS$23-AS2676))</f>
        <v>7174</v>
      </c>
      <c r="AU2677" s="151">
        <f>AS2665</f>
        <v>62108.852751395832</v>
      </c>
    </row>
    <row r="2678" spans="13:47" ht="13" x14ac:dyDescent="0.25">
      <c r="M2678" s="12"/>
      <c r="N2678" s="12"/>
      <c r="O2678" s="2"/>
      <c r="P2678" s="85"/>
      <c r="Q2678" s="2"/>
      <c r="R2678" s="18"/>
      <c r="S2678" s="150"/>
      <c r="T2678" s="148"/>
      <c r="U2678" s="157"/>
      <c r="V2678" s="1"/>
      <c r="W2678" s="147"/>
      <c r="X2678" s="157"/>
      <c r="Y2678" s="1"/>
      <c r="Z2678" s="147"/>
      <c r="AA2678" s="157"/>
      <c r="AB2678" s="1"/>
      <c r="AC2678" s="147"/>
      <c r="AD2678" s="157"/>
      <c r="AE2678" s="1"/>
      <c r="AF2678" s="147"/>
      <c r="AG2678" s="157"/>
      <c r="AH2678" s="1"/>
      <c r="AI2678" s="147"/>
      <c r="AJ2678" s="157"/>
      <c r="AK2678" s="1"/>
      <c r="AL2678" s="147"/>
      <c r="AM2678" s="157"/>
      <c r="AN2678" s="1"/>
      <c r="AO2678" s="147"/>
      <c r="AP2678" s="157"/>
      <c r="AQ2678" s="1"/>
      <c r="AR2678" s="147"/>
      <c r="AS2678" s="157"/>
      <c r="AT2678" s="1"/>
      <c r="AU2678" s="147"/>
    </row>
    <row r="2679" spans="13:47" ht="14" x14ac:dyDescent="0.3">
      <c r="M2679" s="23"/>
      <c r="N2679" s="23"/>
      <c r="O2679" s="23" t="s">
        <v>238</v>
      </c>
      <c r="P2679" s="20"/>
      <c r="Q2679" s="20"/>
      <c r="R2679" s="181">
        <f>R2665*1.02</f>
        <v>483.32354217783256</v>
      </c>
      <c r="S2679" s="128" t="s">
        <v>185</v>
      </c>
      <c r="T2679" s="149" t="s">
        <v>186</v>
      </c>
      <c r="U2679" s="143">
        <f>U2665*1.01</f>
        <v>3046.3321301249293</v>
      </c>
      <c r="V2679" s="128" t="s">
        <v>185</v>
      </c>
      <c r="W2679" s="153" t="s">
        <v>186</v>
      </c>
      <c r="X2679" s="143">
        <f>X2665*1.01</f>
        <v>7533.941875571968</v>
      </c>
      <c r="Y2679" s="128" t="s">
        <v>185</v>
      </c>
      <c r="Z2679" s="153" t="s">
        <v>186</v>
      </c>
      <c r="AA2679" s="143">
        <f>AA2665*1.01</f>
        <v>14674.195769506041</v>
      </c>
      <c r="AB2679" s="128" t="s">
        <v>185</v>
      </c>
      <c r="AC2679" s="153" t="s">
        <v>186</v>
      </c>
      <c r="AD2679" s="143">
        <f>AD2665*1.01</f>
        <v>24133.649322496516</v>
      </c>
      <c r="AE2679" s="128" t="s">
        <v>185</v>
      </c>
      <c r="AF2679" s="153" t="s">
        <v>186</v>
      </c>
      <c r="AG2679" s="143">
        <f>AG2665*1.01</f>
        <v>33849.301132020497</v>
      </c>
      <c r="AH2679" s="128" t="s">
        <v>185</v>
      </c>
      <c r="AI2679" s="153" t="s">
        <v>186</v>
      </c>
      <c r="AJ2679" s="143">
        <f>AJ2665*1.01</f>
        <v>42979.630475917002</v>
      </c>
      <c r="AK2679" s="128" t="s">
        <v>185</v>
      </c>
      <c r="AL2679" s="153" t="s">
        <v>186</v>
      </c>
      <c r="AM2679" s="143">
        <f>AM2665*1.01</f>
        <v>50396.996862772059</v>
      </c>
      <c r="AN2679" s="128" t="s">
        <v>185</v>
      </c>
      <c r="AO2679" s="153" t="s">
        <v>186</v>
      </c>
      <c r="AP2679" s="143">
        <f>AP2665*1.01</f>
        <v>56226.334166786059</v>
      </c>
      <c r="AQ2679" s="128" t="s">
        <v>185</v>
      </c>
      <c r="AR2679" s="153" t="s">
        <v>186</v>
      </c>
      <c r="AS2679" s="143">
        <f>AS2665*1.01</f>
        <v>62729.941278909791</v>
      </c>
      <c r="AT2679" s="128" t="s">
        <v>185</v>
      </c>
      <c r="AU2679" s="153" t="s">
        <v>186</v>
      </c>
    </row>
    <row r="2680" spans="13:47" ht="14" x14ac:dyDescent="0.3">
      <c r="M2680" s="12"/>
      <c r="N2680" s="12"/>
      <c r="O2680" s="20"/>
      <c r="P2680" s="20"/>
      <c r="Q2680" s="23"/>
      <c r="R2680" s="139"/>
      <c r="S2680" s="130" t="s">
        <v>228</v>
      </c>
      <c r="T2680" s="131" t="s">
        <v>187</v>
      </c>
      <c r="U2680" s="144"/>
      <c r="V2680" s="130" t="s">
        <v>228</v>
      </c>
      <c r="W2680" s="154" t="s">
        <v>187</v>
      </c>
      <c r="X2680" s="144"/>
      <c r="Y2680" s="130" t="s">
        <v>228</v>
      </c>
      <c r="Z2680" s="154" t="s">
        <v>187</v>
      </c>
      <c r="AA2680" s="144"/>
      <c r="AB2680" s="130" t="s">
        <v>228</v>
      </c>
      <c r="AC2680" s="154" t="s">
        <v>187</v>
      </c>
      <c r="AD2680" s="144"/>
      <c r="AE2680" s="130" t="s">
        <v>228</v>
      </c>
      <c r="AF2680" s="154" t="s">
        <v>187</v>
      </c>
      <c r="AG2680" s="144"/>
      <c r="AH2680" s="130" t="s">
        <v>228</v>
      </c>
      <c r="AI2680" s="154" t="s">
        <v>187</v>
      </c>
      <c r="AJ2680" s="144"/>
      <c r="AK2680" s="130" t="s">
        <v>228</v>
      </c>
      <c r="AL2680" s="154" t="s">
        <v>187</v>
      </c>
      <c r="AM2680" s="144"/>
      <c r="AN2680" s="130" t="s">
        <v>228</v>
      </c>
      <c r="AO2680" s="154" t="s">
        <v>187</v>
      </c>
      <c r="AP2680" s="144"/>
      <c r="AQ2680" s="130" t="s">
        <v>228</v>
      </c>
      <c r="AR2680" s="154" t="s">
        <v>187</v>
      </c>
      <c r="AS2680" s="144"/>
      <c r="AT2680" s="130" t="s">
        <v>228</v>
      </c>
      <c r="AU2680" s="154" t="s">
        <v>187</v>
      </c>
    </row>
    <row r="2681" spans="13:47" x14ac:dyDescent="0.25">
      <c r="M2681" s="20"/>
      <c r="N2681" s="20"/>
      <c r="O2681" s="7" t="s">
        <v>188</v>
      </c>
      <c r="P2681" s="7"/>
      <c r="Q2681" s="7"/>
      <c r="R2681" s="181">
        <f>P_1_minW-(R2679^2*R_up)+dpup_minQ</f>
        <v>100.42963531518431</v>
      </c>
      <c r="S2681" s="132"/>
      <c r="T2681" s="145"/>
      <c r="U2681" s="138">
        <f>P_1_minW-(U2679^2*R_up)+dpup_minQ</f>
        <v>96.822221287644837</v>
      </c>
      <c r="V2681" s="132"/>
      <c r="W2681" s="145"/>
      <c r="X2681" s="138">
        <f>P_1_minW-(X2679^2*R_up)+dpup_minQ</f>
        <v>77.88895316883297</v>
      </c>
      <c r="Y2681" s="132"/>
      <c r="Z2681" s="145"/>
      <c r="AA2681" s="138">
        <f>P_1_minW-(AA2679^2*R_up)+dpup_minQ</f>
        <v>14.656594388575982</v>
      </c>
      <c r="AB2681" s="132"/>
      <c r="AC2681" s="145"/>
      <c r="AD2681" s="138">
        <f>P_1_minW-(AD2679^2*R_up)+dpup_minQ</f>
        <v>-131.72927780632045</v>
      </c>
      <c r="AE2681" s="132"/>
      <c r="AF2681" s="145"/>
      <c r="AG2681" s="138">
        <f>P_1_minW-(AG2679^2*R_up)+dpup_minQ</f>
        <v>-356.36863112347061</v>
      </c>
      <c r="AH2681" s="132"/>
      <c r="AI2681" s="145"/>
      <c r="AJ2681" s="138">
        <f>P_1_minW-(AJ2679^2*R_up)+dpup_minQ</f>
        <v>-636.08947180679991</v>
      </c>
      <c r="AK2681" s="132"/>
      <c r="AL2681" s="145"/>
      <c r="AM2681" s="138">
        <f>P_1_minW-(AM2679^2*R_up)+dpup_minQ</f>
        <v>-912.27537183943389</v>
      </c>
      <c r="AN2681" s="132"/>
      <c r="AO2681" s="145"/>
      <c r="AP2681" s="138">
        <f>P_1_minW-(AP2679^2*R_up)+dpup_minQ</f>
        <v>-1160.1231439695491</v>
      </c>
      <c r="AQ2681" s="132"/>
      <c r="AR2681" s="145"/>
      <c r="AS2681" s="138">
        <f>P_1_minW-(AS2679^2*R_up)+dpup_minQ</f>
        <v>-1468.6231967438348</v>
      </c>
      <c r="AT2681" s="132"/>
      <c r="AU2681" s="145"/>
    </row>
    <row r="2682" spans="13:47" x14ac:dyDescent="0.25">
      <c r="M2682" s="20"/>
      <c r="N2682" s="20"/>
      <c r="O2682" s="7" t="s">
        <v>189</v>
      </c>
      <c r="P2682" s="1"/>
      <c r="Q2682" s="7"/>
      <c r="R2682" s="181">
        <f>P_2_minW+(R2679^2*R_dn)-dpdn_minQ</f>
        <v>50</v>
      </c>
      <c r="S2682" s="132"/>
      <c r="T2682" s="146"/>
      <c r="U2682" s="138">
        <f>P_2_minW+(U2679^2*R_dn)-dpdn_minQ</f>
        <v>50</v>
      </c>
      <c r="V2682" s="132"/>
      <c r="W2682" s="146"/>
      <c r="X2682" s="138">
        <f>P_2_minW+(X2679^2*R_dn)-dpdn_minQ</f>
        <v>50</v>
      </c>
      <c r="Y2682" s="132"/>
      <c r="Z2682" s="146"/>
      <c r="AA2682" s="138">
        <f>P_2_minW+(AA2679^2*R_dn)-dpdn_minQ</f>
        <v>50</v>
      </c>
      <c r="AB2682" s="132"/>
      <c r="AC2682" s="146"/>
      <c r="AD2682" s="138">
        <f>P_2_minW+(AD2679^2*R_dn)-dpdn_minQ</f>
        <v>50</v>
      </c>
      <c r="AE2682" s="132"/>
      <c r="AF2682" s="146"/>
      <c r="AG2682" s="138">
        <f>P_2_minW+(AG2679^2*R_dn)-dpdn_minQ</f>
        <v>50</v>
      </c>
      <c r="AH2682" s="132"/>
      <c r="AI2682" s="146"/>
      <c r="AJ2682" s="138">
        <f>P_2_minW+(AJ2679^2*R_dn)-dpdn_minQ</f>
        <v>50</v>
      </c>
      <c r="AK2682" s="132"/>
      <c r="AL2682" s="146"/>
      <c r="AM2682" s="138">
        <f>P_2_minW+(AM2679^2*R_dn)-dpdn_minQ</f>
        <v>50</v>
      </c>
      <c r="AN2682" s="132"/>
      <c r="AO2682" s="146"/>
      <c r="AP2682" s="138">
        <f>P_2_minW+(AP2679^2*R_dn)-dpdn_minQ</f>
        <v>50</v>
      </c>
      <c r="AQ2682" s="132"/>
      <c r="AR2682" s="146"/>
      <c r="AS2682" s="138">
        <f>P_2_minW+(AS2679^2*R_dn)-dpdn_minQ</f>
        <v>50</v>
      </c>
      <c r="AT2682" s="132"/>
      <c r="AU2682" s="146"/>
    </row>
    <row r="2683" spans="13:47" x14ac:dyDescent="0.25">
      <c r="M2683" s="20"/>
      <c r="N2683" s="20"/>
      <c r="O2683" s="7" t="s">
        <v>234</v>
      </c>
      <c r="P2683" s="1"/>
      <c r="Q2683" s="7"/>
      <c r="R2683" s="179">
        <f>'Valve Sizing'!G$8*R2681/P_1_maxW</f>
        <v>0.48445468036595879</v>
      </c>
      <c r="S2683" s="132"/>
      <c r="T2683" s="146"/>
      <c r="U2683" s="143">
        <f>'Valve Sizing'!$G$8*U2681/P_1_maxW</f>
        <v>0.46705315735758957</v>
      </c>
      <c r="V2683" s="132"/>
      <c r="W2683" s="146"/>
      <c r="X2683" s="143">
        <f>'Valve Sizing'!$G$8*X2681/P_1_maxW</f>
        <v>0.375722442813063</v>
      </c>
      <c r="Y2683" s="132"/>
      <c r="Z2683" s="146"/>
      <c r="AA2683" s="143">
        <f>'Valve Sizing'!$G$8*AA2681/P_1_maxW</f>
        <v>7.0700801884695672E-2</v>
      </c>
      <c r="AB2683" s="132"/>
      <c r="AC2683" s="146"/>
      <c r="AD2683" s="143">
        <f>'Valve Sizing'!$G$8*AD2681/P_1_maxW</f>
        <v>-0.63543858318532465</v>
      </c>
      <c r="AE2683" s="132"/>
      <c r="AF2683" s="146"/>
      <c r="AG2683" s="143">
        <f>'Valve Sizing'!$G$8*AG2681/P_1_maxW</f>
        <v>-1.7190588290155078</v>
      </c>
      <c r="AH2683" s="132"/>
      <c r="AI2683" s="146"/>
      <c r="AJ2683" s="143">
        <f>'Valve Sizing'!$G$8*AJ2681/P_1_maxW</f>
        <v>-3.0683823632457576</v>
      </c>
      <c r="AK2683" s="132"/>
      <c r="AL2683" s="146"/>
      <c r="AM2683" s="143">
        <f>'Valve Sizing'!$G$8*AM2681/P_1_maxW</f>
        <v>-4.4006539731344443</v>
      </c>
      <c r="AN2683" s="132"/>
      <c r="AO2683" s="146"/>
      <c r="AP2683" s="143">
        <f>'Valve Sizing'!$G$8*AP2681/P_1_maxW</f>
        <v>-5.5962274993140815</v>
      </c>
      <c r="AQ2683" s="132"/>
      <c r="AR2683" s="146"/>
      <c r="AS2683" s="143">
        <f>'Valve Sizing'!$G$8*AS2681/P_1_maxW</f>
        <v>-7.084376828848205</v>
      </c>
      <c r="AT2683" s="132"/>
      <c r="AU2683" s="146"/>
    </row>
    <row r="2684" spans="13:47" x14ac:dyDescent="0.25">
      <c r="M2684" s="20"/>
      <c r="N2684" s="20"/>
      <c r="O2684" s="7" t="s">
        <v>190</v>
      </c>
      <c r="P2684" s="1"/>
      <c r="Q2684" s="7"/>
      <c r="R2684" s="181">
        <f>R2681-R2682</f>
        <v>50.429635315184314</v>
      </c>
      <c r="S2684" s="132"/>
      <c r="T2684" s="146"/>
      <c r="U2684" s="138">
        <f>U2681-U2682</f>
        <v>46.822221287644837</v>
      </c>
      <c r="V2684" s="132"/>
      <c r="W2684" s="146"/>
      <c r="X2684" s="138">
        <f>X2681-X2682</f>
        <v>27.88895316883297</v>
      </c>
      <c r="Y2684" s="132"/>
      <c r="Z2684" s="146"/>
      <c r="AA2684" s="138">
        <f>AA2681-AA2682</f>
        <v>-35.343405611424018</v>
      </c>
      <c r="AB2684" s="132"/>
      <c r="AC2684" s="146"/>
      <c r="AD2684" s="138">
        <f>AD2681-AD2682</f>
        <v>-181.72927780632045</v>
      </c>
      <c r="AE2684" s="132"/>
      <c r="AF2684" s="146"/>
      <c r="AG2684" s="138">
        <f>AG2681-AG2682</f>
        <v>-406.36863112347061</v>
      </c>
      <c r="AH2684" s="132"/>
      <c r="AI2684" s="146"/>
      <c r="AJ2684" s="138">
        <f>AJ2681-AJ2682</f>
        <v>-686.08947180679991</v>
      </c>
      <c r="AK2684" s="132"/>
      <c r="AL2684" s="146"/>
      <c r="AM2684" s="138">
        <f>AM2681-AM2682</f>
        <v>-962.27537183943389</v>
      </c>
      <c r="AN2684" s="132"/>
      <c r="AO2684" s="146"/>
      <c r="AP2684" s="138">
        <f>AP2681-AP2682</f>
        <v>-1210.1231439695491</v>
      </c>
      <c r="AQ2684" s="132"/>
      <c r="AR2684" s="146"/>
      <c r="AS2684" s="138">
        <f>AS2681-AS2682</f>
        <v>-1518.6231967438348</v>
      </c>
      <c r="AT2684" s="132"/>
      <c r="AU2684" s="146"/>
    </row>
    <row r="2685" spans="13:47" ht="14.5" x14ac:dyDescent="0.35">
      <c r="M2685" s="27"/>
      <c r="N2685" s="27"/>
      <c r="O2685" s="2" t="s">
        <v>191</v>
      </c>
      <c r="P2685" s="10"/>
      <c r="Q2685" s="2"/>
      <c r="R2685" s="181">
        <f>R2684/R2681</f>
        <v>0.50213898673352719</v>
      </c>
      <c r="S2685" s="132"/>
      <c r="T2685" s="146"/>
      <c r="U2685" s="138">
        <f>U2684/U2681</f>
        <v>0.48358962090471752</v>
      </c>
      <c r="V2685" s="132"/>
      <c r="W2685" s="146"/>
      <c r="X2685" s="138">
        <f>X2684/X2681</f>
        <v>0.35806044418623217</v>
      </c>
      <c r="Y2685" s="132"/>
      <c r="Z2685" s="146"/>
      <c r="AA2685" s="138">
        <f>AA2684/AA2681</f>
        <v>-2.4114336983339242</v>
      </c>
      <c r="AB2685" s="132"/>
      <c r="AC2685" s="146"/>
      <c r="AD2685" s="138">
        <f>AD2684/AD2681</f>
        <v>1.3795663411554888</v>
      </c>
      <c r="AE2685" s="132"/>
      <c r="AF2685" s="146"/>
      <c r="AG2685" s="138">
        <f>AG2684/AG2681</f>
        <v>1.14030415595888</v>
      </c>
      <c r="AH2685" s="132"/>
      <c r="AI2685" s="146"/>
      <c r="AJ2685" s="138">
        <f>AJ2684/AJ2681</f>
        <v>1.0786052940916879</v>
      </c>
      <c r="AK2685" s="132"/>
      <c r="AL2685" s="146"/>
      <c r="AM2685" s="138">
        <f>AM2684/AM2681</f>
        <v>1.0548080125183958</v>
      </c>
      <c r="AN2685" s="132"/>
      <c r="AO2685" s="146"/>
      <c r="AP2685" s="138">
        <f>AP2684/AP2681</f>
        <v>1.0430988729600867</v>
      </c>
      <c r="AQ2685" s="132"/>
      <c r="AR2685" s="146"/>
      <c r="AS2685" s="138">
        <f>AS2684/AS2681</f>
        <v>1.0340454924795262</v>
      </c>
      <c r="AT2685" s="132"/>
      <c r="AU2685" s="146"/>
    </row>
    <row r="2686" spans="13:47" x14ac:dyDescent="0.25">
      <c r="M2686" s="27"/>
      <c r="N2686" s="27"/>
      <c r="O2686" s="2" t="s">
        <v>26</v>
      </c>
      <c r="P2686" s="7">
        <v>12</v>
      </c>
      <c r="Q2686" s="2"/>
      <c r="R2686" s="181">
        <f>1-R2685/(3*F_GAMMA*R$29)</f>
        <v>0.73848026163392522</v>
      </c>
      <c r="S2686" s="133"/>
      <c r="T2686" s="146"/>
      <c r="U2686" s="138">
        <f>1-U2685/(3*F_GAMMA*U$29)</f>
        <v>0.74819643700065463</v>
      </c>
      <c r="V2686" s="133"/>
      <c r="W2686" s="146"/>
      <c r="X2686" s="138">
        <f>1-X2685/(3*F_GAMMA*X$29)</f>
        <v>0.8107621657201568</v>
      </c>
      <c r="Y2686" s="133"/>
      <c r="Z2686" s="146"/>
      <c r="AA2686" s="138">
        <f>1-AA2685/(3*F_GAMMA*AA$29)</f>
        <v>2.291936819634488</v>
      </c>
      <c r="AB2686" s="133"/>
      <c r="AC2686" s="146"/>
      <c r="AD2686" s="138">
        <f>1-AD2685/(3*F_GAMMA*AD$29)</f>
        <v>0.24062611680822643</v>
      </c>
      <c r="AE2686" s="133"/>
      <c r="AF2686" s="146"/>
      <c r="AG2686" s="138">
        <f>1-AG2685/(3*F_GAMMA*AG$29)</f>
        <v>0.33652304225025653</v>
      </c>
      <c r="AH2686" s="133"/>
      <c r="AI2686" s="146"/>
      <c r="AJ2686" s="138">
        <f>1-AJ2685/(3*F_GAMMA*AJ$29)</f>
        <v>0.32911064999399298</v>
      </c>
      <c r="AK2686" s="133"/>
      <c r="AL2686" s="146"/>
      <c r="AM2686" s="138">
        <f>1-AM2685/(3*F_GAMMA*AM$29)</f>
        <v>0.28315767833451277</v>
      </c>
      <c r="AN2686" s="133"/>
      <c r="AO2686" s="146"/>
      <c r="AP2686" s="138">
        <f>1-AP2685/(3*F_GAMMA*AP$29)</f>
        <v>0.41418336521127719</v>
      </c>
      <c r="AQ2686" s="133"/>
      <c r="AR2686" s="146"/>
      <c r="AS2686" s="138">
        <f>1-AS2685/(3*F_GAMMA*AS$29)</f>
        <v>0.11839813523695808</v>
      </c>
      <c r="AT2686" s="133"/>
      <c r="AU2686" s="146"/>
    </row>
    <row r="2687" spans="13:47" x14ac:dyDescent="0.25">
      <c r="M2687" s="27"/>
      <c r="N2687" s="27"/>
      <c r="O2687" s="2" t="s">
        <v>71</v>
      </c>
      <c r="P2687" s="85">
        <v>5</v>
      </c>
      <c r="Q2687" s="2"/>
      <c r="R2687" s="179">
        <f>R2679/((N_6*R$27*R2686)*SQRT(R2685*R2681*R2683))</f>
        <v>2.0920753176106612</v>
      </c>
      <c r="S2687" s="133"/>
      <c r="T2687" s="146"/>
      <c r="U2687" s="143">
        <f>U2679/((N_6*U$27*U2686)*SQRT(U2685*U2681*U2683))</f>
        <v>13.764808235267246</v>
      </c>
      <c r="V2687" s="133"/>
      <c r="W2687" s="146"/>
      <c r="X2687" s="143">
        <f>X2679/((N_6*X$27*X2686)*SQRT(X2685*X2681*X2683))</f>
        <v>45.483958261541822</v>
      </c>
      <c r="Y2687" s="133"/>
      <c r="Z2687" s="146"/>
      <c r="AA2687" s="143" t="e">
        <f>AA2679/((N_6*AA$27*AA2686)*SQRT(AA2685*AA2681*AA2683))</f>
        <v>#NUM!</v>
      </c>
      <c r="AB2687" s="133"/>
      <c r="AC2687" s="146"/>
      <c r="AD2687" s="143">
        <f>AD2679/((N_6*AD$27*AD2686)*SQRT(AD2685*AD2681*AD2683))</f>
        <v>150.50308180549598</v>
      </c>
      <c r="AE2687" s="133"/>
      <c r="AF2687" s="146"/>
      <c r="AG2687" s="143">
        <f>AG2679/((N_6*AG$27*AG2686)*SQRT(AG2685*AG2681*AG2683))</f>
        <v>62.692351939997906</v>
      </c>
      <c r="AH2687" s="133"/>
      <c r="AI2687" s="146"/>
      <c r="AJ2687" s="143">
        <f>AJ2679/((N_6*AJ$27*AJ2686)*SQRT(AJ2685*AJ2681*AJ2683))</f>
        <v>48.497608220715698</v>
      </c>
      <c r="AK2687" s="133"/>
      <c r="AL2687" s="146"/>
      <c r="AM2687" s="143">
        <f>AM2679/((N_6*AM$27*AM2686)*SQRT(AM2685*AM2681*AM2683))</f>
        <v>49.464879919585847</v>
      </c>
      <c r="AN2687" s="133"/>
      <c r="AO2687" s="146"/>
      <c r="AP2687" s="143">
        <f>AP2679/((N_6*AP$27*AP2686)*SQRT(AP2685*AP2681*AP2683))</f>
        <v>33.889699321314211</v>
      </c>
      <c r="AQ2687" s="133"/>
      <c r="AR2687" s="146"/>
      <c r="AS2687" s="143">
        <f>AS2679/((N_6*AS$27*AS2686)*SQRT(AS2685*AS2681*AS2683))</f>
        <v>137.8874240762228</v>
      </c>
      <c r="AT2687" s="133"/>
      <c r="AU2687" s="146"/>
    </row>
    <row r="2688" spans="13:47" x14ac:dyDescent="0.25">
      <c r="M2688" s="27"/>
      <c r="N2688" s="27"/>
      <c r="O2688" s="2" t="s">
        <v>73</v>
      </c>
      <c r="P2688" s="85">
        <v>5</v>
      </c>
      <c r="Q2688" s="2"/>
      <c r="R2688" s="179">
        <f>R2679/((N_6*R$27*0.667)*SQRT(R2689*R2681*R2683))</f>
        <v>2.0516498249209882</v>
      </c>
      <c r="S2688" s="133"/>
      <c r="T2688" s="147"/>
      <c r="U2688" s="143">
        <f>U2679/((N_6*U$27*0.667)*SQRT(U2689*U2681*U2683))</f>
        <v>13.419969538974671</v>
      </c>
      <c r="V2688" s="133"/>
      <c r="W2688" s="155"/>
      <c r="X2688" s="143">
        <f>X2679/((N_6*X$27*0.667)*SQRT(X2689*X2681*X2683))</f>
        <v>41.657241157443011</v>
      </c>
      <c r="Y2688" s="133"/>
      <c r="Z2688" s="155"/>
      <c r="AA2688" s="143">
        <f>AA2679/((N_6*AA$27*0.667)*SQRT(AA2689*AA2681*AA2683))</f>
        <v>436.62951664519727</v>
      </c>
      <c r="AB2688" s="133"/>
      <c r="AC2688" s="155"/>
      <c r="AD2688" s="143">
        <f>AD2679/((N_6*AD$27*0.667)*SQRT(AD2689*AD2681*AD2683))</f>
        <v>81.950343294094722</v>
      </c>
      <c r="AE2688" s="133"/>
      <c r="AF2688" s="155"/>
      <c r="AG2688" s="143">
        <f>AG2679/((N_6*AG$27*0.667)*SQRT(AG2689*AG2681*AG2683))</f>
        <v>44.624882448183072</v>
      </c>
      <c r="AH2688" s="133"/>
      <c r="AI2688" s="155"/>
      <c r="AJ2688" s="143">
        <f>AJ2679/((N_6*AJ$27*0.667)*SQRT(AJ2689*AJ2681*AJ2683))</f>
        <v>33.948649262692186</v>
      </c>
      <c r="AK2688" s="133"/>
      <c r="AL2688" s="155"/>
      <c r="AM2688" s="143">
        <f>AM2679/((N_6*AM$27*0.667)*SQRT(AM2689*AM2681*AM2683))</f>
        <v>30.794411880551891</v>
      </c>
      <c r="AN2688" s="133"/>
      <c r="AO2688" s="155"/>
      <c r="AP2688" s="143">
        <f>AP2679/((N_6*AP$27*0.667)*SQRT(AP2689*AP2681*AP2683))</f>
        <v>27.89818895090081</v>
      </c>
      <c r="AQ2688" s="133"/>
      <c r="AR2688" s="155"/>
      <c r="AS2688" s="143">
        <f>AS2679/((N_6*AS$27*0.667)*SQRT(AS2689*AS2681*AS2683))</f>
        <v>39.805269102563138</v>
      </c>
      <c r="AT2688" s="133"/>
      <c r="AU2688" s="155"/>
    </row>
    <row r="2689" spans="13:47" ht="15.5" x14ac:dyDescent="0.4">
      <c r="M2689" s="27"/>
      <c r="N2689" s="27"/>
      <c r="O2689" s="2" t="s">
        <v>192</v>
      </c>
      <c r="P2689" s="85">
        <v>10</v>
      </c>
      <c r="Q2689" s="2"/>
      <c r="R2689" s="181">
        <f>F_GAMMA*R$29</f>
        <v>0.64002688015162901</v>
      </c>
      <c r="S2689" s="133"/>
      <c r="T2689" s="147"/>
      <c r="U2689" s="138">
        <f>F_GAMMA*U$29</f>
        <v>0.64016782916606918</v>
      </c>
      <c r="V2689" s="133"/>
      <c r="W2689" s="155"/>
      <c r="X2689" s="138">
        <f>F_GAMMA*X$29</f>
        <v>0.6307062319203669</v>
      </c>
      <c r="Y2689" s="133"/>
      <c r="Z2689" s="155"/>
      <c r="AA2689" s="138">
        <f>F_GAMMA*AA$29</f>
        <v>0.62217534213893466</v>
      </c>
      <c r="AB2689" s="133"/>
      <c r="AC2689" s="155"/>
      <c r="AD2689" s="138">
        <f>F_GAMMA*AD$29</f>
        <v>0.60557184969146072</v>
      </c>
      <c r="AE2689" s="133"/>
      <c r="AF2689" s="155"/>
      <c r="AG2689" s="138">
        <f>F_GAMMA*AG$29</f>
        <v>0.57289312142622573</v>
      </c>
      <c r="AH2689" s="133"/>
      <c r="AI2689" s="155"/>
      <c r="AJ2689" s="138">
        <f>F_GAMMA*AJ$29</f>
        <v>0.53590819116049981</v>
      </c>
      <c r="AK2689" s="133"/>
      <c r="AL2689" s="155"/>
      <c r="AM2689" s="138">
        <f>F_GAMMA*AM$29</f>
        <v>0.49048815926850342</v>
      </c>
      <c r="AN2689" s="133"/>
      <c r="AO2689" s="155"/>
      <c r="AP2689" s="138">
        <f>F_GAMMA*AP$29</f>
        <v>0.59352979016280105</v>
      </c>
      <c r="AQ2689" s="133"/>
      <c r="AR2689" s="155"/>
      <c r="AS2689" s="138">
        <f>F_GAMMA*AS$29</f>
        <v>0.39097221161068291</v>
      </c>
      <c r="AT2689" s="133"/>
      <c r="AU2689" s="155"/>
    </row>
    <row r="2690" spans="13:47" x14ac:dyDescent="0.25">
      <c r="M2690" s="27"/>
      <c r="N2690" s="27"/>
      <c r="O2690" s="2" t="s">
        <v>193</v>
      </c>
      <c r="P2690" s="134"/>
      <c r="Q2690" s="2"/>
      <c r="R2690" s="181">
        <f>IF(R2685&lt;R2689,R2687,R2688)</f>
        <v>2.0920753176106612</v>
      </c>
      <c r="S2690" s="133"/>
      <c r="T2690" s="147"/>
      <c r="U2690" s="138">
        <f>IF(U2685&lt;U2689,U2687,U2688)</f>
        <v>13.764808235267246</v>
      </c>
      <c r="V2690" s="133"/>
      <c r="W2690" s="155"/>
      <c r="X2690" s="138">
        <f>IF(X2685&lt;X2689,X2687,X2688)</f>
        <v>45.483958261541822</v>
      </c>
      <c r="Y2690" s="133"/>
      <c r="Z2690" s="155"/>
      <c r="AA2690" s="138" t="e">
        <f>IF(AA2685&lt;AA2689,AA2687,AA2688)</f>
        <v>#NUM!</v>
      </c>
      <c r="AB2690" s="133"/>
      <c r="AC2690" s="155"/>
      <c r="AD2690" s="138">
        <f>IF(AD2685&lt;AD2689,AD2687,AD2688)</f>
        <v>81.950343294094722</v>
      </c>
      <c r="AE2690" s="133"/>
      <c r="AF2690" s="155"/>
      <c r="AG2690" s="138">
        <f>IF(AG2685&lt;AG2689,AG2687,AG2688)</f>
        <v>44.624882448183072</v>
      </c>
      <c r="AH2690" s="133"/>
      <c r="AI2690" s="155"/>
      <c r="AJ2690" s="138">
        <f>IF(AJ2685&lt;AJ2689,AJ2687,AJ2688)</f>
        <v>33.948649262692186</v>
      </c>
      <c r="AK2690" s="133"/>
      <c r="AL2690" s="155"/>
      <c r="AM2690" s="138">
        <f>IF(AM2685&lt;AM2689,AM2687,AM2688)</f>
        <v>30.794411880551891</v>
      </c>
      <c r="AN2690" s="133"/>
      <c r="AO2690" s="155"/>
      <c r="AP2690" s="138">
        <f>IF(AP2685&lt;AP2689,AP2687,AP2688)</f>
        <v>27.89818895090081</v>
      </c>
      <c r="AQ2690" s="133"/>
      <c r="AR2690" s="155"/>
      <c r="AS2690" s="138">
        <f>IF(AS2685&lt;AS2689,AS2687,AS2688)</f>
        <v>39.805269102563138</v>
      </c>
      <c r="AT2690" s="133"/>
      <c r="AU2690" s="155"/>
    </row>
    <row r="2691" spans="13:47" ht="13" x14ac:dyDescent="0.3">
      <c r="M2691" s="28"/>
      <c r="N2691" s="28"/>
      <c r="O2691" s="9" t="s">
        <v>194</v>
      </c>
      <c r="P2691" s="1"/>
      <c r="Q2691" s="1"/>
      <c r="R2691" s="135"/>
      <c r="S2691" s="132">
        <f>IF(R2684&lt;=0,W_max,ABS(R$23-R2690))</f>
        <v>9.2075317610661234E-2</v>
      </c>
      <c r="T2691" s="151">
        <f>R2679</f>
        <v>483.32354217783256</v>
      </c>
      <c r="U2691" s="135"/>
      <c r="V2691" s="132">
        <f>IF(U2684&lt;=0,W_max,ABS(U$23-U2690))</f>
        <v>8.7648082352672461</v>
      </c>
      <c r="W2691" s="151">
        <f>U2679</f>
        <v>3046.3321301249293</v>
      </c>
      <c r="X2691" s="135"/>
      <c r="Y2691" s="132">
        <f>IF(X2684&lt;=0,W_max,ABS(X$23-X2690))</f>
        <v>35.483958261541822</v>
      </c>
      <c r="Z2691" s="151">
        <f>X2679</f>
        <v>7533.941875571968</v>
      </c>
      <c r="AA2691" s="135"/>
      <c r="AB2691" s="132">
        <f>IF(AA2684&lt;=0,W_max,ABS(AA$23-AA2690))</f>
        <v>7174</v>
      </c>
      <c r="AC2691" s="151">
        <f>AA2679</f>
        <v>14674.195769506041</v>
      </c>
      <c r="AD2691" s="135"/>
      <c r="AE2691" s="132">
        <f>IF(AD2684&lt;=0,W_max,ABS(AD$23-AD2690))</f>
        <v>7174</v>
      </c>
      <c r="AF2691" s="151">
        <f>AD2679</f>
        <v>24133.649322496516</v>
      </c>
      <c r="AG2691" s="135"/>
      <c r="AH2691" s="132">
        <f>IF(AG2684&lt;=0,W_max,ABS(AG$23-AG2690))</f>
        <v>7174</v>
      </c>
      <c r="AI2691" s="151">
        <f>AG2679</f>
        <v>33849.301132020497</v>
      </c>
      <c r="AJ2691" s="135"/>
      <c r="AK2691" s="132">
        <f>IF(AJ2684&lt;=0,W_max,ABS(AJ$23-AJ2690))</f>
        <v>7174</v>
      </c>
      <c r="AL2691" s="151">
        <f>AJ2679</f>
        <v>42979.630475917002</v>
      </c>
      <c r="AM2691" s="135"/>
      <c r="AN2691" s="132">
        <f>IF(AM2684&lt;=0,W_max,ABS(AM$23-AM2690))</f>
        <v>7174</v>
      </c>
      <c r="AO2691" s="151">
        <f>AM2679</f>
        <v>50396.996862772059</v>
      </c>
      <c r="AP2691" s="135"/>
      <c r="AQ2691" s="132">
        <f>IF(AP2684&lt;=0,W_max,ABS(AP$23-AP2690))</f>
        <v>7174</v>
      </c>
      <c r="AR2691" s="151">
        <f>AP2679</f>
        <v>56226.334166786059</v>
      </c>
      <c r="AS2691" s="135"/>
      <c r="AT2691" s="132">
        <f>IF(AS2684&lt;=0,W_max,ABS(AS$23-AS2690))</f>
        <v>7174</v>
      </c>
      <c r="AU2691" s="151">
        <f>AS2679</f>
        <v>62729.941278909791</v>
      </c>
    </row>
    <row r="2692" spans="13:47" ht="13" x14ac:dyDescent="0.25">
      <c r="M2692" s="12"/>
      <c r="N2692" s="12"/>
      <c r="O2692" s="12"/>
      <c r="P2692" s="12"/>
      <c r="Q2692" s="12"/>
      <c r="R2692" s="182"/>
      <c r="S2692" s="22"/>
      <c r="T2692" s="152"/>
      <c r="U2692" s="157"/>
      <c r="V2692" s="1"/>
      <c r="W2692" s="147"/>
      <c r="X2692" s="157"/>
      <c r="Y2692" s="1"/>
      <c r="Z2692" s="147"/>
      <c r="AA2692" s="157"/>
      <c r="AB2692" s="1"/>
      <c r="AC2692" s="147"/>
      <c r="AD2692" s="157"/>
      <c r="AE2692" s="1"/>
      <c r="AF2692" s="147"/>
      <c r="AG2692" s="157"/>
      <c r="AH2692" s="1"/>
      <c r="AI2692" s="147"/>
      <c r="AJ2692" s="157"/>
      <c r="AK2692" s="1"/>
      <c r="AL2692" s="147"/>
      <c r="AM2692" s="157"/>
      <c r="AN2692" s="1"/>
      <c r="AO2692" s="147"/>
      <c r="AP2692" s="157"/>
      <c r="AQ2692" s="1"/>
      <c r="AR2692" s="147"/>
      <c r="AS2692" s="157"/>
      <c r="AT2692" s="1"/>
      <c r="AU2692" s="147"/>
    </row>
    <row r="2693" spans="13:47" ht="14" x14ac:dyDescent="0.3">
      <c r="M2693" s="23"/>
      <c r="N2693" s="23"/>
      <c r="O2693" s="23" t="s">
        <v>238</v>
      </c>
      <c r="P2693" s="20"/>
      <c r="Q2693" s="20"/>
      <c r="R2693" s="18">
        <f>R2679*1.02</f>
        <v>492.99001302138925</v>
      </c>
      <c r="S2693" s="128" t="s">
        <v>185</v>
      </c>
      <c r="T2693" s="153" t="s">
        <v>186</v>
      </c>
      <c r="U2693" s="143">
        <f>U2679*1.01</f>
        <v>3076.7954514261787</v>
      </c>
      <c r="V2693" s="128" t="s">
        <v>185</v>
      </c>
      <c r="W2693" s="153" t="s">
        <v>186</v>
      </c>
      <c r="X2693" s="143">
        <f>X2679*1.01</f>
        <v>7609.2812943276876</v>
      </c>
      <c r="Y2693" s="128" t="s">
        <v>185</v>
      </c>
      <c r="Z2693" s="153" t="s">
        <v>186</v>
      </c>
      <c r="AA2693" s="143">
        <f>AA2679*1.01</f>
        <v>14820.937727201101</v>
      </c>
      <c r="AB2693" s="128" t="s">
        <v>185</v>
      </c>
      <c r="AC2693" s="153" t="s">
        <v>186</v>
      </c>
      <c r="AD2693" s="143">
        <f>AD2679*1.01</f>
        <v>24374.98581572148</v>
      </c>
      <c r="AE2693" s="128" t="s">
        <v>185</v>
      </c>
      <c r="AF2693" s="153" t="s">
        <v>186</v>
      </c>
      <c r="AG2693" s="143">
        <f>AG2679*1.01</f>
        <v>34187.794143340703</v>
      </c>
      <c r="AH2693" s="128" t="s">
        <v>185</v>
      </c>
      <c r="AI2693" s="153" t="s">
        <v>186</v>
      </c>
      <c r="AJ2693" s="143">
        <f>AJ2679*1.01</f>
        <v>43409.426780676171</v>
      </c>
      <c r="AK2693" s="128" t="s">
        <v>185</v>
      </c>
      <c r="AL2693" s="153" t="s">
        <v>186</v>
      </c>
      <c r="AM2693" s="143">
        <f>AM2679*1.01</f>
        <v>50900.966831399783</v>
      </c>
      <c r="AN2693" s="128" t="s">
        <v>185</v>
      </c>
      <c r="AO2693" s="153" t="s">
        <v>186</v>
      </c>
      <c r="AP2693" s="143">
        <f>AP2679*1.01</f>
        <v>56788.597508453917</v>
      </c>
      <c r="AQ2693" s="128" t="s">
        <v>185</v>
      </c>
      <c r="AR2693" s="153" t="s">
        <v>186</v>
      </c>
      <c r="AS2693" s="143">
        <f>AS2679*1.01</f>
        <v>63357.240691698891</v>
      </c>
      <c r="AT2693" s="128" t="s">
        <v>185</v>
      </c>
      <c r="AU2693" s="153" t="s">
        <v>186</v>
      </c>
    </row>
    <row r="2694" spans="13:47" ht="14" x14ac:dyDescent="0.3">
      <c r="M2694" s="12"/>
      <c r="N2694" s="12"/>
      <c r="O2694" s="20"/>
      <c r="P2694" s="20"/>
      <c r="Q2694" s="23"/>
      <c r="R2694" s="139"/>
      <c r="S2694" s="130" t="s">
        <v>228</v>
      </c>
      <c r="T2694" s="154" t="s">
        <v>187</v>
      </c>
      <c r="U2694" s="144"/>
      <c r="V2694" s="130" t="s">
        <v>228</v>
      </c>
      <c r="W2694" s="154" t="s">
        <v>187</v>
      </c>
      <c r="X2694" s="144"/>
      <c r="Y2694" s="130" t="s">
        <v>228</v>
      </c>
      <c r="Z2694" s="154" t="s">
        <v>187</v>
      </c>
      <c r="AA2694" s="144"/>
      <c r="AB2694" s="130" t="s">
        <v>228</v>
      </c>
      <c r="AC2694" s="154" t="s">
        <v>187</v>
      </c>
      <c r="AD2694" s="144"/>
      <c r="AE2694" s="130" t="s">
        <v>228</v>
      </c>
      <c r="AF2694" s="154" t="s">
        <v>187</v>
      </c>
      <c r="AG2694" s="144"/>
      <c r="AH2694" s="130" t="s">
        <v>228</v>
      </c>
      <c r="AI2694" s="154" t="s">
        <v>187</v>
      </c>
      <c r="AJ2694" s="144"/>
      <c r="AK2694" s="130" t="s">
        <v>228</v>
      </c>
      <c r="AL2694" s="154" t="s">
        <v>187</v>
      </c>
      <c r="AM2694" s="144"/>
      <c r="AN2694" s="130" t="s">
        <v>228</v>
      </c>
      <c r="AO2694" s="154" t="s">
        <v>187</v>
      </c>
      <c r="AP2694" s="144"/>
      <c r="AQ2694" s="130" t="s">
        <v>228</v>
      </c>
      <c r="AR2694" s="154" t="s">
        <v>187</v>
      </c>
      <c r="AS2694" s="144"/>
      <c r="AT2694" s="130" t="s">
        <v>228</v>
      </c>
      <c r="AU2694" s="154" t="s">
        <v>187</v>
      </c>
    </row>
    <row r="2695" spans="13:47" x14ac:dyDescent="0.25">
      <c r="M2695" s="20"/>
      <c r="N2695" s="20"/>
      <c r="O2695" s="7" t="s">
        <v>188</v>
      </c>
      <c r="P2695" s="7"/>
      <c r="Q2695" s="7"/>
      <c r="R2695" s="181">
        <f>P_1_minW-(R2693^2*R_up)+dpup_minQ</f>
        <v>100.425871997754</v>
      </c>
      <c r="S2695" s="132"/>
      <c r="T2695" s="145"/>
      <c r="U2695" s="138">
        <f>P_1_minW-(U2693^2*R_up)+dpup_minQ</f>
        <v>96.747839922118303</v>
      </c>
      <c r="V2695" s="132"/>
      <c r="W2695" s="145"/>
      <c r="X2695" s="138">
        <f>P_1_minW-(X2693^2*R_up)+dpup_minQ</f>
        <v>77.434013114118301</v>
      </c>
      <c r="Y2695" s="132"/>
      <c r="Z2695" s="145"/>
      <c r="AA2695" s="138">
        <f>P_1_minW-(AA2693^2*R_up)+dpup_minQ</f>
        <v>12.930683922378165</v>
      </c>
      <c r="AB2695" s="132"/>
      <c r="AC2695" s="145"/>
      <c r="AD2695" s="138">
        <f>P_1_minW-(AD2693^2*R_up)+dpup_minQ</f>
        <v>-136.3975443036357</v>
      </c>
      <c r="AE2695" s="132"/>
      <c r="AF2695" s="145"/>
      <c r="AG2695" s="138">
        <f>P_1_minW-(AG2693^2*R_up)+dpup_minQ</f>
        <v>-365.55214862246066</v>
      </c>
      <c r="AH2695" s="132"/>
      <c r="AI2695" s="145"/>
      <c r="AJ2695" s="138">
        <f>P_1_minW-(AJ2693^2*R_up)+dpup_minQ</f>
        <v>-650.89537820352473</v>
      </c>
      <c r="AK2695" s="132"/>
      <c r="AL2695" s="145"/>
      <c r="AM2695" s="138">
        <f>P_1_minW-(AM2693^2*R_up)+dpup_minQ</f>
        <v>-932.6326148268148</v>
      </c>
      <c r="AN2695" s="132"/>
      <c r="AO2695" s="145"/>
      <c r="AP2695" s="138">
        <f>P_1_minW-(AP2693^2*R_up)+dpup_minQ</f>
        <v>-1185.4621271767453</v>
      </c>
      <c r="AQ2695" s="132"/>
      <c r="AR2695" s="145"/>
      <c r="AS2695" s="138">
        <f>P_1_minW-(AS2693^2*R_up)+dpup_minQ</f>
        <v>-1500.1630310117944</v>
      </c>
      <c r="AT2695" s="132"/>
      <c r="AU2695" s="145"/>
    </row>
    <row r="2696" spans="13:47" x14ac:dyDescent="0.25">
      <c r="M2696" s="20"/>
      <c r="N2696" s="20"/>
      <c r="O2696" s="7" t="s">
        <v>189</v>
      </c>
      <c r="P2696" s="1"/>
      <c r="Q2696" s="7"/>
      <c r="R2696" s="181">
        <f>P_2_minW+(R2693^2*R_dn)-dpdn_minQ</f>
        <v>50</v>
      </c>
      <c r="S2696" s="132"/>
      <c r="T2696" s="146"/>
      <c r="U2696" s="138">
        <f>P_2_minW+(U2693^2*R_dn)-dpdn_minQ</f>
        <v>50</v>
      </c>
      <c r="V2696" s="132"/>
      <c r="W2696" s="146"/>
      <c r="X2696" s="138">
        <f>P_2_minW+(X2693^2*R_dn)-dpdn_minQ</f>
        <v>50</v>
      </c>
      <c r="Y2696" s="132"/>
      <c r="Z2696" s="146"/>
      <c r="AA2696" s="138">
        <f>P_2_minW+(AA2693^2*R_dn)-dpdn_minQ</f>
        <v>50</v>
      </c>
      <c r="AB2696" s="132"/>
      <c r="AC2696" s="146"/>
      <c r="AD2696" s="138">
        <f>P_2_minW+(AD2693^2*R_dn)-dpdn_minQ</f>
        <v>50</v>
      </c>
      <c r="AE2696" s="132"/>
      <c r="AF2696" s="146"/>
      <c r="AG2696" s="138">
        <f>P_2_minW+(AG2693^2*R_dn)-dpdn_minQ</f>
        <v>50</v>
      </c>
      <c r="AH2696" s="132"/>
      <c r="AI2696" s="146"/>
      <c r="AJ2696" s="138">
        <f>P_2_minW+(AJ2693^2*R_dn)-dpdn_minQ</f>
        <v>50</v>
      </c>
      <c r="AK2696" s="132"/>
      <c r="AL2696" s="146"/>
      <c r="AM2696" s="138">
        <f>P_2_minW+(AM2693^2*R_dn)-dpdn_minQ</f>
        <v>50</v>
      </c>
      <c r="AN2696" s="132"/>
      <c r="AO2696" s="146"/>
      <c r="AP2696" s="138">
        <f>P_2_minW+(AP2693^2*R_dn)-dpdn_minQ</f>
        <v>50</v>
      </c>
      <c r="AQ2696" s="132"/>
      <c r="AR2696" s="146"/>
      <c r="AS2696" s="138">
        <f>P_2_minW+(AS2693^2*R_dn)-dpdn_minQ</f>
        <v>50</v>
      </c>
      <c r="AT2696" s="132"/>
      <c r="AU2696" s="146"/>
    </row>
    <row r="2697" spans="13:47" x14ac:dyDescent="0.25">
      <c r="M2697" s="20"/>
      <c r="N2697" s="20"/>
      <c r="O2697" s="7" t="s">
        <v>234</v>
      </c>
      <c r="P2697" s="1"/>
      <c r="Q2697" s="7"/>
      <c r="R2697" s="179">
        <f>'Valve Sizing'!G$8*R2695/P_1_maxW</f>
        <v>0.48443652679269233</v>
      </c>
      <c r="S2697" s="132"/>
      <c r="T2697" s="146"/>
      <c r="U2697" s="143">
        <f>'Valve Sizing'!$G$8*U2695/P_1_maxW</f>
        <v>0.46669435489307542</v>
      </c>
      <c r="V2697" s="132"/>
      <c r="W2697" s="146"/>
      <c r="X2697" s="143">
        <f>'Valve Sizing'!$G$8*X2695/P_1_maxW</f>
        <v>0.37352789298620381</v>
      </c>
      <c r="Y2697" s="132"/>
      <c r="Z2697" s="146"/>
      <c r="AA2697" s="143">
        <f>'Valve Sizing'!$G$8*AA2695/P_1_maxW</f>
        <v>6.237531707517642E-2</v>
      </c>
      <c r="AB2697" s="132"/>
      <c r="AC2697" s="146"/>
      <c r="AD2697" s="143">
        <f>'Valve Sizing'!$G$8*AD2695/P_1_maxW</f>
        <v>-0.65795746963475144</v>
      </c>
      <c r="AE2697" s="132"/>
      <c r="AF2697" s="146"/>
      <c r="AG2697" s="143">
        <f>'Valve Sizing'!$G$8*AG2695/P_1_maxW</f>
        <v>-1.7633584824061217</v>
      </c>
      <c r="AH2697" s="132"/>
      <c r="AI2697" s="146"/>
      <c r="AJ2697" s="143">
        <f>'Valve Sizing'!$G$8*AJ2695/P_1_maxW</f>
        <v>-3.1398034196743985</v>
      </c>
      <c r="AK2697" s="132"/>
      <c r="AL2697" s="146"/>
      <c r="AM2697" s="143">
        <f>'Valve Sizing'!$G$8*AM2695/P_1_maxW</f>
        <v>-4.4988536889218489</v>
      </c>
      <c r="AN2697" s="132"/>
      <c r="AO2697" s="146"/>
      <c r="AP2697" s="143">
        <f>'Valve Sizing'!$G$8*AP2695/P_1_maxW</f>
        <v>-5.7184582429776967</v>
      </c>
      <c r="AQ2697" s="132"/>
      <c r="AR2697" s="146"/>
      <c r="AS2697" s="143">
        <f>'Valve Sizing'!$G$8*AS2695/P_1_maxW</f>
        <v>-7.2365193740354572</v>
      </c>
      <c r="AT2697" s="132"/>
      <c r="AU2697" s="146"/>
    </row>
    <row r="2698" spans="13:47" x14ac:dyDescent="0.25">
      <c r="M2698" s="20"/>
      <c r="N2698" s="20"/>
      <c r="O2698" s="7" t="s">
        <v>190</v>
      </c>
      <c r="P2698" s="1"/>
      <c r="Q2698" s="7"/>
      <c r="R2698" s="181">
        <f>R2695-R2696</f>
        <v>50.425871997754001</v>
      </c>
      <c r="S2698" s="132"/>
      <c r="T2698" s="146"/>
      <c r="U2698" s="138">
        <f>U2695-U2696</f>
        <v>46.747839922118303</v>
      </c>
      <c r="V2698" s="132"/>
      <c r="W2698" s="146"/>
      <c r="X2698" s="138">
        <f>X2695-X2696</f>
        <v>27.434013114118301</v>
      </c>
      <c r="Y2698" s="132"/>
      <c r="Z2698" s="146"/>
      <c r="AA2698" s="138">
        <f>AA2695-AA2696</f>
        <v>-37.069316077621835</v>
      </c>
      <c r="AB2698" s="132"/>
      <c r="AC2698" s="146"/>
      <c r="AD2698" s="138">
        <f>AD2695-AD2696</f>
        <v>-186.3975443036357</v>
      </c>
      <c r="AE2698" s="132"/>
      <c r="AF2698" s="146"/>
      <c r="AG2698" s="138">
        <f>AG2695-AG2696</f>
        <v>-415.55214862246066</v>
      </c>
      <c r="AH2698" s="132"/>
      <c r="AI2698" s="146"/>
      <c r="AJ2698" s="138">
        <f>AJ2695-AJ2696</f>
        <v>-700.89537820352473</v>
      </c>
      <c r="AK2698" s="132"/>
      <c r="AL2698" s="146"/>
      <c r="AM2698" s="138">
        <f>AM2695-AM2696</f>
        <v>-982.6326148268148</v>
      </c>
      <c r="AN2698" s="132"/>
      <c r="AO2698" s="146"/>
      <c r="AP2698" s="138">
        <f>AP2695-AP2696</f>
        <v>-1235.4621271767453</v>
      </c>
      <c r="AQ2698" s="132"/>
      <c r="AR2698" s="146"/>
      <c r="AS2698" s="138">
        <f>AS2695-AS2696</f>
        <v>-1550.1630310117944</v>
      </c>
      <c r="AT2698" s="132"/>
      <c r="AU2698" s="146"/>
    </row>
    <row r="2699" spans="13:47" ht="14.5" x14ac:dyDescent="0.35">
      <c r="M2699" s="27"/>
      <c r="N2699" s="27"/>
      <c r="O2699" s="2" t="s">
        <v>191</v>
      </c>
      <c r="P2699" s="10"/>
      <c r="Q2699" s="2"/>
      <c r="R2699" s="181">
        <f>R2698/R2695</f>
        <v>0.50212033009662849</v>
      </c>
      <c r="S2699" s="132"/>
      <c r="T2699" s="146"/>
      <c r="U2699" s="138">
        <f>U2698/U2695</f>
        <v>0.48319259592514069</v>
      </c>
      <c r="V2699" s="132"/>
      <c r="W2699" s="146"/>
      <c r="X2699" s="138">
        <f>X2698/X2695</f>
        <v>0.35428892305616977</v>
      </c>
      <c r="Y2699" s="132"/>
      <c r="Z2699" s="146"/>
      <c r="AA2699" s="138">
        <f>AA2698/AA2695</f>
        <v>-2.866771494852546</v>
      </c>
      <c r="AB2699" s="132"/>
      <c r="AC2699" s="146"/>
      <c r="AD2699" s="138">
        <f>AD2698/AD2695</f>
        <v>1.3665755146492564</v>
      </c>
      <c r="AE2699" s="132"/>
      <c r="AF2699" s="146"/>
      <c r="AG2699" s="138">
        <f>AG2698/AG2695</f>
        <v>1.1367793902687182</v>
      </c>
      <c r="AH2699" s="132"/>
      <c r="AI2699" s="146"/>
      <c r="AJ2699" s="138">
        <f>AJ2698/AJ2695</f>
        <v>1.0768172607677755</v>
      </c>
      <c r="AK2699" s="132"/>
      <c r="AL2699" s="146"/>
      <c r="AM2699" s="138">
        <f>AM2698/AM2695</f>
        <v>1.0536116786021736</v>
      </c>
      <c r="AN2699" s="132"/>
      <c r="AO2699" s="146"/>
      <c r="AP2699" s="138">
        <f>AP2698/AP2695</f>
        <v>1.0421776443580515</v>
      </c>
      <c r="AQ2699" s="132"/>
      <c r="AR2699" s="146"/>
      <c r="AS2699" s="138">
        <f>AS2698/AS2695</f>
        <v>1.033329710815682</v>
      </c>
      <c r="AT2699" s="132"/>
      <c r="AU2699" s="146"/>
    </row>
    <row r="2700" spans="13:47" x14ac:dyDescent="0.25">
      <c r="M2700" s="27"/>
      <c r="N2700" s="27"/>
      <c r="O2700" s="2" t="s">
        <v>26</v>
      </c>
      <c r="P2700" s="7">
        <v>12</v>
      </c>
      <c r="Q2700" s="2"/>
      <c r="R2700" s="181">
        <f>1-R2699/(3*F_GAMMA*R$29)</f>
        <v>0.73848997822421092</v>
      </c>
      <c r="S2700" s="133"/>
      <c r="T2700" s="146"/>
      <c r="U2700" s="138">
        <f>1-U2699/(3*F_GAMMA*U$29)</f>
        <v>0.74840316663283768</v>
      </c>
      <c r="V2700" s="133"/>
      <c r="W2700" s="146"/>
      <c r="X2700" s="138">
        <f>1-X2699/(3*F_GAMMA*X$29)</f>
        <v>0.81275544507335584</v>
      </c>
      <c r="Y2700" s="133"/>
      <c r="Z2700" s="146"/>
      <c r="AA2700" s="138">
        <f>1-AA2699/(3*F_GAMMA*AA$29)</f>
        <v>2.5358861619282784</v>
      </c>
      <c r="AB2700" s="133"/>
      <c r="AC2700" s="146"/>
      <c r="AD2700" s="138">
        <f>1-AD2699/(3*F_GAMMA*AD$29)</f>
        <v>0.24777683807158057</v>
      </c>
      <c r="AE2700" s="133"/>
      <c r="AF2700" s="146"/>
      <c r="AG2700" s="138">
        <f>1-AG2699/(3*F_GAMMA*AG$29)</f>
        <v>0.33857389929981507</v>
      </c>
      <c r="AH2700" s="133"/>
      <c r="AI2700" s="146"/>
      <c r="AJ2700" s="138">
        <f>1-AJ2699/(3*F_GAMMA*AJ$29)</f>
        <v>0.33022280151136418</v>
      </c>
      <c r="AK2700" s="133"/>
      <c r="AL2700" s="146"/>
      <c r="AM2700" s="138">
        <f>1-AM2699/(3*F_GAMMA*AM$29)</f>
        <v>0.28397070096215127</v>
      </c>
      <c r="AN2700" s="133"/>
      <c r="AO2700" s="146"/>
      <c r="AP2700" s="138">
        <f>1-AP2699/(3*F_GAMMA*AP$29)</f>
        <v>0.41470073806394248</v>
      </c>
      <c r="AQ2700" s="133"/>
      <c r="AR2700" s="146"/>
      <c r="AS2700" s="138">
        <f>1-AS2699/(3*F_GAMMA*AS$29)</f>
        <v>0.11900839315520007</v>
      </c>
      <c r="AT2700" s="133"/>
      <c r="AU2700" s="146"/>
    </row>
    <row r="2701" spans="13:47" x14ac:dyDescent="0.25">
      <c r="M2701" s="27"/>
      <c r="N2701" s="27"/>
      <c r="O2701" s="2" t="s">
        <v>71</v>
      </c>
      <c r="P2701" s="85">
        <v>5</v>
      </c>
      <c r="Q2701" s="2"/>
      <c r="R2701" s="179">
        <f>R2693/((N_6*R$27*R2700)*SQRT(R2699*R2695*R2697))</f>
        <v>2.1340083558699261</v>
      </c>
      <c r="S2701" s="133"/>
      <c r="T2701" s="146"/>
      <c r="U2701" s="143">
        <f>U2693/((N_6*U$27*U2700)*SQRT(U2699*U2695*U2697))</f>
        <v>13.91501482099298</v>
      </c>
      <c r="V2701" s="133"/>
      <c r="W2701" s="146"/>
      <c r="X2701" s="143">
        <f>X2693/((N_6*X$27*X2700)*SQRT(X2699*X2695*X2697))</f>
        <v>46.340071298739424</v>
      </c>
      <c r="Y2701" s="133"/>
      <c r="Z2701" s="146"/>
      <c r="AA2701" s="143" t="e">
        <f>AA2693/((N_6*AA$27*AA2700)*SQRT(AA2699*AA2695*AA2697))</f>
        <v>#NUM!</v>
      </c>
      <c r="AB2701" s="133"/>
      <c r="AC2701" s="146"/>
      <c r="AD2701" s="143">
        <f>AD2693/((N_6*AD$27*AD2700)*SQRT(AD2699*AD2695*AD2697))</f>
        <v>143.2448640553728</v>
      </c>
      <c r="AE2701" s="133"/>
      <c r="AF2701" s="146"/>
      <c r="AG2701" s="143">
        <f>AG2693/((N_6*AG$27*AG2700)*SQRT(AG2699*AG2695*AG2697))</f>
        <v>61.449683978476813</v>
      </c>
      <c r="AH2701" s="133"/>
      <c r="AI2701" s="146"/>
      <c r="AJ2701" s="143">
        <f>AJ2693/((N_6*AJ$27*AJ2700)*SQRT(AJ2699*AJ2695*AJ2697))</f>
        <v>47.746755168172534</v>
      </c>
      <c r="AK2701" s="133"/>
      <c r="AL2701" s="146"/>
      <c r="AM2701" s="143">
        <f>AM2693/((N_6*AM$27*AM2700)*SQRT(AM2699*AM2695*AM2697))</f>
        <v>48.756768757112987</v>
      </c>
      <c r="AN2701" s="133"/>
      <c r="AO2701" s="146"/>
      <c r="AP2701" s="143">
        <f>AP2693/((N_6*AP$27*AP2700)*SQRT(AP2699*AP2695*AP2697))</f>
        <v>33.469960685848704</v>
      </c>
      <c r="AQ2701" s="133"/>
      <c r="AR2701" s="146"/>
      <c r="AS2701" s="143">
        <f>AS2693/((N_6*AS$27*AS2700)*SQRT(AS2699*AS2695*AS2697))</f>
        <v>135.68617270787041</v>
      </c>
      <c r="AT2701" s="133"/>
      <c r="AU2701" s="146"/>
    </row>
    <row r="2702" spans="13:47" x14ac:dyDescent="0.25">
      <c r="M2702" s="27"/>
      <c r="N2702" s="27"/>
      <c r="O2702" s="2" t="s">
        <v>73</v>
      </c>
      <c r="P2702" s="85">
        <v>5</v>
      </c>
      <c r="Q2702" s="2"/>
      <c r="R2702" s="179">
        <f>R2693/((N_6*R$27*0.667)*SQRT(R2703*R2695*R2697))</f>
        <v>2.0927612417465737</v>
      </c>
      <c r="S2702" s="133"/>
      <c r="T2702" s="155"/>
      <c r="U2702" s="143">
        <f>U2693/((N_6*U$27*0.667)*SQRT(U2703*U2695*U2697))</f>
        <v>13.564589907498219</v>
      </c>
      <c r="V2702" s="133"/>
      <c r="W2702" s="155"/>
      <c r="X2702" s="143">
        <f>X2693/((N_6*X$27*0.667)*SQRT(X2703*X2695*X2697))</f>
        <v>42.321005497697854</v>
      </c>
      <c r="Y2702" s="133"/>
      <c r="Z2702" s="155"/>
      <c r="AA2702" s="143">
        <f>AA2693/((N_6*AA$27*0.667)*SQRT(AA2703*AA2695*AA2697))</f>
        <v>499.85729908672795</v>
      </c>
      <c r="AB2702" s="133"/>
      <c r="AC2702" s="155"/>
      <c r="AD2702" s="143">
        <f>AD2693/((N_6*AD$27*0.667)*SQRT(AD2703*AD2695*AD2697))</f>
        <v>79.937011983298731</v>
      </c>
      <c r="AE2702" s="133"/>
      <c r="AF2702" s="155"/>
      <c r="AG2702" s="143">
        <f>AG2693/((N_6*AG$27*0.667)*SQRT(AG2703*AG2695*AG2697))</f>
        <v>43.938839958548513</v>
      </c>
      <c r="AH2702" s="133"/>
      <c r="AI2702" s="155"/>
      <c r="AJ2702" s="143">
        <f>AJ2693/((N_6*AJ$27*0.667)*SQRT(AJ2703*AJ2695*AJ2697))</f>
        <v>33.508184098706316</v>
      </c>
      <c r="AK2702" s="133"/>
      <c r="AL2702" s="155"/>
      <c r="AM2702" s="143">
        <f>AM2693/((N_6*AM$27*0.667)*SQRT(AM2703*AM2695*AM2697))</f>
        <v>30.423462501003275</v>
      </c>
      <c r="AN2702" s="133"/>
      <c r="AO2702" s="155"/>
      <c r="AP2702" s="143">
        <f>AP2693/((N_6*AP$27*0.667)*SQRT(AP2703*AP2695*AP2697))</f>
        <v>27.574890225632323</v>
      </c>
      <c r="AQ2702" s="133"/>
      <c r="AR2702" s="155"/>
      <c r="AS2702" s="143">
        <f>AS2693/((N_6*AS$27*0.667)*SQRT(AS2703*AS2695*AS2697))</f>
        <v>39.358076256817988</v>
      </c>
      <c r="AT2702" s="133"/>
      <c r="AU2702" s="155"/>
    </row>
    <row r="2703" spans="13:47" ht="15.5" x14ac:dyDescent="0.4">
      <c r="M2703" s="27"/>
      <c r="N2703" s="27"/>
      <c r="O2703" s="2" t="s">
        <v>192</v>
      </c>
      <c r="P2703" s="85">
        <v>10</v>
      </c>
      <c r="Q2703" s="2"/>
      <c r="R2703" s="181">
        <f>F_GAMMA*R$29</f>
        <v>0.64002688015162901</v>
      </c>
      <c r="S2703" s="133"/>
      <c r="T2703" s="155"/>
      <c r="U2703" s="138">
        <f>F_GAMMA*U$29</f>
        <v>0.64016782916606918</v>
      </c>
      <c r="V2703" s="133"/>
      <c r="W2703" s="155"/>
      <c r="X2703" s="138">
        <f>F_GAMMA*X$29</f>
        <v>0.6307062319203669</v>
      </c>
      <c r="Y2703" s="133"/>
      <c r="Z2703" s="155"/>
      <c r="AA2703" s="138">
        <f>F_GAMMA*AA$29</f>
        <v>0.62217534213893466</v>
      </c>
      <c r="AB2703" s="133"/>
      <c r="AC2703" s="155"/>
      <c r="AD2703" s="138">
        <f>F_GAMMA*AD$29</f>
        <v>0.60557184969146072</v>
      </c>
      <c r="AE2703" s="133"/>
      <c r="AF2703" s="155"/>
      <c r="AG2703" s="138">
        <f>F_GAMMA*AG$29</f>
        <v>0.57289312142622573</v>
      </c>
      <c r="AH2703" s="133"/>
      <c r="AI2703" s="155"/>
      <c r="AJ2703" s="138">
        <f>F_GAMMA*AJ$29</f>
        <v>0.53590819116049981</v>
      </c>
      <c r="AK2703" s="133"/>
      <c r="AL2703" s="155"/>
      <c r="AM2703" s="138">
        <f>F_GAMMA*AM$29</f>
        <v>0.49048815926850342</v>
      </c>
      <c r="AN2703" s="133"/>
      <c r="AO2703" s="155"/>
      <c r="AP2703" s="138">
        <f>F_GAMMA*AP$29</f>
        <v>0.59352979016280105</v>
      </c>
      <c r="AQ2703" s="133"/>
      <c r="AR2703" s="155"/>
      <c r="AS2703" s="138">
        <f>F_GAMMA*AS$29</f>
        <v>0.39097221161068291</v>
      </c>
      <c r="AT2703" s="133"/>
      <c r="AU2703" s="155"/>
    </row>
    <row r="2704" spans="13:47" x14ac:dyDescent="0.25">
      <c r="M2704" s="27"/>
      <c r="N2704" s="27"/>
      <c r="O2704" s="2" t="s">
        <v>193</v>
      </c>
      <c r="P2704" s="134"/>
      <c r="Q2704" s="2"/>
      <c r="R2704" s="181">
        <f>IF(R2699&lt;R2703,R2701,R2702)</f>
        <v>2.1340083558699261</v>
      </c>
      <c r="S2704" s="133"/>
      <c r="T2704" s="155"/>
      <c r="U2704" s="138">
        <f>IF(U2699&lt;U2703,U2701,U2702)</f>
        <v>13.91501482099298</v>
      </c>
      <c r="V2704" s="133"/>
      <c r="W2704" s="155"/>
      <c r="X2704" s="138">
        <f>IF(X2699&lt;X2703,X2701,X2702)</f>
        <v>46.340071298739424</v>
      </c>
      <c r="Y2704" s="133"/>
      <c r="Z2704" s="155"/>
      <c r="AA2704" s="138" t="e">
        <f>IF(AA2699&lt;AA2703,AA2701,AA2702)</f>
        <v>#NUM!</v>
      </c>
      <c r="AB2704" s="133"/>
      <c r="AC2704" s="155"/>
      <c r="AD2704" s="138">
        <f>IF(AD2699&lt;AD2703,AD2701,AD2702)</f>
        <v>79.937011983298731</v>
      </c>
      <c r="AE2704" s="133"/>
      <c r="AF2704" s="155"/>
      <c r="AG2704" s="138">
        <f>IF(AG2699&lt;AG2703,AG2701,AG2702)</f>
        <v>43.938839958548513</v>
      </c>
      <c r="AH2704" s="133"/>
      <c r="AI2704" s="155"/>
      <c r="AJ2704" s="138">
        <f>IF(AJ2699&lt;AJ2703,AJ2701,AJ2702)</f>
        <v>33.508184098706316</v>
      </c>
      <c r="AK2704" s="133"/>
      <c r="AL2704" s="155"/>
      <c r="AM2704" s="138">
        <f>IF(AM2699&lt;AM2703,AM2701,AM2702)</f>
        <v>30.423462501003275</v>
      </c>
      <c r="AN2704" s="133"/>
      <c r="AO2704" s="155"/>
      <c r="AP2704" s="138">
        <f>IF(AP2699&lt;AP2703,AP2701,AP2702)</f>
        <v>27.574890225632323</v>
      </c>
      <c r="AQ2704" s="133"/>
      <c r="AR2704" s="155"/>
      <c r="AS2704" s="138">
        <f>IF(AS2699&lt;AS2703,AS2701,AS2702)</f>
        <v>39.358076256817988</v>
      </c>
      <c r="AT2704" s="133"/>
      <c r="AU2704" s="155"/>
    </row>
    <row r="2705" spans="13:47" ht="13" x14ac:dyDescent="0.3">
      <c r="M2705" s="28"/>
      <c r="N2705" s="28"/>
      <c r="O2705" s="9" t="s">
        <v>194</v>
      </c>
      <c r="P2705" s="1"/>
      <c r="Q2705" s="1"/>
      <c r="R2705" s="135"/>
      <c r="S2705" s="132">
        <f>IF(R2698&lt;=0,W_max,ABS(R$23-R2704))</f>
        <v>0.1340083558699261</v>
      </c>
      <c r="T2705" s="151">
        <f>R2693</f>
        <v>492.99001302138925</v>
      </c>
      <c r="U2705" s="135"/>
      <c r="V2705" s="132">
        <f>IF(U2698&lt;=0,W_max,ABS(U$23-U2704))</f>
        <v>8.9150148209929796</v>
      </c>
      <c r="W2705" s="151">
        <f>U2693</f>
        <v>3076.7954514261787</v>
      </c>
      <c r="X2705" s="135"/>
      <c r="Y2705" s="132">
        <f>IF(X2698&lt;=0,W_max,ABS(X$23-X2704))</f>
        <v>36.340071298739424</v>
      </c>
      <c r="Z2705" s="151">
        <f>X2693</f>
        <v>7609.2812943276876</v>
      </c>
      <c r="AA2705" s="135"/>
      <c r="AB2705" s="132">
        <f>IF(AA2698&lt;=0,W_max,ABS(AA$23-AA2704))</f>
        <v>7174</v>
      </c>
      <c r="AC2705" s="151">
        <f>AA2693</f>
        <v>14820.937727201101</v>
      </c>
      <c r="AD2705" s="135"/>
      <c r="AE2705" s="132">
        <f>IF(AD2698&lt;=0,W_max,ABS(AD$23-AD2704))</f>
        <v>7174</v>
      </c>
      <c r="AF2705" s="151">
        <f>AD2693</f>
        <v>24374.98581572148</v>
      </c>
      <c r="AG2705" s="135"/>
      <c r="AH2705" s="132">
        <f>IF(AG2698&lt;=0,W_max,ABS(AG$23-AG2704))</f>
        <v>7174</v>
      </c>
      <c r="AI2705" s="151">
        <f>AG2693</f>
        <v>34187.794143340703</v>
      </c>
      <c r="AJ2705" s="135"/>
      <c r="AK2705" s="132">
        <f>IF(AJ2698&lt;=0,W_max,ABS(AJ$23-AJ2704))</f>
        <v>7174</v>
      </c>
      <c r="AL2705" s="151">
        <f>AJ2693</f>
        <v>43409.426780676171</v>
      </c>
      <c r="AM2705" s="135"/>
      <c r="AN2705" s="132">
        <f>IF(AM2698&lt;=0,W_max,ABS(AM$23-AM2704))</f>
        <v>7174</v>
      </c>
      <c r="AO2705" s="151">
        <f>AM2693</f>
        <v>50900.966831399783</v>
      </c>
      <c r="AP2705" s="135"/>
      <c r="AQ2705" s="132">
        <f>IF(AP2698&lt;=0,W_max,ABS(AP$23-AP2704))</f>
        <v>7174</v>
      </c>
      <c r="AR2705" s="151">
        <f>AP2693</f>
        <v>56788.597508453917</v>
      </c>
      <c r="AS2705" s="135"/>
      <c r="AT2705" s="132">
        <f>IF(AS2698&lt;=0,W_max,ABS(AS$23-AS2704))</f>
        <v>7174</v>
      </c>
      <c r="AU2705" s="151">
        <f>AS2693</f>
        <v>63357.240691698891</v>
      </c>
    </row>
    <row r="2706" spans="13:47" ht="13" x14ac:dyDescent="0.25">
      <c r="M2706" s="12"/>
      <c r="N2706" s="12"/>
      <c r="O2706" s="2"/>
      <c r="P2706" s="85"/>
      <c r="Q2706" s="2"/>
      <c r="R2706" s="18"/>
      <c r="S2706" s="150"/>
      <c r="T2706" s="152"/>
      <c r="U2706" s="157"/>
      <c r="V2706" s="1"/>
      <c r="W2706" s="147"/>
      <c r="X2706" s="157"/>
      <c r="Y2706" s="1"/>
      <c r="Z2706" s="147"/>
      <c r="AA2706" s="157"/>
      <c r="AB2706" s="1"/>
      <c r="AC2706" s="147"/>
      <c r="AD2706" s="157"/>
      <c r="AE2706" s="1"/>
      <c r="AF2706" s="147"/>
      <c r="AG2706" s="157"/>
      <c r="AH2706" s="1"/>
      <c r="AI2706" s="147"/>
      <c r="AJ2706" s="157"/>
      <c r="AK2706" s="1"/>
      <c r="AL2706" s="147"/>
      <c r="AM2706" s="157"/>
      <c r="AN2706" s="1"/>
      <c r="AO2706" s="147"/>
      <c r="AP2706" s="157"/>
      <c r="AQ2706" s="1"/>
      <c r="AR2706" s="147"/>
      <c r="AS2706" s="157"/>
      <c r="AT2706" s="1"/>
      <c r="AU2706" s="147"/>
    </row>
    <row r="2707" spans="13:47" ht="14" x14ac:dyDescent="0.3">
      <c r="M2707" s="23"/>
      <c r="N2707" s="23"/>
      <c r="O2707" s="23" t="s">
        <v>238</v>
      </c>
      <c r="P2707" s="20"/>
      <c r="Q2707" s="20"/>
      <c r="R2707" s="181">
        <f>R2693*1.02</f>
        <v>502.84981328181703</v>
      </c>
      <c r="S2707" s="128" t="s">
        <v>185</v>
      </c>
      <c r="T2707" s="153" t="s">
        <v>186</v>
      </c>
      <c r="U2707" s="143">
        <f>U2693*1.01</f>
        <v>3107.5634059404406</v>
      </c>
      <c r="V2707" s="128" t="s">
        <v>185</v>
      </c>
      <c r="W2707" s="153" t="s">
        <v>186</v>
      </c>
      <c r="X2707" s="143">
        <f>X2693*1.01</f>
        <v>7685.3741072709645</v>
      </c>
      <c r="Y2707" s="128" t="s">
        <v>185</v>
      </c>
      <c r="Z2707" s="153" t="s">
        <v>186</v>
      </c>
      <c r="AA2707" s="143">
        <f>AA2693*1.01</f>
        <v>14969.147104473112</v>
      </c>
      <c r="AB2707" s="128" t="s">
        <v>185</v>
      </c>
      <c r="AC2707" s="153" t="s">
        <v>186</v>
      </c>
      <c r="AD2707" s="143">
        <f>AD2693*1.01</f>
        <v>24618.735673878695</v>
      </c>
      <c r="AE2707" s="128" t="s">
        <v>185</v>
      </c>
      <c r="AF2707" s="153" t="s">
        <v>186</v>
      </c>
      <c r="AG2707" s="143">
        <f>AG2693*1.01</f>
        <v>34529.672084774109</v>
      </c>
      <c r="AH2707" s="128" t="s">
        <v>185</v>
      </c>
      <c r="AI2707" s="153" t="s">
        <v>186</v>
      </c>
      <c r="AJ2707" s="143">
        <f>AJ2693*1.01</f>
        <v>43843.521048482929</v>
      </c>
      <c r="AK2707" s="128" t="s">
        <v>185</v>
      </c>
      <c r="AL2707" s="153" t="s">
        <v>186</v>
      </c>
      <c r="AM2707" s="143">
        <f>AM2693*1.01</f>
        <v>51409.976499713783</v>
      </c>
      <c r="AN2707" s="128" t="s">
        <v>185</v>
      </c>
      <c r="AO2707" s="153" t="s">
        <v>186</v>
      </c>
      <c r="AP2707" s="143">
        <f>AP2693*1.01</f>
        <v>57356.483483538454</v>
      </c>
      <c r="AQ2707" s="128" t="s">
        <v>185</v>
      </c>
      <c r="AR2707" s="153" t="s">
        <v>186</v>
      </c>
      <c r="AS2707" s="143">
        <f>AS2693*1.01</f>
        <v>63990.813098615879</v>
      </c>
      <c r="AT2707" s="128" t="s">
        <v>185</v>
      </c>
      <c r="AU2707" s="153" t="s">
        <v>186</v>
      </c>
    </row>
    <row r="2708" spans="13:47" ht="14" x14ac:dyDescent="0.3">
      <c r="M2708" s="12"/>
      <c r="N2708" s="12"/>
      <c r="O2708" s="20"/>
      <c r="P2708" s="20"/>
      <c r="Q2708" s="23"/>
      <c r="R2708" s="139"/>
      <c r="S2708" s="130" t="s">
        <v>228</v>
      </c>
      <c r="T2708" s="154" t="s">
        <v>187</v>
      </c>
      <c r="U2708" s="144"/>
      <c r="V2708" s="130" t="s">
        <v>228</v>
      </c>
      <c r="W2708" s="154" t="s">
        <v>187</v>
      </c>
      <c r="X2708" s="144"/>
      <c r="Y2708" s="130" t="s">
        <v>228</v>
      </c>
      <c r="Z2708" s="154" t="s">
        <v>187</v>
      </c>
      <c r="AA2708" s="144"/>
      <c r="AB2708" s="130" t="s">
        <v>228</v>
      </c>
      <c r="AC2708" s="154" t="s">
        <v>187</v>
      </c>
      <c r="AD2708" s="144"/>
      <c r="AE2708" s="130" t="s">
        <v>228</v>
      </c>
      <c r="AF2708" s="154" t="s">
        <v>187</v>
      </c>
      <c r="AG2708" s="144"/>
      <c r="AH2708" s="130" t="s">
        <v>228</v>
      </c>
      <c r="AI2708" s="154" t="s">
        <v>187</v>
      </c>
      <c r="AJ2708" s="144"/>
      <c r="AK2708" s="130" t="s">
        <v>228</v>
      </c>
      <c r="AL2708" s="154" t="s">
        <v>187</v>
      </c>
      <c r="AM2708" s="144"/>
      <c r="AN2708" s="130" t="s">
        <v>228</v>
      </c>
      <c r="AO2708" s="154" t="s">
        <v>187</v>
      </c>
      <c r="AP2708" s="144"/>
      <c r="AQ2708" s="130" t="s">
        <v>228</v>
      </c>
      <c r="AR2708" s="154" t="s">
        <v>187</v>
      </c>
      <c r="AS2708" s="144"/>
      <c r="AT2708" s="130" t="s">
        <v>228</v>
      </c>
      <c r="AU2708" s="154" t="s">
        <v>187</v>
      </c>
    </row>
    <row r="2709" spans="13:47" x14ac:dyDescent="0.25">
      <c r="M2709" s="20"/>
      <c r="N2709" s="20"/>
      <c r="O2709" s="7" t="s">
        <v>188</v>
      </c>
      <c r="P2709" s="7"/>
      <c r="Q2709" s="7"/>
      <c r="R2709" s="181">
        <f>P_1_minW-(R2707^2*R_up)+dpup_minQ</f>
        <v>100.42195664229951</v>
      </c>
      <c r="S2709" s="132"/>
      <c r="T2709" s="145"/>
      <c r="U2709" s="138">
        <f>P_1_minW-(U2707^2*R_up)+dpup_minQ</f>
        <v>96.671963491144666</v>
      </c>
      <c r="V2709" s="132"/>
      <c r="W2709" s="145"/>
      <c r="X2709" s="138">
        <f>P_1_minW-(X2707^2*R_up)+dpup_minQ</f>
        <v>76.969928764303873</v>
      </c>
      <c r="Y2709" s="132"/>
      <c r="Z2709" s="145"/>
      <c r="AA2709" s="138">
        <f>P_1_minW-(AA2707^2*R_up)+dpup_minQ</f>
        <v>11.17008265580975</v>
      </c>
      <c r="AB2709" s="132"/>
      <c r="AC2709" s="145"/>
      <c r="AD2709" s="138">
        <f>P_1_minW-(AD2707^2*R_up)+dpup_minQ</f>
        <v>-141.15964295754699</v>
      </c>
      <c r="AE2709" s="132"/>
      <c r="AF2709" s="145"/>
      <c r="AG2709" s="138">
        <f>P_1_minW-(AG2707^2*R_up)+dpup_minQ</f>
        <v>-374.9202548231803</v>
      </c>
      <c r="AH2709" s="132"/>
      <c r="AI2709" s="145"/>
      <c r="AJ2709" s="138">
        <f>P_1_minW-(AJ2707^2*R_up)+dpup_minQ</f>
        <v>-665.99888331882369</v>
      </c>
      <c r="AK2709" s="132"/>
      <c r="AL2709" s="145"/>
      <c r="AM2709" s="138">
        <f>P_1_minW-(AM2707^2*R_up)+dpup_minQ</f>
        <v>-953.39903839824194</v>
      </c>
      <c r="AN2709" s="132"/>
      <c r="AO2709" s="145"/>
      <c r="AP2709" s="138">
        <f>P_1_minW-(AP2707^2*R_up)+dpup_minQ</f>
        <v>-1211.3104239464058</v>
      </c>
      <c r="AQ2709" s="132"/>
      <c r="AR2709" s="145"/>
      <c r="AS2709" s="138">
        <f>P_1_minW-(AS2707^2*R_up)+dpup_minQ</f>
        <v>-1532.3368159485397</v>
      </c>
      <c r="AT2709" s="132"/>
      <c r="AU2709" s="145"/>
    </row>
    <row r="2710" spans="13:47" x14ac:dyDescent="0.25">
      <c r="M2710" s="20"/>
      <c r="N2710" s="20"/>
      <c r="O2710" s="7" t="s">
        <v>189</v>
      </c>
      <c r="P2710" s="1"/>
      <c r="Q2710" s="7"/>
      <c r="R2710" s="181">
        <f>P_2_minW+(R2707^2*R_dn)-dpdn_minQ</f>
        <v>50</v>
      </c>
      <c r="S2710" s="132"/>
      <c r="T2710" s="146"/>
      <c r="U2710" s="138">
        <f>P_2_minW+(U2707^2*R_dn)-dpdn_minQ</f>
        <v>50</v>
      </c>
      <c r="V2710" s="132"/>
      <c r="W2710" s="146"/>
      <c r="X2710" s="138">
        <f>P_2_minW+(X2707^2*R_dn)-dpdn_minQ</f>
        <v>50</v>
      </c>
      <c r="Y2710" s="132"/>
      <c r="Z2710" s="146"/>
      <c r="AA2710" s="138">
        <f>P_2_minW+(AA2707^2*R_dn)-dpdn_minQ</f>
        <v>50</v>
      </c>
      <c r="AB2710" s="132"/>
      <c r="AC2710" s="146"/>
      <c r="AD2710" s="138">
        <f>P_2_minW+(AD2707^2*R_dn)-dpdn_minQ</f>
        <v>50</v>
      </c>
      <c r="AE2710" s="132"/>
      <c r="AF2710" s="146"/>
      <c r="AG2710" s="138">
        <f>P_2_minW+(AG2707^2*R_dn)-dpdn_minQ</f>
        <v>50</v>
      </c>
      <c r="AH2710" s="132"/>
      <c r="AI2710" s="146"/>
      <c r="AJ2710" s="138">
        <f>P_2_minW+(AJ2707^2*R_dn)-dpdn_minQ</f>
        <v>50</v>
      </c>
      <c r="AK2710" s="132"/>
      <c r="AL2710" s="146"/>
      <c r="AM2710" s="138">
        <f>P_2_minW+(AM2707^2*R_dn)-dpdn_minQ</f>
        <v>50</v>
      </c>
      <c r="AN2710" s="132"/>
      <c r="AO2710" s="146"/>
      <c r="AP2710" s="138">
        <f>P_2_minW+(AP2707^2*R_dn)-dpdn_minQ</f>
        <v>50</v>
      </c>
      <c r="AQ2710" s="132"/>
      <c r="AR2710" s="146"/>
      <c r="AS2710" s="138">
        <f>P_2_minW+(AS2707^2*R_dn)-dpdn_minQ</f>
        <v>50</v>
      </c>
      <c r="AT2710" s="132"/>
      <c r="AU2710" s="146"/>
    </row>
    <row r="2711" spans="13:47" x14ac:dyDescent="0.25">
      <c r="M2711" s="20"/>
      <c r="N2711" s="20"/>
      <c r="O2711" s="7" t="s">
        <v>234</v>
      </c>
      <c r="P2711" s="1"/>
      <c r="Q2711" s="7"/>
      <c r="R2711" s="179">
        <f>'Valve Sizing'!G$8*R2709/P_1_maxW</f>
        <v>0.48441763981506591</v>
      </c>
      <c r="S2711" s="132"/>
      <c r="T2711" s="146"/>
      <c r="U2711" s="143">
        <f>'Valve Sizing'!$G$8*U2709/P_1_maxW</f>
        <v>0.4663283404990245</v>
      </c>
      <c r="V2711" s="132"/>
      <c r="W2711" s="146"/>
      <c r="X2711" s="143">
        <f>'Valve Sizing'!$G$8*X2709/P_1_maxW</f>
        <v>0.37128923270782482</v>
      </c>
      <c r="Y2711" s="132"/>
      <c r="Z2711" s="146"/>
      <c r="AA2711" s="143">
        <f>'Valve Sizing'!$G$8*AA2709/P_1_maxW</f>
        <v>5.3882490020985704E-2</v>
      </c>
      <c r="AB2711" s="132"/>
      <c r="AC2711" s="146"/>
      <c r="AD2711" s="143">
        <f>'Valve Sizing'!$G$8*AD2709/P_1_maxW</f>
        <v>-0.68092898570181171</v>
      </c>
      <c r="AE2711" s="132"/>
      <c r="AF2711" s="146"/>
      <c r="AG2711" s="143">
        <f>'Valve Sizing'!$G$8*AG2709/P_1_maxW</f>
        <v>-1.8085485588298862</v>
      </c>
      <c r="AH2711" s="132"/>
      <c r="AI2711" s="146"/>
      <c r="AJ2711" s="143">
        <f>'Valve Sizing'!$G$8*AJ2709/P_1_maxW</f>
        <v>-3.2126600393372549</v>
      </c>
      <c r="AK2711" s="132"/>
      <c r="AL2711" s="146"/>
      <c r="AM2711" s="143">
        <f>'Valve Sizing'!$G$8*AM2709/P_1_maxW</f>
        <v>-4.5990272189965795</v>
      </c>
      <c r="AN2711" s="132"/>
      <c r="AO2711" s="146"/>
      <c r="AP2711" s="143">
        <f>'Valve Sizing'!$G$8*AP2709/P_1_maxW</f>
        <v>-5.8431458245889489</v>
      </c>
      <c r="AQ2711" s="132"/>
      <c r="AR2711" s="146"/>
      <c r="AS2711" s="143">
        <f>'Valve Sizing'!$G$8*AS2709/P_1_maxW</f>
        <v>-7.3917199843809716</v>
      </c>
      <c r="AT2711" s="132"/>
      <c r="AU2711" s="146"/>
    </row>
    <row r="2712" spans="13:47" x14ac:dyDescent="0.25">
      <c r="M2712" s="20"/>
      <c r="N2712" s="20"/>
      <c r="O2712" s="7" t="s">
        <v>190</v>
      </c>
      <c r="P2712" s="1"/>
      <c r="Q2712" s="7"/>
      <c r="R2712" s="181">
        <f>R2709-R2710</f>
        <v>50.421956642299506</v>
      </c>
      <c r="S2712" s="132"/>
      <c r="T2712" s="146"/>
      <c r="U2712" s="138">
        <f>U2709-U2710</f>
        <v>46.671963491144666</v>
      </c>
      <c r="V2712" s="132"/>
      <c r="W2712" s="146"/>
      <c r="X2712" s="138">
        <f>X2709-X2710</f>
        <v>26.969928764303873</v>
      </c>
      <c r="Y2712" s="132"/>
      <c r="Z2712" s="146"/>
      <c r="AA2712" s="138">
        <f>AA2709-AA2710</f>
        <v>-38.82991734419025</v>
      </c>
      <c r="AB2712" s="132"/>
      <c r="AC2712" s="146"/>
      <c r="AD2712" s="138">
        <f>AD2709-AD2710</f>
        <v>-191.15964295754699</v>
      </c>
      <c r="AE2712" s="132"/>
      <c r="AF2712" s="146"/>
      <c r="AG2712" s="138">
        <f>AG2709-AG2710</f>
        <v>-424.9202548231803</v>
      </c>
      <c r="AH2712" s="132"/>
      <c r="AI2712" s="146"/>
      <c r="AJ2712" s="138">
        <f>AJ2709-AJ2710</f>
        <v>-715.99888331882369</v>
      </c>
      <c r="AK2712" s="132"/>
      <c r="AL2712" s="146"/>
      <c r="AM2712" s="138">
        <f>AM2709-AM2710</f>
        <v>-1003.3990383982419</v>
      </c>
      <c r="AN2712" s="132"/>
      <c r="AO2712" s="146"/>
      <c r="AP2712" s="138">
        <f>AP2709-AP2710</f>
        <v>-1261.3104239464058</v>
      </c>
      <c r="AQ2712" s="132"/>
      <c r="AR2712" s="146"/>
      <c r="AS2712" s="138">
        <f>AS2709-AS2710</f>
        <v>-1582.3368159485397</v>
      </c>
      <c r="AT2712" s="132"/>
      <c r="AU2712" s="146"/>
    </row>
    <row r="2713" spans="13:47" ht="14.5" x14ac:dyDescent="0.35">
      <c r="M2713" s="27"/>
      <c r="N2713" s="27"/>
      <c r="O2713" s="2" t="s">
        <v>191</v>
      </c>
      <c r="P2713" s="10"/>
      <c r="Q2713" s="2"/>
      <c r="R2713" s="181">
        <f>R2712/R2709</f>
        <v>0.50210091824740333</v>
      </c>
      <c r="S2713" s="132"/>
      <c r="T2713" s="146"/>
      <c r="U2713" s="138">
        <f>U2712/U2709</f>
        <v>0.48278696124155901</v>
      </c>
      <c r="V2713" s="132"/>
      <c r="W2713" s="146"/>
      <c r="X2713" s="138">
        <f>X2712/X2709</f>
        <v>0.35039565707395642</v>
      </c>
      <c r="Y2713" s="132"/>
      <c r="Z2713" s="146"/>
      <c r="AA2713" s="138">
        <f>AA2712/AA2709</f>
        <v>-3.4762426152678598</v>
      </c>
      <c r="AB2713" s="132"/>
      <c r="AC2713" s="146"/>
      <c r="AD2713" s="138">
        <f>AD2712/AD2709</f>
        <v>1.3542088868490354</v>
      </c>
      <c r="AE2713" s="132"/>
      <c r="AF2713" s="146"/>
      <c r="AG2713" s="138">
        <f>AG2712/AG2709</f>
        <v>1.1333616932048149</v>
      </c>
      <c r="AH2713" s="132"/>
      <c r="AI2713" s="146"/>
      <c r="AJ2713" s="138">
        <f>AJ2712/AJ2709</f>
        <v>1.0750752009535491</v>
      </c>
      <c r="AK2713" s="132"/>
      <c r="AL2713" s="146"/>
      <c r="AM2713" s="138">
        <f>AM2712/AM2709</f>
        <v>1.0524439379380983</v>
      </c>
      <c r="AN2713" s="132"/>
      <c r="AO2713" s="146"/>
      <c r="AP2713" s="138">
        <f>AP2712/AP2709</f>
        <v>1.0412776106038135</v>
      </c>
      <c r="AQ2713" s="132"/>
      <c r="AR2713" s="146"/>
      <c r="AS2713" s="138">
        <f>AS2712/AS2709</f>
        <v>1.0326299019116429</v>
      </c>
      <c r="AT2713" s="132"/>
      <c r="AU2713" s="146"/>
    </row>
    <row r="2714" spans="13:47" x14ac:dyDescent="0.25">
      <c r="M2714" s="27"/>
      <c r="N2714" s="27"/>
      <c r="O2714" s="2" t="s">
        <v>26</v>
      </c>
      <c r="P2714" s="7">
        <v>12</v>
      </c>
      <c r="Q2714" s="2"/>
      <c r="R2714" s="181">
        <f>1-R2713/(3*F_GAMMA*R$29)</f>
        <v>0.73850008813773027</v>
      </c>
      <c r="S2714" s="133"/>
      <c r="T2714" s="146"/>
      <c r="U2714" s="138">
        <f>1-U2713/(3*F_GAMMA*U$29)</f>
        <v>0.74861437931025387</v>
      </c>
      <c r="V2714" s="133"/>
      <c r="W2714" s="146"/>
      <c r="X2714" s="138">
        <f>1-X2713/(3*F_GAMMA*X$29)</f>
        <v>0.81481306756339067</v>
      </c>
      <c r="Y2714" s="133"/>
      <c r="Z2714" s="146"/>
      <c r="AA2714" s="138">
        <f>1-AA2713/(3*F_GAMMA*AA$29)</f>
        <v>2.8624131493849303</v>
      </c>
      <c r="AB2714" s="133"/>
      <c r="AC2714" s="146"/>
      <c r="AD2714" s="138">
        <f>1-AD2713/(3*F_GAMMA*AD$29)</f>
        <v>0.25458397296208224</v>
      </c>
      <c r="AE2714" s="133"/>
      <c r="AF2714" s="146"/>
      <c r="AG2714" s="138">
        <f>1-AG2713/(3*F_GAMMA*AG$29)</f>
        <v>0.34056245931568385</v>
      </c>
      <c r="AH2714" s="133"/>
      <c r="AI2714" s="146"/>
      <c r="AJ2714" s="138">
        <f>1-AJ2713/(3*F_GAMMA*AJ$29)</f>
        <v>0.33130635763967164</v>
      </c>
      <c r="AK2714" s="133"/>
      <c r="AL2714" s="146"/>
      <c r="AM2714" s="138">
        <f>1-AM2713/(3*F_GAMMA*AM$29)</f>
        <v>0.28476429175668883</v>
      </c>
      <c r="AN2714" s="133"/>
      <c r="AO2714" s="146"/>
      <c r="AP2714" s="138">
        <f>1-AP2713/(3*F_GAMMA*AP$29)</f>
        <v>0.41520620764000271</v>
      </c>
      <c r="AQ2714" s="133"/>
      <c r="AR2714" s="146"/>
      <c r="AS2714" s="138">
        <f>1-AS2713/(3*F_GAMMA*AS$29)</f>
        <v>0.11960503308957982</v>
      </c>
      <c r="AT2714" s="133"/>
      <c r="AU2714" s="146"/>
    </row>
    <row r="2715" spans="13:47" x14ac:dyDescent="0.25">
      <c r="M2715" s="27"/>
      <c r="N2715" s="27"/>
      <c r="O2715" s="2" t="s">
        <v>71</v>
      </c>
      <c r="P2715" s="85">
        <v>5</v>
      </c>
      <c r="Q2715" s="2"/>
      <c r="R2715" s="179">
        <f>R2707/((N_6*R$27*R2714)*SQRT(R2713*R2709*R2711))</f>
        <v>2.176785667808173</v>
      </c>
      <c r="S2715" s="133"/>
      <c r="T2715" s="146"/>
      <c r="U2715" s="143">
        <f>U2707/((N_6*U$27*U2714)*SQRT(U2713*U2709*U2711))</f>
        <v>14.067133391278931</v>
      </c>
      <c r="V2715" s="133"/>
      <c r="W2715" s="146"/>
      <c r="X2715" s="143">
        <f>X2707/((N_6*X$27*X2714)*SQRT(X2713*X2709*X2711))</f>
        <v>47.226970405115132</v>
      </c>
      <c r="Y2715" s="133"/>
      <c r="Z2715" s="146"/>
      <c r="AA2715" s="143" t="e">
        <f>AA2707/((N_6*AA$27*AA2714)*SQRT(AA2713*AA2709*AA2711))</f>
        <v>#NUM!</v>
      </c>
      <c r="AB2715" s="133"/>
      <c r="AC2715" s="146"/>
      <c r="AD2715" s="143">
        <f>AD2707/((N_6*AD$27*AD2714)*SQRT(AD2713*AD2709*AD2711))</f>
        <v>136.67845728337028</v>
      </c>
      <c r="AE2715" s="133"/>
      <c r="AF2715" s="146"/>
      <c r="AG2715" s="143">
        <f>AG2707/((N_6*AG$27*AG2714)*SQRT(AG2713*AG2709*AG2711))</f>
        <v>60.250686212495104</v>
      </c>
      <c r="AH2715" s="133"/>
      <c r="AI2715" s="146"/>
      <c r="AJ2715" s="143">
        <f>AJ2707/((N_6*AJ$27*AJ2714)*SQRT(AJ2713*AJ2709*AJ2711))</f>
        <v>47.014496888453607</v>
      </c>
      <c r="AK2715" s="133"/>
      <c r="AL2715" s="146"/>
      <c r="AM2715" s="143">
        <f>AM2707/((N_6*AM$27*AM2714)*SQRT(AM2713*AM2709*AM2711))</f>
        <v>48.064118915845526</v>
      </c>
      <c r="AN2715" s="133"/>
      <c r="AO2715" s="146"/>
      <c r="AP2715" s="143">
        <f>AP2707/((N_6*AP$27*AP2714)*SQRT(AP2713*AP2709*AP2711))</f>
        <v>33.057300597163611</v>
      </c>
      <c r="AQ2715" s="133"/>
      <c r="AR2715" s="146"/>
      <c r="AS2715" s="143">
        <f>AS2707/((N_6*AS$27*AS2714)*SQRT(AS2713*AS2709*AS2711))</f>
        <v>133.54155679255027</v>
      </c>
      <c r="AT2715" s="133"/>
      <c r="AU2715" s="146"/>
    </row>
    <row r="2716" spans="13:47" x14ac:dyDescent="0.25">
      <c r="M2716" s="27"/>
      <c r="N2716" s="27"/>
      <c r="O2716" s="2" t="s">
        <v>73</v>
      </c>
      <c r="P2716" s="85">
        <v>5</v>
      </c>
      <c r="Q2716" s="2"/>
      <c r="R2716" s="179">
        <f>R2707/((N_6*R$27*0.667)*SQRT(R2717*R2709*R2711))</f>
        <v>2.1346996932234186</v>
      </c>
      <c r="S2716" s="133"/>
      <c r="T2716" s="155"/>
      <c r="U2716" s="143">
        <f>U2707/((N_6*U$27*0.667)*SQRT(U2717*U2709*U2711))</f>
        <v>13.710988924219304</v>
      </c>
      <c r="V2716" s="133"/>
      <c r="W2716" s="155"/>
      <c r="X2716" s="143">
        <f>X2707/((N_6*X$27*0.667)*SQRT(X2717*X2709*X2711))</f>
        <v>43.001938559588808</v>
      </c>
      <c r="Y2716" s="133"/>
      <c r="Z2716" s="155"/>
      <c r="AA2716" s="143">
        <f>AA2707/((N_6*AA$27*0.667)*SQRT(AA2717*AA2709*AA2711))</f>
        <v>584.4300270058053</v>
      </c>
      <c r="AB2716" s="133"/>
      <c r="AC2716" s="155"/>
      <c r="AD2716" s="143">
        <f>AD2707/((N_6*AD$27*0.667)*SQRT(AD2717*AD2709*AD2711))</f>
        <v>78.012695584240333</v>
      </c>
      <c r="AE2716" s="133"/>
      <c r="AF2716" s="155"/>
      <c r="AG2716" s="143">
        <f>AG2707/((N_6*AG$27*0.667)*SQRT(AG2717*AG2709*AG2711))</f>
        <v>43.269352668142638</v>
      </c>
      <c r="AH2716" s="133"/>
      <c r="AI2716" s="155"/>
      <c r="AJ2716" s="143">
        <f>AJ2707/((N_6*AJ$27*0.667)*SQRT(AJ2717*AJ2709*AJ2711))</f>
        <v>33.075769247069225</v>
      </c>
      <c r="AK2716" s="133"/>
      <c r="AL2716" s="155"/>
      <c r="AM2716" s="143">
        <f>AM2707/((N_6*AM$27*0.667)*SQRT(AM2717*AM2709*AM2711))</f>
        <v>30.058403002363502</v>
      </c>
      <c r="AN2716" s="133"/>
      <c r="AO2716" s="155"/>
      <c r="AP2716" s="143">
        <f>AP2707/((N_6*AP$27*0.667)*SQRT(AP2717*AP2709*AP2711))</f>
        <v>27.256331037104612</v>
      </c>
      <c r="AQ2716" s="133"/>
      <c r="AR2716" s="155"/>
      <c r="AS2716" s="143">
        <f>AS2707/((N_6*AS$27*0.667)*SQRT(AS2717*AS2709*AS2711))</f>
        <v>38.917009407640776</v>
      </c>
      <c r="AT2716" s="133"/>
      <c r="AU2716" s="155"/>
    </row>
    <row r="2717" spans="13:47" ht="15.5" x14ac:dyDescent="0.4">
      <c r="M2717" s="27"/>
      <c r="N2717" s="27"/>
      <c r="O2717" s="2" t="s">
        <v>192</v>
      </c>
      <c r="P2717" s="85">
        <v>10</v>
      </c>
      <c r="Q2717" s="2"/>
      <c r="R2717" s="181">
        <f>F_GAMMA*R$29</f>
        <v>0.64002688015162901</v>
      </c>
      <c r="S2717" s="133"/>
      <c r="T2717" s="155"/>
      <c r="U2717" s="138">
        <f>F_GAMMA*U$29</f>
        <v>0.64016782916606918</v>
      </c>
      <c r="V2717" s="133"/>
      <c r="W2717" s="155"/>
      <c r="X2717" s="138">
        <f>F_GAMMA*X$29</f>
        <v>0.6307062319203669</v>
      </c>
      <c r="Y2717" s="133"/>
      <c r="Z2717" s="155"/>
      <c r="AA2717" s="138">
        <f>F_GAMMA*AA$29</f>
        <v>0.62217534213893466</v>
      </c>
      <c r="AB2717" s="133"/>
      <c r="AC2717" s="155"/>
      <c r="AD2717" s="138">
        <f>F_GAMMA*AD$29</f>
        <v>0.60557184969146072</v>
      </c>
      <c r="AE2717" s="133"/>
      <c r="AF2717" s="155"/>
      <c r="AG2717" s="138">
        <f>F_GAMMA*AG$29</f>
        <v>0.57289312142622573</v>
      </c>
      <c r="AH2717" s="133"/>
      <c r="AI2717" s="155"/>
      <c r="AJ2717" s="138">
        <f>F_GAMMA*AJ$29</f>
        <v>0.53590819116049981</v>
      </c>
      <c r="AK2717" s="133"/>
      <c r="AL2717" s="155"/>
      <c r="AM2717" s="138">
        <f>F_GAMMA*AM$29</f>
        <v>0.49048815926850342</v>
      </c>
      <c r="AN2717" s="133"/>
      <c r="AO2717" s="155"/>
      <c r="AP2717" s="138">
        <f>F_GAMMA*AP$29</f>
        <v>0.59352979016280105</v>
      </c>
      <c r="AQ2717" s="133"/>
      <c r="AR2717" s="155"/>
      <c r="AS2717" s="138">
        <f>F_GAMMA*AS$29</f>
        <v>0.39097221161068291</v>
      </c>
      <c r="AT2717" s="133"/>
      <c r="AU2717" s="155"/>
    </row>
    <row r="2718" spans="13:47" x14ac:dyDescent="0.25">
      <c r="M2718" s="27"/>
      <c r="N2718" s="27"/>
      <c r="O2718" s="2" t="s">
        <v>193</v>
      </c>
      <c r="P2718" s="134"/>
      <c r="Q2718" s="2"/>
      <c r="R2718" s="181">
        <f>IF(R2713&lt;R2717,R2715,R2716)</f>
        <v>2.176785667808173</v>
      </c>
      <c r="S2718" s="133"/>
      <c r="T2718" s="155"/>
      <c r="U2718" s="138">
        <f>IF(U2713&lt;U2717,U2715,U2716)</f>
        <v>14.067133391278931</v>
      </c>
      <c r="V2718" s="133"/>
      <c r="W2718" s="155"/>
      <c r="X2718" s="138">
        <f>IF(X2713&lt;X2717,X2715,X2716)</f>
        <v>47.226970405115132</v>
      </c>
      <c r="Y2718" s="133"/>
      <c r="Z2718" s="155"/>
      <c r="AA2718" s="138" t="e">
        <f>IF(AA2713&lt;AA2717,AA2715,AA2716)</f>
        <v>#NUM!</v>
      </c>
      <c r="AB2718" s="133"/>
      <c r="AC2718" s="155"/>
      <c r="AD2718" s="138">
        <f>IF(AD2713&lt;AD2717,AD2715,AD2716)</f>
        <v>78.012695584240333</v>
      </c>
      <c r="AE2718" s="133"/>
      <c r="AF2718" s="155"/>
      <c r="AG2718" s="138">
        <f>IF(AG2713&lt;AG2717,AG2715,AG2716)</f>
        <v>43.269352668142638</v>
      </c>
      <c r="AH2718" s="133"/>
      <c r="AI2718" s="155"/>
      <c r="AJ2718" s="138">
        <f>IF(AJ2713&lt;AJ2717,AJ2715,AJ2716)</f>
        <v>33.075769247069225</v>
      </c>
      <c r="AK2718" s="133"/>
      <c r="AL2718" s="155"/>
      <c r="AM2718" s="138">
        <f>IF(AM2713&lt;AM2717,AM2715,AM2716)</f>
        <v>30.058403002363502</v>
      </c>
      <c r="AN2718" s="133"/>
      <c r="AO2718" s="155"/>
      <c r="AP2718" s="138">
        <f>IF(AP2713&lt;AP2717,AP2715,AP2716)</f>
        <v>27.256331037104612</v>
      </c>
      <c r="AQ2718" s="133"/>
      <c r="AR2718" s="155"/>
      <c r="AS2718" s="138">
        <f>IF(AS2713&lt;AS2717,AS2715,AS2716)</f>
        <v>38.917009407640776</v>
      </c>
      <c r="AT2718" s="133"/>
      <c r="AU2718" s="155"/>
    </row>
    <row r="2719" spans="13:47" ht="13" x14ac:dyDescent="0.3">
      <c r="M2719" s="28"/>
      <c r="N2719" s="28"/>
      <c r="O2719" s="9" t="s">
        <v>194</v>
      </c>
      <c r="P2719" s="1"/>
      <c r="Q2719" s="1"/>
      <c r="R2719" s="135"/>
      <c r="S2719" s="132">
        <f>IF(R2712&lt;=0,W_max,ABS(R$23-R2718))</f>
        <v>0.17678566780817295</v>
      </c>
      <c r="T2719" s="151">
        <f>R2707</f>
        <v>502.84981328181703</v>
      </c>
      <c r="U2719" s="135"/>
      <c r="V2719" s="132">
        <f>IF(U2712&lt;=0,W_max,ABS(U$23-U2718))</f>
        <v>9.0671333912789311</v>
      </c>
      <c r="W2719" s="151">
        <f>U2707</f>
        <v>3107.5634059404406</v>
      </c>
      <c r="X2719" s="135"/>
      <c r="Y2719" s="132">
        <f>IF(X2712&lt;=0,W_max,ABS(X$23-X2718))</f>
        <v>37.226970405115132</v>
      </c>
      <c r="Z2719" s="151">
        <f>X2707</f>
        <v>7685.3741072709645</v>
      </c>
      <c r="AA2719" s="135"/>
      <c r="AB2719" s="132">
        <f>IF(AA2712&lt;=0,W_max,ABS(AA$23-AA2718))</f>
        <v>7174</v>
      </c>
      <c r="AC2719" s="151">
        <f>AA2707</f>
        <v>14969.147104473112</v>
      </c>
      <c r="AD2719" s="135"/>
      <c r="AE2719" s="132">
        <f>IF(AD2712&lt;=0,W_max,ABS(AD$23-AD2718))</f>
        <v>7174</v>
      </c>
      <c r="AF2719" s="151">
        <f>AD2707</f>
        <v>24618.735673878695</v>
      </c>
      <c r="AG2719" s="135"/>
      <c r="AH2719" s="132">
        <f>IF(AG2712&lt;=0,W_max,ABS(AG$23-AG2718))</f>
        <v>7174</v>
      </c>
      <c r="AI2719" s="151">
        <f>AG2707</f>
        <v>34529.672084774109</v>
      </c>
      <c r="AJ2719" s="135"/>
      <c r="AK2719" s="132">
        <f>IF(AJ2712&lt;=0,W_max,ABS(AJ$23-AJ2718))</f>
        <v>7174</v>
      </c>
      <c r="AL2719" s="151">
        <f>AJ2707</f>
        <v>43843.521048482929</v>
      </c>
      <c r="AM2719" s="135"/>
      <c r="AN2719" s="132">
        <f>IF(AM2712&lt;=0,W_max,ABS(AM$23-AM2718))</f>
        <v>7174</v>
      </c>
      <c r="AO2719" s="151">
        <f>AM2707</f>
        <v>51409.976499713783</v>
      </c>
      <c r="AP2719" s="135"/>
      <c r="AQ2719" s="132">
        <f>IF(AP2712&lt;=0,W_max,ABS(AP$23-AP2718))</f>
        <v>7174</v>
      </c>
      <c r="AR2719" s="151">
        <f>AP2707</f>
        <v>57356.483483538454</v>
      </c>
      <c r="AS2719" s="135"/>
      <c r="AT2719" s="132">
        <f>IF(AS2712&lt;=0,W_max,ABS(AS$23-AS2718))</f>
        <v>7174</v>
      </c>
      <c r="AU2719" s="151">
        <f>AS2707</f>
        <v>63990.813098615879</v>
      </c>
    </row>
    <row r="2720" spans="13:47" ht="13" x14ac:dyDescent="0.25">
      <c r="M2720" s="12"/>
      <c r="N2720" s="12"/>
      <c r="O2720" s="2"/>
      <c r="P2720" s="85"/>
      <c r="Q2720" s="2"/>
      <c r="R2720" s="18"/>
      <c r="S2720" s="150"/>
      <c r="T2720" s="148"/>
      <c r="U2720" s="157"/>
      <c r="V2720" s="1"/>
      <c r="W2720" s="147"/>
      <c r="X2720" s="157"/>
      <c r="Y2720" s="1"/>
      <c r="Z2720" s="147"/>
      <c r="AA2720" s="157"/>
      <c r="AB2720" s="1"/>
      <c r="AC2720" s="147"/>
      <c r="AD2720" s="157"/>
      <c r="AE2720" s="1"/>
      <c r="AF2720" s="147"/>
      <c r="AG2720" s="157"/>
      <c r="AH2720" s="1"/>
      <c r="AI2720" s="147"/>
      <c r="AJ2720" s="157"/>
      <c r="AK2720" s="1"/>
      <c r="AL2720" s="147"/>
      <c r="AM2720" s="157"/>
      <c r="AN2720" s="1"/>
      <c r="AO2720" s="147"/>
      <c r="AP2720" s="157"/>
      <c r="AQ2720" s="1"/>
      <c r="AR2720" s="147"/>
      <c r="AS2720" s="157"/>
      <c r="AT2720" s="1"/>
      <c r="AU2720" s="147"/>
    </row>
    <row r="2721" spans="13:47" ht="14" x14ac:dyDescent="0.3">
      <c r="M2721" s="23"/>
      <c r="N2721" s="23"/>
      <c r="O2721" s="23" t="s">
        <v>238</v>
      </c>
      <c r="P2721" s="20"/>
      <c r="Q2721" s="20"/>
      <c r="R2721" s="181">
        <f>R2707*1.02</f>
        <v>512.90680954745335</v>
      </c>
      <c r="S2721" s="128" t="s">
        <v>185</v>
      </c>
      <c r="T2721" s="149" t="s">
        <v>186</v>
      </c>
      <c r="U2721" s="143">
        <f>U2707*1.01</f>
        <v>3138.639039999845</v>
      </c>
      <c r="V2721" s="128" t="s">
        <v>185</v>
      </c>
      <c r="W2721" s="153" t="s">
        <v>186</v>
      </c>
      <c r="X2721" s="143">
        <f>X2707*1.01</f>
        <v>7762.2278483436739</v>
      </c>
      <c r="Y2721" s="128" t="s">
        <v>185</v>
      </c>
      <c r="Z2721" s="153" t="s">
        <v>186</v>
      </c>
      <c r="AA2721" s="143">
        <f>AA2707*1.01</f>
        <v>15118.838575517842</v>
      </c>
      <c r="AB2721" s="128" t="s">
        <v>185</v>
      </c>
      <c r="AC2721" s="153" t="s">
        <v>186</v>
      </c>
      <c r="AD2721" s="143">
        <f>AD2707*1.01</f>
        <v>24864.923030617483</v>
      </c>
      <c r="AE2721" s="128" t="s">
        <v>185</v>
      </c>
      <c r="AF2721" s="153" t="s">
        <v>186</v>
      </c>
      <c r="AG2721" s="143">
        <f>AG2707*1.01</f>
        <v>34874.968805621851</v>
      </c>
      <c r="AH2721" s="128" t="s">
        <v>185</v>
      </c>
      <c r="AI2721" s="153" t="s">
        <v>186</v>
      </c>
      <c r="AJ2721" s="143">
        <f>AJ2707*1.01</f>
        <v>44281.956258967759</v>
      </c>
      <c r="AK2721" s="128" t="s">
        <v>185</v>
      </c>
      <c r="AL2721" s="153" t="s">
        <v>186</v>
      </c>
      <c r="AM2721" s="143">
        <f>AM2707*1.01</f>
        <v>51924.076264710922</v>
      </c>
      <c r="AN2721" s="128" t="s">
        <v>185</v>
      </c>
      <c r="AO2721" s="153" t="s">
        <v>186</v>
      </c>
      <c r="AP2721" s="143">
        <f>AP2707*1.01</f>
        <v>57930.04831837384</v>
      </c>
      <c r="AQ2721" s="128" t="s">
        <v>185</v>
      </c>
      <c r="AR2721" s="153" t="s">
        <v>186</v>
      </c>
      <c r="AS2721" s="143">
        <f>AS2707*1.01</f>
        <v>64630.721229602037</v>
      </c>
      <c r="AT2721" s="128" t="s">
        <v>185</v>
      </c>
      <c r="AU2721" s="153" t="s">
        <v>186</v>
      </c>
    </row>
    <row r="2722" spans="13:47" ht="14" x14ac:dyDescent="0.3">
      <c r="M2722" s="12"/>
      <c r="N2722" s="12"/>
      <c r="O2722" s="20"/>
      <c r="P2722" s="20"/>
      <c r="Q2722" s="23"/>
      <c r="R2722" s="139"/>
      <c r="S2722" s="130" t="s">
        <v>228</v>
      </c>
      <c r="T2722" s="131" t="s">
        <v>187</v>
      </c>
      <c r="U2722" s="144"/>
      <c r="V2722" s="130" t="s">
        <v>228</v>
      </c>
      <c r="W2722" s="154" t="s">
        <v>187</v>
      </c>
      <c r="X2722" s="144"/>
      <c r="Y2722" s="130" t="s">
        <v>228</v>
      </c>
      <c r="Z2722" s="154" t="s">
        <v>187</v>
      </c>
      <c r="AA2722" s="144"/>
      <c r="AB2722" s="130" t="s">
        <v>228</v>
      </c>
      <c r="AC2722" s="154" t="s">
        <v>187</v>
      </c>
      <c r="AD2722" s="144"/>
      <c r="AE2722" s="130" t="s">
        <v>228</v>
      </c>
      <c r="AF2722" s="154" t="s">
        <v>187</v>
      </c>
      <c r="AG2722" s="144"/>
      <c r="AH2722" s="130" t="s">
        <v>228</v>
      </c>
      <c r="AI2722" s="154" t="s">
        <v>187</v>
      </c>
      <c r="AJ2722" s="144"/>
      <c r="AK2722" s="130" t="s">
        <v>228</v>
      </c>
      <c r="AL2722" s="154" t="s">
        <v>187</v>
      </c>
      <c r="AM2722" s="144"/>
      <c r="AN2722" s="130" t="s">
        <v>228</v>
      </c>
      <c r="AO2722" s="154" t="s">
        <v>187</v>
      </c>
      <c r="AP2722" s="144"/>
      <c r="AQ2722" s="130" t="s">
        <v>228</v>
      </c>
      <c r="AR2722" s="154" t="s">
        <v>187</v>
      </c>
      <c r="AS2722" s="144"/>
      <c r="AT2722" s="130" t="s">
        <v>228</v>
      </c>
      <c r="AU2722" s="154" t="s">
        <v>187</v>
      </c>
    </row>
    <row r="2723" spans="13:47" x14ac:dyDescent="0.25">
      <c r="M2723" s="20"/>
      <c r="N2723" s="20"/>
      <c r="O2723" s="7" t="s">
        <v>188</v>
      </c>
      <c r="P2723" s="7"/>
      <c r="Q2723" s="7"/>
      <c r="R2723" s="181">
        <f>P_1_minW-(R2721^2*R_up)+dpup_minQ</f>
        <v>100.41788310648464</v>
      </c>
      <c r="S2723" s="132"/>
      <c r="T2723" s="145"/>
      <c r="U2723" s="138">
        <f>P_1_minW-(U2721^2*R_up)+dpup_minQ</f>
        <v>96.59456194390846</v>
      </c>
      <c r="V2723" s="132"/>
      <c r="W2723" s="145"/>
      <c r="X2723" s="138">
        <f>P_1_minW-(X2721^2*R_up)+dpup_minQ</f>
        <v>76.496516319058173</v>
      </c>
      <c r="Y2723" s="132"/>
      <c r="Z2723" s="145"/>
      <c r="AA2723" s="138">
        <f>P_1_minW-(AA2721^2*R_up)+dpup_minQ</f>
        <v>9.37409330378334</v>
      </c>
      <c r="AB2723" s="132"/>
      <c r="AC2723" s="145"/>
      <c r="AD2723" s="138">
        <f>P_1_minW-(AD2721^2*R_up)+dpup_minQ</f>
        <v>-146.0174597944019</v>
      </c>
      <c r="AE2723" s="132"/>
      <c r="AF2723" s="145"/>
      <c r="AG2723" s="138">
        <f>P_1_minW-(AG2721^2*R_up)+dpup_minQ</f>
        <v>-384.47665995853441</v>
      </c>
      <c r="AH2723" s="132"/>
      <c r="AI2723" s="145"/>
      <c r="AJ2723" s="138">
        <f>P_1_minW-(AJ2721^2*R_up)+dpup_minQ</f>
        <v>-681.40596888694017</v>
      </c>
      <c r="AK2723" s="132"/>
      <c r="AL2723" s="145"/>
      <c r="AM2723" s="138">
        <f>P_1_minW-(AM2721^2*R_up)+dpup_minQ</f>
        <v>-974.58286708345497</v>
      </c>
      <c r="AN2723" s="132"/>
      <c r="AO2723" s="145"/>
      <c r="AP2723" s="138">
        <f>P_1_minW-(AP2721^2*R_up)+dpup_minQ</f>
        <v>-1237.678271481137</v>
      </c>
      <c r="AQ2723" s="132"/>
      <c r="AR2723" s="145"/>
      <c r="AS2723" s="138">
        <f>P_1_minW-(AS2721^2*R_up)+dpup_minQ</f>
        <v>-1565.1572939625132</v>
      </c>
      <c r="AT2723" s="132"/>
      <c r="AU2723" s="145"/>
    </row>
    <row r="2724" spans="13:47" x14ac:dyDescent="0.25">
      <c r="M2724" s="20"/>
      <c r="N2724" s="20"/>
      <c r="O2724" s="7" t="s">
        <v>189</v>
      </c>
      <c r="P2724" s="1"/>
      <c r="Q2724" s="7"/>
      <c r="R2724" s="181">
        <f>P_2_minW+(R2721^2*R_dn)-dpdn_minQ</f>
        <v>50</v>
      </c>
      <c r="S2724" s="132"/>
      <c r="T2724" s="146"/>
      <c r="U2724" s="138">
        <f>P_2_minW+(U2721^2*R_dn)-dpdn_minQ</f>
        <v>50</v>
      </c>
      <c r="V2724" s="132"/>
      <c r="W2724" s="146"/>
      <c r="X2724" s="138">
        <f>P_2_minW+(X2721^2*R_dn)-dpdn_minQ</f>
        <v>50</v>
      </c>
      <c r="Y2724" s="132"/>
      <c r="Z2724" s="146"/>
      <c r="AA2724" s="138">
        <f>P_2_minW+(AA2721^2*R_dn)-dpdn_minQ</f>
        <v>50</v>
      </c>
      <c r="AB2724" s="132"/>
      <c r="AC2724" s="146"/>
      <c r="AD2724" s="138">
        <f>P_2_minW+(AD2721^2*R_dn)-dpdn_minQ</f>
        <v>50</v>
      </c>
      <c r="AE2724" s="132"/>
      <c r="AF2724" s="146"/>
      <c r="AG2724" s="138">
        <f>P_2_minW+(AG2721^2*R_dn)-dpdn_minQ</f>
        <v>50</v>
      </c>
      <c r="AH2724" s="132"/>
      <c r="AI2724" s="146"/>
      <c r="AJ2724" s="138">
        <f>P_2_minW+(AJ2721^2*R_dn)-dpdn_minQ</f>
        <v>50</v>
      </c>
      <c r="AK2724" s="132"/>
      <c r="AL2724" s="146"/>
      <c r="AM2724" s="138">
        <f>P_2_minW+(AM2721^2*R_dn)-dpdn_minQ</f>
        <v>50</v>
      </c>
      <c r="AN2724" s="132"/>
      <c r="AO2724" s="146"/>
      <c r="AP2724" s="138">
        <f>P_2_minW+(AP2721^2*R_dn)-dpdn_minQ</f>
        <v>50</v>
      </c>
      <c r="AQ2724" s="132"/>
      <c r="AR2724" s="146"/>
      <c r="AS2724" s="138">
        <f>P_2_minW+(AS2721^2*R_dn)-dpdn_minQ</f>
        <v>50</v>
      </c>
      <c r="AT2724" s="132"/>
      <c r="AU2724" s="146"/>
    </row>
    <row r="2725" spans="13:47" x14ac:dyDescent="0.25">
      <c r="M2725" s="20"/>
      <c r="N2725" s="20"/>
      <c r="O2725" s="7" t="s">
        <v>234</v>
      </c>
      <c r="P2725" s="1"/>
      <c r="Q2725" s="7"/>
      <c r="R2725" s="179">
        <f>'Valve Sizing'!G$8*R2723/P_1_maxW</f>
        <v>0.48439798980354337</v>
      </c>
      <c r="S2725" s="132"/>
      <c r="T2725" s="146"/>
      <c r="U2725" s="143">
        <f>'Valve Sizing'!$G$8*U2723/P_1_maxW</f>
        <v>0.46595496921565316</v>
      </c>
      <c r="V2725" s="132"/>
      <c r="W2725" s="146"/>
      <c r="X2725" s="143">
        <f>'Valve Sizing'!$G$8*X2723/P_1_maxW</f>
        <v>0.36900557535785039</v>
      </c>
      <c r="Y2725" s="132"/>
      <c r="Z2725" s="146"/>
      <c r="AA2725" s="143">
        <f>'Valve Sizing'!$G$8*AA2723/P_1_maxW</f>
        <v>4.5218957143005917E-2</v>
      </c>
      <c r="AB2725" s="132"/>
      <c r="AC2725" s="146"/>
      <c r="AD2725" s="143">
        <f>'Valve Sizing'!$G$8*AD2723/P_1_maxW</f>
        <v>-0.70436222924181979</v>
      </c>
      <c r="AE2725" s="132"/>
      <c r="AF2725" s="146"/>
      <c r="AG2725" s="143">
        <f>'Valve Sizing'!$G$8*AG2723/P_1_maxW</f>
        <v>-1.8546469557897685</v>
      </c>
      <c r="AH2725" s="132"/>
      <c r="AI2725" s="146"/>
      <c r="AJ2725" s="143">
        <f>'Valve Sizing'!$G$8*AJ2723/P_1_maxW</f>
        <v>-3.2869810770553349</v>
      </c>
      <c r="AK2725" s="132"/>
      <c r="AL2725" s="146"/>
      <c r="AM2725" s="143">
        <f>'Valve Sizing'!$G$8*AM2723/P_1_maxW</f>
        <v>-4.7012142370258134</v>
      </c>
      <c r="AN2725" s="132"/>
      <c r="AO2725" s="146"/>
      <c r="AP2725" s="143">
        <f>'Valve Sizing'!$G$8*AP2723/P_1_maxW</f>
        <v>-5.9703396265905893</v>
      </c>
      <c r="AQ2725" s="132"/>
      <c r="AR2725" s="146"/>
      <c r="AS2725" s="143">
        <f>'Valve Sizing'!$G$8*AS2723/P_1_maxW</f>
        <v>-7.5500401269944293</v>
      </c>
      <c r="AT2725" s="132"/>
      <c r="AU2725" s="146"/>
    </row>
    <row r="2726" spans="13:47" x14ac:dyDescent="0.25">
      <c r="M2726" s="20"/>
      <c r="N2726" s="20"/>
      <c r="O2726" s="7" t="s">
        <v>190</v>
      </c>
      <c r="P2726" s="1"/>
      <c r="Q2726" s="7"/>
      <c r="R2726" s="181">
        <f>R2723-R2724</f>
        <v>50.417883106484638</v>
      </c>
      <c r="S2726" s="132"/>
      <c r="T2726" s="146"/>
      <c r="U2726" s="138">
        <f>U2723-U2724</f>
        <v>46.59456194390846</v>
      </c>
      <c r="V2726" s="132"/>
      <c r="W2726" s="146"/>
      <c r="X2726" s="138">
        <f>X2723-X2724</f>
        <v>26.496516319058173</v>
      </c>
      <c r="Y2726" s="132"/>
      <c r="Z2726" s="146"/>
      <c r="AA2726" s="138">
        <f>AA2723-AA2724</f>
        <v>-40.62590669621666</v>
      </c>
      <c r="AB2726" s="132"/>
      <c r="AC2726" s="146"/>
      <c r="AD2726" s="138">
        <f>AD2723-AD2724</f>
        <v>-196.0174597944019</v>
      </c>
      <c r="AE2726" s="132"/>
      <c r="AF2726" s="146"/>
      <c r="AG2726" s="138">
        <f>AG2723-AG2724</f>
        <v>-434.47665995853441</v>
      </c>
      <c r="AH2726" s="132"/>
      <c r="AI2726" s="146"/>
      <c r="AJ2726" s="138">
        <f>AJ2723-AJ2724</f>
        <v>-731.40596888694017</v>
      </c>
      <c r="AK2726" s="132"/>
      <c r="AL2726" s="146"/>
      <c r="AM2726" s="138">
        <f>AM2723-AM2724</f>
        <v>-1024.5828670834549</v>
      </c>
      <c r="AN2726" s="132"/>
      <c r="AO2726" s="146"/>
      <c r="AP2726" s="138">
        <f>AP2723-AP2724</f>
        <v>-1287.678271481137</v>
      </c>
      <c r="AQ2726" s="132"/>
      <c r="AR2726" s="146"/>
      <c r="AS2726" s="138">
        <f>AS2723-AS2724</f>
        <v>-1615.1572939625132</v>
      </c>
      <c r="AT2726" s="132"/>
      <c r="AU2726" s="146"/>
    </row>
    <row r="2727" spans="13:47" ht="14.5" x14ac:dyDescent="0.35">
      <c r="M2727" s="27"/>
      <c r="N2727" s="27"/>
      <c r="O2727" s="2" t="s">
        <v>191</v>
      </c>
      <c r="P2727" s="10"/>
      <c r="Q2727" s="2"/>
      <c r="R2727" s="181">
        <f>R2726/R2723</f>
        <v>0.50208072055274011</v>
      </c>
      <c r="S2727" s="132"/>
      <c r="T2727" s="146"/>
      <c r="U2727" s="138">
        <f>U2726/U2723</f>
        <v>0.48237251669473358</v>
      </c>
      <c r="V2727" s="132"/>
      <c r="W2727" s="146"/>
      <c r="X2727" s="138">
        <f>X2726/X2723</f>
        <v>0.34637546379947881</v>
      </c>
      <c r="Y2727" s="132"/>
      <c r="Z2727" s="146"/>
      <c r="AA2727" s="138">
        <f>AA2726/AA2723</f>
        <v>-4.3338491926275404</v>
      </c>
      <c r="AB2727" s="132"/>
      <c r="AC2727" s="146"/>
      <c r="AD2727" s="138">
        <f>AD2726/AD2723</f>
        <v>1.342424803652946</v>
      </c>
      <c r="AE2727" s="132"/>
      <c r="AF2727" s="146"/>
      <c r="AG2727" s="138">
        <f>AG2726/AG2723</f>
        <v>1.1300469058522109</v>
      </c>
      <c r="AH2727" s="132"/>
      <c r="AI2727" s="146"/>
      <c r="AJ2727" s="138">
        <f>AJ2726/AJ2723</f>
        <v>1.073377695944862</v>
      </c>
      <c r="AK2727" s="132"/>
      <c r="AL2727" s="146"/>
      <c r="AM2727" s="138">
        <f>AM2726/AM2723</f>
        <v>1.0513040006024632</v>
      </c>
      <c r="AN2727" s="132"/>
      <c r="AO2727" s="146"/>
      <c r="AP2727" s="138">
        <f>AP2726/AP2723</f>
        <v>1.0403982207267521</v>
      </c>
      <c r="AQ2727" s="132"/>
      <c r="AR2727" s="146"/>
      <c r="AS2727" s="138">
        <f>AS2726/AS2723</f>
        <v>1.0319456710152211</v>
      </c>
      <c r="AT2727" s="132"/>
      <c r="AU2727" s="146"/>
    </row>
    <row r="2728" spans="13:47" x14ac:dyDescent="0.25">
      <c r="M2728" s="27"/>
      <c r="N2728" s="27"/>
      <c r="O2728" s="2" t="s">
        <v>26</v>
      </c>
      <c r="P2728" s="7">
        <v>12</v>
      </c>
      <c r="Q2728" s="2"/>
      <c r="R2728" s="181">
        <f>1-R2727/(3*F_GAMMA*R$29)</f>
        <v>0.73851060732855889</v>
      </c>
      <c r="S2728" s="133"/>
      <c r="T2728" s="146"/>
      <c r="U2728" s="138">
        <f>1-U2727/(3*F_GAMMA*U$29)</f>
        <v>0.74883017925517636</v>
      </c>
      <c r="V2728" s="133"/>
      <c r="W2728" s="146"/>
      <c r="X2728" s="138">
        <f>1-X2727/(3*F_GAMMA*X$29)</f>
        <v>0.81693777215168306</v>
      </c>
      <c r="Y2728" s="133"/>
      <c r="Z2728" s="146"/>
      <c r="AA2728" s="138">
        <f>1-AA2727/(3*F_GAMMA*AA$29)</f>
        <v>3.3218798619954373</v>
      </c>
      <c r="AB2728" s="133"/>
      <c r="AC2728" s="146"/>
      <c r="AD2728" s="138">
        <f>1-AD2727/(3*F_GAMMA*AD$29)</f>
        <v>0.26107044972620375</v>
      </c>
      <c r="AE2728" s="133"/>
      <c r="AF2728" s="146"/>
      <c r="AG2728" s="138">
        <f>1-AG2727/(3*F_GAMMA*AG$29)</f>
        <v>0.34249114212965082</v>
      </c>
      <c r="AH2728" s="133"/>
      <c r="AI2728" s="146"/>
      <c r="AJ2728" s="138">
        <f>1-AJ2727/(3*F_GAMMA*AJ$29)</f>
        <v>0.33236220080876078</v>
      </c>
      <c r="AK2728" s="133"/>
      <c r="AL2728" s="146"/>
      <c r="AM2728" s="138">
        <f>1-AM2727/(3*F_GAMMA*AM$29)</f>
        <v>0.2855389875463793</v>
      </c>
      <c r="AN2728" s="133"/>
      <c r="AO2728" s="146"/>
      <c r="AP2728" s="138">
        <f>1-AP2727/(3*F_GAMMA*AP$29)</f>
        <v>0.41570008337105913</v>
      </c>
      <c r="AQ2728" s="133"/>
      <c r="AR2728" s="146"/>
      <c r="AS2728" s="138">
        <f>1-AS2727/(3*F_GAMMA*AS$29)</f>
        <v>0.12018839159614569</v>
      </c>
      <c r="AT2728" s="133"/>
      <c r="AU2728" s="146"/>
    </row>
    <row r="2729" spans="13:47" x14ac:dyDescent="0.25">
      <c r="M2729" s="27"/>
      <c r="N2729" s="27"/>
      <c r="O2729" s="2" t="s">
        <v>71</v>
      </c>
      <c r="P2729" s="85">
        <v>5</v>
      </c>
      <c r="Q2729" s="2"/>
      <c r="R2729" s="179">
        <f>R2721/((N_6*R$27*R2728)*SQRT(R2727*R2723*R2725))</f>
        <v>2.2204244835418154</v>
      </c>
      <c r="S2729" s="133"/>
      <c r="T2729" s="146"/>
      <c r="U2729" s="143">
        <f>U2721/((N_6*U$27*U2728)*SQRT(U2727*U2723*U2725))</f>
        <v>14.221197107814184</v>
      </c>
      <c r="V2729" s="133"/>
      <c r="W2729" s="146"/>
      <c r="X2729" s="143">
        <f>X2721/((N_6*X$27*X2728)*SQRT(X2727*X2723*X2725))</f>
        <v>48.146607714055101</v>
      </c>
      <c r="Y2729" s="133"/>
      <c r="Z2729" s="146"/>
      <c r="AA2729" s="143" t="e">
        <f>AA2721/((N_6*AA$27*AA2728)*SQRT(AA2727*AA2723*AA2725))</f>
        <v>#NUM!</v>
      </c>
      <c r="AB2729" s="133"/>
      <c r="AC2729" s="146"/>
      <c r="AD2729" s="143">
        <f>AD2721/((N_6*AD$27*AD2728)*SQRT(AD2727*AD2723*AD2725))</f>
        <v>130.70686324536459</v>
      </c>
      <c r="AE2729" s="133"/>
      <c r="AF2729" s="146"/>
      <c r="AG2729" s="143">
        <f>AG2721/((N_6*AG$27*AG2728)*SQRT(AG2727*AG2723*AG2725))</f>
        <v>59.092961203565373</v>
      </c>
      <c r="AH2729" s="133"/>
      <c r="AI2729" s="146"/>
      <c r="AJ2729" s="143">
        <f>AJ2721/((N_6*AJ$27*AJ2728)*SQRT(AJ2727*AJ2723*AJ2725))</f>
        <v>46.300109348973805</v>
      </c>
      <c r="AK2729" s="133"/>
      <c r="AL2729" s="146"/>
      <c r="AM2729" s="143">
        <f>AM2721/((N_6*AM$27*AM2728)*SQRT(AM2727*AM2723*AM2725))</f>
        <v>47.386402371119971</v>
      </c>
      <c r="AN2729" s="133"/>
      <c r="AO2729" s="146"/>
      <c r="AP2729" s="143">
        <f>AP2721/((N_6*AP$27*AP2728)*SQRT(AP2727*AP2723*AP2725))</f>
        <v>32.651537768101626</v>
      </c>
      <c r="AQ2729" s="133"/>
      <c r="AR2729" s="146"/>
      <c r="AS2729" s="143">
        <f>AS2721/((N_6*AS$27*AS2728)*SQRT(AS2727*AS2723*AS2725))</f>
        <v>131.45131016681825</v>
      </c>
      <c r="AT2729" s="133"/>
      <c r="AU2729" s="146"/>
    </row>
    <row r="2730" spans="13:47" x14ac:dyDescent="0.25">
      <c r="M2730" s="27"/>
      <c r="N2730" s="27"/>
      <c r="O2730" s="2" t="s">
        <v>73</v>
      </c>
      <c r="P2730" s="85">
        <v>5</v>
      </c>
      <c r="Q2730" s="2"/>
      <c r="R2730" s="179">
        <f>R2721/((N_6*R$27*0.667)*SQRT(R2731*R2723*R2725))</f>
        <v>2.1774820148925866</v>
      </c>
      <c r="S2730" s="133"/>
      <c r="T2730" s="147"/>
      <c r="U2730" s="143">
        <f>U2721/((N_6*U$27*0.667)*SQRT(U2731*U2723*U2725))</f>
        <v>13.85919534159798</v>
      </c>
      <c r="V2730" s="133"/>
      <c r="W2730" s="155"/>
      <c r="X2730" s="143">
        <f>X2721/((N_6*X$27*0.667)*SQRT(X2731*X2723*X2725))</f>
        <v>43.700744425955662</v>
      </c>
      <c r="Y2730" s="133"/>
      <c r="Z2730" s="155"/>
      <c r="AA2730" s="143">
        <f>AA2721/((N_6*AA$27*0.667)*SQRT(AA2731*AA2723*AA2725))</f>
        <v>703.36541483034091</v>
      </c>
      <c r="AB2730" s="133"/>
      <c r="AC2730" s="155"/>
      <c r="AD2730" s="143">
        <f>AD2721/((N_6*AD$27*0.667)*SQRT(AD2731*AD2723*AD2725))</f>
        <v>76.171484650097</v>
      </c>
      <c r="AE2730" s="133"/>
      <c r="AF2730" s="155"/>
      <c r="AG2730" s="143">
        <f>AG2721/((N_6*AG$27*0.667)*SQRT(AG2731*AG2723*AG2725))</f>
        <v>42.61580481224771</v>
      </c>
      <c r="AH2730" s="133"/>
      <c r="AI2730" s="155"/>
      <c r="AJ2730" s="143">
        <f>AJ2721/((N_6*AJ$27*0.667)*SQRT(AJ2731*AJ2723*AJ2725))</f>
        <v>32.651181018617287</v>
      </c>
      <c r="AK2730" s="133"/>
      <c r="AL2730" s="155"/>
      <c r="AM2730" s="143">
        <f>AM2721/((N_6*AM$27*0.667)*SQRT(AM2731*AM2723*AM2725))</f>
        <v>29.699094885631776</v>
      </c>
      <c r="AN2730" s="133"/>
      <c r="AO2730" s="155"/>
      <c r="AP2730" s="143">
        <f>AP2721/((N_6*AP$27*0.667)*SQRT(AP2731*AP2723*AP2725))</f>
        <v>26.942411005495924</v>
      </c>
      <c r="AQ2730" s="133"/>
      <c r="AR2730" s="155"/>
      <c r="AS2730" s="143">
        <f>AS2721/((N_6*AS$27*0.667)*SQRT(AS2731*AS2723*AS2725))</f>
        <v>38.481950777150217</v>
      </c>
      <c r="AT2730" s="133"/>
      <c r="AU2730" s="155"/>
    </row>
    <row r="2731" spans="13:47" ht="15.5" x14ac:dyDescent="0.4">
      <c r="M2731" s="27"/>
      <c r="N2731" s="27"/>
      <c r="O2731" s="2" t="s">
        <v>192</v>
      </c>
      <c r="P2731" s="85">
        <v>10</v>
      </c>
      <c r="Q2731" s="2"/>
      <c r="R2731" s="181">
        <f>F_GAMMA*R$29</f>
        <v>0.64002688015162901</v>
      </c>
      <c r="S2731" s="133"/>
      <c r="T2731" s="147"/>
      <c r="U2731" s="138">
        <f>F_GAMMA*U$29</f>
        <v>0.64016782916606918</v>
      </c>
      <c r="V2731" s="133"/>
      <c r="W2731" s="155"/>
      <c r="X2731" s="138">
        <f>F_GAMMA*X$29</f>
        <v>0.6307062319203669</v>
      </c>
      <c r="Y2731" s="133"/>
      <c r="Z2731" s="155"/>
      <c r="AA2731" s="138">
        <f>F_GAMMA*AA$29</f>
        <v>0.62217534213893466</v>
      </c>
      <c r="AB2731" s="133"/>
      <c r="AC2731" s="155"/>
      <c r="AD2731" s="138">
        <f>F_GAMMA*AD$29</f>
        <v>0.60557184969146072</v>
      </c>
      <c r="AE2731" s="133"/>
      <c r="AF2731" s="155"/>
      <c r="AG2731" s="138">
        <f>F_GAMMA*AG$29</f>
        <v>0.57289312142622573</v>
      </c>
      <c r="AH2731" s="133"/>
      <c r="AI2731" s="155"/>
      <c r="AJ2731" s="138">
        <f>F_GAMMA*AJ$29</f>
        <v>0.53590819116049981</v>
      </c>
      <c r="AK2731" s="133"/>
      <c r="AL2731" s="155"/>
      <c r="AM2731" s="138">
        <f>F_GAMMA*AM$29</f>
        <v>0.49048815926850342</v>
      </c>
      <c r="AN2731" s="133"/>
      <c r="AO2731" s="155"/>
      <c r="AP2731" s="138">
        <f>F_GAMMA*AP$29</f>
        <v>0.59352979016280105</v>
      </c>
      <c r="AQ2731" s="133"/>
      <c r="AR2731" s="155"/>
      <c r="AS2731" s="138">
        <f>F_GAMMA*AS$29</f>
        <v>0.39097221161068291</v>
      </c>
      <c r="AT2731" s="133"/>
      <c r="AU2731" s="155"/>
    </row>
    <row r="2732" spans="13:47" x14ac:dyDescent="0.25">
      <c r="M2732" s="27"/>
      <c r="N2732" s="27"/>
      <c r="O2732" s="2" t="s">
        <v>193</v>
      </c>
      <c r="P2732" s="134"/>
      <c r="Q2732" s="2"/>
      <c r="R2732" s="181">
        <f>IF(R2727&lt;R2731,R2729,R2730)</f>
        <v>2.2204244835418154</v>
      </c>
      <c r="S2732" s="133"/>
      <c r="T2732" s="147"/>
      <c r="U2732" s="138">
        <f>IF(U2727&lt;U2731,U2729,U2730)</f>
        <v>14.221197107814184</v>
      </c>
      <c r="V2732" s="133"/>
      <c r="W2732" s="155"/>
      <c r="X2732" s="138">
        <f>IF(X2727&lt;X2731,X2729,X2730)</f>
        <v>48.146607714055101</v>
      </c>
      <c r="Y2732" s="133"/>
      <c r="Z2732" s="155"/>
      <c r="AA2732" s="138" t="e">
        <f>IF(AA2727&lt;AA2731,AA2729,AA2730)</f>
        <v>#NUM!</v>
      </c>
      <c r="AB2732" s="133"/>
      <c r="AC2732" s="155"/>
      <c r="AD2732" s="138">
        <f>IF(AD2727&lt;AD2731,AD2729,AD2730)</f>
        <v>76.171484650097</v>
      </c>
      <c r="AE2732" s="133"/>
      <c r="AF2732" s="155"/>
      <c r="AG2732" s="138">
        <f>IF(AG2727&lt;AG2731,AG2729,AG2730)</f>
        <v>42.61580481224771</v>
      </c>
      <c r="AH2732" s="133"/>
      <c r="AI2732" s="155"/>
      <c r="AJ2732" s="138">
        <f>IF(AJ2727&lt;AJ2731,AJ2729,AJ2730)</f>
        <v>32.651181018617287</v>
      </c>
      <c r="AK2732" s="133"/>
      <c r="AL2732" s="155"/>
      <c r="AM2732" s="138">
        <f>IF(AM2727&lt;AM2731,AM2729,AM2730)</f>
        <v>29.699094885631776</v>
      </c>
      <c r="AN2732" s="133"/>
      <c r="AO2732" s="155"/>
      <c r="AP2732" s="138">
        <f>IF(AP2727&lt;AP2731,AP2729,AP2730)</f>
        <v>26.942411005495924</v>
      </c>
      <c r="AQ2732" s="133"/>
      <c r="AR2732" s="155"/>
      <c r="AS2732" s="138">
        <f>IF(AS2727&lt;AS2731,AS2729,AS2730)</f>
        <v>38.481950777150217</v>
      </c>
      <c r="AT2732" s="133"/>
      <c r="AU2732" s="155"/>
    </row>
    <row r="2733" spans="13:47" ht="13" x14ac:dyDescent="0.3">
      <c r="M2733" s="28"/>
      <c r="N2733" s="28"/>
      <c r="O2733" s="9" t="s">
        <v>194</v>
      </c>
      <c r="P2733" s="1"/>
      <c r="Q2733" s="1"/>
      <c r="R2733" s="135"/>
      <c r="S2733" s="132">
        <f>IF(R2726&lt;=0,W_max,ABS(R$23-R2732))</f>
        <v>0.22042448354181543</v>
      </c>
      <c r="T2733" s="151">
        <f>R2721</f>
        <v>512.90680954745335</v>
      </c>
      <c r="U2733" s="135"/>
      <c r="V2733" s="132">
        <f>IF(U2726&lt;=0,W_max,ABS(U$23-U2732))</f>
        <v>9.2211971078141843</v>
      </c>
      <c r="W2733" s="151">
        <f>U2721</f>
        <v>3138.639039999845</v>
      </c>
      <c r="X2733" s="135"/>
      <c r="Y2733" s="132">
        <f>IF(X2726&lt;=0,W_max,ABS(X$23-X2732))</f>
        <v>38.146607714055101</v>
      </c>
      <c r="Z2733" s="151">
        <f>X2721</f>
        <v>7762.2278483436739</v>
      </c>
      <c r="AA2733" s="135"/>
      <c r="AB2733" s="132">
        <f>IF(AA2726&lt;=0,W_max,ABS(AA$23-AA2732))</f>
        <v>7174</v>
      </c>
      <c r="AC2733" s="151">
        <f>AA2721</f>
        <v>15118.838575517842</v>
      </c>
      <c r="AD2733" s="135"/>
      <c r="AE2733" s="132">
        <f>IF(AD2726&lt;=0,W_max,ABS(AD$23-AD2732))</f>
        <v>7174</v>
      </c>
      <c r="AF2733" s="151">
        <f>AD2721</f>
        <v>24864.923030617483</v>
      </c>
      <c r="AG2733" s="135"/>
      <c r="AH2733" s="132">
        <f>IF(AG2726&lt;=0,W_max,ABS(AG$23-AG2732))</f>
        <v>7174</v>
      </c>
      <c r="AI2733" s="151">
        <f>AG2721</f>
        <v>34874.968805621851</v>
      </c>
      <c r="AJ2733" s="135"/>
      <c r="AK2733" s="132">
        <f>IF(AJ2726&lt;=0,W_max,ABS(AJ$23-AJ2732))</f>
        <v>7174</v>
      </c>
      <c r="AL2733" s="151">
        <f>AJ2721</f>
        <v>44281.956258967759</v>
      </c>
      <c r="AM2733" s="135"/>
      <c r="AN2733" s="132">
        <f>IF(AM2726&lt;=0,W_max,ABS(AM$23-AM2732))</f>
        <v>7174</v>
      </c>
      <c r="AO2733" s="151">
        <f>AM2721</f>
        <v>51924.076264710922</v>
      </c>
      <c r="AP2733" s="135"/>
      <c r="AQ2733" s="132">
        <f>IF(AP2726&lt;=0,W_max,ABS(AP$23-AP2732))</f>
        <v>7174</v>
      </c>
      <c r="AR2733" s="151">
        <f>AP2721</f>
        <v>57930.04831837384</v>
      </c>
      <c r="AS2733" s="135"/>
      <c r="AT2733" s="132">
        <f>IF(AS2726&lt;=0,W_max,ABS(AS$23-AS2732))</f>
        <v>7174</v>
      </c>
      <c r="AU2733" s="151">
        <f>AS2721</f>
        <v>64630.721229602037</v>
      </c>
    </row>
    <row r="2734" spans="13:47" ht="13" x14ac:dyDescent="0.25">
      <c r="M2734" s="12"/>
      <c r="N2734" s="12"/>
      <c r="O2734" s="12"/>
      <c r="P2734" s="12"/>
      <c r="Q2734" s="12"/>
      <c r="R2734" s="182"/>
      <c r="S2734" s="22"/>
      <c r="T2734" s="152"/>
      <c r="U2734" s="157"/>
      <c r="V2734" s="1"/>
      <c r="W2734" s="147"/>
      <c r="X2734" s="157"/>
      <c r="Y2734" s="1"/>
      <c r="Z2734" s="147"/>
      <c r="AA2734" s="157"/>
      <c r="AB2734" s="1"/>
      <c r="AC2734" s="147"/>
      <c r="AD2734" s="157"/>
      <c r="AE2734" s="1"/>
      <c r="AF2734" s="147"/>
      <c r="AG2734" s="157"/>
      <c r="AH2734" s="1"/>
      <c r="AI2734" s="147"/>
      <c r="AJ2734" s="157"/>
      <c r="AK2734" s="1"/>
      <c r="AL2734" s="147"/>
      <c r="AM2734" s="157"/>
      <c r="AN2734" s="1"/>
      <c r="AO2734" s="147"/>
      <c r="AP2734" s="157"/>
      <c r="AQ2734" s="1"/>
      <c r="AR2734" s="147"/>
      <c r="AS2734" s="157"/>
      <c r="AT2734" s="1"/>
      <c r="AU2734" s="147"/>
    </row>
    <row r="2735" spans="13:47" ht="14" x14ac:dyDescent="0.3">
      <c r="M2735" s="23"/>
      <c r="N2735" s="23"/>
      <c r="O2735" s="23" t="s">
        <v>238</v>
      </c>
      <c r="P2735" s="20"/>
      <c r="Q2735" s="20"/>
      <c r="R2735" s="18">
        <f>R2721*1.02</f>
        <v>523.16494573840248</v>
      </c>
      <c r="S2735" s="128" t="s">
        <v>185</v>
      </c>
      <c r="T2735" s="153" t="s">
        <v>186</v>
      </c>
      <c r="U2735" s="143">
        <f>U2721*1.01</f>
        <v>3170.0254303998436</v>
      </c>
      <c r="V2735" s="128" t="s">
        <v>185</v>
      </c>
      <c r="W2735" s="153" t="s">
        <v>186</v>
      </c>
      <c r="X2735" s="143">
        <f>X2721*1.01</f>
        <v>7839.8501268271111</v>
      </c>
      <c r="Y2735" s="128" t="s">
        <v>185</v>
      </c>
      <c r="Z2735" s="153" t="s">
        <v>186</v>
      </c>
      <c r="AA2735" s="143">
        <f>AA2721*1.01</f>
        <v>15270.026961273021</v>
      </c>
      <c r="AB2735" s="128" t="s">
        <v>185</v>
      </c>
      <c r="AC2735" s="153" t="s">
        <v>186</v>
      </c>
      <c r="AD2735" s="143">
        <f>AD2721*1.01</f>
        <v>25113.572260923658</v>
      </c>
      <c r="AE2735" s="128" t="s">
        <v>185</v>
      </c>
      <c r="AF2735" s="153" t="s">
        <v>186</v>
      </c>
      <c r="AG2735" s="143">
        <f>AG2721*1.01</f>
        <v>35223.718493678069</v>
      </c>
      <c r="AH2735" s="128" t="s">
        <v>185</v>
      </c>
      <c r="AI2735" s="153" t="s">
        <v>186</v>
      </c>
      <c r="AJ2735" s="143">
        <f>AJ2721*1.01</f>
        <v>44724.775821557436</v>
      </c>
      <c r="AK2735" s="128" t="s">
        <v>185</v>
      </c>
      <c r="AL2735" s="153" t="s">
        <v>186</v>
      </c>
      <c r="AM2735" s="143">
        <f>AM2721*1.01</f>
        <v>52443.317027358033</v>
      </c>
      <c r="AN2735" s="128" t="s">
        <v>185</v>
      </c>
      <c r="AO2735" s="153" t="s">
        <v>186</v>
      </c>
      <c r="AP2735" s="143">
        <f>AP2721*1.01</f>
        <v>58509.348801557579</v>
      </c>
      <c r="AQ2735" s="128" t="s">
        <v>185</v>
      </c>
      <c r="AR2735" s="153" t="s">
        <v>186</v>
      </c>
      <c r="AS2735" s="143">
        <f>AS2721*1.01</f>
        <v>65277.028441898059</v>
      </c>
      <c r="AT2735" s="128" t="s">
        <v>185</v>
      </c>
      <c r="AU2735" s="153" t="s">
        <v>186</v>
      </c>
    </row>
    <row r="2736" spans="13:47" ht="14" x14ac:dyDescent="0.3">
      <c r="M2736" s="12"/>
      <c r="N2736" s="12"/>
      <c r="O2736" s="20"/>
      <c r="P2736" s="20"/>
      <c r="Q2736" s="23"/>
      <c r="R2736" s="139"/>
      <c r="S2736" s="130" t="s">
        <v>228</v>
      </c>
      <c r="T2736" s="154" t="s">
        <v>187</v>
      </c>
      <c r="U2736" s="144"/>
      <c r="V2736" s="130" t="s">
        <v>228</v>
      </c>
      <c r="W2736" s="154" t="s">
        <v>187</v>
      </c>
      <c r="X2736" s="144"/>
      <c r="Y2736" s="130" t="s">
        <v>228</v>
      </c>
      <c r="Z2736" s="154" t="s">
        <v>187</v>
      </c>
      <c r="AA2736" s="144"/>
      <c r="AB2736" s="130" t="s">
        <v>228</v>
      </c>
      <c r="AC2736" s="154" t="s">
        <v>187</v>
      </c>
      <c r="AD2736" s="144"/>
      <c r="AE2736" s="130" t="s">
        <v>228</v>
      </c>
      <c r="AF2736" s="154" t="s">
        <v>187</v>
      </c>
      <c r="AG2736" s="144"/>
      <c r="AH2736" s="130" t="s">
        <v>228</v>
      </c>
      <c r="AI2736" s="154" t="s">
        <v>187</v>
      </c>
      <c r="AJ2736" s="144"/>
      <c r="AK2736" s="130" t="s">
        <v>228</v>
      </c>
      <c r="AL2736" s="154" t="s">
        <v>187</v>
      </c>
      <c r="AM2736" s="144"/>
      <c r="AN2736" s="130" t="s">
        <v>228</v>
      </c>
      <c r="AO2736" s="154" t="s">
        <v>187</v>
      </c>
      <c r="AP2736" s="144"/>
      <c r="AQ2736" s="130" t="s">
        <v>228</v>
      </c>
      <c r="AR2736" s="154" t="s">
        <v>187</v>
      </c>
      <c r="AS2736" s="144"/>
      <c r="AT2736" s="130" t="s">
        <v>228</v>
      </c>
      <c r="AU2736" s="154" t="s">
        <v>187</v>
      </c>
    </row>
    <row r="2737" spans="13:47" x14ac:dyDescent="0.25">
      <c r="M2737" s="20"/>
      <c r="N2737" s="20"/>
      <c r="O2737" s="7" t="s">
        <v>188</v>
      </c>
      <c r="P2737" s="7"/>
      <c r="Q2737" s="7"/>
      <c r="R2737" s="181">
        <f>P_1_minW-(R2735^2*R_up)+dpup_minQ</f>
        <v>100.41364499982286</v>
      </c>
      <c r="S2737" s="132"/>
      <c r="T2737" s="145"/>
      <c r="U2737" s="138">
        <f>P_1_minW-(U2735^2*R_up)+dpup_minQ</f>
        <v>96.51560462557282</v>
      </c>
      <c r="V2737" s="132"/>
      <c r="W2737" s="145"/>
      <c r="X2737" s="138">
        <f>P_1_minW-(X2735^2*R_up)+dpup_minQ</f>
        <v>76.013588283663026</v>
      </c>
      <c r="Y2737" s="132"/>
      <c r="Z2737" s="145"/>
      <c r="AA2737" s="138">
        <f>P_1_minW-(AA2735^2*R_up)+dpup_minQ</f>
        <v>7.542004565781169</v>
      </c>
      <c r="AB2737" s="132"/>
      <c r="AC2737" s="145"/>
      <c r="AD2737" s="138">
        <f>P_1_minW-(AD2735^2*R_up)+dpup_minQ</f>
        <v>-150.97291874967758</v>
      </c>
      <c r="AE2737" s="132"/>
      <c r="AF2737" s="145"/>
      <c r="AG2737" s="138">
        <f>P_1_minW-(AG2735^2*R_up)+dpup_minQ</f>
        <v>-394.2251488371092</v>
      </c>
      <c r="AH2737" s="132"/>
      <c r="AI2737" s="145"/>
      <c r="AJ2737" s="138">
        <f>P_1_minW-(AJ2735^2*R_up)+dpup_minQ</f>
        <v>-697.12273687497589</v>
      </c>
      <c r="AK2737" s="132"/>
      <c r="AL2737" s="145"/>
      <c r="AM2737" s="138">
        <f>P_1_minW-(AM2735^2*R_up)+dpup_minQ</f>
        <v>-996.19249072524087</v>
      </c>
      <c r="AN2737" s="132"/>
      <c r="AO2737" s="145"/>
      <c r="AP2737" s="138">
        <f>P_1_minW-(AP2735^2*R_up)+dpup_minQ</f>
        <v>-1264.576112751316</v>
      </c>
      <c r="AQ2737" s="132"/>
      <c r="AR2737" s="145"/>
      <c r="AS2737" s="138">
        <f>P_1_minW-(AS2735^2*R_up)+dpup_minQ</f>
        <v>-1598.637463584568</v>
      </c>
      <c r="AT2737" s="132"/>
      <c r="AU2737" s="145"/>
    </row>
    <row r="2738" spans="13:47" x14ac:dyDescent="0.25">
      <c r="M2738" s="20"/>
      <c r="N2738" s="20"/>
      <c r="O2738" s="7" t="s">
        <v>189</v>
      </c>
      <c r="P2738" s="1"/>
      <c r="Q2738" s="7"/>
      <c r="R2738" s="181">
        <f>P_2_minW+(R2735^2*R_dn)-dpdn_minQ</f>
        <v>50</v>
      </c>
      <c r="S2738" s="132"/>
      <c r="T2738" s="146"/>
      <c r="U2738" s="138">
        <f>P_2_minW+(U2735^2*R_dn)-dpdn_minQ</f>
        <v>50</v>
      </c>
      <c r="V2738" s="132"/>
      <c r="W2738" s="146"/>
      <c r="X2738" s="138">
        <f>P_2_minW+(X2735^2*R_dn)-dpdn_minQ</f>
        <v>50</v>
      </c>
      <c r="Y2738" s="132"/>
      <c r="Z2738" s="146"/>
      <c r="AA2738" s="138">
        <f>P_2_minW+(AA2735^2*R_dn)-dpdn_minQ</f>
        <v>50</v>
      </c>
      <c r="AB2738" s="132"/>
      <c r="AC2738" s="146"/>
      <c r="AD2738" s="138">
        <f>P_2_minW+(AD2735^2*R_dn)-dpdn_minQ</f>
        <v>50</v>
      </c>
      <c r="AE2738" s="132"/>
      <c r="AF2738" s="146"/>
      <c r="AG2738" s="138">
        <f>P_2_minW+(AG2735^2*R_dn)-dpdn_minQ</f>
        <v>50</v>
      </c>
      <c r="AH2738" s="132"/>
      <c r="AI2738" s="146"/>
      <c r="AJ2738" s="138">
        <f>P_2_minW+(AJ2735^2*R_dn)-dpdn_minQ</f>
        <v>50</v>
      </c>
      <c r="AK2738" s="132"/>
      <c r="AL2738" s="146"/>
      <c r="AM2738" s="138">
        <f>P_2_minW+(AM2735^2*R_dn)-dpdn_minQ</f>
        <v>50</v>
      </c>
      <c r="AN2738" s="132"/>
      <c r="AO2738" s="146"/>
      <c r="AP2738" s="138">
        <f>P_2_minW+(AP2735^2*R_dn)-dpdn_minQ</f>
        <v>50</v>
      </c>
      <c r="AQ2738" s="132"/>
      <c r="AR2738" s="146"/>
      <c r="AS2738" s="138">
        <f>P_2_minW+(AS2735^2*R_dn)-dpdn_minQ</f>
        <v>50</v>
      </c>
      <c r="AT2738" s="132"/>
      <c r="AU2738" s="146"/>
    </row>
    <row r="2739" spans="13:47" x14ac:dyDescent="0.25">
      <c r="M2739" s="20"/>
      <c r="N2739" s="20"/>
      <c r="O2739" s="7" t="s">
        <v>234</v>
      </c>
      <c r="P2739" s="1"/>
      <c r="Q2739" s="7"/>
      <c r="R2739" s="179">
        <f>'Valve Sizing'!G$8*R2737/P_1_maxW</f>
        <v>0.48437754593155535</v>
      </c>
      <c r="S2739" s="132"/>
      <c r="T2739" s="146"/>
      <c r="U2739" s="143">
        <f>'Valve Sizing'!$G$8*U2737/P_1_maxW</f>
        <v>0.46557409316948617</v>
      </c>
      <c r="V2739" s="132"/>
      <c r="W2739" s="146"/>
      <c r="X2739" s="143">
        <f>'Valve Sizing'!$G$8*X2737/P_1_maxW</f>
        <v>0.36667601649514142</v>
      </c>
      <c r="Y2739" s="132"/>
      <c r="Z2739" s="146"/>
      <c r="AA2739" s="143">
        <f>'Valve Sizing'!$G$8*AA2737/P_1_maxW</f>
        <v>3.6381287254178579E-2</v>
      </c>
      <c r="AB2739" s="132"/>
      <c r="AC2739" s="146"/>
      <c r="AD2739" s="143">
        <f>'Valve Sizing'!$G$8*AD2737/P_1_maxW</f>
        <v>-0.7282664809769821</v>
      </c>
      <c r="AE2739" s="132"/>
      <c r="AF2739" s="146"/>
      <c r="AG2739" s="143">
        <f>'Valve Sizing'!$G$8*AG2737/P_1_maxW</f>
        <v>-1.9016719305285448</v>
      </c>
      <c r="AH2739" s="132"/>
      <c r="AI2739" s="146"/>
      <c r="AJ2739" s="143">
        <f>'Valve Sizing'!$G$8*AJ2737/P_1_maxW</f>
        <v>-3.3627959676315493</v>
      </c>
      <c r="AK2739" s="132"/>
      <c r="AL2739" s="146"/>
      <c r="AM2739" s="143">
        <f>'Valve Sizing'!$G$8*AM2737/P_1_maxW</f>
        <v>-4.8054552141174351</v>
      </c>
      <c r="AN2739" s="132"/>
      <c r="AO2739" s="146"/>
      <c r="AP2739" s="143">
        <f>'Valve Sizing'!$G$8*AP2737/P_1_maxW</f>
        <v>-6.100090024012462</v>
      </c>
      <c r="AQ2739" s="132"/>
      <c r="AR2739" s="146"/>
      <c r="AS2739" s="143">
        <f>'Valve Sizing'!$G$8*AS2737/P_1_maxW</f>
        <v>-7.7115425044744184</v>
      </c>
      <c r="AT2739" s="132"/>
      <c r="AU2739" s="146"/>
    </row>
    <row r="2740" spans="13:47" x14ac:dyDescent="0.25">
      <c r="M2740" s="20"/>
      <c r="N2740" s="20"/>
      <c r="O2740" s="7" t="s">
        <v>190</v>
      </c>
      <c r="P2740" s="1"/>
      <c r="Q2740" s="7"/>
      <c r="R2740" s="181">
        <f>R2737-R2738</f>
        <v>50.413644999822864</v>
      </c>
      <c r="S2740" s="132"/>
      <c r="T2740" s="146"/>
      <c r="U2740" s="138">
        <f>U2737-U2738</f>
        <v>46.51560462557282</v>
      </c>
      <c r="V2740" s="132"/>
      <c r="W2740" s="146"/>
      <c r="X2740" s="138">
        <f>X2737-X2738</f>
        <v>26.013588283663026</v>
      </c>
      <c r="Y2740" s="132"/>
      <c r="Z2740" s="146"/>
      <c r="AA2740" s="138">
        <f>AA2737-AA2738</f>
        <v>-42.45799543421883</v>
      </c>
      <c r="AB2740" s="132"/>
      <c r="AC2740" s="146"/>
      <c r="AD2740" s="138">
        <f>AD2737-AD2738</f>
        <v>-200.97291874967758</v>
      </c>
      <c r="AE2740" s="132"/>
      <c r="AF2740" s="146"/>
      <c r="AG2740" s="138">
        <f>AG2737-AG2738</f>
        <v>-444.2251488371092</v>
      </c>
      <c r="AH2740" s="132"/>
      <c r="AI2740" s="146"/>
      <c r="AJ2740" s="138">
        <f>AJ2737-AJ2738</f>
        <v>-747.12273687497589</v>
      </c>
      <c r="AK2740" s="132"/>
      <c r="AL2740" s="146"/>
      <c r="AM2740" s="138">
        <f>AM2737-AM2738</f>
        <v>-1046.192490725241</v>
      </c>
      <c r="AN2740" s="132"/>
      <c r="AO2740" s="146"/>
      <c r="AP2740" s="138">
        <f>AP2737-AP2738</f>
        <v>-1314.576112751316</v>
      </c>
      <c r="AQ2740" s="132"/>
      <c r="AR2740" s="146"/>
      <c r="AS2740" s="138">
        <f>AS2737-AS2738</f>
        <v>-1648.637463584568</v>
      </c>
      <c r="AT2740" s="132"/>
      <c r="AU2740" s="146"/>
    </row>
    <row r="2741" spans="13:47" ht="14.5" x14ac:dyDescent="0.35">
      <c r="M2741" s="27"/>
      <c r="N2741" s="27"/>
      <c r="O2741" s="2" t="s">
        <v>191</v>
      </c>
      <c r="P2741" s="10"/>
      <c r="Q2741" s="2"/>
      <c r="R2741" s="181">
        <f>R2740/R2737</f>
        <v>0.50205970513182541</v>
      </c>
      <c r="S2741" s="132"/>
      <c r="T2741" s="146"/>
      <c r="U2741" s="138">
        <f>U2740/U2737</f>
        <v>0.48194905690149947</v>
      </c>
      <c r="V2741" s="132"/>
      <c r="W2741" s="146"/>
      <c r="X2741" s="138">
        <f>X2740/X2737</f>
        <v>0.34222286923999762</v>
      </c>
      <c r="Y2741" s="132"/>
      <c r="Z2741" s="146"/>
      <c r="AA2741" s="138">
        <f>AA2740/AA2737</f>
        <v>-5.6295372223526634</v>
      </c>
      <c r="AB2741" s="132"/>
      <c r="AC2741" s="146"/>
      <c r="AD2741" s="138">
        <f>AD2740/AD2737</f>
        <v>1.3311852245693354</v>
      </c>
      <c r="AE2741" s="132"/>
      <c r="AF2741" s="146"/>
      <c r="AG2741" s="138">
        <f>AG2740/AG2737</f>
        <v>1.1268310764736615</v>
      </c>
      <c r="AH2741" s="132"/>
      <c r="AI2741" s="146"/>
      <c r="AJ2741" s="138">
        <f>AJ2740/AJ2737</f>
        <v>1.0717233814867915</v>
      </c>
      <c r="AK2741" s="132"/>
      <c r="AL2741" s="146"/>
      <c r="AM2741" s="138">
        <f>AM2740/AM2737</f>
        <v>1.0501911030905278</v>
      </c>
      <c r="AN2741" s="132"/>
      <c r="AO2741" s="146"/>
      <c r="AP2741" s="138">
        <f>AP2740/AP2737</f>
        <v>1.039538940753211</v>
      </c>
      <c r="AQ2741" s="132"/>
      <c r="AR2741" s="146"/>
      <c r="AS2741" s="138">
        <f>AS2740/AS2737</f>
        <v>1.0312766347210998</v>
      </c>
      <c r="AT2741" s="132"/>
      <c r="AU2741" s="146"/>
    </row>
    <row r="2742" spans="13:47" x14ac:dyDescent="0.25">
      <c r="M2742" s="27"/>
      <c r="N2742" s="27"/>
      <c r="O2742" s="2" t="s">
        <v>26</v>
      </c>
      <c r="P2742" s="7">
        <v>12</v>
      </c>
      <c r="Q2742" s="2"/>
      <c r="R2742" s="181">
        <f>1-R2741/(3*F_GAMMA*R$29)</f>
        <v>0.7385215524005897</v>
      </c>
      <c r="S2742" s="133"/>
      <c r="T2742" s="146"/>
      <c r="U2742" s="138">
        <f>1-U2741/(3*F_GAMMA*U$29)</f>
        <v>0.74905067340995957</v>
      </c>
      <c r="V2742" s="133"/>
      <c r="W2742" s="146"/>
      <c r="X2742" s="138">
        <f>1-X2741/(3*F_GAMMA*X$29)</f>
        <v>0.81913245188757089</v>
      </c>
      <c r="Y2742" s="133"/>
      <c r="Z2742" s="146"/>
      <c r="AA2742" s="138">
        <f>1-AA2741/(3*F_GAMMA*AA$29)</f>
        <v>4.0160507502591667</v>
      </c>
      <c r="AB2742" s="133"/>
      <c r="AC2742" s="146"/>
      <c r="AD2742" s="138">
        <f>1-AD2741/(3*F_GAMMA*AD$29)</f>
        <v>0.26725720752069571</v>
      </c>
      <c r="AE2742" s="133"/>
      <c r="AF2742" s="146"/>
      <c r="AG2742" s="138">
        <f>1-AG2741/(3*F_GAMMA*AG$29)</f>
        <v>0.34436224702878893</v>
      </c>
      <c r="AH2742" s="133"/>
      <c r="AI2742" s="146"/>
      <c r="AJ2742" s="138">
        <f>1-AJ2741/(3*F_GAMMA*AJ$29)</f>
        <v>0.33339117958121811</v>
      </c>
      <c r="AK2742" s="133"/>
      <c r="AL2742" s="146"/>
      <c r="AM2742" s="138">
        <f>1-AM2741/(3*F_GAMMA*AM$29)</f>
        <v>0.28629530720527807</v>
      </c>
      <c r="AN2742" s="133"/>
      <c r="AO2742" s="146"/>
      <c r="AP2742" s="138">
        <f>1-AP2741/(3*F_GAMMA*AP$29)</f>
        <v>0.41618266514301794</v>
      </c>
      <c r="AQ2742" s="133"/>
      <c r="AR2742" s="146"/>
      <c r="AS2742" s="138">
        <f>1-AS2741/(3*F_GAMMA*AS$29)</f>
        <v>0.12075879555688163</v>
      </c>
      <c r="AT2742" s="133"/>
      <c r="AU2742" s="146"/>
    </row>
    <row r="2743" spans="13:47" x14ac:dyDescent="0.25">
      <c r="M2743" s="27"/>
      <c r="N2743" s="27"/>
      <c r="O2743" s="2" t="s">
        <v>71</v>
      </c>
      <c r="P2743" s="85">
        <v>5</v>
      </c>
      <c r="Q2743" s="2"/>
      <c r="R2743" s="179">
        <f>R2735/((N_6*R$27*R2742)*SQRT(R2741*R2737*R2739))</f>
        <v>2.2649423989980129</v>
      </c>
      <c r="S2743" s="133"/>
      <c r="T2743" s="146"/>
      <c r="U2743" s="143">
        <f>U2735/((N_6*U$27*U2742)*SQRT(U2741*U2737*U2739))</f>
        <v>14.377239981621246</v>
      </c>
      <c r="V2743" s="133"/>
      <c r="W2743" s="146"/>
      <c r="X2743" s="143">
        <f>X2735/((N_6*X$27*X2742)*SQRT(X2741*X2737*X2739))</f>
        <v>49.101118057948085</v>
      </c>
      <c r="Y2743" s="133"/>
      <c r="Z2743" s="146"/>
      <c r="AA2743" s="143" t="e">
        <f>AA2735/((N_6*AA$27*AA2742)*SQRT(AA2741*AA2737*AA2739))</f>
        <v>#NUM!</v>
      </c>
      <c r="AB2743" s="133"/>
      <c r="AC2743" s="146"/>
      <c r="AD2743" s="143">
        <f>AD2735/((N_6*AD$27*AD2742)*SQRT(AD2741*AD2737*AD2739))</f>
        <v>125.25051910298596</v>
      </c>
      <c r="AE2743" s="133"/>
      <c r="AF2743" s="146"/>
      <c r="AG2743" s="143">
        <f>AG2735/((N_6*AG$27*AG2742)*SQRT(AG2741*AG2737*AG2739))</f>
        <v>57.974287543405779</v>
      </c>
      <c r="AH2743" s="133"/>
      <c r="AI2743" s="146"/>
      <c r="AJ2743" s="143">
        <f>AJ2735/((N_6*AJ$27*AJ2742)*SQRT(AJ2741*AJ2737*AJ2739))</f>
        <v>45.602906923154059</v>
      </c>
      <c r="AK2743" s="133"/>
      <c r="AL2743" s="146"/>
      <c r="AM2743" s="143">
        <f>AM2735/((N_6*AM$27*AM2742)*SQRT(AM2741*AM2737*AM2739))</f>
        <v>46.723115871333263</v>
      </c>
      <c r="AN2743" s="133"/>
      <c r="AO2743" s="146"/>
      <c r="AP2743" s="143">
        <f>AP2735/((N_6*AP$27*AP2742)*SQRT(AP2741*AP2737*AP2739))</f>
        <v>32.252497480241303</v>
      </c>
      <c r="AQ2743" s="133"/>
      <c r="AR2743" s="146"/>
      <c r="AS2743" s="143">
        <f>AS2735/((N_6*AS$27*AS2742)*SQRT(AS2741*AS2737*AS2739))</f>
        <v>129.41328883087792</v>
      </c>
      <c r="AT2743" s="133"/>
      <c r="AU2743" s="146"/>
    </row>
    <row r="2744" spans="13:47" x14ac:dyDescent="0.25">
      <c r="M2744" s="27"/>
      <c r="N2744" s="27"/>
      <c r="O2744" s="2" t="s">
        <v>73</v>
      </c>
      <c r="P2744" s="85">
        <v>5</v>
      </c>
      <c r="Q2744" s="2"/>
      <c r="R2744" s="179">
        <f>R2735/((N_6*R$27*0.667)*SQRT(R2745*R2737*R2739))</f>
        <v>2.2211253971221643</v>
      </c>
      <c r="S2744" s="133"/>
      <c r="T2744" s="155"/>
      <c r="U2744" s="143">
        <f>U2735/((N_6*U$27*0.667)*SQRT(U2745*U2737*U2739))</f>
        <v>14.009238580552029</v>
      </c>
      <c r="V2744" s="133"/>
      <c r="W2744" s="155"/>
      <c r="X2744" s="143">
        <f>X2735/((N_6*X$27*0.667)*SQRT(X2745*X2737*X2739))</f>
        <v>44.418166968077706</v>
      </c>
      <c r="Y2744" s="133"/>
      <c r="Z2744" s="155"/>
      <c r="AA2744" s="143">
        <f>AA2735/((N_6*AA$27*0.667)*SQRT(AA2745*AA2737*AA2739))</f>
        <v>882.96779688264223</v>
      </c>
      <c r="AB2744" s="133"/>
      <c r="AC2744" s="155"/>
      <c r="AD2744" s="143">
        <f>AD2735/((N_6*AD$27*0.667)*SQRT(AD2745*AD2737*AD2739))</f>
        <v>74.407982950738216</v>
      </c>
      <c r="AE2744" s="133"/>
      <c r="AF2744" s="155"/>
      <c r="AG2744" s="143">
        <f>AG2735/((N_6*AG$27*0.667)*SQRT(AG2745*AG2737*AG2739))</f>
        <v>41.977611442166477</v>
      </c>
      <c r="AH2744" s="133"/>
      <c r="AI2744" s="155"/>
      <c r="AJ2744" s="143">
        <f>AJ2735/((N_6*AJ$27*0.667)*SQRT(AJ2745*AJ2737*AJ2739))</f>
        <v>32.234204315870386</v>
      </c>
      <c r="AK2744" s="133"/>
      <c r="AL2744" s="155"/>
      <c r="AM2744" s="143">
        <f>AM2735/((N_6*AM$27*0.667)*SQRT(AM2745*AM2737*AM2739))</f>
        <v>29.345404232644171</v>
      </c>
      <c r="AN2744" s="133"/>
      <c r="AO2744" s="155"/>
      <c r="AP2744" s="143">
        <f>AP2735/((N_6*AP$27*0.667)*SQRT(AP2745*AP2737*AP2739))</f>
        <v>26.633032768876859</v>
      </c>
      <c r="AQ2744" s="133"/>
      <c r="AR2744" s="155"/>
      <c r="AS2744" s="143">
        <f>AS2735/((N_6*AS$27*0.667)*SQRT(AS2745*AS2737*AS2739))</f>
        <v>38.052785819123685</v>
      </c>
      <c r="AT2744" s="133"/>
      <c r="AU2744" s="155"/>
    </row>
    <row r="2745" spans="13:47" ht="15.5" x14ac:dyDescent="0.4">
      <c r="M2745" s="27"/>
      <c r="N2745" s="27"/>
      <c r="O2745" s="2" t="s">
        <v>192</v>
      </c>
      <c r="P2745" s="85">
        <v>10</v>
      </c>
      <c r="Q2745" s="2"/>
      <c r="R2745" s="181">
        <f>F_GAMMA*R$29</f>
        <v>0.64002688015162901</v>
      </c>
      <c r="S2745" s="133"/>
      <c r="T2745" s="155"/>
      <c r="U2745" s="138">
        <f>F_GAMMA*U$29</f>
        <v>0.64016782916606918</v>
      </c>
      <c r="V2745" s="133"/>
      <c r="W2745" s="155"/>
      <c r="X2745" s="138">
        <f>F_GAMMA*X$29</f>
        <v>0.6307062319203669</v>
      </c>
      <c r="Y2745" s="133"/>
      <c r="Z2745" s="155"/>
      <c r="AA2745" s="138">
        <f>F_GAMMA*AA$29</f>
        <v>0.62217534213893466</v>
      </c>
      <c r="AB2745" s="133"/>
      <c r="AC2745" s="155"/>
      <c r="AD2745" s="138">
        <f>F_GAMMA*AD$29</f>
        <v>0.60557184969146072</v>
      </c>
      <c r="AE2745" s="133"/>
      <c r="AF2745" s="155"/>
      <c r="AG2745" s="138">
        <f>F_GAMMA*AG$29</f>
        <v>0.57289312142622573</v>
      </c>
      <c r="AH2745" s="133"/>
      <c r="AI2745" s="155"/>
      <c r="AJ2745" s="138">
        <f>F_GAMMA*AJ$29</f>
        <v>0.53590819116049981</v>
      </c>
      <c r="AK2745" s="133"/>
      <c r="AL2745" s="155"/>
      <c r="AM2745" s="138">
        <f>F_GAMMA*AM$29</f>
        <v>0.49048815926850342</v>
      </c>
      <c r="AN2745" s="133"/>
      <c r="AO2745" s="155"/>
      <c r="AP2745" s="138">
        <f>F_GAMMA*AP$29</f>
        <v>0.59352979016280105</v>
      </c>
      <c r="AQ2745" s="133"/>
      <c r="AR2745" s="155"/>
      <c r="AS2745" s="138">
        <f>F_GAMMA*AS$29</f>
        <v>0.39097221161068291</v>
      </c>
      <c r="AT2745" s="133"/>
      <c r="AU2745" s="155"/>
    </row>
    <row r="2746" spans="13:47" x14ac:dyDescent="0.25">
      <c r="M2746" s="27"/>
      <c r="N2746" s="27"/>
      <c r="O2746" s="2" t="s">
        <v>193</v>
      </c>
      <c r="P2746" s="134"/>
      <c r="Q2746" s="2"/>
      <c r="R2746" s="181">
        <f>IF(R2741&lt;R2745,R2743,R2744)</f>
        <v>2.2649423989980129</v>
      </c>
      <c r="S2746" s="133"/>
      <c r="T2746" s="155"/>
      <c r="U2746" s="138">
        <f>IF(U2741&lt;U2745,U2743,U2744)</f>
        <v>14.377239981621246</v>
      </c>
      <c r="V2746" s="133"/>
      <c r="W2746" s="155"/>
      <c r="X2746" s="138">
        <f>IF(X2741&lt;X2745,X2743,X2744)</f>
        <v>49.101118057948085</v>
      </c>
      <c r="Y2746" s="133"/>
      <c r="Z2746" s="155"/>
      <c r="AA2746" s="138" t="e">
        <f>IF(AA2741&lt;AA2745,AA2743,AA2744)</f>
        <v>#NUM!</v>
      </c>
      <c r="AB2746" s="133"/>
      <c r="AC2746" s="155"/>
      <c r="AD2746" s="138">
        <f>IF(AD2741&lt;AD2745,AD2743,AD2744)</f>
        <v>74.407982950738216</v>
      </c>
      <c r="AE2746" s="133"/>
      <c r="AF2746" s="155"/>
      <c r="AG2746" s="138">
        <f>IF(AG2741&lt;AG2745,AG2743,AG2744)</f>
        <v>41.977611442166477</v>
      </c>
      <c r="AH2746" s="133"/>
      <c r="AI2746" s="155"/>
      <c r="AJ2746" s="138">
        <f>IF(AJ2741&lt;AJ2745,AJ2743,AJ2744)</f>
        <v>32.234204315870386</v>
      </c>
      <c r="AK2746" s="133"/>
      <c r="AL2746" s="155"/>
      <c r="AM2746" s="138">
        <f>IF(AM2741&lt;AM2745,AM2743,AM2744)</f>
        <v>29.345404232644171</v>
      </c>
      <c r="AN2746" s="133"/>
      <c r="AO2746" s="155"/>
      <c r="AP2746" s="138">
        <f>IF(AP2741&lt;AP2745,AP2743,AP2744)</f>
        <v>26.633032768876859</v>
      </c>
      <c r="AQ2746" s="133"/>
      <c r="AR2746" s="155"/>
      <c r="AS2746" s="138">
        <f>IF(AS2741&lt;AS2745,AS2743,AS2744)</f>
        <v>38.052785819123685</v>
      </c>
      <c r="AT2746" s="133"/>
      <c r="AU2746" s="155"/>
    </row>
    <row r="2747" spans="13:47" ht="13" x14ac:dyDescent="0.3">
      <c r="M2747" s="28"/>
      <c r="N2747" s="28"/>
      <c r="O2747" s="9" t="s">
        <v>194</v>
      </c>
      <c r="P2747" s="1"/>
      <c r="Q2747" s="1"/>
      <c r="R2747" s="135"/>
      <c r="S2747" s="132">
        <f>IF(R2740&lt;=0,W_max,ABS(R$23-R2746))</f>
        <v>0.26494239899801286</v>
      </c>
      <c r="T2747" s="151">
        <f>R2735</f>
        <v>523.16494573840248</v>
      </c>
      <c r="U2747" s="135"/>
      <c r="V2747" s="132">
        <f>IF(U2740&lt;=0,W_max,ABS(U$23-U2746))</f>
        <v>9.3772399816212459</v>
      </c>
      <c r="W2747" s="151">
        <f>U2735</f>
        <v>3170.0254303998436</v>
      </c>
      <c r="X2747" s="135"/>
      <c r="Y2747" s="132">
        <f>IF(X2740&lt;=0,W_max,ABS(X$23-X2746))</f>
        <v>39.101118057948085</v>
      </c>
      <c r="Z2747" s="151">
        <f>X2735</f>
        <v>7839.8501268271111</v>
      </c>
      <c r="AA2747" s="135"/>
      <c r="AB2747" s="132">
        <f>IF(AA2740&lt;=0,W_max,ABS(AA$23-AA2746))</f>
        <v>7174</v>
      </c>
      <c r="AC2747" s="151">
        <f>AA2735</f>
        <v>15270.026961273021</v>
      </c>
      <c r="AD2747" s="135"/>
      <c r="AE2747" s="132">
        <f>IF(AD2740&lt;=0,W_max,ABS(AD$23-AD2746))</f>
        <v>7174</v>
      </c>
      <c r="AF2747" s="151">
        <f>AD2735</f>
        <v>25113.572260923658</v>
      </c>
      <c r="AG2747" s="135"/>
      <c r="AH2747" s="132">
        <f>IF(AG2740&lt;=0,W_max,ABS(AG$23-AG2746))</f>
        <v>7174</v>
      </c>
      <c r="AI2747" s="151">
        <f>AG2735</f>
        <v>35223.718493678069</v>
      </c>
      <c r="AJ2747" s="135"/>
      <c r="AK2747" s="132">
        <f>IF(AJ2740&lt;=0,W_max,ABS(AJ$23-AJ2746))</f>
        <v>7174</v>
      </c>
      <c r="AL2747" s="151">
        <f>AJ2735</f>
        <v>44724.775821557436</v>
      </c>
      <c r="AM2747" s="135"/>
      <c r="AN2747" s="132">
        <f>IF(AM2740&lt;=0,W_max,ABS(AM$23-AM2746))</f>
        <v>7174</v>
      </c>
      <c r="AO2747" s="151">
        <f>AM2735</f>
        <v>52443.317027358033</v>
      </c>
      <c r="AP2747" s="135"/>
      <c r="AQ2747" s="132">
        <f>IF(AP2740&lt;=0,W_max,ABS(AP$23-AP2746))</f>
        <v>7174</v>
      </c>
      <c r="AR2747" s="151">
        <f>AP2735</f>
        <v>58509.348801557579</v>
      </c>
      <c r="AS2747" s="135"/>
      <c r="AT2747" s="132">
        <f>IF(AS2740&lt;=0,W_max,ABS(AS$23-AS2746))</f>
        <v>7174</v>
      </c>
      <c r="AU2747" s="151">
        <f>AS2735</f>
        <v>65277.028441898059</v>
      </c>
    </row>
    <row r="2748" spans="13:47" ht="13" x14ac:dyDescent="0.25">
      <c r="M2748" s="12"/>
      <c r="N2748" s="12"/>
      <c r="O2748" s="2"/>
      <c r="P2748" s="85"/>
      <c r="Q2748" s="2"/>
      <c r="R2748" s="18"/>
      <c r="S2748" s="150"/>
      <c r="T2748" s="152"/>
      <c r="U2748" s="157"/>
      <c r="V2748" s="1"/>
      <c r="W2748" s="147"/>
      <c r="X2748" s="157"/>
      <c r="Y2748" s="1"/>
      <c r="Z2748" s="147"/>
      <c r="AA2748" s="157"/>
      <c r="AB2748" s="1"/>
      <c r="AC2748" s="147"/>
      <c r="AD2748" s="157"/>
      <c r="AE2748" s="1"/>
      <c r="AF2748" s="147"/>
      <c r="AG2748" s="157"/>
      <c r="AH2748" s="1"/>
      <c r="AI2748" s="147"/>
      <c r="AJ2748" s="157"/>
      <c r="AK2748" s="1"/>
      <c r="AL2748" s="147"/>
      <c r="AM2748" s="157"/>
      <c r="AN2748" s="1"/>
      <c r="AO2748" s="147"/>
      <c r="AP2748" s="157"/>
      <c r="AQ2748" s="1"/>
      <c r="AR2748" s="147"/>
      <c r="AS2748" s="157"/>
      <c r="AT2748" s="1"/>
      <c r="AU2748" s="147"/>
    </row>
    <row r="2749" spans="13:47" ht="14" x14ac:dyDescent="0.3">
      <c r="M2749" s="23"/>
      <c r="N2749" s="23"/>
      <c r="O2749" s="23" t="s">
        <v>238</v>
      </c>
      <c r="P2749" s="20"/>
      <c r="Q2749" s="20"/>
      <c r="R2749" s="181">
        <f>R2735*1.02</f>
        <v>533.62824465317055</v>
      </c>
      <c r="S2749" s="128" t="s">
        <v>185</v>
      </c>
      <c r="T2749" s="153" t="s">
        <v>186</v>
      </c>
      <c r="U2749" s="143">
        <f>U2735*1.01</f>
        <v>3201.725684703842</v>
      </c>
      <c r="V2749" s="128" t="s">
        <v>185</v>
      </c>
      <c r="W2749" s="153" t="s">
        <v>186</v>
      </c>
      <c r="X2749" s="143">
        <f>X2735*1.01</f>
        <v>7918.2486280953826</v>
      </c>
      <c r="Y2749" s="128" t="s">
        <v>185</v>
      </c>
      <c r="Z2749" s="153" t="s">
        <v>186</v>
      </c>
      <c r="AA2749" s="143">
        <f>AA2735*1.01</f>
        <v>15422.727230885752</v>
      </c>
      <c r="AB2749" s="128" t="s">
        <v>185</v>
      </c>
      <c r="AC2749" s="153" t="s">
        <v>186</v>
      </c>
      <c r="AD2749" s="143">
        <f>AD2735*1.01</f>
        <v>25364.707983532895</v>
      </c>
      <c r="AE2749" s="128" t="s">
        <v>185</v>
      </c>
      <c r="AF2749" s="153" t="s">
        <v>186</v>
      </c>
      <c r="AG2749" s="143">
        <f>AG2735*1.01</f>
        <v>35575.955678614853</v>
      </c>
      <c r="AH2749" s="128" t="s">
        <v>185</v>
      </c>
      <c r="AI2749" s="153" t="s">
        <v>186</v>
      </c>
      <c r="AJ2749" s="143">
        <f>AJ2735*1.01</f>
        <v>45172.023579773013</v>
      </c>
      <c r="AK2749" s="128" t="s">
        <v>185</v>
      </c>
      <c r="AL2749" s="153" t="s">
        <v>186</v>
      </c>
      <c r="AM2749" s="143">
        <f>AM2735*1.01</f>
        <v>52967.750197631613</v>
      </c>
      <c r="AN2749" s="128" t="s">
        <v>185</v>
      </c>
      <c r="AO2749" s="153" t="s">
        <v>186</v>
      </c>
      <c r="AP2749" s="143">
        <f>AP2735*1.01</f>
        <v>59094.442289573155</v>
      </c>
      <c r="AQ2749" s="128" t="s">
        <v>185</v>
      </c>
      <c r="AR2749" s="153" t="s">
        <v>186</v>
      </c>
      <c r="AS2749" s="143">
        <f>AS2735*1.01</f>
        <v>65929.798726317036</v>
      </c>
      <c r="AT2749" s="128" t="s">
        <v>185</v>
      </c>
      <c r="AU2749" s="153" t="s">
        <v>186</v>
      </c>
    </row>
    <row r="2750" spans="13:47" ht="14" x14ac:dyDescent="0.3">
      <c r="M2750" s="12"/>
      <c r="N2750" s="12"/>
      <c r="O2750" s="20"/>
      <c r="P2750" s="20"/>
      <c r="Q2750" s="23"/>
      <c r="R2750" s="139"/>
      <c r="S2750" s="130" t="s">
        <v>228</v>
      </c>
      <c r="T2750" s="154" t="s">
        <v>187</v>
      </c>
      <c r="U2750" s="144"/>
      <c r="V2750" s="130" t="s">
        <v>228</v>
      </c>
      <c r="W2750" s="154" t="s">
        <v>187</v>
      </c>
      <c r="X2750" s="144"/>
      <c r="Y2750" s="130" t="s">
        <v>228</v>
      </c>
      <c r="Z2750" s="154" t="s">
        <v>187</v>
      </c>
      <c r="AA2750" s="144"/>
      <c r="AB2750" s="130" t="s">
        <v>228</v>
      </c>
      <c r="AC2750" s="154" t="s">
        <v>187</v>
      </c>
      <c r="AD2750" s="144"/>
      <c r="AE2750" s="130" t="s">
        <v>228</v>
      </c>
      <c r="AF2750" s="154" t="s">
        <v>187</v>
      </c>
      <c r="AG2750" s="144"/>
      <c r="AH2750" s="130" t="s">
        <v>228</v>
      </c>
      <c r="AI2750" s="154" t="s">
        <v>187</v>
      </c>
      <c r="AJ2750" s="144"/>
      <c r="AK2750" s="130" t="s">
        <v>228</v>
      </c>
      <c r="AL2750" s="154" t="s">
        <v>187</v>
      </c>
      <c r="AM2750" s="144"/>
      <c r="AN2750" s="130" t="s">
        <v>228</v>
      </c>
      <c r="AO2750" s="154" t="s">
        <v>187</v>
      </c>
      <c r="AP2750" s="144"/>
      <c r="AQ2750" s="130" t="s">
        <v>228</v>
      </c>
      <c r="AR2750" s="154" t="s">
        <v>187</v>
      </c>
      <c r="AS2750" s="144"/>
      <c r="AT2750" s="130" t="s">
        <v>228</v>
      </c>
      <c r="AU2750" s="154" t="s">
        <v>187</v>
      </c>
    </row>
    <row r="2751" spans="13:47" x14ac:dyDescent="0.25">
      <c r="M2751" s="20"/>
      <c r="N2751" s="20"/>
      <c r="O2751" s="7" t="s">
        <v>188</v>
      </c>
      <c r="P2751" s="7"/>
      <c r="Q2751" s="7"/>
      <c r="R2751" s="181">
        <f>P_1_minW-(R2749^2*R_up)+dpup_minQ</f>
        <v>100.40923567365195</v>
      </c>
      <c r="S2751" s="132"/>
      <c r="T2751" s="145"/>
      <c r="U2751" s="138">
        <f>P_1_minW-(U2749^2*R_up)+dpup_minQ</f>
        <v>96.435060265138631</v>
      </c>
      <c r="V2751" s="132"/>
      <c r="W2751" s="145"/>
      <c r="X2751" s="138">
        <f>P_1_minW-(X2749^2*R_up)+dpup_minQ</f>
        <v>75.520953394756447</v>
      </c>
      <c r="Y2751" s="132"/>
      <c r="Z2751" s="145"/>
      <c r="AA2751" s="138">
        <f>P_1_minW-(AA2749^2*R_up)+dpup_minQ</f>
        <v>5.6730908441451495</v>
      </c>
      <c r="AB2751" s="132"/>
      <c r="AC2751" s="145"/>
      <c r="AD2751" s="138">
        <f>P_1_minW-(AD2749^2*R_up)+dpup_minQ</f>
        <v>-156.02798242995433</v>
      </c>
      <c r="AE2751" s="132"/>
      <c r="AF2751" s="145"/>
      <c r="AG2751" s="138">
        <f>P_1_minW-(AG2749^2*R_up)+dpup_minQ</f>
        <v>-404.16958234214343</v>
      </c>
      <c r="AH2751" s="132"/>
      <c r="AI2751" s="145"/>
      <c r="AJ2751" s="138">
        <f>P_1_minW-(AJ2749^2*R_up)+dpup_minQ</f>
        <v>-713.15541189957116</v>
      </c>
      <c r="AK2751" s="132"/>
      <c r="AL2751" s="145"/>
      <c r="AM2751" s="138">
        <f>P_1_minW-(AM2749^2*R_up)+dpup_minQ</f>
        <v>-1018.2364678022262</v>
      </c>
      <c r="AN2751" s="132"/>
      <c r="AO2751" s="145"/>
      <c r="AP2751" s="138">
        <f>P_1_minW-(AP2749^2*R_up)+dpup_minQ</f>
        <v>-1292.0146006310256</v>
      </c>
      <c r="AQ2751" s="132"/>
      <c r="AR2751" s="145"/>
      <c r="AS2751" s="138">
        <f>P_1_minW-(AS2749^2*R_up)+dpup_minQ</f>
        <v>-1632.7905846160259</v>
      </c>
      <c r="AT2751" s="132"/>
      <c r="AU2751" s="145"/>
    </row>
    <row r="2752" spans="13:47" x14ac:dyDescent="0.25">
      <c r="M2752" s="20"/>
      <c r="N2752" s="20"/>
      <c r="O2752" s="7" t="s">
        <v>189</v>
      </c>
      <c r="P2752" s="1"/>
      <c r="Q2752" s="7"/>
      <c r="R2752" s="181">
        <f>P_2_minW+(R2749^2*R_dn)-dpdn_minQ</f>
        <v>50</v>
      </c>
      <c r="S2752" s="132"/>
      <c r="T2752" s="146"/>
      <c r="U2752" s="138">
        <f>P_2_minW+(U2749^2*R_dn)-dpdn_minQ</f>
        <v>50</v>
      </c>
      <c r="V2752" s="132"/>
      <c r="W2752" s="146"/>
      <c r="X2752" s="138">
        <f>P_2_minW+(X2749^2*R_dn)-dpdn_minQ</f>
        <v>50</v>
      </c>
      <c r="Y2752" s="132"/>
      <c r="Z2752" s="146"/>
      <c r="AA2752" s="138">
        <f>P_2_minW+(AA2749^2*R_dn)-dpdn_minQ</f>
        <v>50</v>
      </c>
      <c r="AB2752" s="132"/>
      <c r="AC2752" s="146"/>
      <c r="AD2752" s="138">
        <f>P_2_minW+(AD2749^2*R_dn)-dpdn_minQ</f>
        <v>50</v>
      </c>
      <c r="AE2752" s="132"/>
      <c r="AF2752" s="146"/>
      <c r="AG2752" s="138">
        <f>P_2_minW+(AG2749^2*R_dn)-dpdn_minQ</f>
        <v>50</v>
      </c>
      <c r="AH2752" s="132"/>
      <c r="AI2752" s="146"/>
      <c r="AJ2752" s="138">
        <f>P_2_minW+(AJ2749^2*R_dn)-dpdn_minQ</f>
        <v>50</v>
      </c>
      <c r="AK2752" s="132"/>
      <c r="AL2752" s="146"/>
      <c r="AM2752" s="138">
        <f>P_2_minW+(AM2749^2*R_dn)-dpdn_minQ</f>
        <v>50</v>
      </c>
      <c r="AN2752" s="132"/>
      <c r="AO2752" s="146"/>
      <c r="AP2752" s="138">
        <f>P_2_minW+(AP2749^2*R_dn)-dpdn_minQ</f>
        <v>50</v>
      </c>
      <c r="AQ2752" s="132"/>
      <c r="AR2752" s="146"/>
      <c r="AS2752" s="138">
        <f>P_2_minW+(AS2749^2*R_dn)-dpdn_minQ</f>
        <v>50</v>
      </c>
      <c r="AT2752" s="132"/>
      <c r="AU2752" s="146"/>
    </row>
    <row r="2753" spans="13:47" x14ac:dyDescent="0.25">
      <c r="M2753" s="20"/>
      <c r="N2753" s="20"/>
      <c r="O2753" s="7" t="s">
        <v>234</v>
      </c>
      <c r="P2753" s="1"/>
      <c r="Q2753" s="7"/>
      <c r="R2753" s="179">
        <f>'Valve Sizing'!G$8*R2751/P_1_maxW</f>
        <v>0.48435627612713905</v>
      </c>
      <c r="S2753" s="132"/>
      <c r="T2753" s="146"/>
      <c r="U2753" s="143">
        <f>'Valve Sizing'!$G$8*U2751/P_1_maxW</f>
        <v>0.46518556151479107</v>
      </c>
      <c r="V2753" s="132"/>
      <c r="W2753" s="146"/>
      <c r="X2753" s="143">
        <f>'Valve Sizing'!$G$8*X2751/P_1_maxW</f>
        <v>0.36429963349929206</v>
      </c>
      <c r="Y2753" s="132"/>
      <c r="Z2753" s="146"/>
      <c r="AA2753" s="143">
        <f>'Valve Sizing'!$G$8*AA2751/P_1_maxW</f>
        <v>2.7365980200585793E-2</v>
      </c>
      <c r="AB2753" s="132"/>
      <c r="AC2753" s="146"/>
      <c r="AD2753" s="143">
        <f>'Valve Sizing'!$G$8*AD2751/P_1_maxW</f>
        <v>-0.75265120817202125</v>
      </c>
      <c r="AE2753" s="132"/>
      <c r="AF2753" s="146"/>
      <c r="AG2753" s="143">
        <f>'Valve Sizing'!$G$8*AG2751/P_1_maxW</f>
        <v>-1.9496421072595709</v>
      </c>
      <c r="AH2753" s="132"/>
      <c r="AI2753" s="146"/>
      <c r="AJ2753" s="143">
        <f>'Valve Sizing'!$G$8*AJ2751/P_1_maxW</f>
        <v>-3.4401347375083455</v>
      </c>
      <c r="AK2753" s="132"/>
      <c r="AL2753" s="146"/>
      <c r="AM2753" s="143">
        <f>'Valve Sizing'!$G$8*AM2751/P_1_maxW</f>
        <v>-4.9117914348485963</v>
      </c>
      <c r="AN2753" s="132"/>
      <c r="AO2753" s="146"/>
      <c r="AP2753" s="143">
        <f>'Valve Sizing'!$G$8*AP2751/P_1_maxW</f>
        <v>-6.2324484044225139</v>
      </c>
      <c r="AQ2753" s="132"/>
      <c r="AR2753" s="146"/>
      <c r="AS2753" s="143">
        <f>'Valve Sizing'!$G$8*AS2751/P_1_maxW</f>
        <v>-7.8762910797417565</v>
      </c>
      <c r="AT2753" s="132"/>
      <c r="AU2753" s="146"/>
    </row>
    <row r="2754" spans="13:47" x14ac:dyDescent="0.25">
      <c r="M2754" s="20"/>
      <c r="N2754" s="20"/>
      <c r="O2754" s="7" t="s">
        <v>190</v>
      </c>
      <c r="P2754" s="1"/>
      <c r="Q2754" s="7"/>
      <c r="R2754" s="181">
        <f>R2751-R2752</f>
        <v>50.409235673651949</v>
      </c>
      <c r="S2754" s="132"/>
      <c r="T2754" s="146"/>
      <c r="U2754" s="138">
        <f>U2751-U2752</f>
        <v>46.435060265138631</v>
      </c>
      <c r="V2754" s="132"/>
      <c r="W2754" s="146"/>
      <c r="X2754" s="138">
        <f>X2751-X2752</f>
        <v>25.520953394756447</v>
      </c>
      <c r="Y2754" s="132"/>
      <c r="Z2754" s="146"/>
      <c r="AA2754" s="138">
        <f>AA2751-AA2752</f>
        <v>-44.32690915585485</v>
      </c>
      <c r="AB2754" s="132"/>
      <c r="AC2754" s="146"/>
      <c r="AD2754" s="138">
        <f>AD2751-AD2752</f>
        <v>-206.02798242995433</v>
      </c>
      <c r="AE2754" s="132"/>
      <c r="AF2754" s="146"/>
      <c r="AG2754" s="138">
        <f>AG2751-AG2752</f>
        <v>-454.16958234214343</v>
      </c>
      <c r="AH2754" s="132"/>
      <c r="AI2754" s="146"/>
      <c r="AJ2754" s="138">
        <f>AJ2751-AJ2752</f>
        <v>-763.15541189957116</v>
      </c>
      <c r="AK2754" s="132"/>
      <c r="AL2754" s="146"/>
      <c r="AM2754" s="138">
        <f>AM2751-AM2752</f>
        <v>-1068.2364678022263</v>
      </c>
      <c r="AN2754" s="132"/>
      <c r="AO2754" s="146"/>
      <c r="AP2754" s="138">
        <f>AP2751-AP2752</f>
        <v>-1342.0146006310256</v>
      </c>
      <c r="AQ2754" s="132"/>
      <c r="AR2754" s="146"/>
      <c r="AS2754" s="138">
        <f>AS2751-AS2752</f>
        <v>-1682.7905846160259</v>
      </c>
      <c r="AT2754" s="132"/>
      <c r="AU2754" s="146"/>
    </row>
    <row r="2755" spans="13:47" ht="14.5" x14ac:dyDescent="0.35">
      <c r="M2755" s="27"/>
      <c r="N2755" s="27"/>
      <c r="O2755" s="2" t="s">
        <v>191</v>
      </c>
      <c r="P2755" s="10"/>
      <c r="Q2755" s="2"/>
      <c r="R2755" s="181">
        <f>R2754/R2751</f>
        <v>0.50203783880489861</v>
      </c>
      <c r="S2755" s="132"/>
      <c r="T2755" s="146"/>
      <c r="U2755" s="138">
        <f>U2754/U2751</f>
        <v>0.48151637109439283</v>
      </c>
      <c r="V2755" s="132"/>
      <c r="W2755" s="146"/>
      <c r="X2755" s="138">
        <f>X2754/X2751</f>
        <v>0.33793208702431993</v>
      </c>
      <c r="Y2755" s="132"/>
      <c r="Z2755" s="146"/>
      <c r="AA2755" s="138">
        <f>AA2754/AA2751</f>
        <v>-7.8135376946417043</v>
      </c>
      <c r="AB2755" s="132"/>
      <c r="AC2755" s="146"/>
      <c r="AD2755" s="138">
        <f>AD2754/AD2751</f>
        <v>1.3204553389802789</v>
      </c>
      <c r="AE2755" s="132"/>
      <c r="AF2755" s="146"/>
      <c r="AG2755" s="138">
        <f>AG2754/AG2751</f>
        <v>1.123710447753768</v>
      </c>
      <c r="AH2755" s="132"/>
      <c r="AI2755" s="146"/>
      <c r="AJ2755" s="138">
        <f>AJ2754/AJ2751</f>
        <v>1.0701109451961099</v>
      </c>
      <c r="AK2755" s="132"/>
      <c r="AL2755" s="146"/>
      <c r="AM2755" s="138">
        <f>AM2754/AM2751</f>
        <v>1.0491045072348673</v>
      </c>
      <c r="AN2755" s="132"/>
      <c r="AO2755" s="146"/>
      <c r="AP2755" s="138">
        <f>AP2754/AP2751</f>
        <v>1.0386992530700347</v>
      </c>
      <c r="AQ2755" s="132"/>
      <c r="AR2755" s="146"/>
      <c r="AS2755" s="138">
        <f>AS2754/AS2751</f>
        <v>1.0306224205792798</v>
      </c>
      <c r="AT2755" s="132"/>
      <c r="AU2755" s="146"/>
    </row>
    <row r="2756" spans="13:47" x14ac:dyDescent="0.25">
      <c r="M2756" s="27"/>
      <c r="N2756" s="27"/>
      <c r="O2756" s="2" t="s">
        <v>26</v>
      </c>
      <c r="P2756" s="7">
        <v>12</v>
      </c>
      <c r="Q2756" s="2"/>
      <c r="R2756" s="181">
        <f>1-R2755/(3*F_GAMMA*R$29)</f>
        <v>0.73853294063422226</v>
      </c>
      <c r="S2756" s="133"/>
      <c r="T2756" s="146"/>
      <c r="U2756" s="138">
        <f>1-U2755/(3*F_GAMMA*U$29)</f>
        <v>0.74927597152054526</v>
      </c>
      <c r="V2756" s="133"/>
      <c r="W2756" s="146"/>
      <c r="X2756" s="138">
        <f>1-X2755/(3*F_GAMMA*X$29)</f>
        <v>0.82140016491492496</v>
      </c>
      <c r="Y2756" s="133"/>
      <c r="Z2756" s="146"/>
      <c r="AA2756" s="138">
        <f>1-AA2755/(3*F_GAMMA*AA$29)</f>
        <v>5.1861391612317682</v>
      </c>
      <c r="AB2756" s="133"/>
      <c r="AC2756" s="146"/>
      <c r="AD2756" s="138">
        <f>1-AD2755/(3*F_GAMMA*AD$29)</f>
        <v>0.27316340763800273</v>
      </c>
      <c r="AE2756" s="133"/>
      <c r="AF2756" s="146"/>
      <c r="AG2756" s="138">
        <f>1-AG2755/(3*F_GAMMA*AG$29)</f>
        <v>0.34617796017735702</v>
      </c>
      <c r="AH2756" s="133"/>
      <c r="AI2756" s="146"/>
      <c r="AJ2756" s="138">
        <f>1-AJ2755/(3*F_GAMMA*AJ$29)</f>
        <v>0.33439411025558718</v>
      </c>
      <c r="AK2756" s="133"/>
      <c r="AL2756" s="146"/>
      <c r="AM2756" s="138">
        <f>1-AM2755/(3*F_GAMMA*AM$29)</f>
        <v>0.28703375238832518</v>
      </c>
      <c r="AN2756" s="133"/>
      <c r="AO2756" s="146"/>
      <c r="AP2756" s="138">
        <f>1-AP2755/(3*F_GAMMA*AP$29)</f>
        <v>0.41665424365353432</v>
      </c>
      <c r="AQ2756" s="133"/>
      <c r="AR2756" s="146"/>
      <c r="AS2756" s="138">
        <f>1-AS2755/(3*F_GAMMA*AS$29)</f>
        <v>0.1213165625135364</v>
      </c>
      <c r="AT2756" s="133"/>
      <c r="AU2756" s="146"/>
    </row>
    <row r="2757" spans="13:47" x14ac:dyDescent="0.25">
      <c r="M2757" s="27"/>
      <c r="N2757" s="27"/>
      <c r="O2757" s="2" t="s">
        <v>71</v>
      </c>
      <c r="P2757" s="85">
        <v>5</v>
      </c>
      <c r="Q2757" s="2"/>
      <c r="R2757" s="179">
        <f>R2749/((N_6*R$27*R2756)*SQRT(R2755*R2751*R2753))</f>
        <v>2.3103573845408776</v>
      </c>
      <c r="S2757" s="133"/>
      <c r="T2757" s="146"/>
      <c r="U2757" s="143">
        <f>U2749/((N_6*U$27*U2756)*SQRT(U2755*U2751*U2753))</f>
        <v>14.535296902706987</v>
      </c>
      <c r="V2757" s="133"/>
      <c r="W2757" s="146"/>
      <c r="X2757" s="143">
        <f>X2749/((N_6*X$27*X2756)*SQRT(X2755*X2751*X2753))</f>
        <v>50.092841825585346</v>
      </c>
      <c r="Y2757" s="133"/>
      <c r="Z2757" s="146"/>
      <c r="AA2757" s="143" t="e">
        <f>AA2749/((N_6*AA$27*AA2756)*SQRT(AA2755*AA2751*AA2753))</f>
        <v>#NUM!</v>
      </c>
      <c r="AB2757" s="133"/>
      <c r="AC2757" s="146"/>
      <c r="AD2757" s="143">
        <f>AD2749/((N_6*AD$27*AD2756)*SQRT(AD2755*AD2751*AD2753))</f>
        <v>120.24354101707506</v>
      </c>
      <c r="AE2757" s="133"/>
      <c r="AF2757" s="146"/>
      <c r="AG2757" s="143">
        <f>AG2749/((N_6*AG$27*AG2756)*SQRT(AG2755*AG2751*AG2753))</f>
        <v>56.892603883921893</v>
      </c>
      <c r="AH2757" s="133"/>
      <c r="AI2757" s="146"/>
      <c r="AJ2757" s="143">
        <f>AJ2749/((N_6*AJ$27*AJ2756)*SQRT(AJ2755*AJ2751*AJ2753))</f>
        <v>44.92223985783211</v>
      </c>
      <c r="AK2757" s="133"/>
      <c r="AL2757" s="146"/>
      <c r="AM2757" s="143">
        <f>AM2749/((N_6*AM$27*AM2756)*SQRT(AM2755*AM2751*AM2753))</f>
        <v>46.073779490447201</v>
      </c>
      <c r="AN2757" s="133"/>
      <c r="AO2757" s="146"/>
      <c r="AP2757" s="143">
        <f>AP2749/((N_6*AP$27*AP2756)*SQRT(AP2755*AP2751*AP2753))</f>
        <v>31.860011283096526</v>
      </c>
      <c r="AQ2757" s="133"/>
      <c r="AR2757" s="146"/>
      <c r="AS2757" s="143">
        <f>AS2749/((N_6*AS$27*AS2756)*SQRT(AS2755*AS2751*AS2753))</f>
        <v>127.42546281054238</v>
      </c>
      <c r="AT2757" s="133"/>
      <c r="AU2757" s="146"/>
    </row>
    <row r="2758" spans="13:47" x14ac:dyDescent="0.25">
      <c r="M2758" s="27"/>
      <c r="N2758" s="27"/>
      <c r="O2758" s="2" t="s">
        <v>73</v>
      </c>
      <c r="P2758" s="85">
        <v>5</v>
      </c>
      <c r="Q2758" s="2"/>
      <c r="R2758" s="179">
        <f>R2749/((N_6*R$27*0.667)*SQRT(R2759*R2751*R2753))</f>
        <v>2.2656473933198686</v>
      </c>
      <c r="S2758" s="133"/>
      <c r="T2758" s="155"/>
      <c r="U2758" s="143">
        <f>U2749/((N_6*U$27*0.667)*SQRT(U2759*U2751*U2753))</f>
        <v>14.16114875140506</v>
      </c>
      <c r="V2758" s="133"/>
      <c r="W2758" s="155"/>
      <c r="X2758" s="143">
        <f>X2749/((N_6*X$27*0.667)*SQRT(X2759*X2751*X2753))</f>
        <v>45.154992694060674</v>
      </c>
      <c r="Y2758" s="133"/>
      <c r="Z2758" s="155"/>
      <c r="AA2758" s="143">
        <f>AA2749/((N_6*AA$27*0.667)*SQRT(AA2759*AA2751*AA2753))</f>
        <v>1185.5866249741666</v>
      </c>
      <c r="AB2758" s="133"/>
      <c r="AC2758" s="155"/>
      <c r="AD2758" s="143">
        <f>AD2749/((N_6*AD$27*0.667)*SQRT(AD2759*AD2751*AD2753))</f>
        <v>72.717252965096918</v>
      </c>
      <c r="AE2758" s="133"/>
      <c r="AF2758" s="155"/>
      <c r="AG2758" s="143">
        <f>AG2749/((N_6*AG$27*0.667)*SQRT(AG2759*AG2751*AG2753))</f>
        <v>41.354216522042691</v>
      </c>
      <c r="AH2758" s="133"/>
      <c r="AI2758" s="155"/>
      <c r="AJ2758" s="143">
        <f>AJ2749/((N_6*AJ$27*0.667)*SQRT(AJ2759*AJ2751*AJ2753))</f>
        <v>31.824632222239238</v>
      </c>
      <c r="AK2758" s="133"/>
      <c r="AL2758" s="155"/>
      <c r="AM2758" s="143">
        <f>AM2749/((N_6*AM$27*0.667)*SQRT(AM2759*AM2751*AM2753))</f>
        <v>28.997201515405042</v>
      </c>
      <c r="AN2758" s="133"/>
      <c r="AO2758" s="155"/>
      <c r="AP2758" s="143">
        <f>AP2749/((N_6*AP$27*0.667)*SQRT(AP2759*AP2751*AP2753))</f>
        <v>26.328101867832967</v>
      </c>
      <c r="AQ2758" s="133"/>
      <c r="AR2758" s="155"/>
      <c r="AS2758" s="143">
        <f>AS2749/((N_6*AS$27*0.667)*SQRT(AS2759*AS2751*AS2753))</f>
        <v>37.629403104808759</v>
      </c>
      <c r="AT2758" s="133"/>
      <c r="AU2758" s="155"/>
    </row>
    <row r="2759" spans="13:47" ht="15.5" x14ac:dyDescent="0.4">
      <c r="M2759" s="27"/>
      <c r="N2759" s="27"/>
      <c r="O2759" s="2" t="s">
        <v>192</v>
      </c>
      <c r="P2759" s="85">
        <v>10</v>
      </c>
      <c r="Q2759" s="2"/>
      <c r="R2759" s="181">
        <f>F_GAMMA*R$29</f>
        <v>0.64002688015162901</v>
      </c>
      <c r="S2759" s="133"/>
      <c r="T2759" s="155"/>
      <c r="U2759" s="138">
        <f>F_GAMMA*U$29</f>
        <v>0.64016782916606918</v>
      </c>
      <c r="V2759" s="133"/>
      <c r="W2759" s="155"/>
      <c r="X2759" s="138">
        <f>F_GAMMA*X$29</f>
        <v>0.6307062319203669</v>
      </c>
      <c r="Y2759" s="133"/>
      <c r="Z2759" s="155"/>
      <c r="AA2759" s="138">
        <f>F_GAMMA*AA$29</f>
        <v>0.62217534213893466</v>
      </c>
      <c r="AB2759" s="133"/>
      <c r="AC2759" s="155"/>
      <c r="AD2759" s="138">
        <f>F_GAMMA*AD$29</f>
        <v>0.60557184969146072</v>
      </c>
      <c r="AE2759" s="133"/>
      <c r="AF2759" s="155"/>
      <c r="AG2759" s="138">
        <f>F_GAMMA*AG$29</f>
        <v>0.57289312142622573</v>
      </c>
      <c r="AH2759" s="133"/>
      <c r="AI2759" s="155"/>
      <c r="AJ2759" s="138">
        <f>F_GAMMA*AJ$29</f>
        <v>0.53590819116049981</v>
      </c>
      <c r="AK2759" s="133"/>
      <c r="AL2759" s="155"/>
      <c r="AM2759" s="138">
        <f>F_GAMMA*AM$29</f>
        <v>0.49048815926850342</v>
      </c>
      <c r="AN2759" s="133"/>
      <c r="AO2759" s="155"/>
      <c r="AP2759" s="138">
        <f>F_GAMMA*AP$29</f>
        <v>0.59352979016280105</v>
      </c>
      <c r="AQ2759" s="133"/>
      <c r="AR2759" s="155"/>
      <c r="AS2759" s="138">
        <f>F_GAMMA*AS$29</f>
        <v>0.39097221161068291</v>
      </c>
      <c r="AT2759" s="133"/>
      <c r="AU2759" s="155"/>
    </row>
    <row r="2760" spans="13:47" x14ac:dyDescent="0.25">
      <c r="M2760" s="27"/>
      <c r="N2760" s="27"/>
      <c r="O2760" s="2" t="s">
        <v>193</v>
      </c>
      <c r="P2760" s="134"/>
      <c r="Q2760" s="2"/>
      <c r="R2760" s="181">
        <f>IF(R2755&lt;R2759,R2757,R2758)</f>
        <v>2.3103573845408776</v>
      </c>
      <c r="S2760" s="133"/>
      <c r="T2760" s="155"/>
      <c r="U2760" s="138">
        <f>IF(U2755&lt;U2759,U2757,U2758)</f>
        <v>14.535296902706987</v>
      </c>
      <c r="V2760" s="133"/>
      <c r="W2760" s="155"/>
      <c r="X2760" s="138">
        <f>IF(X2755&lt;X2759,X2757,X2758)</f>
        <v>50.092841825585346</v>
      </c>
      <c r="Y2760" s="133"/>
      <c r="Z2760" s="155"/>
      <c r="AA2760" s="138" t="e">
        <f>IF(AA2755&lt;AA2759,AA2757,AA2758)</f>
        <v>#NUM!</v>
      </c>
      <c r="AB2760" s="133"/>
      <c r="AC2760" s="155"/>
      <c r="AD2760" s="138">
        <f>IF(AD2755&lt;AD2759,AD2757,AD2758)</f>
        <v>72.717252965096918</v>
      </c>
      <c r="AE2760" s="133"/>
      <c r="AF2760" s="155"/>
      <c r="AG2760" s="138">
        <f>IF(AG2755&lt;AG2759,AG2757,AG2758)</f>
        <v>41.354216522042691</v>
      </c>
      <c r="AH2760" s="133"/>
      <c r="AI2760" s="155"/>
      <c r="AJ2760" s="138">
        <f>IF(AJ2755&lt;AJ2759,AJ2757,AJ2758)</f>
        <v>31.824632222239238</v>
      </c>
      <c r="AK2760" s="133"/>
      <c r="AL2760" s="155"/>
      <c r="AM2760" s="138">
        <f>IF(AM2755&lt;AM2759,AM2757,AM2758)</f>
        <v>28.997201515405042</v>
      </c>
      <c r="AN2760" s="133"/>
      <c r="AO2760" s="155"/>
      <c r="AP2760" s="138">
        <f>IF(AP2755&lt;AP2759,AP2757,AP2758)</f>
        <v>26.328101867832967</v>
      </c>
      <c r="AQ2760" s="133"/>
      <c r="AR2760" s="155"/>
      <c r="AS2760" s="138">
        <f>IF(AS2755&lt;AS2759,AS2757,AS2758)</f>
        <v>37.629403104808759</v>
      </c>
      <c r="AT2760" s="133"/>
      <c r="AU2760" s="155"/>
    </row>
    <row r="2761" spans="13:47" ht="13" x14ac:dyDescent="0.3">
      <c r="M2761" s="28"/>
      <c r="N2761" s="28"/>
      <c r="O2761" s="9" t="s">
        <v>194</v>
      </c>
      <c r="P2761" s="1"/>
      <c r="Q2761" s="1"/>
      <c r="R2761" s="135"/>
      <c r="S2761" s="132">
        <f>IF(R2754&lt;=0,W_max,ABS(R$23-R2760))</f>
        <v>0.31035738454087758</v>
      </c>
      <c r="T2761" s="151">
        <f>R2749</f>
        <v>533.62824465317055</v>
      </c>
      <c r="U2761" s="135"/>
      <c r="V2761" s="132">
        <f>IF(U2754&lt;=0,W_max,ABS(U$23-U2760))</f>
        <v>9.5352969027069872</v>
      </c>
      <c r="W2761" s="151">
        <f>U2749</f>
        <v>3201.725684703842</v>
      </c>
      <c r="X2761" s="135"/>
      <c r="Y2761" s="132">
        <f>IF(X2754&lt;=0,W_max,ABS(X$23-X2760))</f>
        <v>40.092841825585346</v>
      </c>
      <c r="Z2761" s="151">
        <f>X2749</f>
        <v>7918.2486280953826</v>
      </c>
      <c r="AA2761" s="135"/>
      <c r="AB2761" s="132">
        <f>IF(AA2754&lt;=0,W_max,ABS(AA$23-AA2760))</f>
        <v>7174</v>
      </c>
      <c r="AC2761" s="151">
        <f>AA2749</f>
        <v>15422.727230885752</v>
      </c>
      <c r="AD2761" s="135"/>
      <c r="AE2761" s="132">
        <f>IF(AD2754&lt;=0,W_max,ABS(AD$23-AD2760))</f>
        <v>7174</v>
      </c>
      <c r="AF2761" s="151">
        <f>AD2749</f>
        <v>25364.707983532895</v>
      </c>
      <c r="AG2761" s="135"/>
      <c r="AH2761" s="132">
        <f>IF(AG2754&lt;=0,W_max,ABS(AG$23-AG2760))</f>
        <v>7174</v>
      </c>
      <c r="AI2761" s="151">
        <f>AG2749</f>
        <v>35575.955678614853</v>
      </c>
      <c r="AJ2761" s="135"/>
      <c r="AK2761" s="132">
        <f>IF(AJ2754&lt;=0,W_max,ABS(AJ$23-AJ2760))</f>
        <v>7174</v>
      </c>
      <c r="AL2761" s="151">
        <f>AJ2749</f>
        <v>45172.023579773013</v>
      </c>
      <c r="AM2761" s="135"/>
      <c r="AN2761" s="132">
        <f>IF(AM2754&lt;=0,W_max,ABS(AM$23-AM2760))</f>
        <v>7174</v>
      </c>
      <c r="AO2761" s="151">
        <f>AM2749</f>
        <v>52967.750197631613</v>
      </c>
      <c r="AP2761" s="135"/>
      <c r="AQ2761" s="132">
        <f>IF(AP2754&lt;=0,W_max,ABS(AP$23-AP2760))</f>
        <v>7174</v>
      </c>
      <c r="AR2761" s="151">
        <f>AP2749</f>
        <v>59094.442289573155</v>
      </c>
      <c r="AS2761" s="135"/>
      <c r="AT2761" s="132">
        <f>IF(AS2754&lt;=0,W_max,ABS(AS$23-AS2760))</f>
        <v>7174</v>
      </c>
      <c r="AU2761" s="151">
        <f>AS2749</f>
        <v>65929.798726317036</v>
      </c>
    </row>
    <row r="2762" spans="13:47" ht="13" x14ac:dyDescent="0.25">
      <c r="M2762" s="12"/>
      <c r="N2762" s="12"/>
      <c r="O2762" s="2"/>
      <c r="P2762" s="85"/>
      <c r="Q2762" s="2"/>
      <c r="R2762" s="18"/>
      <c r="S2762" s="150"/>
      <c r="T2762" s="148"/>
      <c r="U2762" s="157"/>
      <c r="V2762" s="1"/>
      <c r="W2762" s="147"/>
      <c r="X2762" s="157"/>
      <c r="Y2762" s="1"/>
      <c r="Z2762" s="147"/>
      <c r="AA2762" s="157"/>
      <c r="AB2762" s="1"/>
      <c r="AC2762" s="147"/>
      <c r="AD2762" s="157"/>
      <c r="AE2762" s="1"/>
      <c r="AF2762" s="147"/>
      <c r="AG2762" s="157"/>
      <c r="AH2762" s="1"/>
      <c r="AI2762" s="147"/>
      <c r="AJ2762" s="157"/>
      <c r="AK2762" s="1"/>
      <c r="AL2762" s="147"/>
      <c r="AM2762" s="157"/>
      <c r="AN2762" s="1"/>
      <c r="AO2762" s="147"/>
      <c r="AP2762" s="157"/>
      <c r="AQ2762" s="1"/>
      <c r="AR2762" s="147"/>
      <c r="AS2762" s="157"/>
      <c r="AT2762" s="1"/>
      <c r="AU2762" s="147"/>
    </row>
    <row r="2763" spans="13:47" ht="14" x14ac:dyDescent="0.3">
      <c r="M2763" s="23"/>
      <c r="N2763" s="23"/>
      <c r="O2763" s="23" t="s">
        <v>238</v>
      </c>
      <c r="P2763" s="20"/>
      <c r="Q2763" s="20"/>
      <c r="R2763" s="181">
        <f>R2749*1.02</f>
        <v>544.30080954623395</v>
      </c>
      <c r="S2763" s="128" t="s">
        <v>185</v>
      </c>
      <c r="T2763" s="149" t="s">
        <v>186</v>
      </c>
      <c r="U2763" s="143">
        <f>U2749*1.01</f>
        <v>3233.7429415508805</v>
      </c>
      <c r="V2763" s="128" t="s">
        <v>185</v>
      </c>
      <c r="W2763" s="153" t="s">
        <v>186</v>
      </c>
      <c r="X2763" s="143">
        <f>X2749*1.01</f>
        <v>7997.4311143763362</v>
      </c>
      <c r="Y2763" s="128" t="s">
        <v>185</v>
      </c>
      <c r="Z2763" s="153" t="s">
        <v>186</v>
      </c>
      <c r="AA2763" s="143">
        <f>AA2749*1.01</f>
        <v>15576.954503194609</v>
      </c>
      <c r="AB2763" s="128" t="s">
        <v>185</v>
      </c>
      <c r="AC2763" s="153" t="s">
        <v>186</v>
      </c>
      <c r="AD2763" s="143">
        <f>AD2749*1.01</f>
        <v>25618.355063368224</v>
      </c>
      <c r="AE2763" s="128" t="s">
        <v>185</v>
      </c>
      <c r="AF2763" s="153" t="s">
        <v>186</v>
      </c>
      <c r="AG2763" s="143">
        <f>AG2749*1.01</f>
        <v>35931.715235401003</v>
      </c>
      <c r="AH2763" s="128" t="s">
        <v>185</v>
      </c>
      <c r="AI2763" s="153" t="s">
        <v>186</v>
      </c>
      <c r="AJ2763" s="143">
        <f>AJ2749*1.01</f>
        <v>45623.743815570742</v>
      </c>
      <c r="AK2763" s="128" t="s">
        <v>185</v>
      </c>
      <c r="AL2763" s="153" t="s">
        <v>186</v>
      </c>
      <c r="AM2763" s="143">
        <f>AM2749*1.01</f>
        <v>53497.427699607928</v>
      </c>
      <c r="AN2763" s="128" t="s">
        <v>185</v>
      </c>
      <c r="AO2763" s="153" t="s">
        <v>186</v>
      </c>
      <c r="AP2763" s="143">
        <f>AP2749*1.01</f>
        <v>59685.386712468884</v>
      </c>
      <c r="AQ2763" s="128" t="s">
        <v>185</v>
      </c>
      <c r="AR2763" s="153" t="s">
        <v>186</v>
      </c>
      <c r="AS2763" s="143">
        <f>AS2749*1.01</f>
        <v>66589.096713580206</v>
      </c>
      <c r="AT2763" s="128" t="s">
        <v>185</v>
      </c>
      <c r="AU2763" s="153" t="s">
        <v>186</v>
      </c>
    </row>
    <row r="2764" spans="13:47" ht="14" x14ac:dyDescent="0.3">
      <c r="M2764" s="12"/>
      <c r="N2764" s="12"/>
      <c r="O2764" s="20"/>
      <c r="P2764" s="20"/>
      <c r="Q2764" s="23"/>
      <c r="R2764" s="139"/>
      <c r="S2764" s="130" t="s">
        <v>228</v>
      </c>
      <c r="T2764" s="131" t="s">
        <v>187</v>
      </c>
      <c r="U2764" s="144"/>
      <c r="V2764" s="130" t="s">
        <v>228</v>
      </c>
      <c r="W2764" s="154" t="s">
        <v>187</v>
      </c>
      <c r="X2764" s="144"/>
      <c r="Y2764" s="130" t="s">
        <v>228</v>
      </c>
      <c r="Z2764" s="154" t="s">
        <v>187</v>
      </c>
      <c r="AA2764" s="144"/>
      <c r="AB2764" s="130" t="s">
        <v>228</v>
      </c>
      <c r="AC2764" s="154" t="s">
        <v>187</v>
      </c>
      <c r="AD2764" s="144"/>
      <c r="AE2764" s="130" t="s">
        <v>228</v>
      </c>
      <c r="AF2764" s="154" t="s">
        <v>187</v>
      </c>
      <c r="AG2764" s="144"/>
      <c r="AH2764" s="130" t="s">
        <v>228</v>
      </c>
      <c r="AI2764" s="154" t="s">
        <v>187</v>
      </c>
      <c r="AJ2764" s="144"/>
      <c r="AK2764" s="130" t="s">
        <v>228</v>
      </c>
      <c r="AL2764" s="154" t="s">
        <v>187</v>
      </c>
      <c r="AM2764" s="144"/>
      <c r="AN2764" s="130" t="s">
        <v>228</v>
      </c>
      <c r="AO2764" s="154" t="s">
        <v>187</v>
      </c>
      <c r="AP2764" s="144"/>
      <c r="AQ2764" s="130" t="s">
        <v>228</v>
      </c>
      <c r="AR2764" s="154" t="s">
        <v>187</v>
      </c>
      <c r="AS2764" s="144"/>
      <c r="AT2764" s="130" t="s">
        <v>228</v>
      </c>
      <c r="AU2764" s="154" t="s">
        <v>187</v>
      </c>
    </row>
    <row r="2765" spans="13:47" x14ac:dyDescent="0.25">
      <c r="M2765" s="20"/>
      <c r="N2765" s="20"/>
      <c r="O2765" s="7" t="s">
        <v>188</v>
      </c>
      <c r="P2765" s="7"/>
      <c r="Q2765" s="7"/>
      <c r="R2765" s="181">
        <f>P_1_minW-(R2763^2*R_up)+dpup_minQ</f>
        <v>100.40464821070373</v>
      </c>
      <c r="S2765" s="132"/>
      <c r="T2765" s="145"/>
      <c r="U2765" s="138">
        <f>P_1_minW-(U2763^2*R_up)+dpup_minQ</f>
        <v>96.352896963059706</v>
      </c>
      <c r="V2765" s="132"/>
      <c r="W2765" s="145"/>
      <c r="X2765" s="138">
        <f>P_1_minW-(X2763^2*R_up)+dpup_minQ</f>
        <v>75.018416544582848</v>
      </c>
      <c r="Y2765" s="132"/>
      <c r="Z2765" s="145"/>
      <c r="AA2765" s="138">
        <f>P_1_minW-(AA2763^2*R_up)+dpup_minQ</f>
        <v>3.7666119567042666</v>
      </c>
      <c r="AB2765" s="132"/>
      <c r="AC2765" s="145"/>
      <c r="AD2765" s="138">
        <f>P_1_minW-(AD2763^2*R_up)+dpup_minQ</f>
        <v>-161.1846528902046</v>
      </c>
      <c r="AE2765" s="132"/>
      <c r="AF2765" s="145"/>
      <c r="AG2765" s="138">
        <f>P_1_minW-(AG2763^2*R_up)+dpup_minQ</f>
        <v>-414.31389896062876</v>
      </c>
      <c r="AH2765" s="132"/>
      <c r="AI2765" s="145"/>
      <c r="AJ2765" s="138">
        <f>P_1_minW-(AJ2763^2*R_up)+dpup_minQ</f>
        <v>-729.51034369216086</v>
      </c>
      <c r="AK2765" s="132"/>
      <c r="AL2765" s="145"/>
      <c r="AM2765" s="138">
        <f>P_1_minW-(AM2763^2*R_up)+dpup_minQ</f>
        <v>-1040.7235288184593</v>
      </c>
      <c r="AN2765" s="132"/>
      <c r="AO2765" s="145"/>
      <c r="AP2765" s="138">
        <f>P_1_minW-(AP2763^2*R_up)+dpup_minQ</f>
        <v>-1320.0046021171174</v>
      </c>
      <c r="AQ2765" s="132"/>
      <c r="AR2765" s="145"/>
      <c r="AS2765" s="138">
        <f>P_1_minW-(AS2763^2*R_up)+dpup_minQ</f>
        <v>-1667.6301833802161</v>
      </c>
      <c r="AT2765" s="132"/>
      <c r="AU2765" s="145"/>
    </row>
    <row r="2766" spans="13:47" x14ac:dyDescent="0.25">
      <c r="M2766" s="20"/>
      <c r="N2766" s="20"/>
      <c r="O2766" s="7" t="s">
        <v>189</v>
      </c>
      <c r="P2766" s="1"/>
      <c r="Q2766" s="7"/>
      <c r="R2766" s="181">
        <f>P_2_minW+(R2763^2*R_dn)-dpdn_minQ</f>
        <v>50</v>
      </c>
      <c r="S2766" s="132"/>
      <c r="T2766" s="146"/>
      <c r="U2766" s="138">
        <f>P_2_minW+(U2763^2*R_dn)-dpdn_minQ</f>
        <v>50</v>
      </c>
      <c r="V2766" s="132"/>
      <c r="W2766" s="146"/>
      <c r="X2766" s="138">
        <f>P_2_minW+(X2763^2*R_dn)-dpdn_minQ</f>
        <v>50</v>
      </c>
      <c r="Y2766" s="132"/>
      <c r="Z2766" s="146"/>
      <c r="AA2766" s="138">
        <f>P_2_minW+(AA2763^2*R_dn)-dpdn_minQ</f>
        <v>50</v>
      </c>
      <c r="AB2766" s="132"/>
      <c r="AC2766" s="146"/>
      <c r="AD2766" s="138">
        <f>P_2_minW+(AD2763^2*R_dn)-dpdn_minQ</f>
        <v>50</v>
      </c>
      <c r="AE2766" s="132"/>
      <c r="AF2766" s="146"/>
      <c r="AG2766" s="138">
        <f>P_2_minW+(AG2763^2*R_dn)-dpdn_minQ</f>
        <v>50</v>
      </c>
      <c r="AH2766" s="132"/>
      <c r="AI2766" s="146"/>
      <c r="AJ2766" s="138">
        <f>P_2_minW+(AJ2763^2*R_dn)-dpdn_minQ</f>
        <v>50</v>
      </c>
      <c r="AK2766" s="132"/>
      <c r="AL2766" s="146"/>
      <c r="AM2766" s="138">
        <f>P_2_minW+(AM2763^2*R_dn)-dpdn_minQ</f>
        <v>50</v>
      </c>
      <c r="AN2766" s="132"/>
      <c r="AO2766" s="146"/>
      <c r="AP2766" s="138">
        <f>P_2_minW+(AP2763^2*R_dn)-dpdn_minQ</f>
        <v>50</v>
      </c>
      <c r="AQ2766" s="132"/>
      <c r="AR2766" s="146"/>
      <c r="AS2766" s="138">
        <f>P_2_minW+(AS2763^2*R_dn)-dpdn_minQ</f>
        <v>50</v>
      </c>
      <c r="AT2766" s="132"/>
      <c r="AU2766" s="146"/>
    </row>
    <row r="2767" spans="13:47" x14ac:dyDescent="0.25">
      <c r="M2767" s="20"/>
      <c r="N2767" s="20"/>
      <c r="O2767" s="7" t="s">
        <v>234</v>
      </c>
      <c r="P2767" s="1"/>
      <c r="Q2767" s="7"/>
      <c r="R2767" s="179">
        <f>'Valve Sizing'!G$8*R2765/P_1_maxW</f>
        <v>0.48433414702262417</v>
      </c>
      <c r="S2767" s="132"/>
      <c r="T2767" s="146"/>
      <c r="U2767" s="143">
        <f>'Valve Sizing'!$G$8*U2765/P_1_maxW</f>
        <v>0.46478922037383663</v>
      </c>
      <c r="V2767" s="132"/>
      <c r="W2767" s="146"/>
      <c r="X2767" s="143">
        <f>'Valve Sizing'!$G$8*X2765/P_1_maxW</f>
        <v>0.36187548520522617</v>
      </c>
      <c r="Y2767" s="132"/>
      <c r="Z2767" s="146"/>
      <c r="AA2767" s="143">
        <f>'Valve Sizing'!$G$8*AA2765/P_1_maxW</f>
        <v>1.8169465475215894E-2</v>
      </c>
      <c r="AB2767" s="132"/>
      <c r="AC2767" s="146"/>
      <c r="AD2767" s="143">
        <f>'Valve Sizing'!$G$8*AD2765/P_1_maxW</f>
        <v>-0.77752606838368044</v>
      </c>
      <c r="AE2767" s="132"/>
      <c r="AF2767" s="146"/>
      <c r="AG2767" s="143">
        <f>'Valve Sizing'!$G$8*AG2765/P_1_maxW</f>
        <v>-1.9985764845428899</v>
      </c>
      <c r="AH2767" s="132"/>
      <c r="AI2767" s="146"/>
      <c r="AJ2767" s="143">
        <f>'Valve Sizing'!$G$8*AJ2765/P_1_maxW</f>
        <v>-3.5190280166596652</v>
      </c>
      <c r="AK2767" s="132"/>
      <c r="AL2767" s="146"/>
      <c r="AM2767" s="143">
        <f>'Valve Sizing'!$G$8*AM2765/P_1_maxW</f>
        <v>-5.0202650136164548</v>
      </c>
      <c r="AN2767" s="132"/>
      <c r="AO2767" s="146"/>
      <c r="AP2767" s="143">
        <f>'Valve Sizing'!$G$8*AP2765/P_1_maxW</f>
        <v>-6.3674671882788081</v>
      </c>
      <c r="AQ2767" s="132"/>
      <c r="AR2767" s="146"/>
      <c r="AS2767" s="143">
        <f>'Valve Sizing'!$G$8*AS2765/P_1_maxW</f>
        <v>-8.0443511013719657</v>
      </c>
      <c r="AT2767" s="132"/>
      <c r="AU2767" s="146"/>
    </row>
    <row r="2768" spans="13:47" x14ac:dyDescent="0.25">
      <c r="M2768" s="20"/>
      <c r="N2768" s="20"/>
      <c r="O2768" s="7" t="s">
        <v>190</v>
      </c>
      <c r="P2768" s="1"/>
      <c r="Q2768" s="7"/>
      <c r="R2768" s="181">
        <f>R2765-R2766</f>
        <v>50.404648210703726</v>
      </c>
      <c r="S2768" s="132"/>
      <c r="T2768" s="146"/>
      <c r="U2768" s="138">
        <f>U2765-U2766</f>
        <v>46.352896963059706</v>
      </c>
      <c r="V2768" s="132"/>
      <c r="W2768" s="146"/>
      <c r="X2768" s="138">
        <f>X2765-X2766</f>
        <v>25.018416544582848</v>
      </c>
      <c r="Y2768" s="132"/>
      <c r="Z2768" s="146"/>
      <c r="AA2768" s="138">
        <f>AA2765-AA2766</f>
        <v>-46.233388043295733</v>
      </c>
      <c r="AB2768" s="132"/>
      <c r="AC2768" s="146"/>
      <c r="AD2768" s="138">
        <f>AD2765-AD2766</f>
        <v>-211.1846528902046</v>
      </c>
      <c r="AE2768" s="132"/>
      <c r="AF2768" s="146"/>
      <c r="AG2768" s="138">
        <f>AG2765-AG2766</f>
        <v>-464.31389896062876</v>
      </c>
      <c r="AH2768" s="132"/>
      <c r="AI2768" s="146"/>
      <c r="AJ2768" s="138">
        <f>AJ2765-AJ2766</f>
        <v>-779.51034369216086</v>
      </c>
      <c r="AK2768" s="132"/>
      <c r="AL2768" s="146"/>
      <c r="AM2768" s="138">
        <f>AM2765-AM2766</f>
        <v>-1090.7235288184593</v>
      </c>
      <c r="AN2768" s="132"/>
      <c r="AO2768" s="146"/>
      <c r="AP2768" s="138">
        <f>AP2765-AP2766</f>
        <v>-1370.0046021171174</v>
      </c>
      <c r="AQ2768" s="132"/>
      <c r="AR2768" s="146"/>
      <c r="AS2768" s="138">
        <f>AS2765-AS2766</f>
        <v>-1717.6301833802161</v>
      </c>
      <c r="AT2768" s="132"/>
      <c r="AU2768" s="146"/>
    </row>
    <row r="2769" spans="13:47" ht="14.5" x14ac:dyDescent="0.35">
      <c r="M2769" s="27"/>
      <c r="N2769" s="27"/>
      <c r="O2769" s="2" t="s">
        <v>191</v>
      </c>
      <c r="P2769" s="10"/>
      <c r="Q2769" s="2"/>
      <c r="R2769" s="181">
        <f>R2768/R2765</f>
        <v>0.50201508703986764</v>
      </c>
      <c r="S2769" s="132"/>
      <c r="T2769" s="146"/>
      <c r="U2769" s="138">
        <f>U2768/U2765</f>
        <v>0.4810742429553595</v>
      </c>
      <c r="V2769" s="132"/>
      <c r="W2769" s="146"/>
      <c r="X2769" s="138">
        <f>X2768/X2765</f>
        <v>0.33349699576389491</v>
      </c>
      <c r="Y2769" s="132"/>
      <c r="Z2769" s="146"/>
      <c r="AA2769" s="138">
        <f>AA2768/AA2765</f>
        <v>-12.274529092651559</v>
      </c>
      <c r="AB2769" s="132"/>
      <c r="AC2769" s="146"/>
      <c r="AD2769" s="138">
        <f>AD2768/AD2765</f>
        <v>1.3102032302917752</v>
      </c>
      <c r="AE2769" s="132"/>
      <c r="AF2769" s="146"/>
      <c r="AG2769" s="138">
        <f>AG2768/AG2765</f>
        <v>1.1206814449754952</v>
      </c>
      <c r="AH2769" s="132"/>
      <c r="AI2769" s="146"/>
      <c r="AJ2769" s="138">
        <f>AJ2768/AJ2765</f>
        <v>1.0685391241294024</v>
      </c>
      <c r="AK2769" s="132"/>
      <c r="AL2769" s="146"/>
      <c r="AM2769" s="138">
        <f>AM2768/AM2765</f>
        <v>1.0480434991767364</v>
      </c>
      <c r="AN2769" s="132"/>
      <c r="AO2769" s="146"/>
      <c r="AP2769" s="138">
        <f>AP2768/AP2765</f>
        <v>1.0378786558166588</v>
      </c>
      <c r="AQ2769" s="132"/>
      <c r="AR2769" s="146"/>
      <c r="AS2769" s="138">
        <f>AS2768/AS2765</f>
        <v>1.0299826667196992</v>
      </c>
      <c r="AT2769" s="132"/>
      <c r="AU2769" s="146"/>
    </row>
    <row r="2770" spans="13:47" x14ac:dyDescent="0.25">
      <c r="M2770" s="27"/>
      <c r="N2770" s="27"/>
      <c r="O2770" s="2" t="s">
        <v>26</v>
      </c>
      <c r="P2770" s="7">
        <v>12</v>
      </c>
      <c r="Q2770" s="2"/>
      <c r="R2770" s="181">
        <f>1-R2769/(3*F_GAMMA*R$29)</f>
        <v>0.73854479001416573</v>
      </c>
      <c r="S2770" s="133"/>
      <c r="T2770" s="146"/>
      <c r="U2770" s="138">
        <f>1-U2769/(3*F_GAMMA*U$29)</f>
        <v>0.74950618622304976</v>
      </c>
      <c r="V2770" s="133"/>
      <c r="W2770" s="146"/>
      <c r="X2770" s="138">
        <f>1-X2769/(3*F_GAMMA*X$29)</f>
        <v>0.82374414643699378</v>
      </c>
      <c r="Y2770" s="133"/>
      <c r="Z2770" s="146"/>
      <c r="AA2770" s="138">
        <f>1-AA2769/(3*F_GAMMA*AA$29)</f>
        <v>7.5761360511083486</v>
      </c>
      <c r="AB2770" s="133"/>
      <c r="AC2770" s="146"/>
      <c r="AD2770" s="138">
        <f>1-AD2769/(3*F_GAMMA*AD$29)</f>
        <v>0.27880661837274168</v>
      </c>
      <c r="AE2770" s="133"/>
      <c r="AF2770" s="146"/>
      <c r="AG2770" s="138">
        <f>1-AG2769/(3*F_GAMMA*AG$29)</f>
        <v>0.3479403614962</v>
      </c>
      <c r="AH2770" s="133"/>
      <c r="AI2770" s="146"/>
      <c r="AJ2770" s="138">
        <f>1-AJ2769/(3*F_GAMMA*AJ$29)</f>
        <v>0.33537177837899201</v>
      </c>
      <c r="AK2770" s="133"/>
      <c r="AL2770" s="146"/>
      <c r="AM2770" s="138">
        <f>1-AM2769/(3*F_GAMMA*AM$29)</f>
        <v>0.28775480823040245</v>
      </c>
      <c r="AN2770" s="133"/>
      <c r="AO2770" s="146"/>
      <c r="AP2770" s="138">
        <f>1-AP2769/(3*F_GAMMA*AP$29)</f>
        <v>0.41711510075342295</v>
      </c>
      <c r="AQ2770" s="133"/>
      <c r="AR2770" s="146"/>
      <c r="AS2770" s="138">
        <f>1-AS2769/(3*F_GAMMA*AS$29)</f>
        <v>0.12186200098766309</v>
      </c>
      <c r="AT2770" s="133"/>
      <c r="AU2770" s="146"/>
    </row>
    <row r="2771" spans="13:47" x14ac:dyDescent="0.25">
      <c r="M2771" s="27"/>
      <c r="N2771" s="27"/>
      <c r="O2771" s="2" t="s">
        <v>71</v>
      </c>
      <c r="P2771" s="85">
        <v>5</v>
      </c>
      <c r="Q2771" s="2"/>
      <c r="R2771" s="179">
        <f>R2763/((N_6*R$27*R2770)*SQRT(R2769*R2765*R2767))</f>
        <v>2.356687793851624</v>
      </c>
      <c r="S2771" s="133"/>
      <c r="T2771" s="146"/>
      <c r="U2771" s="143">
        <f>U2763/((N_6*U$27*U2770)*SQRT(U2769*U2765*U2767))</f>
        <v>14.695403670993368</v>
      </c>
      <c r="V2771" s="133"/>
      <c r="W2771" s="146"/>
      <c r="X2771" s="143">
        <f>X2763/((N_6*X$27*X2770)*SQRT(X2769*X2765*X2767))</f>
        <v>51.124351436792814</v>
      </c>
      <c r="Y2771" s="133"/>
      <c r="Z2771" s="146"/>
      <c r="AA2771" s="143" t="e">
        <f>AA2763/((N_6*AA$27*AA2770)*SQRT(AA2769*AA2765*AA2767))</f>
        <v>#NUM!</v>
      </c>
      <c r="AB2771" s="133"/>
      <c r="AC2771" s="146"/>
      <c r="AD2771" s="143">
        <f>AD2763/((N_6*AD$27*AD2770)*SQRT(AD2769*AD2765*AD2767))</f>
        <v>115.63089942186151</v>
      </c>
      <c r="AE2771" s="133"/>
      <c r="AF2771" s="146"/>
      <c r="AG2771" s="143">
        <f>AG2763/((N_6*AG$27*AG2770)*SQRT(AG2769*AG2765*AG2767))</f>
        <v>55.845994680875442</v>
      </c>
      <c r="AH2771" s="133"/>
      <c r="AI2771" s="146"/>
      <c r="AJ2771" s="143">
        <f>AJ2763/((N_6*AJ$27*AJ2770)*SQRT(AJ2769*AJ2765*AJ2767))</f>
        <v>44.25749193914276</v>
      </c>
      <c r="AK2771" s="133"/>
      <c r="AL2771" s="146"/>
      <c r="AM2771" s="143">
        <f>AM2763/((N_6*AM$27*AM2770)*SQRT(AM2769*AM2765*AM2767))</f>
        <v>45.437935281022447</v>
      </c>
      <c r="AN2771" s="133"/>
      <c r="AO2771" s="146"/>
      <c r="AP2771" s="143">
        <f>AP2763/((N_6*AP$27*AP2770)*SQRT(AP2769*AP2765*AP2767))</f>
        <v>31.473916709736677</v>
      </c>
      <c r="AQ2771" s="133"/>
      <c r="AR2771" s="146"/>
      <c r="AS2771" s="143">
        <f>AS2763/((N_6*AS$27*AS2770)*SQRT(AS2769*AS2765*AS2767))</f>
        <v>125.48590866118177</v>
      </c>
      <c r="AT2771" s="133"/>
      <c r="AU2771" s="146"/>
    </row>
    <row r="2772" spans="13:47" x14ac:dyDescent="0.25">
      <c r="M2772" s="27"/>
      <c r="N2772" s="27"/>
      <c r="O2772" s="2" t="s">
        <v>73</v>
      </c>
      <c r="P2772" s="85">
        <v>5</v>
      </c>
      <c r="Q2772" s="2"/>
      <c r="R2772" s="179">
        <f>R2763/((N_6*R$27*0.667)*SQRT(R2773*R2765*R2767))</f>
        <v>2.3110659283789801</v>
      </c>
      <c r="S2772" s="133"/>
      <c r="T2772" s="147"/>
      <c r="U2772" s="143">
        <f>U2763/((N_6*U$27*0.667)*SQRT(U2773*U2765*U2767))</f>
        <v>14.314956675633653</v>
      </c>
      <c r="V2772" s="133"/>
      <c r="W2772" s="155"/>
      <c r="X2772" s="143">
        <f>X2763/((N_6*X$27*0.667)*SQRT(X2773*X2765*X2767))</f>
        <v>45.912053845201079</v>
      </c>
      <c r="Y2772" s="133"/>
      <c r="Z2772" s="155"/>
      <c r="AA2772" s="143">
        <f>AA2763/((N_6*AA$27*0.667)*SQRT(AA2773*AA2765*AA2767))</f>
        <v>1803.5306294988425</v>
      </c>
      <c r="AB2772" s="133"/>
      <c r="AC2772" s="155"/>
      <c r="AD2772" s="143">
        <f>AD2763/((N_6*AD$27*0.667)*SQRT(AD2773*AD2765*AD2767))</f>
        <v>71.094768175469483</v>
      </c>
      <c r="AE2772" s="133"/>
      <c r="AF2772" s="155"/>
      <c r="AG2772" s="143">
        <f>AG2763/((N_6*AG$27*0.667)*SQRT(AG2773*AG2765*AG2767))</f>
        <v>40.745091164809686</v>
      </c>
      <c r="AH2772" s="133"/>
      <c r="AI2772" s="155"/>
      <c r="AJ2772" s="143">
        <f>AJ2763/((N_6*AJ$27*0.667)*SQRT(AJ2773*AJ2765*AJ2767))</f>
        <v>31.422265614490623</v>
      </c>
      <c r="AK2772" s="133"/>
      <c r="AL2772" s="155"/>
      <c r="AM2772" s="143">
        <f>AM2763/((N_6*AM$27*0.667)*SQRT(AM2773*AM2765*AM2767))</f>
        <v>28.65436141481652</v>
      </c>
      <c r="AN2772" s="133"/>
      <c r="AO2772" s="155"/>
      <c r="AP2772" s="143">
        <f>AP2763/((N_6*AP$27*0.667)*SQRT(AP2773*AP2765*AP2767))</f>
        <v>26.027526635315702</v>
      </c>
      <c r="AQ2772" s="133"/>
      <c r="AR2772" s="155"/>
      <c r="AS2772" s="143">
        <f>AS2763/((N_6*AS$27*0.667)*SQRT(AS2773*AS2765*AS2767))</f>
        <v>37.211694213528659</v>
      </c>
      <c r="AT2772" s="133"/>
      <c r="AU2772" s="155"/>
    </row>
    <row r="2773" spans="13:47" ht="15.5" x14ac:dyDescent="0.4">
      <c r="M2773" s="27"/>
      <c r="N2773" s="27"/>
      <c r="O2773" s="2" t="s">
        <v>192</v>
      </c>
      <c r="P2773" s="85">
        <v>10</v>
      </c>
      <c r="Q2773" s="2"/>
      <c r="R2773" s="181">
        <f>F_GAMMA*R$29</f>
        <v>0.64002688015162901</v>
      </c>
      <c r="S2773" s="133"/>
      <c r="T2773" s="147"/>
      <c r="U2773" s="138">
        <f>F_GAMMA*U$29</f>
        <v>0.64016782916606918</v>
      </c>
      <c r="V2773" s="133"/>
      <c r="W2773" s="155"/>
      <c r="X2773" s="138">
        <f>F_GAMMA*X$29</f>
        <v>0.6307062319203669</v>
      </c>
      <c r="Y2773" s="133"/>
      <c r="Z2773" s="155"/>
      <c r="AA2773" s="138">
        <f>F_GAMMA*AA$29</f>
        <v>0.62217534213893466</v>
      </c>
      <c r="AB2773" s="133"/>
      <c r="AC2773" s="155"/>
      <c r="AD2773" s="138">
        <f>F_GAMMA*AD$29</f>
        <v>0.60557184969146072</v>
      </c>
      <c r="AE2773" s="133"/>
      <c r="AF2773" s="155"/>
      <c r="AG2773" s="138">
        <f>F_GAMMA*AG$29</f>
        <v>0.57289312142622573</v>
      </c>
      <c r="AH2773" s="133"/>
      <c r="AI2773" s="155"/>
      <c r="AJ2773" s="138">
        <f>F_GAMMA*AJ$29</f>
        <v>0.53590819116049981</v>
      </c>
      <c r="AK2773" s="133"/>
      <c r="AL2773" s="155"/>
      <c r="AM2773" s="138">
        <f>F_GAMMA*AM$29</f>
        <v>0.49048815926850342</v>
      </c>
      <c r="AN2773" s="133"/>
      <c r="AO2773" s="155"/>
      <c r="AP2773" s="138">
        <f>F_GAMMA*AP$29</f>
        <v>0.59352979016280105</v>
      </c>
      <c r="AQ2773" s="133"/>
      <c r="AR2773" s="155"/>
      <c r="AS2773" s="138">
        <f>F_GAMMA*AS$29</f>
        <v>0.39097221161068291</v>
      </c>
      <c r="AT2773" s="133"/>
      <c r="AU2773" s="155"/>
    </row>
    <row r="2774" spans="13:47" x14ac:dyDescent="0.25">
      <c r="M2774" s="27"/>
      <c r="N2774" s="27"/>
      <c r="O2774" s="2" t="s">
        <v>193</v>
      </c>
      <c r="P2774" s="134"/>
      <c r="Q2774" s="2"/>
      <c r="R2774" s="181">
        <f>IF(R2769&lt;R2773,R2771,R2772)</f>
        <v>2.356687793851624</v>
      </c>
      <c r="S2774" s="133"/>
      <c r="T2774" s="147"/>
      <c r="U2774" s="138">
        <f>IF(U2769&lt;U2773,U2771,U2772)</f>
        <v>14.695403670993368</v>
      </c>
      <c r="V2774" s="133"/>
      <c r="W2774" s="155"/>
      <c r="X2774" s="138">
        <f>IF(X2769&lt;X2773,X2771,X2772)</f>
        <v>51.124351436792814</v>
      </c>
      <c r="Y2774" s="133"/>
      <c r="Z2774" s="155"/>
      <c r="AA2774" s="138" t="e">
        <f>IF(AA2769&lt;AA2773,AA2771,AA2772)</f>
        <v>#NUM!</v>
      </c>
      <c r="AB2774" s="133"/>
      <c r="AC2774" s="155"/>
      <c r="AD2774" s="138">
        <f>IF(AD2769&lt;AD2773,AD2771,AD2772)</f>
        <v>71.094768175469483</v>
      </c>
      <c r="AE2774" s="133"/>
      <c r="AF2774" s="155"/>
      <c r="AG2774" s="138">
        <f>IF(AG2769&lt;AG2773,AG2771,AG2772)</f>
        <v>40.745091164809686</v>
      </c>
      <c r="AH2774" s="133"/>
      <c r="AI2774" s="155"/>
      <c r="AJ2774" s="138">
        <f>IF(AJ2769&lt;AJ2773,AJ2771,AJ2772)</f>
        <v>31.422265614490623</v>
      </c>
      <c r="AK2774" s="133"/>
      <c r="AL2774" s="155"/>
      <c r="AM2774" s="138">
        <f>IF(AM2769&lt;AM2773,AM2771,AM2772)</f>
        <v>28.65436141481652</v>
      </c>
      <c r="AN2774" s="133"/>
      <c r="AO2774" s="155"/>
      <c r="AP2774" s="138">
        <f>IF(AP2769&lt;AP2773,AP2771,AP2772)</f>
        <v>26.027526635315702</v>
      </c>
      <c r="AQ2774" s="133"/>
      <c r="AR2774" s="155"/>
      <c r="AS2774" s="138">
        <f>IF(AS2769&lt;AS2773,AS2771,AS2772)</f>
        <v>37.211694213528659</v>
      </c>
      <c r="AT2774" s="133"/>
      <c r="AU2774" s="155"/>
    </row>
    <row r="2775" spans="13:47" ht="13" x14ac:dyDescent="0.3">
      <c r="M2775" s="28"/>
      <c r="N2775" s="28"/>
      <c r="O2775" s="9" t="s">
        <v>194</v>
      </c>
      <c r="P2775" s="1"/>
      <c r="Q2775" s="1"/>
      <c r="R2775" s="135"/>
      <c r="S2775" s="132">
        <f>IF(R2768&lt;=0,W_max,ABS(R$23-R2774))</f>
        <v>0.35668779385162397</v>
      </c>
      <c r="T2775" s="151">
        <f>R2763</f>
        <v>544.30080954623395</v>
      </c>
      <c r="U2775" s="135"/>
      <c r="V2775" s="132">
        <f>IF(U2768&lt;=0,W_max,ABS(U$23-U2774))</f>
        <v>9.6954036709933682</v>
      </c>
      <c r="W2775" s="151">
        <f>U2763</f>
        <v>3233.7429415508805</v>
      </c>
      <c r="X2775" s="135"/>
      <c r="Y2775" s="132">
        <f>IF(X2768&lt;=0,W_max,ABS(X$23-X2774))</f>
        <v>41.124351436792814</v>
      </c>
      <c r="Z2775" s="151">
        <f>X2763</f>
        <v>7997.4311143763362</v>
      </c>
      <c r="AA2775" s="135"/>
      <c r="AB2775" s="132">
        <f>IF(AA2768&lt;=0,W_max,ABS(AA$23-AA2774))</f>
        <v>7174</v>
      </c>
      <c r="AC2775" s="151">
        <f>AA2763</f>
        <v>15576.954503194609</v>
      </c>
      <c r="AD2775" s="135"/>
      <c r="AE2775" s="132">
        <f>IF(AD2768&lt;=0,W_max,ABS(AD$23-AD2774))</f>
        <v>7174</v>
      </c>
      <c r="AF2775" s="151">
        <f>AD2763</f>
        <v>25618.355063368224</v>
      </c>
      <c r="AG2775" s="135"/>
      <c r="AH2775" s="132">
        <f>IF(AG2768&lt;=0,W_max,ABS(AG$23-AG2774))</f>
        <v>7174</v>
      </c>
      <c r="AI2775" s="151">
        <f>AG2763</f>
        <v>35931.715235401003</v>
      </c>
      <c r="AJ2775" s="135"/>
      <c r="AK2775" s="132">
        <f>IF(AJ2768&lt;=0,W_max,ABS(AJ$23-AJ2774))</f>
        <v>7174</v>
      </c>
      <c r="AL2775" s="151">
        <f>AJ2763</f>
        <v>45623.743815570742</v>
      </c>
      <c r="AM2775" s="135"/>
      <c r="AN2775" s="132">
        <f>IF(AM2768&lt;=0,W_max,ABS(AM$23-AM2774))</f>
        <v>7174</v>
      </c>
      <c r="AO2775" s="151">
        <f>AM2763</f>
        <v>53497.427699607928</v>
      </c>
      <c r="AP2775" s="135"/>
      <c r="AQ2775" s="132">
        <f>IF(AP2768&lt;=0,W_max,ABS(AP$23-AP2774))</f>
        <v>7174</v>
      </c>
      <c r="AR2775" s="151">
        <f>AP2763</f>
        <v>59685.386712468884</v>
      </c>
      <c r="AS2775" s="135"/>
      <c r="AT2775" s="132">
        <f>IF(AS2768&lt;=0,W_max,ABS(AS$23-AS2774))</f>
        <v>7174</v>
      </c>
      <c r="AU2775" s="151">
        <f>AS2763</f>
        <v>66589.096713580206</v>
      </c>
    </row>
    <row r="2776" spans="13:47" ht="13" x14ac:dyDescent="0.25">
      <c r="M2776" s="12"/>
      <c r="N2776" s="12"/>
      <c r="O2776" s="12"/>
      <c r="P2776" s="12"/>
      <c r="Q2776" s="12"/>
      <c r="R2776" s="182"/>
      <c r="S2776" s="22"/>
      <c r="T2776" s="152"/>
      <c r="U2776" s="157"/>
      <c r="V2776" s="1"/>
      <c r="W2776" s="147"/>
      <c r="X2776" s="157"/>
      <c r="Y2776" s="1"/>
      <c r="Z2776" s="147"/>
      <c r="AA2776" s="157"/>
      <c r="AB2776" s="1"/>
      <c r="AC2776" s="147"/>
      <c r="AD2776" s="157"/>
      <c r="AE2776" s="1"/>
      <c r="AF2776" s="147"/>
      <c r="AG2776" s="157"/>
      <c r="AH2776" s="1"/>
      <c r="AI2776" s="147"/>
      <c r="AJ2776" s="157"/>
      <c r="AK2776" s="1"/>
      <c r="AL2776" s="147"/>
      <c r="AM2776" s="157"/>
      <c r="AN2776" s="1"/>
      <c r="AO2776" s="147"/>
      <c r="AP2776" s="157"/>
      <c r="AQ2776" s="1"/>
      <c r="AR2776" s="147"/>
      <c r="AS2776" s="157"/>
      <c r="AT2776" s="1"/>
      <c r="AU2776" s="147"/>
    </row>
    <row r="2777" spans="13:47" ht="14" x14ac:dyDescent="0.3">
      <c r="M2777" s="23"/>
      <c r="N2777" s="23"/>
      <c r="O2777" s="23" t="s">
        <v>238</v>
      </c>
      <c r="P2777" s="20"/>
      <c r="Q2777" s="20"/>
      <c r="R2777" s="18">
        <f>R2763*1.02</f>
        <v>555.18682573715864</v>
      </c>
      <c r="S2777" s="128" t="s">
        <v>185</v>
      </c>
      <c r="T2777" s="153" t="s">
        <v>186</v>
      </c>
      <c r="U2777" s="143">
        <f>U2763*1.01</f>
        <v>3266.0803709663892</v>
      </c>
      <c r="V2777" s="128" t="s">
        <v>185</v>
      </c>
      <c r="W2777" s="153" t="s">
        <v>186</v>
      </c>
      <c r="X2777" s="143">
        <f>X2763*1.01</f>
        <v>8077.4054255200999</v>
      </c>
      <c r="Y2777" s="128" t="s">
        <v>185</v>
      </c>
      <c r="Z2777" s="153" t="s">
        <v>186</v>
      </c>
      <c r="AA2777" s="143">
        <f>AA2763*1.01</f>
        <v>15732.724048226555</v>
      </c>
      <c r="AB2777" s="128" t="s">
        <v>185</v>
      </c>
      <c r="AC2777" s="153" t="s">
        <v>186</v>
      </c>
      <c r="AD2777" s="143">
        <f>AD2763*1.01</f>
        <v>25874.538614001907</v>
      </c>
      <c r="AE2777" s="128" t="s">
        <v>185</v>
      </c>
      <c r="AF2777" s="153" t="s">
        <v>186</v>
      </c>
      <c r="AG2777" s="143">
        <f>AG2763*1.01</f>
        <v>36291.032387755011</v>
      </c>
      <c r="AH2777" s="128" t="s">
        <v>185</v>
      </c>
      <c r="AI2777" s="153" t="s">
        <v>186</v>
      </c>
      <c r="AJ2777" s="143">
        <f>AJ2763*1.01</f>
        <v>46079.981253726452</v>
      </c>
      <c r="AK2777" s="128" t="s">
        <v>185</v>
      </c>
      <c r="AL2777" s="153" t="s">
        <v>186</v>
      </c>
      <c r="AM2777" s="143">
        <f>AM2763*1.01</f>
        <v>54032.401976604007</v>
      </c>
      <c r="AN2777" s="128" t="s">
        <v>185</v>
      </c>
      <c r="AO2777" s="153" t="s">
        <v>186</v>
      </c>
      <c r="AP2777" s="143">
        <f>AP2763*1.01</f>
        <v>60282.24057959357</v>
      </c>
      <c r="AQ2777" s="128" t="s">
        <v>185</v>
      </c>
      <c r="AR2777" s="153" t="s">
        <v>186</v>
      </c>
      <c r="AS2777" s="143">
        <f>AS2763*1.01</f>
        <v>67254.987680716004</v>
      </c>
      <c r="AT2777" s="128" t="s">
        <v>185</v>
      </c>
      <c r="AU2777" s="153" t="s">
        <v>186</v>
      </c>
    </row>
    <row r="2778" spans="13:47" ht="14" x14ac:dyDescent="0.3">
      <c r="M2778" s="12"/>
      <c r="N2778" s="12"/>
      <c r="O2778" s="20"/>
      <c r="P2778" s="20"/>
      <c r="Q2778" s="23"/>
      <c r="R2778" s="139"/>
      <c r="S2778" s="130" t="s">
        <v>228</v>
      </c>
      <c r="T2778" s="154" t="s">
        <v>187</v>
      </c>
      <c r="U2778" s="144"/>
      <c r="V2778" s="130" t="s">
        <v>228</v>
      </c>
      <c r="W2778" s="154" t="s">
        <v>187</v>
      </c>
      <c r="X2778" s="144"/>
      <c r="Y2778" s="130" t="s">
        <v>228</v>
      </c>
      <c r="Z2778" s="154" t="s">
        <v>187</v>
      </c>
      <c r="AA2778" s="144"/>
      <c r="AB2778" s="130" t="s">
        <v>228</v>
      </c>
      <c r="AC2778" s="154" t="s">
        <v>187</v>
      </c>
      <c r="AD2778" s="144"/>
      <c r="AE2778" s="130" t="s">
        <v>228</v>
      </c>
      <c r="AF2778" s="154" t="s">
        <v>187</v>
      </c>
      <c r="AG2778" s="144"/>
      <c r="AH2778" s="130" t="s">
        <v>228</v>
      </c>
      <c r="AI2778" s="154" t="s">
        <v>187</v>
      </c>
      <c r="AJ2778" s="144"/>
      <c r="AK2778" s="130" t="s">
        <v>228</v>
      </c>
      <c r="AL2778" s="154" t="s">
        <v>187</v>
      </c>
      <c r="AM2778" s="144"/>
      <c r="AN2778" s="130" t="s">
        <v>228</v>
      </c>
      <c r="AO2778" s="154" t="s">
        <v>187</v>
      </c>
      <c r="AP2778" s="144"/>
      <c r="AQ2778" s="130" t="s">
        <v>228</v>
      </c>
      <c r="AR2778" s="154" t="s">
        <v>187</v>
      </c>
      <c r="AS2778" s="144"/>
      <c r="AT2778" s="130" t="s">
        <v>228</v>
      </c>
      <c r="AU2778" s="154" t="s">
        <v>187</v>
      </c>
    </row>
    <row r="2779" spans="13:47" x14ac:dyDescent="0.25">
      <c r="M2779" s="20"/>
      <c r="N2779" s="20"/>
      <c r="O2779" s="7" t="s">
        <v>188</v>
      </c>
      <c r="P2779" s="7"/>
      <c r="Q2779" s="7"/>
      <c r="R2779" s="181">
        <f>P_1_minW-(R2777^2*R_up)+dpup_minQ</f>
        <v>100.39987541425239</v>
      </c>
      <c r="S2779" s="132"/>
      <c r="T2779" s="145"/>
      <c r="U2779" s="138">
        <f>P_1_minW-(U2777^2*R_up)+dpup_minQ</f>
        <v>96.269082178608997</v>
      </c>
      <c r="V2779" s="132"/>
      <c r="W2779" s="145"/>
      <c r="X2779" s="138">
        <f>P_1_minW-(X2777^2*R_up)+dpup_minQ</f>
        <v>74.50577870372075</v>
      </c>
      <c r="Y2779" s="132"/>
      <c r="Z2779" s="145"/>
      <c r="AA2779" s="138">
        <f>P_1_minW-(AA2777^2*R_up)+dpup_minQ</f>
        <v>1.8218128436258065</v>
      </c>
      <c r="AB2779" s="132"/>
      <c r="AC2779" s="145"/>
      <c r="AD2779" s="138">
        <f>P_1_minW-(AD2777^2*R_up)+dpup_minQ</f>
        <v>-166.44497242670596</v>
      </c>
      <c r="AE2779" s="132"/>
      <c r="AF2779" s="145"/>
      <c r="AG2779" s="138">
        <f>P_1_minW-(AG2777^2*R_up)+dpup_minQ</f>
        <v>-424.6621163431455</v>
      </c>
      <c r="AH2779" s="132"/>
      <c r="AI2779" s="145"/>
      <c r="AJ2779" s="138">
        <f>P_1_minW-(AJ2777^2*R_up)+dpup_minQ</f>
        <v>-746.19400961378153</v>
      </c>
      <c r="AK2779" s="132"/>
      <c r="AL2779" s="145"/>
      <c r="AM2779" s="138">
        <f>P_1_minW-(AM2777^2*R_up)+dpup_minQ</f>
        <v>-1063.6625797611184</v>
      </c>
      <c r="AN2779" s="132"/>
      <c r="AO2779" s="145"/>
      <c r="AP2779" s="138">
        <f>P_1_minW-(AP2777^2*R_up)+dpup_minQ</f>
        <v>-1348.5572026330794</v>
      </c>
      <c r="AQ2779" s="132"/>
      <c r="AR2779" s="145"/>
      <c r="AS2779" s="138">
        <f>P_1_minW-(AS2777^2*R_up)+dpup_minQ</f>
        <v>-1703.1700580795666</v>
      </c>
      <c r="AT2779" s="132"/>
      <c r="AU2779" s="145"/>
    </row>
    <row r="2780" spans="13:47" x14ac:dyDescent="0.25">
      <c r="M2780" s="20"/>
      <c r="N2780" s="20"/>
      <c r="O2780" s="7" t="s">
        <v>189</v>
      </c>
      <c r="P2780" s="1"/>
      <c r="Q2780" s="7"/>
      <c r="R2780" s="181">
        <f>P_2_minW+(R2777^2*R_dn)-dpdn_minQ</f>
        <v>50</v>
      </c>
      <c r="S2780" s="132"/>
      <c r="T2780" s="146"/>
      <c r="U2780" s="138">
        <f>P_2_minW+(U2777^2*R_dn)-dpdn_minQ</f>
        <v>50</v>
      </c>
      <c r="V2780" s="132"/>
      <c r="W2780" s="146"/>
      <c r="X2780" s="138">
        <f>P_2_minW+(X2777^2*R_dn)-dpdn_minQ</f>
        <v>50</v>
      </c>
      <c r="Y2780" s="132"/>
      <c r="Z2780" s="146"/>
      <c r="AA2780" s="138">
        <f>P_2_minW+(AA2777^2*R_dn)-dpdn_minQ</f>
        <v>50</v>
      </c>
      <c r="AB2780" s="132"/>
      <c r="AC2780" s="146"/>
      <c r="AD2780" s="138">
        <f>P_2_minW+(AD2777^2*R_dn)-dpdn_minQ</f>
        <v>50</v>
      </c>
      <c r="AE2780" s="132"/>
      <c r="AF2780" s="146"/>
      <c r="AG2780" s="138">
        <f>P_2_minW+(AG2777^2*R_dn)-dpdn_minQ</f>
        <v>50</v>
      </c>
      <c r="AH2780" s="132"/>
      <c r="AI2780" s="146"/>
      <c r="AJ2780" s="138">
        <f>P_2_minW+(AJ2777^2*R_dn)-dpdn_minQ</f>
        <v>50</v>
      </c>
      <c r="AK2780" s="132"/>
      <c r="AL2780" s="146"/>
      <c r="AM2780" s="138">
        <f>P_2_minW+(AM2777^2*R_dn)-dpdn_minQ</f>
        <v>50</v>
      </c>
      <c r="AN2780" s="132"/>
      <c r="AO2780" s="146"/>
      <c r="AP2780" s="138">
        <f>P_2_minW+(AP2777^2*R_dn)-dpdn_minQ</f>
        <v>50</v>
      </c>
      <c r="AQ2780" s="132"/>
      <c r="AR2780" s="146"/>
      <c r="AS2780" s="138">
        <f>P_2_minW+(AS2777^2*R_dn)-dpdn_minQ</f>
        <v>50</v>
      </c>
      <c r="AT2780" s="132"/>
      <c r="AU2780" s="146"/>
    </row>
    <row r="2781" spans="13:47" x14ac:dyDescent="0.25">
      <c r="M2781" s="20"/>
      <c r="N2781" s="20"/>
      <c r="O2781" s="7" t="s">
        <v>234</v>
      </c>
      <c r="P2781" s="1"/>
      <c r="Q2781" s="7"/>
      <c r="R2781" s="179">
        <f>'Valve Sizing'!G$8*R2779/P_1_maxW</f>
        <v>0.48431112390228703</v>
      </c>
      <c r="S2781" s="132"/>
      <c r="T2781" s="146"/>
      <c r="U2781" s="143">
        <f>'Valve Sizing'!$G$8*U2779/P_1_maxW</f>
        <v>0.46438491277594907</v>
      </c>
      <c r="V2781" s="132"/>
      <c r="W2781" s="146"/>
      <c r="X2781" s="143">
        <f>'Valve Sizing'!$G$8*X2779/P_1_maxW</f>
        <v>0.3594026115304495</v>
      </c>
      <c r="Y2781" s="132"/>
      <c r="Z2781" s="146"/>
      <c r="AA2781" s="143">
        <f>'Valve Sizing'!$G$8*AA2779/P_1_maxW</f>
        <v>8.7881008038659808E-3</v>
      </c>
      <c r="AB2781" s="132"/>
      <c r="AC2781" s="146"/>
      <c r="AD2781" s="143">
        <f>'Valve Sizing'!$G$8*AD2779/P_1_maxW</f>
        <v>-0.80290091328559432</v>
      </c>
      <c r="AE2781" s="132"/>
      <c r="AF2781" s="146"/>
      <c r="AG2781" s="143">
        <f>'Valve Sizing'!$G$8*AG2779/P_1_maxW</f>
        <v>-2.0484944428096035</v>
      </c>
      <c r="AH2781" s="132"/>
      <c r="AI2781" s="146"/>
      <c r="AJ2781" s="143">
        <f>'Valve Sizing'!$G$8*AJ2779/P_1_maxW</f>
        <v>-3.5995070507219267</v>
      </c>
      <c r="AK2781" s="132"/>
      <c r="AL2781" s="146"/>
      <c r="AM2781" s="143">
        <f>'Valve Sizing'!$G$8*AM2779/P_1_maxW</f>
        <v>-5.1309189113175471</v>
      </c>
      <c r="AN2781" s="132"/>
      <c r="AO2781" s="146"/>
      <c r="AP2781" s="143">
        <f>'Valve Sizing'!$G$8*AP2779/P_1_maxW</f>
        <v>-6.5051998496906123</v>
      </c>
      <c r="AQ2781" s="132"/>
      <c r="AR2781" s="146"/>
      <c r="AS2781" s="143">
        <f>'Valve Sizing'!$G$8*AS2779/P_1_maxW</f>
        <v>-8.2157891294369456</v>
      </c>
      <c r="AT2781" s="132"/>
      <c r="AU2781" s="146"/>
    </row>
    <row r="2782" spans="13:47" x14ac:dyDescent="0.25">
      <c r="M2782" s="20"/>
      <c r="N2782" s="20"/>
      <c r="O2782" s="7" t="s">
        <v>190</v>
      </c>
      <c r="P2782" s="1"/>
      <c r="Q2782" s="7"/>
      <c r="R2782" s="181">
        <f>R2779-R2780</f>
        <v>50.399875414252392</v>
      </c>
      <c r="S2782" s="132"/>
      <c r="T2782" s="146"/>
      <c r="U2782" s="138">
        <f>U2779-U2780</f>
        <v>46.269082178608997</v>
      </c>
      <c r="V2782" s="132"/>
      <c r="W2782" s="146"/>
      <c r="X2782" s="138">
        <f>X2779-X2780</f>
        <v>24.50577870372075</v>
      </c>
      <c r="Y2782" s="132"/>
      <c r="Z2782" s="146"/>
      <c r="AA2782" s="138">
        <f>AA2779-AA2780</f>
        <v>-48.178187156374193</v>
      </c>
      <c r="AB2782" s="132"/>
      <c r="AC2782" s="146"/>
      <c r="AD2782" s="138">
        <f>AD2779-AD2780</f>
        <v>-216.44497242670596</v>
      </c>
      <c r="AE2782" s="132"/>
      <c r="AF2782" s="146"/>
      <c r="AG2782" s="138">
        <f>AG2779-AG2780</f>
        <v>-474.6621163431455</v>
      </c>
      <c r="AH2782" s="132"/>
      <c r="AI2782" s="146"/>
      <c r="AJ2782" s="138">
        <f>AJ2779-AJ2780</f>
        <v>-796.19400961378153</v>
      </c>
      <c r="AK2782" s="132"/>
      <c r="AL2782" s="146"/>
      <c r="AM2782" s="138">
        <f>AM2779-AM2780</f>
        <v>-1113.6625797611184</v>
      </c>
      <c r="AN2782" s="132"/>
      <c r="AO2782" s="146"/>
      <c r="AP2782" s="138">
        <f>AP2779-AP2780</f>
        <v>-1398.5572026330794</v>
      </c>
      <c r="AQ2782" s="132"/>
      <c r="AR2782" s="146"/>
      <c r="AS2782" s="138">
        <f>AS2779-AS2780</f>
        <v>-1753.1700580795666</v>
      </c>
      <c r="AT2782" s="132"/>
      <c r="AU2782" s="146"/>
    </row>
    <row r="2783" spans="13:47" ht="14.5" x14ac:dyDescent="0.35">
      <c r="M2783" s="27"/>
      <c r="N2783" s="27"/>
      <c r="O2783" s="2" t="s">
        <v>191</v>
      </c>
      <c r="P2783" s="10"/>
      <c r="Q2783" s="2"/>
      <c r="R2783" s="181">
        <f>R2782/R2779</f>
        <v>0.50199141389669311</v>
      </c>
      <c r="S2783" s="132"/>
      <c r="T2783" s="146"/>
      <c r="U2783" s="138">
        <f>U2782/U2779</f>
        <v>0.48062245044328461</v>
      </c>
      <c r="V2783" s="132"/>
      <c r="W2783" s="146"/>
      <c r="X2783" s="138">
        <f>X2782/X2779</f>
        <v>0.32891111441396093</v>
      </c>
      <c r="Y2783" s="132"/>
      <c r="Z2783" s="146"/>
      <c r="AA2783" s="138">
        <f>AA2782/AA2779</f>
        <v>-26.445190198840102</v>
      </c>
      <c r="AB2783" s="132"/>
      <c r="AC2783" s="146"/>
      <c r="AD2783" s="138">
        <f>AD2782/AD2779</f>
        <v>1.3003995811409534</v>
      </c>
      <c r="AE2783" s="132"/>
      <c r="AF2783" s="146"/>
      <c r="AG2783" s="138">
        <f>AG2782/AG2779</f>
        <v>1.1177406650505124</v>
      </c>
      <c r="AH2783" s="132"/>
      <c r="AI2783" s="146"/>
      <c r="AJ2783" s="138">
        <f>AJ2782/AJ2779</f>
        <v>1.0670067024873051</v>
      </c>
      <c r="AK2783" s="132"/>
      <c r="AL2783" s="146"/>
      <c r="AM2783" s="138">
        <f>AM2782/AM2779</f>
        <v>1.0470073883874238</v>
      </c>
      <c r="AN2783" s="132"/>
      <c r="AO2783" s="146"/>
      <c r="AP2783" s="138">
        <f>AP2782/AP2779</f>
        <v>1.0370766623042569</v>
      </c>
      <c r="AQ2783" s="132"/>
      <c r="AR2783" s="146"/>
      <c r="AS2783" s="138">
        <f>AS2782/AS2779</f>
        <v>1.0293570214922509</v>
      </c>
      <c r="AT2783" s="132"/>
      <c r="AU2783" s="146"/>
    </row>
    <row r="2784" spans="13:47" x14ac:dyDescent="0.25">
      <c r="M2784" s="27"/>
      <c r="N2784" s="27"/>
      <c r="O2784" s="2" t="s">
        <v>26</v>
      </c>
      <c r="P2784" s="7">
        <v>12</v>
      </c>
      <c r="Q2784" s="2"/>
      <c r="R2784" s="181">
        <f>1-R2783/(3*F_GAMMA*R$29)</f>
        <v>0.73855711925840462</v>
      </c>
      <c r="S2784" s="133"/>
      <c r="T2784" s="146"/>
      <c r="U2784" s="138">
        <f>1-U2783/(3*F_GAMMA*U$29)</f>
        <v>0.74974143313356878</v>
      </c>
      <c r="V2784" s="133"/>
      <c r="W2784" s="146"/>
      <c r="X2784" s="138">
        <f>1-X2783/(3*F_GAMMA*X$29)</f>
        <v>0.82616782173823555</v>
      </c>
      <c r="Y2784" s="133"/>
      <c r="Z2784" s="146"/>
      <c r="AA2784" s="138">
        <f>1-AA2783/(3*F_GAMMA*AA$29)</f>
        <v>15.168133647515916</v>
      </c>
      <c r="AB2784" s="133"/>
      <c r="AC2784" s="146"/>
      <c r="AD2784" s="138">
        <f>1-AD2783/(3*F_GAMMA*AD$29)</f>
        <v>0.28420297728859767</v>
      </c>
      <c r="AE2784" s="133"/>
      <c r="AF2784" s="146"/>
      <c r="AG2784" s="138">
        <f>1-AG2783/(3*F_GAMMA*AG$29)</f>
        <v>0.34965143104535756</v>
      </c>
      <c r="AH2784" s="133"/>
      <c r="AI2784" s="146"/>
      <c r="AJ2784" s="138">
        <f>1-AJ2783/(3*F_GAMMA*AJ$29)</f>
        <v>0.33632494017509429</v>
      </c>
      <c r="AK2784" s="133"/>
      <c r="AL2784" s="146"/>
      <c r="AM2784" s="138">
        <f>1-AM2783/(3*F_GAMMA*AM$29)</f>
        <v>0.28845894401141559</v>
      </c>
      <c r="AN2784" s="133"/>
      <c r="AO2784" s="146"/>
      <c r="AP2784" s="138">
        <f>1-AP2783/(3*F_GAMMA*AP$29)</f>
        <v>0.41756550977287143</v>
      </c>
      <c r="AQ2784" s="133"/>
      <c r="AR2784" s="146"/>
      <c r="AS2784" s="138">
        <f>1-AS2783/(3*F_GAMMA*AS$29)</f>
        <v>0.12239541078753158</v>
      </c>
      <c r="AT2784" s="133"/>
      <c r="AU2784" s="146"/>
    </row>
    <row r="2785" spans="13:47" x14ac:dyDescent="0.25">
      <c r="M2785" s="27"/>
      <c r="N2785" s="27"/>
      <c r="O2785" s="2" t="s">
        <v>71</v>
      </c>
      <c r="P2785" s="85">
        <v>5</v>
      </c>
      <c r="Q2785" s="2"/>
      <c r="R2785" s="179">
        <f>R2777/((N_6*R$27*R2784)*SQRT(R2783*R2779*R2781))</f>
        <v>2.4039523730728596</v>
      </c>
      <c r="S2785" s="133"/>
      <c r="T2785" s="146"/>
      <c r="U2785" s="143">
        <f>U2777/((N_6*U$27*U2784)*SQRT(U2783*U2779*U2781))</f>
        <v>14.857597028593394</v>
      </c>
      <c r="V2785" s="133"/>
      <c r="W2785" s="146"/>
      <c r="X2785" s="143">
        <f>X2777/((N_6*X$27*X2784)*SQRT(X2783*X2779*X2781))</f>
        <v>52.19848213279478</v>
      </c>
      <c r="Y2785" s="133"/>
      <c r="Z2785" s="146"/>
      <c r="AA2785" s="143" t="e">
        <f>AA2777/((N_6*AA$27*AA2784)*SQRT(AA2783*AA2779*AA2781))</f>
        <v>#NUM!</v>
      </c>
      <c r="AB2785" s="133"/>
      <c r="AC2785" s="146"/>
      <c r="AD2785" s="143">
        <f>AD2777/((N_6*AD$27*AD2784)*SQRT(AD2783*AD2779*AD2781))</f>
        <v>111.36626702572907</v>
      </c>
      <c r="AE2785" s="133"/>
      <c r="AF2785" s="146"/>
      <c r="AG2785" s="143">
        <f>AG2777/((N_6*AG$27*AG2784)*SQRT(AG2783*AG2779*AG2781))</f>
        <v>54.832677440044527</v>
      </c>
      <c r="AH2785" s="133"/>
      <c r="AI2785" s="146"/>
      <c r="AJ2785" s="143">
        <f>AJ2777/((N_6*AJ$27*AJ2784)*SQRT(AJ2783*AJ2779*AJ2781))</f>
        <v>43.608078338909806</v>
      </c>
      <c r="AK2785" s="133"/>
      <c r="AL2785" s="146"/>
      <c r="AM2785" s="143">
        <f>AM2777/((N_6*AM$27*AM2784)*SQRT(AM2783*AM2779*AM2781))</f>
        <v>44.815146019713779</v>
      </c>
      <c r="AN2785" s="133"/>
      <c r="AO2785" s="146"/>
      <c r="AP2785" s="143">
        <f>AP2777/((N_6*AP$27*AP2784)*SQRT(AP2783*AP2779*AP2781))</f>
        <v>31.094057007788564</v>
      </c>
      <c r="AQ2785" s="133"/>
      <c r="AR2785" s="146"/>
      <c r="AS2785" s="143">
        <f>AS2777/((N_6*AS$27*AS2784)*SQRT(AS2783*AS2779*AS2781))</f>
        <v>123.59280255531871</v>
      </c>
      <c r="AT2785" s="133"/>
      <c r="AU2785" s="146"/>
    </row>
    <row r="2786" spans="13:47" x14ac:dyDescent="0.25">
      <c r="M2786" s="27"/>
      <c r="N2786" s="27"/>
      <c r="O2786" s="2" t="s">
        <v>73</v>
      </c>
      <c r="P2786" s="85">
        <v>5</v>
      </c>
      <c r="Q2786" s="2"/>
      <c r="R2786" s="179">
        <f>R2777/((N_6*R$27*0.667)*SQRT(R2787*R2779*R2781))</f>
        <v>2.3573993073665607</v>
      </c>
      <c r="S2786" s="133"/>
      <c r="T2786" s="155"/>
      <c r="U2786" s="143">
        <f>U2777/((N_6*U$27*0.667)*SQRT(U2787*U2779*U2781))</f>
        <v>14.470693908448995</v>
      </c>
      <c r="V2786" s="133"/>
      <c r="W2786" s="155"/>
      <c r="X2786" s="143">
        <f>X2777/((N_6*X$27*0.667)*SQRT(X2787*X2779*X2781))</f>
        <v>46.69023176588388</v>
      </c>
      <c r="Y2786" s="133"/>
      <c r="Z2786" s="155"/>
      <c r="AA2786" s="143">
        <f>AA2777/((N_6*AA$27*0.667)*SQRT(AA2787*AA2779*AA2781))</f>
        <v>3766.1014728774694</v>
      </c>
      <c r="AB2786" s="133"/>
      <c r="AC2786" s="155"/>
      <c r="AD2786" s="143">
        <f>AD2777/((N_6*AD$27*0.667)*SQRT(AD2787*AD2779*AD2781))</f>
        <v>69.536371193644442</v>
      </c>
      <c r="AE2786" s="133"/>
      <c r="AF2786" s="155"/>
      <c r="AG2786" s="143">
        <f>AG2777/((N_6*AG$27*0.667)*SQRT(AG2787*AG2779*AG2781))</f>
        <v>40.149731995545736</v>
      </c>
      <c r="AH2786" s="133"/>
      <c r="AI2786" s="155"/>
      <c r="AJ2786" s="143">
        <f>AJ2777/((N_6*AJ$27*0.667)*SQRT(AJ2787*AJ2779*AJ2781))</f>
        <v>31.026912796950381</v>
      </c>
      <c r="AK2786" s="133"/>
      <c r="AL2786" s="155"/>
      <c r="AM2786" s="143">
        <f>AM2777/((N_6*AM$27*0.667)*SQRT(AM2787*AM2779*AM2781))</f>
        <v>28.316762648271755</v>
      </c>
      <c r="AN2786" s="133"/>
      <c r="AO2786" s="155"/>
      <c r="AP2786" s="143">
        <f>AP2777/((N_6*AP$27*0.667)*SQRT(AP2787*AP2779*AP2781))</f>
        <v>25.731218091448891</v>
      </c>
      <c r="AQ2786" s="133"/>
      <c r="AR2786" s="155"/>
      <c r="AS2786" s="143">
        <f>AS2777/((N_6*AS$27*0.667)*SQRT(AS2787*AS2779*AS2781))</f>
        <v>36.799553627849917</v>
      </c>
      <c r="AT2786" s="133"/>
      <c r="AU2786" s="155"/>
    </row>
    <row r="2787" spans="13:47" ht="15.5" x14ac:dyDescent="0.4">
      <c r="M2787" s="27"/>
      <c r="N2787" s="27"/>
      <c r="O2787" s="2" t="s">
        <v>192</v>
      </c>
      <c r="P2787" s="85">
        <v>10</v>
      </c>
      <c r="Q2787" s="2"/>
      <c r="R2787" s="181">
        <f>F_GAMMA*R$29</f>
        <v>0.64002688015162901</v>
      </c>
      <c r="S2787" s="133"/>
      <c r="T2787" s="155"/>
      <c r="U2787" s="138">
        <f>F_GAMMA*U$29</f>
        <v>0.64016782916606918</v>
      </c>
      <c r="V2787" s="133"/>
      <c r="W2787" s="155"/>
      <c r="X2787" s="138">
        <f>F_GAMMA*X$29</f>
        <v>0.6307062319203669</v>
      </c>
      <c r="Y2787" s="133"/>
      <c r="Z2787" s="155"/>
      <c r="AA2787" s="138">
        <f>F_GAMMA*AA$29</f>
        <v>0.62217534213893466</v>
      </c>
      <c r="AB2787" s="133"/>
      <c r="AC2787" s="155"/>
      <c r="AD2787" s="138">
        <f>F_GAMMA*AD$29</f>
        <v>0.60557184969146072</v>
      </c>
      <c r="AE2787" s="133"/>
      <c r="AF2787" s="155"/>
      <c r="AG2787" s="138">
        <f>F_GAMMA*AG$29</f>
        <v>0.57289312142622573</v>
      </c>
      <c r="AH2787" s="133"/>
      <c r="AI2787" s="155"/>
      <c r="AJ2787" s="138">
        <f>F_GAMMA*AJ$29</f>
        <v>0.53590819116049981</v>
      </c>
      <c r="AK2787" s="133"/>
      <c r="AL2787" s="155"/>
      <c r="AM2787" s="138">
        <f>F_GAMMA*AM$29</f>
        <v>0.49048815926850342</v>
      </c>
      <c r="AN2787" s="133"/>
      <c r="AO2787" s="155"/>
      <c r="AP2787" s="138">
        <f>F_GAMMA*AP$29</f>
        <v>0.59352979016280105</v>
      </c>
      <c r="AQ2787" s="133"/>
      <c r="AR2787" s="155"/>
      <c r="AS2787" s="138">
        <f>F_GAMMA*AS$29</f>
        <v>0.39097221161068291</v>
      </c>
      <c r="AT2787" s="133"/>
      <c r="AU2787" s="155"/>
    </row>
    <row r="2788" spans="13:47" x14ac:dyDescent="0.25">
      <c r="M2788" s="27"/>
      <c r="N2788" s="27"/>
      <c r="O2788" s="2" t="s">
        <v>193</v>
      </c>
      <c r="P2788" s="134"/>
      <c r="Q2788" s="2"/>
      <c r="R2788" s="181">
        <f>IF(R2783&lt;R2787,R2785,R2786)</f>
        <v>2.4039523730728596</v>
      </c>
      <c r="S2788" s="133"/>
      <c r="T2788" s="155"/>
      <c r="U2788" s="138">
        <f>IF(U2783&lt;U2787,U2785,U2786)</f>
        <v>14.857597028593394</v>
      </c>
      <c r="V2788" s="133"/>
      <c r="W2788" s="155"/>
      <c r="X2788" s="138">
        <f>IF(X2783&lt;X2787,X2785,X2786)</f>
        <v>52.19848213279478</v>
      </c>
      <c r="Y2788" s="133"/>
      <c r="Z2788" s="155"/>
      <c r="AA2788" s="138" t="e">
        <f>IF(AA2783&lt;AA2787,AA2785,AA2786)</f>
        <v>#NUM!</v>
      </c>
      <c r="AB2788" s="133"/>
      <c r="AC2788" s="155"/>
      <c r="AD2788" s="138">
        <f>IF(AD2783&lt;AD2787,AD2785,AD2786)</f>
        <v>69.536371193644442</v>
      </c>
      <c r="AE2788" s="133"/>
      <c r="AF2788" s="155"/>
      <c r="AG2788" s="138">
        <f>IF(AG2783&lt;AG2787,AG2785,AG2786)</f>
        <v>40.149731995545736</v>
      </c>
      <c r="AH2788" s="133"/>
      <c r="AI2788" s="155"/>
      <c r="AJ2788" s="138">
        <f>IF(AJ2783&lt;AJ2787,AJ2785,AJ2786)</f>
        <v>31.026912796950381</v>
      </c>
      <c r="AK2788" s="133"/>
      <c r="AL2788" s="155"/>
      <c r="AM2788" s="138">
        <f>IF(AM2783&lt;AM2787,AM2785,AM2786)</f>
        <v>28.316762648271755</v>
      </c>
      <c r="AN2788" s="133"/>
      <c r="AO2788" s="155"/>
      <c r="AP2788" s="138">
        <f>IF(AP2783&lt;AP2787,AP2785,AP2786)</f>
        <v>25.731218091448891</v>
      </c>
      <c r="AQ2788" s="133"/>
      <c r="AR2788" s="155"/>
      <c r="AS2788" s="138">
        <f>IF(AS2783&lt;AS2787,AS2785,AS2786)</f>
        <v>36.799553627849917</v>
      </c>
      <c r="AT2788" s="133"/>
      <c r="AU2788" s="155"/>
    </row>
    <row r="2789" spans="13:47" ht="13" x14ac:dyDescent="0.3">
      <c r="M2789" s="28"/>
      <c r="N2789" s="28"/>
      <c r="O2789" s="9" t="s">
        <v>194</v>
      </c>
      <c r="P2789" s="1"/>
      <c r="Q2789" s="1"/>
      <c r="R2789" s="135"/>
      <c r="S2789" s="132">
        <f>IF(R2782&lt;=0,W_max,ABS(R$23-R2788))</f>
        <v>0.40395237307285958</v>
      </c>
      <c r="T2789" s="151">
        <f>R2777</f>
        <v>555.18682573715864</v>
      </c>
      <c r="U2789" s="135"/>
      <c r="V2789" s="132">
        <f>IF(U2782&lt;=0,W_max,ABS(U$23-U2788))</f>
        <v>9.8575970285933945</v>
      </c>
      <c r="W2789" s="151">
        <f>U2777</f>
        <v>3266.0803709663892</v>
      </c>
      <c r="X2789" s="135"/>
      <c r="Y2789" s="132">
        <f>IF(X2782&lt;=0,W_max,ABS(X$23-X2788))</f>
        <v>42.19848213279478</v>
      </c>
      <c r="Z2789" s="151">
        <f>X2777</f>
        <v>8077.4054255200999</v>
      </c>
      <c r="AA2789" s="135"/>
      <c r="AB2789" s="132">
        <f>IF(AA2782&lt;=0,W_max,ABS(AA$23-AA2788))</f>
        <v>7174</v>
      </c>
      <c r="AC2789" s="151">
        <f>AA2777</f>
        <v>15732.724048226555</v>
      </c>
      <c r="AD2789" s="135"/>
      <c r="AE2789" s="132">
        <f>IF(AD2782&lt;=0,W_max,ABS(AD$23-AD2788))</f>
        <v>7174</v>
      </c>
      <c r="AF2789" s="151">
        <f>AD2777</f>
        <v>25874.538614001907</v>
      </c>
      <c r="AG2789" s="135"/>
      <c r="AH2789" s="132">
        <f>IF(AG2782&lt;=0,W_max,ABS(AG$23-AG2788))</f>
        <v>7174</v>
      </c>
      <c r="AI2789" s="151">
        <f>AG2777</f>
        <v>36291.032387755011</v>
      </c>
      <c r="AJ2789" s="135"/>
      <c r="AK2789" s="132">
        <f>IF(AJ2782&lt;=0,W_max,ABS(AJ$23-AJ2788))</f>
        <v>7174</v>
      </c>
      <c r="AL2789" s="151">
        <f>AJ2777</f>
        <v>46079.981253726452</v>
      </c>
      <c r="AM2789" s="135"/>
      <c r="AN2789" s="132">
        <f>IF(AM2782&lt;=0,W_max,ABS(AM$23-AM2788))</f>
        <v>7174</v>
      </c>
      <c r="AO2789" s="151">
        <f>AM2777</f>
        <v>54032.401976604007</v>
      </c>
      <c r="AP2789" s="135"/>
      <c r="AQ2789" s="132">
        <f>IF(AP2782&lt;=0,W_max,ABS(AP$23-AP2788))</f>
        <v>7174</v>
      </c>
      <c r="AR2789" s="151">
        <f>AP2777</f>
        <v>60282.24057959357</v>
      </c>
      <c r="AS2789" s="135"/>
      <c r="AT2789" s="132">
        <f>IF(AS2782&lt;=0,W_max,ABS(AS$23-AS2788))</f>
        <v>7174</v>
      </c>
      <c r="AU2789" s="151">
        <f>AS2777</f>
        <v>67254.987680716004</v>
      </c>
    </row>
    <row r="2790" spans="13:47" ht="13" x14ac:dyDescent="0.25">
      <c r="M2790" s="12"/>
      <c r="N2790" s="12"/>
      <c r="O2790" s="2"/>
      <c r="P2790" s="85"/>
      <c r="Q2790" s="2"/>
      <c r="R2790" s="18"/>
      <c r="S2790" s="150"/>
      <c r="T2790" s="152"/>
      <c r="U2790" s="157"/>
      <c r="V2790" s="1"/>
      <c r="W2790" s="147"/>
      <c r="X2790" s="157"/>
      <c r="Y2790" s="1"/>
      <c r="Z2790" s="147"/>
      <c r="AA2790" s="157"/>
      <c r="AB2790" s="1"/>
      <c r="AC2790" s="147"/>
      <c r="AD2790" s="157"/>
      <c r="AE2790" s="1"/>
      <c r="AF2790" s="147"/>
      <c r="AG2790" s="157"/>
      <c r="AH2790" s="1"/>
      <c r="AI2790" s="147"/>
      <c r="AJ2790" s="157"/>
      <c r="AK2790" s="1"/>
      <c r="AL2790" s="147"/>
      <c r="AM2790" s="157"/>
      <c r="AN2790" s="1"/>
      <c r="AO2790" s="147"/>
      <c r="AP2790" s="157"/>
      <c r="AQ2790" s="1"/>
      <c r="AR2790" s="147"/>
      <c r="AS2790" s="157"/>
      <c r="AT2790" s="1"/>
      <c r="AU2790" s="147"/>
    </row>
    <row r="2791" spans="13:47" ht="14" x14ac:dyDescent="0.3">
      <c r="M2791" s="23"/>
      <c r="N2791" s="23"/>
      <c r="O2791" s="23" t="s">
        <v>238</v>
      </c>
      <c r="P2791" s="20"/>
      <c r="Q2791" s="20"/>
      <c r="R2791" s="181">
        <f>R2777*1.02</f>
        <v>566.29056225190186</v>
      </c>
      <c r="S2791" s="128" t="s">
        <v>185</v>
      </c>
      <c r="T2791" s="153" t="s">
        <v>186</v>
      </c>
      <c r="U2791" s="143">
        <f>U2777*1.01</f>
        <v>3298.7411746760531</v>
      </c>
      <c r="V2791" s="128" t="s">
        <v>185</v>
      </c>
      <c r="W2791" s="153" t="s">
        <v>186</v>
      </c>
      <c r="X2791" s="143">
        <f>X2777*1.01</f>
        <v>8158.1794797753009</v>
      </c>
      <c r="Y2791" s="128" t="s">
        <v>185</v>
      </c>
      <c r="Z2791" s="153" t="s">
        <v>186</v>
      </c>
      <c r="AA2791" s="143">
        <f>AA2777*1.01</f>
        <v>15890.051288708821</v>
      </c>
      <c r="AB2791" s="128" t="s">
        <v>185</v>
      </c>
      <c r="AC2791" s="153" t="s">
        <v>186</v>
      </c>
      <c r="AD2791" s="143">
        <f>AD2777*1.01</f>
        <v>26133.284000141928</v>
      </c>
      <c r="AE2791" s="128" t="s">
        <v>185</v>
      </c>
      <c r="AF2791" s="153" t="s">
        <v>186</v>
      </c>
      <c r="AG2791" s="143">
        <f>AG2777*1.01</f>
        <v>36653.942711632561</v>
      </c>
      <c r="AH2791" s="128" t="s">
        <v>185</v>
      </c>
      <c r="AI2791" s="153" t="s">
        <v>186</v>
      </c>
      <c r="AJ2791" s="143">
        <f>AJ2777*1.01</f>
        <v>46540.781066263713</v>
      </c>
      <c r="AK2791" s="128" t="s">
        <v>185</v>
      </c>
      <c r="AL2791" s="153" t="s">
        <v>186</v>
      </c>
      <c r="AM2791" s="143">
        <f>AM2777*1.01</f>
        <v>54572.725996370049</v>
      </c>
      <c r="AN2791" s="128" t="s">
        <v>185</v>
      </c>
      <c r="AO2791" s="153" t="s">
        <v>186</v>
      </c>
      <c r="AP2791" s="143">
        <f>AP2777*1.01</f>
        <v>60885.062985389508</v>
      </c>
      <c r="AQ2791" s="128" t="s">
        <v>185</v>
      </c>
      <c r="AR2791" s="153" t="s">
        <v>186</v>
      </c>
      <c r="AS2791" s="143">
        <f>AS2777*1.01</f>
        <v>67927.537557523159</v>
      </c>
      <c r="AT2791" s="128" t="s">
        <v>185</v>
      </c>
      <c r="AU2791" s="153" t="s">
        <v>186</v>
      </c>
    </row>
    <row r="2792" spans="13:47" ht="14" x14ac:dyDescent="0.3">
      <c r="M2792" s="12"/>
      <c r="N2792" s="12"/>
      <c r="O2792" s="20"/>
      <c r="P2792" s="20"/>
      <c r="Q2792" s="23"/>
      <c r="R2792" s="139"/>
      <c r="S2792" s="130" t="s">
        <v>228</v>
      </c>
      <c r="T2792" s="154" t="s">
        <v>187</v>
      </c>
      <c r="U2792" s="144"/>
      <c r="V2792" s="130" t="s">
        <v>228</v>
      </c>
      <c r="W2792" s="154" t="s">
        <v>187</v>
      </c>
      <c r="X2792" s="144"/>
      <c r="Y2792" s="130" t="s">
        <v>228</v>
      </c>
      <c r="Z2792" s="154" t="s">
        <v>187</v>
      </c>
      <c r="AA2792" s="144"/>
      <c r="AB2792" s="130" t="s">
        <v>228</v>
      </c>
      <c r="AC2792" s="154" t="s">
        <v>187</v>
      </c>
      <c r="AD2792" s="144"/>
      <c r="AE2792" s="130" t="s">
        <v>228</v>
      </c>
      <c r="AF2792" s="154" t="s">
        <v>187</v>
      </c>
      <c r="AG2792" s="144"/>
      <c r="AH2792" s="130" t="s">
        <v>228</v>
      </c>
      <c r="AI2792" s="154" t="s">
        <v>187</v>
      </c>
      <c r="AJ2792" s="144"/>
      <c r="AK2792" s="130" t="s">
        <v>228</v>
      </c>
      <c r="AL2792" s="154" t="s">
        <v>187</v>
      </c>
      <c r="AM2792" s="144"/>
      <c r="AN2792" s="130" t="s">
        <v>228</v>
      </c>
      <c r="AO2792" s="154" t="s">
        <v>187</v>
      </c>
      <c r="AP2792" s="144"/>
      <c r="AQ2792" s="130" t="s">
        <v>228</v>
      </c>
      <c r="AR2792" s="154" t="s">
        <v>187</v>
      </c>
      <c r="AS2792" s="144"/>
      <c r="AT2792" s="130" t="s">
        <v>228</v>
      </c>
      <c r="AU2792" s="154" t="s">
        <v>187</v>
      </c>
    </row>
    <row r="2793" spans="13:47" x14ac:dyDescent="0.25">
      <c r="M2793" s="20"/>
      <c r="N2793" s="20"/>
      <c r="O2793" s="7" t="s">
        <v>188</v>
      </c>
      <c r="P2793" s="7"/>
      <c r="Q2793" s="7"/>
      <c r="R2793" s="181">
        <f>P_1_minW-(R2791^2*R_up)+dpup_minQ</f>
        <v>100.39490979682444</v>
      </c>
      <c r="S2793" s="132"/>
      <c r="T2793" s="145"/>
      <c r="U2793" s="138">
        <f>P_1_minW-(U2791^2*R_up)+dpup_minQ</f>
        <v>96.183582716990827</v>
      </c>
      <c r="V2793" s="132"/>
      <c r="W2793" s="145"/>
      <c r="X2793" s="138">
        <f>P_1_minW-(X2791^2*R_up)+dpup_minQ</f>
        <v>73.982836842257328</v>
      </c>
      <c r="Y2793" s="132"/>
      <c r="Z2793" s="145"/>
      <c r="AA2793" s="138">
        <f>P_1_minW-(AA2791^2*R_up)+dpup_minQ</f>
        <v>-0.16207673162550462</v>
      </c>
      <c r="AB2793" s="132"/>
      <c r="AC2793" s="145"/>
      <c r="AD2793" s="138">
        <f>P_1_minW-(AD2791^2*R_up)+dpup_minQ</f>
        <v>-171.81102438589099</v>
      </c>
      <c r="AE2793" s="132"/>
      <c r="AF2793" s="145"/>
      <c r="AG2793" s="138">
        <f>P_1_minW-(AG2791^2*R_up)+dpup_minQ</f>
        <v>-435.21833289505093</v>
      </c>
      <c r="AH2793" s="132"/>
      <c r="AI2793" s="145"/>
      <c r="AJ2793" s="138">
        <f>P_1_minW-(AJ2791^2*R_up)+dpup_minQ</f>
        <v>-763.21301722042654</v>
      </c>
      <c r="AK2793" s="132"/>
      <c r="AL2793" s="145"/>
      <c r="AM2793" s="138">
        <f>P_1_minW-(AM2791^2*R_up)+dpup_minQ</f>
        <v>-1087.0627056277253</v>
      </c>
      <c r="AN2793" s="132"/>
      <c r="AO2793" s="145"/>
      <c r="AP2793" s="138">
        <f>P_1_minW-(AP2791^2*R_up)+dpup_minQ</f>
        <v>-1377.6837104194126</v>
      </c>
      <c r="AQ2793" s="132"/>
      <c r="AR2793" s="145"/>
      <c r="AS2793" s="138">
        <f>P_1_minW-(AS2791^2*R_up)+dpup_minQ</f>
        <v>-1739.4242842603737</v>
      </c>
      <c r="AT2793" s="132"/>
      <c r="AU2793" s="145"/>
    </row>
    <row r="2794" spans="13:47" x14ac:dyDescent="0.25">
      <c r="M2794" s="20"/>
      <c r="N2794" s="20"/>
      <c r="O2794" s="7" t="s">
        <v>189</v>
      </c>
      <c r="P2794" s="1"/>
      <c r="Q2794" s="7"/>
      <c r="R2794" s="181">
        <f>P_2_minW+(R2791^2*R_dn)-dpdn_minQ</f>
        <v>50</v>
      </c>
      <c r="S2794" s="132"/>
      <c r="T2794" s="146"/>
      <c r="U2794" s="138">
        <f>P_2_minW+(U2791^2*R_dn)-dpdn_minQ</f>
        <v>50</v>
      </c>
      <c r="V2794" s="132"/>
      <c r="W2794" s="146"/>
      <c r="X2794" s="138">
        <f>P_2_minW+(X2791^2*R_dn)-dpdn_minQ</f>
        <v>50</v>
      </c>
      <c r="Y2794" s="132"/>
      <c r="Z2794" s="146"/>
      <c r="AA2794" s="138">
        <f>P_2_minW+(AA2791^2*R_dn)-dpdn_minQ</f>
        <v>50</v>
      </c>
      <c r="AB2794" s="132"/>
      <c r="AC2794" s="146"/>
      <c r="AD2794" s="138">
        <f>P_2_minW+(AD2791^2*R_dn)-dpdn_minQ</f>
        <v>50</v>
      </c>
      <c r="AE2794" s="132"/>
      <c r="AF2794" s="146"/>
      <c r="AG2794" s="138">
        <f>P_2_minW+(AG2791^2*R_dn)-dpdn_minQ</f>
        <v>50</v>
      </c>
      <c r="AH2794" s="132"/>
      <c r="AI2794" s="146"/>
      <c r="AJ2794" s="138">
        <f>P_2_minW+(AJ2791^2*R_dn)-dpdn_minQ</f>
        <v>50</v>
      </c>
      <c r="AK2794" s="132"/>
      <c r="AL2794" s="146"/>
      <c r="AM2794" s="138">
        <f>P_2_minW+(AM2791^2*R_dn)-dpdn_minQ</f>
        <v>50</v>
      </c>
      <c r="AN2794" s="132"/>
      <c r="AO2794" s="146"/>
      <c r="AP2794" s="138">
        <f>P_2_minW+(AP2791^2*R_dn)-dpdn_minQ</f>
        <v>50</v>
      </c>
      <c r="AQ2794" s="132"/>
      <c r="AR2794" s="146"/>
      <c r="AS2794" s="138">
        <f>P_2_minW+(AS2791^2*R_dn)-dpdn_minQ</f>
        <v>50</v>
      </c>
      <c r="AT2794" s="132"/>
      <c r="AU2794" s="146"/>
    </row>
    <row r="2795" spans="13:47" x14ac:dyDescent="0.25">
      <c r="M2795" s="20"/>
      <c r="N2795" s="20"/>
      <c r="O2795" s="7" t="s">
        <v>234</v>
      </c>
      <c r="P2795" s="1"/>
      <c r="Q2795" s="7"/>
      <c r="R2795" s="179">
        <f>'Valve Sizing'!G$8*R2793/P_1_maxW</f>
        <v>0.48428717064788823</v>
      </c>
      <c r="S2795" s="132"/>
      <c r="T2795" s="146"/>
      <c r="U2795" s="143">
        <f>'Valve Sizing'!$G$8*U2793/P_1_maxW</f>
        <v>0.46397247859534396</v>
      </c>
      <c r="V2795" s="132"/>
      <c r="W2795" s="146"/>
      <c r="X2795" s="143">
        <f>'Valve Sizing'!$G$8*X2793/P_1_maxW</f>
        <v>0.35688003309480976</v>
      </c>
      <c r="Y2795" s="132"/>
      <c r="Z2795" s="146"/>
      <c r="AA2795" s="143">
        <f>'Valve Sizing'!$G$8*AA2793/P_1_maxW</f>
        <v>-7.818292973779383E-4</v>
      </c>
      <c r="AB2795" s="132"/>
      <c r="AC2795" s="146"/>
      <c r="AD2795" s="143">
        <f>'Valve Sizing'!$G$8*AD2793/P_1_maxW</f>
        <v>-0.82878579257003671</v>
      </c>
      <c r="AE2795" s="132"/>
      <c r="AF2795" s="146"/>
      <c r="AG2795" s="143">
        <f>'Valve Sizing'!$G$8*AG2793/P_1_maxW</f>
        <v>-2.0994157520374781</v>
      </c>
      <c r="AH2795" s="132"/>
      <c r="AI2795" s="146"/>
      <c r="AJ2795" s="143">
        <f>'Valve Sizing'!$G$8*AJ2793/P_1_maxW</f>
        <v>-3.6816037133688377</v>
      </c>
      <c r="AK2795" s="132"/>
      <c r="AL2795" s="146"/>
      <c r="AM2795" s="143">
        <f>'Valve Sizing'!$G$8*AM2793/P_1_maxW</f>
        <v>-5.2437969523624322</v>
      </c>
      <c r="AN2795" s="132"/>
      <c r="AO2795" s="146"/>
      <c r="AP2795" s="143">
        <f>'Valve Sizing'!$G$8*AP2793/P_1_maxW</f>
        <v>-6.6457009375967955</v>
      </c>
      <c r="AQ2795" s="132"/>
      <c r="AR2795" s="146"/>
      <c r="AS2795" s="143">
        <f>'Valve Sizing'!$G$8*AS2793/P_1_maxW</f>
        <v>-8.3906730618660266</v>
      </c>
      <c r="AT2795" s="132"/>
      <c r="AU2795" s="146"/>
    </row>
    <row r="2796" spans="13:47" x14ac:dyDescent="0.25">
      <c r="M2796" s="20"/>
      <c r="N2796" s="20"/>
      <c r="O2796" s="7" t="s">
        <v>190</v>
      </c>
      <c r="P2796" s="1"/>
      <c r="Q2796" s="7"/>
      <c r="R2796" s="181">
        <f>R2793-R2794</f>
        <v>50.394909796824436</v>
      </c>
      <c r="S2796" s="132"/>
      <c r="T2796" s="146"/>
      <c r="U2796" s="138">
        <f>U2793-U2794</f>
        <v>46.183582716990827</v>
      </c>
      <c r="V2796" s="132"/>
      <c r="W2796" s="146"/>
      <c r="X2796" s="138">
        <f>X2793-X2794</f>
        <v>23.982836842257328</v>
      </c>
      <c r="Y2796" s="132"/>
      <c r="Z2796" s="146"/>
      <c r="AA2796" s="138">
        <f>AA2793-AA2794</f>
        <v>-50.162076731625504</v>
      </c>
      <c r="AB2796" s="132"/>
      <c r="AC2796" s="146"/>
      <c r="AD2796" s="138">
        <f>AD2793-AD2794</f>
        <v>-221.81102438589099</v>
      </c>
      <c r="AE2796" s="132"/>
      <c r="AF2796" s="146"/>
      <c r="AG2796" s="138">
        <f>AG2793-AG2794</f>
        <v>-485.21833289505093</v>
      </c>
      <c r="AH2796" s="132"/>
      <c r="AI2796" s="146"/>
      <c r="AJ2796" s="138">
        <f>AJ2793-AJ2794</f>
        <v>-813.21301722042654</v>
      </c>
      <c r="AK2796" s="132"/>
      <c r="AL2796" s="146"/>
      <c r="AM2796" s="138">
        <f>AM2793-AM2794</f>
        <v>-1137.0627056277253</v>
      </c>
      <c r="AN2796" s="132"/>
      <c r="AO2796" s="146"/>
      <c r="AP2796" s="138">
        <f>AP2793-AP2794</f>
        <v>-1427.6837104194126</v>
      </c>
      <c r="AQ2796" s="132"/>
      <c r="AR2796" s="146"/>
      <c r="AS2796" s="138">
        <f>AS2793-AS2794</f>
        <v>-1789.4242842603737</v>
      </c>
      <c r="AT2796" s="132"/>
      <c r="AU2796" s="146"/>
    </row>
    <row r="2797" spans="13:47" ht="14.5" x14ac:dyDescent="0.35">
      <c r="M2797" s="27"/>
      <c r="N2797" s="27"/>
      <c r="O2797" s="2" t="s">
        <v>191</v>
      </c>
      <c r="P2797" s="10"/>
      <c r="Q2797" s="2"/>
      <c r="R2797" s="181">
        <f>R2796/R2793</f>
        <v>0.50196678196944267</v>
      </c>
      <c r="S2797" s="132"/>
      <c r="T2797" s="146"/>
      <c r="U2797" s="138">
        <f>U2796/U2793</f>
        <v>0.48016076561507098</v>
      </c>
      <c r="V2797" s="132"/>
      <c r="W2797" s="146"/>
      <c r="X2797" s="138">
        <f>X2796/X2793</f>
        <v>0.32416757542553265</v>
      </c>
      <c r="Y2797" s="132"/>
      <c r="Z2797" s="146"/>
      <c r="AA2797" s="138">
        <f>AA2796/AA2793</f>
        <v>309.49585562676742</v>
      </c>
      <c r="AB2797" s="132"/>
      <c r="AC2797" s="146"/>
      <c r="AD2797" s="138">
        <f>AD2796/AD2793</f>
        <v>1.2910174139215829</v>
      </c>
      <c r="AE2797" s="132"/>
      <c r="AF2797" s="146"/>
      <c r="AG2797" s="138">
        <f>AG2796/AG2793</f>
        <v>1.114884866332267</v>
      </c>
      <c r="AH2797" s="132"/>
      <c r="AI2797" s="146"/>
      <c r="AJ2797" s="138">
        <f>AJ2796/AJ2793</f>
        <v>1.065512509446048</v>
      </c>
      <c r="AK2797" s="132"/>
      <c r="AL2797" s="146"/>
      <c r="AM2797" s="138">
        <f>AM2796/AM2793</f>
        <v>1.0459955067367779</v>
      </c>
      <c r="AN2797" s="132"/>
      <c r="AO2797" s="146"/>
      <c r="AP2797" s="138">
        <f>AP2796/AP2793</f>
        <v>1.0362928004605487</v>
      </c>
      <c r="AQ2797" s="132"/>
      <c r="AR2797" s="146"/>
      <c r="AS2797" s="138">
        <f>AS2796/AS2793</f>
        <v>1.0287451431214556</v>
      </c>
      <c r="AT2797" s="132"/>
      <c r="AU2797" s="146"/>
    </row>
    <row r="2798" spans="13:47" x14ac:dyDescent="0.25">
      <c r="M2798" s="27"/>
      <c r="N2798" s="27"/>
      <c r="O2798" s="2" t="s">
        <v>26</v>
      </c>
      <c r="P2798" s="7">
        <v>12</v>
      </c>
      <c r="Q2798" s="2"/>
      <c r="R2798" s="181">
        <f>1-R2797/(3*F_GAMMA*R$29)</f>
        <v>0.73856994784837704</v>
      </c>
      <c r="S2798" s="133"/>
      <c r="T2798" s="146"/>
      <c r="U2798" s="138">
        <f>1-U2797/(3*F_GAMMA*U$29)</f>
        <v>0.74998183094134108</v>
      </c>
      <c r="V2798" s="133"/>
      <c r="W2798" s="146"/>
      <c r="X2798" s="138">
        <f>1-X2797/(3*F_GAMMA*X$29)</f>
        <v>0.82867482037370976</v>
      </c>
      <c r="Y2798" s="133"/>
      <c r="Z2798" s="146"/>
      <c r="AA2798" s="138">
        <f>1-AA2797/(3*F_GAMMA*AA$29)</f>
        <v>-164.81384413959174</v>
      </c>
      <c r="AB2798" s="133"/>
      <c r="AC2798" s="146"/>
      <c r="AD2798" s="138">
        <f>1-AD2797/(3*F_GAMMA*AD$29)</f>
        <v>0.28936733404447545</v>
      </c>
      <c r="AE2798" s="133"/>
      <c r="AF2798" s="146"/>
      <c r="AG2798" s="138">
        <f>1-AG2797/(3*F_GAMMA*AG$29)</f>
        <v>0.35131305495124765</v>
      </c>
      <c r="AH2798" s="133"/>
      <c r="AI2798" s="146"/>
      <c r="AJ2798" s="138">
        <f>1-AJ2797/(3*F_GAMMA*AJ$29)</f>
        <v>0.33725432389286714</v>
      </c>
      <c r="AK2798" s="133"/>
      <c r="AL2798" s="146"/>
      <c r="AM2798" s="138">
        <f>1-AM2797/(3*F_GAMMA*AM$29)</f>
        <v>0.28914661378931938</v>
      </c>
      <c r="AN2798" s="133"/>
      <c r="AO2798" s="146"/>
      <c r="AP2798" s="138">
        <f>1-AP2797/(3*F_GAMMA*AP$29)</f>
        <v>0.41800573583324219</v>
      </c>
      <c r="AQ2798" s="133"/>
      <c r="AR2798" s="146"/>
      <c r="AS2798" s="138">
        <f>1-AS2797/(3*F_GAMMA*AS$29)</f>
        <v>0.12291708330254625</v>
      </c>
      <c r="AT2798" s="133"/>
      <c r="AU2798" s="146"/>
    </row>
    <row r="2799" spans="13:47" x14ac:dyDescent="0.25">
      <c r="M2799" s="27"/>
      <c r="N2799" s="27"/>
      <c r="O2799" s="2" t="s">
        <v>71</v>
      </c>
      <c r="P2799" s="85">
        <v>5</v>
      </c>
      <c r="Q2799" s="2"/>
      <c r="R2799" s="179">
        <f>R2791/((N_6*R$27*R2798)*SQRT(R2797*R2793*R2795))</f>
        <v>2.4521702702277439</v>
      </c>
      <c r="S2799" s="133"/>
      <c r="T2799" s="146"/>
      <c r="U2799" s="143">
        <f>U2791/((N_6*U$27*U2798)*SQRT(U2797*U2793*U2795))</f>
        <v>15.021914693501639</v>
      </c>
      <c r="V2799" s="133"/>
      <c r="W2799" s="146"/>
      <c r="X2799" s="143">
        <f>X2791/((N_6*X$27*X2798)*SQRT(X2797*X2793*X2795))</f>
        <v>53.318367941387436</v>
      </c>
      <c r="Y2799" s="133"/>
      <c r="Z2799" s="146"/>
      <c r="AA2799" s="143">
        <f>AA2791/((N_6*AA$27*AA2798)*SQRT(AA2797*AA2793*AA2795))</f>
        <v>-7.7581398480085682</v>
      </c>
      <c r="AB2799" s="133"/>
      <c r="AC2799" s="146"/>
      <c r="AD2799" s="143">
        <f>AD2791/((N_6*AD$27*AD2798)*SQRT(AD2797*AD2793*AD2795))</f>
        <v>107.41035970690507</v>
      </c>
      <c r="AE2799" s="133"/>
      <c r="AF2799" s="146"/>
      <c r="AG2799" s="143">
        <f>AG2791/((N_6*AG$27*AG2798)*SQRT(AG2797*AG2793*AG2795))</f>
        <v>53.850991283942641</v>
      </c>
      <c r="AH2799" s="133"/>
      <c r="AI2799" s="146"/>
      <c r="AJ2799" s="143">
        <f>AJ2791/((N_6*AJ$27*AJ2798)*SQRT(AJ2797*AJ2793*AJ2795))</f>
        <v>42.973443625428565</v>
      </c>
      <c r="AK2799" s="133"/>
      <c r="AL2799" s="146"/>
      <c r="AM2799" s="143">
        <f>AM2791/((N_6*AM$27*AM2798)*SQRT(AM2797*AM2793*AM2795))</f>
        <v>44.204994037890096</v>
      </c>
      <c r="AN2799" s="133"/>
      <c r="AO2799" s="146"/>
      <c r="AP2799" s="143">
        <f>AP2791/((N_6*AP$27*AP2798)*SQRT(AP2797*AP2793*AP2795))</f>
        <v>30.720280884855594</v>
      </c>
      <c r="AQ2799" s="133"/>
      <c r="AR2799" s="146"/>
      <c r="AS2799" s="143">
        <f>AS2791/((N_6*AS$27*AS2798)*SQRT(AS2797*AS2793*AS2795))</f>
        <v>121.74441390151142</v>
      </c>
      <c r="AT2799" s="133"/>
      <c r="AU2799" s="146"/>
    </row>
    <row r="2800" spans="13:47" x14ac:dyDescent="0.25">
      <c r="M2800" s="27"/>
      <c r="N2800" s="27"/>
      <c r="O2800" s="2" t="s">
        <v>73</v>
      </c>
      <c r="P2800" s="85">
        <v>5</v>
      </c>
      <c r="Q2800" s="2"/>
      <c r="R2800" s="179">
        <f>R2791/((N_6*R$27*0.667)*SQRT(R2801*R2793*R2795))</f>
        <v>2.4046662244633912</v>
      </c>
      <c r="S2800" s="133"/>
      <c r="T2800" s="155"/>
      <c r="U2800" s="143">
        <f>U2791/((N_6*U$27*0.667)*SQRT(U2801*U2793*U2795))</f>
        <v>14.628392762250101</v>
      </c>
      <c r="V2800" s="133"/>
      <c r="W2800" s="155"/>
      <c r="X2800" s="143">
        <f>X2791/((N_6*X$27*0.667)*SQRT(X2801*X2793*X2795))</f>
        <v>47.490460575625036</v>
      </c>
      <c r="Y2800" s="133"/>
      <c r="Z2800" s="155"/>
      <c r="AA2800" s="143">
        <f>AA2791/((N_6*AA$27*0.667)*SQRT(AA2801*AA2793*AA2795))</f>
        <v>42755.942105465241</v>
      </c>
      <c r="AB2800" s="133"/>
      <c r="AC2800" s="155"/>
      <c r="AD2800" s="143">
        <f>AD2791/((N_6*AD$27*0.667)*SQRT(AD2801*AD2793*AD2795))</f>
        <v>68.038236903726215</v>
      </c>
      <c r="AE2800" s="133"/>
      <c r="AF2800" s="155"/>
      <c r="AG2800" s="143">
        <f>AG2791/((N_6*AG$27*0.667)*SQRT(AG2801*AG2793*AG2795))</f>
        <v>39.567659631630285</v>
      </c>
      <c r="AH2800" s="133"/>
      <c r="AI2800" s="155"/>
      <c r="AJ2800" s="143">
        <f>AJ2791/((N_6*AJ$27*0.667)*SQRT(AJ2801*AJ2793*AJ2795))</f>
        <v>30.638389156036865</v>
      </c>
      <c r="AK2800" s="133"/>
      <c r="AL2800" s="155"/>
      <c r="AM2800" s="143">
        <f>AM2791/((N_6*AM$27*0.667)*SQRT(AM2801*AM2793*AM2795))</f>
        <v>27.984287805611924</v>
      </c>
      <c r="AN2800" s="133"/>
      <c r="AO2800" s="155"/>
      <c r="AP2800" s="143">
        <f>AP2791/((N_6*AP$27*0.667)*SQRT(AP2801*AP2793*AP2795))</f>
        <v>25.439089843033706</v>
      </c>
      <c r="AQ2800" s="133"/>
      <c r="AR2800" s="155"/>
      <c r="AS2800" s="143">
        <f>AS2791/((N_6*AS$27*0.667)*SQRT(AS2801*AS2793*AS2795))</f>
        <v>36.392878633093751</v>
      </c>
      <c r="AT2800" s="133"/>
      <c r="AU2800" s="155"/>
    </row>
    <row r="2801" spans="13:47" ht="15.5" x14ac:dyDescent="0.4">
      <c r="M2801" s="27"/>
      <c r="N2801" s="27"/>
      <c r="O2801" s="2" t="s">
        <v>192</v>
      </c>
      <c r="P2801" s="85">
        <v>10</v>
      </c>
      <c r="Q2801" s="2"/>
      <c r="R2801" s="181">
        <f>F_GAMMA*R$29</f>
        <v>0.64002688015162901</v>
      </c>
      <c r="S2801" s="133"/>
      <c r="T2801" s="155"/>
      <c r="U2801" s="138">
        <f>F_GAMMA*U$29</f>
        <v>0.64016782916606918</v>
      </c>
      <c r="V2801" s="133"/>
      <c r="W2801" s="155"/>
      <c r="X2801" s="138">
        <f>F_GAMMA*X$29</f>
        <v>0.6307062319203669</v>
      </c>
      <c r="Y2801" s="133"/>
      <c r="Z2801" s="155"/>
      <c r="AA2801" s="138">
        <f>F_GAMMA*AA$29</f>
        <v>0.62217534213893466</v>
      </c>
      <c r="AB2801" s="133"/>
      <c r="AC2801" s="155"/>
      <c r="AD2801" s="138">
        <f>F_GAMMA*AD$29</f>
        <v>0.60557184969146072</v>
      </c>
      <c r="AE2801" s="133"/>
      <c r="AF2801" s="155"/>
      <c r="AG2801" s="138">
        <f>F_GAMMA*AG$29</f>
        <v>0.57289312142622573</v>
      </c>
      <c r="AH2801" s="133"/>
      <c r="AI2801" s="155"/>
      <c r="AJ2801" s="138">
        <f>F_GAMMA*AJ$29</f>
        <v>0.53590819116049981</v>
      </c>
      <c r="AK2801" s="133"/>
      <c r="AL2801" s="155"/>
      <c r="AM2801" s="138">
        <f>F_GAMMA*AM$29</f>
        <v>0.49048815926850342</v>
      </c>
      <c r="AN2801" s="133"/>
      <c r="AO2801" s="155"/>
      <c r="AP2801" s="138">
        <f>F_GAMMA*AP$29</f>
        <v>0.59352979016280105</v>
      </c>
      <c r="AQ2801" s="133"/>
      <c r="AR2801" s="155"/>
      <c r="AS2801" s="138">
        <f>F_GAMMA*AS$29</f>
        <v>0.39097221161068291</v>
      </c>
      <c r="AT2801" s="133"/>
      <c r="AU2801" s="155"/>
    </row>
    <row r="2802" spans="13:47" x14ac:dyDescent="0.25">
      <c r="M2802" s="27"/>
      <c r="N2802" s="27"/>
      <c r="O2802" s="2" t="s">
        <v>193</v>
      </c>
      <c r="P2802" s="134"/>
      <c r="Q2802" s="2"/>
      <c r="R2802" s="181">
        <f>IF(R2797&lt;R2801,R2799,R2800)</f>
        <v>2.4521702702277439</v>
      </c>
      <c r="S2802" s="133"/>
      <c r="T2802" s="155"/>
      <c r="U2802" s="138">
        <f>IF(U2797&lt;U2801,U2799,U2800)</f>
        <v>15.021914693501639</v>
      </c>
      <c r="V2802" s="133"/>
      <c r="W2802" s="155"/>
      <c r="X2802" s="138">
        <f>IF(X2797&lt;X2801,X2799,X2800)</f>
        <v>53.318367941387436</v>
      </c>
      <c r="Y2802" s="133"/>
      <c r="Z2802" s="155"/>
      <c r="AA2802" s="138">
        <f>IF(AA2797&lt;AA2801,AA2799,AA2800)</f>
        <v>42755.942105465241</v>
      </c>
      <c r="AB2802" s="133"/>
      <c r="AC2802" s="155"/>
      <c r="AD2802" s="138">
        <f>IF(AD2797&lt;AD2801,AD2799,AD2800)</f>
        <v>68.038236903726215</v>
      </c>
      <c r="AE2802" s="133"/>
      <c r="AF2802" s="155"/>
      <c r="AG2802" s="138">
        <f>IF(AG2797&lt;AG2801,AG2799,AG2800)</f>
        <v>39.567659631630285</v>
      </c>
      <c r="AH2802" s="133"/>
      <c r="AI2802" s="155"/>
      <c r="AJ2802" s="138">
        <f>IF(AJ2797&lt;AJ2801,AJ2799,AJ2800)</f>
        <v>30.638389156036865</v>
      </c>
      <c r="AK2802" s="133"/>
      <c r="AL2802" s="155"/>
      <c r="AM2802" s="138">
        <f>IF(AM2797&lt;AM2801,AM2799,AM2800)</f>
        <v>27.984287805611924</v>
      </c>
      <c r="AN2802" s="133"/>
      <c r="AO2802" s="155"/>
      <c r="AP2802" s="138">
        <f>IF(AP2797&lt;AP2801,AP2799,AP2800)</f>
        <v>25.439089843033706</v>
      </c>
      <c r="AQ2802" s="133"/>
      <c r="AR2802" s="155"/>
      <c r="AS2802" s="138">
        <f>IF(AS2797&lt;AS2801,AS2799,AS2800)</f>
        <v>36.392878633093751</v>
      </c>
      <c r="AT2802" s="133"/>
      <c r="AU2802" s="155"/>
    </row>
    <row r="2803" spans="13:47" ht="13" x14ac:dyDescent="0.3">
      <c r="M2803" s="28"/>
      <c r="N2803" s="28"/>
      <c r="O2803" s="9" t="s">
        <v>194</v>
      </c>
      <c r="P2803" s="1"/>
      <c r="Q2803" s="1"/>
      <c r="R2803" s="135"/>
      <c r="S2803" s="132">
        <f>IF(R2796&lt;=0,W_max,ABS(R$23-R2802))</f>
        <v>0.45217027022774392</v>
      </c>
      <c r="T2803" s="151">
        <f>R2791</f>
        <v>566.29056225190186</v>
      </c>
      <c r="U2803" s="135"/>
      <c r="V2803" s="132">
        <f>IF(U2796&lt;=0,W_max,ABS(U$23-U2802))</f>
        <v>10.021914693501639</v>
      </c>
      <c r="W2803" s="151">
        <f>U2791</f>
        <v>3298.7411746760531</v>
      </c>
      <c r="X2803" s="135"/>
      <c r="Y2803" s="132">
        <f>IF(X2796&lt;=0,W_max,ABS(X$23-X2802))</f>
        <v>43.318367941387436</v>
      </c>
      <c r="Z2803" s="151">
        <f>X2791</f>
        <v>8158.1794797753009</v>
      </c>
      <c r="AA2803" s="135"/>
      <c r="AB2803" s="132">
        <f>IF(AA2796&lt;=0,W_max,ABS(AA$23-AA2802))</f>
        <v>7174</v>
      </c>
      <c r="AC2803" s="151">
        <f>AA2791</f>
        <v>15890.051288708821</v>
      </c>
      <c r="AD2803" s="135"/>
      <c r="AE2803" s="132">
        <f>IF(AD2796&lt;=0,W_max,ABS(AD$23-AD2802))</f>
        <v>7174</v>
      </c>
      <c r="AF2803" s="151">
        <f>AD2791</f>
        <v>26133.284000141928</v>
      </c>
      <c r="AG2803" s="135"/>
      <c r="AH2803" s="132">
        <f>IF(AG2796&lt;=0,W_max,ABS(AG$23-AG2802))</f>
        <v>7174</v>
      </c>
      <c r="AI2803" s="151">
        <f>AG2791</f>
        <v>36653.942711632561</v>
      </c>
      <c r="AJ2803" s="135"/>
      <c r="AK2803" s="132">
        <f>IF(AJ2796&lt;=0,W_max,ABS(AJ$23-AJ2802))</f>
        <v>7174</v>
      </c>
      <c r="AL2803" s="151">
        <f>AJ2791</f>
        <v>46540.781066263713</v>
      </c>
      <c r="AM2803" s="135"/>
      <c r="AN2803" s="132">
        <f>IF(AM2796&lt;=0,W_max,ABS(AM$23-AM2802))</f>
        <v>7174</v>
      </c>
      <c r="AO2803" s="151">
        <f>AM2791</f>
        <v>54572.725996370049</v>
      </c>
      <c r="AP2803" s="135"/>
      <c r="AQ2803" s="132">
        <f>IF(AP2796&lt;=0,W_max,ABS(AP$23-AP2802))</f>
        <v>7174</v>
      </c>
      <c r="AR2803" s="151">
        <f>AP2791</f>
        <v>60885.062985389508</v>
      </c>
      <c r="AS2803" s="135"/>
      <c r="AT2803" s="132">
        <f>IF(AS2796&lt;=0,W_max,ABS(AS$23-AS2802))</f>
        <v>7174</v>
      </c>
      <c r="AU2803" s="151">
        <f>AS2791</f>
        <v>67927.537557523159</v>
      </c>
    </row>
    <row r="2804" spans="13:47" ht="13" x14ac:dyDescent="0.25">
      <c r="M2804" s="12"/>
      <c r="N2804" s="12"/>
      <c r="O2804" s="2"/>
      <c r="P2804" s="85"/>
      <c r="Q2804" s="2"/>
      <c r="R2804" s="18"/>
      <c r="S2804" s="150"/>
      <c r="T2804" s="148"/>
      <c r="U2804" s="157"/>
      <c r="V2804" s="1"/>
      <c r="W2804" s="147"/>
      <c r="X2804" s="157"/>
      <c r="Y2804" s="1"/>
      <c r="Z2804" s="147"/>
      <c r="AA2804" s="157"/>
      <c r="AB2804" s="1"/>
      <c r="AC2804" s="147"/>
      <c r="AD2804" s="157"/>
      <c r="AE2804" s="1"/>
      <c r="AF2804" s="147"/>
      <c r="AG2804" s="157"/>
      <c r="AH2804" s="1"/>
      <c r="AI2804" s="147"/>
      <c r="AJ2804" s="157"/>
      <c r="AK2804" s="1"/>
      <c r="AL2804" s="147"/>
      <c r="AM2804" s="157"/>
      <c r="AN2804" s="1"/>
      <c r="AO2804" s="147"/>
      <c r="AP2804" s="157"/>
      <c r="AQ2804" s="1"/>
      <c r="AR2804" s="147"/>
      <c r="AS2804" s="157"/>
      <c r="AT2804" s="1"/>
      <c r="AU2804" s="147"/>
    </row>
    <row r="2805" spans="13:47" ht="14" x14ac:dyDescent="0.3">
      <c r="M2805" s="23"/>
      <c r="N2805" s="23"/>
      <c r="O2805" s="23" t="s">
        <v>238</v>
      </c>
      <c r="P2805" s="20"/>
      <c r="Q2805" s="20"/>
      <c r="R2805" s="181">
        <f>R2791*1.02</f>
        <v>577.6163734969399</v>
      </c>
      <c r="S2805" s="128" t="s">
        <v>185</v>
      </c>
      <c r="T2805" s="149" t="s">
        <v>186</v>
      </c>
      <c r="U2805" s="143">
        <f>U2791*1.01</f>
        <v>3331.7285864228138</v>
      </c>
      <c r="V2805" s="128" t="s">
        <v>185</v>
      </c>
      <c r="W2805" s="153" t="s">
        <v>186</v>
      </c>
      <c r="X2805" s="143">
        <f>X2791*1.01</f>
        <v>8239.7612745730548</v>
      </c>
      <c r="Y2805" s="128" t="s">
        <v>185</v>
      </c>
      <c r="Z2805" s="153" t="s">
        <v>186</v>
      </c>
      <c r="AA2805" s="143">
        <f>AA2791*1.01</f>
        <v>16048.951801595909</v>
      </c>
      <c r="AB2805" s="128" t="s">
        <v>185</v>
      </c>
      <c r="AC2805" s="153" t="s">
        <v>186</v>
      </c>
      <c r="AD2805" s="143">
        <f>AD2791*1.01</f>
        <v>26394.616840143346</v>
      </c>
      <c r="AE2805" s="128" t="s">
        <v>185</v>
      </c>
      <c r="AF2805" s="153" t="s">
        <v>186</v>
      </c>
      <c r="AG2805" s="143">
        <f>AG2791*1.01</f>
        <v>37020.482138748885</v>
      </c>
      <c r="AH2805" s="128" t="s">
        <v>185</v>
      </c>
      <c r="AI2805" s="153" t="s">
        <v>186</v>
      </c>
      <c r="AJ2805" s="143">
        <f>AJ2791*1.01</f>
        <v>47006.188876926353</v>
      </c>
      <c r="AK2805" s="128" t="s">
        <v>185</v>
      </c>
      <c r="AL2805" s="153" t="s">
        <v>186</v>
      </c>
      <c r="AM2805" s="143">
        <f>AM2791*1.01</f>
        <v>55118.453256333749</v>
      </c>
      <c r="AN2805" s="128" t="s">
        <v>185</v>
      </c>
      <c r="AO2805" s="153" t="s">
        <v>186</v>
      </c>
      <c r="AP2805" s="143">
        <f>AP2791*1.01</f>
        <v>61493.9136152434</v>
      </c>
      <c r="AQ2805" s="128" t="s">
        <v>185</v>
      </c>
      <c r="AR2805" s="153" t="s">
        <v>186</v>
      </c>
      <c r="AS2805" s="143">
        <f>AS2791*1.01</f>
        <v>68606.812933098394</v>
      </c>
      <c r="AT2805" s="128" t="s">
        <v>185</v>
      </c>
      <c r="AU2805" s="153" t="s">
        <v>186</v>
      </c>
    </row>
    <row r="2806" spans="13:47" ht="14" x14ac:dyDescent="0.3">
      <c r="M2806" s="12"/>
      <c r="N2806" s="12"/>
      <c r="O2806" s="20"/>
      <c r="P2806" s="20"/>
      <c r="Q2806" s="23"/>
      <c r="R2806" s="139"/>
      <c r="S2806" s="130" t="s">
        <v>228</v>
      </c>
      <c r="T2806" s="131" t="s">
        <v>187</v>
      </c>
      <c r="U2806" s="144"/>
      <c r="V2806" s="130" t="s">
        <v>228</v>
      </c>
      <c r="W2806" s="154" t="s">
        <v>187</v>
      </c>
      <c r="X2806" s="144"/>
      <c r="Y2806" s="130" t="s">
        <v>228</v>
      </c>
      <c r="Z2806" s="154" t="s">
        <v>187</v>
      </c>
      <c r="AA2806" s="144"/>
      <c r="AB2806" s="130" t="s">
        <v>228</v>
      </c>
      <c r="AC2806" s="154" t="s">
        <v>187</v>
      </c>
      <c r="AD2806" s="144"/>
      <c r="AE2806" s="130" t="s">
        <v>228</v>
      </c>
      <c r="AF2806" s="154" t="s">
        <v>187</v>
      </c>
      <c r="AG2806" s="144"/>
      <c r="AH2806" s="130" t="s">
        <v>228</v>
      </c>
      <c r="AI2806" s="154" t="s">
        <v>187</v>
      </c>
      <c r="AJ2806" s="144"/>
      <c r="AK2806" s="130" t="s">
        <v>228</v>
      </c>
      <c r="AL2806" s="154" t="s">
        <v>187</v>
      </c>
      <c r="AM2806" s="144"/>
      <c r="AN2806" s="130" t="s">
        <v>228</v>
      </c>
      <c r="AO2806" s="154" t="s">
        <v>187</v>
      </c>
      <c r="AP2806" s="144"/>
      <c r="AQ2806" s="130" t="s">
        <v>228</v>
      </c>
      <c r="AR2806" s="154" t="s">
        <v>187</v>
      </c>
      <c r="AS2806" s="144"/>
      <c r="AT2806" s="130" t="s">
        <v>228</v>
      </c>
      <c r="AU2806" s="154" t="s">
        <v>187</v>
      </c>
    </row>
    <row r="2807" spans="13:47" x14ac:dyDescent="0.25">
      <c r="M2807" s="20"/>
      <c r="N2807" s="20"/>
      <c r="O2807" s="7" t="s">
        <v>188</v>
      </c>
      <c r="P2807" s="7"/>
      <c r="Q2807" s="7"/>
      <c r="R2807" s="181">
        <f>P_1_minW-(R2805^2*R_up)+dpup_minQ</f>
        <v>100.38974356845239</v>
      </c>
      <c r="S2807" s="132"/>
      <c r="T2807" s="145"/>
      <c r="U2807" s="138">
        <f>P_1_minW-(U2805^2*R_up)+dpup_minQ</f>
        <v>96.096364716194145</v>
      </c>
      <c r="V2807" s="132"/>
      <c r="W2807" s="145"/>
      <c r="X2807" s="138">
        <f>P_1_minW-(X2805^2*R_up)+dpup_minQ</f>
        <v>73.449383849378492</v>
      </c>
      <c r="Y2807" s="132"/>
      <c r="Z2807" s="145"/>
      <c r="AA2807" s="138">
        <f>P_1_minW-(AA2805^2*R_up)+dpup_minQ</f>
        <v>-2.1858424873393862</v>
      </c>
      <c r="AB2807" s="132"/>
      <c r="AC2807" s="145"/>
      <c r="AD2807" s="138">
        <f>P_1_minW-(AD2805^2*R_up)+dpup_minQ</f>
        <v>-177.28493398945554</v>
      </c>
      <c r="AE2807" s="132"/>
      <c r="AF2807" s="145"/>
      <c r="AG2807" s="138">
        <f>P_1_minW-(AG2805^2*R_up)+dpup_minQ</f>
        <v>-445.98672939964956</v>
      </c>
      <c r="AH2807" s="132"/>
      <c r="AI2807" s="145"/>
      <c r="AJ2807" s="138">
        <f>P_1_minW-(AJ2805^2*R_up)+dpup_minQ</f>
        <v>-780.5741068799656</v>
      </c>
      <c r="AK2807" s="132"/>
      <c r="AL2807" s="145"/>
      <c r="AM2807" s="138">
        <f>P_1_minW-(AM2805^2*R_up)+dpup_minQ</f>
        <v>-1110.9331740242508</v>
      </c>
      <c r="AN2807" s="132"/>
      <c r="AO2807" s="145"/>
      <c r="AP2807" s="138">
        <f>P_1_minW-(AP2805^2*R_up)+dpup_minQ</f>
        <v>-1407.3956610122509</v>
      </c>
      <c r="AQ2807" s="132"/>
      <c r="AR2807" s="145"/>
      <c r="AS2807" s="138">
        <f>P_1_minW-(AS2805^2*R_up)+dpup_minQ</f>
        <v>-1776.4072203874157</v>
      </c>
      <c r="AT2807" s="132"/>
      <c r="AU2807" s="145"/>
    </row>
    <row r="2808" spans="13:47" x14ac:dyDescent="0.25">
      <c r="M2808" s="20"/>
      <c r="N2808" s="20"/>
      <c r="O2808" s="7" t="s">
        <v>189</v>
      </c>
      <c r="P2808" s="1"/>
      <c r="Q2808" s="7"/>
      <c r="R2808" s="181">
        <f>P_2_minW+(R2805^2*R_dn)-dpdn_minQ</f>
        <v>50</v>
      </c>
      <c r="S2808" s="132"/>
      <c r="T2808" s="146"/>
      <c r="U2808" s="138">
        <f>P_2_minW+(U2805^2*R_dn)-dpdn_minQ</f>
        <v>50</v>
      </c>
      <c r="V2808" s="132"/>
      <c r="W2808" s="146"/>
      <c r="X2808" s="138">
        <f>P_2_minW+(X2805^2*R_dn)-dpdn_minQ</f>
        <v>50</v>
      </c>
      <c r="Y2808" s="132"/>
      <c r="Z2808" s="146"/>
      <c r="AA2808" s="138">
        <f>P_2_minW+(AA2805^2*R_dn)-dpdn_minQ</f>
        <v>50</v>
      </c>
      <c r="AB2808" s="132"/>
      <c r="AC2808" s="146"/>
      <c r="AD2808" s="138">
        <f>P_2_minW+(AD2805^2*R_dn)-dpdn_minQ</f>
        <v>50</v>
      </c>
      <c r="AE2808" s="132"/>
      <c r="AF2808" s="146"/>
      <c r="AG2808" s="138">
        <f>P_2_minW+(AG2805^2*R_dn)-dpdn_minQ</f>
        <v>50</v>
      </c>
      <c r="AH2808" s="132"/>
      <c r="AI2808" s="146"/>
      <c r="AJ2808" s="138">
        <f>P_2_minW+(AJ2805^2*R_dn)-dpdn_minQ</f>
        <v>50</v>
      </c>
      <c r="AK2808" s="132"/>
      <c r="AL2808" s="146"/>
      <c r="AM2808" s="138">
        <f>P_2_minW+(AM2805^2*R_dn)-dpdn_minQ</f>
        <v>50</v>
      </c>
      <c r="AN2808" s="132"/>
      <c r="AO2808" s="146"/>
      <c r="AP2808" s="138">
        <f>P_2_minW+(AP2805^2*R_dn)-dpdn_minQ</f>
        <v>50</v>
      </c>
      <c r="AQ2808" s="132"/>
      <c r="AR2808" s="146"/>
      <c r="AS2808" s="138">
        <f>P_2_minW+(AS2805^2*R_dn)-dpdn_minQ</f>
        <v>50</v>
      </c>
      <c r="AT2808" s="132"/>
      <c r="AU2808" s="146"/>
    </row>
    <row r="2809" spans="13:47" x14ac:dyDescent="0.25">
      <c r="M2809" s="20"/>
      <c r="N2809" s="20"/>
      <c r="O2809" s="7" t="s">
        <v>234</v>
      </c>
      <c r="P2809" s="1"/>
      <c r="Q2809" s="7"/>
      <c r="R2809" s="179">
        <f>'Valve Sizing'!G$8*R2807/P_1_maxW</f>
        <v>0.4842622496820117</v>
      </c>
      <c r="S2809" s="132"/>
      <c r="T2809" s="146"/>
      <c r="U2809" s="143">
        <f>'Valve Sizing'!$G$8*U2807/P_1_maxW</f>
        <v>0.46355175448770869</v>
      </c>
      <c r="V2809" s="132"/>
      <c r="W2809" s="146"/>
      <c r="X2809" s="143">
        <f>'Valve Sizing'!$G$8*X2807/P_1_maxW</f>
        <v>0.35430675083261376</v>
      </c>
      <c r="Y2809" s="132"/>
      <c r="Z2809" s="146"/>
      <c r="AA2809" s="143">
        <f>'Valve Sizing'!$G$8*AA2807/P_1_maxW</f>
        <v>-1.0544114993656952E-2</v>
      </c>
      <c r="AB2809" s="132"/>
      <c r="AC2809" s="146"/>
      <c r="AD2809" s="143">
        <f>'Valve Sizing'!$G$8*AD2807/P_1_maxW</f>
        <v>-0.85519095792809574</v>
      </c>
      <c r="AE2809" s="132"/>
      <c r="AF2809" s="146"/>
      <c r="AG2809" s="143">
        <f>'Valve Sizing'!$G$8*AG2807/P_1_maxW</f>
        <v>-2.1513605795808326</v>
      </c>
      <c r="AH2809" s="132"/>
      <c r="AI2809" s="146"/>
      <c r="AJ2809" s="143">
        <f>'Valve Sizing'!$G$8*AJ2807/P_1_maxW</f>
        <v>-3.7653505189349543</v>
      </c>
      <c r="AK2809" s="132"/>
      <c r="AL2809" s="146"/>
      <c r="AM2809" s="143">
        <f>'Valve Sizing'!$G$8*AM2807/P_1_maxW</f>
        <v>-5.3589438420323194</v>
      </c>
      <c r="AN2809" s="132"/>
      <c r="AO2809" s="146"/>
      <c r="AP2809" s="143">
        <f>'Valve Sizing'!$G$8*AP2807/P_1_maxW</f>
        <v>-6.7890260973698933</v>
      </c>
      <c r="AQ2809" s="132"/>
      <c r="AR2809" s="146"/>
      <c r="AS2809" s="143">
        <f>'Valve Sizing'!$G$8*AS2807/P_1_maxW</f>
        <v>-8.5690721613369369</v>
      </c>
      <c r="AT2809" s="132"/>
      <c r="AU2809" s="146"/>
    </row>
    <row r="2810" spans="13:47" x14ac:dyDescent="0.25">
      <c r="M2810" s="20"/>
      <c r="N2810" s="20"/>
      <c r="O2810" s="7" t="s">
        <v>190</v>
      </c>
      <c r="P2810" s="1"/>
      <c r="Q2810" s="7"/>
      <c r="R2810" s="181">
        <f>R2807-R2808</f>
        <v>50.389743568452388</v>
      </c>
      <c r="S2810" s="132"/>
      <c r="T2810" s="146"/>
      <c r="U2810" s="138">
        <f>U2807-U2808</f>
        <v>46.096364716194145</v>
      </c>
      <c r="V2810" s="132"/>
      <c r="W2810" s="146"/>
      <c r="X2810" s="138">
        <f>X2807-X2808</f>
        <v>23.449383849378492</v>
      </c>
      <c r="Y2810" s="132"/>
      <c r="Z2810" s="146"/>
      <c r="AA2810" s="138">
        <f>AA2807-AA2808</f>
        <v>-52.185842487339386</v>
      </c>
      <c r="AB2810" s="132"/>
      <c r="AC2810" s="146"/>
      <c r="AD2810" s="138">
        <f>AD2807-AD2808</f>
        <v>-227.28493398945554</v>
      </c>
      <c r="AE2810" s="132"/>
      <c r="AF2810" s="146"/>
      <c r="AG2810" s="138">
        <f>AG2807-AG2808</f>
        <v>-495.98672939964956</v>
      </c>
      <c r="AH2810" s="132"/>
      <c r="AI2810" s="146"/>
      <c r="AJ2810" s="138">
        <f>AJ2807-AJ2808</f>
        <v>-830.5741068799656</v>
      </c>
      <c r="AK2810" s="132"/>
      <c r="AL2810" s="146"/>
      <c r="AM2810" s="138">
        <f>AM2807-AM2808</f>
        <v>-1160.9331740242508</v>
      </c>
      <c r="AN2810" s="132"/>
      <c r="AO2810" s="146"/>
      <c r="AP2810" s="138">
        <f>AP2807-AP2808</f>
        <v>-1457.3956610122509</v>
      </c>
      <c r="AQ2810" s="132"/>
      <c r="AR2810" s="146"/>
      <c r="AS2810" s="138">
        <f>AS2807-AS2808</f>
        <v>-1826.4072203874157</v>
      </c>
      <c r="AT2810" s="132"/>
      <c r="AU2810" s="146"/>
    </row>
    <row r="2811" spans="13:47" ht="14.5" x14ac:dyDescent="0.35">
      <c r="M2811" s="27"/>
      <c r="N2811" s="27"/>
      <c r="O2811" s="2" t="s">
        <v>191</v>
      </c>
      <c r="P2811" s="10"/>
      <c r="Q2811" s="2"/>
      <c r="R2811" s="181">
        <f>R2810/R2807</f>
        <v>0.50194115232591785</v>
      </c>
      <c r="S2811" s="132"/>
      <c r="T2811" s="146"/>
      <c r="U2811" s="138">
        <f>U2810/U2807</f>
        <v>0.47968895443997989</v>
      </c>
      <c r="V2811" s="132"/>
      <c r="W2811" s="146"/>
      <c r="X2811" s="138">
        <f>X2810/X2807</f>
        <v>0.31925909545362258</v>
      </c>
      <c r="Y2811" s="132"/>
      <c r="Z2811" s="146"/>
      <c r="AA2811" s="138">
        <f>AA2810/AA2807</f>
        <v>23.874475306251433</v>
      </c>
      <c r="AB2811" s="132"/>
      <c r="AC2811" s="146"/>
      <c r="AD2811" s="138">
        <f>AD2810/AD2807</f>
        <v>1.2820318617879503</v>
      </c>
      <c r="AE2811" s="132"/>
      <c r="AF2811" s="146"/>
      <c r="AG2811" s="138">
        <f>AG2810/AG2807</f>
        <v>1.112110959147385</v>
      </c>
      <c r="AH2811" s="132"/>
      <c r="AI2811" s="146"/>
      <c r="AJ2811" s="138">
        <f>AJ2810/AJ2807</f>
        <v>1.0640554171081271</v>
      </c>
      <c r="AK2811" s="132"/>
      <c r="AL2811" s="146"/>
      <c r="AM2811" s="138">
        <f>AM2810/AM2807</f>
        <v>1.0450072076062682</v>
      </c>
      <c r="AN2811" s="132"/>
      <c r="AO2811" s="146"/>
      <c r="AP2811" s="138">
        <f>AP2810/AP2807</f>
        <v>1.0355266122989453</v>
      </c>
      <c r="AQ2811" s="132"/>
      <c r="AR2811" s="146"/>
      <c r="AS2811" s="138">
        <f>AS2810/AS2807</f>
        <v>1.0281466993750992</v>
      </c>
      <c r="AT2811" s="132"/>
      <c r="AU2811" s="146"/>
    </row>
    <row r="2812" spans="13:47" x14ac:dyDescent="0.25">
      <c r="M2812" s="27"/>
      <c r="N2812" s="27"/>
      <c r="O2812" s="2" t="s">
        <v>26</v>
      </c>
      <c r="P2812" s="7">
        <v>12</v>
      </c>
      <c r="Q2812" s="2"/>
      <c r="R2812" s="181">
        <f>1-R2811/(3*F_GAMMA*R$29)</f>
        <v>0.73858329606041817</v>
      </c>
      <c r="S2812" s="133"/>
      <c r="T2812" s="146"/>
      <c r="U2812" s="138">
        <f>1-U2811/(3*F_GAMMA*U$29)</f>
        <v>0.75022750150542095</v>
      </c>
      <c r="V2812" s="133"/>
      <c r="W2812" s="146"/>
      <c r="X2812" s="138">
        <f>1-X2811/(3*F_GAMMA*X$29)</f>
        <v>0.83126899165001844</v>
      </c>
      <c r="Y2812" s="133"/>
      <c r="Z2812" s="146"/>
      <c r="AA2812" s="138">
        <f>1-AA2811/(3*F_GAMMA*AA$29)</f>
        <v>-11.790861187231124</v>
      </c>
      <c r="AB2812" s="133"/>
      <c r="AC2812" s="146"/>
      <c r="AD2812" s="138">
        <f>1-AD2811/(3*F_GAMMA*AD$29)</f>
        <v>0.29431337644401934</v>
      </c>
      <c r="AE2812" s="133"/>
      <c r="AF2812" s="146"/>
      <c r="AG2812" s="138">
        <f>1-AG2811/(3*F_GAMMA*AG$29)</f>
        <v>0.3529270309158955</v>
      </c>
      <c r="AH2812" s="133"/>
      <c r="AI2812" s="146"/>
      <c r="AJ2812" s="138">
        <f>1-AJ2811/(3*F_GAMMA*AJ$29)</f>
        <v>0.3381606310812717</v>
      </c>
      <c r="AK2812" s="133"/>
      <c r="AL2812" s="146"/>
      <c r="AM2812" s="138">
        <f>1-AM2811/(3*F_GAMMA*AM$29)</f>
        <v>0.28981825700287744</v>
      </c>
      <c r="AN2812" s="133"/>
      <c r="AO2812" s="146"/>
      <c r="AP2812" s="138">
        <f>1-AP2811/(3*F_GAMMA*AP$29)</f>
        <v>0.41843603614520752</v>
      </c>
      <c r="AQ2812" s="133"/>
      <c r="AR2812" s="146"/>
      <c r="AS2812" s="138">
        <f>1-AS2811/(3*F_GAMMA*AS$29)</f>
        <v>0.12342730178575678</v>
      </c>
      <c r="AT2812" s="133"/>
      <c r="AU2812" s="146"/>
    </row>
    <row r="2813" spans="13:47" x14ac:dyDescent="0.25">
      <c r="M2813" s="27"/>
      <c r="N2813" s="27"/>
      <c r="O2813" s="2" t="s">
        <v>71</v>
      </c>
      <c r="P2813" s="85">
        <v>5</v>
      </c>
      <c r="Q2813" s="2"/>
      <c r="R2813" s="179">
        <f>R2805/((N_6*R$27*R2812)*SQRT(R2811*R2807*R2809))</f>
        <v>2.5013610449252957</v>
      </c>
      <c r="S2813" s="133"/>
      <c r="T2813" s="146"/>
      <c r="U2813" s="143">
        <f>U2805/((N_6*U$27*U2812)*SQRT(U2811*U2807*U2809))</f>
        <v>15.188395394772815</v>
      </c>
      <c r="V2813" s="133"/>
      <c r="W2813" s="146"/>
      <c r="X2813" s="143">
        <f>X2805/((N_6*X$27*X2812)*SQRT(X2811*X2807*X2809))</f>
        <v>54.48748387975774</v>
      </c>
      <c r="Y2813" s="133"/>
      <c r="Z2813" s="146"/>
      <c r="AA2813" s="143">
        <f>AA2805/((N_6*AA$27*AA2812)*SQRT(AA2811*AA2807*AA2809))</f>
        <v>-29.240813328177317</v>
      </c>
      <c r="AB2813" s="133"/>
      <c r="AC2813" s="146"/>
      <c r="AD2813" s="143">
        <f>AD2805/((N_6*AD$27*AD2812)*SQRT(AD2811*AD2807*AD2809))</f>
        <v>103.72964339695804</v>
      </c>
      <c r="AE2813" s="133"/>
      <c r="AF2813" s="146"/>
      <c r="AG2813" s="143">
        <f>AG2805/((N_6*AG$27*AG2812)*SQRT(AG2811*AG2807*AG2809))</f>
        <v>52.899386681942232</v>
      </c>
      <c r="AH2813" s="133"/>
      <c r="AI2813" s="146"/>
      <c r="AJ2813" s="143">
        <f>AJ2805/((N_6*AJ$27*AJ2812)*SQRT(AJ2811*AJ2807*AJ2809))</f>
        <v>42.353059924144347</v>
      </c>
      <c r="AK2813" s="133"/>
      <c r="AL2813" s="146"/>
      <c r="AM2813" s="143">
        <f>AM2805/((N_6*AM$27*AM2812)*SQRT(AM2811*AM2807*AM2809))</f>
        <v>43.607080130703018</v>
      </c>
      <c r="AN2813" s="133"/>
      <c r="AO2813" s="146"/>
      <c r="AP2813" s="143">
        <f>AP2805/((N_6*AP$27*AP2812)*SQRT(AP2811*AP2807*AP2809))</f>
        <v>30.352442267458382</v>
      </c>
      <c r="AQ2813" s="133"/>
      <c r="AR2813" s="146"/>
      <c r="AS2813" s="143">
        <f>AS2805/((N_6*AS$27*AS2812)*SQRT(AS2811*AS2807*AS2809))</f>
        <v>119.93909944747351</v>
      </c>
      <c r="AT2813" s="133"/>
      <c r="AU2813" s="146"/>
    </row>
    <row r="2814" spans="13:47" x14ac:dyDescent="0.25">
      <c r="M2814" s="27"/>
      <c r="N2814" s="27"/>
      <c r="O2814" s="2" t="s">
        <v>73</v>
      </c>
      <c r="P2814" s="85">
        <v>5</v>
      </c>
      <c r="Q2814" s="2"/>
      <c r="R2814" s="179">
        <f>R2805/((N_6*R$27*0.667)*SQRT(R2815*R2807*R2809))</f>
        <v>2.4528857721655215</v>
      </c>
      <c r="S2814" s="133"/>
      <c r="T2814" s="147"/>
      <c r="U2814" s="143">
        <f>U2805/((N_6*U$27*0.667)*SQRT(U2815*U2807*U2809))</f>
        <v>14.788086330987687</v>
      </c>
      <c r="V2814" s="133"/>
      <c r="W2814" s="155"/>
      <c r="X2814" s="143">
        <f>X2805/((N_6*X$27*0.667)*SQRT(X2815*X2807*X2809))</f>
        <v>48.313731175342603</v>
      </c>
      <c r="Y2814" s="133"/>
      <c r="Z2814" s="155"/>
      <c r="AA2814" s="143">
        <f>AA2805/((N_6*AA$27*0.667)*SQRT(AA2815*AA2807*AA2809))</f>
        <v>3201.9877132512811</v>
      </c>
      <c r="AB2814" s="133"/>
      <c r="AC2814" s="155"/>
      <c r="AD2814" s="143">
        <f>AD2805/((N_6*AD$27*0.667)*SQRT(AD2815*AD2807*AD2809))</f>
        <v>66.596839934180494</v>
      </c>
      <c r="AE2814" s="133"/>
      <c r="AF2814" s="155"/>
      <c r="AG2814" s="143">
        <f>AG2805/((N_6*AG$27*0.667)*SQRT(AG2815*AG2807*AG2809))</f>
        <v>38.998417270092368</v>
      </c>
      <c r="AH2814" s="133"/>
      <c r="AI2814" s="155"/>
      <c r="AJ2814" s="143">
        <f>AJ2805/((N_6*AJ$27*0.667)*SQRT(AJ2815*AJ2807*AJ2809))</f>
        <v>30.25651683382042</v>
      </c>
      <c r="AK2814" s="133"/>
      <c r="AL2814" s="155"/>
      <c r="AM2814" s="143">
        <f>AM2805/((N_6*AM$27*0.667)*SQRT(AM2815*AM2807*AM2809))</f>
        <v>27.656823192979108</v>
      </c>
      <c r="AN2814" s="133"/>
      <c r="AO2814" s="155"/>
      <c r="AP2814" s="143">
        <f>AP2805/((N_6*AP$27*0.667)*SQRT(AP2815*AP2807*AP2809))</f>
        <v>25.151057987510573</v>
      </c>
      <c r="AQ2814" s="133"/>
      <c r="AR2814" s="155"/>
      <c r="AS2814" s="143">
        <f>AS2805/((N_6*AS$27*0.667)*SQRT(AS2815*AS2807*AS2809))</f>
        <v>35.991569220983848</v>
      </c>
      <c r="AT2814" s="133"/>
      <c r="AU2814" s="155"/>
    </row>
    <row r="2815" spans="13:47" ht="15.5" x14ac:dyDescent="0.4">
      <c r="M2815" s="27"/>
      <c r="N2815" s="27"/>
      <c r="O2815" s="2" t="s">
        <v>192</v>
      </c>
      <c r="P2815" s="85">
        <v>10</v>
      </c>
      <c r="Q2815" s="2"/>
      <c r="R2815" s="181">
        <f>F_GAMMA*R$29</f>
        <v>0.64002688015162901</v>
      </c>
      <c r="S2815" s="133"/>
      <c r="T2815" s="147"/>
      <c r="U2815" s="138">
        <f>F_GAMMA*U$29</f>
        <v>0.64016782916606918</v>
      </c>
      <c r="V2815" s="133"/>
      <c r="W2815" s="155"/>
      <c r="X2815" s="138">
        <f>F_GAMMA*X$29</f>
        <v>0.6307062319203669</v>
      </c>
      <c r="Y2815" s="133"/>
      <c r="Z2815" s="155"/>
      <c r="AA2815" s="138">
        <f>F_GAMMA*AA$29</f>
        <v>0.62217534213893466</v>
      </c>
      <c r="AB2815" s="133"/>
      <c r="AC2815" s="155"/>
      <c r="AD2815" s="138">
        <f>F_GAMMA*AD$29</f>
        <v>0.60557184969146072</v>
      </c>
      <c r="AE2815" s="133"/>
      <c r="AF2815" s="155"/>
      <c r="AG2815" s="138">
        <f>F_GAMMA*AG$29</f>
        <v>0.57289312142622573</v>
      </c>
      <c r="AH2815" s="133"/>
      <c r="AI2815" s="155"/>
      <c r="AJ2815" s="138">
        <f>F_GAMMA*AJ$29</f>
        <v>0.53590819116049981</v>
      </c>
      <c r="AK2815" s="133"/>
      <c r="AL2815" s="155"/>
      <c r="AM2815" s="138">
        <f>F_GAMMA*AM$29</f>
        <v>0.49048815926850342</v>
      </c>
      <c r="AN2815" s="133"/>
      <c r="AO2815" s="155"/>
      <c r="AP2815" s="138">
        <f>F_GAMMA*AP$29</f>
        <v>0.59352979016280105</v>
      </c>
      <c r="AQ2815" s="133"/>
      <c r="AR2815" s="155"/>
      <c r="AS2815" s="138">
        <f>F_GAMMA*AS$29</f>
        <v>0.39097221161068291</v>
      </c>
      <c r="AT2815" s="133"/>
      <c r="AU2815" s="155"/>
    </row>
    <row r="2816" spans="13:47" x14ac:dyDescent="0.25">
      <c r="M2816" s="27"/>
      <c r="N2816" s="27"/>
      <c r="O2816" s="2" t="s">
        <v>193</v>
      </c>
      <c r="P2816" s="134"/>
      <c r="Q2816" s="2"/>
      <c r="R2816" s="181">
        <f>IF(R2811&lt;R2815,R2813,R2814)</f>
        <v>2.5013610449252957</v>
      </c>
      <c r="S2816" s="133"/>
      <c r="T2816" s="147"/>
      <c r="U2816" s="138">
        <f>IF(U2811&lt;U2815,U2813,U2814)</f>
        <v>15.188395394772815</v>
      </c>
      <c r="V2816" s="133"/>
      <c r="W2816" s="155"/>
      <c r="X2816" s="138">
        <f>IF(X2811&lt;X2815,X2813,X2814)</f>
        <v>54.48748387975774</v>
      </c>
      <c r="Y2816" s="133"/>
      <c r="Z2816" s="155"/>
      <c r="AA2816" s="138">
        <f>IF(AA2811&lt;AA2815,AA2813,AA2814)</f>
        <v>3201.9877132512811</v>
      </c>
      <c r="AB2816" s="133"/>
      <c r="AC2816" s="155"/>
      <c r="AD2816" s="138">
        <f>IF(AD2811&lt;AD2815,AD2813,AD2814)</f>
        <v>66.596839934180494</v>
      </c>
      <c r="AE2816" s="133"/>
      <c r="AF2816" s="155"/>
      <c r="AG2816" s="138">
        <f>IF(AG2811&lt;AG2815,AG2813,AG2814)</f>
        <v>38.998417270092368</v>
      </c>
      <c r="AH2816" s="133"/>
      <c r="AI2816" s="155"/>
      <c r="AJ2816" s="138">
        <f>IF(AJ2811&lt;AJ2815,AJ2813,AJ2814)</f>
        <v>30.25651683382042</v>
      </c>
      <c r="AK2816" s="133"/>
      <c r="AL2816" s="155"/>
      <c r="AM2816" s="138">
        <f>IF(AM2811&lt;AM2815,AM2813,AM2814)</f>
        <v>27.656823192979108</v>
      </c>
      <c r="AN2816" s="133"/>
      <c r="AO2816" s="155"/>
      <c r="AP2816" s="138">
        <f>IF(AP2811&lt;AP2815,AP2813,AP2814)</f>
        <v>25.151057987510573</v>
      </c>
      <c r="AQ2816" s="133"/>
      <c r="AR2816" s="155"/>
      <c r="AS2816" s="138">
        <f>IF(AS2811&lt;AS2815,AS2813,AS2814)</f>
        <v>35.991569220983848</v>
      </c>
      <c r="AT2816" s="133"/>
      <c r="AU2816" s="155"/>
    </row>
    <row r="2817" spans="13:47" ht="13" x14ac:dyDescent="0.3">
      <c r="M2817" s="28"/>
      <c r="N2817" s="28"/>
      <c r="O2817" s="9" t="s">
        <v>194</v>
      </c>
      <c r="P2817" s="1"/>
      <c r="Q2817" s="1"/>
      <c r="R2817" s="135"/>
      <c r="S2817" s="132">
        <f>IF(R2810&lt;=0,W_max,ABS(R$23-R2816))</f>
        <v>0.50136104492529565</v>
      </c>
      <c r="T2817" s="151">
        <f>R2805</f>
        <v>577.6163734969399</v>
      </c>
      <c r="U2817" s="135"/>
      <c r="V2817" s="132">
        <f>IF(U2810&lt;=0,W_max,ABS(U$23-U2816))</f>
        <v>10.188395394772815</v>
      </c>
      <c r="W2817" s="151">
        <f>U2805</f>
        <v>3331.7285864228138</v>
      </c>
      <c r="X2817" s="135"/>
      <c r="Y2817" s="132">
        <f>IF(X2810&lt;=0,W_max,ABS(X$23-X2816))</f>
        <v>44.48748387975774</v>
      </c>
      <c r="Z2817" s="151">
        <f>X2805</f>
        <v>8239.7612745730548</v>
      </c>
      <c r="AA2817" s="135"/>
      <c r="AB2817" s="132">
        <f>IF(AA2810&lt;=0,W_max,ABS(AA$23-AA2816))</f>
        <v>7174</v>
      </c>
      <c r="AC2817" s="151">
        <f>AA2805</f>
        <v>16048.951801595909</v>
      </c>
      <c r="AD2817" s="135"/>
      <c r="AE2817" s="132">
        <f>IF(AD2810&lt;=0,W_max,ABS(AD$23-AD2816))</f>
        <v>7174</v>
      </c>
      <c r="AF2817" s="151">
        <f>AD2805</f>
        <v>26394.616840143346</v>
      </c>
      <c r="AG2817" s="135"/>
      <c r="AH2817" s="132">
        <f>IF(AG2810&lt;=0,W_max,ABS(AG$23-AG2816))</f>
        <v>7174</v>
      </c>
      <c r="AI2817" s="151">
        <f>AG2805</f>
        <v>37020.482138748885</v>
      </c>
      <c r="AJ2817" s="135"/>
      <c r="AK2817" s="132">
        <f>IF(AJ2810&lt;=0,W_max,ABS(AJ$23-AJ2816))</f>
        <v>7174</v>
      </c>
      <c r="AL2817" s="151">
        <f>AJ2805</f>
        <v>47006.188876926353</v>
      </c>
      <c r="AM2817" s="135"/>
      <c r="AN2817" s="132">
        <f>IF(AM2810&lt;=0,W_max,ABS(AM$23-AM2816))</f>
        <v>7174</v>
      </c>
      <c r="AO2817" s="151">
        <f>AM2805</f>
        <v>55118.453256333749</v>
      </c>
      <c r="AP2817" s="135"/>
      <c r="AQ2817" s="132">
        <f>IF(AP2810&lt;=0,W_max,ABS(AP$23-AP2816))</f>
        <v>7174</v>
      </c>
      <c r="AR2817" s="151">
        <f>AP2805</f>
        <v>61493.9136152434</v>
      </c>
      <c r="AS2817" s="135"/>
      <c r="AT2817" s="132">
        <f>IF(AS2810&lt;=0,W_max,ABS(AS$23-AS2816))</f>
        <v>7174</v>
      </c>
      <c r="AU2817" s="151">
        <f>AS2805</f>
        <v>68606.812933098394</v>
      </c>
    </row>
    <row r="2818" spans="13:47" ht="13" x14ac:dyDescent="0.25">
      <c r="M2818" s="12"/>
      <c r="N2818" s="12"/>
      <c r="O2818" s="12"/>
      <c r="P2818" s="12"/>
      <c r="Q2818" s="12"/>
      <c r="R2818" s="182"/>
      <c r="S2818" s="22"/>
      <c r="T2818" s="152"/>
      <c r="U2818" s="157"/>
      <c r="V2818" s="1"/>
      <c r="W2818" s="147"/>
      <c r="X2818" s="157"/>
      <c r="Y2818" s="1"/>
      <c r="Z2818" s="147"/>
      <c r="AA2818" s="157"/>
      <c r="AB2818" s="1"/>
      <c r="AC2818" s="147"/>
      <c r="AD2818" s="157"/>
      <c r="AE2818" s="1"/>
      <c r="AF2818" s="147"/>
      <c r="AG2818" s="157"/>
      <c r="AH2818" s="1"/>
      <c r="AI2818" s="147"/>
      <c r="AJ2818" s="157"/>
      <c r="AK2818" s="1"/>
      <c r="AL2818" s="147"/>
      <c r="AM2818" s="157"/>
      <c r="AN2818" s="1"/>
      <c r="AO2818" s="147"/>
      <c r="AP2818" s="157"/>
      <c r="AQ2818" s="1"/>
      <c r="AR2818" s="147"/>
      <c r="AS2818" s="157"/>
      <c r="AT2818" s="1"/>
      <c r="AU2818" s="147"/>
    </row>
    <row r="2819" spans="13:47" ht="14" x14ac:dyDescent="0.3">
      <c r="M2819" s="23"/>
      <c r="N2819" s="23"/>
      <c r="O2819" s="23" t="s">
        <v>238</v>
      </c>
      <c r="P2819" s="20"/>
      <c r="Q2819" s="20"/>
      <c r="R2819" s="18">
        <f>R2805*1.02</f>
        <v>589.16870096687876</v>
      </c>
      <c r="S2819" s="128" t="s">
        <v>185</v>
      </c>
      <c r="T2819" s="153" t="s">
        <v>186</v>
      </c>
      <c r="U2819" s="143">
        <f>U2805*1.01</f>
        <v>3365.0458722870421</v>
      </c>
      <c r="V2819" s="128" t="s">
        <v>185</v>
      </c>
      <c r="W2819" s="153" t="s">
        <v>186</v>
      </c>
      <c r="X2819" s="143">
        <f>X2805*1.01</f>
        <v>8322.1588873187848</v>
      </c>
      <c r="Y2819" s="128" t="s">
        <v>185</v>
      </c>
      <c r="Z2819" s="153" t="s">
        <v>186</v>
      </c>
      <c r="AA2819" s="143">
        <f>AA2805*1.01</f>
        <v>16209.441319611869</v>
      </c>
      <c r="AB2819" s="128" t="s">
        <v>185</v>
      </c>
      <c r="AC2819" s="153" t="s">
        <v>186</v>
      </c>
      <c r="AD2819" s="143">
        <f>AD2805*1.01</f>
        <v>26658.563008544781</v>
      </c>
      <c r="AE2819" s="128" t="s">
        <v>185</v>
      </c>
      <c r="AF2819" s="153" t="s">
        <v>186</v>
      </c>
      <c r="AG2819" s="143">
        <f>AG2805*1.01</f>
        <v>37390.686960136372</v>
      </c>
      <c r="AH2819" s="128" t="s">
        <v>185</v>
      </c>
      <c r="AI2819" s="153" t="s">
        <v>186</v>
      </c>
      <c r="AJ2819" s="143">
        <f>AJ2805*1.01</f>
        <v>47476.250765695615</v>
      </c>
      <c r="AK2819" s="128" t="s">
        <v>185</v>
      </c>
      <c r="AL2819" s="153" t="s">
        <v>186</v>
      </c>
      <c r="AM2819" s="143">
        <f>AM2805*1.01</f>
        <v>55669.637788897089</v>
      </c>
      <c r="AN2819" s="128" t="s">
        <v>185</v>
      </c>
      <c r="AO2819" s="153" t="s">
        <v>186</v>
      </c>
      <c r="AP2819" s="143">
        <f>AP2805*1.01</f>
        <v>62108.852751395832</v>
      </c>
      <c r="AQ2819" s="128" t="s">
        <v>185</v>
      </c>
      <c r="AR2819" s="153" t="s">
        <v>186</v>
      </c>
      <c r="AS2819" s="143">
        <f>AS2805*1.01</f>
        <v>69292.881062429384</v>
      </c>
      <c r="AT2819" s="128" t="s">
        <v>185</v>
      </c>
      <c r="AU2819" s="153" t="s">
        <v>186</v>
      </c>
    </row>
    <row r="2820" spans="13:47" ht="14" x14ac:dyDescent="0.3">
      <c r="M2820" s="12"/>
      <c r="N2820" s="12"/>
      <c r="O2820" s="20"/>
      <c r="P2820" s="20"/>
      <c r="Q2820" s="23"/>
      <c r="R2820" s="139"/>
      <c r="S2820" s="130" t="s">
        <v>228</v>
      </c>
      <c r="T2820" s="154" t="s">
        <v>187</v>
      </c>
      <c r="U2820" s="144"/>
      <c r="V2820" s="130" t="s">
        <v>228</v>
      </c>
      <c r="W2820" s="154" t="s">
        <v>187</v>
      </c>
      <c r="X2820" s="144"/>
      <c r="Y2820" s="130" t="s">
        <v>228</v>
      </c>
      <c r="Z2820" s="154" t="s">
        <v>187</v>
      </c>
      <c r="AA2820" s="144"/>
      <c r="AB2820" s="130" t="s">
        <v>228</v>
      </c>
      <c r="AC2820" s="154" t="s">
        <v>187</v>
      </c>
      <c r="AD2820" s="144"/>
      <c r="AE2820" s="130" t="s">
        <v>228</v>
      </c>
      <c r="AF2820" s="154" t="s">
        <v>187</v>
      </c>
      <c r="AG2820" s="144"/>
      <c r="AH2820" s="130" t="s">
        <v>228</v>
      </c>
      <c r="AI2820" s="154" t="s">
        <v>187</v>
      </c>
      <c r="AJ2820" s="144"/>
      <c r="AK2820" s="130" t="s">
        <v>228</v>
      </c>
      <c r="AL2820" s="154" t="s">
        <v>187</v>
      </c>
      <c r="AM2820" s="144"/>
      <c r="AN2820" s="130" t="s">
        <v>228</v>
      </c>
      <c r="AO2820" s="154" t="s">
        <v>187</v>
      </c>
      <c r="AP2820" s="144"/>
      <c r="AQ2820" s="130" t="s">
        <v>228</v>
      </c>
      <c r="AR2820" s="154" t="s">
        <v>187</v>
      </c>
      <c r="AS2820" s="144"/>
      <c r="AT2820" s="130" t="s">
        <v>228</v>
      </c>
      <c r="AU2820" s="154" t="s">
        <v>187</v>
      </c>
    </row>
    <row r="2821" spans="13:47" x14ac:dyDescent="0.25">
      <c r="M2821" s="20"/>
      <c r="N2821" s="20"/>
      <c r="O2821" s="7" t="s">
        <v>188</v>
      </c>
      <c r="P2821" s="7"/>
      <c r="Q2821" s="7"/>
      <c r="R2821" s="181">
        <f>P_1_minW-(R2819^2*R_up)+dpup_minQ</f>
        <v>100.3843686244541</v>
      </c>
      <c r="S2821" s="132"/>
      <c r="T2821" s="145"/>
      <c r="U2821" s="138">
        <f>P_1_minW-(U2819^2*R_up)+dpup_minQ</f>
        <v>96.00739363358143</v>
      </c>
      <c r="V2821" s="132"/>
      <c r="W2821" s="145"/>
      <c r="X2821" s="138">
        <f>P_1_minW-(X2819^2*R_up)+dpup_minQ</f>
        <v>72.905208451342801</v>
      </c>
      <c r="Y2821" s="132"/>
      <c r="Z2821" s="145"/>
      <c r="AA2821" s="138">
        <f>P_1_minW-(AA2819^2*R_up)+dpup_minQ</f>
        <v>-4.2502859347431334</v>
      </c>
      <c r="AB2821" s="132"/>
      <c r="AC2821" s="145"/>
      <c r="AD2821" s="138">
        <f>P_1_minW-(AD2819^2*R_up)+dpup_minQ</f>
        <v>-182.86886917605185</v>
      </c>
      <c r="AE2821" s="132"/>
      <c r="AF2821" s="145"/>
      <c r="AG2821" s="138">
        <f>P_1_minW-(AG2819^2*R_up)+dpup_minQ</f>
        <v>-456.97157067399064</v>
      </c>
      <c r="AH2821" s="132"/>
      <c r="AI2821" s="145"/>
      <c r="AJ2821" s="138">
        <f>P_1_minW-(AJ2819^2*R_up)+dpup_minQ</f>
        <v>-798.28415444166092</v>
      </c>
      <c r="AK2821" s="132"/>
      <c r="AL2821" s="145"/>
      <c r="AM2821" s="138">
        <f>P_1_minW-(AM2819^2*R_up)+dpup_minQ</f>
        <v>-1135.2834388355466</v>
      </c>
      <c r="AN2821" s="132"/>
      <c r="AO2821" s="145"/>
      <c r="AP2821" s="138">
        <f>P_1_minW-(AP2819^2*R_up)+dpup_minQ</f>
        <v>-1437.7048218120053</v>
      </c>
      <c r="AQ2821" s="132"/>
      <c r="AR2821" s="145"/>
      <c r="AS2821" s="138">
        <f>P_1_minW-(AS2819^2*R_up)+dpup_minQ</f>
        <v>-1814.1335135306113</v>
      </c>
      <c r="AT2821" s="132"/>
      <c r="AU2821" s="145"/>
    </row>
    <row r="2822" spans="13:47" x14ac:dyDescent="0.25">
      <c r="M2822" s="20"/>
      <c r="N2822" s="20"/>
      <c r="O2822" s="7" t="s">
        <v>189</v>
      </c>
      <c r="P2822" s="1"/>
      <c r="Q2822" s="7"/>
      <c r="R2822" s="181">
        <f>P_2_minW+(R2819^2*R_dn)-dpdn_minQ</f>
        <v>50</v>
      </c>
      <c r="S2822" s="132"/>
      <c r="T2822" s="146"/>
      <c r="U2822" s="138">
        <f>P_2_minW+(U2819^2*R_dn)-dpdn_minQ</f>
        <v>50</v>
      </c>
      <c r="V2822" s="132"/>
      <c r="W2822" s="146"/>
      <c r="X2822" s="138">
        <f>P_2_minW+(X2819^2*R_dn)-dpdn_minQ</f>
        <v>50</v>
      </c>
      <c r="Y2822" s="132"/>
      <c r="Z2822" s="146"/>
      <c r="AA2822" s="138">
        <f>P_2_minW+(AA2819^2*R_dn)-dpdn_minQ</f>
        <v>50</v>
      </c>
      <c r="AB2822" s="132"/>
      <c r="AC2822" s="146"/>
      <c r="AD2822" s="138">
        <f>P_2_minW+(AD2819^2*R_dn)-dpdn_minQ</f>
        <v>50</v>
      </c>
      <c r="AE2822" s="132"/>
      <c r="AF2822" s="146"/>
      <c r="AG2822" s="138">
        <f>P_2_minW+(AG2819^2*R_dn)-dpdn_minQ</f>
        <v>50</v>
      </c>
      <c r="AH2822" s="132"/>
      <c r="AI2822" s="146"/>
      <c r="AJ2822" s="138">
        <f>P_2_minW+(AJ2819^2*R_dn)-dpdn_minQ</f>
        <v>50</v>
      </c>
      <c r="AK2822" s="132"/>
      <c r="AL2822" s="146"/>
      <c r="AM2822" s="138">
        <f>P_2_minW+(AM2819^2*R_dn)-dpdn_minQ</f>
        <v>50</v>
      </c>
      <c r="AN2822" s="132"/>
      <c r="AO2822" s="146"/>
      <c r="AP2822" s="138">
        <f>P_2_minW+(AP2819^2*R_dn)-dpdn_minQ</f>
        <v>50</v>
      </c>
      <c r="AQ2822" s="132"/>
      <c r="AR2822" s="146"/>
      <c r="AS2822" s="138">
        <f>P_2_minW+(AS2819^2*R_dn)-dpdn_minQ</f>
        <v>50</v>
      </c>
      <c r="AT2822" s="132"/>
      <c r="AU2822" s="146"/>
    </row>
    <row r="2823" spans="13:47" x14ac:dyDescent="0.25">
      <c r="M2823" s="20"/>
      <c r="N2823" s="20"/>
      <c r="O2823" s="7" t="s">
        <v>234</v>
      </c>
      <c r="P2823" s="1"/>
      <c r="Q2823" s="7"/>
      <c r="R2823" s="179">
        <f>'Valve Sizing'!G$8*R2821/P_1_maxW</f>
        <v>0.48423632190911381</v>
      </c>
      <c r="S2823" s="132"/>
      <c r="T2823" s="146"/>
      <c r="U2823" s="143">
        <f>'Valve Sizing'!$G$8*U2821/P_1_maxW</f>
        <v>0.46312257382550986</v>
      </c>
      <c r="V2823" s="132"/>
      <c r="W2823" s="146"/>
      <c r="X2823" s="143">
        <f>'Valve Sizing'!$G$8*X2821/P_1_maxW</f>
        <v>0.35168174559694759</v>
      </c>
      <c r="Y2823" s="132"/>
      <c r="Z2823" s="146"/>
      <c r="AA2823" s="143">
        <f>'Valve Sizing'!$G$8*AA2821/P_1_maxW</f>
        <v>-2.0502622632431255E-2</v>
      </c>
      <c r="AB2823" s="132"/>
      <c r="AC2823" s="146"/>
      <c r="AD2823" s="143">
        <f>'Valve Sizing'!$G$8*AD2821/P_1_maxW</f>
        <v>-0.88212686710985244</v>
      </c>
      <c r="AE2823" s="132"/>
      <c r="AF2823" s="146"/>
      <c r="AG2823" s="143">
        <f>'Valve Sizing'!$G$8*AG2821/P_1_maxW</f>
        <v>-2.2043494981578089</v>
      </c>
      <c r="AH2823" s="132"/>
      <c r="AI2823" s="146"/>
      <c r="AJ2823" s="143">
        <f>'Valve Sizing'!$G$8*AJ2821/P_1_maxW</f>
        <v>-3.8507806352929479</v>
      </c>
      <c r="AK2823" s="132"/>
      <c r="AL2823" s="146"/>
      <c r="AM2823" s="143">
        <f>'Valve Sizing'!$G$8*AM2821/P_1_maxW</f>
        <v>-5.4764051841845713</v>
      </c>
      <c r="AN2823" s="132"/>
      <c r="AO2823" s="146"/>
      <c r="AP2823" s="143">
        <f>'Valve Sizing'!$G$8*AP2821/P_1_maxW</f>
        <v>-6.9352320928544291</v>
      </c>
      <c r="AQ2823" s="132"/>
      <c r="AR2823" s="146"/>
      <c r="AS2823" s="143">
        <f>'Valve Sizing'!$G$8*AS2821/P_1_maxW</f>
        <v>-8.7510570827072129</v>
      </c>
      <c r="AT2823" s="132"/>
      <c r="AU2823" s="146"/>
    </row>
    <row r="2824" spans="13:47" x14ac:dyDescent="0.25">
      <c r="M2824" s="20"/>
      <c r="N2824" s="20"/>
      <c r="O2824" s="7" t="s">
        <v>190</v>
      </c>
      <c r="P2824" s="1"/>
      <c r="Q2824" s="7"/>
      <c r="R2824" s="181">
        <f>R2821-R2822</f>
        <v>50.384368624454098</v>
      </c>
      <c r="S2824" s="132"/>
      <c r="T2824" s="146"/>
      <c r="U2824" s="138">
        <f>U2821-U2822</f>
        <v>46.00739363358143</v>
      </c>
      <c r="V2824" s="132"/>
      <c r="W2824" s="146"/>
      <c r="X2824" s="138">
        <f>X2821-X2822</f>
        <v>22.905208451342801</v>
      </c>
      <c r="Y2824" s="132"/>
      <c r="Z2824" s="146"/>
      <c r="AA2824" s="138">
        <f>AA2821-AA2822</f>
        <v>-54.250285934743133</v>
      </c>
      <c r="AB2824" s="132"/>
      <c r="AC2824" s="146"/>
      <c r="AD2824" s="138">
        <f>AD2821-AD2822</f>
        <v>-232.86886917605185</v>
      </c>
      <c r="AE2824" s="132"/>
      <c r="AF2824" s="146"/>
      <c r="AG2824" s="138">
        <f>AG2821-AG2822</f>
        <v>-506.97157067399064</v>
      </c>
      <c r="AH2824" s="132"/>
      <c r="AI2824" s="146"/>
      <c r="AJ2824" s="138">
        <f>AJ2821-AJ2822</f>
        <v>-848.28415444166092</v>
      </c>
      <c r="AK2824" s="132"/>
      <c r="AL2824" s="146"/>
      <c r="AM2824" s="138">
        <f>AM2821-AM2822</f>
        <v>-1185.2834388355466</v>
      </c>
      <c r="AN2824" s="132"/>
      <c r="AO2824" s="146"/>
      <c r="AP2824" s="138">
        <f>AP2821-AP2822</f>
        <v>-1487.7048218120053</v>
      </c>
      <c r="AQ2824" s="132"/>
      <c r="AR2824" s="146"/>
      <c r="AS2824" s="138">
        <f>AS2821-AS2822</f>
        <v>-1864.1335135306113</v>
      </c>
      <c r="AT2824" s="132"/>
      <c r="AU2824" s="146"/>
    </row>
    <row r="2825" spans="13:47" ht="14.5" x14ac:dyDescent="0.35">
      <c r="M2825" s="27"/>
      <c r="N2825" s="27"/>
      <c r="O2825" s="2" t="s">
        <v>191</v>
      </c>
      <c r="P2825" s="10"/>
      <c r="Q2825" s="2"/>
      <c r="R2825" s="181">
        <f>R2824/R2821</f>
        <v>0.50191448444474485</v>
      </c>
      <c r="S2825" s="132"/>
      <c r="T2825" s="146"/>
      <c r="U2825" s="138">
        <f>U2824/U2821</f>
        <v>0.47920677660693189</v>
      </c>
      <c r="V2825" s="132"/>
      <c r="W2825" s="146"/>
      <c r="X2825" s="138">
        <f>X2824/X2821</f>
        <v>0.31417794335818711</v>
      </c>
      <c r="Y2825" s="132"/>
      <c r="Z2825" s="146"/>
      <c r="AA2825" s="138">
        <f>AA2824/AA2821</f>
        <v>12.763914420741614</v>
      </c>
      <c r="AB2825" s="132"/>
      <c r="AC2825" s="146"/>
      <c r="AD2825" s="138">
        <f>AD2824/AD2821</f>
        <v>1.2734199660406054</v>
      </c>
      <c r="AE2825" s="132"/>
      <c r="AF2825" s="146"/>
      <c r="AG2825" s="138">
        <f>AG2824/AG2821</f>
        <v>1.1094159969869781</v>
      </c>
      <c r="AH2825" s="132"/>
      <c r="AI2825" s="146"/>
      <c r="AJ2825" s="138">
        <f>AJ2824/AJ2821</f>
        <v>1.0626343385645318</v>
      </c>
      <c r="AK2825" s="132"/>
      <c r="AL2825" s="146"/>
      <c r="AM2825" s="138">
        <f>AM2824/AM2821</f>
        <v>1.0440418650441028</v>
      </c>
      <c r="AN2825" s="132"/>
      <c r="AO2825" s="146"/>
      <c r="AP2825" s="138">
        <f>AP2824/AP2821</f>
        <v>1.0347776534107904</v>
      </c>
      <c r="AQ2825" s="132"/>
      <c r="AR2825" s="146"/>
      <c r="AS2825" s="138">
        <f>AS2824/AS2821</f>
        <v>1.027561367246169</v>
      </c>
      <c r="AT2825" s="132"/>
      <c r="AU2825" s="146"/>
    </row>
    <row r="2826" spans="13:47" x14ac:dyDescent="0.25">
      <c r="M2826" s="27"/>
      <c r="N2826" s="27"/>
      <c r="O2826" s="2" t="s">
        <v>26</v>
      </c>
      <c r="P2826" s="7">
        <v>12</v>
      </c>
      <c r="Q2826" s="2"/>
      <c r="R2826" s="181">
        <f>1-R2825/(3*F_GAMMA*R$29)</f>
        <v>0.73859718499852378</v>
      </c>
      <c r="S2826" s="133"/>
      <c r="T2826" s="146"/>
      <c r="U2826" s="138">
        <f>1-U2825/(3*F_GAMMA*U$29)</f>
        <v>0.75047856995501594</v>
      </c>
      <c r="V2826" s="133"/>
      <c r="W2826" s="146"/>
      <c r="X2826" s="138">
        <f>1-X2825/(3*F_GAMMA*X$29)</f>
        <v>0.83395442153706445</v>
      </c>
      <c r="Y2826" s="133"/>
      <c r="Z2826" s="146"/>
      <c r="AA2826" s="138">
        <f>1-AA2825/(3*F_GAMMA*AA$29)</f>
        <v>-5.8383265167990599</v>
      </c>
      <c r="AB2826" s="133"/>
      <c r="AC2826" s="146"/>
      <c r="AD2826" s="138">
        <f>1-AD2825/(3*F_GAMMA*AD$29)</f>
        <v>0.29905374196339451</v>
      </c>
      <c r="AE2826" s="133"/>
      <c r="AF2826" s="146"/>
      <c r="AG2826" s="138">
        <f>1-AG2825/(3*F_GAMMA*AG$29)</f>
        <v>0.3544950733422022</v>
      </c>
      <c r="AH2826" s="133"/>
      <c r="AI2826" s="146"/>
      <c r="AJ2826" s="138">
        <f>1-AJ2825/(3*F_GAMMA*AJ$29)</f>
        <v>0.33904453779454535</v>
      </c>
      <c r="AK2826" s="133"/>
      <c r="AL2826" s="146"/>
      <c r="AM2826" s="138">
        <f>1-AM2825/(3*F_GAMMA*AM$29)</f>
        <v>0.29047429904583932</v>
      </c>
      <c r="AN2826" s="133"/>
      <c r="AO2826" s="146"/>
      <c r="AP2826" s="138">
        <f>1-AP2825/(3*F_GAMMA*AP$29)</f>
        <v>0.41885666029391255</v>
      </c>
      <c r="AQ2826" s="133"/>
      <c r="AR2826" s="146"/>
      <c r="AS2826" s="138">
        <f>1-AS2825/(3*F_GAMMA*AS$29)</f>
        <v>0.12392634162503235</v>
      </c>
      <c r="AT2826" s="133"/>
      <c r="AU2826" s="146"/>
    </row>
    <row r="2827" spans="13:47" x14ac:dyDescent="0.25">
      <c r="M2827" s="27"/>
      <c r="N2827" s="27"/>
      <c r="O2827" s="2" t="s">
        <v>71</v>
      </c>
      <c r="P2827" s="85">
        <v>5</v>
      </c>
      <c r="Q2827" s="2"/>
      <c r="R2827" s="179">
        <f>R2819/((N_6*R$27*R2826)*SQRT(R2825*R2821*R2823))</f>
        <v>2.5515446783637321</v>
      </c>
      <c r="S2827" s="133"/>
      <c r="T2827" s="146"/>
      <c r="U2827" s="143">
        <f>U2819/((N_6*U$27*U2826)*SQRT(U2825*U2821*U2823))</f>
        <v>15.357078909266381</v>
      </c>
      <c r="V2827" s="133"/>
      <c r="W2827" s="146"/>
      <c r="X2827" s="143">
        <f>X2819/((N_6*X$27*X2826)*SQRT(X2825*X2821*X2823))</f>
        <v>55.709695718124344</v>
      </c>
      <c r="Y2827" s="133"/>
      <c r="Z2827" s="146"/>
      <c r="AA2827" s="143">
        <f>AA2819/((N_6*AA$27*AA2826)*SQRT(AA2825*AA2821*AA2823))</f>
        <v>-41.95112967684264</v>
      </c>
      <c r="AB2827" s="133"/>
      <c r="AC2827" s="146"/>
      <c r="AD2827" s="143">
        <f>AD2819/((N_6*AD$27*AD2826)*SQRT(AD2825*AD2821*AD2823))</f>
        <v>100.29531606784624</v>
      </c>
      <c r="AE2827" s="133"/>
      <c r="AF2827" s="146"/>
      <c r="AG2827" s="143">
        <f>AG2819/((N_6*AG$27*AG2826)*SQRT(AG2825*AG2821*AG2823))</f>
        <v>51.976416207688878</v>
      </c>
      <c r="AH2827" s="133"/>
      <c r="AI2827" s="146"/>
      <c r="AJ2827" s="143">
        <f>AJ2819/((N_6*AJ$27*AJ2826)*SQRT(AJ2825*AJ2821*AJ2823))</f>
        <v>41.746425215178697</v>
      </c>
      <c r="AK2827" s="133"/>
      <c r="AL2827" s="146"/>
      <c r="AM2827" s="143">
        <f>AM2819/((N_6*AM$27*AM2826)*SQRT(AM2825*AM2821*AM2823))</f>
        <v>43.021022538519354</v>
      </c>
      <c r="AN2827" s="133"/>
      <c r="AO2827" s="146"/>
      <c r="AP2827" s="143">
        <f>AP2819/((N_6*AP$27*AP2826)*SQRT(AP2825*AP2821*AP2823))</f>
        <v>29.990400072664499</v>
      </c>
      <c r="AQ2827" s="133"/>
      <c r="AR2827" s="146"/>
      <c r="AS2827" s="143">
        <f>AS2819/((N_6*AS$27*AS2826)*SQRT(AS2825*AS2821*AS2823))</f>
        <v>118.17529782507333</v>
      </c>
      <c r="AT2827" s="133"/>
      <c r="AU2827" s="146"/>
    </row>
    <row r="2828" spans="13:47" x14ac:dyDescent="0.25">
      <c r="M2828" s="27"/>
      <c r="N2828" s="27"/>
      <c r="O2828" s="2" t="s">
        <v>73</v>
      </c>
      <c r="P2828" s="85">
        <v>5</v>
      </c>
      <c r="Q2828" s="2"/>
      <c r="R2828" s="179">
        <f>R2819/((N_6*R$27*0.667)*SQRT(R2829*R2821*R2823))</f>
        <v>2.5020774507578469</v>
      </c>
      <c r="S2828" s="133"/>
      <c r="T2828" s="155"/>
      <c r="U2828" s="143">
        <f>U2819/((N_6*U$27*0.667)*SQRT(U2829*U2821*U2823))</f>
        <v>14.949808515479724</v>
      </c>
      <c r="V2828" s="133"/>
      <c r="W2828" s="155"/>
      <c r="X2828" s="143">
        <f>X2819/((N_6*X$27*0.667)*SQRT(X2829*X2821*X2823))</f>
        <v>49.161095623893566</v>
      </c>
      <c r="Y2828" s="133"/>
      <c r="Z2828" s="155"/>
      <c r="AA2828" s="143">
        <f>AA2819/((N_6*AA$27*0.667)*SQRT(AA2829*AA2821*AA2823))</f>
        <v>1663.1895604139361</v>
      </c>
      <c r="AB2828" s="133"/>
      <c r="AC2828" s="155"/>
      <c r="AD2828" s="143">
        <f>AD2819/((N_6*AD$27*0.667)*SQRT(AD2829*AD2821*AD2823))</f>
        <v>65.208925877229262</v>
      </c>
      <c r="AE2828" s="133"/>
      <c r="AF2828" s="155"/>
      <c r="AG2828" s="143">
        <f>AG2819/((N_6*AG$27*0.667)*SQRT(AG2829*AG2821*AG2823))</f>
        <v>38.441569373435115</v>
      </c>
      <c r="AH2828" s="133"/>
      <c r="AI2828" s="155"/>
      <c r="AJ2828" s="143">
        <f>AJ2819/((N_6*AJ$27*0.667)*SQRT(AJ2829*AJ2821*AJ2823))</f>
        <v>29.88112441939975</v>
      </c>
      <c r="AK2828" s="133"/>
      <c r="AL2828" s="155"/>
      <c r="AM2828" s="143">
        <f>AM2819/((N_6*AM$27*0.667)*SQRT(AM2829*AM2821*AM2823))</f>
        <v>27.334258684126763</v>
      </c>
      <c r="AN2828" s="133"/>
      <c r="AO2828" s="155"/>
      <c r="AP2828" s="143">
        <f>AP2819/((N_6*AP$27*0.667)*SQRT(AP2829*AP2821*AP2823))</f>
        <v>24.867041021150353</v>
      </c>
      <c r="AQ2828" s="133"/>
      <c r="AR2828" s="155"/>
      <c r="AS2828" s="143">
        <f>AS2819/((N_6*AS$27*0.667)*SQRT(AS2829*AS2821*AS2823))</f>
        <v>35.595527997235166</v>
      </c>
      <c r="AT2828" s="133"/>
      <c r="AU2828" s="155"/>
    </row>
    <row r="2829" spans="13:47" ht="15.5" x14ac:dyDescent="0.4">
      <c r="M2829" s="27"/>
      <c r="N2829" s="27"/>
      <c r="O2829" s="2" t="s">
        <v>192</v>
      </c>
      <c r="P2829" s="85">
        <v>10</v>
      </c>
      <c r="Q2829" s="2"/>
      <c r="R2829" s="181">
        <f>F_GAMMA*R$29</f>
        <v>0.64002688015162901</v>
      </c>
      <c r="S2829" s="133"/>
      <c r="T2829" s="155"/>
      <c r="U2829" s="138">
        <f>F_GAMMA*U$29</f>
        <v>0.64016782916606918</v>
      </c>
      <c r="V2829" s="133"/>
      <c r="W2829" s="155"/>
      <c r="X2829" s="138">
        <f>F_GAMMA*X$29</f>
        <v>0.6307062319203669</v>
      </c>
      <c r="Y2829" s="133"/>
      <c r="Z2829" s="155"/>
      <c r="AA2829" s="138">
        <f>F_GAMMA*AA$29</f>
        <v>0.62217534213893466</v>
      </c>
      <c r="AB2829" s="133"/>
      <c r="AC2829" s="155"/>
      <c r="AD2829" s="138">
        <f>F_GAMMA*AD$29</f>
        <v>0.60557184969146072</v>
      </c>
      <c r="AE2829" s="133"/>
      <c r="AF2829" s="155"/>
      <c r="AG2829" s="138">
        <f>F_GAMMA*AG$29</f>
        <v>0.57289312142622573</v>
      </c>
      <c r="AH2829" s="133"/>
      <c r="AI2829" s="155"/>
      <c r="AJ2829" s="138">
        <f>F_GAMMA*AJ$29</f>
        <v>0.53590819116049981</v>
      </c>
      <c r="AK2829" s="133"/>
      <c r="AL2829" s="155"/>
      <c r="AM2829" s="138">
        <f>F_GAMMA*AM$29</f>
        <v>0.49048815926850342</v>
      </c>
      <c r="AN2829" s="133"/>
      <c r="AO2829" s="155"/>
      <c r="AP2829" s="138">
        <f>F_GAMMA*AP$29</f>
        <v>0.59352979016280105</v>
      </c>
      <c r="AQ2829" s="133"/>
      <c r="AR2829" s="155"/>
      <c r="AS2829" s="138">
        <f>F_GAMMA*AS$29</f>
        <v>0.39097221161068291</v>
      </c>
      <c r="AT2829" s="133"/>
      <c r="AU2829" s="155"/>
    </row>
    <row r="2830" spans="13:47" x14ac:dyDescent="0.25">
      <c r="M2830" s="27"/>
      <c r="N2830" s="27"/>
      <c r="O2830" s="2" t="s">
        <v>193</v>
      </c>
      <c r="P2830" s="134"/>
      <c r="Q2830" s="2"/>
      <c r="R2830" s="181">
        <f>IF(R2825&lt;R2829,R2827,R2828)</f>
        <v>2.5515446783637321</v>
      </c>
      <c r="S2830" s="133"/>
      <c r="T2830" s="155"/>
      <c r="U2830" s="138">
        <f>IF(U2825&lt;U2829,U2827,U2828)</f>
        <v>15.357078909266381</v>
      </c>
      <c r="V2830" s="133"/>
      <c r="W2830" s="155"/>
      <c r="X2830" s="138">
        <f>IF(X2825&lt;X2829,X2827,X2828)</f>
        <v>55.709695718124344</v>
      </c>
      <c r="Y2830" s="133"/>
      <c r="Z2830" s="155"/>
      <c r="AA2830" s="138">
        <f>IF(AA2825&lt;AA2829,AA2827,AA2828)</f>
        <v>1663.1895604139361</v>
      </c>
      <c r="AB2830" s="133"/>
      <c r="AC2830" s="155"/>
      <c r="AD2830" s="138">
        <f>IF(AD2825&lt;AD2829,AD2827,AD2828)</f>
        <v>65.208925877229262</v>
      </c>
      <c r="AE2830" s="133"/>
      <c r="AF2830" s="155"/>
      <c r="AG2830" s="138">
        <f>IF(AG2825&lt;AG2829,AG2827,AG2828)</f>
        <v>38.441569373435115</v>
      </c>
      <c r="AH2830" s="133"/>
      <c r="AI2830" s="155"/>
      <c r="AJ2830" s="138">
        <f>IF(AJ2825&lt;AJ2829,AJ2827,AJ2828)</f>
        <v>29.88112441939975</v>
      </c>
      <c r="AK2830" s="133"/>
      <c r="AL2830" s="155"/>
      <c r="AM2830" s="138">
        <f>IF(AM2825&lt;AM2829,AM2827,AM2828)</f>
        <v>27.334258684126763</v>
      </c>
      <c r="AN2830" s="133"/>
      <c r="AO2830" s="155"/>
      <c r="AP2830" s="138">
        <f>IF(AP2825&lt;AP2829,AP2827,AP2828)</f>
        <v>24.867041021150353</v>
      </c>
      <c r="AQ2830" s="133"/>
      <c r="AR2830" s="155"/>
      <c r="AS2830" s="138">
        <f>IF(AS2825&lt;AS2829,AS2827,AS2828)</f>
        <v>35.595527997235166</v>
      </c>
      <c r="AT2830" s="133"/>
      <c r="AU2830" s="155"/>
    </row>
    <row r="2831" spans="13:47" ht="13" x14ac:dyDescent="0.3">
      <c r="M2831" s="28"/>
      <c r="N2831" s="28"/>
      <c r="O2831" s="9" t="s">
        <v>194</v>
      </c>
      <c r="P2831" s="1"/>
      <c r="Q2831" s="1"/>
      <c r="R2831" s="135"/>
      <c r="S2831" s="132">
        <f>IF(R2824&lt;=0,W_max,ABS(R$23-R2830))</f>
        <v>0.55154467836373211</v>
      </c>
      <c r="T2831" s="151">
        <f>R2819</f>
        <v>589.16870096687876</v>
      </c>
      <c r="U2831" s="135"/>
      <c r="V2831" s="132">
        <f>IF(U2824&lt;=0,W_max,ABS(U$23-U2830))</f>
        <v>10.357078909266381</v>
      </c>
      <c r="W2831" s="151">
        <f>U2819</f>
        <v>3365.0458722870421</v>
      </c>
      <c r="X2831" s="135"/>
      <c r="Y2831" s="132">
        <f>IF(X2824&lt;=0,W_max,ABS(X$23-X2830))</f>
        <v>45.709695718124344</v>
      </c>
      <c r="Z2831" s="151">
        <f>X2819</f>
        <v>8322.1588873187848</v>
      </c>
      <c r="AA2831" s="135"/>
      <c r="AB2831" s="132">
        <f>IF(AA2824&lt;=0,W_max,ABS(AA$23-AA2830))</f>
        <v>7174</v>
      </c>
      <c r="AC2831" s="151">
        <f>AA2819</f>
        <v>16209.441319611869</v>
      </c>
      <c r="AD2831" s="135"/>
      <c r="AE2831" s="132">
        <f>IF(AD2824&lt;=0,W_max,ABS(AD$23-AD2830))</f>
        <v>7174</v>
      </c>
      <c r="AF2831" s="151">
        <f>AD2819</f>
        <v>26658.563008544781</v>
      </c>
      <c r="AG2831" s="135"/>
      <c r="AH2831" s="132">
        <f>IF(AG2824&lt;=0,W_max,ABS(AG$23-AG2830))</f>
        <v>7174</v>
      </c>
      <c r="AI2831" s="151">
        <f>AG2819</f>
        <v>37390.686960136372</v>
      </c>
      <c r="AJ2831" s="135"/>
      <c r="AK2831" s="132">
        <f>IF(AJ2824&lt;=0,W_max,ABS(AJ$23-AJ2830))</f>
        <v>7174</v>
      </c>
      <c r="AL2831" s="151">
        <f>AJ2819</f>
        <v>47476.250765695615</v>
      </c>
      <c r="AM2831" s="135"/>
      <c r="AN2831" s="132">
        <f>IF(AM2824&lt;=0,W_max,ABS(AM$23-AM2830))</f>
        <v>7174</v>
      </c>
      <c r="AO2831" s="151">
        <f>AM2819</f>
        <v>55669.637788897089</v>
      </c>
      <c r="AP2831" s="135"/>
      <c r="AQ2831" s="132">
        <f>IF(AP2824&lt;=0,W_max,ABS(AP$23-AP2830))</f>
        <v>7174</v>
      </c>
      <c r="AR2831" s="151">
        <f>AP2819</f>
        <v>62108.852751395832</v>
      </c>
      <c r="AS2831" s="135"/>
      <c r="AT2831" s="132">
        <f>IF(AS2824&lt;=0,W_max,ABS(AS$23-AS2830))</f>
        <v>7174</v>
      </c>
      <c r="AU2831" s="151">
        <f>AS2819</f>
        <v>69292.881062429384</v>
      </c>
    </row>
    <row r="2832" spans="13:47" ht="13" x14ac:dyDescent="0.25">
      <c r="M2832" s="12"/>
      <c r="N2832" s="12"/>
      <c r="O2832" s="2"/>
      <c r="P2832" s="85"/>
      <c r="Q2832" s="2"/>
      <c r="R2832" s="18"/>
      <c r="S2832" s="150"/>
      <c r="T2832" s="152"/>
      <c r="U2832" s="157"/>
      <c r="V2832" s="1"/>
      <c r="W2832" s="147"/>
      <c r="X2832" s="157"/>
      <c r="Y2832" s="1"/>
      <c r="Z2832" s="147"/>
      <c r="AA2832" s="157"/>
      <c r="AB2832" s="1"/>
      <c r="AC2832" s="147"/>
      <c r="AD2832" s="157"/>
      <c r="AE2832" s="1"/>
      <c r="AF2832" s="147"/>
      <c r="AG2832" s="157"/>
      <c r="AH2832" s="1"/>
      <c r="AI2832" s="147"/>
      <c r="AJ2832" s="157"/>
      <c r="AK2832" s="1"/>
      <c r="AL2832" s="147"/>
      <c r="AM2832" s="157"/>
      <c r="AN2832" s="1"/>
      <c r="AO2832" s="147"/>
      <c r="AP2832" s="157"/>
      <c r="AQ2832" s="1"/>
      <c r="AR2832" s="147"/>
      <c r="AS2832" s="157"/>
      <c r="AT2832" s="1"/>
      <c r="AU2832" s="147"/>
    </row>
    <row r="2833" spans="13:47" ht="14" x14ac:dyDescent="0.3">
      <c r="M2833" s="23"/>
      <c r="N2833" s="23"/>
      <c r="O2833" s="23" t="s">
        <v>238</v>
      </c>
      <c r="P2833" s="20"/>
      <c r="Q2833" s="20"/>
      <c r="R2833" s="181">
        <f>R2819*1.02</f>
        <v>600.9520749862163</v>
      </c>
      <c r="S2833" s="128" t="s">
        <v>185</v>
      </c>
      <c r="T2833" s="153" t="s">
        <v>186</v>
      </c>
      <c r="U2833" s="143">
        <f>U2819*1.01</f>
        <v>3398.6963310099127</v>
      </c>
      <c r="V2833" s="128" t="s">
        <v>185</v>
      </c>
      <c r="W2833" s="153" t="s">
        <v>186</v>
      </c>
      <c r="X2833" s="143">
        <f>X2819*1.01</f>
        <v>8405.3804761919728</v>
      </c>
      <c r="Y2833" s="128" t="s">
        <v>185</v>
      </c>
      <c r="Z2833" s="153" t="s">
        <v>186</v>
      </c>
      <c r="AA2833" s="143">
        <f>AA2819*1.01</f>
        <v>16371.535732807988</v>
      </c>
      <c r="AB2833" s="128" t="s">
        <v>185</v>
      </c>
      <c r="AC2833" s="153" t="s">
        <v>186</v>
      </c>
      <c r="AD2833" s="143">
        <f>AD2819*1.01</f>
        <v>26925.148638630228</v>
      </c>
      <c r="AE2833" s="128" t="s">
        <v>185</v>
      </c>
      <c r="AF2833" s="153" t="s">
        <v>186</v>
      </c>
      <c r="AG2833" s="143">
        <f>AG2819*1.01</f>
        <v>37764.593829737736</v>
      </c>
      <c r="AH2833" s="128" t="s">
        <v>185</v>
      </c>
      <c r="AI2833" s="153" t="s">
        <v>186</v>
      </c>
      <c r="AJ2833" s="143">
        <f>AJ2819*1.01</f>
        <v>47951.013273352568</v>
      </c>
      <c r="AK2833" s="128" t="s">
        <v>185</v>
      </c>
      <c r="AL2833" s="153" t="s">
        <v>186</v>
      </c>
      <c r="AM2833" s="143">
        <f>AM2819*1.01</f>
        <v>56226.334166786059</v>
      </c>
      <c r="AN2833" s="128" t="s">
        <v>185</v>
      </c>
      <c r="AO2833" s="153" t="s">
        <v>186</v>
      </c>
      <c r="AP2833" s="143">
        <f>AP2819*1.01</f>
        <v>62729.941278909791</v>
      </c>
      <c r="AQ2833" s="128" t="s">
        <v>185</v>
      </c>
      <c r="AR2833" s="153" t="s">
        <v>186</v>
      </c>
      <c r="AS2833" s="143">
        <f>AS2819*1.01</f>
        <v>69985.809873053673</v>
      </c>
      <c r="AT2833" s="128" t="s">
        <v>185</v>
      </c>
      <c r="AU2833" s="153" t="s">
        <v>186</v>
      </c>
    </row>
    <row r="2834" spans="13:47" ht="14" x14ac:dyDescent="0.3">
      <c r="M2834" s="12"/>
      <c r="N2834" s="12"/>
      <c r="O2834" s="20"/>
      <c r="P2834" s="20"/>
      <c r="Q2834" s="23"/>
      <c r="R2834" s="139"/>
      <c r="S2834" s="130" t="s">
        <v>228</v>
      </c>
      <c r="T2834" s="154" t="s">
        <v>187</v>
      </c>
      <c r="U2834" s="144"/>
      <c r="V2834" s="130" t="s">
        <v>228</v>
      </c>
      <c r="W2834" s="154" t="s">
        <v>187</v>
      </c>
      <c r="X2834" s="144"/>
      <c r="Y2834" s="130" t="s">
        <v>228</v>
      </c>
      <c r="Z2834" s="154" t="s">
        <v>187</v>
      </c>
      <c r="AA2834" s="144"/>
      <c r="AB2834" s="130" t="s">
        <v>228</v>
      </c>
      <c r="AC2834" s="154" t="s">
        <v>187</v>
      </c>
      <c r="AD2834" s="144"/>
      <c r="AE2834" s="130" t="s">
        <v>228</v>
      </c>
      <c r="AF2834" s="154" t="s">
        <v>187</v>
      </c>
      <c r="AG2834" s="144"/>
      <c r="AH2834" s="130" t="s">
        <v>228</v>
      </c>
      <c r="AI2834" s="154" t="s">
        <v>187</v>
      </c>
      <c r="AJ2834" s="144"/>
      <c r="AK2834" s="130" t="s">
        <v>228</v>
      </c>
      <c r="AL2834" s="154" t="s">
        <v>187</v>
      </c>
      <c r="AM2834" s="144"/>
      <c r="AN2834" s="130" t="s">
        <v>228</v>
      </c>
      <c r="AO2834" s="154" t="s">
        <v>187</v>
      </c>
      <c r="AP2834" s="144"/>
      <c r="AQ2834" s="130" t="s">
        <v>228</v>
      </c>
      <c r="AR2834" s="154" t="s">
        <v>187</v>
      </c>
      <c r="AS2834" s="144"/>
      <c r="AT2834" s="130" t="s">
        <v>228</v>
      </c>
      <c r="AU2834" s="154" t="s">
        <v>187</v>
      </c>
    </row>
    <row r="2835" spans="13:47" x14ac:dyDescent="0.25">
      <c r="M2835" s="20"/>
      <c r="N2835" s="20"/>
      <c r="O2835" s="7" t="s">
        <v>188</v>
      </c>
      <c r="P2835" s="7"/>
      <c r="Q2835" s="7"/>
      <c r="R2835" s="181">
        <f>P_1_minW-(R2833^2*R_up)+dpup_minQ</f>
        <v>100.37877653271829</v>
      </c>
      <c r="S2835" s="132"/>
      <c r="T2835" s="145"/>
      <c r="U2835" s="138">
        <f>P_1_minW-(U2833^2*R_up)+dpup_minQ</f>
        <v>95.91663423220821</v>
      </c>
      <c r="V2835" s="132"/>
      <c r="W2835" s="145"/>
      <c r="X2835" s="138">
        <f>P_1_minW-(X2833^2*R_up)+dpup_minQ</f>
        <v>72.350095127806583</v>
      </c>
      <c r="Y2835" s="132"/>
      <c r="Z2835" s="145"/>
      <c r="AA2835" s="138">
        <f>P_1_minW-(AA2833^2*R_up)+dpup_minQ</f>
        <v>-6.3562246954396935</v>
      </c>
      <c r="AB2835" s="132"/>
      <c r="AC2835" s="145"/>
      <c r="AD2835" s="138">
        <f>P_1_minW-(AD2833^2*R_up)+dpup_minQ</f>
        <v>-188.56504145989865</v>
      </c>
      <c r="AE2835" s="132"/>
      <c r="AF2835" s="145"/>
      <c r="AG2835" s="138">
        <f>P_1_minW-(AG2833^2*R_up)+dpup_minQ</f>
        <v>-468.17720725794618</v>
      </c>
      <c r="AH2835" s="132"/>
      <c r="AI2835" s="145"/>
      <c r="AJ2835" s="138">
        <f>P_1_minW-(AJ2833^2*R_up)+dpup_minQ</f>
        <v>-816.35017395934642</v>
      </c>
      <c r="AK2835" s="132"/>
      <c r="AL2835" s="145"/>
      <c r="AM2835" s="138">
        <f>P_1_minW-(AM2833^2*R_up)+dpup_minQ</f>
        <v>-1160.1231439695491</v>
      </c>
      <c r="AN2835" s="132"/>
      <c r="AO2835" s="145"/>
      <c r="AP2835" s="138">
        <f>P_1_minW-(AP2833^2*R_up)+dpup_minQ</f>
        <v>-1468.6231967438348</v>
      </c>
      <c r="AQ2835" s="132"/>
      <c r="AR2835" s="145"/>
      <c r="AS2835" s="138">
        <f>P_1_minW-(AS2833^2*R_up)+dpup_minQ</f>
        <v>-1852.6181051659846</v>
      </c>
      <c r="AT2835" s="132"/>
      <c r="AU2835" s="145"/>
    </row>
    <row r="2836" spans="13:47" x14ac:dyDescent="0.25">
      <c r="M2836" s="20"/>
      <c r="N2836" s="20"/>
      <c r="O2836" s="7" t="s">
        <v>189</v>
      </c>
      <c r="P2836" s="1"/>
      <c r="Q2836" s="7"/>
      <c r="R2836" s="181">
        <f>P_2_minW+(R2833^2*R_dn)-dpdn_minQ</f>
        <v>50</v>
      </c>
      <c r="S2836" s="132"/>
      <c r="T2836" s="146"/>
      <c r="U2836" s="138">
        <f>P_2_minW+(U2833^2*R_dn)-dpdn_minQ</f>
        <v>50</v>
      </c>
      <c r="V2836" s="132"/>
      <c r="W2836" s="146"/>
      <c r="X2836" s="138">
        <f>P_2_minW+(X2833^2*R_dn)-dpdn_minQ</f>
        <v>50</v>
      </c>
      <c r="Y2836" s="132"/>
      <c r="Z2836" s="146"/>
      <c r="AA2836" s="138">
        <f>P_2_minW+(AA2833^2*R_dn)-dpdn_minQ</f>
        <v>50</v>
      </c>
      <c r="AB2836" s="132"/>
      <c r="AC2836" s="146"/>
      <c r="AD2836" s="138">
        <f>P_2_minW+(AD2833^2*R_dn)-dpdn_minQ</f>
        <v>50</v>
      </c>
      <c r="AE2836" s="132"/>
      <c r="AF2836" s="146"/>
      <c r="AG2836" s="138">
        <f>P_2_minW+(AG2833^2*R_dn)-dpdn_minQ</f>
        <v>50</v>
      </c>
      <c r="AH2836" s="132"/>
      <c r="AI2836" s="146"/>
      <c r="AJ2836" s="138">
        <f>P_2_minW+(AJ2833^2*R_dn)-dpdn_minQ</f>
        <v>50</v>
      </c>
      <c r="AK2836" s="132"/>
      <c r="AL2836" s="146"/>
      <c r="AM2836" s="138">
        <f>P_2_minW+(AM2833^2*R_dn)-dpdn_minQ</f>
        <v>50</v>
      </c>
      <c r="AN2836" s="132"/>
      <c r="AO2836" s="146"/>
      <c r="AP2836" s="138">
        <f>P_2_minW+(AP2833^2*R_dn)-dpdn_minQ</f>
        <v>50</v>
      </c>
      <c r="AQ2836" s="132"/>
      <c r="AR2836" s="146"/>
      <c r="AS2836" s="138">
        <f>P_2_minW+(AS2833^2*R_dn)-dpdn_minQ</f>
        <v>50</v>
      </c>
      <c r="AT2836" s="132"/>
      <c r="AU2836" s="146"/>
    </row>
    <row r="2837" spans="13:47" x14ac:dyDescent="0.25">
      <c r="M2837" s="20"/>
      <c r="N2837" s="20"/>
      <c r="O2837" s="7" t="s">
        <v>234</v>
      </c>
      <c r="P2837" s="1"/>
      <c r="Q2837" s="7"/>
      <c r="R2837" s="179">
        <f>'Valve Sizing'!G$8*R2835/P_1_maxW</f>
        <v>0.48420934665419085</v>
      </c>
      <c r="S2837" s="132"/>
      <c r="T2837" s="146"/>
      <c r="U2837" s="143">
        <f>'Valve Sizing'!$G$8*U2835/P_1_maxW</f>
        <v>0.46268476663200087</v>
      </c>
      <c r="V2837" s="132"/>
      <c r="W2837" s="146"/>
      <c r="X2837" s="143">
        <f>'Valve Sizing'!$G$8*X2835/P_1_maxW</f>
        <v>0.34900397775604453</v>
      </c>
      <c r="Y2837" s="132"/>
      <c r="Z2837" s="146"/>
      <c r="AA2837" s="143">
        <f>'Valve Sizing'!$G$8*AA2835/P_1_maxW</f>
        <v>-3.0661296274744908E-2</v>
      </c>
      <c r="AB2837" s="132"/>
      <c r="AC2837" s="146"/>
      <c r="AD2837" s="143">
        <f>'Valve Sizing'!$G$8*AD2835/P_1_maxW</f>
        <v>-0.90960418806616194</v>
      </c>
      <c r="AE2837" s="132"/>
      <c r="AF2837" s="146"/>
      <c r="AG2837" s="143">
        <f>'Valve Sizing'!$G$8*AG2835/P_1_maxW</f>
        <v>-2.2584034939981832</v>
      </c>
      <c r="AH2837" s="132"/>
      <c r="AI2837" s="146"/>
      <c r="AJ2837" s="143">
        <f>'Valve Sizing'!$G$8*AJ2835/P_1_maxW</f>
        <v>-3.9379278969897378</v>
      </c>
      <c r="AK2837" s="132"/>
      <c r="AL2837" s="146"/>
      <c r="AM2837" s="143">
        <f>'Valve Sizing'!$G$8*AM2835/P_1_maxW</f>
        <v>-5.5962274993140815</v>
      </c>
      <c r="AN2837" s="132"/>
      <c r="AO2837" s="146"/>
      <c r="AP2837" s="143">
        <f>'Valve Sizing'!$G$8*AP2835/P_1_maxW</f>
        <v>-7.084376828848205</v>
      </c>
      <c r="AQ2837" s="132"/>
      <c r="AR2837" s="146"/>
      <c r="AS2837" s="143">
        <f>'Valve Sizing'!$G$8*AS2835/P_1_maxW</f>
        <v>-8.9366999009970289</v>
      </c>
      <c r="AT2837" s="132"/>
      <c r="AU2837" s="146"/>
    </row>
    <row r="2838" spans="13:47" x14ac:dyDescent="0.25">
      <c r="M2838" s="20"/>
      <c r="N2838" s="20"/>
      <c r="O2838" s="7" t="s">
        <v>190</v>
      </c>
      <c r="P2838" s="1"/>
      <c r="Q2838" s="7"/>
      <c r="R2838" s="181">
        <f>R2835-R2836</f>
        <v>50.378776532718291</v>
      </c>
      <c r="S2838" s="132"/>
      <c r="T2838" s="146"/>
      <c r="U2838" s="138">
        <f>U2835-U2836</f>
        <v>45.91663423220821</v>
      </c>
      <c r="V2838" s="132"/>
      <c r="W2838" s="146"/>
      <c r="X2838" s="138">
        <f>X2835-X2836</f>
        <v>22.350095127806583</v>
      </c>
      <c r="Y2838" s="132"/>
      <c r="Z2838" s="146"/>
      <c r="AA2838" s="138">
        <f>AA2835-AA2836</f>
        <v>-56.356224695439693</v>
      </c>
      <c r="AB2838" s="132"/>
      <c r="AC2838" s="146"/>
      <c r="AD2838" s="138">
        <f>AD2835-AD2836</f>
        <v>-238.56504145989865</v>
      </c>
      <c r="AE2838" s="132"/>
      <c r="AF2838" s="146"/>
      <c r="AG2838" s="138">
        <f>AG2835-AG2836</f>
        <v>-518.17720725794618</v>
      </c>
      <c r="AH2838" s="132"/>
      <c r="AI2838" s="146"/>
      <c r="AJ2838" s="138">
        <f>AJ2835-AJ2836</f>
        <v>-866.35017395934642</v>
      </c>
      <c r="AK2838" s="132"/>
      <c r="AL2838" s="146"/>
      <c r="AM2838" s="138">
        <f>AM2835-AM2836</f>
        <v>-1210.1231439695491</v>
      </c>
      <c r="AN2838" s="132"/>
      <c r="AO2838" s="146"/>
      <c r="AP2838" s="138">
        <f>AP2835-AP2836</f>
        <v>-1518.6231967438348</v>
      </c>
      <c r="AQ2838" s="132"/>
      <c r="AR2838" s="146"/>
      <c r="AS2838" s="138">
        <f>AS2835-AS2836</f>
        <v>-1902.6181051659846</v>
      </c>
      <c r="AT2838" s="132"/>
      <c r="AU2838" s="146"/>
    </row>
    <row r="2839" spans="13:47" ht="14.5" x14ac:dyDescent="0.35">
      <c r="M2839" s="27"/>
      <c r="N2839" s="27"/>
      <c r="O2839" s="2" t="s">
        <v>191</v>
      </c>
      <c r="P2839" s="10"/>
      <c r="Q2839" s="2"/>
      <c r="R2839" s="181">
        <f>R2838/R2835</f>
        <v>0.5018867361498216</v>
      </c>
      <c r="S2839" s="132"/>
      <c r="T2839" s="146"/>
      <c r="U2839" s="138">
        <f>U2838/U2835</f>
        <v>0.47871398532445258</v>
      </c>
      <c r="V2839" s="132"/>
      <c r="W2839" s="146"/>
      <c r="X2839" s="138">
        <f>X2838/X2835</f>
        <v>0.30891590520130063</v>
      </c>
      <c r="Y2839" s="132"/>
      <c r="Z2839" s="146"/>
      <c r="AA2839" s="138">
        <f>AA2838/AA2835</f>
        <v>8.8663046691651353</v>
      </c>
      <c r="AB2839" s="132"/>
      <c r="AC2839" s="146"/>
      <c r="AD2839" s="138">
        <f>AD2838/AD2835</f>
        <v>1.2651604964148844</v>
      </c>
      <c r="AE2839" s="132"/>
      <c r="AF2839" s="146"/>
      <c r="AG2839" s="138">
        <f>AG2838/AG2835</f>
        <v>1.1067971683048041</v>
      </c>
      <c r="AH2839" s="132"/>
      <c r="AI2839" s="146"/>
      <c r="AJ2839" s="138">
        <f>AJ2838/AJ2835</f>
        <v>1.0612482260614915</v>
      </c>
      <c r="AK2839" s="132"/>
      <c r="AL2839" s="146"/>
      <c r="AM2839" s="138">
        <f>AM2838/AM2835</f>
        <v>1.0430988729600867</v>
      </c>
      <c r="AN2839" s="132"/>
      <c r="AO2839" s="146"/>
      <c r="AP2839" s="138">
        <f>AP2838/AP2835</f>
        <v>1.0340454924795262</v>
      </c>
      <c r="AQ2839" s="132"/>
      <c r="AR2839" s="146"/>
      <c r="AS2839" s="138">
        <f>AS2838/AS2835</f>
        <v>1.0269888326474712</v>
      </c>
      <c r="AT2839" s="132"/>
      <c r="AU2839" s="146"/>
    </row>
    <row r="2840" spans="13:47" x14ac:dyDescent="0.25">
      <c r="M2840" s="27"/>
      <c r="N2840" s="27"/>
      <c r="O2840" s="2" t="s">
        <v>26</v>
      </c>
      <c r="P2840" s="7">
        <v>12</v>
      </c>
      <c r="Q2840" s="2"/>
      <c r="R2840" s="181">
        <f>1-R2839/(3*F_GAMMA*R$29)</f>
        <v>0.73861163662849105</v>
      </c>
      <c r="S2840" s="133"/>
      <c r="T2840" s="146"/>
      <c r="U2840" s="138">
        <f>1-U2839/(3*F_GAMMA*U$29)</f>
        <v>0.75073516479365443</v>
      </c>
      <c r="V2840" s="133"/>
      <c r="W2840" s="146"/>
      <c r="X2840" s="138">
        <f>1-X2839/(3*F_GAMMA*X$29)</f>
        <v>0.83673545116732762</v>
      </c>
      <c r="Y2840" s="133"/>
      <c r="Z2840" s="146"/>
      <c r="AA2840" s="138">
        <f>1-AA2839/(3*F_GAMMA*AA$29)</f>
        <v>-3.7501639643278395</v>
      </c>
      <c r="AB2840" s="133"/>
      <c r="AC2840" s="146"/>
      <c r="AD2840" s="138">
        <f>1-AD2839/(3*F_GAMMA*AD$29)</f>
        <v>0.30360011667237374</v>
      </c>
      <c r="AE2840" s="133"/>
      <c r="AF2840" s="146"/>
      <c r="AG2840" s="138">
        <f>1-AG2839/(3*F_GAMMA*AG$29)</f>
        <v>0.35601881810612046</v>
      </c>
      <c r="AH2840" s="133"/>
      <c r="AI2840" s="146"/>
      <c r="AJ2840" s="138">
        <f>1-AJ2839/(3*F_GAMMA*AJ$29)</f>
        <v>0.33990669573248045</v>
      </c>
      <c r="AK2840" s="133"/>
      <c r="AL2840" s="146"/>
      <c r="AM2840" s="138">
        <f>1-AM2839/(3*F_GAMMA*AM$29)</f>
        <v>0.29111515181411163</v>
      </c>
      <c r="AN2840" s="133"/>
      <c r="AO2840" s="146"/>
      <c r="AP2840" s="138">
        <f>1-AP2839/(3*F_GAMMA*AP$29)</f>
        <v>0.41926785051182536</v>
      </c>
      <c r="AQ2840" s="133"/>
      <c r="AR2840" s="146"/>
      <c r="AS2840" s="138">
        <f>1-AS2839/(3*F_GAMMA*AS$29)</f>
        <v>0.12441447060342281</v>
      </c>
      <c r="AT2840" s="133"/>
      <c r="AU2840" s="146"/>
    </row>
    <row r="2841" spans="13:47" x14ac:dyDescent="0.25">
      <c r="M2841" s="27"/>
      <c r="N2841" s="27"/>
      <c r="O2841" s="2" t="s">
        <v>71</v>
      </c>
      <c r="P2841" s="85">
        <v>5</v>
      </c>
      <c r="Q2841" s="2"/>
      <c r="R2841" s="179">
        <f>R2833/((N_6*R$27*R2840)*SQRT(R2839*R2835*R2837))</f>
        <v>2.6027415836443621</v>
      </c>
      <c r="S2841" s="133"/>
      <c r="T2841" s="146"/>
      <c r="U2841" s="143">
        <f>U2833/((N_6*U$27*U2840)*SQRT(U2839*U2835*U2837))</f>
        <v>15.528006100039836</v>
      </c>
      <c r="V2841" s="133"/>
      <c r="W2841" s="146"/>
      <c r="X2841" s="143">
        <f>X2833/((N_6*X$27*X2840)*SQRT(X2839*X2835*X2837))</f>
        <v>56.989318962456643</v>
      </c>
      <c r="Y2841" s="133"/>
      <c r="Z2841" s="146"/>
      <c r="AA2841" s="143">
        <f>AA2833/((N_6*AA$27*AA2840)*SQRT(AA2839*AA2835*AA2837))</f>
        <v>-52.922783804305084</v>
      </c>
      <c r="AB2841" s="133"/>
      <c r="AC2841" s="146"/>
      <c r="AD2841" s="143">
        <f>AD2833/((N_6*AD$27*AD2840)*SQRT(AD2839*AD2835*AD2837))</f>
        <v>97.082498851390426</v>
      </c>
      <c r="AE2841" s="133"/>
      <c r="AF2841" s="146"/>
      <c r="AG2841" s="143">
        <f>AG2833/((N_6*AG$27*AG2840)*SQRT(AG2839*AG2835*AG2837))</f>
        <v>51.080726205616322</v>
      </c>
      <c r="AH2841" s="133"/>
      <c r="AI2841" s="146"/>
      <c r="AJ2841" s="143">
        <f>AJ2833/((N_6*AJ$27*AJ2840)*SQRT(AJ2839*AJ2835*AJ2837))</f>
        <v>41.153061755937827</v>
      </c>
      <c r="AK2841" s="133"/>
      <c r="AL2841" s="146"/>
      <c r="AM2841" s="143">
        <f>AM2833/((N_6*AM$27*AM2840)*SQRT(AM2839*AM2835*AM2837))</f>
        <v>42.446455995167156</v>
      </c>
      <c r="AN2841" s="133"/>
      <c r="AO2841" s="146"/>
      <c r="AP2841" s="143">
        <f>AP2833/((N_6*AP$27*AP2840)*SQRT(AP2839*AP2835*AP2837))</f>
        <v>29.634017991632959</v>
      </c>
      <c r="AQ2841" s="133"/>
      <c r="AR2841" s="146"/>
      <c r="AS2841" s="143">
        <f>AS2833/((N_6*AS$27*AS2840)*SQRT(AS2839*AS2835*AS2837))</f>
        <v>116.45152449905051</v>
      </c>
      <c r="AT2841" s="133"/>
      <c r="AU2841" s="146"/>
    </row>
    <row r="2842" spans="13:47" x14ac:dyDescent="0.25">
      <c r="M2842" s="27"/>
      <c r="N2842" s="27"/>
      <c r="O2842" s="2" t="s">
        <v>73</v>
      </c>
      <c r="P2842" s="85">
        <v>5</v>
      </c>
      <c r="Q2842" s="2"/>
      <c r="R2842" s="179">
        <f>R2833/((N_6*R$27*0.667)*SQRT(R2843*R2835*R2837))</f>
        <v>2.5522611780706517</v>
      </c>
      <c r="S2842" s="133"/>
      <c r="T2842" s="155"/>
      <c r="U2842" s="143">
        <f>U2833/((N_6*U$27*0.667)*SQRT(U2843*U2835*U2837))</f>
        <v>15.11359404972189</v>
      </c>
      <c r="V2842" s="133"/>
      <c r="W2842" s="155"/>
      <c r="X2842" s="143">
        <f>X2833/((N_6*X$27*0.667)*SQRT(X2843*X2835*X2837))</f>
        <v>50.033671925424393</v>
      </c>
      <c r="Y2842" s="133"/>
      <c r="Z2842" s="155"/>
      <c r="AA2842" s="143">
        <f>AA2833/((N_6*AA$27*0.667)*SQRT(AA2843*AA2835*AA2837))</f>
        <v>1123.264492602942</v>
      </c>
      <c r="AB2842" s="133"/>
      <c r="AC2842" s="155"/>
      <c r="AD2842" s="143">
        <f>AD2833/((N_6*AD$27*0.667)*SQRT(AD2843*AD2835*AD2837))</f>
        <v>63.871485761419727</v>
      </c>
      <c r="AE2842" s="133"/>
      <c r="AF2842" s="155"/>
      <c r="AG2842" s="143">
        <f>AG2833/((N_6*AG$27*0.667)*SQRT(AG2843*AG2835*AG2837))</f>
        <v>37.896700446021562</v>
      </c>
      <c r="AH2842" s="133"/>
      <c r="AI2842" s="155"/>
      <c r="AJ2842" s="143">
        <f>AJ2833/((N_6*AJ$27*0.667)*SQRT(AJ2843*AJ2835*AJ2837))</f>
        <v>29.51204665697227</v>
      </c>
      <c r="AK2842" s="133"/>
      <c r="AL2842" s="155"/>
      <c r="AM2842" s="143">
        <f>AM2833/((N_6*AM$27*0.667)*SQRT(AM2843*AM2835*AM2837))</f>
        <v>27.016487578777131</v>
      </c>
      <c r="AN2842" s="133"/>
      <c r="AO2842" s="155"/>
      <c r="AP2842" s="143">
        <f>AP2833/((N_6*AP$27*0.667)*SQRT(AP2843*AP2835*AP2837))</f>
        <v>24.586959751260256</v>
      </c>
      <c r="AQ2842" s="133"/>
      <c r="AR2842" s="155"/>
      <c r="AS2842" s="143">
        <f>AS2833/((N_6*AS$27*0.667)*SQRT(AS2843*AS2835*AS2837))</f>
        <v>35.204660092898131</v>
      </c>
      <c r="AT2842" s="133"/>
      <c r="AU2842" s="155"/>
    </row>
    <row r="2843" spans="13:47" ht="15.5" x14ac:dyDescent="0.4">
      <c r="M2843" s="27"/>
      <c r="N2843" s="27"/>
      <c r="O2843" s="2" t="s">
        <v>192</v>
      </c>
      <c r="P2843" s="85">
        <v>10</v>
      </c>
      <c r="Q2843" s="2"/>
      <c r="R2843" s="181">
        <f>F_GAMMA*R$29</f>
        <v>0.64002688015162901</v>
      </c>
      <c r="S2843" s="133"/>
      <c r="T2843" s="155"/>
      <c r="U2843" s="138">
        <f>F_GAMMA*U$29</f>
        <v>0.64016782916606918</v>
      </c>
      <c r="V2843" s="133"/>
      <c r="W2843" s="155"/>
      <c r="X2843" s="138">
        <f>F_GAMMA*X$29</f>
        <v>0.6307062319203669</v>
      </c>
      <c r="Y2843" s="133"/>
      <c r="Z2843" s="155"/>
      <c r="AA2843" s="138">
        <f>F_GAMMA*AA$29</f>
        <v>0.62217534213893466</v>
      </c>
      <c r="AB2843" s="133"/>
      <c r="AC2843" s="155"/>
      <c r="AD2843" s="138">
        <f>F_GAMMA*AD$29</f>
        <v>0.60557184969146072</v>
      </c>
      <c r="AE2843" s="133"/>
      <c r="AF2843" s="155"/>
      <c r="AG2843" s="138">
        <f>F_GAMMA*AG$29</f>
        <v>0.57289312142622573</v>
      </c>
      <c r="AH2843" s="133"/>
      <c r="AI2843" s="155"/>
      <c r="AJ2843" s="138">
        <f>F_GAMMA*AJ$29</f>
        <v>0.53590819116049981</v>
      </c>
      <c r="AK2843" s="133"/>
      <c r="AL2843" s="155"/>
      <c r="AM2843" s="138">
        <f>F_GAMMA*AM$29</f>
        <v>0.49048815926850342</v>
      </c>
      <c r="AN2843" s="133"/>
      <c r="AO2843" s="155"/>
      <c r="AP2843" s="138">
        <f>F_GAMMA*AP$29</f>
        <v>0.59352979016280105</v>
      </c>
      <c r="AQ2843" s="133"/>
      <c r="AR2843" s="155"/>
      <c r="AS2843" s="138">
        <f>F_GAMMA*AS$29</f>
        <v>0.39097221161068291</v>
      </c>
      <c r="AT2843" s="133"/>
      <c r="AU2843" s="155"/>
    </row>
    <row r="2844" spans="13:47" x14ac:dyDescent="0.25">
      <c r="M2844" s="27"/>
      <c r="N2844" s="27"/>
      <c r="O2844" s="2" t="s">
        <v>193</v>
      </c>
      <c r="P2844" s="134"/>
      <c r="Q2844" s="2"/>
      <c r="R2844" s="181">
        <f>IF(R2839&lt;R2843,R2841,R2842)</f>
        <v>2.6027415836443621</v>
      </c>
      <c r="S2844" s="133"/>
      <c r="T2844" s="155"/>
      <c r="U2844" s="138">
        <f>IF(U2839&lt;U2843,U2841,U2842)</f>
        <v>15.528006100039836</v>
      </c>
      <c r="V2844" s="133"/>
      <c r="W2844" s="155"/>
      <c r="X2844" s="138">
        <f>IF(X2839&lt;X2843,X2841,X2842)</f>
        <v>56.989318962456643</v>
      </c>
      <c r="Y2844" s="133"/>
      <c r="Z2844" s="155"/>
      <c r="AA2844" s="138">
        <f>IF(AA2839&lt;AA2843,AA2841,AA2842)</f>
        <v>1123.264492602942</v>
      </c>
      <c r="AB2844" s="133"/>
      <c r="AC2844" s="155"/>
      <c r="AD2844" s="138">
        <f>IF(AD2839&lt;AD2843,AD2841,AD2842)</f>
        <v>63.871485761419727</v>
      </c>
      <c r="AE2844" s="133"/>
      <c r="AF2844" s="155"/>
      <c r="AG2844" s="138">
        <f>IF(AG2839&lt;AG2843,AG2841,AG2842)</f>
        <v>37.896700446021562</v>
      </c>
      <c r="AH2844" s="133"/>
      <c r="AI2844" s="155"/>
      <c r="AJ2844" s="138">
        <f>IF(AJ2839&lt;AJ2843,AJ2841,AJ2842)</f>
        <v>29.51204665697227</v>
      </c>
      <c r="AK2844" s="133"/>
      <c r="AL2844" s="155"/>
      <c r="AM2844" s="138">
        <f>IF(AM2839&lt;AM2843,AM2841,AM2842)</f>
        <v>27.016487578777131</v>
      </c>
      <c r="AN2844" s="133"/>
      <c r="AO2844" s="155"/>
      <c r="AP2844" s="138">
        <f>IF(AP2839&lt;AP2843,AP2841,AP2842)</f>
        <v>24.586959751260256</v>
      </c>
      <c r="AQ2844" s="133"/>
      <c r="AR2844" s="155"/>
      <c r="AS2844" s="138">
        <f>IF(AS2839&lt;AS2843,AS2841,AS2842)</f>
        <v>35.204660092898131</v>
      </c>
      <c r="AT2844" s="133"/>
      <c r="AU2844" s="155"/>
    </row>
    <row r="2845" spans="13:47" ht="13" x14ac:dyDescent="0.3">
      <c r="M2845" s="28"/>
      <c r="N2845" s="28"/>
      <c r="O2845" s="9" t="s">
        <v>194</v>
      </c>
      <c r="P2845" s="1"/>
      <c r="Q2845" s="1"/>
      <c r="R2845" s="135"/>
      <c r="S2845" s="132">
        <f>IF(R2838&lt;=0,W_max,ABS(R$23-R2844))</f>
        <v>0.60274158364436214</v>
      </c>
      <c r="T2845" s="151">
        <f>R2833</f>
        <v>600.9520749862163</v>
      </c>
      <c r="U2845" s="135"/>
      <c r="V2845" s="132">
        <f>IF(U2838&lt;=0,W_max,ABS(U$23-U2844))</f>
        <v>10.528006100039836</v>
      </c>
      <c r="W2845" s="151">
        <f>U2833</f>
        <v>3398.6963310099127</v>
      </c>
      <c r="X2845" s="135"/>
      <c r="Y2845" s="132">
        <f>IF(X2838&lt;=0,W_max,ABS(X$23-X2844))</f>
        <v>46.989318962456643</v>
      </c>
      <c r="Z2845" s="151">
        <f>X2833</f>
        <v>8405.3804761919728</v>
      </c>
      <c r="AA2845" s="135"/>
      <c r="AB2845" s="132">
        <f>IF(AA2838&lt;=0,W_max,ABS(AA$23-AA2844))</f>
        <v>7174</v>
      </c>
      <c r="AC2845" s="151">
        <f>AA2833</f>
        <v>16371.535732807988</v>
      </c>
      <c r="AD2845" s="135"/>
      <c r="AE2845" s="132">
        <f>IF(AD2838&lt;=0,W_max,ABS(AD$23-AD2844))</f>
        <v>7174</v>
      </c>
      <c r="AF2845" s="151">
        <f>AD2833</f>
        <v>26925.148638630228</v>
      </c>
      <c r="AG2845" s="135"/>
      <c r="AH2845" s="132">
        <f>IF(AG2838&lt;=0,W_max,ABS(AG$23-AG2844))</f>
        <v>7174</v>
      </c>
      <c r="AI2845" s="151">
        <f>AG2833</f>
        <v>37764.593829737736</v>
      </c>
      <c r="AJ2845" s="135"/>
      <c r="AK2845" s="132">
        <f>IF(AJ2838&lt;=0,W_max,ABS(AJ$23-AJ2844))</f>
        <v>7174</v>
      </c>
      <c r="AL2845" s="151">
        <f>AJ2833</f>
        <v>47951.013273352568</v>
      </c>
      <c r="AM2845" s="135"/>
      <c r="AN2845" s="132">
        <f>IF(AM2838&lt;=0,W_max,ABS(AM$23-AM2844))</f>
        <v>7174</v>
      </c>
      <c r="AO2845" s="151">
        <f>AM2833</f>
        <v>56226.334166786059</v>
      </c>
      <c r="AP2845" s="135"/>
      <c r="AQ2845" s="132">
        <f>IF(AP2838&lt;=0,W_max,ABS(AP$23-AP2844))</f>
        <v>7174</v>
      </c>
      <c r="AR2845" s="151">
        <f>AP2833</f>
        <v>62729.941278909791</v>
      </c>
      <c r="AS2845" s="135"/>
      <c r="AT2845" s="132">
        <f>IF(AS2838&lt;=0,W_max,ABS(AS$23-AS2844))</f>
        <v>7174</v>
      </c>
      <c r="AU2845" s="151">
        <f>AS2833</f>
        <v>69985.809873053673</v>
      </c>
    </row>
    <row r="2846" spans="13:47" ht="13" x14ac:dyDescent="0.25">
      <c r="M2846" s="12"/>
      <c r="N2846" s="12"/>
      <c r="O2846" s="2"/>
      <c r="P2846" s="85"/>
      <c r="Q2846" s="2"/>
      <c r="R2846" s="18"/>
      <c r="S2846" s="150"/>
      <c r="T2846" s="148"/>
      <c r="U2846" s="157"/>
      <c r="V2846" s="1"/>
      <c r="W2846" s="147"/>
      <c r="X2846" s="157"/>
      <c r="Y2846" s="1"/>
      <c r="Z2846" s="147"/>
      <c r="AA2846" s="157"/>
      <c r="AB2846" s="1"/>
      <c r="AC2846" s="147"/>
      <c r="AD2846" s="157"/>
      <c r="AE2846" s="1"/>
      <c r="AF2846" s="147"/>
      <c r="AG2846" s="157"/>
      <c r="AH2846" s="1"/>
      <c r="AI2846" s="147"/>
      <c r="AJ2846" s="157"/>
      <c r="AK2846" s="1"/>
      <c r="AL2846" s="147"/>
      <c r="AM2846" s="157"/>
      <c r="AN2846" s="1"/>
      <c r="AO2846" s="147"/>
      <c r="AP2846" s="157"/>
      <c r="AQ2846" s="1"/>
      <c r="AR2846" s="147"/>
      <c r="AS2846" s="157"/>
      <c r="AT2846" s="1"/>
      <c r="AU2846" s="147"/>
    </row>
    <row r="2847" spans="13:47" ht="14" x14ac:dyDescent="0.3">
      <c r="M2847" s="23"/>
      <c r="N2847" s="23"/>
      <c r="O2847" s="23" t="s">
        <v>238</v>
      </c>
      <c r="P2847" s="20"/>
      <c r="Q2847" s="20"/>
      <c r="R2847" s="181">
        <f>R2833*1.02</f>
        <v>612.97111648594068</v>
      </c>
      <c r="S2847" s="128" t="s">
        <v>185</v>
      </c>
      <c r="T2847" s="149" t="s">
        <v>186</v>
      </c>
      <c r="U2847" s="143">
        <f>U2833*1.01</f>
        <v>3432.683294320012</v>
      </c>
      <c r="V2847" s="128" t="s">
        <v>185</v>
      </c>
      <c r="W2847" s="153" t="s">
        <v>186</v>
      </c>
      <c r="X2847" s="143">
        <f>X2833*1.01</f>
        <v>8489.4342809538921</v>
      </c>
      <c r="Y2847" s="128" t="s">
        <v>185</v>
      </c>
      <c r="Z2847" s="153" t="s">
        <v>186</v>
      </c>
      <c r="AA2847" s="143">
        <f>AA2833*1.01</f>
        <v>16535.251090136069</v>
      </c>
      <c r="AB2847" s="128" t="s">
        <v>185</v>
      </c>
      <c r="AC2847" s="153" t="s">
        <v>186</v>
      </c>
      <c r="AD2847" s="143">
        <f>AD2833*1.01</f>
        <v>27194.400125016531</v>
      </c>
      <c r="AE2847" s="128" t="s">
        <v>185</v>
      </c>
      <c r="AF2847" s="153" t="s">
        <v>186</v>
      </c>
      <c r="AG2847" s="143">
        <f>AG2833*1.01</f>
        <v>38142.239768035113</v>
      </c>
      <c r="AH2847" s="128" t="s">
        <v>185</v>
      </c>
      <c r="AI2847" s="153" t="s">
        <v>186</v>
      </c>
      <c r="AJ2847" s="143">
        <f>AJ2833*1.01</f>
        <v>48430.523406086097</v>
      </c>
      <c r="AK2847" s="128" t="s">
        <v>185</v>
      </c>
      <c r="AL2847" s="153" t="s">
        <v>186</v>
      </c>
      <c r="AM2847" s="143">
        <f>AM2833*1.01</f>
        <v>56788.597508453917</v>
      </c>
      <c r="AN2847" s="128" t="s">
        <v>185</v>
      </c>
      <c r="AO2847" s="153" t="s">
        <v>186</v>
      </c>
      <c r="AP2847" s="143">
        <f>AP2833*1.01</f>
        <v>63357.240691698891</v>
      </c>
      <c r="AQ2847" s="128" t="s">
        <v>185</v>
      </c>
      <c r="AR2847" s="153" t="s">
        <v>186</v>
      </c>
      <c r="AS2847" s="143">
        <f>AS2833*1.01</f>
        <v>70685.667971784205</v>
      </c>
      <c r="AT2847" s="128" t="s">
        <v>185</v>
      </c>
      <c r="AU2847" s="153" t="s">
        <v>186</v>
      </c>
    </row>
    <row r="2848" spans="13:47" ht="14" x14ac:dyDescent="0.3">
      <c r="M2848" s="12"/>
      <c r="N2848" s="12"/>
      <c r="O2848" s="20"/>
      <c r="P2848" s="20"/>
      <c r="Q2848" s="23"/>
      <c r="R2848" s="139"/>
      <c r="S2848" s="130" t="s">
        <v>228</v>
      </c>
      <c r="T2848" s="131" t="s">
        <v>187</v>
      </c>
      <c r="U2848" s="144"/>
      <c r="V2848" s="130" t="s">
        <v>228</v>
      </c>
      <c r="W2848" s="154" t="s">
        <v>187</v>
      </c>
      <c r="X2848" s="144"/>
      <c r="Y2848" s="130" t="s">
        <v>228</v>
      </c>
      <c r="Z2848" s="154" t="s">
        <v>187</v>
      </c>
      <c r="AA2848" s="144"/>
      <c r="AB2848" s="130" t="s">
        <v>228</v>
      </c>
      <c r="AC2848" s="154" t="s">
        <v>187</v>
      </c>
      <c r="AD2848" s="144"/>
      <c r="AE2848" s="130" t="s">
        <v>228</v>
      </c>
      <c r="AF2848" s="154" t="s">
        <v>187</v>
      </c>
      <c r="AG2848" s="144"/>
      <c r="AH2848" s="130" t="s">
        <v>228</v>
      </c>
      <c r="AI2848" s="154" t="s">
        <v>187</v>
      </c>
      <c r="AJ2848" s="144"/>
      <c r="AK2848" s="130" t="s">
        <v>228</v>
      </c>
      <c r="AL2848" s="154" t="s">
        <v>187</v>
      </c>
      <c r="AM2848" s="144"/>
      <c r="AN2848" s="130" t="s">
        <v>228</v>
      </c>
      <c r="AO2848" s="154" t="s">
        <v>187</v>
      </c>
      <c r="AP2848" s="144"/>
      <c r="AQ2848" s="130" t="s">
        <v>228</v>
      </c>
      <c r="AR2848" s="154" t="s">
        <v>187</v>
      </c>
      <c r="AS2848" s="144"/>
      <c r="AT2848" s="130" t="s">
        <v>228</v>
      </c>
      <c r="AU2848" s="154" t="s">
        <v>187</v>
      </c>
    </row>
    <row r="2849" spans="13:47" x14ac:dyDescent="0.25">
      <c r="M2849" s="20"/>
      <c r="N2849" s="20"/>
      <c r="O2849" s="7" t="s">
        <v>188</v>
      </c>
      <c r="P2849" s="7"/>
      <c r="Q2849" s="7"/>
      <c r="R2849" s="181">
        <f>P_1_minW-(R2847^2*R_up)+dpup_minQ</f>
        <v>100.37295852047635</v>
      </c>
      <c r="S2849" s="132"/>
      <c r="T2849" s="145"/>
      <c r="U2849" s="138">
        <f>P_1_minW-(U2847^2*R_up)+dpup_minQ</f>
        <v>95.824050566867385</v>
      </c>
      <c r="V2849" s="132"/>
      <c r="W2849" s="145"/>
      <c r="X2849" s="138">
        <f>P_1_minW-(X2847^2*R_up)+dpup_minQ</f>
        <v>71.783824026467286</v>
      </c>
      <c r="Y2849" s="132"/>
      <c r="Z2849" s="145"/>
      <c r="AA2849" s="138">
        <f>P_1_minW-(AA2847^2*R_up)+dpup_minQ</f>
        <v>-8.5044928252262508</v>
      </c>
      <c r="AB2849" s="132"/>
      <c r="AC2849" s="145"/>
      <c r="AD2849" s="138">
        <f>P_1_minW-(AD2847^2*R_up)+dpup_minQ</f>
        <v>-194.37570680665092</v>
      </c>
      <c r="AE2849" s="132"/>
      <c r="AF2849" s="145"/>
      <c r="AG2849" s="138">
        <f>P_1_minW-(AG2847^2*R_up)+dpup_minQ</f>
        <v>-479.60807713723909</v>
      </c>
      <c r="AH2849" s="132"/>
      <c r="AI2849" s="145"/>
      <c r="AJ2849" s="138">
        <f>P_1_minW-(AJ2847^2*R_up)+dpup_minQ</f>
        <v>-834.77932046933756</v>
      </c>
      <c r="AK2849" s="132"/>
      <c r="AL2849" s="145"/>
      <c r="AM2849" s="138">
        <f>P_1_minW-(AM2847^2*R_up)+dpup_minQ</f>
        <v>-1185.4621271767453</v>
      </c>
      <c r="AN2849" s="132"/>
      <c r="AO2849" s="145"/>
      <c r="AP2849" s="138">
        <f>P_1_minW-(AP2847^2*R_up)+dpup_minQ</f>
        <v>-1500.1630310117944</v>
      </c>
      <c r="AQ2849" s="132"/>
      <c r="AR2849" s="145"/>
      <c r="AS2849" s="138">
        <f>P_1_minW-(AS2847^2*R_up)+dpup_minQ</f>
        <v>-1891.8762370932286</v>
      </c>
      <c r="AT2849" s="132"/>
      <c r="AU2849" s="145"/>
    </row>
    <row r="2850" spans="13:47" x14ac:dyDescent="0.25">
      <c r="M2850" s="20"/>
      <c r="N2850" s="20"/>
      <c r="O2850" s="7" t="s">
        <v>189</v>
      </c>
      <c r="P2850" s="1"/>
      <c r="Q2850" s="7"/>
      <c r="R2850" s="181">
        <f>P_2_minW+(R2847^2*R_dn)-dpdn_minQ</f>
        <v>50</v>
      </c>
      <c r="S2850" s="132"/>
      <c r="T2850" s="146"/>
      <c r="U2850" s="138">
        <f>P_2_minW+(U2847^2*R_dn)-dpdn_minQ</f>
        <v>50</v>
      </c>
      <c r="V2850" s="132"/>
      <c r="W2850" s="146"/>
      <c r="X2850" s="138">
        <f>P_2_minW+(X2847^2*R_dn)-dpdn_minQ</f>
        <v>50</v>
      </c>
      <c r="Y2850" s="132"/>
      <c r="Z2850" s="146"/>
      <c r="AA2850" s="138">
        <f>P_2_minW+(AA2847^2*R_dn)-dpdn_minQ</f>
        <v>50</v>
      </c>
      <c r="AB2850" s="132"/>
      <c r="AC2850" s="146"/>
      <c r="AD2850" s="138">
        <f>P_2_minW+(AD2847^2*R_dn)-dpdn_minQ</f>
        <v>50</v>
      </c>
      <c r="AE2850" s="132"/>
      <c r="AF2850" s="146"/>
      <c r="AG2850" s="138">
        <f>P_2_minW+(AG2847^2*R_dn)-dpdn_minQ</f>
        <v>50</v>
      </c>
      <c r="AH2850" s="132"/>
      <c r="AI2850" s="146"/>
      <c r="AJ2850" s="138">
        <f>P_2_minW+(AJ2847^2*R_dn)-dpdn_minQ</f>
        <v>50</v>
      </c>
      <c r="AK2850" s="132"/>
      <c r="AL2850" s="146"/>
      <c r="AM2850" s="138">
        <f>P_2_minW+(AM2847^2*R_dn)-dpdn_minQ</f>
        <v>50</v>
      </c>
      <c r="AN2850" s="132"/>
      <c r="AO2850" s="146"/>
      <c r="AP2850" s="138">
        <f>P_2_minW+(AP2847^2*R_dn)-dpdn_minQ</f>
        <v>50</v>
      </c>
      <c r="AQ2850" s="132"/>
      <c r="AR2850" s="146"/>
      <c r="AS2850" s="138">
        <f>P_2_minW+(AS2847^2*R_dn)-dpdn_minQ</f>
        <v>50</v>
      </c>
      <c r="AT2850" s="132"/>
      <c r="AU2850" s="146"/>
    </row>
    <row r="2851" spans="13:47" x14ac:dyDescent="0.25">
      <c r="M2851" s="20"/>
      <c r="N2851" s="20"/>
      <c r="O2851" s="7" t="s">
        <v>234</v>
      </c>
      <c r="P2851" s="1"/>
      <c r="Q2851" s="7"/>
      <c r="R2851" s="179">
        <f>'Valve Sizing'!G$8*R2849/P_1_maxW</f>
        <v>0.48418128159896889</v>
      </c>
      <c r="S2851" s="132"/>
      <c r="T2851" s="146"/>
      <c r="U2851" s="143">
        <f>'Valve Sizing'!$G$8*U2849/P_1_maxW</f>
        <v>0.4622381595139024</v>
      </c>
      <c r="V2851" s="132"/>
      <c r="W2851" s="146"/>
      <c r="X2851" s="143">
        <f>'Valve Sizing'!$G$8*X2849/P_1_maxW</f>
        <v>0.34627238678153932</v>
      </c>
      <c r="Y2851" s="132"/>
      <c r="Z2851" s="146"/>
      <c r="AA2851" s="143">
        <f>'Valve Sizing'!$G$8*AA2849/P_1_maxW</f>
        <v>-4.1024159257269051E-2</v>
      </c>
      <c r="AB2851" s="132"/>
      <c r="AC2851" s="146"/>
      <c r="AD2851" s="143">
        <f>'Valve Sizing'!$G$8*AD2849/P_1_maxW</f>
        <v>-0.93763380317369405</v>
      </c>
      <c r="AE2851" s="132"/>
      <c r="AF2851" s="146"/>
      <c r="AG2851" s="143">
        <f>'Valve Sizing'!$G$8*AG2849/P_1_maxW</f>
        <v>-2.313543975154948</v>
      </c>
      <c r="AH2851" s="132"/>
      <c r="AI2851" s="146"/>
      <c r="AJ2851" s="143">
        <f>'Valve Sizing'!$G$8*AJ2849/P_1_maxW</f>
        <v>-4.0268268186466329</v>
      </c>
      <c r="AK2851" s="132"/>
      <c r="AL2851" s="146"/>
      <c r="AM2851" s="143">
        <f>'Valve Sizing'!$G$8*AM2849/P_1_maxW</f>
        <v>-5.7184582429776967</v>
      </c>
      <c r="AN2851" s="132"/>
      <c r="AO2851" s="146"/>
      <c r="AP2851" s="143">
        <f>'Valve Sizing'!$G$8*AP2849/P_1_maxW</f>
        <v>-7.2365193740354572</v>
      </c>
      <c r="AQ2851" s="132"/>
      <c r="AR2851" s="146"/>
      <c r="AS2851" s="143">
        <f>'Valve Sizing'!$G$8*AS2849/P_1_maxW</f>
        <v>-9.1260741399344685</v>
      </c>
      <c r="AT2851" s="132"/>
      <c r="AU2851" s="146"/>
    </row>
    <row r="2852" spans="13:47" x14ac:dyDescent="0.25">
      <c r="M2852" s="20"/>
      <c r="N2852" s="20"/>
      <c r="O2852" s="7" t="s">
        <v>190</v>
      </c>
      <c r="P2852" s="1"/>
      <c r="Q2852" s="7"/>
      <c r="R2852" s="181">
        <f>R2849-R2850</f>
        <v>50.372958520476345</v>
      </c>
      <c r="S2852" s="132"/>
      <c r="T2852" s="146"/>
      <c r="U2852" s="138">
        <f>U2849-U2850</f>
        <v>45.824050566867385</v>
      </c>
      <c r="V2852" s="132"/>
      <c r="W2852" s="146"/>
      <c r="X2852" s="138">
        <f>X2849-X2850</f>
        <v>21.783824026467286</v>
      </c>
      <c r="Y2852" s="132"/>
      <c r="Z2852" s="146"/>
      <c r="AA2852" s="138">
        <f>AA2849-AA2850</f>
        <v>-58.504492825226251</v>
      </c>
      <c r="AB2852" s="132"/>
      <c r="AC2852" s="146"/>
      <c r="AD2852" s="138">
        <f>AD2849-AD2850</f>
        <v>-244.37570680665092</v>
      </c>
      <c r="AE2852" s="132"/>
      <c r="AF2852" s="146"/>
      <c r="AG2852" s="138">
        <f>AG2849-AG2850</f>
        <v>-529.60807713723909</v>
      </c>
      <c r="AH2852" s="132"/>
      <c r="AI2852" s="146"/>
      <c r="AJ2852" s="138">
        <f>AJ2849-AJ2850</f>
        <v>-884.77932046933756</v>
      </c>
      <c r="AK2852" s="132"/>
      <c r="AL2852" s="146"/>
      <c r="AM2852" s="138">
        <f>AM2849-AM2850</f>
        <v>-1235.4621271767453</v>
      </c>
      <c r="AN2852" s="132"/>
      <c r="AO2852" s="146"/>
      <c r="AP2852" s="138">
        <f>AP2849-AP2850</f>
        <v>-1550.1630310117944</v>
      </c>
      <c r="AQ2852" s="132"/>
      <c r="AR2852" s="146"/>
      <c r="AS2852" s="138">
        <f>AS2849-AS2850</f>
        <v>-1941.8762370932286</v>
      </c>
      <c r="AT2852" s="132"/>
      <c r="AU2852" s="146"/>
    </row>
    <row r="2853" spans="13:47" ht="14.5" x14ac:dyDescent="0.35">
      <c r="M2853" s="27"/>
      <c r="N2853" s="27"/>
      <c r="O2853" s="2" t="s">
        <v>191</v>
      </c>
      <c r="P2853" s="10"/>
      <c r="Q2853" s="2"/>
      <c r="R2853" s="181">
        <f>R2852/R2849</f>
        <v>0.50185786354200301</v>
      </c>
      <c r="S2853" s="132"/>
      <c r="T2853" s="146"/>
      <c r="U2853" s="138">
        <f>U2852/U2849</f>
        <v>0.47821032711292777</v>
      </c>
      <c r="V2853" s="132"/>
      <c r="W2853" s="146"/>
      <c r="X2853" s="138">
        <f>X2852/X2849</f>
        <v>0.30346424590636756</v>
      </c>
      <c r="Y2853" s="132"/>
      <c r="Z2853" s="146"/>
      <c r="AA2853" s="138">
        <f>AA2852/AA2849</f>
        <v>6.8792453621324343</v>
      </c>
      <c r="AB2853" s="132"/>
      <c r="AC2853" s="146"/>
      <c r="AD2853" s="138">
        <f>AD2852/AD2849</f>
        <v>1.257233791307758</v>
      </c>
      <c r="AE2853" s="132"/>
      <c r="AF2853" s="146"/>
      <c r="AG2853" s="138">
        <f>AG2852/AG2849</f>
        <v>1.1042517888740488</v>
      </c>
      <c r="AH2853" s="132"/>
      <c r="AI2853" s="146"/>
      <c r="AJ2853" s="138">
        <f>AJ2852/AJ2849</f>
        <v>1.0598960692652144</v>
      </c>
      <c r="AK2853" s="132"/>
      <c r="AL2853" s="146"/>
      <c r="AM2853" s="138">
        <f>AM2852/AM2849</f>
        <v>1.0421776443580515</v>
      </c>
      <c r="AN2853" s="132"/>
      <c r="AO2853" s="146"/>
      <c r="AP2853" s="138">
        <f>AP2852/AP2849</f>
        <v>1.033329710815682</v>
      </c>
      <c r="AQ2853" s="132"/>
      <c r="AR2853" s="146"/>
      <c r="AS2853" s="138">
        <f>AS2852/AS2849</f>
        <v>1.0264287901183338</v>
      </c>
      <c r="AT2853" s="132"/>
      <c r="AU2853" s="146"/>
    </row>
    <row r="2854" spans="13:47" x14ac:dyDescent="0.25">
      <c r="M2854" s="27"/>
      <c r="N2854" s="27"/>
      <c r="O2854" s="2" t="s">
        <v>26</v>
      </c>
      <c r="P2854" s="7">
        <v>12</v>
      </c>
      <c r="Q2854" s="2"/>
      <c r="R2854" s="181">
        <f>1-R2853/(3*F_GAMMA*R$29)</f>
        <v>0.73862667381349789</v>
      </c>
      <c r="S2854" s="133"/>
      <c r="T2854" s="146"/>
      <c r="U2854" s="138">
        <f>1-U2853/(3*F_GAMMA*U$29)</f>
        <v>0.75099741800735775</v>
      </c>
      <c r="V2854" s="133"/>
      <c r="W2854" s="146"/>
      <c r="X2854" s="138">
        <f>1-X2853/(3*F_GAMMA*X$29)</f>
        <v>0.83961669709928022</v>
      </c>
      <c r="Y2854" s="133"/>
      <c r="Z2854" s="146"/>
      <c r="AA2854" s="138">
        <f>1-AA2853/(3*F_GAMMA*AA$29)</f>
        <v>-2.6855876986288894</v>
      </c>
      <c r="AB2854" s="133"/>
      <c r="AC2854" s="146"/>
      <c r="AD2854" s="138">
        <f>1-AD2853/(3*F_GAMMA*AD$29)</f>
        <v>0.30796332318049491</v>
      </c>
      <c r="AE2854" s="133"/>
      <c r="AF2854" s="146"/>
      <c r="AG2854" s="138">
        <f>1-AG2853/(3*F_GAMMA*AG$29)</f>
        <v>0.35749982700380023</v>
      </c>
      <c r="AH2854" s="133"/>
      <c r="AI2854" s="146"/>
      <c r="AJ2854" s="138">
        <f>1-AJ2853/(3*F_GAMMA*AJ$29)</f>
        <v>0.34074773331975139</v>
      </c>
      <c r="AK2854" s="133"/>
      <c r="AL2854" s="146"/>
      <c r="AM2854" s="138">
        <f>1-AM2853/(3*F_GAMMA*AM$29)</f>
        <v>0.29174121422739474</v>
      </c>
      <c r="AN2854" s="133"/>
      <c r="AO2854" s="146"/>
      <c r="AP2854" s="138">
        <f>1-AP2853/(3*F_GAMMA*AP$29)</f>
        <v>0.41966984193989265</v>
      </c>
      <c r="AQ2854" s="133"/>
      <c r="AR2854" s="146"/>
      <c r="AS2854" s="138">
        <f>1-AS2853/(3*F_GAMMA*AS$29)</f>
        <v>0.12489194914921709</v>
      </c>
      <c r="AT2854" s="133"/>
      <c r="AU2854" s="146"/>
    </row>
    <row r="2855" spans="13:47" x14ac:dyDescent="0.25">
      <c r="M2855" s="27"/>
      <c r="N2855" s="27"/>
      <c r="O2855" s="2" t="s">
        <v>71</v>
      </c>
      <c r="P2855" s="85">
        <v>5</v>
      </c>
      <c r="Q2855" s="2"/>
      <c r="R2855" s="179">
        <f>R2847/((N_6*R$27*R2854)*SQRT(R2853*R2849*R2851))</f>
        <v>2.6549726164092191</v>
      </c>
      <c r="S2855" s="133"/>
      <c r="T2855" s="146"/>
      <c r="U2855" s="143">
        <f>U2847/((N_6*U$27*U2854)*SQRT(U2853*U2849*U2851))</f>
        <v>15.701218956478588</v>
      </c>
      <c r="V2855" s="133"/>
      <c r="W2855" s="146"/>
      <c r="X2855" s="143">
        <f>X2847/((N_6*X$27*X2854)*SQRT(X2853*X2849*X2851))</f>
        <v>58.331189149174762</v>
      </c>
      <c r="Y2855" s="133"/>
      <c r="Z2855" s="146"/>
      <c r="AA2855" s="143">
        <f>AA2847/((N_6*AA$27*AA2854)*SQRT(AA2853*AA2849*AA2851))</f>
        <v>-63.332512778303091</v>
      </c>
      <c r="AB2855" s="133"/>
      <c r="AC2855" s="146"/>
      <c r="AD2855" s="143">
        <f>AD2847/((N_6*AD$27*AD2854)*SQRT(AD2853*AD2849*AD2851))</f>
        <v>94.069587804414056</v>
      </c>
      <c r="AE2855" s="133"/>
      <c r="AF2855" s="146"/>
      <c r="AG2855" s="143">
        <f>AG2847/((N_6*AG$27*AG2854)*SQRT(AG2853*AG2849*AG2851))</f>
        <v>50.211049263681033</v>
      </c>
      <c r="AH2855" s="133"/>
      <c r="AI2855" s="146"/>
      <c r="AJ2855" s="143">
        <f>AJ2847/((N_6*AJ$27*AJ2854)*SQRT(AJ2853*AJ2849*AJ2851))</f>
        <v>40.572514618183469</v>
      </c>
      <c r="AK2855" s="133"/>
      <c r="AL2855" s="146"/>
      <c r="AM2855" s="143">
        <f>AM2847/((N_6*AM$27*AM2854)*SQRT(AM2853*AM2849*AM2851))</f>
        <v>41.883030837927997</v>
      </c>
      <c r="AN2855" s="133"/>
      <c r="AO2855" s="146"/>
      <c r="AP2855" s="143">
        <f>AP2847/((N_6*AP$27*AP2854)*SQRT(AP2853*AP2849*AP2851))</f>
        <v>29.28316428435301</v>
      </c>
      <c r="AQ2855" s="133"/>
      <c r="AR2855" s="146"/>
      <c r="AS2855" s="143">
        <f>AS2847/((N_6*AS$27*AS2854)*SQRT(AS2853*AS2849*AS2851))</f>
        <v>114.76636708499811</v>
      </c>
      <c r="AT2855" s="133"/>
      <c r="AU2855" s="146"/>
    </row>
    <row r="2856" spans="13:47" x14ac:dyDescent="0.25">
      <c r="M2856" s="27"/>
      <c r="N2856" s="27"/>
      <c r="O2856" s="2" t="s">
        <v>73</v>
      </c>
      <c r="P2856" s="85">
        <v>5</v>
      </c>
      <c r="Q2856" s="2"/>
      <c r="R2856" s="179">
        <f>R2847/((N_6*R$27*0.667)*SQRT(R2857*R2849*R2851))</f>
        <v>2.6034572995306373</v>
      </c>
      <c r="S2856" s="133"/>
      <c r="T2856" s="147"/>
      <c r="U2856" s="143">
        <f>U2847/((N_6*U$27*0.667)*SQRT(U2857*U2849*U2851))</f>
        <v>15.279478528238238</v>
      </c>
      <c r="V2856" s="133"/>
      <c r="W2856" s="155"/>
      <c r="X2856" s="143">
        <f>X2847/((N_6*X$27*0.667)*SQRT(X2857*X2849*X2851))</f>
        <v>50.932649273238084</v>
      </c>
      <c r="Y2856" s="133"/>
      <c r="Z2856" s="155"/>
      <c r="AA2856" s="143">
        <f>AA2847/((N_6*AA$27*0.667)*SQRT(AA2857*AA2849*AA2851))</f>
        <v>847.91872609704387</v>
      </c>
      <c r="AB2856" s="133"/>
      <c r="AC2856" s="155"/>
      <c r="AD2856" s="143">
        <f>AD2847/((N_6*AD$27*0.667)*SQRT(AD2857*AD2849*AD2851))</f>
        <v>62.581733356291458</v>
      </c>
      <c r="AE2856" s="133"/>
      <c r="AF2856" s="155"/>
      <c r="AG2856" s="143">
        <f>AG2847/((N_6*AG$27*0.667)*SQRT(AG2857*AG2849*AG2851))</f>
        <v>37.363413893825459</v>
      </c>
      <c r="AH2856" s="133"/>
      <c r="AI2856" s="155"/>
      <c r="AJ2856" s="143">
        <f>AJ2847/((N_6*AJ$27*0.667)*SQRT(AJ2857*AJ2849*AJ2851))</f>
        <v>29.149124169556625</v>
      </c>
      <c r="AK2856" s="133"/>
      <c r="AL2856" s="155"/>
      <c r="AM2856" s="143">
        <f>AM2847/((N_6*AM$27*0.667)*SQRT(AM2857*AM2849*AM2851))</f>
        <v>26.703406467640399</v>
      </c>
      <c r="AN2856" s="133"/>
      <c r="AO2856" s="155"/>
      <c r="AP2856" s="143">
        <f>AP2847/((N_6*AP$27*0.667)*SQRT(AP2857*AP2849*AP2851))</f>
        <v>24.310737212202497</v>
      </c>
      <c r="AQ2856" s="133"/>
      <c r="AR2856" s="155"/>
      <c r="AS2856" s="143">
        <f>AS2847/((N_6*AS$27*0.667)*SQRT(AS2857*AS2849*AS2851))</f>
        <v>34.818873079283016</v>
      </c>
      <c r="AT2856" s="133"/>
      <c r="AU2856" s="155"/>
    </row>
    <row r="2857" spans="13:47" ht="15.5" x14ac:dyDescent="0.4">
      <c r="M2857" s="27"/>
      <c r="N2857" s="27"/>
      <c r="O2857" s="2" t="s">
        <v>192</v>
      </c>
      <c r="P2857" s="85">
        <v>10</v>
      </c>
      <c r="Q2857" s="2"/>
      <c r="R2857" s="181">
        <f>F_GAMMA*R$29</f>
        <v>0.64002688015162901</v>
      </c>
      <c r="S2857" s="133"/>
      <c r="T2857" s="147"/>
      <c r="U2857" s="138">
        <f>F_GAMMA*U$29</f>
        <v>0.64016782916606918</v>
      </c>
      <c r="V2857" s="133"/>
      <c r="W2857" s="155"/>
      <c r="X2857" s="138">
        <f>F_GAMMA*X$29</f>
        <v>0.6307062319203669</v>
      </c>
      <c r="Y2857" s="133"/>
      <c r="Z2857" s="155"/>
      <c r="AA2857" s="138">
        <f>F_GAMMA*AA$29</f>
        <v>0.62217534213893466</v>
      </c>
      <c r="AB2857" s="133"/>
      <c r="AC2857" s="155"/>
      <c r="AD2857" s="138">
        <f>F_GAMMA*AD$29</f>
        <v>0.60557184969146072</v>
      </c>
      <c r="AE2857" s="133"/>
      <c r="AF2857" s="155"/>
      <c r="AG2857" s="138">
        <f>F_GAMMA*AG$29</f>
        <v>0.57289312142622573</v>
      </c>
      <c r="AH2857" s="133"/>
      <c r="AI2857" s="155"/>
      <c r="AJ2857" s="138">
        <f>F_GAMMA*AJ$29</f>
        <v>0.53590819116049981</v>
      </c>
      <c r="AK2857" s="133"/>
      <c r="AL2857" s="155"/>
      <c r="AM2857" s="138">
        <f>F_GAMMA*AM$29</f>
        <v>0.49048815926850342</v>
      </c>
      <c r="AN2857" s="133"/>
      <c r="AO2857" s="155"/>
      <c r="AP2857" s="138">
        <f>F_GAMMA*AP$29</f>
        <v>0.59352979016280105</v>
      </c>
      <c r="AQ2857" s="133"/>
      <c r="AR2857" s="155"/>
      <c r="AS2857" s="138">
        <f>F_GAMMA*AS$29</f>
        <v>0.39097221161068291</v>
      </c>
      <c r="AT2857" s="133"/>
      <c r="AU2857" s="155"/>
    </row>
    <row r="2858" spans="13:47" x14ac:dyDescent="0.25">
      <c r="M2858" s="27"/>
      <c r="N2858" s="27"/>
      <c r="O2858" s="2" t="s">
        <v>193</v>
      </c>
      <c r="P2858" s="134"/>
      <c r="Q2858" s="2"/>
      <c r="R2858" s="181">
        <f>IF(R2853&lt;R2857,R2855,R2856)</f>
        <v>2.6549726164092191</v>
      </c>
      <c r="S2858" s="133"/>
      <c r="T2858" s="147"/>
      <c r="U2858" s="138">
        <f>IF(U2853&lt;U2857,U2855,U2856)</f>
        <v>15.701218956478588</v>
      </c>
      <c r="V2858" s="133"/>
      <c r="W2858" s="155"/>
      <c r="X2858" s="138">
        <f>IF(X2853&lt;X2857,X2855,X2856)</f>
        <v>58.331189149174762</v>
      </c>
      <c r="Y2858" s="133"/>
      <c r="Z2858" s="155"/>
      <c r="AA2858" s="138">
        <f>IF(AA2853&lt;AA2857,AA2855,AA2856)</f>
        <v>847.91872609704387</v>
      </c>
      <c r="AB2858" s="133"/>
      <c r="AC2858" s="155"/>
      <c r="AD2858" s="138">
        <f>IF(AD2853&lt;AD2857,AD2855,AD2856)</f>
        <v>62.581733356291458</v>
      </c>
      <c r="AE2858" s="133"/>
      <c r="AF2858" s="155"/>
      <c r="AG2858" s="138">
        <f>IF(AG2853&lt;AG2857,AG2855,AG2856)</f>
        <v>37.363413893825459</v>
      </c>
      <c r="AH2858" s="133"/>
      <c r="AI2858" s="155"/>
      <c r="AJ2858" s="138">
        <f>IF(AJ2853&lt;AJ2857,AJ2855,AJ2856)</f>
        <v>29.149124169556625</v>
      </c>
      <c r="AK2858" s="133"/>
      <c r="AL2858" s="155"/>
      <c r="AM2858" s="138">
        <f>IF(AM2853&lt;AM2857,AM2855,AM2856)</f>
        <v>26.703406467640399</v>
      </c>
      <c r="AN2858" s="133"/>
      <c r="AO2858" s="155"/>
      <c r="AP2858" s="138">
        <f>IF(AP2853&lt;AP2857,AP2855,AP2856)</f>
        <v>24.310737212202497</v>
      </c>
      <c r="AQ2858" s="133"/>
      <c r="AR2858" s="155"/>
      <c r="AS2858" s="138">
        <f>IF(AS2853&lt;AS2857,AS2855,AS2856)</f>
        <v>34.818873079283016</v>
      </c>
      <c r="AT2858" s="133"/>
      <c r="AU2858" s="155"/>
    </row>
    <row r="2859" spans="13:47" ht="13" x14ac:dyDescent="0.3">
      <c r="M2859" s="28"/>
      <c r="N2859" s="28"/>
      <c r="O2859" s="9" t="s">
        <v>194</v>
      </c>
      <c r="P2859" s="1"/>
      <c r="Q2859" s="1"/>
      <c r="R2859" s="135"/>
      <c r="S2859" s="132">
        <f>IF(R2852&lt;=0,W_max,ABS(R$23-R2858))</f>
        <v>0.65497261640921911</v>
      </c>
      <c r="T2859" s="151">
        <f>R2847</f>
        <v>612.97111648594068</v>
      </c>
      <c r="U2859" s="135"/>
      <c r="V2859" s="132">
        <f>IF(U2852&lt;=0,W_max,ABS(U$23-U2858))</f>
        <v>10.701218956478588</v>
      </c>
      <c r="W2859" s="151">
        <f>U2847</f>
        <v>3432.683294320012</v>
      </c>
      <c r="X2859" s="135"/>
      <c r="Y2859" s="132">
        <f>IF(X2852&lt;=0,W_max,ABS(X$23-X2858))</f>
        <v>48.331189149174762</v>
      </c>
      <c r="Z2859" s="151">
        <f>X2847</f>
        <v>8489.4342809538921</v>
      </c>
      <c r="AA2859" s="135"/>
      <c r="AB2859" s="132">
        <f>IF(AA2852&lt;=0,W_max,ABS(AA$23-AA2858))</f>
        <v>7174</v>
      </c>
      <c r="AC2859" s="151">
        <f>AA2847</f>
        <v>16535.251090136069</v>
      </c>
      <c r="AD2859" s="135"/>
      <c r="AE2859" s="132">
        <f>IF(AD2852&lt;=0,W_max,ABS(AD$23-AD2858))</f>
        <v>7174</v>
      </c>
      <c r="AF2859" s="151">
        <f>AD2847</f>
        <v>27194.400125016531</v>
      </c>
      <c r="AG2859" s="135"/>
      <c r="AH2859" s="132">
        <f>IF(AG2852&lt;=0,W_max,ABS(AG$23-AG2858))</f>
        <v>7174</v>
      </c>
      <c r="AI2859" s="151">
        <f>AG2847</f>
        <v>38142.239768035113</v>
      </c>
      <c r="AJ2859" s="135"/>
      <c r="AK2859" s="132">
        <f>IF(AJ2852&lt;=0,W_max,ABS(AJ$23-AJ2858))</f>
        <v>7174</v>
      </c>
      <c r="AL2859" s="151">
        <f>AJ2847</f>
        <v>48430.523406086097</v>
      </c>
      <c r="AM2859" s="135"/>
      <c r="AN2859" s="132">
        <f>IF(AM2852&lt;=0,W_max,ABS(AM$23-AM2858))</f>
        <v>7174</v>
      </c>
      <c r="AO2859" s="151">
        <f>AM2847</f>
        <v>56788.597508453917</v>
      </c>
      <c r="AP2859" s="135"/>
      <c r="AQ2859" s="132">
        <f>IF(AP2852&lt;=0,W_max,ABS(AP$23-AP2858))</f>
        <v>7174</v>
      </c>
      <c r="AR2859" s="151">
        <f>AP2847</f>
        <v>63357.240691698891</v>
      </c>
      <c r="AS2859" s="135"/>
      <c r="AT2859" s="132">
        <f>IF(AS2852&lt;=0,W_max,ABS(AS$23-AS2858))</f>
        <v>7174</v>
      </c>
      <c r="AU2859" s="151">
        <f>AS2847</f>
        <v>70685.667971784205</v>
      </c>
    </row>
    <row r="2860" spans="13:47" ht="13" x14ac:dyDescent="0.25">
      <c r="M2860" s="12"/>
      <c r="N2860" s="12"/>
      <c r="O2860" s="12"/>
      <c r="P2860" s="12"/>
      <c r="Q2860" s="12"/>
      <c r="R2860" s="182"/>
      <c r="S2860" s="22"/>
      <c r="T2860" s="152"/>
      <c r="U2860" s="157"/>
      <c r="V2860" s="1"/>
      <c r="W2860" s="147"/>
      <c r="X2860" s="157"/>
      <c r="Y2860" s="1"/>
      <c r="Z2860" s="147"/>
      <c r="AA2860" s="157"/>
      <c r="AB2860" s="1"/>
      <c r="AC2860" s="147"/>
      <c r="AD2860" s="157"/>
      <c r="AE2860" s="1"/>
      <c r="AF2860" s="147"/>
      <c r="AG2860" s="157"/>
      <c r="AH2860" s="1"/>
      <c r="AI2860" s="147"/>
      <c r="AJ2860" s="157"/>
      <c r="AK2860" s="1"/>
      <c r="AL2860" s="147"/>
      <c r="AM2860" s="157"/>
      <c r="AN2860" s="1"/>
      <c r="AO2860" s="147"/>
      <c r="AP2860" s="157"/>
      <c r="AQ2860" s="1"/>
      <c r="AR2860" s="147"/>
      <c r="AS2860" s="157"/>
      <c r="AT2860" s="1"/>
      <c r="AU2860" s="147"/>
    </row>
    <row r="2861" spans="13:47" ht="14" x14ac:dyDescent="0.3">
      <c r="M2861" s="23"/>
      <c r="N2861" s="23"/>
      <c r="O2861" s="23" t="s">
        <v>238</v>
      </c>
      <c r="P2861" s="20"/>
      <c r="Q2861" s="20"/>
      <c r="R2861" s="18">
        <f>R2847*1.02</f>
        <v>625.23053881565954</v>
      </c>
      <c r="S2861" s="128" t="s">
        <v>185</v>
      </c>
      <c r="T2861" s="153" t="s">
        <v>186</v>
      </c>
      <c r="U2861" s="143">
        <f>U2847*1.01</f>
        <v>3467.0101272632123</v>
      </c>
      <c r="V2861" s="128" t="s">
        <v>185</v>
      </c>
      <c r="W2861" s="153" t="s">
        <v>186</v>
      </c>
      <c r="X2861" s="143">
        <f>X2847*1.01</f>
        <v>8574.3286237634311</v>
      </c>
      <c r="Y2861" s="128" t="s">
        <v>185</v>
      </c>
      <c r="Z2861" s="153" t="s">
        <v>186</v>
      </c>
      <c r="AA2861" s="143">
        <f>AA2847*1.01</f>
        <v>16700.60360103743</v>
      </c>
      <c r="AB2861" s="128" t="s">
        <v>185</v>
      </c>
      <c r="AC2861" s="153" t="s">
        <v>186</v>
      </c>
      <c r="AD2861" s="143">
        <f>AD2847*1.01</f>
        <v>27466.344126266697</v>
      </c>
      <c r="AE2861" s="128" t="s">
        <v>185</v>
      </c>
      <c r="AF2861" s="153" t="s">
        <v>186</v>
      </c>
      <c r="AG2861" s="143">
        <f>AG2847*1.01</f>
        <v>38523.662165715468</v>
      </c>
      <c r="AH2861" s="128" t="s">
        <v>185</v>
      </c>
      <c r="AI2861" s="153" t="s">
        <v>186</v>
      </c>
      <c r="AJ2861" s="143">
        <f>AJ2847*1.01</f>
        <v>48914.82864014696</v>
      </c>
      <c r="AK2861" s="128" t="s">
        <v>185</v>
      </c>
      <c r="AL2861" s="153" t="s">
        <v>186</v>
      </c>
      <c r="AM2861" s="143">
        <f>AM2847*1.01</f>
        <v>57356.483483538454</v>
      </c>
      <c r="AN2861" s="128" t="s">
        <v>185</v>
      </c>
      <c r="AO2861" s="153" t="s">
        <v>186</v>
      </c>
      <c r="AP2861" s="143">
        <f>AP2847*1.01</f>
        <v>63990.813098615879</v>
      </c>
      <c r="AQ2861" s="128" t="s">
        <v>185</v>
      </c>
      <c r="AR2861" s="153" t="s">
        <v>186</v>
      </c>
      <c r="AS2861" s="143">
        <f>AS2847*1.01</f>
        <v>71392.524651502041</v>
      </c>
      <c r="AT2861" s="128" t="s">
        <v>185</v>
      </c>
      <c r="AU2861" s="153" t="s">
        <v>186</v>
      </c>
    </row>
    <row r="2862" spans="13:47" ht="14" x14ac:dyDescent="0.3">
      <c r="M2862" s="12"/>
      <c r="N2862" s="12"/>
      <c r="O2862" s="20"/>
      <c r="P2862" s="20"/>
      <c r="Q2862" s="23"/>
      <c r="R2862" s="139"/>
      <c r="S2862" s="130" t="s">
        <v>228</v>
      </c>
      <c r="T2862" s="154" t="s">
        <v>187</v>
      </c>
      <c r="U2862" s="144"/>
      <c r="V2862" s="130" t="s">
        <v>228</v>
      </c>
      <c r="W2862" s="154" t="s">
        <v>187</v>
      </c>
      <c r="X2862" s="144"/>
      <c r="Y2862" s="130" t="s">
        <v>228</v>
      </c>
      <c r="Z2862" s="154" t="s">
        <v>187</v>
      </c>
      <c r="AA2862" s="144"/>
      <c r="AB2862" s="130" t="s">
        <v>228</v>
      </c>
      <c r="AC2862" s="154" t="s">
        <v>187</v>
      </c>
      <c r="AD2862" s="144"/>
      <c r="AE2862" s="130" t="s">
        <v>228</v>
      </c>
      <c r="AF2862" s="154" t="s">
        <v>187</v>
      </c>
      <c r="AG2862" s="144"/>
      <c r="AH2862" s="130" t="s">
        <v>228</v>
      </c>
      <c r="AI2862" s="154" t="s">
        <v>187</v>
      </c>
      <c r="AJ2862" s="144"/>
      <c r="AK2862" s="130" t="s">
        <v>228</v>
      </c>
      <c r="AL2862" s="154" t="s">
        <v>187</v>
      </c>
      <c r="AM2862" s="144"/>
      <c r="AN2862" s="130" t="s">
        <v>228</v>
      </c>
      <c r="AO2862" s="154" t="s">
        <v>187</v>
      </c>
      <c r="AP2862" s="144"/>
      <c r="AQ2862" s="130" t="s">
        <v>228</v>
      </c>
      <c r="AR2862" s="154" t="s">
        <v>187</v>
      </c>
      <c r="AS2862" s="144"/>
      <c r="AT2862" s="130" t="s">
        <v>228</v>
      </c>
      <c r="AU2862" s="154" t="s">
        <v>187</v>
      </c>
    </row>
    <row r="2863" spans="13:47" x14ac:dyDescent="0.25">
      <c r="M2863" s="20"/>
      <c r="N2863" s="20"/>
      <c r="O2863" s="7" t="s">
        <v>188</v>
      </c>
      <c r="P2863" s="7"/>
      <c r="Q2863" s="7"/>
      <c r="R2863" s="181">
        <f>P_1_minW-(R2861^2*R_up)+dpup_minQ</f>
        <v>100.36690546053983</v>
      </c>
      <c r="S2863" s="132"/>
      <c r="T2863" s="145"/>
      <c r="U2863" s="138">
        <f>P_1_minW-(U2861^2*R_up)+dpup_minQ</f>
        <v>95.72960596985321</v>
      </c>
      <c r="V2863" s="132"/>
      <c r="W2863" s="145"/>
      <c r="X2863" s="138">
        <f>P_1_minW-(X2861^2*R_up)+dpup_minQ</f>
        <v>71.206170875991077</v>
      </c>
      <c r="Y2863" s="132"/>
      <c r="Z2863" s="145"/>
      <c r="AA2863" s="138">
        <f>P_1_minW-(AA2861^2*R_up)+dpup_minQ</f>
        <v>-10.695941144421511</v>
      </c>
      <c r="AB2863" s="132"/>
      <c r="AC2863" s="145"/>
      <c r="AD2863" s="138">
        <f>P_1_minW-(AD2861^2*R_up)+dpup_minQ</f>
        <v>-200.30316652687279</v>
      </c>
      <c r="AE2863" s="132"/>
      <c r="AF2863" s="145"/>
      <c r="AG2863" s="138">
        <f>P_1_minW-(AG2861^2*R_up)+dpup_minQ</f>
        <v>-491.26870750110584</v>
      </c>
      <c r="AH2863" s="132"/>
      <c r="AI2863" s="145"/>
      <c r="AJ2863" s="138">
        <f>P_1_minW-(AJ2861^2*R_up)+dpup_minQ</f>
        <v>-853.57889282417966</v>
      </c>
      <c r="AK2863" s="132"/>
      <c r="AL2863" s="145"/>
      <c r="AM2863" s="138">
        <f>P_1_minW-(AM2861^2*R_up)+dpup_minQ</f>
        <v>-1211.3104239464058</v>
      </c>
      <c r="AN2863" s="132"/>
      <c r="AO2863" s="145"/>
      <c r="AP2863" s="138">
        <f>P_1_minW-(AP2861^2*R_up)+dpup_minQ</f>
        <v>-1532.3368159485397</v>
      </c>
      <c r="AQ2863" s="132"/>
      <c r="AR2863" s="145"/>
      <c r="AS2863" s="138">
        <f>P_1_minW-(AS2861^2*R_up)+dpup_minQ</f>
        <v>-1931.9234574722107</v>
      </c>
      <c r="AT2863" s="132"/>
      <c r="AU2863" s="145"/>
    </row>
    <row r="2864" spans="13:47" x14ac:dyDescent="0.25">
      <c r="M2864" s="20"/>
      <c r="N2864" s="20"/>
      <c r="O2864" s="7" t="s">
        <v>189</v>
      </c>
      <c r="P2864" s="1"/>
      <c r="Q2864" s="7"/>
      <c r="R2864" s="181">
        <f>P_2_minW+(R2861^2*R_dn)-dpdn_minQ</f>
        <v>50</v>
      </c>
      <c r="S2864" s="132"/>
      <c r="T2864" s="146"/>
      <c r="U2864" s="138">
        <f>P_2_minW+(U2861^2*R_dn)-dpdn_minQ</f>
        <v>50</v>
      </c>
      <c r="V2864" s="132"/>
      <c r="W2864" s="146"/>
      <c r="X2864" s="138">
        <f>P_2_minW+(X2861^2*R_dn)-dpdn_minQ</f>
        <v>50</v>
      </c>
      <c r="Y2864" s="132"/>
      <c r="Z2864" s="146"/>
      <c r="AA2864" s="138">
        <f>P_2_minW+(AA2861^2*R_dn)-dpdn_minQ</f>
        <v>50</v>
      </c>
      <c r="AB2864" s="132"/>
      <c r="AC2864" s="146"/>
      <c r="AD2864" s="138">
        <f>P_2_minW+(AD2861^2*R_dn)-dpdn_minQ</f>
        <v>50</v>
      </c>
      <c r="AE2864" s="132"/>
      <c r="AF2864" s="146"/>
      <c r="AG2864" s="138">
        <f>P_2_minW+(AG2861^2*R_dn)-dpdn_minQ</f>
        <v>50</v>
      </c>
      <c r="AH2864" s="132"/>
      <c r="AI2864" s="146"/>
      <c r="AJ2864" s="138">
        <f>P_2_minW+(AJ2861^2*R_dn)-dpdn_minQ</f>
        <v>50</v>
      </c>
      <c r="AK2864" s="132"/>
      <c r="AL2864" s="146"/>
      <c r="AM2864" s="138">
        <f>P_2_minW+(AM2861^2*R_dn)-dpdn_minQ</f>
        <v>50</v>
      </c>
      <c r="AN2864" s="132"/>
      <c r="AO2864" s="146"/>
      <c r="AP2864" s="138">
        <f>P_2_minW+(AP2861^2*R_dn)-dpdn_minQ</f>
        <v>50</v>
      </c>
      <c r="AQ2864" s="132"/>
      <c r="AR2864" s="146"/>
      <c r="AS2864" s="138">
        <f>P_2_minW+(AS2861^2*R_dn)-dpdn_minQ</f>
        <v>50</v>
      </c>
      <c r="AT2864" s="132"/>
      <c r="AU2864" s="146"/>
    </row>
    <row r="2865" spans="13:47" x14ac:dyDescent="0.25">
      <c r="M2865" s="20"/>
      <c r="N2865" s="20"/>
      <c r="O2865" s="7" t="s">
        <v>234</v>
      </c>
      <c r="P2865" s="1"/>
      <c r="Q2865" s="7"/>
      <c r="R2865" s="179">
        <f>'Valve Sizing'!G$8*R2863/P_1_maxW</f>
        <v>0.48415208271551602</v>
      </c>
      <c r="S2865" s="132"/>
      <c r="T2865" s="146"/>
      <c r="U2865" s="143">
        <f>'Valve Sizing'!$G$8*U2863/P_1_maxW</f>
        <v>0.46178257559273012</v>
      </c>
      <c r="V2865" s="132"/>
      <c r="W2865" s="146"/>
      <c r="X2865" s="143">
        <f>'Valve Sizing'!$G$8*X2863/P_1_maxW</f>
        <v>0.34348589082844655</v>
      </c>
      <c r="Y2865" s="132"/>
      <c r="Z2865" s="146"/>
      <c r="AA2865" s="143">
        <f>'Valve Sizing'!$G$8*AA2863/P_1_maxW</f>
        <v>-5.1595315785741891E-2</v>
      </c>
      <c r="AB2865" s="132"/>
      <c r="AC2865" s="146"/>
      <c r="AD2865" s="143">
        <f>'Valve Sizing'!$G$8*AD2863/P_1_maxW</f>
        <v>-0.96622681354488671</v>
      </c>
      <c r="AE2865" s="132"/>
      <c r="AF2865" s="146"/>
      <c r="AG2865" s="143">
        <f>'Valve Sizing'!$G$8*AG2863/P_1_maxW</f>
        <v>-2.3697927799829648</v>
      </c>
      <c r="AH2865" s="132"/>
      <c r="AI2865" s="146"/>
      <c r="AJ2865" s="143">
        <f>'Valve Sizing'!$G$8*AJ2863/P_1_maxW</f>
        <v>-4.1175126086288332</v>
      </c>
      <c r="AK2865" s="132"/>
      <c r="AL2865" s="146"/>
      <c r="AM2865" s="143">
        <f>'Valve Sizing'!$G$8*AM2863/P_1_maxW</f>
        <v>-5.8431458245889489</v>
      </c>
      <c r="AN2865" s="132"/>
      <c r="AO2865" s="146"/>
      <c r="AP2865" s="143">
        <f>'Valve Sizing'!$G$8*AP2863/P_1_maxW</f>
        <v>-7.3917199843809716</v>
      </c>
      <c r="AQ2865" s="132"/>
      <c r="AR2865" s="146"/>
      <c r="AS2865" s="143">
        <f>'Valve Sizing'!$G$8*AS2863/P_1_maxW</f>
        <v>-9.3192548010745533</v>
      </c>
      <c r="AT2865" s="132"/>
      <c r="AU2865" s="146"/>
    </row>
    <row r="2866" spans="13:47" x14ac:dyDescent="0.25">
      <c r="M2866" s="20"/>
      <c r="N2866" s="20"/>
      <c r="O2866" s="7" t="s">
        <v>190</v>
      </c>
      <c r="P2866" s="1"/>
      <c r="Q2866" s="7"/>
      <c r="R2866" s="181">
        <f>R2863-R2864</f>
        <v>50.366905460539826</v>
      </c>
      <c r="S2866" s="132"/>
      <c r="T2866" s="146"/>
      <c r="U2866" s="138">
        <f>U2863-U2864</f>
        <v>45.72960596985321</v>
      </c>
      <c r="V2866" s="132"/>
      <c r="W2866" s="146"/>
      <c r="X2866" s="138">
        <f>X2863-X2864</f>
        <v>21.206170875991077</v>
      </c>
      <c r="Y2866" s="132"/>
      <c r="Z2866" s="146"/>
      <c r="AA2866" s="138">
        <f>AA2863-AA2864</f>
        <v>-60.695941144421511</v>
      </c>
      <c r="AB2866" s="132"/>
      <c r="AC2866" s="146"/>
      <c r="AD2866" s="138">
        <f>AD2863-AD2864</f>
        <v>-250.30316652687279</v>
      </c>
      <c r="AE2866" s="132"/>
      <c r="AF2866" s="146"/>
      <c r="AG2866" s="138">
        <f>AG2863-AG2864</f>
        <v>-541.26870750110584</v>
      </c>
      <c r="AH2866" s="132"/>
      <c r="AI2866" s="146"/>
      <c r="AJ2866" s="138">
        <f>AJ2863-AJ2864</f>
        <v>-903.57889282417966</v>
      </c>
      <c r="AK2866" s="132"/>
      <c r="AL2866" s="146"/>
      <c r="AM2866" s="138">
        <f>AM2863-AM2864</f>
        <v>-1261.3104239464058</v>
      </c>
      <c r="AN2866" s="132"/>
      <c r="AO2866" s="146"/>
      <c r="AP2866" s="138">
        <f>AP2863-AP2864</f>
        <v>-1582.3368159485397</v>
      </c>
      <c r="AQ2866" s="132"/>
      <c r="AR2866" s="146"/>
      <c r="AS2866" s="138">
        <f>AS2863-AS2864</f>
        <v>-1981.9234574722107</v>
      </c>
      <c r="AT2866" s="132"/>
      <c r="AU2866" s="146"/>
    </row>
    <row r="2867" spans="13:47" ht="14.5" x14ac:dyDescent="0.35">
      <c r="M2867" s="27"/>
      <c r="N2867" s="27"/>
      <c r="O2867" s="2" t="s">
        <v>191</v>
      </c>
      <c r="P2867" s="10"/>
      <c r="Q2867" s="2"/>
      <c r="R2867" s="181">
        <f>R2866/R2863</f>
        <v>0.50182782092790579</v>
      </c>
      <c r="S2867" s="132"/>
      <c r="T2867" s="146"/>
      <c r="U2867" s="138">
        <f>U2866/U2863</f>
        <v>0.47769554158881838</v>
      </c>
      <c r="V2867" s="132"/>
      <c r="W2867" s="146"/>
      <c r="X2867" s="138">
        <f>X2866/X2863</f>
        <v>0.29781366720199898</v>
      </c>
      <c r="Y2867" s="132"/>
      <c r="Z2867" s="146"/>
      <c r="AA2867" s="138">
        <f>AA2866/AA2863</f>
        <v>5.6746704497413578</v>
      </c>
      <c r="AB2867" s="132"/>
      <c r="AC2867" s="146"/>
      <c r="AD2867" s="138">
        <f>AD2866/AD2863</f>
        <v>1.2496216154091202</v>
      </c>
      <c r="AE2867" s="132"/>
      <c r="AF2867" s="146"/>
      <c r="AG2867" s="138">
        <f>AG2866/AG2863</f>
        <v>1.1017772946588247</v>
      </c>
      <c r="AH2867" s="132"/>
      <c r="AI2867" s="146"/>
      <c r="AJ2867" s="138">
        <f>AJ2866/AJ2863</f>
        <v>1.058576893618548</v>
      </c>
      <c r="AK2867" s="132"/>
      <c r="AL2867" s="146"/>
      <c r="AM2867" s="138">
        <f>AM2866/AM2863</f>
        <v>1.0412776106038135</v>
      </c>
      <c r="AN2867" s="132"/>
      <c r="AO2867" s="146"/>
      <c r="AP2867" s="138">
        <f>AP2866/AP2863</f>
        <v>1.0326299019116429</v>
      </c>
      <c r="AQ2867" s="132"/>
      <c r="AR2867" s="146"/>
      <c r="AS2867" s="138">
        <f>AS2866/AS2863</f>
        <v>1.0258809425428383</v>
      </c>
      <c r="AT2867" s="132"/>
      <c r="AU2867" s="146"/>
    </row>
    <row r="2868" spans="13:47" x14ac:dyDescent="0.25">
      <c r="M2868" s="27"/>
      <c r="N2868" s="27"/>
      <c r="O2868" s="2" t="s">
        <v>26</v>
      </c>
      <c r="P2868" s="7">
        <v>12</v>
      </c>
      <c r="Q2868" s="2"/>
      <c r="R2868" s="181">
        <f>1-R2867/(3*F_GAMMA*R$29)</f>
        <v>0.73864232035118194</v>
      </c>
      <c r="S2868" s="133"/>
      <c r="T2868" s="146"/>
      <c r="U2868" s="138">
        <f>1-U2867/(3*F_GAMMA*U$29)</f>
        <v>0.75126546517699866</v>
      </c>
      <c r="V2868" s="133"/>
      <c r="W2868" s="146"/>
      <c r="X2868" s="138">
        <f>1-X2867/(3*F_GAMMA*X$29)</f>
        <v>0.84260307354438768</v>
      </c>
      <c r="Y2868" s="133"/>
      <c r="Z2868" s="146"/>
      <c r="AA2868" s="138">
        <f>1-AA2867/(3*F_GAMMA*AA$29)</f>
        <v>-2.0402310867505564</v>
      </c>
      <c r="AB2868" s="133"/>
      <c r="AC2868" s="146"/>
      <c r="AD2868" s="138">
        <f>1-AD2867/(3*F_GAMMA*AD$29)</f>
        <v>0.31215339900305072</v>
      </c>
      <c r="AE2868" s="133"/>
      <c r="AF2868" s="146"/>
      <c r="AG2868" s="138">
        <f>1-AG2867/(3*F_GAMMA*AG$29)</f>
        <v>0.35893959189925106</v>
      </c>
      <c r="AH2868" s="133"/>
      <c r="AI2868" s="146"/>
      <c r="AJ2868" s="138">
        <f>1-AJ2867/(3*F_GAMMA*AJ$29)</f>
        <v>0.34156825672806734</v>
      </c>
      <c r="AK2868" s="133"/>
      <c r="AL2868" s="146"/>
      <c r="AM2868" s="138">
        <f>1-AM2867/(3*F_GAMMA*AM$29)</f>
        <v>0.29235287272667443</v>
      </c>
      <c r="AN2868" s="133"/>
      <c r="AO2868" s="146"/>
      <c r="AP2868" s="138">
        <f>1-AP2867/(3*F_GAMMA*AP$29)</f>
        <v>0.42006286287758765</v>
      </c>
      <c r="AQ2868" s="133"/>
      <c r="AR2868" s="146"/>
      <c r="AS2868" s="138">
        <f>1-AS2867/(3*F_GAMMA*AS$29)</f>
        <v>0.12535903057617104</v>
      </c>
      <c r="AT2868" s="133"/>
      <c r="AU2868" s="146"/>
    </row>
    <row r="2869" spans="13:47" x14ac:dyDescent="0.25">
      <c r="M2869" s="27"/>
      <c r="N2869" s="27"/>
      <c r="O2869" s="2" t="s">
        <v>71</v>
      </c>
      <c r="P2869" s="85">
        <v>5</v>
      </c>
      <c r="Q2869" s="2"/>
      <c r="R2869" s="179">
        <f>R2861/((N_6*R$27*R2868)*SQRT(R2867*R2863*R2865))</f>
        <v>2.7082590858163309</v>
      </c>
      <c r="S2869" s="133"/>
      <c r="T2869" s="146"/>
      <c r="U2869" s="143">
        <f>U2861/((N_6*U$27*U2868)*SQRT(U2867*U2863*U2865))</f>
        <v>15.876760636255543</v>
      </c>
      <c r="V2869" s="133"/>
      <c r="W2869" s="146"/>
      <c r="X2869" s="143">
        <f>X2861/((N_6*X$27*X2868)*SQRT(X2867*X2863*X2865))</f>
        <v>59.740746113209887</v>
      </c>
      <c r="Y2869" s="133"/>
      <c r="Z2869" s="146"/>
      <c r="AA2869" s="143">
        <f>AA2861/((N_6*AA$27*AA2868)*SQRT(AA2867*AA2863*AA2865))</f>
        <v>-73.711892800635624</v>
      </c>
      <c r="AB2869" s="133"/>
      <c r="AC2869" s="146"/>
      <c r="AD2869" s="143">
        <f>AD2861/((N_6*AD$27*AD2868)*SQRT(AD2867*AD2863*AD2865))</f>
        <v>91.237730270838227</v>
      </c>
      <c r="AE2869" s="133"/>
      <c r="AF2869" s="146"/>
      <c r="AG2869" s="143">
        <f>AG2861/((N_6*AG$27*AG2868)*SQRT(AG2867*AG2863*AG2865))</f>
        <v>49.366197402546298</v>
      </c>
      <c r="AH2869" s="133"/>
      <c r="AI2869" s="146"/>
      <c r="AJ2869" s="143">
        <f>AJ2861/((N_6*AJ$27*AJ2868)*SQRT(AJ2867*AJ2863*AJ2865))</f>
        <v>40.004350329964851</v>
      </c>
      <c r="AK2869" s="133"/>
      <c r="AL2869" s="146"/>
      <c r="AM2869" s="143">
        <f>AM2861/((N_6*AM$27*AM2868)*SQRT(AM2867*AM2863*AM2865))</f>
        <v>41.330412174642326</v>
      </c>
      <c r="AN2869" s="133"/>
      <c r="AO2869" s="146"/>
      <c r="AP2869" s="143">
        <f>AP2861/((N_6*AP$27*AP2868)*SQRT(AP2867*AP2863*AP2865))</f>
        <v>28.937711584906246</v>
      </c>
      <c r="AQ2869" s="133"/>
      <c r="AR2869" s="146"/>
      <c r="AS2869" s="143">
        <f>AS2861/((N_6*AS$27*AS2868)*SQRT(AS2867*AS2863*AS2865))</f>
        <v>113.11848100548845</v>
      </c>
      <c r="AT2869" s="133"/>
      <c r="AU2869" s="146"/>
    </row>
    <row r="2870" spans="13:47" x14ac:dyDescent="0.25">
      <c r="M2870" s="27"/>
      <c r="N2870" s="27"/>
      <c r="O2870" s="2" t="s">
        <v>73</v>
      </c>
      <c r="P2870" s="85">
        <v>5</v>
      </c>
      <c r="Q2870" s="2"/>
      <c r="R2870" s="179">
        <f>R2861/((N_6*R$27*0.667)*SQRT(R2871*R2863*R2865))</f>
        <v>2.6556865985185354</v>
      </c>
      <c r="S2870" s="133"/>
      <c r="T2870" s="155"/>
      <c r="U2870" s="143">
        <f>U2861/((N_6*U$27*0.667)*SQRT(U2871*U2863*U2865))</f>
        <v>15.447498434519941</v>
      </c>
      <c r="V2870" s="133"/>
      <c r="W2870" s="155"/>
      <c r="X2870" s="143">
        <f>X2861/((N_6*X$27*0.667)*SQRT(X2871*X2863*X2865))</f>
        <v>51.859293801786279</v>
      </c>
      <c r="Y2870" s="133"/>
      <c r="Z2870" s="155"/>
      <c r="AA2870" s="143">
        <f>AA2861/((N_6*AA$27*0.667)*SQRT(AA2871*AA2863*AA2865))</f>
        <v>680.93399275018885</v>
      </c>
      <c r="AB2870" s="133"/>
      <c r="AC2870" s="155"/>
      <c r="AD2870" s="143">
        <f>AD2861/((N_6*AD$27*0.667)*SQRT(AD2871*AD2863*AD2865))</f>
        <v>61.337084949225506</v>
      </c>
      <c r="AE2870" s="133"/>
      <c r="AF2870" s="155"/>
      <c r="AG2870" s="143">
        <f>AG2861/((N_6*AG$27*0.667)*SQRT(AG2871*AG2863*AG2865))</f>
        <v>36.841330960996928</v>
      </c>
      <c r="AH2870" s="133"/>
      <c r="AI2870" s="155"/>
      <c r="AJ2870" s="143">
        <f>AJ2861/((N_6*AJ$27*0.667)*SQRT(AJ2871*AJ2863*AJ2865))</f>
        <v>28.792203197398486</v>
      </c>
      <c r="AK2870" s="133"/>
      <c r="AL2870" s="155"/>
      <c r="AM2870" s="143">
        <f>AM2861/((N_6*AM$27*0.667)*SQRT(AM2871*AM2863*AM2865))</f>
        <v>26.394915103734629</v>
      </c>
      <c r="AN2870" s="133"/>
      <c r="AO2870" s="155"/>
      <c r="AP2870" s="143">
        <f>AP2861/((N_6*AP$27*0.667)*SQRT(AP2871*AP2863*AP2865))</f>
        <v>24.038298585034994</v>
      </c>
      <c r="AQ2870" s="133"/>
      <c r="AR2870" s="155"/>
      <c r="AS2870" s="143">
        <f>AS2861/((N_6*AS$27*0.667)*SQRT(AS2871*AS2863*AS2865))</f>
        <v>34.438076886298319</v>
      </c>
      <c r="AT2870" s="133"/>
      <c r="AU2870" s="155"/>
    </row>
    <row r="2871" spans="13:47" ht="15.5" x14ac:dyDescent="0.4">
      <c r="M2871" s="27"/>
      <c r="N2871" s="27"/>
      <c r="O2871" s="2" t="s">
        <v>192</v>
      </c>
      <c r="P2871" s="85">
        <v>10</v>
      </c>
      <c r="Q2871" s="2"/>
      <c r="R2871" s="181">
        <f>F_GAMMA*R$29</f>
        <v>0.64002688015162901</v>
      </c>
      <c r="S2871" s="133"/>
      <c r="T2871" s="155"/>
      <c r="U2871" s="138">
        <f>F_GAMMA*U$29</f>
        <v>0.64016782916606918</v>
      </c>
      <c r="V2871" s="133"/>
      <c r="W2871" s="155"/>
      <c r="X2871" s="138">
        <f>F_GAMMA*X$29</f>
        <v>0.6307062319203669</v>
      </c>
      <c r="Y2871" s="133"/>
      <c r="Z2871" s="155"/>
      <c r="AA2871" s="138">
        <f>F_GAMMA*AA$29</f>
        <v>0.62217534213893466</v>
      </c>
      <c r="AB2871" s="133"/>
      <c r="AC2871" s="155"/>
      <c r="AD2871" s="138">
        <f>F_GAMMA*AD$29</f>
        <v>0.60557184969146072</v>
      </c>
      <c r="AE2871" s="133"/>
      <c r="AF2871" s="155"/>
      <c r="AG2871" s="138">
        <f>F_GAMMA*AG$29</f>
        <v>0.57289312142622573</v>
      </c>
      <c r="AH2871" s="133"/>
      <c r="AI2871" s="155"/>
      <c r="AJ2871" s="138">
        <f>F_GAMMA*AJ$29</f>
        <v>0.53590819116049981</v>
      </c>
      <c r="AK2871" s="133"/>
      <c r="AL2871" s="155"/>
      <c r="AM2871" s="138">
        <f>F_GAMMA*AM$29</f>
        <v>0.49048815926850342</v>
      </c>
      <c r="AN2871" s="133"/>
      <c r="AO2871" s="155"/>
      <c r="AP2871" s="138">
        <f>F_GAMMA*AP$29</f>
        <v>0.59352979016280105</v>
      </c>
      <c r="AQ2871" s="133"/>
      <c r="AR2871" s="155"/>
      <c r="AS2871" s="138">
        <f>F_GAMMA*AS$29</f>
        <v>0.39097221161068291</v>
      </c>
      <c r="AT2871" s="133"/>
      <c r="AU2871" s="155"/>
    </row>
    <row r="2872" spans="13:47" x14ac:dyDescent="0.25">
      <c r="M2872" s="27"/>
      <c r="N2872" s="27"/>
      <c r="O2872" s="2" t="s">
        <v>193</v>
      </c>
      <c r="P2872" s="134"/>
      <c r="Q2872" s="2"/>
      <c r="R2872" s="181">
        <f>IF(R2867&lt;R2871,R2869,R2870)</f>
        <v>2.7082590858163309</v>
      </c>
      <c r="S2872" s="133"/>
      <c r="T2872" s="155"/>
      <c r="U2872" s="138">
        <f>IF(U2867&lt;U2871,U2869,U2870)</f>
        <v>15.876760636255543</v>
      </c>
      <c r="V2872" s="133"/>
      <c r="W2872" s="155"/>
      <c r="X2872" s="138">
        <f>IF(X2867&lt;X2871,X2869,X2870)</f>
        <v>59.740746113209887</v>
      </c>
      <c r="Y2872" s="133"/>
      <c r="Z2872" s="155"/>
      <c r="AA2872" s="138">
        <f>IF(AA2867&lt;AA2871,AA2869,AA2870)</f>
        <v>680.93399275018885</v>
      </c>
      <c r="AB2872" s="133"/>
      <c r="AC2872" s="155"/>
      <c r="AD2872" s="138">
        <f>IF(AD2867&lt;AD2871,AD2869,AD2870)</f>
        <v>61.337084949225506</v>
      </c>
      <c r="AE2872" s="133"/>
      <c r="AF2872" s="155"/>
      <c r="AG2872" s="138">
        <f>IF(AG2867&lt;AG2871,AG2869,AG2870)</f>
        <v>36.841330960996928</v>
      </c>
      <c r="AH2872" s="133"/>
      <c r="AI2872" s="155"/>
      <c r="AJ2872" s="138">
        <f>IF(AJ2867&lt;AJ2871,AJ2869,AJ2870)</f>
        <v>28.792203197398486</v>
      </c>
      <c r="AK2872" s="133"/>
      <c r="AL2872" s="155"/>
      <c r="AM2872" s="138">
        <f>IF(AM2867&lt;AM2871,AM2869,AM2870)</f>
        <v>26.394915103734629</v>
      </c>
      <c r="AN2872" s="133"/>
      <c r="AO2872" s="155"/>
      <c r="AP2872" s="138">
        <f>IF(AP2867&lt;AP2871,AP2869,AP2870)</f>
        <v>24.038298585034994</v>
      </c>
      <c r="AQ2872" s="133"/>
      <c r="AR2872" s="155"/>
      <c r="AS2872" s="138">
        <f>IF(AS2867&lt;AS2871,AS2869,AS2870)</f>
        <v>34.438076886298319</v>
      </c>
      <c r="AT2872" s="133"/>
      <c r="AU2872" s="155"/>
    </row>
    <row r="2873" spans="13:47" ht="13" x14ac:dyDescent="0.3">
      <c r="M2873" s="28"/>
      <c r="N2873" s="28"/>
      <c r="O2873" s="9" t="s">
        <v>194</v>
      </c>
      <c r="P2873" s="1"/>
      <c r="Q2873" s="1"/>
      <c r="R2873" s="135"/>
      <c r="S2873" s="132">
        <f>IF(R2866&lt;=0,W_max,ABS(R$23-R2872))</f>
        <v>0.7082590858163309</v>
      </c>
      <c r="T2873" s="151">
        <f>R2861</f>
        <v>625.23053881565954</v>
      </c>
      <c r="U2873" s="135"/>
      <c r="V2873" s="132">
        <f>IF(U2866&lt;=0,W_max,ABS(U$23-U2872))</f>
        <v>10.876760636255543</v>
      </c>
      <c r="W2873" s="151">
        <f>U2861</f>
        <v>3467.0101272632123</v>
      </c>
      <c r="X2873" s="135"/>
      <c r="Y2873" s="132">
        <f>IF(X2866&lt;=0,W_max,ABS(X$23-X2872))</f>
        <v>49.740746113209887</v>
      </c>
      <c r="Z2873" s="151">
        <f>X2861</f>
        <v>8574.3286237634311</v>
      </c>
      <c r="AA2873" s="135"/>
      <c r="AB2873" s="132">
        <f>IF(AA2866&lt;=0,W_max,ABS(AA$23-AA2872))</f>
        <v>7174</v>
      </c>
      <c r="AC2873" s="151">
        <f>AA2861</f>
        <v>16700.60360103743</v>
      </c>
      <c r="AD2873" s="135"/>
      <c r="AE2873" s="132">
        <f>IF(AD2866&lt;=0,W_max,ABS(AD$23-AD2872))</f>
        <v>7174</v>
      </c>
      <c r="AF2873" s="151">
        <f>AD2861</f>
        <v>27466.344126266697</v>
      </c>
      <c r="AG2873" s="135"/>
      <c r="AH2873" s="132">
        <f>IF(AG2866&lt;=0,W_max,ABS(AG$23-AG2872))</f>
        <v>7174</v>
      </c>
      <c r="AI2873" s="151">
        <f>AG2861</f>
        <v>38523.662165715468</v>
      </c>
      <c r="AJ2873" s="135"/>
      <c r="AK2873" s="132">
        <f>IF(AJ2866&lt;=0,W_max,ABS(AJ$23-AJ2872))</f>
        <v>7174</v>
      </c>
      <c r="AL2873" s="151">
        <f>AJ2861</f>
        <v>48914.82864014696</v>
      </c>
      <c r="AM2873" s="135"/>
      <c r="AN2873" s="132">
        <f>IF(AM2866&lt;=0,W_max,ABS(AM$23-AM2872))</f>
        <v>7174</v>
      </c>
      <c r="AO2873" s="151">
        <f>AM2861</f>
        <v>57356.483483538454</v>
      </c>
      <c r="AP2873" s="135"/>
      <c r="AQ2873" s="132">
        <f>IF(AP2866&lt;=0,W_max,ABS(AP$23-AP2872))</f>
        <v>7174</v>
      </c>
      <c r="AR2873" s="151">
        <f>AP2861</f>
        <v>63990.813098615879</v>
      </c>
      <c r="AS2873" s="135"/>
      <c r="AT2873" s="132">
        <f>IF(AS2866&lt;=0,W_max,ABS(AS$23-AS2872))</f>
        <v>7174</v>
      </c>
      <c r="AU2873" s="151">
        <f>AS2861</f>
        <v>71392.524651502041</v>
      </c>
    </row>
    <row r="2874" spans="13:47" ht="13" x14ac:dyDescent="0.25">
      <c r="M2874" s="12"/>
      <c r="N2874" s="12"/>
      <c r="O2874" s="2"/>
      <c r="P2874" s="85"/>
      <c r="Q2874" s="2"/>
      <c r="R2874" s="18"/>
      <c r="S2874" s="150"/>
      <c r="T2874" s="152"/>
      <c r="U2874" s="157"/>
      <c r="V2874" s="1"/>
      <c r="W2874" s="147"/>
      <c r="X2874" s="157"/>
      <c r="Y2874" s="1"/>
      <c r="Z2874" s="147"/>
      <c r="AA2874" s="157"/>
      <c r="AB2874" s="1"/>
      <c r="AC2874" s="147"/>
      <c r="AD2874" s="157"/>
      <c r="AE2874" s="1"/>
      <c r="AF2874" s="147"/>
      <c r="AG2874" s="157"/>
      <c r="AH2874" s="1"/>
      <c r="AI2874" s="147"/>
      <c r="AJ2874" s="157"/>
      <c r="AK2874" s="1"/>
      <c r="AL2874" s="147"/>
      <c r="AM2874" s="157"/>
      <c r="AN2874" s="1"/>
      <c r="AO2874" s="147"/>
      <c r="AP2874" s="157"/>
      <c r="AQ2874" s="1"/>
      <c r="AR2874" s="147"/>
      <c r="AS2874" s="157"/>
      <c r="AT2874" s="1"/>
      <c r="AU2874" s="147"/>
    </row>
    <row r="2875" spans="13:47" ht="14" x14ac:dyDescent="0.3">
      <c r="M2875" s="23"/>
      <c r="N2875" s="23"/>
      <c r="O2875" s="23" t="s">
        <v>238</v>
      </c>
      <c r="P2875" s="20"/>
      <c r="Q2875" s="20"/>
      <c r="R2875" s="181">
        <f>R2861*1.02</f>
        <v>637.7351495919728</v>
      </c>
      <c r="S2875" s="128" t="s">
        <v>185</v>
      </c>
      <c r="T2875" s="153" t="s">
        <v>186</v>
      </c>
      <c r="U2875" s="143">
        <f>U2861*1.01</f>
        <v>3501.6802285358444</v>
      </c>
      <c r="V2875" s="128" t="s">
        <v>185</v>
      </c>
      <c r="W2875" s="153" t="s">
        <v>186</v>
      </c>
      <c r="X2875" s="143">
        <f>X2861*1.01</f>
        <v>8660.0719100010647</v>
      </c>
      <c r="Y2875" s="128" t="s">
        <v>185</v>
      </c>
      <c r="Z2875" s="153" t="s">
        <v>186</v>
      </c>
      <c r="AA2875" s="143">
        <f>AA2861*1.01</f>
        <v>16867.609637047804</v>
      </c>
      <c r="AB2875" s="128" t="s">
        <v>185</v>
      </c>
      <c r="AC2875" s="153" t="s">
        <v>186</v>
      </c>
      <c r="AD2875" s="143">
        <f>AD2861*1.01</f>
        <v>27741.007567529363</v>
      </c>
      <c r="AE2875" s="128" t="s">
        <v>185</v>
      </c>
      <c r="AF2875" s="153" t="s">
        <v>186</v>
      </c>
      <c r="AG2875" s="143">
        <f>AG2861*1.01</f>
        <v>38908.898787372622</v>
      </c>
      <c r="AH2875" s="128" t="s">
        <v>185</v>
      </c>
      <c r="AI2875" s="153" t="s">
        <v>186</v>
      </c>
      <c r="AJ2875" s="143">
        <f>AJ2861*1.01</f>
        <v>49403.976926548428</v>
      </c>
      <c r="AK2875" s="128" t="s">
        <v>185</v>
      </c>
      <c r="AL2875" s="153" t="s">
        <v>186</v>
      </c>
      <c r="AM2875" s="143">
        <f>AM2861*1.01</f>
        <v>57930.04831837384</v>
      </c>
      <c r="AN2875" s="128" t="s">
        <v>185</v>
      </c>
      <c r="AO2875" s="153" t="s">
        <v>186</v>
      </c>
      <c r="AP2875" s="143">
        <f>AP2861*1.01</f>
        <v>64630.721229602037</v>
      </c>
      <c r="AQ2875" s="128" t="s">
        <v>185</v>
      </c>
      <c r="AR2875" s="153" t="s">
        <v>186</v>
      </c>
      <c r="AS2875" s="143">
        <f>AS2861*1.01</f>
        <v>72106.449898017061</v>
      </c>
      <c r="AT2875" s="128" t="s">
        <v>185</v>
      </c>
      <c r="AU2875" s="153" t="s">
        <v>186</v>
      </c>
    </row>
    <row r="2876" spans="13:47" ht="14" x14ac:dyDescent="0.3">
      <c r="M2876" s="12"/>
      <c r="N2876" s="12"/>
      <c r="O2876" s="20"/>
      <c r="P2876" s="20"/>
      <c r="Q2876" s="23"/>
      <c r="R2876" s="139"/>
      <c r="S2876" s="130" t="s">
        <v>228</v>
      </c>
      <c r="T2876" s="154" t="s">
        <v>187</v>
      </c>
      <c r="U2876" s="144"/>
      <c r="V2876" s="130" t="s">
        <v>228</v>
      </c>
      <c r="W2876" s="154" t="s">
        <v>187</v>
      </c>
      <c r="X2876" s="144"/>
      <c r="Y2876" s="130" t="s">
        <v>228</v>
      </c>
      <c r="Z2876" s="154" t="s">
        <v>187</v>
      </c>
      <c r="AA2876" s="144"/>
      <c r="AB2876" s="130" t="s">
        <v>228</v>
      </c>
      <c r="AC2876" s="154" t="s">
        <v>187</v>
      </c>
      <c r="AD2876" s="144"/>
      <c r="AE2876" s="130" t="s">
        <v>228</v>
      </c>
      <c r="AF2876" s="154" t="s">
        <v>187</v>
      </c>
      <c r="AG2876" s="144"/>
      <c r="AH2876" s="130" t="s">
        <v>228</v>
      </c>
      <c r="AI2876" s="154" t="s">
        <v>187</v>
      </c>
      <c r="AJ2876" s="144"/>
      <c r="AK2876" s="130" t="s">
        <v>228</v>
      </c>
      <c r="AL2876" s="154" t="s">
        <v>187</v>
      </c>
      <c r="AM2876" s="144"/>
      <c r="AN2876" s="130" t="s">
        <v>228</v>
      </c>
      <c r="AO2876" s="154" t="s">
        <v>187</v>
      </c>
      <c r="AP2876" s="144"/>
      <c r="AQ2876" s="130" t="s">
        <v>228</v>
      </c>
      <c r="AR2876" s="154" t="s">
        <v>187</v>
      </c>
      <c r="AS2876" s="144"/>
      <c r="AT2876" s="130" t="s">
        <v>228</v>
      </c>
      <c r="AU2876" s="154" t="s">
        <v>187</v>
      </c>
    </row>
    <row r="2877" spans="13:47" x14ac:dyDescent="0.25">
      <c r="M2877" s="20"/>
      <c r="N2877" s="20"/>
      <c r="O2877" s="7" t="s">
        <v>188</v>
      </c>
      <c r="P2877" s="7"/>
      <c r="Q2877" s="7"/>
      <c r="R2877" s="181">
        <f>P_1_minW-(R2875^2*R_up)+dpup_minQ</f>
        <v>100.36060785698187</v>
      </c>
      <c r="S2877" s="132"/>
      <c r="T2877" s="145"/>
      <c r="U2877" s="138">
        <f>P_1_minW-(U2875^2*R_up)+dpup_minQ</f>
        <v>95.633263036439061</v>
      </c>
      <c r="V2877" s="132"/>
      <c r="W2877" s="145"/>
      <c r="X2877" s="138">
        <f>P_1_minW-(X2875^2*R_up)+dpup_minQ</f>
        <v>70.61690689719029</v>
      </c>
      <c r="Y2877" s="132"/>
      <c r="Z2877" s="145"/>
      <c r="AA2877" s="138">
        <f>P_1_minW-(AA2875^2*R_up)+dpup_minQ</f>
        <v>-12.931437574832572</v>
      </c>
      <c r="AB2877" s="132"/>
      <c r="AC2877" s="145"/>
      <c r="AD2877" s="138">
        <f>P_1_minW-(AD2875^2*R_up)+dpup_minQ</f>
        <v>-206.34976818747114</v>
      </c>
      <c r="AE2877" s="132"/>
      <c r="AF2877" s="145"/>
      <c r="AG2877" s="138">
        <f>P_1_minW-(AG2875^2*R_up)+dpup_minQ</f>
        <v>-503.16371653528631</v>
      </c>
      <c r="AH2877" s="132"/>
      <c r="AI2877" s="145"/>
      <c r="AJ2877" s="138">
        <f>P_1_minW-(AJ2875^2*R_up)+dpup_minQ</f>
        <v>-872.75633658335369</v>
      </c>
      <c r="AK2877" s="132"/>
      <c r="AL2877" s="145"/>
      <c r="AM2877" s="138">
        <f>P_1_minW-(AM2875^2*R_up)+dpup_minQ</f>
        <v>-1237.678271481137</v>
      </c>
      <c r="AN2877" s="132"/>
      <c r="AO2877" s="145"/>
      <c r="AP2877" s="138">
        <f>P_1_minW-(AP2875^2*R_up)+dpup_minQ</f>
        <v>-1565.1572939625132</v>
      </c>
      <c r="AQ2877" s="132"/>
      <c r="AR2877" s="145"/>
      <c r="AS2877" s="138">
        <f>P_1_minW-(AS2875^2*R_up)+dpup_minQ</f>
        <v>-1972.7756269808101</v>
      </c>
      <c r="AT2877" s="132"/>
      <c r="AU2877" s="145"/>
    </row>
    <row r="2878" spans="13:47" x14ac:dyDescent="0.25">
      <c r="M2878" s="20"/>
      <c r="N2878" s="20"/>
      <c r="O2878" s="7" t="s">
        <v>189</v>
      </c>
      <c r="P2878" s="1"/>
      <c r="Q2878" s="7"/>
      <c r="R2878" s="181">
        <f>P_2_minW+(R2875^2*R_dn)-dpdn_minQ</f>
        <v>50</v>
      </c>
      <c r="S2878" s="132"/>
      <c r="T2878" s="146"/>
      <c r="U2878" s="138">
        <f>P_2_minW+(U2875^2*R_dn)-dpdn_minQ</f>
        <v>50</v>
      </c>
      <c r="V2878" s="132"/>
      <c r="W2878" s="146"/>
      <c r="X2878" s="138">
        <f>P_2_minW+(X2875^2*R_dn)-dpdn_minQ</f>
        <v>50</v>
      </c>
      <c r="Y2878" s="132"/>
      <c r="Z2878" s="146"/>
      <c r="AA2878" s="138">
        <f>P_2_minW+(AA2875^2*R_dn)-dpdn_minQ</f>
        <v>50</v>
      </c>
      <c r="AB2878" s="132"/>
      <c r="AC2878" s="146"/>
      <c r="AD2878" s="138">
        <f>P_2_minW+(AD2875^2*R_dn)-dpdn_minQ</f>
        <v>50</v>
      </c>
      <c r="AE2878" s="132"/>
      <c r="AF2878" s="146"/>
      <c r="AG2878" s="138">
        <f>P_2_minW+(AG2875^2*R_dn)-dpdn_minQ</f>
        <v>50</v>
      </c>
      <c r="AH2878" s="132"/>
      <c r="AI2878" s="146"/>
      <c r="AJ2878" s="138">
        <f>P_2_minW+(AJ2875^2*R_dn)-dpdn_minQ</f>
        <v>50</v>
      </c>
      <c r="AK2878" s="132"/>
      <c r="AL2878" s="146"/>
      <c r="AM2878" s="138">
        <f>P_2_minW+(AM2875^2*R_dn)-dpdn_minQ</f>
        <v>50</v>
      </c>
      <c r="AN2878" s="132"/>
      <c r="AO2878" s="146"/>
      <c r="AP2878" s="138">
        <f>P_2_minW+(AP2875^2*R_dn)-dpdn_minQ</f>
        <v>50</v>
      </c>
      <c r="AQ2878" s="132"/>
      <c r="AR2878" s="146"/>
      <c r="AS2878" s="138">
        <f>P_2_minW+(AS2875^2*R_dn)-dpdn_minQ</f>
        <v>50</v>
      </c>
      <c r="AT2878" s="132"/>
      <c r="AU2878" s="146"/>
    </row>
    <row r="2879" spans="13:47" x14ac:dyDescent="0.25">
      <c r="M2879" s="20"/>
      <c r="N2879" s="20"/>
      <c r="O2879" s="7" t="s">
        <v>234</v>
      </c>
      <c r="P2879" s="1"/>
      <c r="Q2879" s="7"/>
      <c r="R2879" s="179">
        <f>'Valve Sizing'!G$8*R2877/P_1_maxW</f>
        <v>0.48412170419717171</v>
      </c>
      <c r="S2879" s="132"/>
      <c r="T2879" s="146"/>
      <c r="U2879" s="143">
        <f>'Valve Sizing'!$G$8*U2877/P_1_maxW</f>
        <v>0.46131783443474228</v>
      </c>
      <c r="V2879" s="132"/>
      <c r="W2879" s="146"/>
      <c r="X2879" s="143">
        <f>'Valve Sizing'!$G$8*X2877/P_1_maxW</f>
        <v>0.34064338630669666</v>
      </c>
      <c r="Y2879" s="132"/>
      <c r="Z2879" s="146"/>
      <c r="AA2879" s="143">
        <f>'Valve Sizing'!$G$8*AA2877/P_1_maxW</f>
        <v>-6.237895256043692E-2</v>
      </c>
      <c r="AB2879" s="132"/>
      <c r="AC2879" s="146"/>
      <c r="AD2879" s="143">
        <f>'Valve Sizing'!$G$8*AD2877/P_1_maxW</f>
        <v>-0.99539454342454081</v>
      </c>
      <c r="AE2879" s="132"/>
      <c r="AF2879" s="146"/>
      <c r="AG2879" s="143">
        <f>'Valve Sizing'!$G$8*AG2877/P_1_maxW</f>
        <v>-2.4271721857880242</v>
      </c>
      <c r="AH2879" s="132"/>
      <c r="AI2879" s="146"/>
      <c r="AJ2879" s="143">
        <f>'Valve Sizing'!$G$8*AJ2877/P_1_maxW</f>
        <v>-4.2100211829896734</v>
      </c>
      <c r="AK2879" s="132"/>
      <c r="AL2879" s="146"/>
      <c r="AM2879" s="143">
        <f>'Valve Sizing'!$G$8*AM2877/P_1_maxW</f>
        <v>-5.9703396265905893</v>
      </c>
      <c r="AN2879" s="132"/>
      <c r="AO2879" s="146"/>
      <c r="AP2879" s="143">
        <f>'Valve Sizing'!$G$8*AP2877/P_1_maxW</f>
        <v>-7.5500401269944293</v>
      </c>
      <c r="AQ2879" s="132"/>
      <c r="AR2879" s="146"/>
      <c r="AS2879" s="143">
        <f>'Valve Sizing'!$G$8*AS2877/P_1_maxW</f>
        <v>-9.5163183935035516</v>
      </c>
      <c r="AT2879" s="132"/>
      <c r="AU2879" s="146"/>
    </row>
    <row r="2880" spans="13:47" x14ac:dyDescent="0.25">
      <c r="M2880" s="20"/>
      <c r="N2880" s="20"/>
      <c r="O2880" s="7" t="s">
        <v>190</v>
      </c>
      <c r="P2880" s="1"/>
      <c r="Q2880" s="7"/>
      <c r="R2880" s="181">
        <f>R2877-R2878</f>
        <v>50.360607856981872</v>
      </c>
      <c r="S2880" s="132"/>
      <c r="T2880" s="146"/>
      <c r="U2880" s="138">
        <f>U2877-U2878</f>
        <v>45.633263036439061</v>
      </c>
      <c r="V2880" s="132"/>
      <c r="W2880" s="146"/>
      <c r="X2880" s="138">
        <f>X2877-X2878</f>
        <v>20.61690689719029</v>
      </c>
      <c r="Y2880" s="132"/>
      <c r="Z2880" s="146"/>
      <c r="AA2880" s="138">
        <f>AA2877-AA2878</f>
        <v>-62.931437574832572</v>
      </c>
      <c r="AB2880" s="132"/>
      <c r="AC2880" s="146"/>
      <c r="AD2880" s="138">
        <f>AD2877-AD2878</f>
        <v>-256.34976818747111</v>
      </c>
      <c r="AE2880" s="132"/>
      <c r="AF2880" s="146"/>
      <c r="AG2880" s="138">
        <f>AG2877-AG2878</f>
        <v>-553.16371653528631</v>
      </c>
      <c r="AH2880" s="132"/>
      <c r="AI2880" s="146"/>
      <c r="AJ2880" s="138">
        <f>AJ2877-AJ2878</f>
        <v>-922.75633658335369</v>
      </c>
      <c r="AK2880" s="132"/>
      <c r="AL2880" s="146"/>
      <c r="AM2880" s="138">
        <f>AM2877-AM2878</f>
        <v>-1287.678271481137</v>
      </c>
      <c r="AN2880" s="132"/>
      <c r="AO2880" s="146"/>
      <c r="AP2880" s="138">
        <f>AP2877-AP2878</f>
        <v>-1615.1572939625132</v>
      </c>
      <c r="AQ2880" s="132"/>
      <c r="AR2880" s="146"/>
      <c r="AS2880" s="138">
        <f>AS2877-AS2878</f>
        <v>-2022.7756269808101</v>
      </c>
      <c r="AT2880" s="132"/>
      <c r="AU2880" s="146"/>
    </row>
    <row r="2881" spans="13:47" ht="14.5" x14ac:dyDescent="0.35">
      <c r="M2881" s="27"/>
      <c r="N2881" s="27"/>
      <c r="O2881" s="2" t="s">
        <v>191</v>
      </c>
      <c r="P2881" s="10"/>
      <c r="Q2881" s="2"/>
      <c r="R2881" s="181">
        <f>R2880/R2877</f>
        <v>0.50179656074570489</v>
      </c>
      <c r="S2881" s="132"/>
      <c r="T2881" s="146"/>
      <c r="U2881" s="138">
        <f>U2880/U2877</f>
        <v>0.47716936124046566</v>
      </c>
      <c r="V2881" s="132"/>
      <c r="W2881" s="146"/>
      <c r="X2881" s="138">
        <f>X2880/X2877</f>
        <v>0.29195426142362796</v>
      </c>
      <c r="Y2881" s="132"/>
      <c r="Z2881" s="146"/>
      <c r="AA2881" s="138">
        <f>AA2880/AA2877</f>
        <v>4.8665461369361616</v>
      </c>
      <c r="AB2881" s="132"/>
      <c r="AC2881" s="146"/>
      <c r="AD2881" s="138">
        <f>AD2880/AD2877</f>
        <v>1.2423070325650882</v>
      </c>
      <c r="AE2881" s="132"/>
      <c r="AF2881" s="146"/>
      <c r="AG2881" s="138">
        <f>AG2880/AG2877</f>
        <v>1.0993712351603826</v>
      </c>
      <c r="AH2881" s="132"/>
      <c r="AI2881" s="146"/>
      <c r="AJ2881" s="138">
        <f>AJ2880/AJ2877</f>
        <v>1.0572897587839223</v>
      </c>
      <c r="AK2881" s="132"/>
      <c r="AL2881" s="146"/>
      <c r="AM2881" s="138">
        <f>AM2880/AM2877</f>
        <v>1.0403982207267521</v>
      </c>
      <c r="AN2881" s="132"/>
      <c r="AO2881" s="146"/>
      <c r="AP2881" s="138">
        <f>AP2880/AP2877</f>
        <v>1.0319456710152211</v>
      </c>
      <c r="AQ2881" s="132"/>
      <c r="AR2881" s="146"/>
      <c r="AS2881" s="138">
        <f>AS2880/AS2877</f>
        <v>1.0253450008790514</v>
      </c>
      <c r="AT2881" s="132"/>
      <c r="AU2881" s="146"/>
    </row>
    <row r="2882" spans="13:47" x14ac:dyDescent="0.25">
      <c r="M2882" s="27"/>
      <c r="N2882" s="27"/>
      <c r="O2882" s="2" t="s">
        <v>26</v>
      </c>
      <c r="P2882" s="7">
        <v>12</v>
      </c>
      <c r="Q2882" s="2"/>
      <c r="R2882" s="181">
        <f>1-R2881/(3*F_GAMMA*R$29)</f>
        <v>0.73865860101228664</v>
      </c>
      <c r="S2882" s="133"/>
      <c r="T2882" s="146"/>
      <c r="U2882" s="138">
        <f>1-U2881/(3*F_GAMMA*U$29)</f>
        <v>0.75153944559503905</v>
      </c>
      <c r="V2882" s="133"/>
      <c r="W2882" s="146"/>
      <c r="X2882" s="138">
        <f>1-X2881/(3*F_GAMMA*X$29)</f>
        <v>0.84569981678332817</v>
      </c>
      <c r="Y2882" s="133"/>
      <c r="Z2882" s="146"/>
      <c r="AA2882" s="138">
        <f>1-AA2881/(3*F_GAMMA*AA$29)</f>
        <v>-1.6072747275206969</v>
      </c>
      <c r="AB2882" s="133"/>
      <c r="AC2882" s="146"/>
      <c r="AD2882" s="138">
        <f>1-AD2881/(3*F_GAMMA*AD$29)</f>
        <v>0.31617966654270979</v>
      </c>
      <c r="AE2882" s="133"/>
      <c r="AF2882" s="146"/>
      <c r="AG2882" s="138">
        <f>1-AG2881/(3*F_GAMMA*AG$29)</f>
        <v>0.36033953859579604</v>
      </c>
      <c r="AH2882" s="133"/>
      <c r="AI2882" s="146"/>
      <c r="AJ2882" s="138">
        <f>1-AJ2881/(3*F_GAMMA*AJ$29)</f>
        <v>0.34236885084465685</v>
      </c>
      <c r="AK2882" s="133"/>
      <c r="AL2882" s="146"/>
      <c r="AM2882" s="138">
        <f>1-AM2881/(3*F_GAMMA*AM$29)</f>
        <v>0.29295050174886661</v>
      </c>
      <c r="AN2882" s="133"/>
      <c r="AO2882" s="146"/>
      <c r="AP2882" s="138">
        <f>1-AP2881/(3*F_GAMMA*AP$29)</f>
        <v>0.42044713502239672</v>
      </c>
      <c r="AQ2882" s="133"/>
      <c r="AR2882" s="146"/>
      <c r="AS2882" s="138">
        <f>1-AS2881/(3*F_GAMMA*AS$29)</f>
        <v>0.12581596131435913</v>
      </c>
      <c r="AT2882" s="133"/>
      <c r="AU2882" s="146"/>
    </row>
    <row r="2883" spans="13:47" x14ac:dyDescent="0.25">
      <c r="M2883" s="27"/>
      <c r="N2883" s="27"/>
      <c r="O2883" s="2" t="s">
        <v>71</v>
      </c>
      <c r="P2883" s="85">
        <v>5</v>
      </c>
      <c r="Q2883" s="2"/>
      <c r="R2883" s="179">
        <f>R2875/((N_6*R$27*R2882)*SQRT(R2881*R2877*R2879))</f>
        <v>2.7626227658672948</v>
      </c>
      <c r="S2883" s="133"/>
      <c r="T2883" s="146"/>
      <c r="U2883" s="143">
        <f>U2875/((N_6*U$27*U2882)*SQRT(U2881*U2877*U2879))</f>
        <v>16.05467550921961</v>
      </c>
      <c r="V2883" s="133"/>
      <c r="W2883" s="146"/>
      <c r="X2883" s="143">
        <f>X2875/((N_6*X$27*X2882)*SQRT(X2881*X2877*X2879))</f>
        <v>61.224135640911911</v>
      </c>
      <c r="Y2883" s="133"/>
      <c r="Z2883" s="146"/>
      <c r="AA2883" s="143">
        <f>AA2875/((N_6*AA$27*AA2882)*SQRT(AA2881*AA2877*AA2879))</f>
        <v>-84.407352543197817</v>
      </c>
      <c r="AB2883" s="133"/>
      <c r="AC2883" s="146"/>
      <c r="AD2883" s="143">
        <f>AD2875/((N_6*AD$27*AD2882)*SQRT(AD2881*AD2877*AD2879))</f>
        <v>88.570398751780303</v>
      </c>
      <c r="AE2883" s="133"/>
      <c r="AF2883" s="146"/>
      <c r="AG2883" s="143">
        <f>AG2875/((N_6*AG$27*AG2882)*SQRT(AG2881*AG2877*AG2879))</f>
        <v>48.545055902706949</v>
      </c>
      <c r="AH2883" s="133"/>
      <c r="AI2883" s="146"/>
      <c r="AJ2883" s="143">
        <f>AJ2875/((N_6*AJ$27*AJ2882)*SQRT(AJ2881*AJ2877*AJ2879))</f>
        <v>39.448155613723387</v>
      </c>
      <c r="AK2883" s="133"/>
      <c r="AL2883" s="146"/>
      <c r="AM2883" s="143">
        <f>AM2875/((N_6*AM$27*AM2882)*SQRT(AM2881*AM2877*AM2879))</f>
        <v>40.788279103688723</v>
      </c>
      <c r="AN2883" s="133"/>
      <c r="AO2883" s="146"/>
      <c r="AP2883" s="143">
        <f>AP2875/((N_6*AP$27*AP2882)*SQRT(AP2881*AP2877*AP2879))</f>
        <v>28.597536716626667</v>
      </c>
      <c r="AQ2883" s="133"/>
      <c r="AR2883" s="146"/>
      <c r="AS2883" s="143">
        <f>AS2875/((N_6*AS$27*AS2882)*SQRT(AS2881*AS2877*AS2879))</f>
        <v>111.50658545617722</v>
      </c>
      <c r="AT2883" s="133"/>
      <c r="AU2883" s="146"/>
    </row>
    <row r="2884" spans="13:47" x14ac:dyDescent="0.25">
      <c r="M2884" s="27"/>
      <c r="N2884" s="27"/>
      <c r="O2884" s="2" t="s">
        <v>73</v>
      </c>
      <c r="P2884" s="85">
        <v>5</v>
      </c>
      <c r="Q2884" s="2"/>
      <c r="R2884" s="179">
        <f>R2875/((N_6*R$27*0.667)*SQRT(R2885*R2877*R2879))</f>
        <v>2.7089703070460769</v>
      </c>
      <c r="S2884" s="133"/>
      <c r="T2884" s="155"/>
      <c r="U2884" s="143">
        <f>U2875/((N_6*U$27*0.667)*SQRT(U2885*U2877*U2879))</f>
        <v>15.617691170602319</v>
      </c>
      <c r="V2884" s="133"/>
      <c r="W2884" s="155"/>
      <c r="X2884" s="143">
        <f>X2875/((N_6*X$27*0.667)*SQRT(X2885*X2877*X2879))</f>
        <v>52.814954905171518</v>
      </c>
      <c r="Y2884" s="133"/>
      <c r="Z2884" s="155"/>
      <c r="AA2884" s="143">
        <f>AA2875/((N_6*AA$27*0.667)*SQRT(AA2885*AA2877*AA2879))</f>
        <v>568.85107832909489</v>
      </c>
      <c r="AB2884" s="133"/>
      <c r="AC2884" s="155"/>
      <c r="AD2884" s="143">
        <f>AD2875/((N_6*AD$27*0.667)*SQRT(AD2885*AD2877*AD2879))</f>
        <v>60.135141285899728</v>
      </c>
      <c r="AE2884" s="133"/>
      <c r="AF2884" s="155"/>
      <c r="AG2884" s="143">
        <f>AG2875/((N_6*AG$27*0.667)*SQRT(AG2885*AG2877*AG2879))</f>
        <v>36.33008973727496</v>
      </c>
      <c r="AH2884" s="133"/>
      <c r="AI2884" s="155"/>
      <c r="AJ2884" s="143">
        <f>AJ2875/((N_6*AJ$27*0.667)*SQRT(AJ2885*AJ2877*AJ2879))</f>
        <v>28.441135350159186</v>
      </c>
      <c r="AK2884" s="133"/>
      <c r="AL2884" s="155"/>
      <c r="AM2884" s="143">
        <f>AM2875/((N_6*AM$27*0.667)*SQRT(AM2885*AM2877*AM2879))</f>
        <v>26.090916279667173</v>
      </c>
      <c r="AN2884" s="133"/>
      <c r="AO2884" s="155"/>
      <c r="AP2884" s="143">
        <f>AP2875/((N_6*AP$27*0.667)*SQRT(AP2885*AP2877*AP2879))</f>
        <v>23.769571120594343</v>
      </c>
      <c r="AQ2884" s="133"/>
      <c r="AR2884" s="155"/>
      <c r="AS2884" s="143">
        <f>AS2875/((N_6*AS$27*0.667)*SQRT(AS2885*AS2877*AS2879))</f>
        <v>34.062183724045795</v>
      </c>
      <c r="AT2884" s="133"/>
      <c r="AU2884" s="155"/>
    </row>
    <row r="2885" spans="13:47" ht="15.5" x14ac:dyDescent="0.4">
      <c r="M2885" s="27"/>
      <c r="N2885" s="27"/>
      <c r="O2885" s="2" t="s">
        <v>192</v>
      </c>
      <c r="P2885" s="85">
        <v>10</v>
      </c>
      <c r="Q2885" s="2"/>
      <c r="R2885" s="181">
        <f>F_GAMMA*R$29</f>
        <v>0.64002688015162901</v>
      </c>
      <c r="S2885" s="133"/>
      <c r="T2885" s="155"/>
      <c r="U2885" s="138">
        <f>F_GAMMA*U$29</f>
        <v>0.64016782916606918</v>
      </c>
      <c r="V2885" s="133"/>
      <c r="W2885" s="155"/>
      <c r="X2885" s="138">
        <f>F_GAMMA*X$29</f>
        <v>0.6307062319203669</v>
      </c>
      <c r="Y2885" s="133"/>
      <c r="Z2885" s="155"/>
      <c r="AA2885" s="138">
        <f>F_GAMMA*AA$29</f>
        <v>0.62217534213893466</v>
      </c>
      <c r="AB2885" s="133"/>
      <c r="AC2885" s="155"/>
      <c r="AD2885" s="138">
        <f>F_GAMMA*AD$29</f>
        <v>0.60557184969146072</v>
      </c>
      <c r="AE2885" s="133"/>
      <c r="AF2885" s="155"/>
      <c r="AG2885" s="138">
        <f>F_GAMMA*AG$29</f>
        <v>0.57289312142622573</v>
      </c>
      <c r="AH2885" s="133"/>
      <c r="AI2885" s="155"/>
      <c r="AJ2885" s="138">
        <f>F_GAMMA*AJ$29</f>
        <v>0.53590819116049981</v>
      </c>
      <c r="AK2885" s="133"/>
      <c r="AL2885" s="155"/>
      <c r="AM2885" s="138">
        <f>F_GAMMA*AM$29</f>
        <v>0.49048815926850342</v>
      </c>
      <c r="AN2885" s="133"/>
      <c r="AO2885" s="155"/>
      <c r="AP2885" s="138">
        <f>F_GAMMA*AP$29</f>
        <v>0.59352979016280105</v>
      </c>
      <c r="AQ2885" s="133"/>
      <c r="AR2885" s="155"/>
      <c r="AS2885" s="138">
        <f>F_GAMMA*AS$29</f>
        <v>0.39097221161068291</v>
      </c>
      <c r="AT2885" s="133"/>
      <c r="AU2885" s="155"/>
    </row>
    <row r="2886" spans="13:47" x14ac:dyDescent="0.25">
      <c r="M2886" s="27"/>
      <c r="N2886" s="27"/>
      <c r="O2886" s="2" t="s">
        <v>193</v>
      </c>
      <c r="P2886" s="134"/>
      <c r="Q2886" s="2"/>
      <c r="R2886" s="181">
        <f>IF(R2881&lt;R2885,R2883,R2884)</f>
        <v>2.7626227658672948</v>
      </c>
      <c r="S2886" s="133"/>
      <c r="T2886" s="155"/>
      <c r="U2886" s="138">
        <f>IF(U2881&lt;U2885,U2883,U2884)</f>
        <v>16.05467550921961</v>
      </c>
      <c r="V2886" s="133"/>
      <c r="W2886" s="155"/>
      <c r="X2886" s="138">
        <f>IF(X2881&lt;X2885,X2883,X2884)</f>
        <v>61.224135640911911</v>
      </c>
      <c r="Y2886" s="133"/>
      <c r="Z2886" s="155"/>
      <c r="AA2886" s="138">
        <f>IF(AA2881&lt;AA2885,AA2883,AA2884)</f>
        <v>568.85107832909489</v>
      </c>
      <c r="AB2886" s="133"/>
      <c r="AC2886" s="155"/>
      <c r="AD2886" s="138">
        <f>IF(AD2881&lt;AD2885,AD2883,AD2884)</f>
        <v>60.135141285899728</v>
      </c>
      <c r="AE2886" s="133"/>
      <c r="AF2886" s="155"/>
      <c r="AG2886" s="138">
        <f>IF(AG2881&lt;AG2885,AG2883,AG2884)</f>
        <v>36.33008973727496</v>
      </c>
      <c r="AH2886" s="133"/>
      <c r="AI2886" s="155"/>
      <c r="AJ2886" s="138">
        <f>IF(AJ2881&lt;AJ2885,AJ2883,AJ2884)</f>
        <v>28.441135350159186</v>
      </c>
      <c r="AK2886" s="133"/>
      <c r="AL2886" s="155"/>
      <c r="AM2886" s="138">
        <f>IF(AM2881&lt;AM2885,AM2883,AM2884)</f>
        <v>26.090916279667173</v>
      </c>
      <c r="AN2886" s="133"/>
      <c r="AO2886" s="155"/>
      <c r="AP2886" s="138">
        <f>IF(AP2881&lt;AP2885,AP2883,AP2884)</f>
        <v>23.769571120594343</v>
      </c>
      <c r="AQ2886" s="133"/>
      <c r="AR2886" s="155"/>
      <c r="AS2886" s="138">
        <f>IF(AS2881&lt;AS2885,AS2883,AS2884)</f>
        <v>34.062183724045795</v>
      </c>
      <c r="AT2886" s="133"/>
      <c r="AU2886" s="155"/>
    </row>
    <row r="2887" spans="13:47" ht="13" x14ac:dyDescent="0.3">
      <c r="M2887" s="28"/>
      <c r="N2887" s="28"/>
      <c r="O2887" s="9" t="s">
        <v>194</v>
      </c>
      <c r="P2887" s="1"/>
      <c r="Q2887" s="1"/>
      <c r="R2887" s="135"/>
      <c r="S2887" s="132">
        <f>IF(R2880&lt;=0,W_max,ABS(R$23-R2886))</f>
        <v>0.76262276586729483</v>
      </c>
      <c r="T2887" s="151">
        <f>R2875</f>
        <v>637.7351495919728</v>
      </c>
      <c r="U2887" s="135"/>
      <c r="V2887" s="132">
        <f>IF(U2880&lt;=0,W_max,ABS(U$23-U2886))</f>
        <v>11.05467550921961</v>
      </c>
      <c r="W2887" s="151">
        <f>U2875</f>
        <v>3501.6802285358444</v>
      </c>
      <c r="X2887" s="135"/>
      <c r="Y2887" s="132">
        <f>IF(X2880&lt;=0,W_max,ABS(X$23-X2886))</f>
        <v>51.224135640911911</v>
      </c>
      <c r="Z2887" s="151">
        <f>X2875</f>
        <v>8660.0719100010647</v>
      </c>
      <c r="AA2887" s="135"/>
      <c r="AB2887" s="132">
        <f>IF(AA2880&lt;=0,W_max,ABS(AA$23-AA2886))</f>
        <v>7174</v>
      </c>
      <c r="AC2887" s="151">
        <f>AA2875</f>
        <v>16867.609637047804</v>
      </c>
      <c r="AD2887" s="135"/>
      <c r="AE2887" s="132">
        <f>IF(AD2880&lt;=0,W_max,ABS(AD$23-AD2886))</f>
        <v>7174</v>
      </c>
      <c r="AF2887" s="151">
        <f>AD2875</f>
        <v>27741.007567529363</v>
      </c>
      <c r="AG2887" s="135"/>
      <c r="AH2887" s="132">
        <f>IF(AG2880&lt;=0,W_max,ABS(AG$23-AG2886))</f>
        <v>7174</v>
      </c>
      <c r="AI2887" s="151">
        <f>AG2875</f>
        <v>38908.898787372622</v>
      </c>
      <c r="AJ2887" s="135"/>
      <c r="AK2887" s="132">
        <f>IF(AJ2880&lt;=0,W_max,ABS(AJ$23-AJ2886))</f>
        <v>7174</v>
      </c>
      <c r="AL2887" s="151">
        <f>AJ2875</f>
        <v>49403.976926548428</v>
      </c>
      <c r="AM2887" s="135"/>
      <c r="AN2887" s="132">
        <f>IF(AM2880&lt;=0,W_max,ABS(AM$23-AM2886))</f>
        <v>7174</v>
      </c>
      <c r="AO2887" s="151">
        <f>AM2875</f>
        <v>57930.04831837384</v>
      </c>
      <c r="AP2887" s="135"/>
      <c r="AQ2887" s="132">
        <f>IF(AP2880&lt;=0,W_max,ABS(AP$23-AP2886))</f>
        <v>7174</v>
      </c>
      <c r="AR2887" s="151">
        <f>AP2875</f>
        <v>64630.721229602037</v>
      </c>
      <c r="AS2887" s="135"/>
      <c r="AT2887" s="132">
        <f>IF(AS2880&lt;=0,W_max,ABS(AS$23-AS2886))</f>
        <v>7174</v>
      </c>
      <c r="AU2887" s="151">
        <f>AS2875</f>
        <v>72106.449898017061</v>
      </c>
    </row>
    <row r="2888" spans="13:47" ht="13" x14ac:dyDescent="0.25">
      <c r="M2888" s="12"/>
      <c r="N2888" s="12"/>
      <c r="O2888" s="2"/>
      <c r="P2888" s="85"/>
      <c r="Q2888" s="2"/>
      <c r="R2888" s="18"/>
      <c r="S2888" s="150"/>
      <c r="T2888" s="148"/>
      <c r="U2888" s="157"/>
      <c r="V2888" s="1"/>
      <c r="W2888" s="147"/>
      <c r="X2888" s="157"/>
      <c r="Y2888" s="1"/>
      <c r="Z2888" s="147"/>
      <c r="AA2888" s="157"/>
      <c r="AB2888" s="1"/>
      <c r="AC2888" s="147"/>
      <c r="AD2888" s="157"/>
      <c r="AE2888" s="1"/>
      <c r="AF2888" s="147"/>
      <c r="AG2888" s="157"/>
      <c r="AH2888" s="1"/>
      <c r="AI2888" s="147"/>
      <c r="AJ2888" s="157"/>
      <c r="AK2888" s="1"/>
      <c r="AL2888" s="147"/>
      <c r="AM2888" s="157"/>
      <c r="AN2888" s="1"/>
      <c r="AO2888" s="147"/>
      <c r="AP2888" s="157"/>
      <c r="AQ2888" s="1"/>
      <c r="AR2888" s="147"/>
      <c r="AS2888" s="157"/>
      <c r="AT2888" s="1"/>
      <c r="AU2888" s="147"/>
    </row>
    <row r="2889" spans="13:47" ht="14" x14ac:dyDescent="0.3">
      <c r="M2889" s="23"/>
      <c r="N2889" s="23"/>
      <c r="O2889" s="23" t="s">
        <v>238</v>
      </c>
      <c r="P2889" s="20"/>
      <c r="Q2889" s="20"/>
      <c r="R2889" s="181">
        <f>R2875*1.02</f>
        <v>650.48985258381231</v>
      </c>
      <c r="S2889" s="128" t="s">
        <v>185</v>
      </c>
      <c r="T2889" s="149" t="s">
        <v>186</v>
      </c>
      <c r="U2889" s="143">
        <f>U2875*1.01</f>
        <v>3536.697030821203</v>
      </c>
      <c r="V2889" s="128" t="s">
        <v>185</v>
      </c>
      <c r="W2889" s="153" t="s">
        <v>186</v>
      </c>
      <c r="X2889" s="143">
        <f>X2875*1.01</f>
        <v>8746.6726291010746</v>
      </c>
      <c r="Y2889" s="128" t="s">
        <v>185</v>
      </c>
      <c r="Z2889" s="153" t="s">
        <v>186</v>
      </c>
      <c r="AA2889" s="143">
        <f>AA2875*1.01</f>
        <v>17036.285733418281</v>
      </c>
      <c r="AB2889" s="128" t="s">
        <v>185</v>
      </c>
      <c r="AC2889" s="153" t="s">
        <v>186</v>
      </c>
      <c r="AD2889" s="143">
        <f>AD2875*1.01</f>
        <v>28018.417643204655</v>
      </c>
      <c r="AE2889" s="128" t="s">
        <v>185</v>
      </c>
      <c r="AF2889" s="153" t="s">
        <v>186</v>
      </c>
      <c r="AG2889" s="143">
        <f>AG2875*1.01</f>
        <v>39297.987775246351</v>
      </c>
      <c r="AH2889" s="128" t="s">
        <v>185</v>
      </c>
      <c r="AI2889" s="153" t="s">
        <v>186</v>
      </c>
      <c r="AJ2889" s="143">
        <f>AJ2875*1.01</f>
        <v>49898.016695813916</v>
      </c>
      <c r="AK2889" s="128" t="s">
        <v>185</v>
      </c>
      <c r="AL2889" s="153" t="s">
        <v>186</v>
      </c>
      <c r="AM2889" s="143">
        <f>AM2875*1.01</f>
        <v>58509.348801557579</v>
      </c>
      <c r="AN2889" s="128" t="s">
        <v>185</v>
      </c>
      <c r="AO2889" s="153" t="s">
        <v>186</v>
      </c>
      <c r="AP2889" s="143">
        <f>AP2875*1.01</f>
        <v>65277.028441898059</v>
      </c>
      <c r="AQ2889" s="128" t="s">
        <v>185</v>
      </c>
      <c r="AR2889" s="153" t="s">
        <v>186</v>
      </c>
      <c r="AS2889" s="143">
        <f>AS2875*1.01</f>
        <v>72827.514396997227</v>
      </c>
      <c r="AT2889" s="128" t="s">
        <v>185</v>
      </c>
      <c r="AU2889" s="153" t="s">
        <v>186</v>
      </c>
    </row>
    <row r="2890" spans="13:47" ht="14" x14ac:dyDescent="0.3">
      <c r="M2890" s="12"/>
      <c r="N2890" s="12"/>
      <c r="O2890" s="20"/>
      <c r="P2890" s="20"/>
      <c r="Q2890" s="23"/>
      <c r="R2890" s="139"/>
      <c r="S2890" s="130" t="s">
        <v>228</v>
      </c>
      <c r="T2890" s="131" t="s">
        <v>187</v>
      </c>
      <c r="U2890" s="144"/>
      <c r="V2890" s="130" t="s">
        <v>228</v>
      </c>
      <c r="W2890" s="154" t="s">
        <v>187</v>
      </c>
      <c r="X2890" s="144"/>
      <c r="Y2890" s="130" t="s">
        <v>228</v>
      </c>
      <c r="Z2890" s="154" t="s">
        <v>187</v>
      </c>
      <c r="AA2890" s="144"/>
      <c r="AB2890" s="130" t="s">
        <v>228</v>
      </c>
      <c r="AC2890" s="154" t="s">
        <v>187</v>
      </c>
      <c r="AD2890" s="144"/>
      <c r="AE2890" s="130" t="s">
        <v>228</v>
      </c>
      <c r="AF2890" s="154" t="s">
        <v>187</v>
      </c>
      <c r="AG2890" s="144"/>
      <c r="AH2890" s="130" t="s">
        <v>228</v>
      </c>
      <c r="AI2890" s="154" t="s">
        <v>187</v>
      </c>
      <c r="AJ2890" s="144"/>
      <c r="AK2890" s="130" t="s">
        <v>228</v>
      </c>
      <c r="AL2890" s="154" t="s">
        <v>187</v>
      </c>
      <c r="AM2890" s="144"/>
      <c r="AN2890" s="130" t="s">
        <v>228</v>
      </c>
      <c r="AO2890" s="154" t="s">
        <v>187</v>
      </c>
      <c r="AP2890" s="144"/>
      <c r="AQ2890" s="130" t="s">
        <v>228</v>
      </c>
      <c r="AR2890" s="154" t="s">
        <v>187</v>
      </c>
      <c r="AS2890" s="144"/>
      <c r="AT2890" s="130" t="s">
        <v>228</v>
      </c>
      <c r="AU2890" s="154" t="s">
        <v>187</v>
      </c>
    </row>
    <row r="2891" spans="13:47" x14ac:dyDescent="0.25">
      <c r="M2891" s="20"/>
      <c r="N2891" s="20"/>
      <c r="O2891" s="7" t="s">
        <v>188</v>
      </c>
      <c r="P2891" s="7"/>
      <c r="Q2891" s="7"/>
      <c r="R2891" s="181">
        <f>P_1_minW-(R2889^2*R_up)+dpup_minQ</f>
        <v>100.35405583024018</v>
      </c>
      <c r="S2891" s="132"/>
      <c r="T2891" s="145"/>
      <c r="U2891" s="138">
        <f>P_1_minW-(U2889^2*R_up)+dpup_minQ</f>
        <v>95.534983610063279</v>
      </c>
      <c r="V2891" s="132"/>
      <c r="W2891" s="145"/>
      <c r="X2891" s="138">
        <f>P_1_minW-(X2889^2*R_up)+dpup_minQ</f>
        <v>70.015798712415616</v>
      </c>
      <c r="Y2891" s="132"/>
      <c r="Z2891" s="145"/>
      <c r="AA2891" s="138">
        <f>P_1_minW-(AA2889^2*R_up)+dpup_minQ</f>
        <v>-15.211867483494899</v>
      </c>
      <c r="AB2891" s="132"/>
      <c r="AC2891" s="145"/>
      <c r="AD2891" s="138">
        <f>P_1_minW-(AD2889^2*R_up)+dpup_minQ</f>
        <v>-212.51790654144745</v>
      </c>
      <c r="AE2891" s="132"/>
      <c r="AF2891" s="145"/>
      <c r="AG2891" s="138">
        <f>P_1_minW-(AG2889^2*R_up)+dpup_minQ</f>
        <v>-515.29781525105386</v>
      </c>
      <c r="AH2891" s="132"/>
      <c r="AI2891" s="145"/>
      <c r="AJ2891" s="138">
        <f>P_1_minW-(AJ2889^2*R_up)+dpup_minQ</f>
        <v>-892.31924696208762</v>
      </c>
      <c r="AK2891" s="132"/>
      <c r="AL2891" s="145"/>
      <c r="AM2891" s="138">
        <f>P_1_minW-(AM2889^2*R_up)+dpup_minQ</f>
        <v>-1264.576112751316</v>
      </c>
      <c r="AN2891" s="132"/>
      <c r="AO2891" s="145"/>
      <c r="AP2891" s="138">
        <f>P_1_minW-(AP2889^2*R_up)+dpup_minQ</f>
        <v>-1598.637463584568</v>
      </c>
      <c r="AQ2891" s="132"/>
      <c r="AR2891" s="145"/>
      <c r="AS2891" s="138">
        <f>P_1_minW-(AS2889^2*R_up)+dpup_minQ</f>
        <v>-2014.4489250965325</v>
      </c>
      <c r="AT2891" s="132"/>
      <c r="AU2891" s="145"/>
    </row>
    <row r="2892" spans="13:47" x14ac:dyDescent="0.25">
      <c r="M2892" s="20"/>
      <c r="N2892" s="20"/>
      <c r="O2892" s="7" t="s">
        <v>189</v>
      </c>
      <c r="P2892" s="1"/>
      <c r="Q2892" s="7"/>
      <c r="R2892" s="181">
        <f>P_2_minW+(R2889^2*R_dn)-dpdn_minQ</f>
        <v>50</v>
      </c>
      <c r="S2892" s="132"/>
      <c r="T2892" s="146"/>
      <c r="U2892" s="138">
        <f>P_2_minW+(U2889^2*R_dn)-dpdn_minQ</f>
        <v>50</v>
      </c>
      <c r="V2892" s="132"/>
      <c r="W2892" s="146"/>
      <c r="X2892" s="138">
        <f>P_2_minW+(X2889^2*R_dn)-dpdn_minQ</f>
        <v>50</v>
      </c>
      <c r="Y2892" s="132"/>
      <c r="Z2892" s="146"/>
      <c r="AA2892" s="138">
        <f>P_2_minW+(AA2889^2*R_dn)-dpdn_minQ</f>
        <v>50</v>
      </c>
      <c r="AB2892" s="132"/>
      <c r="AC2892" s="146"/>
      <c r="AD2892" s="138">
        <f>P_2_minW+(AD2889^2*R_dn)-dpdn_minQ</f>
        <v>50</v>
      </c>
      <c r="AE2892" s="132"/>
      <c r="AF2892" s="146"/>
      <c r="AG2892" s="138">
        <f>P_2_minW+(AG2889^2*R_dn)-dpdn_minQ</f>
        <v>50</v>
      </c>
      <c r="AH2892" s="132"/>
      <c r="AI2892" s="146"/>
      <c r="AJ2892" s="138">
        <f>P_2_minW+(AJ2889^2*R_dn)-dpdn_minQ</f>
        <v>50</v>
      </c>
      <c r="AK2892" s="132"/>
      <c r="AL2892" s="146"/>
      <c r="AM2892" s="138">
        <f>P_2_minW+(AM2889^2*R_dn)-dpdn_minQ</f>
        <v>50</v>
      </c>
      <c r="AN2892" s="132"/>
      <c r="AO2892" s="146"/>
      <c r="AP2892" s="138">
        <f>P_2_minW+(AP2889^2*R_dn)-dpdn_minQ</f>
        <v>50</v>
      </c>
      <c r="AQ2892" s="132"/>
      <c r="AR2892" s="146"/>
      <c r="AS2892" s="138">
        <f>P_2_minW+(AS2889^2*R_dn)-dpdn_minQ</f>
        <v>50</v>
      </c>
      <c r="AT2892" s="132"/>
      <c r="AU2892" s="146"/>
    </row>
    <row r="2893" spans="13:47" x14ac:dyDescent="0.25">
      <c r="M2893" s="20"/>
      <c r="N2893" s="20"/>
      <c r="O2893" s="7" t="s">
        <v>234</v>
      </c>
      <c r="P2893" s="1"/>
      <c r="Q2893" s="7"/>
      <c r="R2893" s="179">
        <f>'Valve Sizing'!G$8*R2891/P_1_maxW</f>
        <v>0.48409009838668621</v>
      </c>
      <c r="S2893" s="132"/>
      <c r="T2893" s="146"/>
      <c r="U2893" s="143">
        <f>'Valve Sizing'!$G$8*U2891/P_1_maxW</f>
        <v>0.46084375197947891</v>
      </c>
      <c r="V2893" s="132"/>
      <c r="W2893" s="146"/>
      <c r="X2893" s="143">
        <f>'Valve Sizing'!$G$8*X2891/P_1_maxW</f>
        <v>0.33774374744405955</v>
      </c>
      <c r="Y2893" s="132"/>
      <c r="Z2893" s="146"/>
      <c r="AA2893" s="143">
        <f>'Valve Sizing'!$G$8*AA2891/P_1_maxW</f>
        <v>-7.3379340434303345E-2</v>
      </c>
      <c r="AB2893" s="132"/>
      <c r="AC2893" s="146"/>
      <c r="AD2893" s="143">
        <f>'Valve Sizing'!$G$8*AD2891/P_1_maxW</f>
        <v>-1.0251485446747755</v>
      </c>
      <c r="AE2893" s="132"/>
      <c r="AF2893" s="146"/>
      <c r="AG2893" s="143">
        <f>'Valve Sizing'!$G$8*AG2891/P_1_maxW</f>
        <v>-2.4857049176497652</v>
      </c>
      <c r="AH2893" s="132"/>
      <c r="AI2893" s="146"/>
      <c r="AJ2893" s="143">
        <f>'Valve Sizing'!$G$8*AJ2891/P_1_maxW</f>
        <v>-4.3043891796951694</v>
      </c>
      <c r="AK2893" s="132"/>
      <c r="AL2893" s="146"/>
      <c r="AM2893" s="143">
        <f>'Valve Sizing'!$G$8*AM2891/P_1_maxW</f>
        <v>-6.100090024012462</v>
      </c>
      <c r="AN2893" s="132"/>
      <c r="AO2893" s="146"/>
      <c r="AP2893" s="143">
        <f>'Valve Sizing'!$G$8*AP2891/P_1_maxW</f>
        <v>-7.7115425044744184</v>
      </c>
      <c r="AQ2893" s="132"/>
      <c r="AR2893" s="146"/>
      <c r="AS2893" s="143">
        <f>'Valve Sizing'!$G$8*AS2891/P_1_maxW</f>
        <v>-9.717342964140375</v>
      </c>
      <c r="AT2893" s="132"/>
      <c r="AU2893" s="146"/>
    </row>
    <row r="2894" spans="13:47" x14ac:dyDescent="0.25">
      <c r="M2894" s="20"/>
      <c r="N2894" s="20"/>
      <c r="O2894" s="7" t="s">
        <v>190</v>
      </c>
      <c r="P2894" s="1"/>
      <c r="Q2894" s="7"/>
      <c r="R2894" s="181">
        <f>R2891-R2892</f>
        <v>50.354055830240185</v>
      </c>
      <c r="S2894" s="132"/>
      <c r="T2894" s="146"/>
      <c r="U2894" s="138">
        <f>U2891-U2892</f>
        <v>45.534983610063279</v>
      </c>
      <c r="V2894" s="132"/>
      <c r="W2894" s="146"/>
      <c r="X2894" s="138">
        <f>X2891-X2892</f>
        <v>20.015798712415616</v>
      </c>
      <c r="Y2894" s="132"/>
      <c r="Z2894" s="146"/>
      <c r="AA2894" s="138">
        <f>AA2891-AA2892</f>
        <v>-65.211867483494899</v>
      </c>
      <c r="AB2894" s="132"/>
      <c r="AC2894" s="146"/>
      <c r="AD2894" s="138">
        <f>AD2891-AD2892</f>
        <v>-262.51790654144747</v>
      </c>
      <c r="AE2894" s="132"/>
      <c r="AF2894" s="146"/>
      <c r="AG2894" s="138">
        <f>AG2891-AG2892</f>
        <v>-565.29781525105386</v>
      </c>
      <c r="AH2894" s="132"/>
      <c r="AI2894" s="146"/>
      <c r="AJ2894" s="138">
        <f>AJ2891-AJ2892</f>
        <v>-942.31924696208762</v>
      </c>
      <c r="AK2894" s="132"/>
      <c r="AL2894" s="146"/>
      <c r="AM2894" s="138">
        <f>AM2891-AM2892</f>
        <v>-1314.576112751316</v>
      </c>
      <c r="AN2894" s="132"/>
      <c r="AO2894" s="146"/>
      <c r="AP2894" s="138">
        <f>AP2891-AP2892</f>
        <v>-1648.637463584568</v>
      </c>
      <c r="AQ2894" s="132"/>
      <c r="AR2894" s="146"/>
      <c r="AS2894" s="138">
        <f>AS2891-AS2892</f>
        <v>-2064.4489250965325</v>
      </c>
      <c r="AT2894" s="132"/>
      <c r="AU2894" s="146"/>
    </row>
    <row r="2895" spans="13:47" ht="14.5" x14ac:dyDescent="0.35">
      <c r="M2895" s="27"/>
      <c r="N2895" s="27"/>
      <c r="O2895" s="2" t="s">
        <v>191</v>
      </c>
      <c r="P2895" s="10"/>
      <c r="Q2895" s="2"/>
      <c r="R2895" s="181">
        <f>R2894/R2891</f>
        <v>0.50176403348778997</v>
      </c>
      <c r="S2895" s="132"/>
      <c r="T2895" s="146"/>
      <c r="U2895" s="138">
        <f>U2894/U2891</f>
        <v>0.47663151119509695</v>
      </c>
      <c r="V2895" s="132"/>
      <c r="W2895" s="146"/>
      <c r="X2895" s="138">
        <f>X2894/X2891</f>
        <v>0.28587546068893588</v>
      </c>
      <c r="Y2895" s="132"/>
      <c r="Z2895" s="146"/>
      <c r="AA2895" s="138">
        <f>AA2894/AA2891</f>
        <v>4.286907413192413</v>
      </c>
      <c r="AB2895" s="132"/>
      <c r="AC2895" s="146"/>
      <c r="AD2895" s="138">
        <f>AD2894/AD2891</f>
        <v>1.2352742920053588</v>
      </c>
      <c r="AE2895" s="132"/>
      <c r="AF2895" s="146"/>
      <c r="AG2895" s="138">
        <f>AG2894/AG2891</f>
        <v>1.0970312672015501</v>
      </c>
      <c r="AH2895" s="132"/>
      <c r="AI2895" s="146"/>
      <c r="AJ2895" s="138">
        <f>AJ2894/AJ2891</f>
        <v>1.0560337571673206</v>
      </c>
      <c r="AK2895" s="132"/>
      <c r="AL2895" s="146"/>
      <c r="AM2895" s="138">
        <f>AM2894/AM2891</f>
        <v>1.039538940753211</v>
      </c>
      <c r="AN2895" s="132"/>
      <c r="AO2895" s="146"/>
      <c r="AP2895" s="138">
        <f>AP2894/AP2891</f>
        <v>1.0312766347210998</v>
      </c>
      <c r="AQ2895" s="132"/>
      <c r="AR2895" s="146"/>
      <c r="AS2895" s="138">
        <f>AS2894/AS2891</f>
        <v>1.024820683898751</v>
      </c>
      <c r="AT2895" s="132"/>
      <c r="AU2895" s="146"/>
    </row>
    <row r="2896" spans="13:47" x14ac:dyDescent="0.25">
      <c r="M2896" s="27"/>
      <c r="N2896" s="27"/>
      <c r="O2896" s="2" t="s">
        <v>26</v>
      </c>
      <c r="P2896" s="7">
        <v>12</v>
      </c>
      <c r="Q2896" s="2"/>
      <c r="R2896" s="181">
        <f>1-R2895/(3*F_GAMMA*R$29)</f>
        <v>0.73867554158094273</v>
      </c>
      <c r="S2896" s="133"/>
      <c r="T2896" s="146"/>
      <c r="U2896" s="138">
        <f>1-U2895/(3*F_GAMMA*U$29)</f>
        <v>0.75181950238684903</v>
      </c>
      <c r="V2896" s="133"/>
      <c r="W2896" s="146"/>
      <c r="X2896" s="138">
        <f>1-X2895/(3*F_GAMMA*X$29)</f>
        <v>0.8489125120271892</v>
      </c>
      <c r="Y2896" s="133"/>
      <c r="Z2896" s="146"/>
      <c r="AA2896" s="138">
        <f>1-AA2895/(3*F_GAMMA*AA$29)</f>
        <v>-1.296730585333465</v>
      </c>
      <c r="AB2896" s="133"/>
      <c r="AC2896" s="146"/>
      <c r="AD2896" s="138">
        <f>1-AD2895/(3*F_GAMMA*AD$29)</f>
        <v>0.32005079571497486</v>
      </c>
      <c r="AE2896" s="133"/>
      <c r="AF2896" s="146"/>
      <c r="AG2896" s="138">
        <f>1-AG2895/(3*F_GAMMA*AG$29)</f>
        <v>0.36170103045254776</v>
      </c>
      <c r="AH2896" s="133"/>
      <c r="AI2896" s="146"/>
      <c r="AJ2896" s="138">
        <f>1-AJ2895/(3*F_GAMMA*AJ$29)</f>
        <v>0.34315008019035376</v>
      </c>
      <c r="AK2896" s="133"/>
      <c r="AL2896" s="146"/>
      <c r="AM2896" s="138">
        <f>1-AM2895/(3*F_GAMMA*AM$29)</f>
        <v>0.29353446417983375</v>
      </c>
      <c r="AN2896" s="133"/>
      <c r="AO2896" s="146"/>
      <c r="AP2896" s="138">
        <f>1-AP2895/(3*F_GAMMA*AP$29)</f>
        <v>0.42082287369926963</v>
      </c>
      <c r="AQ2896" s="133"/>
      <c r="AR2896" s="146"/>
      <c r="AS2896" s="138">
        <f>1-AS2895/(3*F_GAMMA*AS$29)</f>
        <v>0.12626298113207657</v>
      </c>
      <c r="AT2896" s="133"/>
      <c r="AU2896" s="146"/>
    </row>
    <row r="2897" spans="13:47" x14ac:dyDescent="0.25">
      <c r="M2897" s="27"/>
      <c r="N2897" s="27"/>
      <c r="O2897" s="2" t="s">
        <v>71</v>
      </c>
      <c r="P2897" s="85">
        <v>5</v>
      </c>
      <c r="Q2897" s="2"/>
      <c r="R2897" s="179">
        <f>R2889/((N_6*R$27*R2896)*SQRT(R2895*R2891*R2893))</f>
        <v>2.8180859071026196</v>
      </c>
      <c r="S2897" s="133"/>
      <c r="T2897" s="146"/>
      <c r="U2897" s="143">
        <f>U2889/((N_6*U$27*U2896)*SQRT(U2895*U2891*U2893))</f>
        <v>16.235009203318395</v>
      </c>
      <c r="V2897" s="133"/>
      <c r="W2897" s="146"/>
      <c r="X2897" s="143">
        <f>X2889/((N_6*X$27*X2896)*SQRT(X2895*X2891*X2893))</f>
        <v>62.788332918429553</v>
      </c>
      <c r="Y2897" s="133"/>
      <c r="Z2897" s="146"/>
      <c r="AA2897" s="143">
        <f>AA2889/((N_6*AA$27*AA2896)*SQRT(AA2895*AA2891*AA2893))</f>
        <v>-95.7072105949362</v>
      </c>
      <c r="AB2897" s="133"/>
      <c r="AC2897" s="146"/>
      <c r="AD2897" s="143">
        <f>AD2889/((N_6*AD$27*AD2896)*SQRT(AD2895*AD2891*AD2893))</f>
        <v>86.053041724448534</v>
      </c>
      <c r="AE2897" s="133"/>
      <c r="AF2897" s="146"/>
      <c r="AG2897" s="143">
        <f>AG2889/((N_6*AG$27*AG2896)*SQRT(AG2895*AG2891*AG2893))</f>
        <v>47.746577700739799</v>
      </c>
      <c r="AH2897" s="133"/>
      <c r="AI2897" s="146"/>
      <c r="AJ2897" s="143">
        <f>AJ2889/((N_6*AJ$27*AJ2896)*SQRT(AJ2895*AJ2891*AJ2893))</f>
        <v>38.903536212694213</v>
      </c>
      <c r="AK2897" s="133"/>
      <c r="AL2897" s="146"/>
      <c r="AM2897" s="143">
        <f>AM2889/((N_6*AM$27*AM2896)*SQRT(AM2895*AM2891*AM2893))</f>
        <v>40.256323982955109</v>
      </c>
      <c r="AN2897" s="133"/>
      <c r="AO2897" s="146"/>
      <c r="AP2897" s="143">
        <f>AP2889/((N_6*AP$27*AP2896)*SQRT(AP2895*AP2891*AP2893))</f>
        <v>28.262520516575808</v>
      </c>
      <c r="AQ2897" s="133"/>
      <c r="AR2897" s="146"/>
      <c r="AS2897" s="143">
        <f>AS2889/((N_6*AS$27*AS2896)*SQRT(AS2895*AS2891*AS2893))</f>
        <v>109.929459656375</v>
      </c>
      <c r="AT2897" s="133"/>
      <c r="AU2897" s="146"/>
    </row>
    <row r="2898" spans="13:47" x14ac:dyDescent="0.25">
      <c r="M2898" s="27"/>
      <c r="N2898" s="27"/>
      <c r="O2898" s="2" t="s">
        <v>73</v>
      </c>
      <c r="P2898" s="85">
        <v>5</v>
      </c>
      <c r="Q2898" s="2"/>
      <c r="R2898" s="179">
        <f>R2889/((N_6*R$27*0.667)*SQRT(R2899*R2891*R2893))</f>
        <v>2.7633301167657311</v>
      </c>
      <c r="S2898" s="133"/>
      <c r="T2898" s="147"/>
      <c r="U2898" s="143">
        <f>U2889/((N_6*U$27*0.667)*SQRT(U2899*U2891*U2893))</f>
        <v>15.790095087833187</v>
      </c>
      <c r="V2898" s="133"/>
      <c r="W2898" s="155"/>
      <c r="X2898" s="143">
        <f>X2889/((N_6*X$27*0.667)*SQRT(X2899*X2891*X2893))</f>
        <v>53.801072188340321</v>
      </c>
      <c r="Y2898" s="133"/>
      <c r="Z2898" s="155"/>
      <c r="AA2898" s="143">
        <f>AA2889/((N_6*AA$27*0.667)*SQRT(AA2899*AA2891*AA2893))</f>
        <v>488.40964720064926</v>
      </c>
      <c r="AB2898" s="133"/>
      <c r="AC2898" s="155"/>
      <c r="AD2898" s="143">
        <f>AD2889/((N_6*AD$27*0.667)*SQRT(AD2899*AD2891*AD2893))</f>
        <v>58.973671409023552</v>
      </c>
      <c r="AE2898" s="133"/>
      <c r="AF2898" s="155"/>
      <c r="AG2898" s="143">
        <f>AG2889/((N_6*AG$27*0.667)*SQRT(AG2899*AG2891*AG2893))</f>
        <v>35.82934423080237</v>
      </c>
      <c r="AH2898" s="133"/>
      <c r="AI2898" s="155"/>
      <c r="AJ2898" s="143">
        <f>AJ2889/((N_6*AJ$27*0.667)*SQRT(AJ2899*AJ2891*AJ2893))</f>
        <v>28.095777372048765</v>
      </c>
      <c r="AK2898" s="133"/>
      <c r="AL2898" s="155"/>
      <c r="AM2898" s="143">
        <f>AM2889/((N_6*AM$27*0.667)*SQRT(AM2899*AM2891*AM2893))</f>
        <v>25.791315710559516</v>
      </c>
      <c r="AN2898" s="133"/>
      <c r="AO2898" s="155"/>
      <c r="AP2898" s="143">
        <f>AP2889/((N_6*AP$27*0.667)*SQRT(AP2899*AP2891*AP2893))</f>
        <v>23.504484065851372</v>
      </c>
      <c r="AQ2898" s="133"/>
      <c r="AR2898" s="155"/>
      <c r="AS2898" s="143">
        <f>AS2889/((N_6*AS$27*0.667)*SQRT(AS2899*AS2891*AS2893))</f>
        <v>33.691108007522736</v>
      </c>
      <c r="AT2898" s="133"/>
      <c r="AU2898" s="155"/>
    </row>
    <row r="2899" spans="13:47" ht="15.5" x14ac:dyDescent="0.4">
      <c r="M2899" s="27"/>
      <c r="N2899" s="27"/>
      <c r="O2899" s="2" t="s">
        <v>192</v>
      </c>
      <c r="P2899" s="85">
        <v>10</v>
      </c>
      <c r="Q2899" s="2"/>
      <c r="R2899" s="181">
        <f>F_GAMMA*R$29</f>
        <v>0.64002688015162901</v>
      </c>
      <c r="S2899" s="133"/>
      <c r="T2899" s="147"/>
      <c r="U2899" s="138">
        <f>F_GAMMA*U$29</f>
        <v>0.64016782916606918</v>
      </c>
      <c r="V2899" s="133"/>
      <c r="W2899" s="155"/>
      <c r="X2899" s="138">
        <f>F_GAMMA*X$29</f>
        <v>0.6307062319203669</v>
      </c>
      <c r="Y2899" s="133"/>
      <c r="Z2899" s="155"/>
      <c r="AA2899" s="138">
        <f>F_GAMMA*AA$29</f>
        <v>0.62217534213893466</v>
      </c>
      <c r="AB2899" s="133"/>
      <c r="AC2899" s="155"/>
      <c r="AD2899" s="138">
        <f>F_GAMMA*AD$29</f>
        <v>0.60557184969146072</v>
      </c>
      <c r="AE2899" s="133"/>
      <c r="AF2899" s="155"/>
      <c r="AG2899" s="138">
        <f>F_GAMMA*AG$29</f>
        <v>0.57289312142622573</v>
      </c>
      <c r="AH2899" s="133"/>
      <c r="AI2899" s="155"/>
      <c r="AJ2899" s="138">
        <f>F_GAMMA*AJ$29</f>
        <v>0.53590819116049981</v>
      </c>
      <c r="AK2899" s="133"/>
      <c r="AL2899" s="155"/>
      <c r="AM2899" s="138">
        <f>F_GAMMA*AM$29</f>
        <v>0.49048815926850342</v>
      </c>
      <c r="AN2899" s="133"/>
      <c r="AO2899" s="155"/>
      <c r="AP2899" s="138">
        <f>F_GAMMA*AP$29</f>
        <v>0.59352979016280105</v>
      </c>
      <c r="AQ2899" s="133"/>
      <c r="AR2899" s="155"/>
      <c r="AS2899" s="138">
        <f>F_GAMMA*AS$29</f>
        <v>0.39097221161068291</v>
      </c>
      <c r="AT2899" s="133"/>
      <c r="AU2899" s="155"/>
    </row>
    <row r="2900" spans="13:47" x14ac:dyDescent="0.25">
      <c r="M2900" s="27"/>
      <c r="N2900" s="27"/>
      <c r="O2900" s="2" t="s">
        <v>193</v>
      </c>
      <c r="P2900" s="134"/>
      <c r="Q2900" s="2"/>
      <c r="R2900" s="181">
        <f>IF(R2895&lt;R2899,R2897,R2898)</f>
        <v>2.8180859071026196</v>
      </c>
      <c r="S2900" s="133"/>
      <c r="T2900" s="147"/>
      <c r="U2900" s="138">
        <f>IF(U2895&lt;U2899,U2897,U2898)</f>
        <v>16.235009203318395</v>
      </c>
      <c r="V2900" s="133"/>
      <c r="W2900" s="155"/>
      <c r="X2900" s="138">
        <f>IF(X2895&lt;X2899,X2897,X2898)</f>
        <v>62.788332918429553</v>
      </c>
      <c r="Y2900" s="133"/>
      <c r="Z2900" s="155"/>
      <c r="AA2900" s="138">
        <f>IF(AA2895&lt;AA2899,AA2897,AA2898)</f>
        <v>488.40964720064926</v>
      </c>
      <c r="AB2900" s="133"/>
      <c r="AC2900" s="155"/>
      <c r="AD2900" s="138">
        <f>IF(AD2895&lt;AD2899,AD2897,AD2898)</f>
        <v>58.973671409023552</v>
      </c>
      <c r="AE2900" s="133"/>
      <c r="AF2900" s="155"/>
      <c r="AG2900" s="138">
        <f>IF(AG2895&lt;AG2899,AG2897,AG2898)</f>
        <v>35.82934423080237</v>
      </c>
      <c r="AH2900" s="133"/>
      <c r="AI2900" s="155"/>
      <c r="AJ2900" s="138">
        <f>IF(AJ2895&lt;AJ2899,AJ2897,AJ2898)</f>
        <v>28.095777372048765</v>
      </c>
      <c r="AK2900" s="133"/>
      <c r="AL2900" s="155"/>
      <c r="AM2900" s="138">
        <f>IF(AM2895&lt;AM2899,AM2897,AM2898)</f>
        <v>25.791315710559516</v>
      </c>
      <c r="AN2900" s="133"/>
      <c r="AO2900" s="155"/>
      <c r="AP2900" s="138">
        <f>IF(AP2895&lt;AP2899,AP2897,AP2898)</f>
        <v>23.504484065851372</v>
      </c>
      <c r="AQ2900" s="133"/>
      <c r="AR2900" s="155"/>
      <c r="AS2900" s="138">
        <f>IF(AS2895&lt;AS2899,AS2897,AS2898)</f>
        <v>33.691108007522736</v>
      </c>
      <c r="AT2900" s="133"/>
      <c r="AU2900" s="155"/>
    </row>
    <row r="2901" spans="13:47" ht="13" x14ac:dyDescent="0.3">
      <c r="M2901" s="28"/>
      <c r="N2901" s="28"/>
      <c r="O2901" s="9" t="s">
        <v>194</v>
      </c>
      <c r="P2901" s="1"/>
      <c r="Q2901" s="1"/>
      <c r="R2901" s="135"/>
      <c r="S2901" s="132">
        <f>IF(R2894&lt;=0,W_max,ABS(R$23-R2900))</f>
        <v>0.81808590710261964</v>
      </c>
      <c r="T2901" s="151">
        <f>R2889</f>
        <v>650.48985258381231</v>
      </c>
      <c r="U2901" s="135"/>
      <c r="V2901" s="132">
        <f>IF(U2894&lt;=0,W_max,ABS(U$23-U2900))</f>
        <v>11.235009203318395</v>
      </c>
      <c r="W2901" s="151">
        <f>U2889</f>
        <v>3536.697030821203</v>
      </c>
      <c r="X2901" s="135"/>
      <c r="Y2901" s="132">
        <f>IF(X2894&lt;=0,W_max,ABS(X$23-X2900))</f>
        <v>52.788332918429553</v>
      </c>
      <c r="Z2901" s="151">
        <f>X2889</f>
        <v>8746.6726291010746</v>
      </c>
      <c r="AA2901" s="135"/>
      <c r="AB2901" s="132">
        <f>IF(AA2894&lt;=0,W_max,ABS(AA$23-AA2900))</f>
        <v>7174</v>
      </c>
      <c r="AC2901" s="151">
        <f>AA2889</f>
        <v>17036.285733418281</v>
      </c>
      <c r="AD2901" s="135"/>
      <c r="AE2901" s="132">
        <f>IF(AD2894&lt;=0,W_max,ABS(AD$23-AD2900))</f>
        <v>7174</v>
      </c>
      <c r="AF2901" s="151">
        <f>AD2889</f>
        <v>28018.417643204655</v>
      </c>
      <c r="AG2901" s="135"/>
      <c r="AH2901" s="132">
        <f>IF(AG2894&lt;=0,W_max,ABS(AG$23-AG2900))</f>
        <v>7174</v>
      </c>
      <c r="AI2901" s="151">
        <f>AG2889</f>
        <v>39297.987775246351</v>
      </c>
      <c r="AJ2901" s="135"/>
      <c r="AK2901" s="132">
        <f>IF(AJ2894&lt;=0,W_max,ABS(AJ$23-AJ2900))</f>
        <v>7174</v>
      </c>
      <c r="AL2901" s="151">
        <f>AJ2889</f>
        <v>49898.016695813916</v>
      </c>
      <c r="AM2901" s="135"/>
      <c r="AN2901" s="132">
        <f>IF(AM2894&lt;=0,W_max,ABS(AM$23-AM2900))</f>
        <v>7174</v>
      </c>
      <c r="AO2901" s="151">
        <f>AM2889</f>
        <v>58509.348801557579</v>
      </c>
      <c r="AP2901" s="135"/>
      <c r="AQ2901" s="132">
        <f>IF(AP2894&lt;=0,W_max,ABS(AP$23-AP2900))</f>
        <v>7174</v>
      </c>
      <c r="AR2901" s="151">
        <f>AP2889</f>
        <v>65277.028441898059</v>
      </c>
      <c r="AS2901" s="135"/>
      <c r="AT2901" s="132">
        <f>IF(AS2894&lt;=0,W_max,ABS(AS$23-AS2900))</f>
        <v>7174</v>
      </c>
      <c r="AU2901" s="151">
        <f>AS2889</f>
        <v>72827.514396997227</v>
      </c>
    </row>
    <row r="2902" spans="13:47" ht="13" x14ac:dyDescent="0.25">
      <c r="M2902" s="12"/>
      <c r="N2902" s="12"/>
      <c r="O2902" s="12"/>
      <c r="P2902" s="12"/>
      <c r="Q2902" s="12"/>
      <c r="R2902" s="182"/>
      <c r="S2902" s="22"/>
      <c r="T2902" s="152"/>
      <c r="U2902" s="157"/>
      <c r="V2902" s="1"/>
      <c r="W2902" s="147"/>
      <c r="X2902" s="157"/>
      <c r="Y2902" s="1"/>
      <c r="Z2902" s="147"/>
      <c r="AA2902" s="157"/>
      <c r="AB2902" s="1"/>
      <c r="AC2902" s="147"/>
      <c r="AD2902" s="157"/>
      <c r="AE2902" s="1"/>
      <c r="AF2902" s="147"/>
      <c r="AG2902" s="157"/>
      <c r="AH2902" s="1"/>
      <c r="AI2902" s="147"/>
      <c r="AJ2902" s="157"/>
      <c r="AK2902" s="1"/>
      <c r="AL2902" s="147"/>
      <c r="AM2902" s="157"/>
      <c r="AN2902" s="1"/>
      <c r="AO2902" s="147"/>
      <c r="AP2902" s="157"/>
      <c r="AQ2902" s="1"/>
      <c r="AR2902" s="147"/>
      <c r="AS2902" s="157"/>
      <c r="AT2902" s="1"/>
      <c r="AU2902" s="147"/>
    </row>
    <row r="2903" spans="13:47" ht="14" x14ac:dyDescent="0.3">
      <c r="M2903" s="23"/>
      <c r="N2903" s="23"/>
      <c r="O2903" s="23" t="s">
        <v>238</v>
      </c>
      <c r="P2903" s="20"/>
      <c r="Q2903" s="20"/>
      <c r="R2903" s="18">
        <f>R2889*1.02</f>
        <v>663.49964963548859</v>
      </c>
      <c r="S2903" s="128" t="s">
        <v>185</v>
      </c>
      <c r="T2903" s="153" t="s">
        <v>186</v>
      </c>
      <c r="U2903" s="143">
        <f>U2889*1.01</f>
        <v>3572.0640011294149</v>
      </c>
      <c r="V2903" s="128" t="s">
        <v>185</v>
      </c>
      <c r="W2903" s="153" t="s">
        <v>186</v>
      </c>
      <c r="X2903" s="143">
        <f>X2889*1.01</f>
        <v>8834.1393553920861</v>
      </c>
      <c r="Y2903" s="128" t="s">
        <v>185</v>
      </c>
      <c r="Z2903" s="153" t="s">
        <v>186</v>
      </c>
      <c r="AA2903" s="143">
        <f>AA2889*1.01</f>
        <v>17206.648590752462</v>
      </c>
      <c r="AB2903" s="128" t="s">
        <v>185</v>
      </c>
      <c r="AC2903" s="153" t="s">
        <v>186</v>
      </c>
      <c r="AD2903" s="143">
        <f>AD2889*1.01</f>
        <v>28298.6018196367</v>
      </c>
      <c r="AE2903" s="128" t="s">
        <v>185</v>
      </c>
      <c r="AF2903" s="153" t="s">
        <v>186</v>
      </c>
      <c r="AG2903" s="143">
        <f>AG2889*1.01</f>
        <v>39690.967652998814</v>
      </c>
      <c r="AH2903" s="128" t="s">
        <v>185</v>
      </c>
      <c r="AI2903" s="153" t="s">
        <v>186</v>
      </c>
      <c r="AJ2903" s="143">
        <f>AJ2889*1.01</f>
        <v>50396.996862772059</v>
      </c>
      <c r="AK2903" s="128" t="s">
        <v>185</v>
      </c>
      <c r="AL2903" s="153" t="s">
        <v>186</v>
      </c>
      <c r="AM2903" s="143">
        <f>AM2889*1.01</f>
        <v>59094.442289573155</v>
      </c>
      <c r="AN2903" s="128" t="s">
        <v>185</v>
      </c>
      <c r="AO2903" s="153" t="s">
        <v>186</v>
      </c>
      <c r="AP2903" s="143">
        <f>AP2889*1.01</f>
        <v>65929.798726317036</v>
      </c>
      <c r="AQ2903" s="128" t="s">
        <v>185</v>
      </c>
      <c r="AR2903" s="153" t="s">
        <v>186</v>
      </c>
      <c r="AS2903" s="143">
        <f>AS2889*1.01</f>
        <v>73555.789540967206</v>
      </c>
      <c r="AT2903" s="128" t="s">
        <v>185</v>
      </c>
      <c r="AU2903" s="153" t="s">
        <v>186</v>
      </c>
    </row>
    <row r="2904" spans="13:47" ht="14" x14ac:dyDescent="0.3">
      <c r="M2904" s="12"/>
      <c r="N2904" s="12"/>
      <c r="O2904" s="20"/>
      <c r="P2904" s="20"/>
      <c r="Q2904" s="23"/>
      <c r="R2904" s="139"/>
      <c r="S2904" s="130" t="s">
        <v>228</v>
      </c>
      <c r="T2904" s="154" t="s">
        <v>187</v>
      </c>
      <c r="U2904" s="144"/>
      <c r="V2904" s="130" t="s">
        <v>228</v>
      </c>
      <c r="W2904" s="154" t="s">
        <v>187</v>
      </c>
      <c r="X2904" s="144"/>
      <c r="Y2904" s="130" t="s">
        <v>228</v>
      </c>
      <c r="Z2904" s="154" t="s">
        <v>187</v>
      </c>
      <c r="AA2904" s="144"/>
      <c r="AB2904" s="130" t="s">
        <v>228</v>
      </c>
      <c r="AC2904" s="154" t="s">
        <v>187</v>
      </c>
      <c r="AD2904" s="144"/>
      <c r="AE2904" s="130" t="s">
        <v>228</v>
      </c>
      <c r="AF2904" s="154" t="s">
        <v>187</v>
      </c>
      <c r="AG2904" s="144"/>
      <c r="AH2904" s="130" t="s">
        <v>228</v>
      </c>
      <c r="AI2904" s="154" t="s">
        <v>187</v>
      </c>
      <c r="AJ2904" s="144"/>
      <c r="AK2904" s="130" t="s">
        <v>228</v>
      </c>
      <c r="AL2904" s="154" t="s">
        <v>187</v>
      </c>
      <c r="AM2904" s="144"/>
      <c r="AN2904" s="130" t="s">
        <v>228</v>
      </c>
      <c r="AO2904" s="154" t="s">
        <v>187</v>
      </c>
      <c r="AP2904" s="144"/>
      <c r="AQ2904" s="130" t="s">
        <v>228</v>
      </c>
      <c r="AR2904" s="154" t="s">
        <v>187</v>
      </c>
      <c r="AS2904" s="144"/>
      <c r="AT2904" s="130" t="s">
        <v>228</v>
      </c>
      <c r="AU2904" s="154" t="s">
        <v>187</v>
      </c>
    </row>
    <row r="2905" spans="13:47" x14ac:dyDescent="0.25">
      <c r="M2905" s="20"/>
      <c r="N2905" s="20"/>
      <c r="O2905" s="7" t="s">
        <v>188</v>
      </c>
      <c r="P2905" s="7"/>
      <c r="Q2905" s="7"/>
      <c r="R2905" s="181">
        <f>P_1_minW-(R2903^2*R_up)+dpup_minQ</f>
        <v>100.34723910161813</v>
      </c>
      <c r="S2905" s="132"/>
      <c r="T2905" s="145"/>
      <c r="U2905" s="138">
        <f>P_1_minW-(U2903^2*R_up)+dpup_minQ</f>
        <v>95.434728767217337</v>
      </c>
      <c r="V2905" s="132"/>
      <c r="W2905" s="145"/>
      <c r="X2905" s="138">
        <f>P_1_minW-(X2903^2*R_up)+dpup_minQ</f>
        <v>69.402608253126957</v>
      </c>
      <c r="Y2905" s="132"/>
      <c r="Z2905" s="145"/>
      <c r="AA2905" s="138">
        <f>P_1_minW-(AA2903^2*R_up)+dpup_minQ</f>
        <v>-17.538134033321342</v>
      </c>
      <c r="AB2905" s="132"/>
      <c r="AC2905" s="145"/>
      <c r="AD2905" s="138">
        <f>P_1_minW-(AD2903^2*R_up)+dpup_minQ</f>
        <v>-218.81002447633873</v>
      </c>
      <c r="AE2905" s="132"/>
      <c r="AF2905" s="145"/>
      <c r="AG2905" s="138">
        <f>P_1_minW-(AG2903^2*R_up)+dpup_minQ</f>
        <v>-527.67580935100818</v>
      </c>
      <c r="AH2905" s="132"/>
      <c r="AI2905" s="145"/>
      <c r="AJ2905" s="138">
        <f>P_1_minW-(AJ2903^2*R_up)+dpup_minQ</f>
        <v>-912.27537183943389</v>
      </c>
      <c r="AK2905" s="132"/>
      <c r="AL2905" s="145"/>
      <c r="AM2905" s="138">
        <f>P_1_minW-(AM2903^2*R_up)+dpup_minQ</f>
        <v>-1292.0146006310256</v>
      </c>
      <c r="AN2905" s="132"/>
      <c r="AO2905" s="145"/>
      <c r="AP2905" s="138">
        <f>P_1_minW-(AP2903^2*R_up)+dpup_minQ</f>
        <v>-1632.7905846160259</v>
      </c>
      <c r="AQ2905" s="132"/>
      <c r="AR2905" s="145"/>
      <c r="AS2905" s="138">
        <f>P_1_minW-(AS2903^2*R_up)+dpup_minQ</f>
        <v>-2056.9598565043812</v>
      </c>
      <c r="AT2905" s="132"/>
      <c r="AU2905" s="145"/>
    </row>
    <row r="2906" spans="13:47" x14ac:dyDescent="0.25">
      <c r="M2906" s="20"/>
      <c r="N2906" s="20"/>
      <c r="O2906" s="7" t="s">
        <v>189</v>
      </c>
      <c r="P2906" s="1"/>
      <c r="Q2906" s="7"/>
      <c r="R2906" s="181">
        <f>P_2_minW+(R2903^2*R_dn)-dpdn_minQ</f>
        <v>50</v>
      </c>
      <c r="S2906" s="132"/>
      <c r="T2906" s="146"/>
      <c r="U2906" s="138">
        <f>P_2_minW+(U2903^2*R_dn)-dpdn_minQ</f>
        <v>50</v>
      </c>
      <c r="V2906" s="132"/>
      <c r="W2906" s="146"/>
      <c r="X2906" s="138">
        <f>P_2_minW+(X2903^2*R_dn)-dpdn_minQ</f>
        <v>50</v>
      </c>
      <c r="Y2906" s="132"/>
      <c r="Z2906" s="146"/>
      <c r="AA2906" s="138">
        <f>P_2_minW+(AA2903^2*R_dn)-dpdn_minQ</f>
        <v>50</v>
      </c>
      <c r="AB2906" s="132"/>
      <c r="AC2906" s="146"/>
      <c r="AD2906" s="138">
        <f>P_2_minW+(AD2903^2*R_dn)-dpdn_minQ</f>
        <v>50</v>
      </c>
      <c r="AE2906" s="132"/>
      <c r="AF2906" s="146"/>
      <c r="AG2906" s="138">
        <f>P_2_minW+(AG2903^2*R_dn)-dpdn_minQ</f>
        <v>50</v>
      </c>
      <c r="AH2906" s="132"/>
      <c r="AI2906" s="146"/>
      <c r="AJ2906" s="138">
        <f>P_2_minW+(AJ2903^2*R_dn)-dpdn_minQ</f>
        <v>50</v>
      </c>
      <c r="AK2906" s="132"/>
      <c r="AL2906" s="146"/>
      <c r="AM2906" s="138">
        <f>P_2_minW+(AM2903^2*R_dn)-dpdn_minQ</f>
        <v>50</v>
      </c>
      <c r="AN2906" s="132"/>
      <c r="AO2906" s="146"/>
      <c r="AP2906" s="138">
        <f>P_2_minW+(AP2903^2*R_dn)-dpdn_minQ</f>
        <v>50</v>
      </c>
      <c r="AQ2906" s="132"/>
      <c r="AR2906" s="146"/>
      <c r="AS2906" s="138">
        <f>P_2_minW+(AS2903^2*R_dn)-dpdn_minQ</f>
        <v>50</v>
      </c>
      <c r="AT2906" s="132"/>
      <c r="AU2906" s="146"/>
    </row>
    <row r="2907" spans="13:47" x14ac:dyDescent="0.25">
      <c r="M2907" s="20"/>
      <c r="N2907" s="20"/>
      <c r="O2907" s="7" t="s">
        <v>234</v>
      </c>
      <c r="P2907" s="1"/>
      <c r="Q2907" s="7"/>
      <c r="R2907" s="179">
        <f>'Valve Sizing'!G$8*R2905/P_1_maxW</f>
        <v>0.48405721570145721</v>
      </c>
      <c r="S2907" s="132"/>
      <c r="T2907" s="146"/>
      <c r="U2907" s="143">
        <f>'Valve Sizing'!$G$8*U2905/P_1_maxW</f>
        <v>0.46036014046686474</v>
      </c>
      <c r="V2907" s="132"/>
      <c r="W2907" s="146"/>
      <c r="X2907" s="143">
        <f>'Valve Sizing'!$G$8*X2905/P_1_maxW</f>
        <v>0.33478582584028344</v>
      </c>
      <c r="Y2907" s="132"/>
      <c r="Z2907" s="146"/>
      <c r="AA2907" s="143">
        <f>'Valve Sizing'!$G$8*AA2905/P_1_maxW</f>
        <v>-8.4600836104434501E-2</v>
      </c>
      <c r="AB2907" s="132"/>
      <c r="AC2907" s="146"/>
      <c r="AD2907" s="143">
        <f>'Valve Sizing'!$G$8*AD2905/P_1_maxW</f>
        <v>-1.05550060135014</v>
      </c>
      <c r="AE2907" s="132"/>
      <c r="AF2907" s="146"/>
      <c r="AG2907" s="143">
        <f>'Valve Sizing'!$G$8*AG2905/P_1_maxW</f>
        <v>-2.5454141574219271</v>
      </c>
      <c r="AH2907" s="132"/>
      <c r="AI2907" s="146"/>
      <c r="AJ2907" s="143">
        <f>'Valve Sizing'!$G$8*AJ2905/P_1_maxW</f>
        <v>-4.4006539731344443</v>
      </c>
      <c r="AK2907" s="132"/>
      <c r="AL2907" s="146"/>
      <c r="AM2907" s="143">
        <f>'Valve Sizing'!$G$8*AM2905/P_1_maxW</f>
        <v>-6.2324484044225139</v>
      </c>
      <c r="AN2907" s="132"/>
      <c r="AO2907" s="146"/>
      <c r="AP2907" s="143">
        <f>'Valve Sizing'!$G$8*AP2905/P_1_maxW</f>
        <v>-7.8762910797417565</v>
      </c>
      <c r="AQ2907" s="132"/>
      <c r="AR2907" s="146"/>
      <c r="AS2907" s="143">
        <f>'Valve Sizing'!$G$8*AS2905/P_1_maxW</f>
        <v>-9.9224081286469978</v>
      </c>
      <c r="AT2907" s="132"/>
      <c r="AU2907" s="146"/>
    </row>
    <row r="2908" spans="13:47" x14ac:dyDescent="0.25">
      <c r="M2908" s="20"/>
      <c r="N2908" s="20"/>
      <c r="O2908" s="7" t="s">
        <v>190</v>
      </c>
      <c r="P2908" s="1"/>
      <c r="Q2908" s="7"/>
      <c r="R2908" s="181">
        <f>R2905-R2906</f>
        <v>50.347239101618129</v>
      </c>
      <c r="S2908" s="132"/>
      <c r="T2908" s="146"/>
      <c r="U2908" s="138">
        <f>U2905-U2906</f>
        <v>45.434728767217337</v>
      </c>
      <c r="V2908" s="132"/>
      <c r="W2908" s="146"/>
      <c r="X2908" s="138">
        <f>X2905-X2906</f>
        <v>19.402608253126957</v>
      </c>
      <c r="Y2908" s="132"/>
      <c r="Z2908" s="146"/>
      <c r="AA2908" s="138">
        <f>AA2905-AA2906</f>
        <v>-67.538134033321342</v>
      </c>
      <c r="AB2908" s="132"/>
      <c r="AC2908" s="146"/>
      <c r="AD2908" s="138">
        <f>AD2905-AD2906</f>
        <v>-268.81002447633875</v>
      </c>
      <c r="AE2908" s="132"/>
      <c r="AF2908" s="146"/>
      <c r="AG2908" s="138">
        <f>AG2905-AG2906</f>
        <v>-577.67580935100818</v>
      </c>
      <c r="AH2908" s="132"/>
      <c r="AI2908" s="146"/>
      <c r="AJ2908" s="138">
        <f>AJ2905-AJ2906</f>
        <v>-962.27537183943389</v>
      </c>
      <c r="AK2908" s="132"/>
      <c r="AL2908" s="146"/>
      <c r="AM2908" s="138">
        <f>AM2905-AM2906</f>
        <v>-1342.0146006310256</v>
      </c>
      <c r="AN2908" s="132"/>
      <c r="AO2908" s="146"/>
      <c r="AP2908" s="138">
        <f>AP2905-AP2906</f>
        <v>-1682.7905846160259</v>
      </c>
      <c r="AQ2908" s="132"/>
      <c r="AR2908" s="146"/>
      <c r="AS2908" s="138">
        <f>AS2905-AS2906</f>
        <v>-2106.9598565043812</v>
      </c>
      <c r="AT2908" s="132"/>
      <c r="AU2908" s="146"/>
    </row>
    <row r="2909" spans="13:47" ht="14.5" x14ac:dyDescent="0.35">
      <c r="M2909" s="27"/>
      <c r="N2909" s="27"/>
      <c r="O2909" s="2" t="s">
        <v>191</v>
      </c>
      <c r="P2909" s="10"/>
      <c r="Q2909" s="2"/>
      <c r="R2909" s="181">
        <f>R2908/R2905</f>
        <v>0.50173018762014221</v>
      </c>
      <c r="S2909" s="132"/>
      <c r="T2909" s="146"/>
      <c r="U2909" s="138">
        <f>U2908/U2905</f>
        <v>0.47608170897662322</v>
      </c>
      <c r="V2909" s="132"/>
      <c r="W2909" s="146"/>
      <c r="X2909" s="138">
        <f>X2908/X2905</f>
        <v>0.27956598089745088</v>
      </c>
      <c r="Y2909" s="132"/>
      <c r="Z2909" s="146"/>
      <c r="AA2909" s="138">
        <f>AA2908/AA2905</f>
        <v>3.8509304299421578</v>
      </c>
      <c r="AB2909" s="132"/>
      <c r="AC2909" s="146"/>
      <c r="AD2909" s="138">
        <f>AD2908/AD2905</f>
        <v>1.2285087263239478</v>
      </c>
      <c r="AE2909" s="132"/>
      <c r="AF2909" s="146"/>
      <c r="AG2909" s="138">
        <f>AG2908/AG2905</f>
        <v>1.0947551491160743</v>
      </c>
      <c r="AH2909" s="132"/>
      <c r="AI2909" s="146"/>
      <c r="AJ2909" s="138">
        <f>AJ2908/AJ2905</f>
        <v>1.0548080125183958</v>
      </c>
      <c r="AK2909" s="132"/>
      <c r="AL2909" s="146"/>
      <c r="AM2909" s="138">
        <f>AM2908/AM2905</f>
        <v>1.0386992530700347</v>
      </c>
      <c r="AN2909" s="132"/>
      <c r="AO2909" s="146"/>
      <c r="AP2909" s="138">
        <f>AP2908/AP2905</f>
        <v>1.0306224205792798</v>
      </c>
      <c r="AQ2909" s="132"/>
      <c r="AR2909" s="146"/>
      <c r="AS2909" s="138">
        <f>AS2908/AS2905</f>
        <v>1.0243077179371747</v>
      </c>
      <c r="AT2909" s="132"/>
      <c r="AU2909" s="146"/>
    </row>
    <row r="2910" spans="13:47" x14ac:dyDescent="0.25">
      <c r="M2910" s="27"/>
      <c r="N2910" s="27"/>
      <c r="O2910" s="2" t="s">
        <v>26</v>
      </c>
      <c r="P2910" s="7">
        <v>12</v>
      </c>
      <c r="Q2910" s="2"/>
      <c r="R2910" s="181">
        <f>1-R2909/(3*F_GAMMA*R$29)</f>
        <v>0.73869316889665781</v>
      </c>
      <c r="S2910" s="133"/>
      <c r="T2910" s="146"/>
      <c r="U2910" s="138">
        <f>1-U2909/(3*F_GAMMA*U$29)</f>
        <v>0.75210578263682137</v>
      </c>
      <c r="V2910" s="133"/>
      <c r="W2910" s="146"/>
      <c r="X2910" s="138">
        <f>1-X2909/(3*F_GAMMA*X$29)</f>
        <v>0.85224712301413197</v>
      </c>
      <c r="Y2910" s="133"/>
      <c r="Z2910" s="146"/>
      <c r="AA2910" s="138">
        <f>1-AA2909/(3*F_GAMMA*AA$29)</f>
        <v>-1.0631538887967409</v>
      </c>
      <c r="AB2910" s="133"/>
      <c r="AC2910" s="146"/>
      <c r="AD2910" s="138">
        <f>1-AD2909/(3*F_GAMMA*AD$29)</f>
        <v>0.3237748601040632</v>
      </c>
      <c r="AE2910" s="133"/>
      <c r="AF2910" s="146"/>
      <c r="AG2910" s="138">
        <f>1-AG2909/(3*F_GAMMA*AG$29)</f>
        <v>0.36302537176529226</v>
      </c>
      <c r="AH2910" s="133"/>
      <c r="AI2910" s="146"/>
      <c r="AJ2910" s="138">
        <f>1-AJ2909/(3*F_GAMMA*AJ$29)</f>
        <v>0.34391248979032052</v>
      </c>
      <c r="AK2910" s="133"/>
      <c r="AL2910" s="146"/>
      <c r="AM2910" s="138">
        <f>1-AM2909/(3*F_GAMMA*AM$29)</f>
        <v>0.29410511178692278</v>
      </c>
      <c r="AN2910" s="133"/>
      <c r="AO2910" s="146"/>
      <c r="AP2910" s="138">
        <f>1-AP2909/(3*F_GAMMA*AP$29)</f>
        <v>0.42119028808052061</v>
      </c>
      <c r="AQ2910" s="133"/>
      <c r="AR2910" s="146"/>
      <c r="AS2910" s="138">
        <f>1-AS2909/(3*F_GAMMA*AS$29)</f>
        <v>0.12670032334919823</v>
      </c>
      <c r="AT2910" s="133"/>
      <c r="AU2910" s="146"/>
    </row>
    <row r="2911" spans="13:47" x14ac:dyDescent="0.25">
      <c r="M2911" s="27"/>
      <c r="N2911" s="27"/>
      <c r="O2911" s="2" t="s">
        <v>71</v>
      </c>
      <c r="P2911" s="85">
        <v>5</v>
      </c>
      <c r="Q2911" s="2"/>
      <c r="R2911" s="179">
        <f>R2903/((N_6*R$27*R2910)*SQRT(R2909*R2905*R2907))</f>
        <v>2.8746712486811492</v>
      </c>
      <c r="S2911" s="133"/>
      <c r="T2911" s="146"/>
      <c r="U2911" s="143">
        <f>U2903/((N_6*U$27*U2910)*SQRT(U2909*U2905*U2907))</f>
        <v>16.417808652667187</v>
      </c>
      <c r="V2911" s="133"/>
      <c r="W2911" s="146"/>
      <c r="X2911" s="143">
        <f>X2903/((N_6*X$27*X2910)*SQRT(X2909*X2905*X2907))</f>
        <v>64.44129353053323</v>
      </c>
      <c r="Y2911" s="133"/>
      <c r="Z2911" s="146"/>
      <c r="AA2911" s="143">
        <f>AA2903/((N_6*AA$27*AA2910)*SQRT(AA2909*AA2905*AA2907))</f>
        <v>-107.89666449252607</v>
      </c>
      <c r="AB2911" s="133"/>
      <c r="AC2911" s="146"/>
      <c r="AD2911" s="143">
        <f>AD2903/((N_6*AD$27*AD2910)*SQRT(AD2909*AD2905*AD2907))</f>
        <v>83.672795661227795</v>
      </c>
      <c r="AE2911" s="133"/>
      <c r="AF2911" s="146"/>
      <c r="AG2911" s="143">
        <f>AG2903/((N_6*AG$27*AG2910)*SQRT(AG2909*AG2905*AG2907))</f>
        <v>46.969778294232199</v>
      </c>
      <c r="AH2911" s="133"/>
      <c r="AI2911" s="146"/>
      <c r="AJ2911" s="143">
        <f>AJ2903/((N_6*AJ$27*AJ2910)*SQRT(AJ2909*AJ2905*AJ2907))</f>
        <v>38.370115798461434</v>
      </c>
      <c r="AK2911" s="133"/>
      <c r="AL2911" s="146"/>
      <c r="AM2911" s="143">
        <f>AM2903/((N_6*AM$27*AM2910)*SQRT(AM2909*AM2905*AM2907))</f>
        <v>39.734251744241455</v>
      </c>
      <c r="AN2911" s="133"/>
      <c r="AO2911" s="146"/>
      <c r="AP2911" s="143">
        <f>AP2903/((N_6*AP$27*AP2910)*SQRT(AP2909*AP2905*AP2907))</f>
        <v>27.932547668788825</v>
      </c>
      <c r="AQ2911" s="133"/>
      <c r="AR2911" s="146"/>
      <c r="AS2911" s="143">
        <f>AS2903/((N_6*AS$27*AS2910)*SQRT(AS2909*AS2905*AS2907))</f>
        <v>108.38593936094561</v>
      </c>
      <c r="AT2911" s="133"/>
      <c r="AU2911" s="146"/>
    </row>
    <row r="2912" spans="13:47" x14ac:dyDescent="0.25">
      <c r="M2912" s="27"/>
      <c r="N2912" s="27"/>
      <c r="O2912" s="2" t="s">
        <v>73</v>
      </c>
      <c r="P2912" s="85">
        <v>5</v>
      </c>
      <c r="Q2912" s="2"/>
      <c r="R2912" s="179">
        <f>R2903/((N_6*R$27*0.667)*SQRT(R2913*R2905*R2907))</f>
        <v>2.8187881903273708</v>
      </c>
      <c r="S2912" s="133"/>
      <c r="T2912" s="155"/>
      <c r="U2912" s="143">
        <f>U2903/((N_6*U$27*0.667)*SQRT(U2913*U2905*U2907))</f>
        <v>15.964749518888203</v>
      </c>
      <c r="V2912" s="133"/>
      <c r="W2912" s="155"/>
      <c r="X2912" s="143">
        <f>X2903/((N_6*X$27*0.667)*SQRT(X2913*X2905*X2907))</f>
        <v>54.819183126133751</v>
      </c>
      <c r="Y2912" s="133"/>
      <c r="Z2912" s="155"/>
      <c r="AA2912" s="143">
        <f>AA2903/((N_6*AA$27*0.667)*SQRT(AA2913*AA2905*AA2907))</f>
        <v>427.86302379309961</v>
      </c>
      <c r="AB2912" s="133"/>
      <c r="AC2912" s="155"/>
      <c r="AD2912" s="143">
        <f>AD2903/((N_6*AD$27*0.667)*SQRT(AD2913*AD2905*AD2907))</f>
        <v>57.850598166569846</v>
      </c>
      <c r="AE2912" s="133"/>
      <c r="AF2912" s="155"/>
      <c r="AG2912" s="143">
        <f>AG2903/((N_6*AG$27*0.667)*SQRT(AG2913*AG2905*AG2907))</f>
        <v>35.338763501372327</v>
      </c>
      <c r="AH2912" s="133"/>
      <c r="AI2912" s="155"/>
      <c r="AJ2912" s="143">
        <f>AJ2903/((N_6*AJ$27*0.667)*SQRT(AJ2913*AJ2905*AJ2907))</f>
        <v>27.755990919123594</v>
      </c>
      <c r="AK2912" s="133"/>
      <c r="AL2912" s="155"/>
      <c r="AM2912" s="143">
        <f>AM2903/((N_6*AM$27*0.667)*SQRT(AM2913*AM2905*AM2907))</f>
        <v>25.49602192231626</v>
      </c>
      <c r="AN2912" s="133"/>
      <c r="AO2912" s="155"/>
      <c r="AP2912" s="143">
        <f>AP2903/((N_6*AP$27*0.667)*SQRT(AP2913*AP2905*AP2907))</f>
        <v>23.242968593379164</v>
      </c>
      <c r="AQ2912" s="133"/>
      <c r="AR2912" s="155"/>
      <c r="AS2912" s="143">
        <f>AS2903/((N_6*AS$27*0.667)*SQRT(AS2913*AS2905*AS2907))</f>
        <v>33.324766284290405</v>
      </c>
      <c r="AT2912" s="133"/>
      <c r="AU2912" s="155"/>
    </row>
    <row r="2913" spans="13:47" ht="15.5" x14ac:dyDescent="0.4">
      <c r="M2913" s="27"/>
      <c r="N2913" s="27"/>
      <c r="O2913" s="2" t="s">
        <v>192</v>
      </c>
      <c r="P2913" s="85">
        <v>10</v>
      </c>
      <c r="Q2913" s="2"/>
      <c r="R2913" s="181">
        <f>F_GAMMA*R$29</f>
        <v>0.64002688015162901</v>
      </c>
      <c r="S2913" s="133"/>
      <c r="T2913" s="155"/>
      <c r="U2913" s="138">
        <f>F_GAMMA*U$29</f>
        <v>0.64016782916606918</v>
      </c>
      <c r="V2913" s="133"/>
      <c r="W2913" s="155"/>
      <c r="X2913" s="138">
        <f>F_GAMMA*X$29</f>
        <v>0.6307062319203669</v>
      </c>
      <c r="Y2913" s="133"/>
      <c r="Z2913" s="155"/>
      <c r="AA2913" s="138">
        <f>F_GAMMA*AA$29</f>
        <v>0.62217534213893466</v>
      </c>
      <c r="AB2913" s="133"/>
      <c r="AC2913" s="155"/>
      <c r="AD2913" s="138">
        <f>F_GAMMA*AD$29</f>
        <v>0.60557184969146072</v>
      </c>
      <c r="AE2913" s="133"/>
      <c r="AF2913" s="155"/>
      <c r="AG2913" s="138">
        <f>F_GAMMA*AG$29</f>
        <v>0.57289312142622573</v>
      </c>
      <c r="AH2913" s="133"/>
      <c r="AI2913" s="155"/>
      <c r="AJ2913" s="138">
        <f>F_GAMMA*AJ$29</f>
        <v>0.53590819116049981</v>
      </c>
      <c r="AK2913" s="133"/>
      <c r="AL2913" s="155"/>
      <c r="AM2913" s="138">
        <f>F_GAMMA*AM$29</f>
        <v>0.49048815926850342</v>
      </c>
      <c r="AN2913" s="133"/>
      <c r="AO2913" s="155"/>
      <c r="AP2913" s="138">
        <f>F_GAMMA*AP$29</f>
        <v>0.59352979016280105</v>
      </c>
      <c r="AQ2913" s="133"/>
      <c r="AR2913" s="155"/>
      <c r="AS2913" s="138">
        <f>F_GAMMA*AS$29</f>
        <v>0.39097221161068291</v>
      </c>
      <c r="AT2913" s="133"/>
      <c r="AU2913" s="155"/>
    </row>
    <row r="2914" spans="13:47" x14ac:dyDescent="0.25">
      <c r="M2914" s="27"/>
      <c r="N2914" s="27"/>
      <c r="O2914" s="2" t="s">
        <v>193</v>
      </c>
      <c r="P2914" s="134"/>
      <c r="Q2914" s="2"/>
      <c r="R2914" s="181">
        <f>IF(R2909&lt;R2913,R2911,R2912)</f>
        <v>2.8746712486811492</v>
      </c>
      <c r="S2914" s="133"/>
      <c r="T2914" s="155"/>
      <c r="U2914" s="138">
        <f>IF(U2909&lt;U2913,U2911,U2912)</f>
        <v>16.417808652667187</v>
      </c>
      <c r="V2914" s="133"/>
      <c r="W2914" s="155"/>
      <c r="X2914" s="138">
        <f>IF(X2909&lt;X2913,X2911,X2912)</f>
        <v>64.44129353053323</v>
      </c>
      <c r="Y2914" s="133"/>
      <c r="Z2914" s="155"/>
      <c r="AA2914" s="138">
        <f>IF(AA2909&lt;AA2913,AA2911,AA2912)</f>
        <v>427.86302379309961</v>
      </c>
      <c r="AB2914" s="133"/>
      <c r="AC2914" s="155"/>
      <c r="AD2914" s="138">
        <f>IF(AD2909&lt;AD2913,AD2911,AD2912)</f>
        <v>57.850598166569846</v>
      </c>
      <c r="AE2914" s="133"/>
      <c r="AF2914" s="155"/>
      <c r="AG2914" s="138">
        <f>IF(AG2909&lt;AG2913,AG2911,AG2912)</f>
        <v>35.338763501372327</v>
      </c>
      <c r="AH2914" s="133"/>
      <c r="AI2914" s="155"/>
      <c r="AJ2914" s="138">
        <f>IF(AJ2909&lt;AJ2913,AJ2911,AJ2912)</f>
        <v>27.755990919123594</v>
      </c>
      <c r="AK2914" s="133"/>
      <c r="AL2914" s="155"/>
      <c r="AM2914" s="138">
        <f>IF(AM2909&lt;AM2913,AM2911,AM2912)</f>
        <v>25.49602192231626</v>
      </c>
      <c r="AN2914" s="133"/>
      <c r="AO2914" s="155"/>
      <c r="AP2914" s="138">
        <f>IF(AP2909&lt;AP2913,AP2911,AP2912)</f>
        <v>23.242968593379164</v>
      </c>
      <c r="AQ2914" s="133"/>
      <c r="AR2914" s="155"/>
      <c r="AS2914" s="138">
        <f>IF(AS2909&lt;AS2913,AS2911,AS2912)</f>
        <v>33.324766284290405</v>
      </c>
      <c r="AT2914" s="133"/>
      <c r="AU2914" s="155"/>
    </row>
    <row r="2915" spans="13:47" ht="13" x14ac:dyDescent="0.3">
      <c r="M2915" s="28"/>
      <c r="N2915" s="28"/>
      <c r="O2915" s="9" t="s">
        <v>194</v>
      </c>
      <c r="P2915" s="1"/>
      <c r="Q2915" s="1"/>
      <c r="R2915" s="135"/>
      <c r="S2915" s="132">
        <f>IF(R2908&lt;=0,W_max,ABS(R$23-R2914))</f>
        <v>0.8746712486811492</v>
      </c>
      <c r="T2915" s="151">
        <f>R2903</f>
        <v>663.49964963548859</v>
      </c>
      <c r="U2915" s="135"/>
      <c r="V2915" s="132">
        <f>IF(U2908&lt;=0,W_max,ABS(U$23-U2914))</f>
        <v>11.417808652667187</v>
      </c>
      <c r="W2915" s="151">
        <f>U2903</f>
        <v>3572.0640011294149</v>
      </c>
      <c r="X2915" s="135"/>
      <c r="Y2915" s="132">
        <f>IF(X2908&lt;=0,W_max,ABS(X$23-X2914))</f>
        <v>54.44129353053323</v>
      </c>
      <c r="Z2915" s="151">
        <f>X2903</f>
        <v>8834.1393553920861</v>
      </c>
      <c r="AA2915" s="135"/>
      <c r="AB2915" s="132">
        <f>IF(AA2908&lt;=0,W_max,ABS(AA$23-AA2914))</f>
        <v>7174</v>
      </c>
      <c r="AC2915" s="151">
        <f>AA2903</f>
        <v>17206.648590752462</v>
      </c>
      <c r="AD2915" s="135"/>
      <c r="AE2915" s="132">
        <f>IF(AD2908&lt;=0,W_max,ABS(AD$23-AD2914))</f>
        <v>7174</v>
      </c>
      <c r="AF2915" s="151">
        <f>AD2903</f>
        <v>28298.6018196367</v>
      </c>
      <c r="AG2915" s="135"/>
      <c r="AH2915" s="132">
        <f>IF(AG2908&lt;=0,W_max,ABS(AG$23-AG2914))</f>
        <v>7174</v>
      </c>
      <c r="AI2915" s="151">
        <f>AG2903</f>
        <v>39690.967652998814</v>
      </c>
      <c r="AJ2915" s="135"/>
      <c r="AK2915" s="132">
        <f>IF(AJ2908&lt;=0,W_max,ABS(AJ$23-AJ2914))</f>
        <v>7174</v>
      </c>
      <c r="AL2915" s="151">
        <f>AJ2903</f>
        <v>50396.996862772059</v>
      </c>
      <c r="AM2915" s="135"/>
      <c r="AN2915" s="132">
        <f>IF(AM2908&lt;=0,W_max,ABS(AM$23-AM2914))</f>
        <v>7174</v>
      </c>
      <c r="AO2915" s="151">
        <f>AM2903</f>
        <v>59094.442289573155</v>
      </c>
      <c r="AP2915" s="135"/>
      <c r="AQ2915" s="132">
        <f>IF(AP2908&lt;=0,W_max,ABS(AP$23-AP2914))</f>
        <v>7174</v>
      </c>
      <c r="AR2915" s="151">
        <f>AP2903</f>
        <v>65929.798726317036</v>
      </c>
      <c r="AS2915" s="135"/>
      <c r="AT2915" s="132">
        <f>IF(AS2908&lt;=0,W_max,ABS(AS$23-AS2914))</f>
        <v>7174</v>
      </c>
      <c r="AU2915" s="151">
        <f>AS2903</f>
        <v>73555.789540967206</v>
      </c>
    </row>
    <row r="2916" spans="13:47" ht="13" x14ac:dyDescent="0.25">
      <c r="M2916" s="12"/>
      <c r="N2916" s="12"/>
      <c r="O2916" s="2"/>
      <c r="P2916" s="85"/>
      <c r="Q2916" s="2"/>
      <c r="R2916" s="18"/>
      <c r="S2916" s="150"/>
      <c r="T2916" s="152"/>
      <c r="U2916" s="157"/>
      <c r="V2916" s="1"/>
      <c r="W2916" s="147"/>
      <c r="X2916" s="157"/>
      <c r="Y2916" s="1"/>
      <c r="Z2916" s="147"/>
      <c r="AA2916" s="157"/>
      <c r="AB2916" s="1"/>
      <c r="AC2916" s="147"/>
      <c r="AD2916" s="157"/>
      <c r="AE2916" s="1"/>
      <c r="AF2916" s="147"/>
      <c r="AG2916" s="157"/>
      <c r="AH2916" s="1"/>
      <c r="AI2916" s="147"/>
      <c r="AJ2916" s="157"/>
      <c r="AK2916" s="1"/>
      <c r="AL2916" s="147"/>
      <c r="AM2916" s="157"/>
      <c r="AN2916" s="1"/>
      <c r="AO2916" s="147"/>
      <c r="AP2916" s="157"/>
      <c r="AQ2916" s="1"/>
      <c r="AR2916" s="147"/>
      <c r="AS2916" s="157"/>
      <c r="AT2916" s="1"/>
      <c r="AU2916" s="147"/>
    </row>
    <row r="2917" spans="13:47" ht="14" x14ac:dyDescent="0.3">
      <c r="M2917" s="23"/>
      <c r="N2917" s="23"/>
      <c r="O2917" s="23" t="s">
        <v>238</v>
      </c>
      <c r="P2917" s="20"/>
      <c r="Q2917" s="20"/>
      <c r="R2917" s="181">
        <f>R2903*1.02</f>
        <v>676.76964262819843</v>
      </c>
      <c r="S2917" s="128" t="s">
        <v>185</v>
      </c>
      <c r="T2917" s="153" t="s">
        <v>186</v>
      </c>
      <c r="U2917" s="143">
        <f>U2903*1.01</f>
        <v>3607.784641140709</v>
      </c>
      <c r="V2917" s="128" t="s">
        <v>185</v>
      </c>
      <c r="W2917" s="153" t="s">
        <v>186</v>
      </c>
      <c r="X2917" s="143">
        <f>X2903*1.01</f>
        <v>8922.4807489460072</v>
      </c>
      <c r="Y2917" s="128" t="s">
        <v>185</v>
      </c>
      <c r="Z2917" s="153" t="s">
        <v>186</v>
      </c>
      <c r="AA2917" s="143">
        <f>AA2903*1.01</f>
        <v>17378.715076659988</v>
      </c>
      <c r="AB2917" s="128" t="s">
        <v>185</v>
      </c>
      <c r="AC2917" s="153" t="s">
        <v>186</v>
      </c>
      <c r="AD2917" s="143">
        <f>AD2903*1.01</f>
        <v>28581.587837833067</v>
      </c>
      <c r="AE2917" s="128" t="s">
        <v>185</v>
      </c>
      <c r="AF2917" s="153" t="s">
        <v>186</v>
      </c>
      <c r="AG2917" s="143">
        <f>AG2903*1.01</f>
        <v>40087.877329528805</v>
      </c>
      <c r="AH2917" s="128" t="s">
        <v>185</v>
      </c>
      <c r="AI2917" s="153" t="s">
        <v>186</v>
      </c>
      <c r="AJ2917" s="143">
        <f>AJ2903*1.01</f>
        <v>50900.966831399783</v>
      </c>
      <c r="AK2917" s="128" t="s">
        <v>185</v>
      </c>
      <c r="AL2917" s="153" t="s">
        <v>186</v>
      </c>
      <c r="AM2917" s="143">
        <f>AM2903*1.01</f>
        <v>59685.386712468884</v>
      </c>
      <c r="AN2917" s="128" t="s">
        <v>185</v>
      </c>
      <c r="AO2917" s="153" t="s">
        <v>186</v>
      </c>
      <c r="AP2917" s="143">
        <f>AP2903*1.01</f>
        <v>66589.096713580206</v>
      </c>
      <c r="AQ2917" s="128" t="s">
        <v>185</v>
      </c>
      <c r="AR2917" s="153" t="s">
        <v>186</v>
      </c>
      <c r="AS2917" s="143">
        <f>AS2903*1.01</f>
        <v>74291.347436376876</v>
      </c>
      <c r="AT2917" s="128" t="s">
        <v>185</v>
      </c>
      <c r="AU2917" s="153" t="s">
        <v>186</v>
      </c>
    </row>
    <row r="2918" spans="13:47" ht="14" x14ac:dyDescent="0.3">
      <c r="M2918" s="12"/>
      <c r="N2918" s="12"/>
      <c r="O2918" s="20"/>
      <c r="P2918" s="20"/>
      <c r="Q2918" s="23"/>
      <c r="R2918" s="139"/>
      <c r="S2918" s="130" t="s">
        <v>228</v>
      </c>
      <c r="T2918" s="154" t="s">
        <v>187</v>
      </c>
      <c r="U2918" s="144"/>
      <c r="V2918" s="130" t="s">
        <v>228</v>
      </c>
      <c r="W2918" s="154" t="s">
        <v>187</v>
      </c>
      <c r="X2918" s="144"/>
      <c r="Y2918" s="130" t="s">
        <v>228</v>
      </c>
      <c r="Z2918" s="154" t="s">
        <v>187</v>
      </c>
      <c r="AA2918" s="144"/>
      <c r="AB2918" s="130" t="s">
        <v>228</v>
      </c>
      <c r="AC2918" s="154" t="s">
        <v>187</v>
      </c>
      <c r="AD2918" s="144"/>
      <c r="AE2918" s="130" t="s">
        <v>228</v>
      </c>
      <c r="AF2918" s="154" t="s">
        <v>187</v>
      </c>
      <c r="AG2918" s="144"/>
      <c r="AH2918" s="130" t="s">
        <v>228</v>
      </c>
      <c r="AI2918" s="154" t="s">
        <v>187</v>
      </c>
      <c r="AJ2918" s="144"/>
      <c r="AK2918" s="130" t="s">
        <v>228</v>
      </c>
      <c r="AL2918" s="154" t="s">
        <v>187</v>
      </c>
      <c r="AM2918" s="144"/>
      <c r="AN2918" s="130" t="s">
        <v>228</v>
      </c>
      <c r="AO2918" s="154" t="s">
        <v>187</v>
      </c>
      <c r="AP2918" s="144"/>
      <c r="AQ2918" s="130" t="s">
        <v>228</v>
      </c>
      <c r="AR2918" s="154" t="s">
        <v>187</v>
      </c>
      <c r="AS2918" s="144"/>
      <c r="AT2918" s="130" t="s">
        <v>228</v>
      </c>
      <c r="AU2918" s="154" t="s">
        <v>187</v>
      </c>
    </row>
    <row r="2919" spans="13:47" x14ac:dyDescent="0.25">
      <c r="M2919" s="20"/>
      <c r="N2919" s="20"/>
      <c r="O2919" s="7" t="s">
        <v>188</v>
      </c>
      <c r="P2919" s="7"/>
      <c r="Q2919" s="7"/>
      <c r="R2919" s="181">
        <f>P_1_minW-(R2917^2*R_up)+dpup_minQ</f>
        <v>100.34014697715973</v>
      </c>
      <c r="S2919" s="132"/>
      <c r="T2919" s="145"/>
      <c r="U2919" s="138">
        <f>P_1_minW-(U2917^2*R_up)+dpup_minQ</f>
        <v>95.332458802030203</v>
      </c>
      <c r="V2919" s="132"/>
      <c r="W2919" s="145"/>
      <c r="X2919" s="138">
        <f>P_1_minW-(X2917^2*R_up)+dpup_minQ</f>
        <v>68.777092665606588</v>
      </c>
      <c r="Y2919" s="132"/>
      <c r="Z2919" s="145"/>
      <c r="AA2919" s="138">
        <f>P_1_minW-(AA2917^2*R_up)+dpup_minQ</f>
        <v>-19.91115854079932</v>
      </c>
      <c r="AB2919" s="132"/>
      <c r="AC2919" s="145"/>
      <c r="AD2919" s="138">
        <f>P_1_minW-(AD2917^2*R_up)+dpup_minQ</f>
        <v>-225.22861398172134</v>
      </c>
      <c r="AE2919" s="132"/>
      <c r="AF2919" s="145"/>
      <c r="AG2919" s="138">
        <f>P_1_minW-(AG2917^2*R_up)+dpup_minQ</f>
        <v>-540.30260113237171</v>
      </c>
      <c r="AH2919" s="132"/>
      <c r="AI2919" s="145"/>
      <c r="AJ2919" s="138">
        <f>P_1_minW-(AJ2917^2*R_up)+dpup_minQ</f>
        <v>-932.6326148268148</v>
      </c>
      <c r="AK2919" s="132"/>
      <c r="AL2919" s="145"/>
      <c r="AM2919" s="138">
        <f>P_1_minW-(AM2917^2*R_up)+dpup_minQ</f>
        <v>-1320.0046021171174</v>
      </c>
      <c r="AN2919" s="132"/>
      <c r="AO2919" s="145"/>
      <c r="AP2919" s="138">
        <f>P_1_minW-(AP2917^2*R_up)+dpup_minQ</f>
        <v>-1667.6301833802161</v>
      </c>
      <c r="AQ2919" s="132"/>
      <c r="AR2919" s="145"/>
      <c r="AS2919" s="138">
        <f>P_1_minW-(AS2917^2*R_up)+dpup_minQ</f>
        <v>-2100.3252576335276</v>
      </c>
      <c r="AT2919" s="132"/>
      <c r="AU2919" s="145"/>
    </row>
    <row r="2920" spans="13:47" x14ac:dyDescent="0.25">
      <c r="M2920" s="20"/>
      <c r="N2920" s="20"/>
      <c r="O2920" s="7" t="s">
        <v>189</v>
      </c>
      <c r="P2920" s="1"/>
      <c r="Q2920" s="7"/>
      <c r="R2920" s="181">
        <f>P_2_minW+(R2917^2*R_dn)-dpdn_minQ</f>
        <v>50</v>
      </c>
      <c r="S2920" s="132"/>
      <c r="T2920" s="146"/>
      <c r="U2920" s="138">
        <f>P_2_minW+(U2917^2*R_dn)-dpdn_minQ</f>
        <v>50</v>
      </c>
      <c r="V2920" s="132"/>
      <c r="W2920" s="146"/>
      <c r="X2920" s="138">
        <f>P_2_minW+(X2917^2*R_dn)-dpdn_minQ</f>
        <v>50</v>
      </c>
      <c r="Y2920" s="132"/>
      <c r="Z2920" s="146"/>
      <c r="AA2920" s="138">
        <f>P_2_minW+(AA2917^2*R_dn)-dpdn_minQ</f>
        <v>50</v>
      </c>
      <c r="AB2920" s="132"/>
      <c r="AC2920" s="146"/>
      <c r="AD2920" s="138">
        <f>P_2_minW+(AD2917^2*R_dn)-dpdn_minQ</f>
        <v>50</v>
      </c>
      <c r="AE2920" s="132"/>
      <c r="AF2920" s="146"/>
      <c r="AG2920" s="138">
        <f>P_2_minW+(AG2917^2*R_dn)-dpdn_minQ</f>
        <v>50</v>
      </c>
      <c r="AH2920" s="132"/>
      <c r="AI2920" s="146"/>
      <c r="AJ2920" s="138">
        <f>P_2_minW+(AJ2917^2*R_dn)-dpdn_minQ</f>
        <v>50</v>
      </c>
      <c r="AK2920" s="132"/>
      <c r="AL2920" s="146"/>
      <c r="AM2920" s="138">
        <f>P_2_minW+(AM2917^2*R_dn)-dpdn_minQ</f>
        <v>50</v>
      </c>
      <c r="AN2920" s="132"/>
      <c r="AO2920" s="146"/>
      <c r="AP2920" s="138">
        <f>P_2_minW+(AP2917^2*R_dn)-dpdn_minQ</f>
        <v>50</v>
      </c>
      <c r="AQ2920" s="132"/>
      <c r="AR2920" s="146"/>
      <c r="AS2920" s="138">
        <f>P_2_minW+(AS2917^2*R_dn)-dpdn_minQ</f>
        <v>50</v>
      </c>
      <c r="AT2920" s="132"/>
      <c r="AU2920" s="146"/>
    </row>
    <row r="2921" spans="13:47" x14ac:dyDescent="0.25">
      <c r="M2921" s="20"/>
      <c r="N2921" s="20"/>
      <c r="O2921" s="7" t="s">
        <v>234</v>
      </c>
      <c r="P2921" s="1"/>
      <c r="Q2921" s="7"/>
      <c r="R2921" s="179">
        <f>'Valve Sizing'!G$8*R2919/P_1_maxW</f>
        <v>0.48402300455574476</v>
      </c>
      <c r="S2921" s="132"/>
      <c r="T2921" s="146"/>
      <c r="U2921" s="143">
        <f>'Valve Sizing'!$G$8*U2919/P_1_maxW</f>
        <v>0.45986680836284705</v>
      </c>
      <c r="V2921" s="132"/>
      <c r="W2921" s="146"/>
      <c r="X2921" s="143">
        <f>'Valve Sizing'!$G$8*X2919/P_1_maxW</f>
        <v>0.3317684500122714</v>
      </c>
      <c r="Y2921" s="132"/>
      <c r="Z2921" s="146"/>
      <c r="AA2921" s="143">
        <f>'Valve Sizing'!$G$8*AA2919/P_1_maxW</f>
        <v>-9.6047883837535403E-2</v>
      </c>
      <c r="AB2921" s="132"/>
      <c r="AC2921" s="146"/>
      <c r="AD2921" s="143">
        <f>'Valve Sizing'!$G$8*AD2919/P_1_maxW</f>
        <v>-1.0864627343646795</v>
      </c>
      <c r="AE2921" s="132"/>
      <c r="AF2921" s="146"/>
      <c r="AG2921" s="143">
        <f>'Valve Sizing'!$G$8*AG2919/P_1_maxW</f>
        <v>-2.6063235529135094</v>
      </c>
      <c r="AH2921" s="132"/>
      <c r="AI2921" s="146"/>
      <c r="AJ2921" s="143">
        <f>'Valve Sizing'!$G$8*AJ2919/P_1_maxW</f>
        <v>-4.4988536889218489</v>
      </c>
      <c r="AK2921" s="132"/>
      <c r="AL2921" s="146"/>
      <c r="AM2921" s="143">
        <f>'Valve Sizing'!$G$8*AM2919/P_1_maxW</f>
        <v>-6.3674671882788081</v>
      </c>
      <c r="AN2921" s="132"/>
      <c r="AO2921" s="146"/>
      <c r="AP2921" s="143">
        <f>'Valve Sizing'!$G$8*AP2919/P_1_maxW</f>
        <v>-8.0443511013719657</v>
      </c>
      <c r="AQ2921" s="132"/>
      <c r="AR2921" s="146"/>
      <c r="AS2921" s="143">
        <f>'Valve Sizing'!$G$8*AS2919/P_1_maxW</f>
        <v>-10.131595102960205</v>
      </c>
      <c r="AT2921" s="132"/>
      <c r="AU2921" s="146"/>
    </row>
    <row r="2922" spans="13:47" x14ac:dyDescent="0.25">
      <c r="M2922" s="20"/>
      <c r="N2922" s="20"/>
      <c r="O2922" s="7" t="s">
        <v>190</v>
      </c>
      <c r="P2922" s="1"/>
      <c r="Q2922" s="7"/>
      <c r="R2922" s="181">
        <f>R2919-R2920</f>
        <v>50.340146977159733</v>
      </c>
      <c r="S2922" s="132"/>
      <c r="T2922" s="146"/>
      <c r="U2922" s="138">
        <f>U2919-U2920</f>
        <v>45.332458802030203</v>
      </c>
      <c r="V2922" s="132"/>
      <c r="W2922" s="146"/>
      <c r="X2922" s="138">
        <f>X2919-X2920</f>
        <v>18.777092665606588</v>
      </c>
      <c r="Y2922" s="132"/>
      <c r="Z2922" s="146"/>
      <c r="AA2922" s="138">
        <f>AA2919-AA2920</f>
        <v>-69.91115854079932</v>
      </c>
      <c r="AB2922" s="132"/>
      <c r="AC2922" s="146"/>
      <c r="AD2922" s="138">
        <f>AD2919-AD2920</f>
        <v>-275.22861398172131</v>
      </c>
      <c r="AE2922" s="132"/>
      <c r="AF2922" s="146"/>
      <c r="AG2922" s="138">
        <f>AG2919-AG2920</f>
        <v>-590.30260113237171</v>
      </c>
      <c r="AH2922" s="132"/>
      <c r="AI2922" s="146"/>
      <c r="AJ2922" s="138">
        <f>AJ2919-AJ2920</f>
        <v>-982.6326148268148</v>
      </c>
      <c r="AK2922" s="132"/>
      <c r="AL2922" s="146"/>
      <c r="AM2922" s="138">
        <f>AM2919-AM2920</f>
        <v>-1370.0046021171174</v>
      </c>
      <c r="AN2922" s="132"/>
      <c r="AO2922" s="146"/>
      <c r="AP2922" s="138">
        <f>AP2919-AP2920</f>
        <v>-1717.6301833802161</v>
      </c>
      <c r="AQ2922" s="132"/>
      <c r="AR2922" s="146"/>
      <c r="AS2922" s="138">
        <f>AS2919-AS2920</f>
        <v>-2150.3252576335276</v>
      </c>
      <c r="AT2922" s="132"/>
      <c r="AU2922" s="146"/>
    </row>
    <row r="2923" spans="13:47" ht="14.5" x14ac:dyDescent="0.35">
      <c r="M2923" s="27"/>
      <c r="N2923" s="27"/>
      <c r="O2923" s="2" t="s">
        <v>191</v>
      </c>
      <c r="P2923" s="10"/>
      <c r="Q2923" s="2"/>
      <c r="R2923" s="181">
        <f>R2922/R2919</f>
        <v>0.50169496949828651</v>
      </c>
      <c r="S2923" s="132"/>
      <c r="T2923" s="146"/>
      <c r="U2923" s="138">
        <f>U2922/U2919</f>
        <v>0.4755196642537956</v>
      </c>
      <c r="V2923" s="132"/>
      <c r="W2923" s="146"/>
      <c r="X2923" s="138">
        <f>X2922/X2919</f>
        <v>0.27301375992876858</v>
      </c>
      <c r="Y2923" s="132"/>
      <c r="Z2923" s="146"/>
      <c r="AA2923" s="138">
        <f>AA2922/AA2919</f>
        <v>3.511154732535859</v>
      </c>
      <c r="AB2923" s="132"/>
      <c r="AC2923" s="146"/>
      <c r="AD2923" s="138">
        <f>AD2922/AD2919</f>
        <v>1.2219966598207535</v>
      </c>
      <c r="AE2923" s="132"/>
      <c r="AF2923" s="146"/>
      <c r="AG2923" s="138">
        <f>AG2922/AG2919</f>
        <v>1.0925407353124148</v>
      </c>
      <c r="AH2923" s="132"/>
      <c r="AI2923" s="146"/>
      <c r="AJ2923" s="138">
        <f>AJ2922/AJ2919</f>
        <v>1.0536116786021736</v>
      </c>
      <c r="AK2923" s="132"/>
      <c r="AL2923" s="146"/>
      <c r="AM2923" s="138">
        <f>AM2922/AM2919</f>
        <v>1.0378786558166588</v>
      </c>
      <c r="AN2923" s="132"/>
      <c r="AO2923" s="146"/>
      <c r="AP2923" s="138">
        <f>AP2922/AP2919</f>
        <v>1.0299826667196992</v>
      </c>
      <c r="AQ2923" s="132"/>
      <c r="AR2923" s="146"/>
      <c r="AS2923" s="138">
        <f>AS2922/AS2919</f>
        <v>1.0238058366523364</v>
      </c>
      <c r="AT2923" s="132"/>
      <c r="AU2923" s="146"/>
    </row>
    <row r="2924" spans="13:47" x14ac:dyDescent="0.25">
      <c r="M2924" s="27"/>
      <c r="N2924" s="27"/>
      <c r="O2924" s="2" t="s">
        <v>26</v>
      </c>
      <c r="P2924" s="7">
        <v>12</v>
      </c>
      <c r="Q2924" s="2"/>
      <c r="R2924" s="181">
        <f>1-R2923/(3*F_GAMMA*R$29)</f>
        <v>0.73871151089808929</v>
      </c>
      <c r="S2924" s="133"/>
      <c r="T2924" s="146"/>
      <c r="U2924" s="138">
        <f>1-U2923/(3*F_GAMMA*U$29)</f>
        <v>0.75239843751950519</v>
      </c>
      <c r="V2924" s="133"/>
      <c r="W2924" s="146"/>
      <c r="X2924" s="138">
        <f>1-X2923/(3*F_GAMMA*X$29)</f>
        <v>0.8557100246721312</v>
      </c>
      <c r="Y2924" s="133"/>
      <c r="Z2924" s="146"/>
      <c r="AA2924" s="138">
        <f>1-AA2923/(3*F_GAMMA*AA$29)</f>
        <v>-0.88111747859003686</v>
      </c>
      <c r="AB2924" s="133"/>
      <c r="AC2924" s="146"/>
      <c r="AD2924" s="138">
        <f>1-AD2923/(3*F_GAMMA*AD$29)</f>
        <v>0.32735938741573412</v>
      </c>
      <c r="AE2924" s="133"/>
      <c r="AF2924" s="146"/>
      <c r="AG2924" s="138">
        <f>1-AG2923/(3*F_GAMMA*AG$29)</f>
        <v>0.36431381092950421</v>
      </c>
      <c r="AH2924" s="133"/>
      <c r="AI2924" s="146"/>
      <c r="AJ2924" s="138">
        <f>1-AJ2923/(3*F_GAMMA*AJ$29)</f>
        <v>0.34465660600024539</v>
      </c>
      <c r="AK2924" s="133"/>
      <c r="AL2924" s="146"/>
      <c r="AM2924" s="138">
        <f>1-AM2923/(3*F_GAMMA*AM$29)</f>
        <v>0.29466278563209758</v>
      </c>
      <c r="AN2924" s="133"/>
      <c r="AO2924" s="146"/>
      <c r="AP2924" s="138">
        <f>1-AP2923/(3*F_GAMMA*AP$29)</f>
        <v>0.42154958139664611</v>
      </c>
      <c r="AQ2924" s="133"/>
      <c r="AR2924" s="146"/>
      <c r="AS2924" s="138">
        <f>1-AS2923/(3*F_GAMMA*AS$29)</f>
        <v>0.12712821504237914</v>
      </c>
      <c r="AT2924" s="133"/>
      <c r="AU2924" s="146"/>
    </row>
    <row r="2925" spans="13:47" x14ac:dyDescent="0.25">
      <c r="M2925" s="27"/>
      <c r="N2925" s="27"/>
      <c r="O2925" s="2" t="s">
        <v>71</v>
      </c>
      <c r="P2925" s="85">
        <v>5</v>
      </c>
      <c r="Q2925" s="2"/>
      <c r="R2925" s="179">
        <f>R2917/((N_6*R$27*R2924)*SQRT(R2923*R2919*R2921))</f>
        <v>2.9324020308608096</v>
      </c>
      <c r="S2925" s="133"/>
      <c r="T2925" s="146"/>
      <c r="U2925" s="143">
        <f>U2917/((N_6*U$27*U2924)*SQRT(U2923*U2919*U2921))</f>
        <v>16.603122147883532</v>
      </c>
      <c r="V2925" s="133"/>
      <c r="W2925" s="146"/>
      <c r="X2925" s="143">
        <f>X2917/((N_6*X$27*X2924)*SQRT(X2923*X2919*X2921))</f>
        <v>66.192139593380475</v>
      </c>
      <c r="Y2925" s="133"/>
      <c r="Z2925" s="146"/>
      <c r="AA2925" s="143">
        <f>AA2917/((N_6*AA$27*AA2924)*SQRT(AA2923*AA2919*AA2921))</f>
        <v>-121.29318915865824</v>
      </c>
      <c r="AB2925" s="133"/>
      <c r="AC2925" s="146"/>
      <c r="AD2925" s="143">
        <f>AD2917/((N_6*AD$27*AD2924)*SQRT(AD2923*AD2919*AD2921))</f>
        <v>81.418246080465565</v>
      </c>
      <c r="AE2925" s="133"/>
      <c r="AF2925" s="146"/>
      <c r="AG2925" s="143">
        <f>AG2917/((N_6*AG$27*AG2924)*SQRT(AG2923*AG2919*AG2921))</f>
        <v>46.213731102179437</v>
      </c>
      <c r="AH2925" s="133"/>
      <c r="AI2925" s="146"/>
      <c r="AJ2925" s="143">
        <f>AJ2917/((N_6*AJ$27*AJ2924)*SQRT(AJ2923*AJ2919*AJ2921))</f>
        <v>37.847534953175128</v>
      </c>
      <c r="AK2925" s="133"/>
      <c r="AL2925" s="146"/>
      <c r="AM2925" s="143">
        <f>AM2917/((N_6*AM$27*AM2924)*SQRT(AM2923*AM2919*AM2921))</f>
        <v>39.221779249828217</v>
      </c>
      <c r="AN2925" s="133"/>
      <c r="AO2925" s="146"/>
      <c r="AP2925" s="143">
        <f>AP2917/((N_6*AP$27*AP2924)*SQRT(AP2923*AP2919*AP2921))</f>
        <v>27.607506545783732</v>
      </c>
      <c r="AQ2925" s="133"/>
      <c r="AR2925" s="146"/>
      <c r="AS2925" s="143">
        <f>AS2917/((N_6*AS$27*AS2924)*SQRT(AS2923*AS2919*AS2921))</f>
        <v>106.87491361251863</v>
      </c>
      <c r="AT2925" s="133"/>
      <c r="AU2925" s="146"/>
    </row>
    <row r="2926" spans="13:47" x14ac:dyDescent="0.25">
      <c r="M2926" s="27"/>
      <c r="N2926" s="27"/>
      <c r="O2926" s="2" t="s">
        <v>73</v>
      </c>
      <c r="P2926" s="85">
        <v>5</v>
      </c>
      <c r="Q2926" s="2"/>
      <c r="R2926" s="179">
        <f>R2917/((N_6*R$27*0.667)*SQRT(R2927*R2919*R2921))</f>
        <v>2.8753671730967696</v>
      </c>
      <c r="S2926" s="133"/>
      <c r="T2926" s="155"/>
      <c r="U2926" s="143">
        <f>U2917/((N_6*U$27*0.667)*SQRT(U2927*U2919*U2921))</f>
        <v>16.141694811092027</v>
      </c>
      <c r="V2926" s="133"/>
      <c r="W2926" s="155"/>
      <c r="X2926" s="143">
        <f>X2917/((N_6*X$27*0.667)*SQRT(X2927*X2919*X2921))</f>
        <v>55.870931515743976</v>
      </c>
      <c r="Y2926" s="133"/>
      <c r="Z2926" s="155"/>
      <c r="AA2926" s="143">
        <f>AA2917/((N_6*AA$27*0.667)*SQRT(AA2927*AA2919*AA2921))</f>
        <v>380.63873753240392</v>
      </c>
      <c r="AB2926" s="133"/>
      <c r="AC2926" s="155"/>
      <c r="AD2926" s="143">
        <f>AD2917/((N_6*AD$27*0.667)*SQRT(AD2927*AD2919*AD2921))</f>
        <v>56.763985191701863</v>
      </c>
      <c r="AE2926" s="133"/>
      <c r="AF2926" s="155"/>
      <c r="AG2926" s="143">
        <f>AG2917/((N_6*AG$27*0.667)*SQRT(AG2927*AG2919*AG2921))</f>
        <v>34.858030849562397</v>
      </c>
      <c r="AH2926" s="133"/>
      <c r="AI2926" s="155"/>
      <c r="AJ2926" s="143">
        <f>AJ2917/((N_6*AJ$27*0.667)*SQRT(AJ2927*AJ2919*AJ2921))</f>
        <v>27.421642348021045</v>
      </c>
      <c r="AK2926" s="133"/>
      <c r="AL2926" s="155"/>
      <c r="AM2926" s="143">
        <f>AM2917/((N_6*AM$27*0.667)*SQRT(AM2927*AM2919*AM2921))</f>
        <v>25.204946144957297</v>
      </c>
      <c r="AN2926" s="133"/>
      <c r="AO2926" s="155"/>
      <c r="AP2926" s="143">
        <f>AP2917/((N_6*AP$27*0.667)*SQRT(AP2927*AP2919*AP2921))</f>
        <v>22.984957733782032</v>
      </c>
      <c r="AQ2926" s="133"/>
      <c r="AR2926" s="155"/>
      <c r="AS2926" s="143">
        <f>AS2917/((N_6*AS$27*0.667)*SQRT(AS2927*AS2919*AS2921))</f>
        <v>32.963077164973967</v>
      </c>
      <c r="AT2926" s="133"/>
      <c r="AU2926" s="155"/>
    </row>
    <row r="2927" spans="13:47" ht="15.5" x14ac:dyDescent="0.4">
      <c r="M2927" s="27"/>
      <c r="N2927" s="27"/>
      <c r="O2927" s="2" t="s">
        <v>192</v>
      </c>
      <c r="P2927" s="85">
        <v>10</v>
      </c>
      <c r="Q2927" s="2"/>
      <c r="R2927" s="181">
        <f>F_GAMMA*R$29</f>
        <v>0.64002688015162901</v>
      </c>
      <c r="S2927" s="133"/>
      <c r="T2927" s="155"/>
      <c r="U2927" s="138">
        <f>F_GAMMA*U$29</f>
        <v>0.64016782916606918</v>
      </c>
      <c r="V2927" s="133"/>
      <c r="W2927" s="155"/>
      <c r="X2927" s="138">
        <f>F_GAMMA*X$29</f>
        <v>0.6307062319203669</v>
      </c>
      <c r="Y2927" s="133"/>
      <c r="Z2927" s="155"/>
      <c r="AA2927" s="138">
        <f>F_GAMMA*AA$29</f>
        <v>0.62217534213893466</v>
      </c>
      <c r="AB2927" s="133"/>
      <c r="AC2927" s="155"/>
      <c r="AD2927" s="138">
        <f>F_GAMMA*AD$29</f>
        <v>0.60557184969146072</v>
      </c>
      <c r="AE2927" s="133"/>
      <c r="AF2927" s="155"/>
      <c r="AG2927" s="138">
        <f>F_GAMMA*AG$29</f>
        <v>0.57289312142622573</v>
      </c>
      <c r="AH2927" s="133"/>
      <c r="AI2927" s="155"/>
      <c r="AJ2927" s="138">
        <f>F_GAMMA*AJ$29</f>
        <v>0.53590819116049981</v>
      </c>
      <c r="AK2927" s="133"/>
      <c r="AL2927" s="155"/>
      <c r="AM2927" s="138">
        <f>F_GAMMA*AM$29</f>
        <v>0.49048815926850342</v>
      </c>
      <c r="AN2927" s="133"/>
      <c r="AO2927" s="155"/>
      <c r="AP2927" s="138">
        <f>F_GAMMA*AP$29</f>
        <v>0.59352979016280105</v>
      </c>
      <c r="AQ2927" s="133"/>
      <c r="AR2927" s="155"/>
      <c r="AS2927" s="138">
        <f>F_GAMMA*AS$29</f>
        <v>0.39097221161068291</v>
      </c>
      <c r="AT2927" s="133"/>
      <c r="AU2927" s="155"/>
    </row>
    <row r="2928" spans="13:47" x14ac:dyDescent="0.25">
      <c r="M2928" s="27"/>
      <c r="N2928" s="27"/>
      <c r="O2928" s="2" t="s">
        <v>193</v>
      </c>
      <c r="P2928" s="134"/>
      <c r="Q2928" s="2"/>
      <c r="R2928" s="181">
        <f>IF(R2923&lt;R2927,R2925,R2926)</f>
        <v>2.9324020308608096</v>
      </c>
      <c r="S2928" s="133"/>
      <c r="T2928" s="155"/>
      <c r="U2928" s="138">
        <f>IF(U2923&lt;U2927,U2925,U2926)</f>
        <v>16.603122147883532</v>
      </c>
      <c r="V2928" s="133"/>
      <c r="W2928" s="155"/>
      <c r="X2928" s="138">
        <f>IF(X2923&lt;X2927,X2925,X2926)</f>
        <v>66.192139593380475</v>
      </c>
      <c r="Y2928" s="133"/>
      <c r="Z2928" s="155"/>
      <c r="AA2928" s="138">
        <f>IF(AA2923&lt;AA2927,AA2925,AA2926)</f>
        <v>380.63873753240392</v>
      </c>
      <c r="AB2928" s="133"/>
      <c r="AC2928" s="155"/>
      <c r="AD2928" s="138">
        <f>IF(AD2923&lt;AD2927,AD2925,AD2926)</f>
        <v>56.763985191701863</v>
      </c>
      <c r="AE2928" s="133"/>
      <c r="AF2928" s="155"/>
      <c r="AG2928" s="138">
        <f>IF(AG2923&lt;AG2927,AG2925,AG2926)</f>
        <v>34.858030849562397</v>
      </c>
      <c r="AH2928" s="133"/>
      <c r="AI2928" s="155"/>
      <c r="AJ2928" s="138">
        <f>IF(AJ2923&lt;AJ2927,AJ2925,AJ2926)</f>
        <v>27.421642348021045</v>
      </c>
      <c r="AK2928" s="133"/>
      <c r="AL2928" s="155"/>
      <c r="AM2928" s="138">
        <f>IF(AM2923&lt;AM2927,AM2925,AM2926)</f>
        <v>25.204946144957297</v>
      </c>
      <c r="AN2928" s="133"/>
      <c r="AO2928" s="155"/>
      <c r="AP2928" s="138">
        <f>IF(AP2923&lt;AP2927,AP2925,AP2926)</f>
        <v>22.984957733782032</v>
      </c>
      <c r="AQ2928" s="133"/>
      <c r="AR2928" s="155"/>
      <c r="AS2928" s="138">
        <f>IF(AS2923&lt;AS2927,AS2925,AS2926)</f>
        <v>32.963077164973967</v>
      </c>
      <c r="AT2928" s="133"/>
      <c r="AU2928" s="155"/>
    </row>
    <row r="2929" spans="13:47" ht="13" x14ac:dyDescent="0.3">
      <c r="M2929" s="28"/>
      <c r="N2929" s="28"/>
      <c r="O2929" s="9" t="s">
        <v>194</v>
      </c>
      <c r="P2929" s="1"/>
      <c r="Q2929" s="1"/>
      <c r="R2929" s="135"/>
      <c r="S2929" s="132">
        <f>IF(R2922&lt;=0,W_max,ABS(R$23-R2928))</f>
        <v>0.93240203086080964</v>
      </c>
      <c r="T2929" s="151">
        <f>R2917</f>
        <v>676.76964262819843</v>
      </c>
      <c r="U2929" s="135"/>
      <c r="V2929" s="132">
        <f>IF(U2922&lt;=0,W_max,ABS(U$23-U2928))</f>
        <v>11.603122147883532</v>
      </c>
      <c r="W2929" s="151">
        <f>U2917</f>
        <v>3607.784641140709</v>
      </c>
      <c r="X2929" s="135"/>
      <c r="Y2929" s="132">
        <f>IF(X2922&lt;=0,W_max,ABS(X$23-X2928))</f>
        <v>56.192139593380475</v>
      </c>
      <c r="Z2929" s="151">
        <f>X2917</f>
        <v>8922.4807489460072</v>
      </c>
      <c r="AA2929" s="135"/>
      <c r="AB2929" s="132">
        <f>IF(AA2922&lt;=0,W_max,ABS(AA$23-AA2928))</f>
        <v>7174</v>
      </c>
      <c r="AC2929" s="151">
        <f>AA2917</f>
        <v>17378.715076659988</v>
      </c>
      <c r="AD2929" s="135"/>
      <c r="AE2929" s="132">
        <f>IF(AD2922&lt;=0,W_max,ABS(AD$23-AD2928))</f>
        <v>7174</v>
      </c>
      <c r="AF2929" s="151">
        <f>AD2917</f>
        <v>28581.587837833067</v>
      </c>
      <c r="AG2929" s="135"/>
      <c r="AH2929" s="132">
        <f>IF(AG2922&lt;=0,W_max,ABS(AG$23-AG2928))</f>
        <v>7174</v>
      </c>
      <c r="AI2929" s="151">
        <f>AG2917</f>
        <v>40087.877329528805</v>
      </c>
      <c r="AJ2929" s="135"/>
      <c r="AK2929" s="132">
        <f>IF(AJ2922&lt;=0,W_max,ABS(AJ$23-AJ2928))</f>
        <v>7174</v>
      </c>
      <c r="AL2929" s="151">
        <f>AJ2917</f>
        <v>50900.966831399783</v>
      </c>
      <c r="AM2929" s="135"/>
      <c r="AN2929" s="132">
        <f>IF(AM2922&lt;=0,W_max,ABS(AM$23-AM2928))</f>
        <v>7174</v>
      </c>
      <c r="AO2929" s="151">
        <f>AM2917</f>
        <v>59685.386712468884</v>
      </c>
      <c r="AP2929" s="135"/>
      <c r="AQ2929" s="132">
        <f>IF(AP2922&lt;=0,W_max,ABS(AP$23-AP2928))</f>
        <v>7174</v>
      </c>
      <c r="AR2929" s="151">
        <f>AP2917</f>
        <v>66589.096713580206</v>
      </c>
      <c r="AS2929" s="135"/>
      <c r="AT2929" s="132">
        <f>IF(AS2922&lt;=0,W_max,ABS(AS$23-AS2928))</f>
        <v>7174</v>
      </c>
      <c r="AU2929" s="151">
        <f>AS2917</f>
        <v>74291.347436376876</v>
      </c>
    </row>
    <row r="2930" spans="13:47" ht="13" x14ac:dyDescent="0.25">
      <c r="M2930" s="12"/>
      <c r="N2930" s="12"/>
      <c r="O2930" s="2"/>
      <c r="P2930" s="85"/>
      <c r="Q2930" s="2"/>
      <c r="R2930" s="18"/>
      <c r="S2930" s="150"/>
      <c r="T2930" s="148"/>
      <c r="U2930" s="157"/>
      <c r="V2930" s="1"/>
      <c r="W2930" s="147"/>
      <c r="X2930" s="157"/>
      <c r="Y2930" s="1"/>
      <c r="Z2930" s="147"/>
      <c r="AA2930" s="157"/>
      <c r="AB2930" s="1"/>
      <c r="AC2930" s="147"/>
      <c r="AD2930" s="157"/>
      <c r="AE2930" s="1"/>
      <c r="AF2930" s="147"/>
      <c r="AG2930" s="157"/>
      <c r="AH2930" s="1"/>
      <c r="AI2930" s="147"/>
      <c r="AJ2930" s="157"/>
      <c r="AK2930" s="1"/>
      <c r="AL2930" s="147"/>
      <c r="AM2930" s="157"/>
      <c r="AN2930" s="1"/>
      <c r="AO2930" s="147"/>
      <c r="AP2930" s="157"/>
      <c r="AQ2930" s="1"/>
      <c r="AR2930" s="147"/>
      <c r="AS2930" s="157"/>
      <c r="AT2930" s="1"/>
      <c r="AU2930" s="147"/>
    </row>
    <row r="2931" spans="13:47" ht="14" x14ac:dyDescent="0.3">
      <c r="M2931" s="23"/>
      <c r="N2931" s="23"/>
      <c r="O2931" s="23" t="s">
        <v>238</v>
      </c>
      <c r="P2931" s="20"/>
      <c r="Q2931" s="20"/>
      <c r="R2931" s="181">
        <f>R2917*1.02</f>
        <v>690.3050354807624</v>
      </c>
      <c r="S2931" s="128" t="s">
        <v>185</v>
      </c>
      <c r="T2931" s="149" t="s">
        <v>186</v>
      </c>
      <c r="U2931" s="143">
        <f>U2917*1.01</f>
        <v>3643.8624875521164</v>
      </c>
      <c r="V2931" s="128" t="s">
        <v>185</v>
      </c>
      <c r="W2931" s="153" t="s">
        <v>186</v>
      </c>
      <c r="X2931" s="143">
        <f>X2917*1.01</f>
        <v>9011.7055564354669</v>
      </c>
      <c r="Y2931" s="128" t="s">
        <v>185</v>
      </c>
      <c r="Z2931" s="153" t="s">
        <v>186</v>
      </c>
      <c r="AA2931" s="143">
        <f>AA2917*1.01</f>
        <v>17552.502227426587</v>
      </c>
      <c r="AB2931" s="128" t="s">
        <v>185</v>
      </c>
      <c r="AC2931" s="153" t="s">
        <v>186</v>
      </c>
      <c r="AD2931" s="143">
        <f>AD2917*1.01</f>
        <v>28867.403716211396</v>
      </c>
      <c r="AE2931" s="128" t="s">
        <v>185</v>
      </c>
      <c r="AF2931" s="153" t="s">
        <v>186</v>
      </c>
      <c r="AG2931" s="143">
        <f>AG2917*1.01</f>
        <v>40488.756102824096</v>
      </c>
      <c r="AH2931" s="128" t="s">
        <v>185</v>
      </c>
      <c r="AI2931" s="153" t="s">
        <v>186</v>
      </c>
      <c r="AJ2931" s="143">
        <f>AJ2917*1.01</f>
        <v>51409.976499713783</v>
      </c>
      <c r="AK2931" s="128" t="s">
        <v>185</v>
      </c>
      <c r="AL2931" s="153" t="s">
        <v>186</v>
      </c>
      <c r="AM2931" s="143">
        <f>AM2917*1.01</f>
        <v>60282.24057959357</v>
      </c>
      <c r="AN2931" s="128" t="s">
        <v>185</v>
      </c>
      <c r="AO2931" s="153" t="s">
        <v>186</v>
      </c>
      <c r="AP2931" s="143">
        <f>AP2917*1.01</f>
        <v>67254.987680716004</v>
      </c>
      <c r="AQ2931" s="128" t="s">
        <v>185</v>
      </c>
      <c r="AR2931" s="153" t="s">
        <v>186</v>
      </c>
      <c r="AS2931" s="143">
        <f>AS2917*1.01</f>
        <v>75034.260910740646</v>
      </c>
      <c r="AT2931" s="128" t="s">
        <v>185</v>
      </c>
      <c r="AU2931" s="153" t="s">
        <v>186</v>
      </c>
    </row>
    <row r="2932" spans="13:47" ht="14" x14ac:dyDescent="0.3">
      <c r="M2932" s="12"/>
      <c r="N2932" s="12"/>
      <c r="O2932" s="20"/>
      <c r="P2932" s="20"/>
      <c r="Q2932" s="23"/>
      <c r="R2932" s="139"/>
      <c r="S2932" s="130" t="s">
        <v>228</v>
      </c>
      <c r="T2932" s="131" t="s">
        <v>187</v>
      </c>
      <c r="U2932" s="144"/>
      <c r="V2932" s="130" t="s">
        <v>228</v>
      </c>
      <c r="W2932" s="154" t="s">
        <v>187</v>
      </c>
      <c r="X2932" s="144"/>
      <c r="Y2932" s="130" t="s">
        <v>228</v>
      </c>
      <c r="Z2932" s="154" t="s">
        <v>187</v>
      </c>
      <c r="AA2932" s="144"/>
      <c r="AB2932" s="130" t="s">
        <v>228</v>
      </c>
      <c r="AC2932" s="154" t="s">
        <v>187</v>
      </c>
      <c r="AD2932" s="144"/>
      <c r="AE2932" s="130" t="s">
        <v>228</v>
      </c>
      <c r="AF2932" s="154" t="s">
        <v>187</v>
      </c>
      <c r="AG2932" s="144"/>
      <c r="AH2932" s="130" t="s">
        <v>228</v>
      </c>
      <c r="AI2932" s="154" t="s">
        <v>187</v>
      </c>
      <c r="AJ2932" s="144"/>
      <c r="AK2932" s="130" t="s">
        <v>228</v>
      </c>
      <c r="AL2932" s="154" t="s">
        <v>187</v>
      </c>
      <c r="AM2932" s="144"/>
      <c r="AN2932" s="130" t="s">
        <v>228</v>
      </c>
      <c r="AO2932" s="154" t="s">
        <v>187</v>
      </c>
      <c r="AP2932" s="144"/>
      <c r="AQ2932" s="130" t="s">
        <v>228</v>
      </c>
      <c r="AR2932" s="154" t="s">
        <v>187</v>
      </c>
      <c r="AS2932" s="144"/>
      <c r="AT2932" s="130" t="s">
        <v>228</v>
      </c>
      <c r="AU2932" s="154" t="s">
        <v>187</v>
      </c>
    </row>
    <row r="2933" spans="13:47" x14ac:dyDescent="0.25">
      <c r="M2933" s="20"/>
      <c r="N2933" s="20"/>
      <c r="O2933" s="7" t="s">
        <v>188</v>
      </c>
      <c r="P2933" s="7"/>
      <c r="Q2933" s="7"/>
      <c r="R2933" s="181">
        <f>P_1_minW-(R2931^2*R_up)+dpup_minQ</f>
        <v>100.33276833087324</v>
      </c>
      <c r="S2933" s="132"/>
      <c r="T2933" s="145"/>
      <c r="U2933" s="138">
        <f>P_1_minW-(U2931^2*R_up)+dpup_minQ</f>
        <v>95.228133210542808</v>
      </c>
      <c r="V2933" s="132"/>
      <c r="W2933" s="145"/>
      <c r="X2933" s="138">
        <f>P_1_minW-(X2931^2*R_up)+dpup_minQ</f>
        <v>68.139004214777088</v>
      </c>
      <c r="Y2933" s="132"/>
      <c r="Z2933" s="145"/>
      <c r="AA2933" s="138">
        <f>P_1_minW-(AA2931^2*R_up)+dpup_minQ</f>
        <v>-22.331880840877574</v>
      </c>
      <c r="AB2933" s="132"/>
      <c r="AC2933" s="145"/>
      <c r="AD2933" s="138">
        <f>P_1_minW-(AD2931^2*R_up)+dpup_minQ</f>
        <v>-231.7762171361621</v>
      </c>
      <c r="AE2933" s="132"/>
      <c r="AF2933" s="145"/>
      <c r="AG2933" s="138">
        <f>P_1_minW-(AG2931^2*R_up)+dpup_minQ</f>
        <v>-553.18319142854068</v>
      </c>
      <c r="AH2933" s="132"/>
      <c r="AI2933" s="145"/>
      <c r="AJ2933" s="138">
        <f>P_1_minW-(AJ2931^2*R_up)+dpup_minQ</f>
        <v>-953.39903839824194</v>
      </c>
      <c r="AK2933" s="132"/>
      <c r="AL2933" s="145"/>
      <c r="AM2933" s="138">
        <f>P_1_minW-(AM2931^2*R_up)+dpup_minQ</f>
        <v>-1348.5572026330794</v>
      </c>
      <c r="AN2933" s="132"/>
      <c r="AO2933" s="145"/>
      <c r="AP2933" s="138">
        <f>P_1_minW-(AP2931^2*R_up)+dpup_minQ</f>
        <v>-1703.1700580795666</v>
      </c>
      <c r="AQ2933" s="132"/>
      <c r="AR2933" s="145"/>
      <c r="AS2933" s="138">
        <f>P_1_minW-(AS2931^2*R_up)+dpup_minQ</f>
        <v>-2144.5623033253696</v>
      </c>
      <c r="AT2933" s="132"/>
      <c r="AU2933" s="145"/>
    </row>
    <row r="2934" spans="13:47" x14ac:dyDescent="0.25">
      <c r="M2934" s="20"/>
      <c r="N2934" s="20"/>
      <c r="O2934" s="7" t="s">
        <v>189</v>
      </c>
      <c r="P2934" s="1"/>
      <c r="Q2934" s="7"/>
      <c r="R2934" s="181">
        <f>P_2_minW+(R2931^2*R_dn)-dpdn_minQ</f>
        <v>50</v>
      </c>
      <c r="S2934" s="132"/>
      <c r="T2934" s="146"/>
      <c r="U2934" s="138">
        <f>P_2_minW+(U2931^2*R_dn)-dpdn_minQ</f>
        <v>50</v>
      </c>
      <c r="V2934" s="132"/>
      <c r="W2934" s="146"/>
      <c r="X2934" s="138">
        <f>P_2_minW+(X2931^2*R_dn)-dpdn_minQ</f>
        <v>50</v>
      </c>
      <c r="Y2934" s="132"/>
      <c r="Z2934" s="146"/>
      <c r="AA2934" s="138">
        <f>P_2_minW+(AA2931^2*R_dn)-dpdn_minQ</f>
        <v>50</v>
      </c>
      <c r="AB2934" s="132"/>
      <c r="AC2934" s="146"/>
      <c r="AD2934" s="138">
        <f>P_2_minW+(AD2931^2*R_dn)-dpdn_minQ</f>
        <v>50</v>
      </c>
      <c r="AE2934" s="132"/>
      <c r="AF2934" s="146"/>
      <c r="AG2934" s="138">
        <f>P_2_minW+(AG2931^2*R_dn)-dpdn_minQ</f>
        <v>50</v>
      </c>
      <c r="AH2934" s="132"/>
      <c r="AI2934" s="146"/>
      <c r="AJ2934" s="138">
        <f>P_2_minW+(AJ2931^2*R_dn)-dpdn_minQ</f>
        <v>50</v>
      </c>
      <c r="AK2934" s="132"/>
      <c r="AL2934" s="146"/>
      <c r="AM2934" s="138">
        <f>P_2_minW+(AM2931^2*R_dn)-dpdn_minQ</f>
        <v>50</v>
      </c>
      <c r="AN2934" s="132"/>
      <c r="AO2934" s="146"/>
      <c r="AP2934" s="138">
        <f>P_2_minW+(AP2931^2*R_dn)-dpdn_minQ</f>
        <v>50</v>
      </c>
      <c r="AQ2934" s="132"/>
      <c r="AR2934" s="146"/>
      <c r="AS2934" s="138">
        <f>P_2_minW+(AS2931^2*R_dn)-dpdn_minQ</f>
        <v>50</v>
      </c>
      <c r="AT2934" s="132"/>
      <c r="AU2934" s="146"/>
    </row>
    <row r="2935" spans="13:47" x14ac:dyDescent="0.25">
      <c r="M2935" s="20"/>
      <c r="N2935" s="20"/>
      <c r="O2935" s="7" t="s">
        <v>234</v>
      </c>
      <c r="P2935" s="1"/>
      <c r="Q2935" s="7"/>
      <c r="R2935" s="179">
        <f>'Valve Sizing'!G$8*R2933/P_1_maxW</f>
        <v>0.48398741127974576</v>
      </c>
      <c r="S2935" s="132"/>
      <c r="T2935" s="146"/>
      <c r="U2935" s="143">
        <f>'Valve Sizing'!$G$8*U2933/P_1_maxW</f>
        <v>0.45936356028353859</v>
      </c>
      <c r="V2935" s="132"/>
      <c r="W2935" s="146"/>
      <c r="X2935" s="143">
        <f>'Valve Sizing'!$G$8*X2933/P_1_maxW</f>
        <v>0.32869042493011635</v>
      </c>
      <c r="Y2935" s="132"/>
      <c r="Z2935" s="146"/>
      <c r="AA2935" s="143">
        <f>'Valve Sizing'!$G$8*AA2933/P_1_maxW</f>
        <v>-0.10772501723007147</v>
      </c>
      <c r="AB2935" s="132"/>
      <c r="AC2935" s="146"/>
      <c r="AD2935" s="143">
        <f>'Valve Sizing'!$G$8*AD2933/P_1_maxW</f>
        <v>-1.1180472062528111</v>
      </c>
      <c r="AE2935" s="132"/>
      <c r="AF2935" s="146"/>
      <c r="AG2935" s="143">
        <f>'Valve Sizing'!$G$8*AG2933/P_1_maxW</f>
        <v>-2.6684572272544735</v>
      </c>
      <c r="AH2935" s="132"/>
      <c r="AI2935" s="146"/>
      <c r="AJ2935" s="143">
        <f>'Valve Sizing'!$G$8*AJ2933/P_1_maxW</f>
        <v>-4.5990272189965795</v>
      </c>
      <c r="AK2935" s="132"/>
      <c r="AL2935" s="146"/>
      <c r="AM2935" s="143">
        <f>'Valve Sizing'!$G$8*AM2933/P_1_maxW</f>
        <v>-6.5051998496906123</v>
      </c>
      <c r="AN2935" s="132"/>
      <c r="AO2935" s="146"/>
      <c r="AP2935" s="143">
        <f>'Valve Sizing'!$G$8*AP2933/P_1_maxW</f>
        <v>-8.2157891294369456</v>
      </c>
      <c r="AQ2935" s="132"/>
      <c r="AR2935" s="146"/>
      <c r="AS2935" s="143">
        <f>'Valve Sizing'!$G$8*AS2933/P_1_maxW</f>
        <v>-10.344986735457107</v>
      </c>
      <c r="AT2935" s="132"/>
      <c r="AU2935" s="146"/>
    </row>
    <row r="2936" spans="13:47" x14ac:dyDescent="0.25">
      <c r="M2936" s="20"/>
      <c r="N2936" s="20"/>
      <c r="O2936" s="7" t="s">
        <v>190</v>
      </c>
      <c r="P2936" s="1"/>
      <c r="Q2936" s="7"/>
      <c r="R2936" s="181">
        <f>R2933-R2934</f>
        <v>50.332768330873236</v>
      </c>
      <c r="S2936" s="132"/>
      <c r="T2936" s="146"/>
      <c r="U2936" s="138">
        <f>U2933-U2934</f>
        <v>45.228133210542808</v>
      </c>
      <c r="V2936" s="132"/>
      <c r="W2936" s="146"/>
      <c r="X2936" s="138">
        <f>X2933-X2934</f>
        <v>18.139004214777088</v>
      </c>
      <c r="Y2936" s="132"/>
      <c r="Z2936" s="146"/>
      <c r="AA2936" s="138">
        <f>AA2933-AA2934</f>
        <v>-72.331880840877574</v>
      </c>
      <c r="AB2936" s="132"/>
      <c r="AC2936" s="146"/>
      <c r="AD2936" s="138">
        <f>AD2933-AD2934</f>
        <v>-281.77621713616213</v>
      </c>
      <c r="AE2936" s="132"/>
      <c r="AF2936" s="146"/>
      <c r="AG2936" s="138">
        <f>AG2933-AG2934</f>
        <v>-603.18319142854068</v>
      </c>
      <c r="AH2936" s="132"/>
      <c r="AI2936" s="146"/>
      <c r="AJ2936" s="138">
        <f>AJ2933-AJ2934</f>
        <v>-1003.3990383982419</v>
      </c>
      <c r="AK2936" s="132"/>
      <c r="AL2936" s="146"/>
      <c r="AM2936" s="138">
        <f>AM2933-AM2934</f>
        <v>-1398.5572026330794</v>
      </c>
      <c r="AN2936" s="132"/>
      <c r="AO2936" s="146"/>
      <c r="AP2936" s="138">
        <f>AP2933-AP2934</f>
        <v>-1753.1700580795666</v>
      </c>
      <c r="AQ2936" s="132"/>
      <c r="AR2936" s="146"/>
      <c r="AS2936" s="138">
        <f>AS2933-AS2934</f>
        <v>-2194.5623033253696</v>
      </c>
      <c r="AT2936" s="132"/>
      <c r="AU2936" s="146"/>
    </row>
    <row r="2937" spans="13:47" ht="14.5" x14ac:dyDescent="0.35">
      <c r="M2937" s="27"/>
      <c r="N2937" s="27"/>
      <c r="O2937" s="2" t="s">
        <v>191</v>
      </c>
      <c r="P2937" s="10"/>
      <c r="Q2937" s="2"/>
      <c r="R2937" s="181">
        <f>R2936/R2933</f>
        <v>0.50165832327966797</v>
      </c>
      <c r="S2937" s="132"/>
      <c r="T2937" s="146"/>
      <c r="U2937" s="138">
        <f>U2936/U2933</f>
        <v>0.47494507857826568</v>
      </c>
      <c r="V2937" s="132"/>
      <c r="W2937" s="146"/>
      <c r="X2937" s="138">
        <f>X2936/X2933</f>
        <v>0.26620588932591621</v>
      </c>
      <c r="Y2937" s="132"/>
      <c r="Z2937" s="146"/>
      <c r="AA2937" s="138">
        <f>AA2936/AA2933</f>
        <v>3.2389515847889125</v>
      </c>
      <c r="AB2937" s="132"/>
      <c r="AC2937" s="146"/>
      <c r="AD2937" s="138">
        <f>AD2936/AD2933</f>
        <v>1.2157253259967842</v>
      </c>
      <c r="AE2937" s="132"/>
      <c r="AF2937" s="146"/>
      <c r="AG2937" s="138">
        <f>AG2936/AG2933</f>
        <v>1.0903859711841206</v>
      </c>
      <c r="AH2937" s="132"/>
      <c r="AI2937" s="146"/>
      <c r="AJ2937" s="138">
        <f>AJ2936/AJ2933</f>
        <v>1.0524439379380983</v>
      </c>
      <c r="AK2937" s="132"/>
      <c r="AL2937" s="146"/>
      <c r="AM2937" s="138">
        <f>AM2936/AM2933</f>
        <v>1.0370766623042569</v>
      </c>
      <c r="AN2937" s="132"/>
      <c r="AO2937" s="146"/>
      <c r="AP2937" s="138">
        <f>AP2936/AP2933</f>
        <v>1.0293570214922509</v>
      </c>
      <c r="AQ2937" s="132"/>
      <c r="AR2937" s="146"/>
      <c r="AS2937" s="138">
        <f>AS2936/AS2933</f>
        <v>1.0233147807934839</v>
      </c>
      <c r="AT2937" s="132"/>
      <c r="AU2937" s="146"/>
    </row>
    <row r="2938" spans="13:47" x14ac:dyDescent="0.25">
      <c r="M2938" s="27"/>
      <c r="N2938" s="27"/>
      <c r="O2938" s="2" t="s">
        <v>26</v>
      </c>
      <c r="P2938" s="7">
        <v>12</v>
      </c>
      <c r="Q2938" s="2"/>
      <c r="R2938" s="181">
        <f>1-R2937/(3*F_GAMMA*R$29)</f>
        <v>0.73873059666867946</v>
      </c>
      <c r="S2938" s="133"/>
      <c r="T2938" s="146"/>
      <c r="U2938" s="138">
        <f>1-U2937/(3*F_GAMMA*U$29)</f>
        <v>0.75269762243599736</v>
      </c>
      <c r="V2938" s="133"/>
      <c r="W2938" s="146"/>
      <c r="X2938" s="138">
        <f>1-X2937/(3*F_GAMMA*X$29)</f>
        <v>0.8593080392248672</v>
      </c>
      <c r="Y2938" s="133"/>
      <c r="Z2938" s="146"/>
      <c r="AA2938" s="138">
        <f>1-AA2937/(3*F_GAMMA*AA$29)</f>
        <v>-0.73528337614813388</v>
      </c>
      <c r="AB2938" s="133"/>
      <c r="AC2938" s="146"/>
      <c r="AD2938" s="138">
        <f>1-AD2937/(3*F_GAMMA*AD$29)</f>
        <v>0.33081140489153793</v>
      </c>
      <c r="AE2938" s="133"/>
      <c r="AF2938" s="146"/>
      <c r="AG2938" s="138">
        <f>1-AG2937/(3*F_GAMMA*AG$29)</f>
        <v>0.36556754340170294</v>
      </c>
      <c r="AH2938" s="133"/>
      <c r="AI2938" s="146"/>
      <c r="AJ2938" s="138">
        <f>1-AJ2937/(3*F_GAMMA*AJ$29)</f>
        <v>0.34538293729065206</v>
      </c>
      <c r="AK2938" s="133"/>
      <c r="AL2938" s="146"/>
      <c r="AM2938" s="138">
        <f>1-AM2937/(3*F_GAMMA*AM$29)</f>
        <v>0.29520781646668359</v>
      </c>
      <c r="AN2938" s="133"/>
      <c r="AO2938" s="146"/>
      <c r="AP2938" s="138">
        <f>1-AP2937/(3*F_GAMMA*AP$29)</f>
        <v>0.42190095113849546</v>
      </c>
      <c r="AQ2938" s="133"/>
      <c r="AR2938" s="146"/>
      <c r="AS2938" s="138">
        <f>1-AS2937/(3*F_GAMMA*AS$29)</f>
        <v>0.12754687724246194</v>
      </c>
      <c r="AT2938" s="133"/>
      <c r="AU2938" s="146"/>
    </row>
    <row r="2939" spans="13:47" x14ac:dyDescent="0.25">
      <c r="M2939" s="27"/>
      <c r="N2939" s="27"/>
      <c r="O2939" s="2" t="s">
        <v>71</v>
      </c>
      <c r="P2939" s="85">
        <v>5</v>
      </c>
      <c r="Q2939" s="2"/>
      <c r="R2939" s="179">
        <f>R2931/((N_6*R$27*R2938)*SQRT(R2937*R2933*R2935))</f>
        <v>2.9913020078988604</v>
      </c>
      <c r="S2939" s="133"/>
      <c r="T2939" s="146"/>
      <c r="U2939" s="143">
        <f>U2931/((N_6*U$27*U2938)*SQRT(U2937*U2933*U2935))</f>
        <v>16.790999388814349</v>
      </c>
      <c r="V2939" s="133"/>
      <c r="W2939" s="146"/>
      <c r="X2939" s="143">
        <f>X2931/((N_6*X$27*X2938)*SQRT(X2937*X2933*X2935))</f>
        <v>68.051391120998062</v>
      </c>
      <c r="Y2939" s="133"/>
      <c r="Z2939" s="146"/>
      <c r="AA2939" s="143">
        <f>AA2931/((N_6*AA$27*AA2938)*SQRT(AA2937*AA2933*AA2935))</f>
        <v>-136.27959767736121</v>
      </c>
      <c r="AB2939" s="133"/>
      <c r="AC2939" s="146"/>
      <c r="AD2939" s="143">
        <f>AD2931/((N_6*AD$27*AD2938)*SQRT(AD2937*AD2933*AD2935))</f>
        <v>79.279228150145471</v>
      </c>
      <c r="AE2939" s="133"/>
      <c r="AF2939" s="146"/>
      <c r="AG2939" s="143">
        <f>AG2931/((N_6*AG$27*AG2938)*SQRT(AG2937*AG2933*AG2935))</f>
        <v>45.477563233919696</v>
      </c>
      <c r="AH2939" s="133"/>
      <c r="AI2939" s="146"/>
      <c r="AJ2939" s="143">
        <f>AJ2931/((N_6*AJ$27*AJ2938)*SQRT(AJ2937*AJ2933*AJ2935))</f>
        <v>37.335450220528877</v>
      </c>
      <c r="AK2939" s="133"/>
      <c r="AL2939" s="146"/>
      <c r="AM2939" s="143">
        <f>AM2931/((N_6*AM$27*AM2938)*SQRT(AM2937*AM2933*AM2935))</f>
        <v>38.718634688209484</v>
      </c>
      <c r="AN2939" s="133"/>
      <c r="AO2939" s="146"/>
      <c r="AP2939" s="143">
        <f>AP2931/((N_6*AP$27*AP2938)*SQRT(AP2937*AP2933*AP2935))</f>
        <v>27.287289057859315</v>
      </c>
      <c r="AQ2939" s="133"/>
      <c r="AR2939" s="146"/>
      <c r="AS2939" s="143">
        <f>AS2931/((N_6*AS$27*AS2938)*SQRT(AS2937*AS2933*AS2935))</f>
        <v>105.39532171491344</v>
      </c>
      <c r="AT2939" s="133"/>
      <c r="AU2939" s="146"/>
    </row>
    <row r="2940" spans="13:47" x14ac:dyDescent="0.25">
      <c r="M2940" s="27"/>
      <c r="N2940" s="27"/>
      <c r="O2940" s="2" t="s">
        <v>73</v>
      </c>
      <c r="P2940" s="85">
        <v>5</v>
      </c>
      <c r="Q2940" s="2"/>
      <c r="R2940" s="179">
        <f>R2931/((N_6*R$27*0.667)*SQRT(R2941*R2933*R2935))</f>
        <v>2.933090205251645</v>
      </c>
      <c r="S2940" s="133"/>
      <c r="T2940" s="147"/>
      <c r="U2940" s="143">
        <f>U2931/((N_6*U$27*0.667)*SQRT(U2941*U2933*U2935))</f>
        <v>16.320972361107259</v>
      </c>
      <c r="V2940" s="133"/>
      <c r="W2940" s="155"/>
      <c r="X2940" s="143">
        <f>X2931/((N_6*X$27*0.667)*SQRT(X2941*X2933*X2935))</f>
        <v>56.958076820150083</v>
      </c>
      <c r="Y2940" s="133"/>
      <c r="Z2940" s="155"/>
      <c r="AA2940" s="143">
        <f>AA2931/((N_6*AA$27*0.667)*SQRT(AA2941*AA2933*AA2935))</f>
        <v>342.77219580463964</v>
      </c>
      <c r="AB2940" s="133"/>
      <c r="AC2940" s="155"/>
      <c r="AD2940" s="143">
        <f>AD2931/((N_6*AD$27*0.667)*SQRT(AD2941*AD2933*AD2935))</f>
        <v>55.712025182929608</v>
      </c>
      <c r="AE2940" s="133"/>
      <c r="AF2940" s="155"/>
      <c r="AG2940" s="143">
        <f>AG2931/((N_6*AG$27*0.667)*SQRT(AG2941*AG2933*AG2935))</f>
        <v>34.386843057598561</v>
      </c>
      <c r="AH2940" s="133"/>
      <c r="AI2940" s="155"/>
      <c r="AJ2940" s="143">
        <f>AJ2931/((N_6*AJ$27*0.667)*SQRT(AJ2941*AJ2933*AJ2935))</f>
        <v>27.092602515453738</v>
      </c>
      <c r="AK2940" s="133"/>
      <c r="AL2940" s="155"/>
      <c r="AM2940" s="143">
        <f>AM2931/((N_6*AM$27*0.667)*SQRT(AM2941*AM2933*AM2935))</f>
        <v>24.918002210748806</v>
      </c>
      <c r="AN2940" s="133"/>
      <c r="AO2940" s="155"/>
      <c r="AP2940" s="143">
        <f>AP2931/((N_6*AP$27*0.667)*SQRT(AP2941*AP2933*AP2935))</f>
        <v>22.730386310942645</v>
      </c>
      <c r="AQ2940" s="133"/>
      <c r="AR2940" s="155"/>
      <c r="AS2940" s="143">
        <f>AS2931/((N_6*AS$27*0.667)*SQRT(AS2941*AS2933*AS2935))</f>
        <v>32.605961256467161</v>
      </c>
      <c r="AT2940" s="133"/>
      <c r="AU2940" s="155"/>
    </row>
    <row r="2941" spans="13:47" ht="15.5" x14ac:dyDescent="0.4">
      <c r="M2941" s="27"/>
      <c r="N2941" s="27"/>
      <c r="O2941" s="2" t="s">
        <v>192</v>
      </c>
      <c r="P2941" s="85">
        <v>10</v>
      </c>
      <c r="Q2941" s="2"/>
      <c r="R2941" s="181">
        <f>F_GAMMA*R$29</f>
        <v>0.64002688015162901</v>
      </c>
      <c r="S2941" s="133"/>
      <c r="T2941" s="147"/>
      <c r="U2941" s="138">
        <f>F_GAMMA*U$29</f>
        <v>0.64016782916606918</v>
      </c>
      <c r="V2941" s="133"/>
      <c r="W2941" s="155"/>
      <c r="X2941" s="138">
        <f>F_GAMMA*X$29</f>
        <v>0.6307062319203669</v>
      </c>
      <c r="Y2941" s="133"/>
      <c r="Z2941" s="155"/>
      <c r="AA2941" s="138">
        <f>F_GAMMA*AA$29</f>
        <v>0.62217534213893466</v>
      </c>
      <c r="AB2941" s="133"/>
      <c r="AC2941" s="155"/>
      <c r="AD2941" s="138">
        <f>F_GAMMA*AD$29</f>
        <v>0.60557184969146072</v>
      </c>
      <c r="AE2941" s="133"/>
      <c r="AF2941" s="155"/>
      <c r="AG2941" s="138">
        <f>F_GAMMA*AG$29</f>
        <v>0.57289312142622573</v>
      </c>
      <c r="AH2941" s="133"/>
      <c r="AI2941" s="155"/>
      <c r="AJ2941" s="138">
        <f>F_GAMMA*AJ$29</f>
        <v>0.53590819116049981</v>
      </c>
      <c r="AK2941" s="133"/>
      <c r="AL2941" s="155"/>
      <c r="AM2941" s="138">
        <f>F_GAMMA*AM$29</f>
        <v>0.49048815926850342</v>
      </c>
      <c r="AN2941" s="133"/>
      <c r="AO2941" s="155"/>
      <c r="AP2941" s="138">
        <f>F_GAMMA*AP$29</f>
        <v>0.59352979016280105</v>
      </c>
      <c r="AQ2941" s="133"/>
      <c r="AR2941" s="155"/>
      <c r="AS2941" s="138">
        <f>F_GAMMA*AS$29</f>
        <v>0.39097221161068291</v>
      </c>
      <c r="AT2941" s="133"/>
      <c r="AU2941" s="155"/>
    </row>
    <row r="2942" spans="13:47" x14ac:dyDescent="0.25">
      <c r="M2942" s="27"/>
      <c r="N2942" s="27"/>
      <c r="O2942" s="2" t="s">
        <v>193</v>
      </c>
      <c r="P2942" s="134"/>
      <c r="Q2942" s="2"/>
      <c r="R2942" s="181">
        <f>IF(R2937&lt;R2941,R2939,R2940)</f>
        <v>2.9913020078988604</v>
      </c>
      <c r="S2942" s="133"/>
      <c r="T2942" s="147"/>
      <c r="U2942" s="138">
        <f>IF(U2937&lt;U2941,U2939,U2940)</f>
        <v>16.790999388814349</v>
      </c>
      <c r="V2942" s="133"/>
      <c r="W2942" s="155"/>
      <c r="X2942" s="138">
        <f>IF(X2937&lt;X2941,X2939,X2940)</f>
        <v>68.051391120998062</v>
      </c>
      <c r="Y2942" s="133"/>
      <c r="Z2942" s="155"/>
      <c r="AA2942" s="138">
        <f>IF(AA2937&lt;AA2941,AA2939,AA2940)</f>
        <v>342.77219580463964</v>
      </c>
      <c r="AB2942" s="133"/>
      <c r="AC2942" s="155"/>
      <c r="AD2942" s="138">
        <f>IF(AD2937&lt;AD2941,AD2939,AD2940)</f>
        <v>55.712025182929608</v>
      </c>
      <c r="AE2942" s="133"/>
      <c r="AF2942" s="155"/>
      <c r="AG2942" s="138">
        <f>IF(AG2937&lt;AG2941,AG2939,AG2940)</f>
        <v>34.386843057598561</v>
      </c>
      <c r="AH2942" s="133"/>
      <c r="AI2942" s="155"/>
      <c r="AJ2942" s="138">
        <f>IF(AJ2937&lt;AJ2941,AJ2939,AJ2940)</f>
        <v>27.092602515453738</v>
      </c>
      <c r="AK2942" s="133"/>
      <c r="AL2942" s="155"/>
      <c r="AM2942" s="138">
        <f>IF(AM2937&lt;AM2941,AM2939,AM2940)</f>
        <v>24.918002210748806</v>
      </c>
      <c r="AN2942" s="133"/>
      <c r="AO2942" s="155"/>
      <c r="AP2942" s="138">
        <f>IF(AP2937&lt;AP2941,AP2939,AP2940)</f>
        <v>22.730386310942645</v>
      </c>
      <c r="AQ2942" s="133"/>
      <c r="AR2942" s="155"/>
      <c r="AS2942" s="138">
        <f>IF(AS2937&lt;AS2941,AS2939,AS2940)</f>
        <v>32.605961256467161</v>
      </c>
      <c r="AT2942" s="133"/>
      <c r="AU2942" s="155"/>
    </row>
    <row r="2943" spans="13:47" ht="13" x14ac:dyDescent="0.3">
      <c r="M2943" s="28"/>
      <c r="N2943" s="28"/>
      <c r="O2943" s="9" t="s">
        <v>194</v>
      </c>
      <c r="P2943" s="1"/>
      <c r="Q2943" s="1"/>
      <c r="R2943" s="135"/>
      <c r="S2943" s="132">
        <f>IF(R2936&lt;=0,W_max,ABS(R$23-R2942))</f>
        <v>0.99130200789886036</v>
      </c>
      <c r="T2943" s="151">
        <f>R2931</f>
        <v>690.3050354807624</v>
      </c>
      <c r="U2943" s="135"/>
      <c r="V2943" s="132">
        <f>IF(U2936&lt;=0,W_max,ABS(U$23-U2942))</f>
        <v>11.790999388814349</v>
      </c>
      <c r="W2943" s="151">
        <f>U2931</f>
        <v>3643.8624875521164</v>
      </c>
      <c r="X2943" s="135"/>
      <c r="Y2943" s="132">
        <f>IF(X2936&lt;=0,W_max,ABS(X$23-X2942))</f>
        <v>58.051391120998062</v>
      </c>
      <c r="Z2943" s="151">
        <f>X2931</f>
        <v>9011.7055564354669</v>
      </c>
      <c r="AA2943" s="135"/>
      <c r="AB2943" s="132">
        <f>IF(AA2936&lt;=0,W_max,ABS(AA$23-AA2942))</f>
        <v>7174</v>
      </c>
      <c r="AC2943" s="151">
        <f>AA2931</f>
        <v>17552.502227426587</v>
      </c>
      <c r="AD2943" s="135"/>
      <c r="AE2943" s="132">
        <f>IF(AD2936&lt;=0,W_max,ABS(AD$23-AD2942))</f>
        <v>7174</v>
      </c>
      <c r="AF2943" s="151">
        <f>AD2931</f>
        <v>28867.403716211396</v>
      </c>
      <c r="AG2943" s="135"/>
      <c r="AH2943" s="132">
        <f>IF(AG2936&lt;=0,W_max,ABS(AG$23-AG2942))</f>
        <v>7174</v>
      </c>
      <c r="AI2943" s="151">
        <f>AG2931</f>
        <v>40488.756102824096</v>
      </c>
      <c r="AJ2943" s="135"/>
      <c r="AK2943" s="132">
        <f>IF(AJ2936&lt;=0,W_max,ABS(AJ$23-AJ2942))</f>
        <v>7174</v>
      </c>
      <c r="AL2943" s="151">
        <f>AJ2931</f>
        <v>51409.976499713783</v>
      </c>
      <c r="AM2943" s="135"/>
      <c r="AN2943" s="132">
        <f>IF(AM2936&lt;=0,W_max,ABS(AM$23-AM2942))</f>
        <v>7174</v>
      </c>
      <c r="AO2943" s="151">
        <f>AM2931</f>
        <v>60282.24057959357</v>
      </c>
      <c r="AP2943" s="135"/>
      <c r="AQ2943" s="132">
        <f>IF(AP2936&lt;=0,W_max,ABS(AP$23-AP2942))</f>
        <v>7174</v>
      </c>
      <c r="AR2943" s="151">
        <f>AP2931</f>
        <v>67254.987680716004</v>
      </c>
      <c r="AS2943" s="135"/>
      <c r="AT2943" s="132">
        <f>IF(AS2936&lt;=0,W_max,ABS(AS$23-AS2942))</f>
        <v>7174</v>
      </c>
      <c r="AU2943" s="151">
        <f>AS2931</f>
        <v>75034.260910740646</v>
      </c>
    </row>
    <row r="2944" spans="13:47" ht="13" x14ac:dyDescent="0.25">
      <c r="M2944" s="12"/>
      <c r="N2944" s="12"/>
      <c r="O2944" s="12"/>
      <c r="P2944" s="12"/>
      <c r="Q2944" s="12"/>
      <c r="R2944" s="182"/>
      <c r="S2944" s="22"/>
      <c r="T2944" s="152"/>
      <c r="U2944" s="157"/>
      <c r="V2944" s="1"/>
      <c r="W2944" s="147"/>
      <c r="X2944" s="157"/>
      <c r="Y2944" s="1"/>
      <c r="Z2944" s="147"/>
      <c r="AA2944" s="157"/>
      <c r="AB2944" s="1"/>
      <c r="AC2944" s="147"/>
      <c r="AD2944" s="157"/>
      <c r="AE2944" s="1"/>
      <c r="AF2944" s="147"/>
      <c r="AG2944" s="157"/>
      <c r="AH2944" s="1"/>
      <c r="AI2944" s="147"/>
      <c r="AJ2944" s="157"/>
      <c r="AK2944" s="1"/>
      <c r="AL2944" s="147"/>
      <c r="AM2944" s="157"/>
      <c r="AN2944" s="1"/>
      <c r="AO2944" s="147"/>
      <c r="AP2944" s="157"/>
      <c r="AQ2944" s="1"/>
      <c r="AR2944" s="147"/>
      <c r="AS2944" s="157"/>
      <c r="AT2944" s="1"/>
      <c r="AU2944" s="147"/>
    </row>
    <row r="2945" spans="13:47" ht="14" x14ac:dyDescent="0.3">
      <c r="M2945" s="23"/>
      <c r="N2945" s="23"/>
      <c r="O2945" s="23" t="s">
        <v>238</v>
      </c>
      <c r="P2945" s="20"/>
      <c r="Q2945" s="20"/>
      <c r="R2945" s="18">
        <f>R2931*1.02</f>
        <v>704.11113619037769</v>
      </c>
      <c r="S2945" s="128" t="s">
        <v>185</v>
      </c>
      <c r="T2945" s="153" t="s">
        <v>186</v>
      </c>
      <c r="U2945" s="143">
        <f>U2931*1.01</f>
        <v>3680.3011124276377</v>
      </c>
      <c r="V2945" s="128" t="s">
        <v>185</v>
      </c>
      <c r="W2945" s="153" t="s">
        <v>186</v>
      </c>
      <c r="X2945" s="143">
        <f>X2931*1.01</f>
        <v>9101.8226119998217</v>
      </c>
      <c r="Y2945" s="128" t="s">
        <v>185</v>
      </c>
      <c r="Z2945" s="153" t="s">
        <v>186</v>
      </c>
      <c r="AA2945" s="143">
        <f>AA2931*1.01</f>
        <v>17728.027249700852</v>
      </c>
      <c r="AB2945" s="128" t="s">
        <v>185</v>
      </c>
      <c r="AC2945" s="153" t="s">
        <v>186</v>
      </c>
      <c r="AD2945" s="143">
        <f>AD2931*1.01</f>
        <v>29156.077753373509</v>
      </c>
      <c r="AE2945" s="128" t="s">
        <v>185</v>
      </c>
      <c r="AF2945" s="153" t="s">
        <v>186</v>
      </c>
      <c r="AG2945" s="143">
        <f>AG2931*1.01</f>
        <v>40893.643663852337</v>
      </c>
      <c r="AH2945" s="128" t="s">
        <v>185</v>
      </c>
      <c r="AI2945" s="153" t="s">
        <v>186</v>
      </c>
      <c r="AJ2945" s="143">
        <f>AJ2931*1.01</f>
        <v>51924.076264710922</v>
      </c>
      <c r="AK2945" s="128" t="s">
        <v>185</v>
      </c>
      <c r="AL2945" s="153" t="s">
        <v>186</v>
      </c>
      <c r="AM2945" s="143">
        <f>AM2931*1.01</f>
        <v>60885.062985389508</v>
      </c>
      <c r="AN2945" s="128" t="s">
        <v>185</v>
      </c>
      <c r="AO2945" s="153" t="s">
        <v>186</v>
      </c>
      <c r="AP2945" s="143">
        <f>AP2931*1.01</f>
        <v>67927.537557523159</v>
      </c>
      <c r="AQ2945" s="128" t="s">
        <v>185</v>
      </c>
      <c r="AR2945" s="153" t="s">
        <v>186</v>
      </c>
      <c r="AS2945" s="143">
        <f>AS2931*1.01</f>
        <v>75784.603519848053</v>
      </c>
      <c r="AT2945" s="128" t="s">
        <v>185</v>
      </c>
      <c r="AU2945" s="153" t="s">
        <v>186</v>
      </c>
    </row>
    <row r="2946" spans="13:47" ht="14" x14ac:dyDescent="0.3">
      <c r="M2946" s="12"/>
      <c r="N2946" s="12"/>
      <c r="O2946" s="20"/>
      <c r="P2946" s="20"/>
      <c r="Q2946" s="23"/>
      <c r="R2946" s="139"/>
      <c r="S2946" s="130" t="s">
        <v>228</v>
      </c>
      <c r="T2946" s="154" t="s">
        <v>187</v>
      </c>
      <c r="U2946" s="144"/>
      <c r="V2946" s="130" t="s">
        <v>228</v>
      </c>
      <c r="W2946" s="154" t="s">
        <v>187</v>
      </c>
      <c r="X2946" s="144"/>
      <c r="Y2946" s="130" t="s">
        <v>228</v>
      </c>
      <c r="Z2946" s="154" t="s">
        <v>187</v>
      </c>
      <c r="AA2946" s="144"/>
      <c r="AB2946" s="130" t="s">
        <v>228</v>
      </c>
      <c r="AC2946" s="154" t="s">
        <v>187</v>
      </c>
      <c r="AD2946" s="144"/>
      <c r="AE2946" s="130" t="s">
        <v>228</v>
      </c>
      <c r="AF2946" s="154" t="s">
        <v>187</v>
      </c>
      <c r="AG2946" s="144"/>
      <c r="AH2946" s="130" t="s">
        <v>228</v>
      </c>
      <c r="AI2946" s="154" t="s">
        <v>187</v>
      </c>
      <c r="AJ2946" s="144"/>
      <c r="AK2946" s="130" t="s">
        <v>228</v>
      </c>
      <c r="AL2946" s="154" t="s">
        <v>187</v>
      </c>
      <c r="AM2946" s="144"/>
      <c r="AN2946" s="130" t="s">
        <v>228</v>
      </c>
      <c r="AO2946" s="154" t="s">
        <v>187</v>
      </c>
      <c r="AP2946" s="144"/>
      <c r="AQ2946" s="130" t="s">
        <v>228</v>
      </c>
      <c r="AR2946" s="154" t="s">
        <v>187</v>
      </c>
      <c r="AS2946" s="144"/>
      <c r="AT2946" s="130" t="s">
        <v>228</v>
      </c>
      <c r="AU2946" s="154" t="s">
        <v>187</v>
      </c>
    </row>
    <row r="2947" spans="13:47" x14ac:dyDescent="0.25">
      <c r="M2947" s="20"/>
      <c r="N2947" s="20"/>
      <c r="O2947" s="7" t="s">
        <v>188</v>
      </c>
      <c r="P2947" s="7"/>
      <c r="Q2947" s="7"/>
      <c r="R2947" s="181">
        <f>P_1_minW-(R2945^2*R_up)+dpup_minQ</f>
        <v>100.32509158727676</v>
      </c>
      <c r="S2947" s="132"/>
      <c r="T2947" s="145"/>
      <c r="U2947" s="138">
        <f>P_1_minW-(U2945^2*R_up)+dpup_minQ</f>
        <v>95.121710674666502</v>
      </c>
      <c r="V2947" s="132"/>
      <c r="W2947" s="145"/>
      <c r="X2947" s="138">
        <f>P_1_minW-(X2945^2*R_up)+dpup_minQ</f>
        <v>67.488090186085898</v>
      </c>
      <c r="Y2947" s="132"/>
      <c r="Z2947" s="145"/>
      <c r="AA2947" s="138">
        <f>P_1_minW-(AA2945^2*R_up)+dpup_minQ</f>
        <v>-24.801259659187423</v>
      </c>
      <c r="AB2947" s="132"/>
      <c r="AC2947" s="145"/>
      <c r="AD2947" s="138">
        <f>P_1_minW-(AD2945^2*R_up)+dpup_minQ</f>
        <v>-238.45542711400716</v>
      </c>
      <c r="AE2947" s="132"/>
      <c r="AF2947" s="145"/>
      <c r="AG2947" s="138">
        <f>P_1_minW-(AG2945^2*R_up)+dpup_minQ</f>
        <v>-566.32268158966258</v>
      </c>
      <c r="AH2947" s="132"/>
      <c r="AI2947" s="145"/>
      <c r="AJ2947" s="138">
        <f>P_1_minW-(AJ2945^2*R_up)+dpup_minQ</f>
        <v>-974.58286708345497</v>
      </c>
      <c r="AK2947" s="132"/>
      <c r="AL2947" s="145"/>
      <c r="AM2947" s="138">
        <f>P_1_minW-(AM2945^2*R_up)+dpup_minQ</f>
        <v>-1377.6837104194126</v>
      </c>
      <c r="AN2947" s="132"/>
      <c r="AO2947" s="145"/>
      <c r="AP2947" s="138">
        <f>P_1_minW-(AP2945^2*R_up)+dpup_minQ</f>
        <v>-1739.4242842603737</v>
      </c>
      <c r="AQ2947" s="132"/>
      <c r="AR2947" s="145"/>
      <c r="AS2947" s="138">
        <f>P_1_minW-(AS2945^2*R_up)+dpup_minQ</f>
        <v>-2189.6885136356177</v>
      </c>
      <c r="AT2947" s="132"/>
      <c r="AU2947" s="145"/>
    </row>
    <row r="2948" spans="13:47" x14ac:dyDescent="0.25">
      <c r="M2948" s="20"/>
      <c r="N2948" s="20"/>
      <c r="O2948" s="7" t="s">
        <v>189</v>
      </c>
      <c r="P2948" s="1"/>
      <c r="Q2948" s="7"/>
      <c r="R2948" s="181">
        <f>P_2_minW+(R2945^2*R_dn)-dpdn_minQ</f>
        <v>50</v>
      </c>
      <c r="S2948" s="132"/>
      <c r="T2948" s="146"/>
      <c r="U2948" s="138">
        <f>P_2_minW+(U2945^2*R_dn)-dpdn_minQ</f>
        <v>50</v>
      </c>
      <c r="V2948" s="132"/>
      <c r="W2948" s="146"/>
      <c r="X2948" s="138">
        <f>P_2_minW+(X2945^2*R_dn)-dpdn_minQ</f>
        <v>50</v>
      </c>
      <c r="Y2948" s="132"/>
      <c r="Z2948" s="146"/>
      <c r="AA2948" s="138">
        <f>P_2_minW+(AA2945^2*R_dn)-dpdn_minQ</f>
        <v>50</v>
      </c>
      <c r="AB2948" s="132"/>
      <c r="AC2948" s="146"/>
      <c r="AD2948" s="138">
        <f>P_2_minW+(AD2945^2*R_dn)-dpdn_minQ</f>
        <v>50</v>
      </c>
      <c r="AE2948" s="132"/>
      <c r="AF2948" s="146"/>
      <c r="AG2948" s="138">
        <f>P_2_minW+(AG2945^2*R_dn)-dpdn_minQ</f>
        <v>50</v>
      </c>
      <c r="AH2948" s="132"/>
      <c r="AI2948" s="146"/>
      <c r="AJ2948" s="138">
        <f>P_2_minW+(AJ2945^2*R_dn)-dpdn_minQ</f>
        <v>50</v>
      </c>
      <c r="AK2948" s="132"/>
      <c r="AL2948" s="146"/>
      <c r="AM2948" s="138">
        <f>P_2_minW+(AM2945^2*R_dn)-dpdn_minQ</f>
        <v>50</v>
      </c>
      <c r="AN2948" s="132"/>
      <c r="AO2948" s="146"/>
      <c r="AP2948" s="138">
        <f>P_2_minW+(AP2945^2*R_dn)-dpdn_minQ</f>
        <v>50</v>
      </c>
      <c r="AQ2948" s="132"/>
      <c r="AR2948" s="146"/>
      <c r="AS2948" s="138">
        <f>P_2_minW+(AS2945^2*R_dn)-dpdn_minQ</f>
        <v>50</v>
      </c>
      <c r="AT2948" s="132"/>
      <c r="AU2948" s="146"/>
    </row>
    <row r="2949" spans="13:47" x14ac:dyDescent="0.25">
      <c r="M2949" s="20"/>
      <c r="N2949" s="20"/>
      <c r="O2949" s="7" t="s">
        <v>234</v>
      </c>
      <c r="P2949" s="1"/>
      <c r="Q2949" s="7"/>
      <c r="R2949" s="179">
        <f>'Valve Sizing'!G$8*R2947/P_1_maxW</f>
        <v>0.48395038003539631</v>
      </c>
      <c r="S2949" s="132"/>
      <c r="T2949" s="146"/>
      <c r="U2949" s="143">
        <f>'Valve Sizing'!$G$8*U2947/P_1_maxW</f>
        <v>0.45885019691783591</v>
      </c>
      <c r="V2949" s="132"/>
      <c r="W2949" s="146"/>
      <c r="X2949" s="143">
        <f>'Valve Sizing'!$G$8*X2947/P_1_maxW</f>
        <v>0.32555053154380997</v>
      </c>
      <c r="Y2949" s="132"/>
      <c r="Z2949" s="146"/>
      <c r="AA2949" s="143">
        <f>'Valve Sizing'!$G$8*AA2947/P_1_maxW</f>
        <v>-0.11963686100379763</v>
      </c>
      <c r="AB2949" s="132"/>
      <c r="AC2949" s="146"/>
      <c r="AD2949" s="143">
        <f>'Valve Sizing'!$G$8*AD2947/P_1_maxW</f>
        <v>-1.1502665260258942</v>
      </c>
      <c r="AE2949" s="132"/>
      <c r="AF2949" s="146"/>
      <c r="AG2949" s="143">
        <f>'Valve Sizing'!$G$8*AG2947/P_1_maxW</f>
        <v>-2.7318397884496899</v>
      </c>
      <c r="AH2949" s="132"/>
      <c r="AI2949" s="146"/>
      <c r="AJ2949" s="143">
        <f>'Valve Sizing'!$G$8*AJ2947/P_1_maxW</f>
        <v>-4.7012142370258134</v>
      </c>
      <c r="AK2949" s="132"/>
      <c r="AL2949" s="146"/>
      <c r="AM2949" s="143">
        <f>'Valve Sizing'!$G$8*AM2947/P_1_maxW</f>
        <v>-6.6457009375967955</v>
      </c>
      <c r="AN2949" s="132"/>
      <c r="AO2949" s="146"/>
      <c r="AP2949" s="143">
        <f>'Valve Sizing'!$G$8*AP2947/P_1_maxW</f>
        <v>-8.3906730618660266</v>
      </c>
      <c r="AQ2949" s="132"/>
      <c r="AR2949" s="146"/>
      <c r="AS2949" s="143">
        <f>'Valve Sizing'!$G$8*AS2947/P_1_maxW</f>
        <v>-10.562667539767196</v>
      </c>
      <c r="AT2949" s="132"/>
      <c r="AU2949" s="146"/>
    </row>
    <row r="2950" spans="13:47" x14ac:dyDescent="0.25">
      <c r="M2950" s="20"/>
      <c r="N2950" s="20"/>
      <c r="O2950" s="7" t="s">
        <v>190</v>
      </c>
      <c r="P2950" s="1"/>
      <c r="Q2950" s="7"/>
      <c r="R2950" s="181">
        <f>R2947-R2948</f>
        <v>50.325091587276759</v>
      </c>
      <c r="S2950" s="132"/>
      <c r="T2950" s="146"/>
      <c r="U2950" s="138">
        <f>U2947-U2948</f>
        <v>45.121710674666502</v>
      </c>
      <c r="V2950" s="132"/>
      <c r="W2950" s="146"/>
      <c r="X2950" s="138">
        <f>X2947-X2948</f>
        <v>17.488090186085898</v>
      </c>
      <c r="Y2950" s="132"/>
      <c r="Z2950" s="146"/>
      <c r="AA2950" s="138">
        <f>AA2947-AA2948</f>
        <v>-74.801259659187423</v>
      </c>
      <c r="AB2950" s="132"/>
      <c r="AC2950" s="146"/>
      <c r="AD2950" s="138">
        <f>AD2947-AD2948</f>
        <v>-288.45542711400719</v>
      </c>
      <c r="AE2950" s="132"/>
      <c r="AF2950" s="146"/>
      <c r="AG2950" s="138">
        <f>AG2947-AG2948</f>
        <v>-616.32268158966258</v>
      </c>
      <c r="AH2950" s="132"/>
      <c r="AI2950" s="146"/>
      <c r="AJ2950" s="138">
        <f>AJ2947-AJ2948</f>
        <v>-1024.5828670834549</v>
      </c>
      <c r="AK2950" s="132"/>
      <c r="AL2950" s="146"/>
      <c r="AM2950" s="138">
        <f>AM2947-AM2948</f>
        <v>-1427.6837104194126</v>
      </c>
      <c r="AN2950" s="132"/>
      <c r="AO2950" s="146"/>
      <c r="AP2950" s="138">
        <f>AP2947-AP2948</f>
        <v>-1789.4242842603737</v>
      </c>
      <c r="AQ2950" s="132"/>
      <c r="AR2950" s="146"/>
      <c r="AS2950" s="138">
        <f>AS2947-AS2948</f>
        <v>-2239.6885136356177</v>
      </c>
      <c r="AT2950" s="132"/>
      <c r="AU2950" s="146"/>
    </row>
    <row r="2951" spans="13:47" ht="14.5" x14ac:dyDescent="0.35">
      <c r="M2951" s="27"/>
      <c r="N2951" s="27"/>
      <c r="O2951" s="2" t="s">
        <v>191</v>
      </c>
      <c r="P2951" s="10"/>
      <c r="Q2951" s="2"/>
      <c r="R2951" s="181">
        <f>R2950/R2947</f>
        <v>0.50162019083229015</v>
      </c>
      <c r="S2951" s="132"/>
      <c r="T2951" s="146"/>
      <c r="U2951" s="138">
        <f>U2950/U2947</f>
        <v>0.47435764511207051</v>
      </c>
      <c r="V2951" s="132"/>
      <c r="W2951" s="146"/>
      <c r="X2951" s="138">
        <f>X2950/X2947</f>
        <v>0.25912853864831159</v>
      </c>
      <c r="Y2951" s="132"/>
      <c r="Z2951" s="146"/>
      <c r="AA2951" s="138">
        <f>AA2950/AA2947</f>
        <v>3.0160266328036252</v>
      </c>
      <c r="AB2951" s="132"/>
      <c r="AC2951" s="146"/>
      <c r="AD2951" s="138">
        <f>AD2950/AD2947</f>
        <v>1.2096827931540208</v>
      </c>
      <c r="AE2951" s="132"/>
      <c r="AF2951" s="146"/>
      <c r="AG2951" s="138">
        <f>AG2950/AG2947</f>
        <v>1.0882888883412729</v>
      </c>
      <c r="AH2951" s="132"/>
      <c r="AI2951" s="146"/>
      <c r="AJ2951" s="138">
        <f>AJ2950/AJ2947</f>
        <v>1.0513040006024632</v>
      </c>
      <c r="AK2951" s="132"/>
      <c r="AL2951" s="146"/>
      <c r="AM2951" s="138">
        <f>AM2950/AM2947</f>
        <v>1.0362928004605487</v>
      </c>
      <c r="AN2951" s="132"/>
      <c r="AO2951" s="146"/>
      <c r="AP2951" s="138">
        <f>AP2950/AP2947</f>
        <v>1.0287451431214556</v>
      </c>
      <c r="AQ2951" s="132"/>
      <c r="AR2951" s="146"/>
      <c r="AS2951" s="138">
        <f>AS2950/AS2947</f>
        <v>1.0228342979782925</v>
      </c>
      <c r="AT2951" s="132"/>
      <c r="AU2951" s="146"/>
    </row>
    <row r="2952" spans="13:47" x14ac:dyDescent="0.25">
      <c r="M2952" s="27"/>
      <c r="N2952" s="27"/>
      <c r="O2952" s="2" t="s">
        <v>26</v>
      </c>
      <c r="P2952" s="7">
        <v>12</v>
      </c>
      <c r="Q2952" s="2"/>
      <c r="R2952" s="181">
        <f>1-R2951/(3*F_GAMMA*R$29)</f>
        <v>0.73875045648423854</v>
      </c>
      <c r="S2952" s="133"/>
      <c r="T2952" s="146"/>
      <c r="U2952" s="138">
        <f>1-U2951/(3*F_GAMMA*U$29)</f>
        <v>0.75300349715583992</v>
      </c>
      <c r="V2952" s="133"/>
      <c r="W2952" s="146"/>
      <c r="X2952" s="138">
        <f>1-X2951/(3*F_GAMMA*X$29)</f>
        <v>0.8630484761717987</v>
      </c>
      <c r="Y2952" s="133"/>
      <c r="Z2952" s="146"/>
      <c r="AA2952" s="138">
        <f>1-AA2951/(3*F_GAMMA*AA$29)</f>
        <v>-0.61585029628198296</v>
      </c>
      <c r="AB2952" s="133"/>
      <c r="AC2952" s="146"/>
      <c r="AD2952" s="138">
        <f>1-AD2951/(3*F_GAMMA*AD$29)</f>
        <v>0.33413748026191825</v>
      </c>
      <c r="AE2952" s="133"/>
      <c r="AF2952" s="146"/>
      <c r="AG2952" s="138">
        <f>1-AG2951/(3*F_GAMMA*AG$29)</f>
        <v>0.3667877144740006</v>
      </c>
      <c r="AH2952" s="133"/>
      <c r="AI2952" s="146"/>
      <c r="AJ2952" s="138">
        <f>1-AJ2951/(3*F_GAMMA*AJ$29)</f>
        <v>0.34609197499178423</v>
      </c>
      <c r="AK2952" s="133"/>
      <c r="AL2952" s="146"/>
      <c r="AM2952" s="138">
        <f>1-AM2951/(3*F_GAMMA*AM$29)</f>
        <v>0.29574052510867344</v>
      </c>
      <c r="AN2952" s="133"/>
      <c r="AO2952" s="146"/>
      <c r="AP2952" s="138">
        <f>1-AP2951/(3*F_GAMMA*AP$29)</f>
        <v>0.42224458925121067</v>
      </c>
      <c r="AQ2952" s="133"/>
      <c r="AR2952" s="146"/>
      <c r="AS2952" s="138">
        <f>1-AS2951/(3*F_GAMMA*AS$29)</f>
        <v>0.12795652512443623</v>
      </c>
      <c r="AT2952" s="133"/>
      <c r="AU2952" s="146"/>
    </row>
    <row r="2953" spans="13:47" x14ac:dyDescent="0.25">
      <c r="M2953" s="27"/>
      <c r="N2953" s="27"/>
      <c r="O2953" s="2" t="s">
        <v>71</v>
      </c>
      <c r="P2953" s="85">
        <v>5</v>
      </c>
      <c r="Q2953" s="2"/>
      <c r="R2953" s="179">
        <f>R2945/((N_6*R$27*R2952)*SQRT(R2951*R2947*R2949))</f>
        <v>3.051395461390888</v>
      </c>
      <c r="S2953" s="133"/>
      <c r="T2953" s="146"/>
      <c r="U2953" s="143">
        <f>U2945/((N_6*U$27*U2952)*SQRT(U2951*U2947*U2949))</f>
        <v>16.981491539790987</v>
      </c>
      <c r="V2953" s="133"/>
      <c r="W2953" s="146"/>
      <c r="X2953" s="143">
        <f>X2945/((N_6*X$27*X2952)*SQRT(X2951*X2947*X2949))</f>
        <v>70.031256231824898</v>
      </c>
      <c r="Y2953" s="133"/>
      <c r="Z2953" s="146"/>
      <c r="AA2953" s="143">
        <f>AA2945/((N_6*AA$27*AA2952)*SQRT(AA2951*AA2947*AA2949))</f>
        <v>-153.34443289748179</v>
      </c>
      <c r="AB2953" s="133"/>
      <c r="AC2953" s="146"/>
      <c r="AD2953" s="143">
        <f>AD2945/((N_6*AD$27*AD2952)*SQRT(AD2951*AD2947*AD2949))</f>
        <v>77.246659404367335</v>
      </c>
      <c r="AE2953" s="133"/>
      <c r="AF2953" s="146"/>
      <c r="AG2953" s="143">
        <f>AG2945/((N_6*AG$27*AG2952)*SQRT(AG2951*AG2947*AG2949))</f>
        <v>44.760451625129846</v>
      </c>
      <c r="AH2953" s="133"/>
      <c r="AI2953" s="146"/>
      <c r="AJ2953" s="143">
        <f>AJ2945/((N_6*AJ$27*AJ2952)*SQRT(AJ2951*AJ2947*AJ2949))</f>
        <v>36.83353322012298</v>
      </c>
      <c r="AK2953" s="133"/>
      <c r="AL2953" s="146"/>
      <c r="AM2953" s="143">
        <f>AM2945/((N_6*AM$27*AM2952)*SQRT(AM2951*AM2947*AM2949))</f>
        <v>38.224557006232857</v>
      </c>
      <c r="AN2953" s="133"/>
      <c r="AO2953" s="146"/>
      <c r="AP2953" s="143">
        <f>AP2945/((N_6*AP$27*AP2952)*SQRT(AP2951*AP2947*AP2949))</f>
        <v>26.971790509738319</v>
      </c>
      <c r="AQ2953" s="133"/>
      <c r="AR2953" s="146"/>
      <c r="AS2953" s="143">
        <f>AS2945/((N_6*AS$27*AS2952)*SQRT(AS2951*AS2947*AS2949))</f>
        <v>103.94615041038931</v>
      </c>
      <c r="AT2953" s="133"/>
      <c r="AU2953" s="146"/>
    </row>
    <row r="2954" spans="13:47" x14ac:dyDescent="0.25">
      <c r="M2954" s="27"/>
      <c r="N2954" s="27"/>
      <c r="O2954" s="2" t="s">
        <v>73</v>
      </c>
      <c r="P2954" s="85">
        <v>5</v>
      </c>
      <c r="Q2954" s="2"/>
      <c r="R2954" s="179">
        <f>R2945/((N_6*R$27*0.667)*SQRT(R2955*R2947*R2949))</f>
        <v>2.9919809342718389</v>
      </c>
      <c r="S2954" s="133"/>
      <c r="T2954" s="155"/>
      <c r="U2954" s="143">
        <f>U2945/((N_6*U$27*0.667)*SQRT(U2955*U2947*U2949))</f>
        <v>16.50262465105634</v>
      </c>
      <c r="V2954" s="133"/>
      <c r="W2954" s="155"/>
      <c r="X2954" s="143">
        <f>X2945/((N_6*X$27*0.667)*SQRT(X2955*X2947*X2949))</f>
        <v>58.08250451406473</v>
      </c>
      <c r="Y2954" s="133"/>
      <c r="Z2954" s="155"/>
      <c r="AA2954" s="143">
        <f>AA2945/((N_6*AA$27*0.667)*SQRT(AA2955*AA2947*AA2949))</f>
        <v>311.72994504470358</v>
      </c>
      <c r="AB2954" s="133"/>
      <c r="AC2954" s="155"/>
      <c r="AD2954" s="143">
        <f>AD2945/((N_6*AD$27*0.667)*SQRT(AD2955*AD2947*AD2949))</f>
        <v>54.693029335489051</v>
      </c>
      <c r="AE2954" s="133"/>
      <c r="AF2954" s="155"/>
      <c r="AG2954" s="143">
        <f>AG2945/((N_6*AG$27*0.667)*SQRT(AG2955*AG2947*AG2949))</f>
        <v>33.92490967814166</v>
      </c>
      <c r="AH2954" s="133"/>
      <c r="AI2954" s="155"/>
      <c r="AJ2954" s="143">
        <f>AJ2945/((N_6*AJ$27*0.667)*SQRT(AJ2955*AJ2947*AJ2949))</f>
        <v>26.768746587830993</v>
      </c>
      <c r="AK2954" s="133"/>
      <c r="AL2954" s="155"/>
      <c r="AM2954" s="143">
        <f>AM2945/((N_6*AM$27*0.667)*SQRT(AM2955*AM2947*AM2949))</f>
        <v>24.635106456884326</v>
      </c>
      <c r="AN2954" s="133"/>
      <c r="AO2954" s="155"/>
      <c r="AP2954" s="143">
        <f>AP2945/((N_6*AP$27*0.667)*SQRT(AP2955*AP2947*AP2949))</f>
        <v>22.479190879952082</v>
      </c>
      <c r="AQ2954" s="133"/>
      <c r="AR2954" s="155"/>
      <c r="AS2954" s="143">
        <f>AS2945/((N_6*AS$27*0.667)*SQRT(AS2955*AS2947*AS2949))</f>
        <v>32.253341097720437</v>
      </c>
      <c r="AT2954" s="133"/>
      <c r="AU2954" s="155"/>
    </row>
    <row r="2955" spans="13:47" ht="15.5" x14ac:dyDescent="0.4">
      <c r="M2955" s="27"/>
      <c r="N2955" s="27"/>
      <c r="O2955" s="2" t="s">
        <v>192</v>
      </c>
      <c r="P2955" s="85">
        <v>10</v>
      </c>
      <c r="Q2955" s="2"/>
      <c r="R2955" s="181">
        <f>F_GAMMA*R$29</f>
        <v>0.64002688015162901</v>
      </c>
      <c r="S2955" s="133"/>
      <c r="T2955" s="155"/>
      <c r="U2955" s="138">
        <f>F_GAMMA*U$29</f>
        <v>0.64016782916606918</v>
      </c>
      <c r="V2955" s="133"/>
      <c r="W2955" s="155"/>
      <c r="X2955" s="138">
        <f>F_GAMMA*X$29</f>
        <v>0.6307062319203669</v>
      </c>
      <c r="Y2955" s="133"/>
      <c r="Z2955" s="155"/>
      <c r="AA2955" s="138">
        <f>F_GAMMA*AA$29</f>
        <v>0.62217534213893466</v>
      </c>
      <c r="AB2955" s="133"/>
      <c r="AC2955" s="155"/>
      <c r="AD2955" s="138">
        <f>F_GAMMA*AD$29</f>
        <v>0.60557184969146072</v>
      </c>
      <c r="AE2955" s="133"/>
      <c r="AF2955" s="155"/>
      <c r="AG2955" s="138">
        <f>F_GAMMA*AG$29</f>
        <v>0.57289312142622573</v>
      </c>
      <c r="AH2955" s="133"/>
      <c r="AI2955" s="155"/>
      <c r="AJ2955" s="138">
        <f>F_GAMMA*AJ$29</f>
        <v>0.53590819116049981</v>
      </c>
      <c r="AK2955" s="133"/>
      <c r="AL2955" s="155"/>
      <c r="AM2955" s="138">
        <f>F_GAMMA*AM$29</f>
        <v>0.49048815926850342</v>
      </c>
      <c r="AN2955" s="133"/>
      <c r="AO2955" s="155"/>
      <c r="AP2955" s="138">
        <f>F_GAMMA*AP$29</f>
        <v>0.59352979016280105</v>
      </c>
      <c r="AQ2955" s="133"/>
      <c r="AR2955" s="155"/>
      <c r="AS2955" s="138">
        <f>F_GAMMA*AS$29</f>
        <v>0.39097221161068291</v>
      </c>
      <c r="AT2955" s="133"/>
      <c r="AU2955" s="155"/>
    </row>
    <row r="2956" spans="13:47" x14ac:dyDescent="0.25">
      <c r="M2956" s="27"/>
      <c r="N2956" s="27"/>
      <c r="O2956" s="2" t="s">
        <v>193</v>
      </c>
      <c r="P2956" s="134"/>
      <c r="Q2956" s="2"/>
      <c r="R2956" s="181">
        <f>IF(R2951&lt;R2955,R2953,R2954)</f>
        <v>3.051395461390888</v>
      </c>
      <c r="S2956" s="133"/>
      <c r="T2956" s="155"/>
      <c r="U2956" s="138">
        <f>IF(U2951&lt;U2955,U2953,U2954)</f>
        <v>16.981491539790987</v>
      </c>
      <c r="V2956" s="133"/>
      <c r="W2956" s="155"/>
      <c r="X2956" s="138">
        <f>IF(X2951&lt;X2955,X2953,X2954)</f>
        <v>70.031256231824898</v>
      </c>
      <c r="Y2956" s="133"/>
      <c r="Z2956" s="155"/>
      <c r="AA2956" s="138">
        <f>IF(AA2951&lt;AA2955,AA2953,AA2954)</f>
        <v>311.72994504470358</v>
      </c>
      <c r="AB2956" s="133"/>
      <c r="AC2956" s="155"/>
      <c r="AD2956" s="138">
        <f>IF(AD2951&lt;AD2955,AD2953,AD2954)</f>
        <v>54.693029335489051</v>
      </c>
      <c r="AE2956" s="133"/>
      <c r="AF2956" s="155"/>
      <c r="AG2956" s="138">
        <f>IF(AG2951&lt;AG2955,AG2953,AG2954)</f>
        <v>33.92490967814166</v>
      </c>
      <c r="AH2956" s="133"/>
      <c r="AI2956" s="155"/>
      <c r="AJ2956" s="138">
        <f>IF(AJ2951&lt;AJ2955,AJ2953,AJ2954)</f>
        <v>26.768746587830993</v>
      </c>
      <c r="AK2956" s="133"/>
      <c r="AL2956" s="155"/>
      <c r="AM2956" s="138">
        <f>IF(AM2951&lt;AM2955,AM2953,AM2954)</f>
        <v>24.635106456884326</v>
      </c>
      <c r="AN2956" s="133"/>
      <c r="AO2956" s="155"/>
      <c r="AP2956" s="138">
        <f>IF(AP2951&lt;AP2955,AP2953,AP2954)</f>
        <v>22.479190879952082</v>
      </c>
      <c r="AQ2956" s="133"/>
      <c r="AR2956" s="155"/>
      <c r="AS2956" s="138">
        <f>IF(AS2951&lt;AS2955,AS2953,AS2954)</f>
        <v>32.253341097720437</v>
      </c>
      <c r="AT2956" s="133"/>
      <c r="AU2956" s="155"/>
    </row>
    <row r="2957" spans="13:47" ht="13" x14ac:dyDescent="0.3">
      <c r="M2957" s="28"/>
      <c r="N2957" s="28"/>
      <c r="O2957" s="9" t="s">
        <v>194</v>
      </c>
      <c r="P2957" s="1"/>
      <c r="Q2957" s="1"/>
      <c r="R2957" s="135"/>
      <c r="S2957" s="132">
        <f>IF(R2950&lt;=0,W_max,ABS(R$23-R2956))</f>
        <v>1.051395461390888</v>
      </c>
      <c r="T2957" s="151">
        <f>R2945</f>
        <v>704.11113619037769</v>
      </c>
      <c r="U2957" s="135"/>
      <c r="V2957" s="132">
        <f>IF(U2950&lt;=0,W_max,ABS(U$23-U2956))</f>
        <v>11.981491539790987</v>
      </c>
      <c r="W2957" s="151">
        <f>U2945</f>
        <v>3680.3011124276377</v>
      </c>
      <c r="X2957" s="135"/>
      <c r="Y2957" s="132">
        <f>IF(X2950&lt;=0,W_max,ABS(X$23-X2956))</f>
        <v>60.031256231824898</v>
      </c>
      <c r="Z2957" s="151">
        <f>X2945</f>
        <v>9101.8226119998217</v>
      </c>
      <c r="AA2957" s="135"/>
      <c r="AB2957" s="132">
        <f>IF(AA2950&lt;=0,W_max,ABS(AA$23-AA2956))</f>
        <v>7174</v>
      </c>
      <c r="AC2957" s="151">
        <f>AA2945</f>
        <v>17728.027249700852</v>
      </c>
      <c r="AD2957" s="135"/>
      <c r="AE2957" s="132">
        <f>IF(AD2950&lt;=0,W_max,ABS(AD$23-AD2956))</f>
        <v>7174</v>
      </c>
      <c r="AF2957" s="151">
        <f>AD2945</f>
        <v>29156.077753373509</v>
      </c>
      <c r="AG2957" s="135"/>
      <c r="AH2957" s="132">
        <f>IF(AG2950&lt;=0,W_max,ABS(AG$23-AG2956))</f>
        <v>7174</v>
      </c>
      <c r="AI2957" s="151">
        <f>AG2945</f>
        <v>40893.643663852337</v>
      </c>
      <c r="AJ2957" s="135"/>
      <c r="AK2957" s="132">
        <f>IF(AJ2950&lt;=0,W_max,ABS(AJ$23-AJ2956))</f>
        <v>7174</v>
      </c>
      <c r="AL2957" s="151">
        <f>AJ2945</f>
        <v>51924.076264710922</v>
      </c>
      <c r="AM2957" s="135"/>
      <c r="AN2957" s="132">
        <f>IF(AM2950&lt;=0,W_max,ABS(AM$23-AM2956))</f>
        <v>7174</v>
      </c>
      <c r="AO2957" s="151">
        <f>AM2945</f>
        <v>60885.062985389508</v>
      </c>
      <c r="AP2957" s="135"/>
      <c r="AQ2957" s="132">
        <f>IF(AP2950&lt;=0,W_max,ABS(AP$23-AP2956))</f>
        <v>7174</v>
      </c>
      <c r="AR2957" s="151">
        <f>AP2945</f>
        <v>67927.537557523159</v>
      </c>
      <c r="AS2957" s="135"/>
      <c r="AT2957" s="132">
        <f>IF(AS2950&lt;=0,W_max,ABS(AS$23-AS2956))</f>
        <v>7174</v>
      </c>
      <c r="AU2957" s="151">
        <f>AS2945</f>
        <v>75784.603519848053</v>
      </c>
    </row>
    <row r="2958" spans="13:47" ht="13" x14ac:dyDescent="0.25">
      <c r="M2958" s="12"/>
      <c r="N2958" s="12"/>
      <c r="O2958" s="2"/>
      <c r="P2958" s="85"/>
      <c r="Q2958" s="2"/>
      <c r="R2958" s="18"/>
      <c r="S2958" s="150"/>
      <c r="T2958" s="152"/>
      <c r="U2958" s="157"/>
      <c r="V2958" s="1"/>
      <c r="W2958" s="147"/>
      <c r="X2958" s="157"/>
      <c r="Y2958" s="1"/>
      <c r="Z2958" s="147"/>
      <c r="AA2958" s="157"/>
      <c r="AB2958" s="1"/>
      <c r="AC2958" s="147"/>
      <c r="AD2958" s="157"/>
      <c r="AE2958" s="1"/>
      <c r="AF2958" s="147"/>
      <c r="AG2958" s="157"/>
      <c r="AH2958" s="1"/>
      <c r="AI2958" s="147"/>
      <c r="AJ2958" s="157"/>
      <c r="AK2958" s="1"/>
      <c r="AL2958" s="147"/>
      <c r="AM2958" s="157"/>
      <c r="AN2958" s="1"/>
      <c r="AO2958" s="147"/>
      <c r="AP2958" s="157"/>
      <c r="AQ2958" s="1"/>
      <c r="AR2958" s="147"/>
      <c r="AS2958" s="157"/>
      <c r="AT2958" s="1"/>
      <c r="AU2958" s="147"/>
    </row>
    <row r="2959" spans="13:47" ht="14" x14ac:dyDescent="0.3">
      <c r="M2959" s="23"/>
      <c r="N2959" s="23"/>
      <c r="O2959" s="23" t="s">
        <v>238</v>
      </c>
      <c r="P2959" s="20"/>
      <c r="Q2959" s="20"/>
      <c r="R2959" s="181">
        <f>R2945*1.02</f>
        <v>718.1933589141853</v>
      </c>
      <c r="S2959" s="128" t="s">
        <v>185</v>
      </c>
      <c r="T2959" s="153" t="s">
        <v>186</v>
      </c>
      <c r="U2959" s="143">
        <f>U2945*1.01</f>
        <v>3717.1041235519142</v>
      </c>
      <c r="V2959" s="128" t="s">
        <v>185</v>
      </c>
      <c r="W2959" s="153" t="s">
        <v>186</v>
      </c>
      <c r="X2959" s="143">
        <f>X2945*1.01</f>
        <v>9192.8408381198205</v>
      </c>
      <c r="Y2959" s="128" t="s">
        <v>185</v>
      </c>
      <c r="Z2959" s="153" t="s">
        <v>186</v>
      </c>
      <c r="AA2959" s="143">
        <f>AA2945*1.01</f>
        <v>17905.307522197862</v>
      </c>
      <c r="AB2959" s="128" t="s">
        <v>185</v>
      </c>
      <c r="AC2959" s="153" t="s">
        <v>186</v>
      </c>
      <c r="AD2959" s="143">
        <f>AD2945*1.01</f>
        <v>29447.638530907243</v>
      </c>
      <c r="AE2959" s="128" t="s">
        <v>185</v>
      </c>
      <c r="AF2959" s="153" t="s">
        <v>186</v>
      </c>
      <c r="AG2959" s="143">
        <f>AG2945*1.01</f>
        <v>41302.580100490864</v>
      </c>
      <c r="AH2959" s="128" t="s">
        <v>185</v>
      </c>
      <c r="AI2959" s="153" t="s">
        <v>186</v>
      </c>
      <c r="AJ2959" s="143">
        <f>AJ2945*1.01</f>
        <v>52443.317027358033</v>
      </c>
      <c r="AK2959" s="128" t="s">
        <v>185</v>
      </c>
      <c r="AL2959" s="153" t="s">
        <v>186</v>
      </c>
      <c r="AM2959" s="143">
        <f>AM2945*1.01</f>
        <v>61493.9136152434</v>
      </c>
      <c r="AN2959" s="128" t="s">
        <v>185</v>
      </c>
      <c r="AO2959" s="153" t="s">
        <v>186</v>
      </c>
      <c r="AP2959" s="143">
        <f>AP2945*1.01</f>
        <v>68606.812933098394</v>
      </c>
      <c r="AQ2959" s="128" t="s">
        <v>185</v>
      </c>
      <c r="AR2959" s="153" t="s">
        <v>186</v>
      </c>
      <c r="AS2959" s="143">
        <f>AS2945*1.01</f>
        <v>76542.449555046536</v>
      </c>
      <c r="AT2959" s="128" t="s">
        <v>185</v>
      </c>
      <c r="AU2959" s="153" t="s">
        <v>186</v>
      </c>
    </row>
    <row r="2960" spans="13:47" ht="14" x14ac:dyDescent="0.3">
      <c r="M2960" s="12"/>
      <c r="N2960" s="12"/>
      <c r="O2960" s="20"/>
      <c r="P2960" s="20"/>
      <c r="Q2960" s="23"/>
      <c r="R2960" s="139"/>
      <c r="S2960" s="130" t="s">
        <v>228</v>
      </c>
      <c r="T2960" s="154" t="s">
        <v>187</v>
      </c>
      <c r="U2960" s="144"/>
      <c r="V2960" s="130" t="s">
        <v>228</v>
      </c>
      <c r="W2960" s="154" t="s">
        <v>187</v>
      </c>
      <c r="X2960" s="144"/>
      <c r="Y2960" s="130" t="s">
        <v>228</v>
      </c>
      <c r="Z2960" s="154" t="s">
        <v>187</v>
      </c>
      <c r="AA2960" s="144"/>
      <c r="AB2960" s="130" t="s">
        <v>228</v>
      </c>
      <c r="AC2960" s="154" t="s">
        <v>187</v>
      </c>
      <c r="AD2960" s="144"/>
      <c r="AE2960" s="130" t="s">
        <v>228</v>
      </c>
      <c r="AF2960" s="154" t="s">
        <v>187</v>
      </c>
      <c r="AG2960" s="144"/>
      <c r="AH2960" s="130" t="s">
        <v>228</v>
      </c>
      <c r="AI2960" s="154" t="s">
        <v>187</v>
      </c>
      <c r="AJ2960" s="144"/>
      <c r="AK2960" s="130" t="s">
        <v>228</v>
      </c>
      <c r="AL2960" s="154" t="s">
        <v>187</v>
      </c>
      <c r="AM2960" s="144"/>
      <c r="AN2960" s="130" t="s">
        <v>228</v>
      </c>
      <c r="AO2960" s="154" t="s">
        <v>187</v>
      </c>
      <c r="AP2960" s="144"/>
      <c r="AQ2960" s="130" t="s">
        <v>228</v>
      </c>
      <c r="AR2960" s="154" t="s">
        <v>187</v>
      </c>
      <c r="AS2960" s="144"/>
      <c r="AT2960" s="130" t="s">
        <v>228</v>
      </c>
      <c r="AU2960" s="154" t="s">
        <v>187</v>
      </c>
    </row>
    <row r="2961" spans="13:47" x14ac:dyDescent="0.25">
      <c r="M2961" s="20"/>
      <c r="N2961" s="20"/>
      <c r="O2961" s="7" t="s">
        <v>188</v>
      </c>
      <c r="P2961" s="7"/>
      <c r="Q2961" s="7"/>
      <c r="R2961" s="181">
        <f>P_1_minW-(R2959^2*R_up)+dpup_minQ</f>
        <v>100.31710470323897</v>
      </c>
      <c r="S2961" s="132"/>
      <c r="T2961" s="145"/>
      <c r="U2961" s="138">
        <f>P_1_minW-(U2959^2*R_up)+dpup_minQ</f>
        <v>95.013149045819091</v>
      </c>
      <c r="V2961" s="132"/>
      <c r="W2961" s="145"/>
      <c r="X2961" s="138">
        <f>P_1_minW-(X2959^2*R_up)+dpup_minQ</f>
        <v>66.824092785418017</v>
      </c>
      <c r="Y2961" s="132"/>
      <c r="Z2961" s="145"/>
      <c r="AA2961" s="138">
        <f>P_1_minW-(AA2959^2*R_up)+dpup_minQ</f>
        <v>-27.320272991745313</v>
      </c>
      <c r="AB2961" s="132"/>
      <c r="AC2961" s="145"/>
      <c r="AD2961" s="138">
        <f>P_1_minW-(AD2959^2*R_up)+dpup_minQ</f>
        <v>-245.26888921240689</v>
      </c>
      <c r="AE2961" s="132"/>
      <c r="AF2961" s="145"/>
      <c r="AG2961" s="138">
        <f>P_1_minW-(AG2959^2*R_up)+dpup_minQ</f>
        <v>-579.7262755030232</v>
      </c>
      <c r="AH2961" s="132"/>
      <c r="AI2961" s="145"/>
      <c r="AJ2961" s="138">
        <f>P_1_minW-(AJ2959^2*R_up)+dpup_minQ</f>
        <v>-996.19249072524087</v>
      </c>
      <c r="AK2961" s="132"/>
      <c r="AL2961" s="145"/>
      <c r="AM2961" s="138">
        <f>P_1_minW-(AM2959^2*R_up)+dpup_minQ</f>
        <v>-1407.3956610122509</v>
      </c>
      <c r="AN2961" s="132"/>
      <c r="AO2961" s="145"/>
      <c r="AP2961" s="138">
        <f>P_1_minW-(AP2959^2*R_up)+dpup_minQ</f>
        <v>-1776.4072203874157</v>
      </c>
      <c r="AQ2961" s="132"/>
      <c r="AR2961" s="145"/>
      <c r="AS2961" s="138">
        <f>P_1_minW-(AS2959^2*R_up)+dpup_minQ</f>
        <v>-2235.7217607731018</v>
      </c>
      <c r="AT2961" s="132"/>
      <c r="AU2961" s="145"/>
    </row>
    <row r="2962" spans="13:47" x14ac:dyDescent="0.25">
      <c r="M2962" s="20"/>
      <c r="N2962" s="20"/>
      <c r="O2962" s="7" t="s">
        <v>189</v>
      </c>
      <c r="P2962" s="1"/>
      <c r="Q2962" s="7"/>
      <c r="R2962" s="181">
        <f>P_2_minW+(R2959^2*R_dn)-dpdn_minQ</f>
        <v>50</v>
      </c>
      <c r="S2962" s="132"/>
      <c r="T2962" s="146"/>
      <c r="U2962" s="138">
        <f>P_2_minW+(U2959^2*R_dn)-dpdn_minQ</f>
        <v>50</v>
      </c>
      <c r="V2962" s="132"/>
      <c r="W2962" s="146"/>
      <c r="X2962" s="138">
        <f>P_2_minW+(X2959^2*R_dn)-dpdn_minQ</f>
        <v>50</v>
      </c>
      <c r="Y2962" s="132"/>
      <c r="Z2962" s="146"/>
      <c r="AA2962" s="138">
        <f>P_2_minW+(AA2959^2*R_dn)-dpdn_minQ</f>
        <v>50</v>
      </c>
      <c r="AB2962" s="132"/>
      <c r="AC2962" s="146"/>
      <c r="AD2962" s="138">
        <f>P_2_minW+(AD2959^2*R_dn)-dpdn_minQ</f>
        <v>50</v>
      </c>
      <c r="AE2962" s="132"/>
      <c r="AF2962" s="146"/>
      <c r="AG2962" s="138">
        <f>P_2_minW+(AG2959^2*R_dn)-dpdn_minQ</f>
        <v>50</v>
      </c>
      <c r="AH2962" s="132"/>
      <c r="AI2962" s="146"/>
      <c r="AJ2962" s="138">
        <f>P_2_minW+(AJ2959^2*R_dn)-dpdn_minQ</f>
        <v>50</v>
      </c>
      <c r="AK2962" s="132"/>
      <c r="AL2962" s="146"/>
      <c r="AM2962" s="138">
        <f>P_2_minW+(AM2959^2*R_dn)-dpdn_minQ</f>
        <v>50</v>
      </c>
      <c r="AN2962" s="132"/>
      <c r="AO2962" s="146"/>
      <c r="AP2962" s="138">
        <f>P_2_minW+(AP2959^2*R_dn)-dpdn_minQ</f>
        <v>50</v>
      </c>
      <c r="AQ2962" s="132"/>
      <c r="AR2962" s="146"/>
      <c r="AS2962" s="138">
        <f>P_2_minW+(AS2959^2*R_dn)-dpdn_minQ</f>
        <v>50</v>
      </c>
      <c r="AT2962" s="132"/>
      <c r="AU2962" s="146"/>
    </row>
    <row r="2963" spans="13:47" x14ac:dyDescent="0.25">
      <c r="M2963" s="20"/>
      <c r="N2963" s="20"/>
      <c r="O2963" s="7" t="s">
        <v>234</v>
      </c>
      <c r="P2963" s="1"/>
      <c r="Q2963" s="7"/>
      <c r="R2963" s="179">
        <f>'Valve Sizing'!G$8*R2961/P_1_maxW</f>
        <v>0.48391185272877502</v>
      </c>
      <c r="S2963" s="132"/>
      <c r="T2963" s="146"/>
      <c r="U2963" s="143">
        <f>'Valve Sizing'!$G$8*U2961/P_1_maxW</f>
        <v>0.4583265149484827</v>
      </c>
      <c r="V2963" s="132"/>
      <c r="W2963" s="146"/>
      <c r="X2963" s="143">
        <f>'Valve Sizing'!$G$8*X2961/P_1_maxW</f>
        <v>0.32234752630043884</v>
      </c>
      <c r="Y2963" s="132"/>
      <c r="Z2963" s="146"/>
      <c r="AA2963" s="143">
        <f>'Valve Sizing'!$G$8*AA2961/P_1_maxW</f>
        <v>-0.13178813283737573</v>
      </c>
      <c r="AB2963" s="132"/>
      <c r="AC2963" s="146"/>
      <c r="AD2963" s="143">
        <f>'Valve Sizing'!$G$8*AD2961/P_1_maxW</f>
        <v>-1.1831334541264162</v>
      </c>
      <c r="AE2963" s="132"/>
      <c r="AF2963" s="146"/>
      <c r="AG2963" s="143">
        <f>'Valve Sizing'!$G$8*AG2961/P_1_maxW</f>
        <v>-2.7964963391249316</v>
      </c>
      <c r="AH2963" s="132"/>
      <c r="AI2963" s="146"/>
      <c r="AJ2963" s="143">
        <f>'Valve Sizing'!$G$8*AJ2961/P_1_maxW</f>
        <v>-4.8054552141174351</v>
      </c>
      <c r="AK2963" s="132"/>
      <c r="AL2963" s="146"/>
      <c r="AM2963" s="143">
        <f>'Valve Sizing'!$G$8*AM2961/P_1_maxW</f>
        <v>-6.7890260973698933</v>
      </c>
      <c r="AN2963" s="132"/>
      <c r="AO2963" s="146"/>
      <c r="AP2963" s="143">
        <f>'Valve Sizing'!$G$8*AP2961/P_1_maxW</f>
        <v>-8.5690721613369369</v>
      </c>
      <c r="AQ2963" s="132"/>
      <c r="AR2963" s="146"/>
      <c r="AS2963" s="143">
        <f>'Valve Sizing'!$G$8*AS2961/P_1_maxW</f>
        <v>-10.784723728243918</v>
      </c>
      <c r="AT2963" s="132"/>
      <c r="AU2963" s="146"/>
    </row>
    <row r="2964" spans="13:47" x14ac:dyDescent="0.25">
      <c r="M2964" s="20"/>
      <c r="N2964" s="20"/>
      <c r="O2964" s="7" t="s">
        <v>190</v>
      </c>
      <c r="P2964" s="1"/>
      <c r="Q2964" s="7"/>
      <c r="R2964" s="181">
        <f>R2961-R2962</f>
        <v>50.317104703238968</v>
      </c>
      <c r="S2964" s="132"/>
      <c r="T2964" s="146"/>
      <c r="U2964" s="138">
        <f>U2961-U2962</f>
        <v>45.013149045819091</v>
      </c>
      <c r="V2964" s="132"/>
      <c r="W2964" s="146"/>
      <c r="X2964" s="138">
        <f>X2961-X2962</f>
        <v>16.824092785418017</v>
      </c>
      <c r="Y2964" s="132"/>
      <c r="Z2964" s="146"/>
      <c r="AA2964" s="138">
        <f>AA2961-AA2962</f>
        <v>-77.320272991745313</v>
      </c>
      <c r="AB2964" s="132"/>
      <c r="AC2964" s="146"/>
      <c r="AD2964" s="138">
        <f>AD2961-AD2962</f>
        <v>-295.26888921240686</v>
      </c>
      <c r="AE2964" s="132"/>
      <c r="AF2964" s="146"/>
      <c r="AG2964" s="138">
        <f>AG2961-AG2962</f>
        <v>-629.7262755030232</v>
      </c>
      <c r="AH2964" s="132"/>
      <c r="AI2964" s="146"/>
      <c r="AJ2964" s="138">
        <f>AJ2961-AJ2962</f>
        <v>-1046.192490725241</v>
      </c>
      <c r="AK2964" s="132"/>
      <c r="AL2964" s="146"/>
      <c r="AM2964" s="138">
        <f>AM2961-AM2962</f>
        <v>-1457.3956610122509</v>
      </c>
      <c r="AN2964" s="132"/>
      <c r="AO2964" s="146"/>
      <c r="AP2964" s="138">
        <f>AP2961-AP2962</f>
        <v>-1826.4072203874157</v>
      </c>
      <c r="AQ2964" s="132"/>
      <c r="AR2964" s="146"/>
      <c r="AS2964" s="138">
        <f>AS2961-AS2962</f>
        <v>-2285.7217607731018</v>
      </c>
      <c r="AT2964" s="132"/>
      <c r="AU2964" s="146"/>
    </row>
    <row r="2965" spans="13:47" ht="14.5" x14ac:dyDescent="0.35">
      <c r="M2965" s="27"/>
      <c r="N2965" s="27"/>
      <c r="O2965" s="2" t="s">
        <v>191</v>
      </c>
      <c r="P2965" s="10"/>
      <c r="Q2965" s="2"/>
      <c r="R2965" s="181">
        <f>R2964/R2961</f>
        <v>0.50158051163945094</v>
      </c>
      <c r="S2965" s="132"/>
      <c r="T2965" s="146"/>
      <c r="U2965" s="138">
        <f>U2964/U2961</f>
        <v>0.4737570483440347</v>
      </c>
      <c r="V2965" s="132"/>
      <c r="W2965" s="146"/>
      <c r="X2965" s="138">
        <f>X2964/X2961</f>
        <v>0.2517668715599724</v>
      </c>
      <c r="Y2965" s="132"/>
      <c r="Z2965" s="146"/>
      <c r="AA2965" s="138">
        <f>AA2964/AA2961</f>
        <v>2.8301427666958987</v>
      </c>
      <c r="AB2965" s="132"/>
      <c r="AC2965" s="146"/>
      <c r="AD2965" s="138">
        <f>AD2964/AD2961</f>
        <v>1.2038578971860519</v>
      </c>
      <c r="AE2965" s="132"/>
      <c r="AF2965" s="146"/>
      <c r="AG2965" s="138">
        <f>AG2964/AG2961</f>
        <v>1.0862476001395924</v>
      </c>
      <c r="AH2965" s="132"/>
      <c r="AI2965" s="146"/>
      <c r="AJ2965" s="138">
        <f>AJ2964/AJ2961</f>
        <v>1.0501911030905278</v>
      </c>
      <c r="AK2965" s="132"/>
      <c r="AL2965" s="146"/>
      <c r="AM2965" s="138">
        <f>AM2964/AM2961</f>
        <v>1.0355266122989453</v>
      </c>
      <c r="AN2965" s="132"/>
      <c r="AO2965" s="146"/>
      <c r="AP2965" s="138">
        <f>AP2964/AP2961</f>
        <v>1.0281466993750992</v>
      </c>
      <c r="AQ2965" s="132"/>
      <c r="AR2965" s="146"/>
      <c r="AS2965" s="138">
        <f>AS2964/AS2961</f>
        <v>1.0223641424784049</v>
      </c>
      <c r="AT2965" s="132"/>
      <c r="AU2965" s="146"/>
    </row>
    <row r="2966" spans="13:47" x14ac:dyDescent="0.25">
      <c r="M2966" s="27"/>
      <c r="N2966" s="27"/>
      <c r="O2966" s="2" t="s">
        <v>26</v>
      </c>
      <c r="P2966" s="7">
        <v>12</v>
      </c>
      <c r="Q2966" s="2"/>
      <c r="R2966" s="181">
        <f>1-R2965/(3*F_GAMMA*R$29)</f>
        <v>0.73877112186255811</v>
      </c>
      <c r="S2966" s="133"/>
      <c r="T2966" s="146"/>
      <c r="U2966" s="138">
        <f>1-U2965/(3*F_GAMMA*U$29)</f>
        <v>0.75331622596468895</v>
      </c>
      <c r="V2966" s="133"/>
      <c r="W2966" s="146"/>
      <c r="X2966" s="138">
        <f>1-X2965/(3*F_GAMMA*X$29)</f>
        <v>0.86693917663622067</v>
      </c>
      <c r="Y2966" s="133"/>
      <c r="Z2966" s="146"/>
      <c r="AA2966" s="138">
        <f>1-AA2965/(3*F_GAMMA*AA$29)</f>
        <v>-0.51626215045549784</v>
      </c>
      <c r="AB2966" s="133"/>
      <c r="AC2966" s="146"/>
      <c r="AD2966" s="138">
        <f>1-AD2965/(3*F_GAMMA*AD$29)</f>
        <v>0.33734375874119737</v>
      </c>
      <c r="AE2966" s="133"/>
      <c r="AF2966" s="146"/>
      <c r="AG2966" s="138">
        <f>1-AG2965/(3*F_GAMMA*AG$29)</f>
        <v>0.36797542187545484</v>
      </c>
      <c r="AH2966" s="133"/>
      <c r="AI2966" s="146"/>
      <c r="AJ2966" s="138">
        <f>1-AJ2965/(3*F_GAMMA*AJ$29)</f>
        <v>0.34678419400136595</v>
      </c>
      <c r="AK2966" s="133"/>
      <c r="AL2966" s="146"/>
      <c r="AM2966" s="138">
        <f>1-AM2965/(3*F_GAMMA*AM$29)</f>
        <v>0.29626122280349387</v>
      </c>
      <c r="AN2966" s="133"/>
      <c r="AO2966" s="146"/>
      <c r="AP2966" s="138">
        <f>1-AP2965/(3*F_GAMMA*AP$29)</f>
        <v>0.42258068232032309</v>
      </c>
      <c r="AQ2966" s="133"/>
      <c r="AR2966" s="146"/>
      <c r="AS2966" s="138">
        <f>1-AS2965/(3*F_GAMMA*AS$29)</f>
        <v>0.1283573681902821</v>
      </c>
      <c r="AT2966" s="133"/>
      <c r="AU2966" s="146"/>
    </row>
    <row r="2967" spans="13:47" x14ac:dyDescent="0.25">
      <c r="M2967" s="27"/>
      <c r="N2967" s="27"/>
      <c r="O2967" s="2" t="s">
        <v>71</v>
      </c>
      <c r="P2967" s="85">
        <v>5</v>
      </c>
      <c r="Q2967" s="2"/>
      <c r="R2967" s="179">
        <f>R2959/((N_6*R$27*R2966)*SQRT(R2965*R2961*R2963))</f>
        <v>3.1127072140688541</v>
      </c>
      <c r="S2967" s="133"/>
      <c r="T2967" s="146"/>
      <c r="U2967" s="143">
        <f>U2959/((N_6*U$27*U2966)*SQRT(U2965*U2961*U2963))</f>
        <v>17.174651287556397</v>
      </c>
      <c r="V2967" s="133"/>
      <c r="W2967" s="146"/>
      <c r="X2967" s="143">
        <f>X2959/((N_6*X$27*X2966)*SQRT(X2965*X2961*X2963))</f>
        <v>72.145998755354043</v>
      </c>
      <c r="Y2967" s="133"/>
      <c r="Z2967" s="146"/>
      <c r="AA2967" s="143">
        <f>AA2959/((N_6*AA$27*AA2966)*SQRT(AA2965*AA2961*AA2963))</f>
        <v>-173.13958603864396</v>
      </c>
      <c r="AB2967" s="133"/>
      <c r="AC2967" s="146"/>
      <c r="AD2967" s="143">
        <f>AD2959/((N_6*AD$27*AD2966)*SQRT(AD2965*AD2961*AD2963))</f>
        <v>75.31239869079964</v>
      </c>
      <c r="AE2967" s="133"/>
      <c r="AF2967" s="146"/>
      <c r="AG2967" s="143">
        <f>AG2959/((N_6*AG$27*AG2966)*SQRT(AG2965*AG2961*AG2963))</f>
        <v>44.061619504157115</v>
      </c>
      <c r="AH2967" s="133"/>
      <c r="AI2967" s="146"/>
      <c r="AJ2967" s="143">
        <f>AJ2959/((N_6*AJ$27*AJ2966)*SQRT(AJ2965*AJ2961*AJ2963))</f>
        <v>36.341469820315233</v>
      </c>
      <c r="AK2967" s="133"/>
      <c r="AL2967" s="146"/>
      <c r="AM2967" s="143">
        <f>AM2959/((N_6*AM$27*AM2966)*SQRT(AM2965*AM2961*AM2963))</f>
        <v>37.739295375107581</v>
      </c>
      <c r="AN2967" s="133"/>
      <c r="AO2967" s="146"/>
      <c r="AP2967" s="143">
        <f>AP2959/((N_6*AP$27*AP2966)*SQRT(AP2965*AP2961*AP2963))</f>
        <v>26.660909464141135</v>
      </c>
      <c r="AQ2967" s="133"/>
      <c r="AR2967" s="146"/>
      <c r="AS2967" s="143">
        <f>AS2959/((N_6*AS$27*AS2966)*SQRT(AS2965*AS2961*AS2963))</f>
        <v>102.52643124487771</v>
      </c>
      <c r="AT2967" s="133"/>
      <c r="AU2967" s="146"/>
    </row>
    <row r="2968" spans="13:47" x14ac:dyDescent="0.25">
      <c r="M2968" s="27"/>
      <c r="N2968" s="27"/>
      <c r="O2968" s="2" t="s">
        <v>73</v>
      </c>
      <c r="P2968" s="85">
        <v>5</v>
      </c>
      <c r="Q2968" s="2"/>
      <c r="R2968" s="179">
        <f>R2959/((N_6*R$27*0.667)*SQRT(R2969*R2961*R2963))</f>
        <v>3.0520635278410979</v>
      </c>
      <c r="S2968" s="133"/>
      <c r="T2968" s="155"/>
      <c r="U2968" s="143">
        <f>U2959/((N_6*U$27*0.667)*SQRT(U2969*U2961*U2963))</f>
        <v>16.686695286145451</v>
      </c>
      <c r="V2968" s="133"/>
      <c r="W2968" s="155"/>
      <c r="X2968" s="143">
        <f>X2959/((N_6*X$27*0.667)*SQRT(X2969*X2961*X2963))</f>
        <v>59.246237560170208</v>
      </c>
      <c r="Y2968" s="133"/>
      <c r="Z2968" s="155"/>
      <c r="AA2968" s="143">
        <f>AA2959/((N_6*AA$27*0.667)*SQRT(AA2969*AA2961*AA2963))</f>
        <v>285.81735863559027</v>
      </c>
      <c r="AB2968" s="133"/>
      <c r="AC2968" s="155"/>
      <c r="AD2968" s="143">
        <f>AD2959/((N_6*AD$27*0.667)*SQRT(AD2969*AD2961*AD2963))</f>
        <v>53.705417794138135</v>
      </c>
      <c r="AE2968" s="133"/>
      <c r="AF2968" s="155"/>
      <c r="AG2968" s="143">
        <f>AG2959/((N_6*AG$27*0.667)*SQRT(AG2969*AG2961*AG2963))</f>
        <v>33.471952367505217</v>
      </c>
      <c r="AH2968" s="133"/>
      <c r="AI2968" s="155"/>
      <c r="AJ2968" s="143">
        <f>AJ2959/((N_6*AJ$27*0.667)*SQRT(AJ2969*AJ2961*AJ2963))</f>
        <v>26.44995386041726</v>
      </c>
      <c r="AK2968" s="133"/>
      <c r="AL2968" s="155"/>
      <c r="AM2968" s="143">
        <f>AM2959/((N_6*AM$27*0.667)*SQRT(AM2969*AM2961*AM2963))</f>
        <v>24.356177632481856</v>
      </c>
      <c r="AN2968" s="133"/>
      <c r="AO2968" s="155"/>
      <c r="AP2968" s="143">
        <f>AP2959/((N_6*AP$27*0.667)*SQRT(AP2969*AP2961*AP2963))</f>
        <v>22.231309667594875</v>
      </c>
      <c r="AQ2968" s="133"/>
      <c r="AR2968" s="155"/>
      <c r="AS2968" s="143">
        <f>AS2959/((N_6*AS$27*0.667)*SQRT(AS2969*AS2961*AS2963))</f>
        <v>31.905141097998087</v>
      </c>
      <c r="AT2968" s="133"/>
      <c r="AU2968" s="155"/>
    </row>
    <row r="2969" spans="13:47" ht="15.5" x14ac:dyDescent="0.4">
      <c r="M2969" s="27"/>
      <c r="N2969" s="27"/>
      <c r="O2969" s="2" t="s">
        <v>192</v>
      </c>
      <c r="P2969" s="85">
        <v>10</v>
      </c>
      <c r="Q2969" s="2"/>
      <c r="R2969" s="181">
        <f>F_GAMMA*R$29</f>
        <v>0.64002688015162901</v>
      </c>
      <c r="S2969" s="133"/>
      <c r="T2969" s="155"/>
      <c r="U2969" s="138">
        <f>F_GAMMA*U$29</f>
        <v>0.64016782916606918</v>
      </c>
      <c r="V2969" s="133"/>
      <c r="W2969" s="155"/>
      <c r="X2969" s="138">
        <f>F_GAMMA*X$29</f>
        <v>0.6307062319203669</v>
      </c>
      <c r="Y2969" s="133"/>
      <c r="Z2969" s="155"/>
      <c r="AA2969" s="138">
        <f>F_GAMMA*AA$29</f>
        <v>0.62217534213893466</v>
      </c>
      <c r="AB2969" s="133"/>
      <c r="AC2969" s="155"/>
      <c r="AD2969" s="138">
        <f>F_GAMMA*AD$29</f>
        <v>0.60557184969146072</v>
      </c>
      <c r="AE2969" s="133"/>
      <c r="AF2969" s="155"/>
      <c r="AG2969" s="138">
        <f>F_GAMMA*AG$29</f>
        <v>0.57289312142622573</v>
      </c>
      <c r="AH2969" s="133"/>
      <c r="AI2969" s="155"/>
      <c r="AJ2969" s="138">
        <f>F_GAMMA*AJ$29</f>
        <v>0.53590819116049981</v>
      </c>
      <c r="AK2969" s="133"/>
      <c r="AL2969" s="155"/>
      <c r="AM2969" s="138">
        <f>F_GAMMA*AM$29</f>
        <v>0.49048815926850342</v>
      </c>
      <c r="AN2969" s="133"/>
      <c r="AO2969" s="155"/>
      <c r="AP2969" s="138">
        <f>F_GAMMA*AP$29</f>
        <v>0.59352979016280105</v>
      </c>
      <c r="AQ2969" s="133"/>
      <c r="AR2969" s="155"/>
      <c r="AS2969" s="138">
        <f>F_GAMMA*AS$29</f>
        <v>0.39097221161068291</v>
      </c>
      <c r="AT2969" s="133"/>
      <c r="AU2969" s="155"/>
    </row>
    <row r="2970" spans="13:47" x14ac:dyDescent="0.25">
      <c r="M2970" s="27"/>
      <c r="N2970" s="27"/>
      <c r="O2970" s="2" t="s">
        <v>193</v>
      </c>
      <c r="P2970" s="134"/>
      <c r="Q2970" s="2"/>
      <c r="R2970" s="181">
        <f>IF(R2965&lt;R2969,R2967,R2968)</f>
        <v>3.1127072140688541</v>
      </c>
      <c r="S2970" s="133"/>
      <c r="T2970" s="155"/>
      <c r="U2970" s="138">
        <f>IF(U2965&lt;U2969,U2967,U2968)</f>
        <v>17.174651287556397</v>
      </c>
      <c r="V2970" s="133"/>
      <c r="W2970" s="155"/>
      <c r="X2970" s="138">
        <f>IF(X2965&lt;X2969,X2967,X2968)</f>
        <v>72.145998755354043</v>
      </c>
      <c r="Y2970" s="133"/>
      <c r="Z2970" s="155"/>
      <c r="AA2970" s="138">
        <f>IF(AA2965&lt;AA2969,AA2967,AA2968)</f>
        <v>285.81735863559027</v>
      </c>
      <c r="AB2970" s="133"/>
      <c r="AC2970" s="155"/>
      <c r="AD2970" s="138">
        <f>IF(AD2965&lt;AD2969,AD2967,AD2968)</f>
        <v>53.705417794138135</v>
      </c>
      <c r="AE2970" s="133"/>
      <c r="AF2970" s="155"/>
      <c r="AG2970" s="138">
        <f>IF(AG2965&lt;AG2969,AG2967,AG2968)</f>
        <v>33.471952367505217</v>
      </c>
      <c r="AH2970" s="133"/>
      <c r="AI2970" s="155"/>
      <c r="AJ2970" s="138">
        <f>IF(AJ2965&lt;AJ2969,AJ2967,AJ2968)</f>
        <v>26.44995386041726</v>
      </c>
      <c r="AK2970" s="133"/>
      <c r="AL2970" s="155"/>
      <c r="AM2970" s="138">
        <f>IF(AM2965&lt;AM2969,AM2967,AM2968)</f>
        <v>24.356177632481856</v>
      </c>
      <c r="AN2970" s="133"/>
      <c r="AO2970" s="155"/>
      <c r="AP2970" s="138">
        <f>IF(AP2965&lt;AP2969,AP2967,AP2968)</f>
        <v>22.231309667594875</v>
      </c>
      <c r="AQ2970" s="133"/>
      <c r="AR2970" s="155"/>
      <c r="AS2970" s="138">
        <f>IF(AS2965&lt;AS2969,AS2967,AS2968)</f>
        <v>31.905141097998087</v>
      </c>
      <c r="AT2970" s="133"/>
      <c r="AU2970" s="155"/>
    </row>
    <row r="2971" spans="13:47" ht="13" x14ac:dyDescent="0.3">
      <c r="M2971" s="28"/>
      <c r="N2971" s="28"/>
      <c r="O2971" s="9" t="s">
        <v>194</v>
      </c>
      <c r="P2971" s="1"/>
      <c r="Q2971" s="1"/>
      <c r="R2971" s="135"/>
      <c r="S2971" s="132">
        <f>IF(R2964&lt;=0,W_max,ABS(R$23-R2970))</f>
        <v>1.1127072140688541</v>
      </c>
      <c r="T2971" s="151">
        <f>R2959</f>
        <v>718.1933589141853</v>
      </c>
      <c r="U2971" s="135"/>
      <c r="V2971" s="132">
        <f>IF(U2964&lt;=0,W_max,ABS(U$23-U2970))</f>
        <v>12.174651287556397</v>
      </c>
      <c r="W2971" s="151">
        <f>U2959</f>
        <v>3717.1041235519142</v>
      </c>
      <c r="X2971" s="135"/>
      <c r="Y2971" s="132">
        <f>IF(X2964&lt;=0,W_max,ABS(X$23-X2970))</f>
        <v>62.145998755354043</v>
      </c>
      <c r="Z2971" s="151">
        <f>X2959</f>
        <v>9192.8408381198205</v>
      </c>
      <c r="AA2971" s="135"/>
      <c r="AB2971" s="132">
        <f>IF(AA2964&lt;=0,W_max,ABS(AA$23-AA2970))</f>
        <v>7174</v>
      </c>
      <c r="AC2971" s="151">
        <f>AA2959</f>
        <v>17905.307522197862</v>
      </c>
      <c r="AD2971" s="135"/>
      <c r="AE2971" s="132">
        <f>IF(AD2964&lt;=0,W_max,ABS(AD$23-AD2970))</f>
        <v>7174</v>
      </c>
      <c r="AF2971" s="151">
        <f>AD2959</f>
        <v>29447.638530907243</v>
      </c>
      <c r="AG2971" s="135"/>
      <c r="AH2971" s="132">
        <f>IF(AG2964&lt;=0,W_max,ABS(AG$23-AG2970))</f>
        <v>7174</v>
      </c>
      <c r="AI2971" s="151">
        <f>AG2959</f>
        <v>41302.580100490864</v>
      </c>
      <c r="AJ2971" s="135"/>
      <c r="AK2971" s="132">
        <f>IF(AJ2964&lt;=0,W_max,ABS(AJ$23-AJ2970))</f>
        <v>7174</v>
      </c>
      <c r="AL2971" s="151">
        <f>AJ2959</f>
        <v>52443.317027358033</v>
      </c>
      <c r="AM2971" s="135"/>
      <c r="AN2971" s="132">
        <f>IF(AM2964&lt;=0,W_max,ABS(AM$23-AM2970))</f>
        <v>7174</v>
      </c>
      <c r="AO2971" s="151">
        <f>AM2959</f>
        <v>61493.9136152434</v>
      </c>
      <c r="AP2971" s="135"/>
      <c r="AQ2971" s="132">
        <f>IF(AP2964&lt;=0,W_max,ABS(AP$23-AP2970))</f>
        <v>7174</v>
      </c>
      <c r="AR2971" s="151">
        <f>AP2959</f>
        <v>68606.812933098394</v>
      </c>
      <c r="AS2971" s="135"/>
      <c r="AT2971" s="132">
        <f>IF(AS2964&lt;=0,W_max,ABS(AS$23-AS2970))</f>
        <v>7174</v>
      </c>
      <c r="AU2971" s="151">
        <f>AS2959</f>
        <v>76542.449555046536</v>
      </c>
    </row>
    <row r="2972" spans="13:47" ht="13" x14ac:dyDescent="0.25">
      <c r="M2972" s="12"/>
      <c r="N2972" s="12"/>
      <c r="O2972" s="2"/>
      <c r="P2972" s="85"/>
      <c r="Q2972" s="2"/>
      <c r="R2972" s="18"/>
      <c r="S2972" s="150"/>
      <c r="T2972" s="148"/>
      <c r="U2972" s="157"/>
      <c r="V2972" s="1"/>
      <c r="W2972" s="147"/>
      <c r="X2972" s="157"/>
      <c r="Y2972" s="1"/>
      <c r="Z2972" s="147"/>
      <c r="AA2972" s="157"/>
      <c r="AB2972" s="1"/>
      <c r="AC2972" s="147"/>
      <c r="AD2972" s="157"/>
      <c r="AE2972" s="1"/>
      <c r="AF2972" s="147"/>
      <c r="AG2972" s="157"/>
      <c r="AH2972" s="1"/>
      <c r="AI2972" s="147"/>
      <c r="AJ2972" s="157"/>
      <c r="AK2972" s="1"/>
      <c r="AL2972" s="147"/>
      <c r="AM2972" s="157"/>
      <c r="AN2972" s="1"/>
      <c r="AO2972" s="147"/>
      <c r="AP2972" s="157"/>
      <c r="AQ2972" s="1"/>
      <c r="AR2972" s="147"/>
      <c r="AS2972" s="157"/>
      <c r="AT2972" s="1"/>
      <c r="AU2972" s="147"/>
    </row>
    <row r="2973" spans="13:47" ht="14" x14ac:dyDescent="0.3">
      <c r="M2973" s="23"/>
      <c r="N2973" s="23"/>
      <c r="O2973" s="23" t="s">
        <v>238</v>
      </c>
      <c r="P2973" s="20"/>
      <c r="Q2973" s="20"/>
      <c r="R2973" s="181">
        <f>R2959*1.02</f>
        <v>732.55722609246902</v>
      </c>
      <c r="S2973" s="128" t="s">
        <v>185</v>
      </c>
      <c r="T2973" s="149" t="s">
        <v>186</v>
      </c>
      <c r="U2973" s="143">
        <f>U2959*1.01</f>
        <v>3754.2751647874334</v>
      </c>
      <c r="V2973" s="128" t="s">
        <v>185</v>
      </c>
      <c r="W2973" s="153" t="s">
        <v>186</v>
      </c>
      <c r="X2973" s="143">
        <f>X2959*1.01</f>
        <v>9284.7692465010186</v>
      </c>
      <c r="Y2973" s="128" t="s">
        <v>185</v>
      </c>
      <c r="Z2973" s="153" t="s">
        <v>186</v>
      </c>
      <c r="AA2973" s="143">
        <f>AA2959*1.01</f>
        <v>18084.36059741984</v>
      </c>
      <c r="AB2973" s="128" t="s">
        <v>185</v>
      </c>
      <c r="AC2973" s="153" t="s">
        <v>186</v>
      </c>
      <c r="AD2973" s="143">
        <f>AD2959*1.01</f>
        <v>29742.114916216316</v>
      </c>
      <c r="AE2973" s="128" t="s">
        <v>185</v>
      </c>
      <c r="AF2973" s="153" t="s">
        <v>186</v>
      </c>
      <c r="AG2973" s="143">
        <f>AG2959*1.01</f>
        <v>41715.605901495772</v>
      </c>
      <c r="AH2973" s="128" t="s">
        <v>185</v>
      </c>
      <c r="AI2973" s="153" t="s">
        <v>186</v>
      </c>
      <c r="AJ2973" s="143">
        <f>AJ2959*1.01</f>
        <v>52967.750197631613</v>
      </c>
      <c r="AK2973" s="128" t="s">
        <v>185</v>
      </c>
      <c r="AL2973" s="153" t="s">
        <v>186</v>
      </c>
      <c r="AM2973" s="143">
        <f>AM2959*1.01</f>
        <v>62108.852751395832</v>
      </c>
      <c r="AN2973" s="128" t="s">
        <v>185</v>
      </c>
      <c r="AO2973" s="153" t="s">
        <v>186</v>
      </c>
      <c r="AP2973" s="143">
        <f>AP2959*1.01</f>
        <v>69292.881062429384</v>
      </c>
      <c r="AQ2973" s="128" t="s">
        <v>185</v>
      </c>
      <c r="AR2973" s="153" t="s">
        <v>186</v>
      </c>
      <c r="AS2973" s="143">
        <f>AS2959*1.01</f>
        <v>77307.874050597005</v>
      </c>
      <c r="AT2973" s="128" t="s">
        <v>185</v>
      </c>
      <c r="AU2973" s="153" t="s">
        <v>186</v>
      </c>
    </row>
    <row r="2974" spans="13:47" ht="14" x14ac:dyDescent="0.3">
      <c r="M2974" s="12"/>
      <c r="N2974" s="12"/>
      <c r="O2974" s="20"/>
      <c r="P2974" s="20"/>
      <c r="Q2974" s="23"/>
      <c r="R2974" s="139"/>
      <c r="S2974" s="130" t="s">
        <v>228</v>
      </c>
      <c r="T2974" s="131" t="s">
        <v>187</v>
      </c>
      <c r="U2974" s="144"/>
      <c r="V2974" s="130" t="s">
        <v>228</v>
      </c>
      <c r="W2974" s="154" t="s">
        <v>187</v>
      </c>
      <c r="X2974" s="144"/>
      <c r="Y2974" s="130" t="s">
        <v>228</v>
      </c>
      <c r="Z2974" s="154" t="s">
        <v>187</v>
      </c>
      <c r="AA2974" s="144"/>
      <c r="AB2974" s="130" t="s">
        <v>228</v>
      </c>
      <c r="AC2974" s="154" t="s">
        <v>187</v>
      </c>
      <c r="AD2974" s="144"/>
      <c r="AE2974" s="130" t="s">
        <v>228</v>
      </c>
      <c r="AF2974" s="154" t="s">
        <v>187</v>
      </c>
      <c r="AG2974" s="144"/>
      <c r="AH2974" s="130" t="s">
        <v>228</v>
      </c>
      <c r="AI2974" s="154" t="s">
        <v>187</v>
      </c>
      <c r="AJ2974" s="144"/>
      <c r="AK2974" s="130" t="s">
        <v>228</v>
      </c>
      <c r="AL2974" s="154" t="s">
        <v>187</v>
      </c>
      <c r="AM2974" s="144"/>
      <c r="AN2974" s="130" t="s">
        <v>228</v>
      </c>
      <c r="AO2974" s="154" t="s">
        <v>187</v>
      </c>
      <c r="AP2974" s="144"/>
      <c r="AQ2974" s="130" t="s">
        <v>228</v>
      </c>
      <c r="AR2974" s="154" t="s">
        <v>187</v>
      </c>
      <c r="AS2974" s="144"/>
      <c r="AT2974" s="130" t="s">
        <v>228</v>
      </c>
      <c r="AU2974" s="154" t="s">
        <v>187</v>
      </c>
    </row>
    <row r="2975" spans="13:47" x14ac:dyDescent="0.25">
      <c r="M2975" s="20"/>
      <c r="N2975" s="20"/>
      <c r="O2975" s="7" t="s">
        <v>188</v>
      </c>
      <c r="P2975" s="7"/>
      <c r="Q2975" s="7"/>
      <c r="R2975" s="181">
        <f>P_1_minW-(R2973^2*R_up)+dpup_minQ</f>
        <v>100.30879514908607</v>
      </c>
      <c r="S2975" s="132"/>
      <c r="T2975" s="145"/>
      <c r="U2975" s="138">
        <f>P_1_minW-(U2973^2*R_up)+dpup_minQ</f>
        <v>94.90240532823185</v>
      </c>
      <c r="V2975" s="132"/>
      <c r="W2975" s="145"/>
      <c r="X2975" s="138">
        <f>P_1_minW-(X2973^2*R_up)+dpup_minQ</f>
        <v>66.146749036996695</v>
      </c>
      <c r="Y2975" s="132"/>
      <c r="Z2975" s="145"/>
      <c r="AA2975" s="138">
        <f>P_1_minW-(AA2973^2*R_up)+dpup_minQ</f>
        <v>-29.889918492287606</v>
      </c>
      <c r="AB2975" s="132"/>
      <c r="AC2975" s="145"/>
      <c r="AD2975" s="138">
        <f>P_1_minW-(AD2973^2*R_up)+dpup_minQ</f>
        <v>-252.21930189898447</v>
      </c>
      <c r="AE2975" s="132"/>
      <c r="AF2975" s="145"/>
      <c r="AG2975" s="138">
        <f>P_1_minW-(AG2973^2*R_up)+dpup_minQ</f>
        <v>-593.39928165404206</v>
      </c>
      <c r="AH2975" s="132"/>
      <c r="AI2975" s="145"/>
      <c r="AJ2975" s="138">
        <f>P_1_minW-(AJ2973^2*R_up)+dpup_minQ</f>
        <v>-1018.2364678022262</v>
      </c>
      <c r="AK2975" s="132"/>
      <c r="AL2975" s="145"/>
      <c r="AM2975" s="138">
        <f>P_1_minW-(AM2973^2*R_up)+dpup_minQ</f>
        <v>-1437.7048218120053</v>
      </c>
      <c r="AN2975" s="132"/>
      <c r="AO2975" s="145"/>
      <c r="AP2975" s="138">
        <f>P_1_minW-(AP2973^2*R_up)+dpup_minQ</f>
        <v>-1814.1335135306113</v>
      </c>
      <c r="AQ2975" s="132"/>
      <c r="AR2975" s="145"/>
      <c r="AS2975" s="138">
        <f>P_1_minW-(AS2973^2*R_up)+dpup_minQ</f>
        <v>-2282.68027617805</v>
      </c>
      <c r="AT2975" s="132"/>
      <c r="AU2975" s="145"/>
    </row>
    <row r="2976" spans="13:47" x14ac:dyDescent="0.25">
      <c r="M2976" s="20"/>
      <c r="N2976" s="20"/>
      <c r="O2976" s="7" t="s">
        <v>189</v>
      </c>
      <c r="P2976" s="1"/>
      <c r="Q2976" s="7"/>
      <c r="R2976" s="181">
        <f>P_2_minW+(R2973^2*R_dn)-dpdn_minQ</f>
        <v>50</v>
      </c>
      <c r="S2976" s="132"/>
      <c r="T2976" s="146"/>
      <c r="U2976" s="138">
        <f>P_2_minW+(U2973^2*R_dn)-dpdn_minQ</f>
        <v>50</v>
      </c>
      <c r="V2976" s="132"/>
      <c r="W2976" s="146"/>
      <c r="X2976" s="138">
        <f>P_2_minW+(X2973^2*R_dn)-dpdn_minQ</f>
        <v>50</v>
      </c>
      <c r="Y2976" s="132"/>
      <c r="Z2976" s="146"/>
      <c r="AA2976" s="138">
        <f>P_2_minW+(AA2973^2*R_dn)-dpdn_minQ</f>
        <v>50</v>
      </c>
      <c r="AB2976" s="132"/>
      <c r="AC2976" s="146"/>
      <c r="AD2976" s="138">
        <f>P_2_minW+(AD2973^2*R_dn)-dpdn_minQ</f>
        <v>50</v>
      </c>
      <c r="AE2976" s="132"/>
      <c r="AF2976" s="146"/>
      <c r="AG2976" s="138">
        <f>P_2_minW+(AG2973^2*R_dn)-dpdn_minQ</f>
        <v>50</v>
      </c>
      <c r="AH2976" s="132"/>
      <c r="AI2976" s="146"/>
      <c r="AJ2976" s="138">
        <f>P_2_minW+(AJ2973^2*R_dn)-dpdn_minQ</f>
        <v>50</v>
      </c>
      <c r="AK2976" s="132"/>
      <c r="AL2976" s="146"/>
      <c r="AM2976" s="138">
        <f>P_2_minW+(AM2973^2*R_dn)-dpdn_minQ</f>
        <v>50</v>
      </c>
      <c r="AN2976" s="132"/>
      <c r="AO2976" s="146"/>
      <c r="AP2976" s="138">
        <f>P_2_minW+(AP2973^2*R_dn)-dpdn_minQ</f>
        <v>50</v>
      </c>
      <c r="AQ2976" s="132"/>
      <c r="AR2976" s="146"/>
      <c r="AS2976" s="138">
        <f>P_2_minW+(AS2973^2*R_dn)-dpdn_minQ</f>
        <v>50</v>
      </c>
      <c r="AT2976" s="132"/>
      <c r="AU2976" s="146"/>
    </row>
    <row r="2977" spans="13:47" x14ac:dyDescent="0.25">
      <c r="M2977" s="20"/>
      <c r="N2977" s="20"/>
      <c r="O2977" s="7" t="s">
        <v>234</v>
      </c>
      <c r="P2977" s="1"/>
      <c r="Q2977" s="7"/>
      <c r="R2977" s="179">
        <f>'Valve Sizing'!G$8*R2975/P_1_maxW</f>
        <v>0.48387176891896633</v>
      </c>
      <c r="S2977" s="132"/>
      <c r="T2977" s="146"/>
      <c r="U2977" s="143">
        <f>'Valve Sizing'!$G$8*U2975/P_1_maxW</f>
        <v>0.45779230697154549</v>
      </c>
      <c r="V2977" s="132"/>
      <c r="W2977" s="146"/>
      <c r="X2977" s="143">
        <f>'Valve Sizing'!$G$8*X2975/P_1_maxW</f>
        <v>0.31908014065167589</v>
      </c>
      <c r="Y2977" s="132"/>
      <c r="Z2977" s="146"/>
      <c r="AA2977" s="143">
        <f>'Valve Sizing'!$G$8*AA2975/P_1_maxW</f>
        <v>-0.14418364523480873</v>
      </c>
      <c r="AB2977" s="132"/>
      <c r="AC2977" s="146"/>
      <c r="AD2977" s="143">
        <f>'Valve Sizing'!$G$8*AD2975/P_1_maxW</f>
        <v>-1.216661007481759</v>
      </c>
      <c r="AE2977" s="132"/>
      <c r="AF2977" s="146"/>
      <c r="AG2977" s="143">
        <f>'Valve Sizing'!$G$8*AG2975/P_1_maxW</f>
        <v>-2.8624524864687437</v>
      </c>
      <c r="AH2977" s="132"/>
      <c r="AI2977" s="146"/>
      <c r="AJ2977" s="143">
        <f>'Valve Sizing'!$G$8*AJ2975/P_1_maxW</f>
        <v>-4.9117914348485963</v>
      </c>
      <c r="AK2977" s="132"/>
      <c r="AL2977" s="146"/>
      <c r="AM2977" s="143">
        <f>'Valve Sizing'!$G$8*AM2975/P_1_maxW</f>
        <v>-6.9352320928544291</v>
      </c>
      <c r="AN2977" s="132"/>
      <c r="AO2977" s="146"/>
      <c r="AP2977" s="143">
        <f>'Valve Sizing'!$G$8*AP2975/P_1_maxW</f>
        <v>-8.7510570827072129</v>
      </c>
      <c r="AQ2977" s="132"/>
      <c r="AR2977" s="146"/>
      <c r="AS2977" s="143">
        <f>'Valve Sizing'!$G$8*AS2975/P_1_maxW</f>
        <v>-11.011243246109027</v>
      </c>
      <c r="AT2977" s="132"/>
      <c r="AU2977" s="146"/>
    </row>
    <row r="2978" spans="13:47" x14ac:dyDescent="0.25">
      <c r="M2978" s="20"/>
      <c r="N2978" s="20"/>
      <c r="O2978" s="7" t="s">
        <v>190</v>
      </c>
      <c r="P2978" s="1"/>
      <c r="Q2978" s="7"/>
      <c r="R2978" s="181">
        <f>R2975-R2976</f>
        <v>50.308795149086066</v>
      </c>
      <c r="S2978" s="132"/>
      <c r="T2978" s="146"/>
      <c r="U2978" s="138">
        <f>U2975-U2976</f>
        <v>44.90240532823185</v>
      </c>
      <c r="V2978" s="132"/>
      <c r="W2978" s="146"/>
      <c r="X2978" s="138">
        <f>X2975-X2976</f>
        <v>16.146749036996695</v>
      </c>
      <c r="Y2978" s="132"/>
      <c r="Z2978" s="146"/>
      <c r="AA2978" s="138">
        <f>AA2975-AA2976</f>
        <v>-79.889918492287606</v>
      </c>
      <c r="AB2978" s="132"/>
      <c r="AC2978" s="146"/>
      <c r="AD2978" s="138">
        <f>AD2975-AD2976</f>
        <v>-302.21930189898444</v>
      </c>
      <c r="AE2978" s="132"/>
      <c r="AF2978" s="146"/>
      <c r="AG2978" s="138">
        <f>AG2975-AG2976</f>
        <v>-643.39928165404206</v>
      </c>
      <c r="AH2978" s="132"/>
      <c r="AI2978" s="146"/>
      <c r="AJ2978" s="138">
        <f>AJ2975-AJ2976</f>
        <v>-1068.2364678022263</v>
      </c>
      <c r="AK2978" s="132"/>
      <c r="AL2978" s="146"/>
      <c r="AM2978" s="138">
        <f>AM2975-AM2976</f>
        <v>-1487.7048218120053</v>
      </c>
      <c r="AN2978" s="132"/>
      <c r="AO2978" s="146"/>
      <c r="AP2978" s="138">
        <f>AP2975-AP2976</f>
        <v>-1864.1335135306113</v>
      </c>
      <c r="AQ2978" s="132"/>
      <c r="AR2978" s="146"/>
      <c r="AS2978" s="138">
        <f>AS2975-AS2976</f>
        <v>-2332.68027617805</v>
      </c>
      <c r="AT2978" s="132"/>
      <c r="AU2978" s="146"/>
    </row>
    <row r="2979" spans="13:47" ht="14.5" x14ac:dyDescent="0.35">
      <c r="M2979" s="27"/>
      <c r="N2979" s="27"/>
      <c r="O2979" s="2" t="s">
        <v>191</v>
      </c>
      <c r="P2979" s="10"/>
      <c r="Q2979" s="2"/>
      <c r="R2979" s="181">
        <f>R2978/R2975</f>
        <v>0.50153922270039786</v>
      </c>
      <c r="S2979" s="132"/>
      <c r="T2979" s="146"/>
      <c r="U2979" s="138">
        <f>U2978/U2975</f>
        <v>0.47314296379455567</v>
      </c>
      <c r="V2979" s="132"/>
      <c r="W2979" s="146"/>
      <c r="X2979" s="138">
        <f>X2978/X2975</f>
        <v>0.24410495257999179</v>
      </c>
      <c r="Y2979" s="132"/>
      <c r="Z2979" s="146"/>
      <c r="AA2979" s="138">
        <f>AA2978/AA2975</f>
        <v>2.6728048292571067</v>
      </c>
      <c r="AB2979" s="132"/>
      <c r="AC2979" s="146"/>
      <c r="AD2979" s="138">
        <f>AD2978/AD2975</f>
        <v>1.1982401807615235</v>
      </c>
      <c r="AE2979" s="132"/>
      <c r="AF2979" s="146"/>
      <c r="AG2979" s="138">
        <f>AG2978/AG2975</f>
        <v>1.08426029748575</v>
      </c>
      <c r="AH2979" s="132"/>
      <c r="AI2979" s="146"/>
      <c r="AJ2979" s="138">
        <f>AJ2978/AJ2975</f>
        <v>1.0491045072348673</v>
      </c>
      <c r="AK2979" s="132"/>
      <c r="AL2979" s="146"/>
      <c r="AM2979" s="138">
        <f>AM2978/AM2975</f>
        <v>1.0347776534107904</v>
      </c>
      <c r="AN2979" s="132"/>
      <c r="AO2979" s="146"/>
      <c r="AP2979" s="138">
        <f>AP2978/AP2975</f>
        <v>1.027561367246169</v>
      </c>
      <c r="AQ2979" s="132"/>
      <c r="AR2979" s="146"/>
      <c r="AS2979" s="138">
        <f>AS2978/AS2975</f>
        <v>1.0219040750129564</v>
      </c>
      <c r="AT2979" s="132"/>
      <c r="AU2979" s="146"/>
    </row>
    <row r="2980" spans="13:47" x14ac:dyDescent="0.25">
      <c r="M2980" s="27"/>
      <c r="N2980" s="27"/>
      <c r="O2980" s="2" t="s">
        <v>26</v>
      </c>
      <c r="P2980" s="7">
        <v>12</v>
      </c>
      <c r="Q2980" s="2"/>
      <c r="R2980" s="181">
        <f>1-R2979/(3*F_GAMMA*R$29)</f>
        <v>0.73879262561515224</v>
      </c>
      <c r="S2980" s="133"/>
      <c r="T2980" s="146"/>
      <c r="U2980" s="138">
        <f>1-U2979/(3*F_GAMMA*U$29)</f>
        <v>0.75363597781803182</v>
      </c>
      <c r="V2980" s="133"/>
      <c r="W2980" s="146"/>
      <c r="X2980" s="138">
        <f>1-X2979/(3*F_GAMMA*X$29)</f>
        <v>0.87098856264839075</v>
      </c>
      <c r="Y2980" s="133"/>
      <c r="Z2980" s="146"/>
      <c r="AA2980" s="138">
        <f>1-AA2979/(3*F_GAMMA*AA$29)</f>
        <v>-0.43196761868256806</v>
      </c>
      <c r="AB2980" s="133"/>
      <c r="AC2980" s="146"/>
      <c r="AD2980" s="138">
        <f>1-AD2979/(3*F_GAMMA*AD$29)</f>
        <v>0.34043599650367518</v>
      </c>
      <c r="AE2980" s="133"/>
      <c r="AF2980" s="146"/>
      <c r="AG2980" s="138">
        <f>1-AG2979/(3*F_GAMMA*AG$29)</f>
        <v>0.3691317182127164</v>
      </c>
      <c r="AH2980" s="133"/>
      <c r="AI2980" s="146"/>
      <c r="AJ2980" s="138">
        <f>1-AJ2979/(3*F_GAMMA*AJ$29)</f>
        <v>0.34746005345738429</v>
      </c>
      <c r="AK2980" s="133"/>
      <c r="AL2980" s="146"/>
      <c r="AM2980" s="138">
        <f>1-AM2979/(3*F_GAMMA*AM$29)</f>
        <v>0.29677021156907513</v>
      </c>
      <c r="AN2980" s="133"/>
      <c r="AO2980" s="146"/>
      <c r="AP2980" s="138">
        <f>1-AP2979/(3*F_GAMMA*AP$29)</f>
        <v>0.42290941175038232</v>
      </c>
      <c r="AQ2980" s="133"/>
      <c r="AR2980" s="146"/>
      <c r="AS2980" s="138">
        <f>1-AS2979/(3*F_GAMMA*AS$29)</f>
        <v>0.12874961044500488</v>
      </c>
      <c r="AT2980" s="133"/>
      <c r="AU2980" s="146"/>
    </row>
    <row r="2981" spans="13:47" x14ac:dyDescent="0.25">
      <c r="M2981" s="27"/>
      <c r="N2981" s="27"/>
      <c r="O2981" s="2" t="s">
        <v>71</v>
      </c>
      <c r="P2981" s="85">
        <v>5</v>
      </c>
      <c r="Q2981" s="2"/>
      <c r="R2981" s="179">
        <f>R2973/((N_6*R$27*R2980)*SQRT(R2979*R2975*R2977))</f>
        <v>3.175262644079671</v>
      </c>
      <c r="S2981" s="133"/>
      <c r="T2981" s="146"/>
      <c r="U2981" s="143">
        <f>U2973/((N_6*U$27*U2980)*SQRT(U2979*U2975*U2977))</f>
        <v>17.370532902018446</v>
      </c>
      <c r="V2981" s="133"/>
      <c r="W2981" s="146"/>
      <c r="X2981" s="143">
        <f>X2973/((N_6*X$27*X2980)*SQRT(X2979*X2975*X2977))</f>
        <v>74.412408901418701</v>
      </c>
      <c r="Y2981" s="133"/>
      <c r="Z2981" s="146"/>
      <c r="AA2981" s="143">
        <f>AA2973/((N_6*AA$27*AA2980)*SQRT(AA2979*AA2975*AA2977))</f>
        <v>-196.57020684741371</v>
      </c>
      <c r="AB2981" s="133"/>
      <c r="AC2981" s="146"/>
      <c r="AD2981" s="143">
        <f>AD2973/((N_6*AD$27*AD2980)*SQRT(AD2979*AD2975*AD2977))</f>
        <v>73.469126667659893</v>
      </c>
      <c r="AE2981" s="133"/>
      <c r="AF2981" s="146"/>
      <c r="AG2981" s="143">
        <f>AG2973/((N_6*AG$27*AG2980)*SQRT(AG2979*AG2975*AG2977))</f>
        <v>43.380333156109323</v>
      </c>
      <c r="AH2981" s="133"/>
      <c r="AI2981" s="146"/>
      <c r="AJ2981" s="143">
        <f>AJ2973/((N_6*AJ$27*AJ2980)*SQRT(AJ2979*AJ2975*AJ2977))</f>
        <v>35.858959365089518</v>
      </c>
      <c r="AK2981" s="133"/>
      <c r="AL2981" s="146"/>
      <c r="AM2981" s="143">
        <f>AM2973/((N_6*AM$27*AM2980)*SQRT(AM2979*AM2975*AM2977))</f>
        <v>37.26260868794369</v>
      </c>
      <c r="AN2981" s="133"/>
      <c r="AO2981" s="146"/>
      <c r="AP2981" s="143">
        <f>AP2973/((N_6*AP$27*AP2980)*SQRT(AP2979*AP2975*AP2977))</f>
        <v>26.354547611901889</v>
      </c>
      <c r="AQ2981" s="133"/>
      <c r="AR2981" s="146"/>
      <c r="AS2981" s="143">
        <f>AS2973/((N_6*AS$27*AS2980)*SQRT(AS2979*AS2975*AS2977))</f>
        <v>101.1352381067521</v>
      </c>
      <c r="AT2981" s="133"/>
      <c r="AU2981" s="146"/>
    </row>
    <row r="2982" spans="13:47" x14ac:dyDescent="0.25">
      <c r="M2982" s="27"/>
      <c r="N2982" s="27"/>
      <c r="O2982" s="2" t="s">
        <v>73</v>
      </c>
      <c r="P2982" s="85">
        <v>5</v>
      </c>
      <c r="Q2982" s="2"/>
      <c r="R2982" s="179">
        <f>R2973/((N_6*R$27*0.667)*SQRT(R2983*R2975*R2977))</f>
        <v>3.1133626871789337</v>
      </c>
      <c r="S2982" s="133"/>
      <c r="T2982" s="147"/>
      <c r="U2982" s="143">
        <f>U2973/((N_6*U$27*0.667)*SQRT(U2983*U2975*U2977))</f>
        <v>16.873229033862952</v>
      </c>
      <c r="V2982" s="133"/>
      <c r="W2982" s="155"/>
      <c r="X2982" s="143">
        <f>X2973/((N_6*X$27*0.667)*SQRT(X2983*X2975*X2977))</f>
        <v>60.451449162381429</v>
      </c>
      <c r="Y2982" s="133"/>
      <c r="Z2982" s="155"/>
      <c r="AA2982" s="143">
        <f>AA2973/((N_6*AA$27*0.667)*SQRT(AA2983*AA2975*AA2977))</f>
        <v>263.85800778867684</v>
      </c>
      <c r="AB2982" s="133"/>
      <c r="AC2982" s="155"/>
      <c r="AD2982" s="143">
        <f>AD2973/((N_6*AD$27*0.667)*SQRT(AD2983*AD2975*AD2977))</f>
        <v>52.74771101402618</v>
      </c>
      <c r="AE2982" s="133"/>
      <c r="AF2982" s="155"/>
      <c r="AG2982" s="143">
        <f>AG2973/((N_6*AG$27*0.667)*SQRT(AG2983*AG2975*AG2977))</f>
        <v>33.027704260102027</v>
      </c>
      <c r="AH2982" s="133"/>
      <c r="AI2982" s="155"/>
      <c r="AJ2982" s="143">
        <f>AJ2973/((N_6*AJ$27*0.667)*SQRT(AJ2983*AJ2975*AJ2977))</f>
        <v>26.136107585476477</v>
      </c>
      <c r="AK2982" s="133"/>
      <c r="AL2982" s="155"/>
      <c r="AM2982" s="143">
        <f>AM2973/((N_6*AM$27*0.667)*SQRT(AM2983*AM2975*AM2977))</f>
        <v>24.081136809676575</v>
      </c>
      <c r="AN2982" s="133"/>
      <c r="AO2982" s="155"/>
      <c r="AP2982" s="143">
        <f>AP2973/((N_6*AP$27*0.667)*SQRT(AP2983*AP2975*AP2977))</f>
        <v>21.986682515268413</v>
      </c>
      <c r="AQ2982" s="133"/>
      <c r="AR2982" s="155"/>
      <c r="AS2982" s="143">
        <f>AS2973/((N_6*AS$27*0.667)*SQRT(AS2983*AS2975*AS2977))</f>
        <v>31.561287477495323</v>
      </c>
      <c r="AT2982" s="133"/>
      <c r="AU2982" s="155"/>
    </row>
    <row r="2983" spans="13:47" ht="15.5" x14ac:dyDescent="0.4">
      <c r="M2983" s="27"/>
      <c r="N2983" s="27"/>
      <c r="O2983" s="2" t="s">
        <v>192</v>
      </c>
      <c r="P2983" s="85">
        <v>10</v>
      </c>
      <c r="Q2983" s="2"/>
      <c r="R2983" s="181">
        <f>F_GAMMA*R$29</f>
        <v>0.64002688015162901</v>
      </c>
      <c r="S2983" s="133"/>
      <c r="T2983" s="147"/>
      <c r="U2983" s="138">
        <f>F_GAMMA*U$29</f>
        <v>0.64016782916606918</v>
      </c>
      <c r="V2983" s="133"/>
      <c r="W2983" s="155"/>
      <c r="X2983" s="138">
        <f>F_GAMMA*X$29</f>
        <v>0.6307062319203669</v>
      </c>
      <c r="Y2983" s="133"/>
      <c r="Z2983" s="155"/>
      <c r="AA2983" s="138">
        <f>F_GAMMA*AA$29</f>
        <v>0.62217534213893466</v>
      </c>
      <c r="AB2983" s="133"/>
      <c r="AC2983" s="155"/>
      <c r="AD2983" s="138">
        <f>F_GAMMA*AD$29</f>
        <v>0.60557184969146072</v>
      </c>
      <c r="AE2983" s="133"/>
      <c r="AF2983" s="155"/>
      <c r="AG2983" s="138">
        <f>F_GAMMA*AG$29</f>
        <v>0.57289312142622573</v>
      </c>
      <c r="AH2983" s="133"/>
      <c r="AI2983" s="155"/>
      <c r="AJ2983" s="138">
        <f>F_GAMMA*AJ$29</f>
        <v>0.53590819116049981</v>
      </c>
      <c r="AK2983" s="133"/>
      <c r="AL2983" s="155"/>
      <c r="AM2983" s="138">
        <f>F_GAMMA*AM$29</f>
        <v>0.49048815926850342</v>
      </c>
      <c r="AN2983" s="133"/>
      <c r="AO2983" s="155"/>
      <c r="AP2983" s="138">
        <f>F_GAMMA*AP$29</f>
        <v>0.59352979016280105</v>
      </c>
      <c r="AQ2983" s="133"/>
      <c r="AR2983" s="155"/>
      <c r="AS2983" s="138">
        <f>F_GAMMA*AS$29</f>
        <v>0.39097221161068291</v>
      </c>
      <c r="AT2983" s="133"/>
      <c r="AU2983" s="155"/>
    </row>
    <row r="2984" spans="13:47" x14ac:dyDescent="0.25">
      <c r="M2984" s="27"/>
      <c r="N2984" s="27"/>
      <c r="O2984" s="2" t="s">
        <v>193</v>
      </c>
      <c r="P2984" s="134"/>
      <c r="Q2984" s="2"/>
      <c r="R2984" s="181">
        <f>IF(R2979&lt;R2983,R2981,R2982)</f>
        <v>3.175262644079671</v>
      </c>
      <c r="S2984" s="133"/>
      <c r="T2984" s="147"/>
      <c r="U2984" s="138">
        <f>IF(U2979&lt;U2983,U2981,U2982)</f>
        <v>17.370532902018446</v>
      </c>
      <c r="V2984" s="133"/>
      <c r="W2984" s="155"/>
      <c r="X2984" s="138">
        <f>IF(X2979&lt;X2983,X2981,X2982)</f>
        <v>74.412408901418701</v>
      </c>
      <c r="Y2984" s="133"/>
      <c r="Z2984" s="155"/>
      <c r="AA2984" s="138">
        <f>IF(AA2979&lt;AA2983,AA2981,AA2982)</f>
        <v>263.85800778867684</v>
      </c>
      <c r="AB2984" s="133"/>
      <c r="AC2984" s="155"/>
      <c r="AD2984" s="138">
        <f>IF(AD2979&lt;AD2983,AD2981,AD2982)</f>
        <v>52.74771101402618</v>
      </c>
      <c r="AE2984" s="133"/>
      <c r="AF2984" s="155"/>
      <c r="AG2984" s="138">
        <f>IF(AG2979&lt;AG2983,AG2981,AG2982)</f>
        <v>33.027704260102027</v>
      </c>
      <c r="AH2984" s="133"/>
      <c r="AI2984" s="155"/>
      <c r="AJ2984" s="138">
        <f>IF(AJ2979&lt;AJ2983,AJ2981,AJ2982)</f>
        <v>26.136107585476477</v>
      </c>
      <c r="AK2984" s="133"/>
      <c r="AL2984" s="155"/>
      <c r="AM2984" s="138">
        <f>IF(AM2979&lt;AM2983,AM2981,AM2982)</f>
        <v>24.081136809676575</v>
      </c>
      <c r="AN2984" s="133"/>
      <c r="AO2984" s="155"/>
      <c r="AP2984" s="138">
        <f>IF(AP2979&lt;AP2983,AP2981,AP2982)</f>
        <v>21.986682515268413</v>
      </c>
      <c r="AQ2984" s="133"/>
      <c r="AR2984" s="155"/>
      <c r="AS2984" s="138">
        <f>IF(AS2979&lt;AS2983,AS2981,AS2982)</f>
        <v>31.561287477495323</v>
      </c>
      <c r="AT2984" s="133"/>
      <c r="AU2984" s="155"/>
    </row>
    <row r="2985" spans="13:47" ht="13" x14ac:dyDescent="0.3">
      <c r="M2985" s="28"/>
      <c r="N2985" s="28"/>
      <c r="O2985" s="9" t="s">
        <v>194</v>
      </c>
      <c r="P2985" s="1"/>
      <c r="Q2985" s="1"/>
      <c r="R2985" s="135"/>
      <c r="S2985" s="132">
        <f>IF(R2978&lt;=0,W_max,ABS(R$23-R2984))</f>
        <v>1.175262644079671</v>
      </c>
      <c r="T2985" s="151">
        <f>R2973</f>
        <v>732.55722609246902</v>
      </c>
      <c r="U2985" s="135"/>
      <c r="V2985" s="132">
        <f>IF(U2978&lt;=0,W_max,ABS(U$23-U2984))</f>
        <v>12.370532902018446</v>
      </c>
      <c r="W2985" s="151">
        <f>U2973</f>
        <v>3754.2751647874334</v>
      </c>
      <c r="X2985" s="135"/>
      <c r="Y2985" s="132">
        <f>IF(X2978&lt;=0,W_max,ABS(X$23-X2984))</f>
        <v>64.412408901418701</v>
      </c>
      <c r="Z2985" s="151">
        <f>X2973</f>
        <v>9284.7692465010186</v>
      </c>
      <c r="AA2985" s="135"/>
      <c r="AB2985" s="132">
        <f>IF(AA2978&lt;=0,W_max,ABS(AA$23-AA2984))</f>
        <v>7174</v>
      </c>
      <c r="AC2985" s="151">
        <f>AA2973</f>
        <v>18084.36059741984</v>
      </c>
      <c r="AD2985" s="135"/>
      <c r="AE2985" s="132">
        <f>IF(AD2978&lt;=0,W_max,ABS(AD$23-AD2984))</f>
        <v>7174</v>
      </c>
      <c r="AF2985" s="151">
        <f>AD2973</f>
        <v>29742.114916216316</v>
      </c>
      <c r="AG2985" s="135"/>
      <c r="AH2985" s="132">
        <f>IF(AG2978&lt;=0,W_max,ABS(AG$23-AG2984))</f>
        <v>7174</v>
      </c>
      <c r="AI2985" s="151">
        <f>AG2973</f>
        <v>41715.605901495772</v>
      </c>
      <c r="AJ2985" s="135"/>
      <c r="AK2985" s="132">
        <f>IF(AJ2978&lt;=0,W_max,ABS(AJ$23-AJ2984))</f>
        <v>7174</v>
      </c>
      <c r="AL2985" s="151">
        <f>AJ2973</f>
        <v>52967.750197631613</v>
      </c>
      <c r="AM2985" s="135"/>
      <c r="AN2985" s="132">
        <f>IF(AM2978&lt;=0,W_max,ABS(AM$23-AM2984))</f>
        <v>7174</v>
      </c>
      <c r="AO2985" s="151">
        <f>AM2973</f>
        <v>62108.852751395832</v>
      </c>
      <c r="AP2985" s="135"/>
      <c r="AQ2985" s="132">
        <f>IF(AP2978&lt;=0,W_max,ABS(AP$23-AP2984))</f>
        <v>7174</v>
      </c>
      <c r="AR2985" s="151">
        <f>AP2973</f>
        <v>69292.881062429384</v>
      </c>
      <c r="AS2985" s="135"/>
      <c r="AT2985" s="132">
        <f>IF(AS2978&lt;=0,W_max,ABS(AS$23-AS2984))</f>
        <v>7174</v>
      </c>
      <c r="AU2985" s="151">
        <f>AS2973</f>
        <v>77307.874050597005</v>
      </c>
    </row>
    <row r="2986" spans="13:47" ht="13" x14ac:dyDescent="0.25">
      <c r="M2986" s="12"/>
      <c r="N2986" s="12"/>
      <c r="O2986" s="12"/>
      <c r="P2986" s="12"/>
      <c r="Q2986" s="12"/>
      <c r="R2986" s="182"/>
      <c r="S2986" s="22"/>
      <c r="T2986" s="152"/>
      <c r="U2986" s="157"/>
      <c r="V2986" s="1"/>
      <c r="W2986" s="147"/>
      <c r="X2986" s="157"/>
      <c r="Y2986" s="1"/>
      <c r="Z2986" s="147"/>
      <c r="AA2986" s="157"/>
      <c r="AB2986" s="1"/>
      <c r="AC2986" s="147"/>
      <c r="AD2986" s="157"/>
      <c r="AE2986" s="1"/>
      <c r="AF2986" s="147"/>
      <c r="AG2986" s="157"/>
      <c r="AH2986" s="1"/>
      <c r="AI2986" s="147"/>
      <c r="AJ2986" s="157"/>
      <c r="AK2986" s="1"/>
      <c r="AL2986" s="147"/>
      <c r="AM2986" s="157"/>
      <c r="AN2986" s="1"/>
      <c r="AO2986" s="147"/>
      <c r="AP2986" s="157"/>
      <c r="AQ2986" s="1"/>
      <c r="AR2986" s="147"/>
      <c r="AS2986" s="157"/>
      <c r="AT2986" s="1"/>
      <c r="AU2986" s="147"/>
    </row>
    <row r="2987" spans="13:47" ht="14" x14ac:dyDescent="0.3">
      <c r="M2987" s="23"/>
      <c r="N2987" s="23"/>
      <c r="O2987" s="23" t="s">
        <v>238</v>
      </c>
      <c r="P2987" s="20"/>
      <c r="Q2987" s="20"/>
      <c r="R2987" s="18">
        <f>R2973*1.02</f>
        <v>747.20837061431837</v>
      </c>
      <c r="S2987" s="128" t="s">
        <v>185</v>
      </c>
      <c r="T2987" s="153" t="s">
        <v>186</v>
      </c>
      <c r="U2987" s="143">
        <f>U2973*1.01</f>
        <v>3791.8179164353078</v>
      </c>
      <c r="V2987" s="128" t="s">
        <v>185</v>
      </c>
      <c r="W2987" s="153" t="s">
        <v>186</v>
      </c>
      <c r="X2987" s="143">
        <f>X2973*1.01</f>
        <v>9377.6169389660281</v>
      </c>
      <c r="Y2987" s="128" t="s">
        <v>185</v>
      </c>
      <c r="Z2987" s="153" t="s">
        <v>186</v>
      </c>
      <c r="AA2987" s="143">
        <f>AA2973*1.01</f>
        <v>18265.204203394038</v>
      </c>
      <c r="AB2987" s="128" t="s">
        <v>185</v>
      </c>
      <c r="AC2987" s="153" t="s">
        <v>186</v>
      </c>
      <c r="AD2987" s="143">
        <f>AD2973*1.01</f>
        <v>30039.536065378481</v>
      </c>
      <c r="AE2987" s="128" t="s">
        <v>185</v>
      </c>
      <c r="AF2987" s="153" t="s">
        <v>186</v>
      </c>
      <c r="AG2987" s="143">
        <f>AG2973*1.01</f>
        <v>42132.761960510732</v>
      </c>
      <c r="AH2987" s="128" t="s">
        <v>185</v>
      </c>
      <c r="AI2987" s="153" t="s">
        <v>186</v>
      </c>
      <c r="AJ2987" s="143">
        <f>AJ2973*1.01</f>
        <v>53497.427699607928</v>
      </c>
      <c r="AK2987" s="128" t="s">
        <v>185</v>
      </c>
      <c r="AL2987" s="153" t="s">
        <v>186</v>
      </c>
      <c r="AM2987" s="143">
        <f>AM2973*1.01</f>
        <v>62729.941278909791</v>
      </c>
      <c r="AN2987" s="128" t="s">
        <v>185</v>
      </c>
      <c r="AO2987" s="153" t="s">
        <v>186</v>
      </c>
      <c r="AP2987" s="143">
        <f>AP2973*1.01</f>
        <v>69985.809873053673</v>
      </c>
      <c r="AQ2987" s="128" t="s">
        <v>185</v>
      </c>
      <c r="AR2987" s="153" t="s">
        <v>186</v>
      </c>
      <c r="AS2987" s="143">
        <f>AS2973*1.01</f>
        <v>78080.952791102973</v>
      </c>
      <c r="AT2987" s="128" t="s">
        <v>185</v>
      </c>
      <c r="AU2987" s="153" t="s">
        <v>186</v>
      </c>
    </row>
    <row r="2988" spans="13:47" ht="14" x14ac:dyDescent="0.3">
      <c r="M2988" s="12"/>
      <c r="N2988" s="12"/>
      <c r="O2988" s="20"/>
      <c r="P2988" s="20"/>
      <c r="Q2988" s="23"/>
      <c r="R2988" s="139"/>
      <c r="S2988" s="130" t="s">
        <v>228</v>
      </c>
      <c r="T2988" s="154" t="s">
        <v>187</v>
      </c>
      <c r="U2988" s="144"/>
      <c r="V2988" s="130" t="s">
        <v>228</v>
      </c>
      <c r="W2988" s="154" t="s">
        <v>187</v>
      </c>
      <c r="X2988" s="144"/>
      <c r="Y2988" s="130" t="s">
        <v>228</v>
      </c>
      <c r="Z2988" s="154" t="s">
        <v>187</v>
      </c>
      <c r="AA2988" s="144"/>
      <c r="AB2988" s="130" t="s">
        <v>228</v>
      </c>
      <c r="AC2988" s="154" t="s">
        <v>187</v>
      </c>
      <c r="AD2988" s="144"/>
      <c r="AE2988" s="130" t="s">
        <v>228</v>
      </c>
      <c r="AF2988" s="154" t="s">
        <v>187</v>
      </c>
      <c r="AG2988" s="144"/>
      <c r="AH2988" s="130" t="s">
        <v>228</v>
      </c>
      <c r="AI2988" s="154" t="s">
        <v>187</v>
      </c>
      <c r="AJ2988" s="144"/>
      <c r="AK2988" s="130" t="s">
        <v>228</v>
      </c>
      <c r="AL2988" s="154" t="s">
        <v>187</v>
      </c>
      <c r="AM2988" s="144"/>
      <c r="AN2988" s="130" t="s">
        <v>228</v>
      </c>
      <c r="AO2988" s="154" t="s">
        <v>187</v>
      </c>
      <c r="AP2988" s="144"/>
      <c r="AQ2988" s="130" t="s">
        <v>228</v>
      </c>
      <c r="AR2988" s="154" t="s">
        <v>187</v>
      </c>
      <c r="AS2988" s="144"/>
      <c r="AT2988" s="130" t="s">
        <v>228</v>
      </c>
      <c r="AU2988" s="154" t="s">
        <v>187</v>
      </c>
    </row>
    <row r="2989" spans="13:47" x14ac:dyDescent="0.25">
      <c r="M2989" s="20"/>
      <c r="N2989" s="20"/>
      <c r="O2989" s="7" t="s">
        <v>188</v>
      </c>
      <c r="P2989" s="7"/>
      <c r="Q2989" s="7"/>
      <c r="R2989" s="181">
        <f>P_1_minW-(R2987^2*R_up)+dpup_minQ</f>
        <v>100.30014988894538</v>
      </c>
      <c r="S2989" s="132"/>
      <c r="T2989" s="145"/>
      <c r="U2989" s="138">
        <f>P_1_minW-(U2987^2*R_up)+dpup_minQ</f>
        <v>94.789435661921104</v>
      </c>
      <c r="V2989" s="132"/>
      <c r="W2989" s="145"/>
      <c r="X2989" s="138">
        <f>P_1_minW-(X2987^2*R_up)+dpup_minQ</f>
        <v>65.455790679232138</v>
      </c>
      <c r="Y2989" s="132"/>
      <c r="Z2989" s="145"/>
      <c r="AA2989" s="138">
        <f>P_1_minW-(AA2987^2*R_up)+dpup_minQ</f>
        <v>-32.511213867390765</v>
      </c>
      <c r="AB2989" s="132"/>
      <c r="AC2989" s="145"/>
      <c r="AD2989" s="138">
        <f>P_1_minW-(AD2987^2*R_up)+dpup_minQ</f>
        <v>-259.30941788056231</v>
      </c>
      <c r="AE2989" s="132"/>
      <c r="AF2989" s="145"/>
      <c r="AG2989" s="138">
        <f>P_1_minW-(AG2987^2*R_up)+dpup_minQ</f>
        <v>-607.34711522869668</v>
      </c>
      <c r="AH2989" s="132"/>
      <c r="AI2989" s="145"/>
      <c r="AJ2989" s="138">
        <f>P_1_minW-(AJ2987^2*R_up)+dpup_minQ</f>
        <v>-1040.7235288184593</v>
      </c>
      <c r="AK2989" s="132"/>
      <c r="AL2989" s="145"/>
      <c r="AM2989" s="138">
        <f>P_1_minW-(AM2987^2*R_up)+dpup_minQ</f>
        <v>-1468.6231967438348</v>
      </c>
      <c r="AN2989" s="132"/>
      <c r="AO2989" s="145"/>
      <c r="AP2989" s="138">
        <f>P_1_minW-(AP2987^2*R_up)+dpup_minQ</f>
        <v>-1852.6181051659846</v>
      </c>
      <c r="AQ2989" s="132"/>
      <c r="AR2989" s="145"/>
      <c r="AS2989" s="138">
        <f>P_1_minW-(AS2987^2*R_up)+dpup_minQ</f>
        <v>-2330.5826577426365</v>
      </c>
      <c r="AT2989" s="132"/>
      <c r="AU2989" s="145"/>
    </row>
    <row r="2990" spans="13:47" x14ac:dyDescent="0.25">
      <c r="M2990" s="20"/>
      <c r="N2990" s="20"/>
      <c r="O2990" s="7" t="s">
        <v>189</v>
      </c>
      <c r="P2990" s="1"/>
      <c r="Q2990" s="7"/>
      <c r="R2990" s="181">
        <f>P_2_minW+(R2987^2*R_dn)-dpdn_minQ</f>
        <v>50</v>
      </c>
      <c r="S2990" s="132"/>
      <c r="T2990" s="146"/>
      <c r="U2990" s="138">
        <f>P_2_minW+(U2987^2*R_dn)-dpdn_minQ</f>
        <v>50</v>
      </c>
      <c r="V2990" s="132"/>
      <c r="W2990" s="146"/>
      <c r="X2990" s="138">
        <f>P_2_minW+(X2987^2*R_dn)-dpdn_minQ</f>
        <v>50</v>
      </c>
      <c r="Y2990" s="132"/>
      <c r="Z2990" s="146"/>
      <c r="AA2990" s="138">
        <f>P_2_minW+(AA2987^2*R_dn)-dpdn_minQ</f>
        <v>50</v>
      </c>
      <c r="AB2990" s="132"/>
      <c r="AC2990" s="146"/>
      <c r="AD2990" s="138">
        <f>P_2_minW+(AD2987^2*R_dn)-dpdn_minQ</f>
        <v>50</v>
      </c>
      <c r="AE2990" s="132"/>
      <c r="AF2990" s="146"/>
      <c r="AG2990" s="138">
        <f>P_2_minW+(AG2987^2*R_dn)-dpdn_minQ</f>
        <v>50</v>
      </c>
      <c r="AH2990" s="132"/>
      <c r="AI2990" s="146"/>
      <c r="AJ2990" s="138">
        <f>P_2_minW+(AJ2987^2*R_dn)-dpdn_minQ</f>
        <v>50</v>
      </c>
      <c r="AK2990" s="132"/>
      <c r="AL2990" s="146"/>
      <c r="AM2990" s="138">
        <f>P_2_minW+(AM2987^2*R_dn)-dpdn_minQ</f>
        <v>50</v>
      </c>
      <c r="AN2990" s="132"/>
      <c r="AO2990" s="146"/>
      <c r="AP2990" s="138">
        <f>P_2_minW+(AP2987^2*R_dn)-dpdn_minQ</f>
        <v>50</v>
      </c>
      <c r="AQ2990" s="132"/>
      <c r="AR2990" s="146"/>
      <c r="AS2990" s="138">
        <f>P_2_minW+(AS2987^2*R_dn)-dpdn_minQ</f>
        <v>50</v>
      </c>
      <c r="AT2990" s="132"/>
      <c r="AU2990" s="146"/>
    </row>
    <row r="2991" spans="13:47" x14ac:dyDescent="0.25">
      <c r="M2991" s="20"/>
      <c r="N2991" s="20"/>
      <c r="O2991" s="7" t="s">
        <v>234</v>
      </c>
      <c r="P2991" s="1"/>
      <c r="Q2991" s="7"/>
      <c r="R2991" s="179">
        <f>'Valve Sizing'!G$8*R2989/P_1_maxW</f>
        <v>0.48383006572324144</v>
      </c>
      <c r="S2991" s="132"/>
      <c r="T2991" s="146"/>
      <c r="U2991" s="143">
        <f>'Valve Sizing'!$G$8*U2989/P_1_maxW</f>
        <v>0.45724736141427186</v>
      </c>
      <c r="V2991" s="132"/>
      <c r="W2991" s="146"/>
      <c r="X2991" s="143">
        <f>'Valve Sizing'!$G$8*X2989/P_1_maxW</f>
        <v>0.31574708055137296</v>
      </c>
      <c r="Y2991" s="132"/>
      <c r="Z2991" s="146"/>
      <c r="AA2991" s="143">
        <f>'Valve Sizing'!$G$8*AA2989/P_1_maxW</f>
        <v>-0.15682830743142995</v>
      </c>
      <c r="AB2991" s="132"/>
      <c r="AC2991" s="146"/>
      <c r="AD2991" s="143">
        <f>'Valve Sizing'!$G$8*AD2989/P_1_maxW</f>
        <v>-1.2508624646595443</v>
      </c>
      <c r="AE2991" s="132"/>
      <c r="AF2991" s="146"/>
      <c r="AG2991" s="143">
        <f>'Valve Sizing'!$G$8*AG2989/P_1_maxW</f>
        <v>-2.9297343523741679</v>
      </c>
      <c r="AH2991" s="132"/>
      <c r="AI2991" s="146"/>
      <c r="AJ2991" s="143">
        <f>'Valve Sizing'!$G$8*AJ2989/P_1_maxW</f>
        <v>-5.0202650136164548</v>
      </c>
      <c r="AK2991" s="132"/>
      <c r="AL2991" s="146"/>
      <c r="AM2991" s="143">
        <f>'Valve Sizing'!$G$8*AM2989/P_1_maxW</f>
        <v>-7.084376828848205</v>
      </c>
      <c r="AN2991" s="132"/>
      <c r="AO2991" s="146"/>
      <c r="AP2991" s="143">
        <f>'Valve Sizing'!$G$8*AP2989/P_1_maxW</f>
        <v>-8.9366999009970289</v>
      </c>
      <c r="AQ2991" s="132"/>
      <c r="AR2991" s="146"/>
      <c r="AS2991" s="143">
        <f>'Valve Sizing'!$G$8*AS2989/P_1_maxW</f>
        <v>-11.242315806283216</v>
      </c>
      <c r="AT2991" s="132"/>
      <c r="AU2991" s="146"/>
    </row>
    <row r="2992" spans="13:47" x14ac:dyDescent="0.25">
      <c r="M2992" s="20"/>
      <c r="N2992" s="20"/>
      <c r="O2992" s="7" t="s">
        <v>190</v>
      </c>
      <c r="P2992" s="1"/>
      <c r="Q2992" s="7"/>
      <c r="R2992" s="181">
        <f>R2989-R2990</f>
        <v>50.300149888945384</v>
      </c>
      <c r="S2992" s="132"/>
      <c r="T2992" s="146"/>
      <c r="U2992" s="138">
        <f>U2989-U2990</f>
        <v>44.789435661921104</v>
      </c>
      <c r="V2992" s="132"/>
      <c r="W2992" s="146"/>
      <c r="X2992" s="138">
        <f>X2989-X2990</f>
        <v>15.455790679232138</v>
      </c>
      <c r="Y2992" s="132"/>
      <c r="Z2992" s="146"/>
      <c r="AA2992" s="138">
        <f>AA2989-AA2990</f>
        <v>-82.511213867390765</v>
      </c>
      <c r="AB2992" s="132"/>
      <c r="AC2992" s="146"/>
      <c r="AD2992" s="138">
        <f>AD2989-AD2990</f>
        <v>-309.30941788056231</v>
      </c>
      <c r="AE2992" s="132"/>
      <c r="AF2992" s="146"/>
      <c r="AG2992" s="138">
        <f>AG2989-AG2990</f>
        <v>-657.34711522869668</v>
      </c>
      <c r="AH2992" s="132"/>
      <c r="AI2992" s="146"/>
      <c r="AJ2992" s="138">
        <f>AJ2989-AJ2990</f>
        <v>-1090.7235288184593</v>
      </c>
      <c r="AK2992" s="132"/>
      <c r="AL2992" s="146"/>
      <c r="AM2992" s="138">
        <f>AM2989-AM2990</f>
        <v>-1518.6231967438348</v>
      </c>
      <c r="AN2992" s="132"/>
      <c r="AO2992" s="146"/>
      <c r="AP2992" s="138">
        <f>AP2989-AP2990</f>
        <v>-1902.6181051659846</v>
      </c>
      <c r="AQ2992" s="132"/>
      <c r="AR2992" s="146"/>
      <c r="AS2992" s="138">
        <f>AS2989-AS2990</f>
        <v>-2380.5826577426365</v>
      </c>
      <c r="AT2992" s="132"/>
      <c r="AU2992" s="146"/>
    </row>
    <row r="2993" spans="13:47" ht="14.5" x14ac:dyDescent="0.35">
      <c r="M2993" s="27"/>
      <c r="N2993" s="27"/>
      <c r="O2993" s="2" t="s">
        <v>191</v>
      </c>
      <c r="P2993" s="10"/>
      <c r="Q2993" s="2"/>
      <c r="R2993" s="181">
        <f>R2992/R2989</f>
        <v>0.50149625842672074</v>
      </c>
      <c r="S2993" s="132"/>
      <c r="T2993" s="146"/>
      <c r="U2993" s="138">
        <f>U2992/U2989</f>
        <v>0.47251505770820784</v>
      </c>
      <c r="V2993" s="132"/>
      <c r="W2993" s="146"/>
      <c r="X2993" s="138">
        <f>X2992/X2989</f>
        <v>0.23612564326009985</v>
      </c>
      <c r="Y2993" s="132"/>
      <c r="Z2993" s="146"/>
      <c r="AA2993" s="138">
        <f>AA2992/AA2989</f>
        <v>2.537930887599086</v>
      </c>
      <c r="AB2993" s="132"/>
      <c r="AC2993" s="146"/>
      <c r="AD2993" s="138">
        <f>AD2992/AD2989</f>
        <v>1.1928198382020585</v>
      </c>
      <c r="AE2993" s="132"/>
      <c r="AF2993" s="146"/>
      <c r="AG2993" s="138">
        <f>AG2992/AG2989</f>
        <v>1.0823252448991587</v>
      </c>
      <c r="AH2993" s="132"/>
      <c r="AI2993" s="146"/>
      <c r="AJ2993" s="138">
        <f>AJ2992/AJ2989</f>
        <v>1.0480434991767364</v>
      </c>
      <c r="AK2993" s="132"/>
      <c r="AL2993" s="146"/>
      <c r="AM2993" s="138">
        <f>AM2992/AM2989</f>
        <v>1.0340454924795262</v>
      </c>
      <c r="AN2993" s="132"/>
      <c r="AO2993" s="146"/>
      <c r="AP2993" s="138">
        <f>AP2992/AP2989</f>
        <v>1.0269888326474712</v>
      </c>
      <c r="AQ2993" s="132"/>
      <c r="AR2993" s="146"/>
      <c r="AS2993" s="138">
        <f>AS2992/AS2989</f>
        <v>1.0214538625497322</v>
      </c>
      <c r="AT2993" s="132"/>
      <c r="AU2993" s="146"/>
    </row>
    <row r="2994" spans="13:47" x14ac:dyDescent="0.25">
      <c r="M2994" s="27"/>
      <c r="N2994" s="27"/>
      <c r="O2994" s="2" t="s">
        <v>26</v>
      </c>
      <c r="P2994" s="7">
        <v>12</v>
      </c>
      <c r="Q2994" s="2"/>
      <c r="R2994" s="181">
        <f>1-R2993/(3*F_GAMMA*R$29)</f>
        <v>0.73881500190121652</v>
      </c>
      <c r="S2994" s="133"/>
      <c r="T2994" s="146"/>
      <c r="U2994" s="138">
        <f>1-U2993/(3*F_GAMMA*U$29)</f>
        <v>0.75396292650124708</v>
      </c>
      <c r="V2994" s="133"/>
      <c r="W2994" s="146"/>
      <c r="X2994" s="138">
        <f>1-X2993/(3*F_GAMMA*X$29)</f>
        <v>0.87520569201652609</v>
      </c>
      <c r="Y2994" s="133"/>
      <c r="Z2994" s="146"/>
      <c r="AA2994" s="138">
        <f>1-AA2993/(3*F_GAMMA*AA$29)</f>
        <v>-0.35970827713085107</v>
      </c>
      <c r="AB2994" s="133"/>
      <c r="AC2994" s="146"/>
      <c r="AD2994" s="138">
        <f>1-AD2993/(3*F_GAMMA*AD$29)</f>
        <v>0.34341959102524278</v>
      </c>
      <c r="AE2994" s="133"/>
      <c r="AF2994" s="146"/>
      <c r="AG2994" s="138">
        <f>1-AG2993/(3*F_GAMMA*AG$29)</f>
        <v>0.3702576132614438</v>
      </c>
      <c r="AH2994" s="133"/>
      <c r="AI2994" s="146"/>
      <c r="AJ2994" s="138">
        <f>1-AJ2993/(3*F_GAMMA*AJ$29)</f>
        <v>0.34811999737789867</v>
      </c>
      <c r="AK2994" s="133"/>
      <c r="AL2994" s="146"/>
      <c r="AM2994" s="138">
        <f>1-AM2993/(3*F_GAMMA*AM$29)</f>
        <v>0.29726778452602221</v>
      </c>
      <c r="AN2994" s="133"/>
      <c r="AO2994" s="146"/>
      <c r="AP2994" s="138">
        <f>1-AP2993/(3*F_GAMMA*AP$29)</f>
        <v>0.42323095393646237</v>
      </c>
      <c r="AQ2994" s="133"/>
      <c r="AR2994" s="146"/>
      <c r="AS2994" s="138">
        <f>1-AS2993/(3*F_GAMMA*AS$29)</f>
        <v>0.12913345056616465</v>
      </c>
      <c r="AT2994" s="133"/>
      <c r="AU2994" s="146"/>
    </row>
    <row r="2995" spans="13:47" x14ac:dyDescent="0.25">
      <c r="M2995" s="27"/>
      <c r="N2995" s="27"/>
      <c r="O2995" s="2" t="s">
        <v>71</v>
      </c>
      <c r="P2995" s="85">
        <v>5</v>
      </c>
      <c r="Q2995" s="2"/>
      <c r="R2995" s="179">
        <f>R2987/((N_6*R$27*R2994)*SQRT(R2993*R2989*R2991))</f>
        <v>3.2390876997670492</v>
      </c>
      <c r="S2995" s="133"/>
      <c r="T2995" s="146"/>
      <c r="U2995" s="143">
        <f>U2987/((N_6*U$27*U2994)*SQRT(U2993*U2989*U2991))</f>
        <v>17.569192299993478</v>
      </c>
      <c r="V2995" s="133"/>
      <c r="W2995" s="146"/>
      <c r="X2995" s="143">
        <f>X2987/((N_6*X$27*X2994)*SQRT(X2993*X2989*X2991))</f>
        <v>76.850413004030855</v>
      </c>
      <c r="Y2995" s="133"/>
      <c r="Z2995" s="146"/>
      <c r="AA2995" s="143">
        <f>AA2987/((N_6*AA$27*AA2994)*SQRT(AA2993*AA2989*AA2991))</f>
        <v>-224.94435716218979</v>
      </c>
      <c r="AB2995" s="133"/>
      <c r="AC2995" s="146"/>
      <c r="AD2995" s="143">
        <f>AD2987/((N_6*AD$27*AD2994)*SQRT(AD2993*AD2989*AD2991))</f>
        <v>71.710244100361621</v>
      </c>
      <c r="AE2995" s="133"/>
      <c r="AF2995" s="146"/>
      <c r="AG2995" s="143">
        <f>AG2987/((N_6*AG$27*AG2994)*SQRT(AG2993*AG2989*AG2991))</f>
        <v>42.715898955752721</v>
      </c>
      <c r="AH2995" s="133"/>
      <c r="AI2995" s="146"/>
      <c r="AJ2995" s="143">
        <f>AJ2987/((N_6*AJ$27*AJ2994)*SQRT(AJ2993*AJ2989*AJ2991))</f>
        <v>35.385713950859824</v>
      </c>
      <c r="AK2995" s="133"/>
      <c r="AL2995" s="146"/>
      <c r="AM2995" s="143">
        <f>AM2987/((N_6*AM$27*AM2994)*SQRT(AM2993*AM2989*AM2991))</f>
        <v>36.794265086667032</v>
      </c>
      <c r="AN2995" s="133"/>
      <c r="AO2995" s="146"/>
      <c r="AP2995" s="143">
        <f>AP2987/((N_6*AP$27*AP2994)*SQRT(AP2993*AP2989*AP2991))</f>
        <v>26.052609648263562</v>
      </c>
      <c r="AQ2995" s="133"/>
      <c r="AR2995" s="146"/>
      <c r="AS2995" s="143">
        <f>AS2987/((N_6*AS$27*AS2994)*SQRT(AS2993*AS2989*AS2991))</f>
        <v>99.771684925936682</v>
      </c>
      <c r="AT2995" s="133"/>
      <c r="AU2995" s="146"/>
    </row>
    <row r="2996" spans="13:47" x14ac:dyDescent="0.25">
      <c r="M2996" s="27"/>
      <c r="N2996" s="27"/>
      <c r="O2996" s="2" t="s">
        <v>73</v>
      </c>
      <c r="P2996" s="85">
        <v>5</v>
      </c>
      <c r="Q2996" s="2"/>
      <c r="R2996" s="179">
        <f>R2987/((N_6*R$27*0.667)*SQRT(R2997*R2989*R2991))</f>
        <v>3.1759036608220361</v>
      </c>
      <c r="S2996" s="133"/>
      <c r="T2996" s="155"/>
      <c r="U2996" s="143">
        <f>U2987/((N_6*U$27*0.667)*SQRT(U2997*U2989*U2991))</f>
        <v>17.06227186482915</v>
      </c>
      <c r="V2996" s="133"/>
      <c r="W2996" s="155"/>
      <c r="X2996" s="143">
        <f>X2987/((N_6*X$27*0.667)*SQRT(X2997*X2989*X2991))</f>
        <v>61.700476965055799</v>
      </c>
      <c r="Y2996" s="133"/>
      <c r="Z2996" s="155"/>
      <c r="AA2996" s="143">
        <f>AA2987/((N_6*AA$27*0.667)*SQRT(AA2997*AA2989*AA2991))</f>
        <v>245.00965489307444</v>
      </c>
      <c r="AB2996" s="133"/>
      <c r="AC2996" s="155"/>
      <c r="AD2996" s="143">
        <f>AD2987/((N_6*AD$27*0.667)*SQRT(AD2997*AD2989*AD2991))</f>
        <v>51.818521930443012</v>
      </c>
      <c r="AE2996" s="133"/>
      <c r="AF2996" s="155"/>
      <c r="AG2996" s="143">
        <f>AG2987/((N_6*AG$27*0.667)*SQRT(AG2997*AG2989*AG2991))</f>
        <v>32.591909381177011</v>
      </c>
      <c r="AH2996" s="133"/>
      <c r="AI2996" s="155"/>
      <c r="AJ2996" s="143">
        <f>AJ2987/((N_6*AJ$27*0.667)*SQRT(AJ2997*AJ2989*AJ2991))</f>
        <v>25.82709480888709</v>
      </c>
      <c r="AK2996" s="133"/>
      <c r="AL2996" s="155"/>
      <c r="AM2996" s="143">
        <f>AM2987/((N_6*AM$27*0.667)*SQRT(AM2997*AM2989*AM2991))</f>
        <v>23.80990729860147</v>
      </c>
      <c r="AN2996" s="133"/>
      <c r="AO2996" s="155"/>
      <c r="AP2996" s="143">
        <f>AP2987/((N_6*AP$27*0.667)*SQRT(AP2997*AP2989*AP2991))</f>
        <v>21.74525082422188</v>
      </c>
      <c r="AQ2996" s="133"/>
      <c r="AR2996" s="155"/>
      <c r="AS2996" s="143">
        <f>AS2987/((N_6*AS$27*0.667)*SQRT(AS2997*AS2989*AS2991))</f>
        <v>31.221708210211787</v>
      </c>
      <c r="AT2996" s="133"/>
      <c r="AU2996" s="155"/>
    </row>
    <row r="2997" spans="13:47" ht="15.5" x14ac:dyDescent="0.4">
      <c r="M2997" s="27"/>
      <c r="N2997" s="27"/>
      <c r="O2997" s="2" t="s">
        <v>192</v>
      </c>
      <c r="P2997" s="85">
        <v>10</v>
      </c>
      <c r="Q2997" s="2"/>
      <c r="R2997" s="181">
        <f>F_GAMMA*R$29</f>
        <v>0.64002688015162901</v>
      </c>
      <c r="S2997" s="133"/>
      <c r="T2997" s="155"/>
      <c r="U2997" s="138">
        <f>F_GAMMA*U$29</f>
        <v>0.64016782916606918</v>
      </c>
      <c r="V2997" s="133"/>
      <c r="W2997" s="155"/>
      <c r="X2997" s="138">
        <f>F_GAMMA*X$29</f>
        <v>0.6307062319203669</v>
      </c>
      <c r="Y2997" s="133"/>
      <c r="Z2997" s="155"/>
      <c r="AA2997" s="138">
        <f>F_GAMMA*AA$29</f>
        <v>0.62217534213893466</v>
      </c>
      <c r="AB2997" s="133"/>
      <c r="AC2997" s="155"/>
      <c r="AD2997" s="138">
        <f>F_GAMMA*AD$29</f>
        <v>0.60557184969146072</v>
      </c>
      <c r="AE2997" s="133"/>
      <c r="AF2997" s="155"/>
      <c r="AG2997" s="138">
        <f>F_GAMMA*AG$29</f>
        <v>0.57289312142622573</v>
      </c>
      <c r="AH2997" s="133"/>
      <c r="AI2997" s="155"/>
      <c r="AJ2997" s="138">
        <f>F_GAMMA*AJ$29</f>
        <v>0.53590819116049981</v>
      </c>
      <c r="AK2997" s="133"/>
      <c r="AL2997" s="155"/>
      <c r="AM2997" s="138">
        <f>F_GAMMA*AM$29</f>
        <v>0.49048815926850342</v>
      </c>
      <c r="AN2997" s="133"/>
      <c r="AO2997" s="155"/>
      <c r="AP2997" s="138">
        <f>F_GAMMA*AP$29</f>
        <v>0.59352979016280105</v>
      </c>
      <c r="AQ2997" s="133"/>
      <c r="AR2997" s="155"/>
      <c r="AS2997" s="138">
        <f>F_GAMMA*AS$29</f>
        <v>0.39097221161068291</v>
      </c>
      <c r="AT2997" s="133"/>
      <c r="AU2997" s="155"/>
    </row>
    <row r="2998" spans="13:47" x14ac:dyDescent="0.25">
      <c r="M2998" s="27"/>
      <c r="N2998" s="27"/>
      <c r="O2998" s="2" t="s">
        <v>193</v>
      </c>
      <c r="P2998" s="134"/>
      <c r="Q2998" s="2"/>
      <c r="R2998" s="181">
        <f>IF(R2993&lt;R2997,R2995,R2996)</f>
        <v>3.2390876997670492</v>
      </c>
      <c r="S2998" s="133"/>
      <c r="T2998" s="155"/>
      <c r="U2998" s="138">
        <f>IF(U2993&lt;U2997,U2995,U2996)</f>
        <v>17.569192299993478</v>
      </c>
      <c r="V2998" s="133"/>
      <c r="W2998" s="155"/>
      <c r="X2998" s="138">
        <f>IF(X2993&lt;X2997,X2995,X2996)</f>
        <v>76.850413004030855</v>
      </c>
      <c r="Y2998" s="133"/>
      <c r="Z2998" s="155"/>
      <c r="AA2998" s="138">
        <f>IF(AA2993&lt;AA2997,AA2995,AA2996)</f>
        <v>245.00965489307444</v>
      </c>
      <c r="AB2998" s="133"/>
      <c r="AC2998" s="155"/>
      <c r="AD2998" s="138">
        <f>IF(AD2993&lt;AD2997,AD2995,AD2996)</f>
        <v>51.818521930443012</v>
      </c>
      <c r="AE2998" s="133"/>
      <c r="AF2998" s="155"/>
      <c r="AG2998" s="138">
        <f>IF(AG2993&lt;AG2997,AG2995,AG2996)</f>
        <v>32.591909381177011</v>
      </c>
      <c r="AH2998" s="133"/>
      <c r="AI2998" s="155"/>
      <c r="AJ2998" s="138">
        <f>IF(AJ2993&lt;AJ2997,AJ2995,AJ2996)</f>
        <v>25.82709480888709</v>
      </c>
      <c r="AK2998" s="133"/>
      <c r="AL2998" s="155"/>
      <c r="AM2998" s="138">
        <f>IF(AM2993&lt;AM2997,AM2995,AM2996)</f>
        <v>23.80990729860147</v>
      </c>
      <c r="AN2998" s="133"/>
      <c r="AO2998" s="155"/>
      <c r="AP2998" s="138">
        <f>IF(AP2993&lt;AP2997,AP2995,AP2996)</f>
        <v>21.74525082422188</v>
      </c>
      <c r="AQ2998" s="133"/>
      <c r="AR2998" s="155"/>
      <c r="AS2998" s="138">
        <f>IF(AS2993&lt;AS2997,AS2995,AS2996)</f>
        <v>31.221708210211787</v>
      </c>
      <c r="AT2998" s="133"/>
      <c r="AU2998" s="155"/>
    </row>
    <row r="2999" spans="13:47" ht="13" x14ac:dyDescent="0.3">
      <c r="M2999" s="28"/>
      <c r="N2999" s="28"/>
      <c r="O2999" s="9" t="s">
        <v>194</v>
      </c>
      <c r="P2999" s="1"/>
      <c r="Q2999" s="1"/>
      <c r="R2999" s="135"/>
      <c r="S2999" s="132">
        <f>IF(R2992&lt;=0,W_max,ABS(R$23-R2998))</f>
        <v>1.2390876997670492</v>
      </c>
      <c r="T2999" s="151">
        <f>R2987</f>
        <v>747.20837061431837</v>
      </c>
      <c r="U2999" s="135"/>
      <c r="V2999" s="132">
        <f>IF(U2992&lt;=0,W_max,ABS(U$23-U2998))</f>
        <v>12.569192299993478</v>
      </c>
      <c r="W2999" s="151">
        <f>U2987</f>
        <v>3791.8179164353078</v>
      </c>
      <c r="X2999" s="135"/>
      <c r="Y2999" s="132">
        <f>IF(X2992&lt;=0,W_max,ABS(X$23-X2998))</f>
        <v>66.850413004030855</v>
      </c>
      <c r="Z2999" s="151">
        <f>X2987</f>
        <v>9377.6169389660281</v>
      </c>
      <c r="AA2999" s="135"/>
      <c r="AB2999" s="132">
        <f>IF(AA2992&lt;=0,W_max,ABS(AA$23-AA2998))</f>
        <v>7174</v>
      </c>
      <c r="AC2999" s="151">
        <f>AA2987</f>
        <v>18265.204203394038</v>
      </c>
      <c r="AD2999" s="135"/>
      <c r="AE2999" s="132">
        <f>IF(AD2992&lt;=0,W_max,ABS(AD$23-AD2998))</f>
        <v>7174</v>
      </c>
      <c r="AF2999" s="151">
        <f>AD2987</f>
        <v>30039.536065378481</v>
      </c>
      <c r="AG2999" s="135"/>
      <c r="AH2999" s="132">
        <f>IF(AG2992&lt;=0,W_max,ABS(AG$23-AG2998))</f>
        <v>7174</v>
      </c>
      <c r="AI2999" s="151">
        <f>AG2987</f>
        <v>42132.761960510732</v>
      </c>
      <c r="AJ2999" s="135"/>
      <c r="AK2999" s="132">
        <f>IF(AJ2992&lt;=0,W_max,ABS(AJ$23-AJ2998))</f>
        <v>7174</v>
      </c>
      <c r="AL2999" s="151">
        <f>AJ2987</f>
        <v>53497.427699607928</v>
      </c>
      <c r="AM2999" s="135"/>
      <c r="AN2999" s="132">
        <f>IF(AM2992&lt;=0,W_max,ABS(AM$23-AM2998))</f>
        <v>7174</v>
      </c>
      <c r="AO2999" s="151">
        <f>AM2987</f>
        <v>62729.941278909791</v>
      </c>
      <c r="AP2999" s="135"/>
      <c r="AQ2999" s="132">
        <f>IF(AP2992&lt;=0,W_max,ABS(AP$23-AP2998))</f>
        <v>7174</v>
      </c>
      <c r="AR2999" s="151">
        <f>AP2987</f>
        <v>69985.809873053673</v>
      </c>
      <c r="AS2999" s="135"/>
      <c r="AT2999" s="132">
        <f>IF(AS2992&lt;=0,W_max,ABS(AS$23-AS2998))</f>
        <v>7174</v>
      </c>
      <c r="AU2999" s="151">
        <f>AS2987</f>
        <v>78080.952791102973</v>
      </c>
    </row>
    <row r="3000" spans="13:47" ht="13" x14ac:dyDescent="0.25">
      <c r="M3000" s="12"/>
      <c r="N3000" s="12"/>
      <c r="O3000" s="2"/>
      <c r="P3000" s="85"/>
      <c r="Q3000" s="2"/>
      <c r="R3000" s="18"/>
      <c r="S3000" s="150"/>
      <c r="T3000" s="152"/>
      <c r="U3000" s="157"/>
      <c r="V3000" s="1"/>
      <c r="W3000" s="147"/>
      <c r="X3000" s="157"/>
      <c r="Y3000" s="1"/>
      <c r="Z3000" s="147"/>
      <c r="AA3000" s="157"/>
      <c r="AB3000" s="1"/>
      <c r="AC3000" s="147"/>
      <c r="AD3000" s="157"/>
      <c r="AE3000" s="1"/>
      <c r="AF3000" s="147"/>
      <c r="AG3000" s="157"/>
      <c r="AH3000" s="1"/>
      <c r="AI3000" s="147"/>
      <c r="AJ3000" s="157"/>
      <c r="AK3000" s="1"/>
      <c r="AL3000" s="147"/>
      <c r="AM3000" s="157"/>
      <c r="AN3000" s="1"/>
      <c r="AO3000" s="147"/>
      <c r="AP3000" s="157"/>
      <c r="AQ3000" s="1"/>
      <c r="AR3000" s="147"/>
      <c r="AS3000" s="157"/>
      <c r="AT3000" s="1"/>
      <c r="AU3000" s="147"/>
    </row>
    <row r="3001" spans="13:47" ht="14" x14ac:dyDescent="0.3">
      <c r="M3001" s="23"/>
      <c r="N3001" s="23"/>
      <c r="O3001" s="23" t="s">
        <v>238</v>
      </c>
      <c r="P3001" s="20"/>
      <c r="Q3001" s="20"/>
      <c r="R3001" s="181">
        <f>R2987*1.02</f>
        <v>762.1525380266047</v>
      </c>
      <c r="S3001" s="128" t="s">
        <v>185</v>
      </c>
      <c r="T3001" s="153" t="s">
        <v>186</v>
      </c>
      <c r="U3001" s="143">
        <f>U2987*1.01</f>
        <v>3829.736095599661</v>
      </c>
      <c r="V3001" s="128" t="s">
        <v>185</v>
      </c>
      <c r="W3001" s="153" t="s">
        <v>186</v>
      </c>
      <c r="X3001" s="143">
        <f>X2987*1.01</f>
        <v>9471.393108355689</v>
      </c>
      <c r="Y3001" s="128" t="s">
        <v>185</v>
      </c>
      <c r="Z3001" s="153" t="s">
        <v>186</v>
      </c>
      <c r="AA3001" s="143">
        <f>AA2987*1.01</f>
        <v>18447.856245427978</v>
      </c>
      <c r="AB3001" s="128" t="s">
        <v>185</v>
      </c>
      <c r="AC3001" s="153" t="s">
        <v>186</v>
      </c>
      <c r="AD3001" s="143">
        <f>AD2987*1.01</f>
        <v>30339.931426032264</v>
      </c>
      <c r="AE3001" s="128" t="s">
        <v>185</v>
      </c>
      <c r="AF3001" s="153" t="s">
        <v>186</v>
      </c>
      <c r="AG3001" s="143">
        <f>AG2987*1.01</f>
        <v>42554.08958011584</v>
      </c>
      <c r="AH3001" s="128" t="s">
        <v>185</v>
      </c>
      <c r="AI3001" s="153" t="s">
        <v>186</v>
      </c>
      <c r="AJ3001" s="143">
        <f>AJ2987*1.01</f>
        <v>54032.401976604007</v>
      </c>
      <c r="AK3001" s="128" t="s">
        <v>185</v>
      </c>
      <c r="AL3001" s="153" t="s">
        <v>186</v>
      </c>
      <c r="AM3001" s="143">
        <f>AM2987*1.01</f>
        <v>63357.240691698891</v>
      </c>
      <c r="AN3001" s="128" t="s">
        <v>185</v>
      </c>
      <c r="AO3001" s="153" t="s">
        <v>186</v>
      </c>
      <c r="AP3001" s="143">
        <f>AP2987*1.01</f>
        <v>70685.667971784205</v>
      </c>
      <c r="AQ3001" s="128" t="s">
        <v>185</v>
      </c>
      <c r="AR3001" s="153" t="s">
        <v>186</v>
      </c>
      <c r="AS3001" s="143">
        <f>AS2987*1.01</f>
        <v>78861.762319014</v>
      </c>
      <c r="AT3001" s="128" t="s">
        <v>185</v>
      </c>
      <c r="AU3001" s="153" t="s">
        <v>186</v>
      </c>
    </row>
    <row r="3002" spans="13:47" ht="14" x14ac:dyDescent="0.3">
      <c r="M3002" s="12"/>
      <c r="N3002" s="12"/>
      <c r="O3002" s="20"/>
      <c r="P3002" s="20"/>
      <c r="Q3002" s="23"/>
      <c r="R3002" s="139"/>
      <c r="S3002" s="130" t="s">
        <v>228</v>
      </c>
      <c r="T3002" s="154" t="s">
        <v>187</v>
      </c>
      <c r="U3002" s="144"/>
      <c r="V3002" s="130" t="s">
        <v>228</v>
      </c>
      <c r="W3002" s="154" t="s">
        <v>187</v>
      </c>
      <c r="X3002" s="144"/>
      <c r="Y3002" s="130" t="s">
        <v>228</v>
      </c>
      <c r="Z3002" s="154" t="s">
        <v>187</v>
      </c>
      <c r="AA3002" s="144"/>
      <c r="AB3002" s="130" t="s">
        <v>228</v>
      </c>
      <c r="AC3002" s="154" t="s">
        <v>187</v>
      </c>
      <c r="AD3002" s="144"/>
      <c r="AE3002" s="130" t="s">
        <v>228</v>
      </c>
      <c r="AF3002" s="154" t="s">
        <v>187</v>
      </c>
      <c r="AG3002" s="144"/>
      <c r="AH3002" s="130" t="s">
        <v>228</v>
      </c>
      <c r="AI3002" s="154" t="s">
        <v>187</v>
      </c>
      <c r="AJ3002" s="144"/>
      <c r="AK3002" s="130" t="s">
        <v>228</v>
      </c>
      <c r="AL3002" s="154" t="s">
        <v>187</v>
      </c>
      <c r="AM3002" s="144"/>
      <c r="AN3002" s="130" t="s">
        <v>228</v>
      </c>
      <c r="AO3002" s="154" t="s">
        <v>187</v>
      </c>
      <c r="AP3002" s="144"/>
      <c r="AQ3002" s="130" t="s">
        <v>228</v>
      </c>
      <c r="AR3002" s="154" t="s">
        <v>187</v>
      </c>
      <c r="AS3002" s="144"/>
      <c r="AT3002" s="130" t="s">
        <v>228</v>
      </c>
      <c r="AU3002" s="154" t="s">
        <v>187</v>
      </c>
    </row>
    <row r="3003" spans="13:47" x14ac:dyDescent="0.25">
      <c r="M3003" s="20"/>
      <c r="N3003" s="20"/>
      <c r="O3003" s="7" t="s">
        <v>188</v>
      </c>
      <c r="P3003" s="7"/>
      <c r="Q3003" s="7"/>
      <c r="R3003" s="181">
        <f>P_1_minW-(R3001^2*R_up)+dpup_minQ</f>
        <v>100.29115536029502</v>
      </c>
      <c r="S3003" s="132"/>
      <c r="T3003" s="145"/>
      <c r="U3003" s="138">
        <f>P_1_minW-(U3001^2*R_up)+dpup_minQ</f>
        <v>94.674195305317511</v>
      </c>
      <c r="V3003" s="132"/>
      <c r="W3003" s="145"/>
      <c r="X3003" s="138">
        <f>P_1_minW-(X3001^2*R_up)+dpup_minQ</f>
        <v>64.750944058476492</v>
      </c>
      <c r="Y3003" s="132"/>
      <c r="Z3003" s="145"/>
      <c r="AA3003" s="138">
        <f>P_1_minW-(AA3001^2*R_up)+dpup_minQ</f>
        <v>-35.18519727953354</v>
      </c>
      <c r="AB3003" s="132"/>
      <c r="AC3003" s="145"/>
      <c r="AD3003" s="138">
        <f>P_1_minW-(AD3001^2*R_up)+dpup_minQ</f>
        <v>-266.54204519336974</v>
      </c>
      <c r="AE3003" s="132"/>
      <c r="AF3003" s="145"/>
      <c r="AG3003" s="138">
        <f>P_1_minW-(AG3001^2*R_up)+dpup_minQ</f>
        <v>-621.57530025820165</v>
      </c>
      <c r="AH3003" s="132"/>
      <c r="AI3003" s="145"/>
      <c r="AJ3003" s="138">
        <f>P_1_minW-(AJ3001^2*R_up)+dpup_minQ</f>
        <v>-1063.6625797611184</v>
      </c>
      <c r="AK3003" s="132"/>
      <c r="AL3003" s="145"/>
      <c r="AM3003" s="138">
        <f>P_1_minW-(AM3001^2*R_up)+dpup_minQ</f>
        <v>-1500.1630310117944</v>
      </c>
      <c r="AN3003" s="132"/>
      <c r="AO3003" s="145"/>
      <c r="AP3003" s="138">
        <f>P_1_minW-(AP3001^2*R_up)+dpup_minQ</f>
        <v>-1891.8762370932286</v>
      </c>
      <c r="AQ3003" s="132"/>
      <c r="AR3003" s="145"/>
      <c r="AS3003" s="138">
        <f>P_1_minW-(AS3001^2*R_up)+dpup_minQ</f>
        <v>-2379.4478771766717</v>
      </c>
      <c r="AT3003" s="132"/>
      <c r="AU3003" s="145"/>
    </row>
    <row r="3004" spans="13:47" x14ac:dyDescent="0.25">
      <c r="M3004" s="20"/>
      <c r="N3004" s="20"/>
      <c r="O3004" s="7" t="s">
        <v>189</v>
      </c>
      <c r="P3004" s="1"/>
      <c r="Q3004" s="7"/>
      <c r="R3004" s="181">
        <f>P_2_minW+(R3001^2*R_dn)-dpdn_minQ</f>
        <v>50</v>
      </c>
      <c r="S3004" s="132"/>
      <c r="T3004" s="146"/>
      <c r="U3004" s="138">
        <f>P_2_minW+(U3001^2*R_dn)-dpdn_minQ</f>
        <v>50</v>
      </c>
      <c r="V3004" s="132"/>
      <c r="W3004" s="146"/>
      <c r="X3004" s="138">
        <f>P_2_minW+(X3001^2*R_dn)-dpdn_minQ</f>
        <v>50</v>
      </c>
      <c r="Y3004" s="132"/>
      <c r="Z3004" s="146"/>
      <c r="AA3004" s="138">
        <f>P_2_minW+(AA3001^2*R_dn)-dpdn_minQ</f>
        <v>50</v>
      </c>
      <c r="AB3004" s="132"/>
      <c r="AC3004" s="146"/>
      <c r="AD3004" s="138">
        <f>P_2_minW+(AD3001^2*R_dn)-dpdn_minQ</f>
        <v>50</v>
      </c>
      <c r="AE3004" s="132"/>
      <c r="AF3004" s="146"/>
      <c r="AG3004" s="138">
        <f>P_2_minW+(AG3001^2*R_dn)-dpdn_minQ</f>
        <v>50</v>
      </c>
      <c r="AH3004" s="132"/>
      <c r="AI3004" s="146"/>
      <c r="AJ3004" s="138">
        <f>P_2_minW+(AJ3001^2*R_dn)-dpdn_minQ</f>
        <v>50</v>
      </c>
      <c r="AK3004" s="132"/>
      <c r="AL3004" s="146"/>
      <c r="AM3004" s="138">
        <f>P_2_minW+(AM3001^2*R_dn)-dpdn_minQ</f>
        <v>50</v>
      </c>
      <c r="AN3004" s="132"/>
      <c r="AO3004" s="146"/>
      <c r="AP3004" s="138">
        <f>P_2_minW+(AP3001^2*R_dn)-dpdn_minQ</f>
        <v>50</v>
      </c>
      <c r="AQ3004" s="132"/>
      <c r="AR3004" s="146"/>
      <c r="AS3004" s="138">
        <f>P_2_minW+(AS3001^2*R_dn)-dpdn_minQ</f>
        <v>50</v>
      </c>
      <c r="AT3004" s="132"/>
      <c r="AU3004" s="146"/>
    </row>
    <row r="3005" spans="13:47" x14ac:dyDescent="0.25">
      <c r="M3005" s="20"/>
      <c r="N3005" s="20"/>
      <c r="O3005" s="7" t="s">
        <v>234</v>
      </c>
      <c r="P3005" s="1"/>
      <c r="Q3005" s="7"/>
      <c r="R3005" s="179">
        <f>'Valve Sizing'!G$8*R3003/P_1_maxW</f>
        <v>0.48378667771840922</v>
      </c>
      <c r="S3005" s="132"/>
      <c r="T3005" s="146"/>
      <c r="U3005" s="143">
        <f>'Valve Sizing'!$G$8*U3003/P_1_maxW</f>
        <v>0.4566914624512971</v>
      </c>
      <c r="V3005" s="132"/>
      <c r="W3005" s="146"/>
      <c r="X3005" s="143">
        <f>'Valve Sizing'!$G$8*X3003/P_1_maxW</f>
        <v>0.3123470259430538</v>
      </c>
      <c r="Y3005" s="132"/>
      <c r="Z3005" s="146"/>
      <c r="AA3005" s="143">
        <f>'Valve Sizing'!$G$8*AA3003/P_1_maxW</f>
        <v>-0.16972712733820347</v>
      </c>
      <c r="AB3005" s="132"/>
      <c r="AC3005" s="146"/>
      <c r="AD3005" s="143">
        <f>'Valve Sizing'!$G$8*AD3003/P_1_maxW</f>
        <v>-1.2857513711266024</v>
      </c>
      <c r="AE3005" s="132"/>
      <c r="AF3005" s="146"/>
      <c r="AG3005" s="143">
        <f>'Valve Sizing'!$G$8*AG3003/P_1_maxW</f>
        <v>-2.9983685837842904</v>
      </c>
      <c r="AH3005" s="132"/>
      <c r="AI3005" s="146"/>
      <c r="AJ3005" s="143">
        <f>'Valve Sizing'!$G$8*AJ3003/P_1_maxW</f>
        <v>-5.1309189113175471</v>
      </c>
      <c r="AK3005" s="132"/>
      <c r="AL3005" s="146"/>
      <c r="AM3005" s="143">
        <f>'Valve Sizing'!$G$8*AM3003/P_1_maxW</f>
        <v>-7.2365193740354572</v>
      </c>
      <c r="AN3005" s="132"/>
      <c r="AO3005" s="146"/>
      <c r="AP3005" s="143">
        <f>'Valve Sizing'!$G$8*AP3003/P_1_maxW</f>
        <v>-9.1260741399344685</v>
      </c>
      <c r="AQ3005" s="132"/>
      <c r="AR3005" s="146"/>
      <c r="AS3005" s="143">
        <f>'Valve Sizing'!$G$8*AS3003/P_1_maxW</f>
        <v>-11.47803292491691</v>
      </c>
      <c r="AT3005" s="132"/>
      <c r="AU3005" s="146"/>
    </row>
    <row r="3006" spans="13:47" x14ac:dyDescent="0.25">
      <c r="M3006" s="20"/>
      <c r="N3006" s="20"/>
      <c r="O3006" s="7" t="s">
        <v>190</v>
      </c>
      <c r="P3006" s="1"/>
      <c r="Q3006" s="7"/>
      <c r="R3006" s="181">
        <f>R3003-R3004</f>
        <v>50.291155360295022</v>
      </c>
      <c r="S3006" s="132"/>
      <c r="T3006" s="146"/>
      <c r="U3006" s="138">
        <f>U3003-U3004</f>
        <v>44.674195305317511</v>
      </c>
      <c r="V3006" s="132"/>
      <c r="W3006" s="146"/>
      <c r="X3006" s="138">
        <f>X3003-X3004</f>
        <v>14.750944058476492</v>
      </c>
      <c r="Y3006" s="132"/>
      <c r="Z3006" s="146"/>
      <c r="AA3006" s="138">
        <f>AA3003-AA3004</f>
        <v>-85.18519727953354</v>
      </c>
      <c r="AB3006" s="132"/>
      <c r="AC3006" s="146"/>
      <c r="AD3006" s="138">
        <f>AD3003-AD3004</f>
        <v>-316.54204519336974</v>
      </c>
      <c r="AE3006" s="132"/>
      <c r="AF3006" s="146"/>
      <c r="AG3006" s="138">
        <f>AG3003-AG3004</f>
        <v>-671.57530025820165</v>
      </c>
      <c r="AH3006" s="132"/>
      <c r="AI3006" s="146"/>
      <c r="AJ3006" s="138">
        <f>AJ3003-AJ3004</f>
        <v>-1113.6625797611184</v>
      </c>
      <c r="AK3006" s="132"/>
      <c r="AL3006" s="146"/>
      <c r="AM3006" s="138">
        <f>AM3003-AM3004</f>
        <v>-1550.1630310117944</v>
      </c>
      <c r="AN3006" s="132"/>
      <c r="AO3006" s="146"/>
      <c r="AP3006" s="138">
        <f>AP3003-AP3004</f>
        <v>-1941.8762370932286</v>
      </c>
      <c r="AQ3006" s="132"/>
      <c r="AR3006" s="146"/>
      <c r="AS3006" s="138">
        <f>AS3003-AS3004</f>
        <v>-2429.4478771766717</v>
      </c>
      <c r="AT3006" s="132"/>
      <c r="AU3006" s="146"/>
    </row>
    <row r="3007" spans="13:47" ht="14.5" x14ac:dyDescent="0.35">
      <c r="M3007" s="27"/>
      <c r="N3007" s="27"/>
      <c r="O3007" s="2" t="s">
        <v>191</v>
      </c>
      <c r="P3007" s="10"/>
      <c r="Q3007" s="2"/>
      <c r="R3007" s="181">
        <f>R3006/R3003</f>
        <v>0.50145155053428714</v>
      </c>
      <c r="S3007" s="132"/>
      <c r="T3007" s="146"/>
      <c r="U3007" s="138">
        <f>U3006/U3003</f>
        <v>0.47187298673357009</v>
      </c>
      <c r="V3007" s="132"/>
      <c r="W3007" s="146"/>
      <c r="X3007" s="138">
        <f>X3006/X3003</f>
        <v>0.22781048636379625</v>
      </c>
      <c r="Y3007" s="132"/>
      <c r="Z3007" s="146"/>
      <c r="AA3007" s="138">
        <f>AA3006/AA3003</f>
        <v>2.421052143114852</v>
      </c>
      <c r="AB3007" s="132"/>
      <c r="AC3007" s="146"/>
      <c r="AD3007" s="138">
        <f>AD3006/AD3003</f>
        <v>1.1875876654421489</v>
      </c>
      <c r="AE3007" s="132"/>
      <c r="AF3007" s="146"/>
      <c r="AG3007" s="138">
        <f>AG3006/AG3003</f>
        <v>1.0804407768121256</v>
      </c>
      <c r="AH3007" s="132"/>
      <c r="AI3007" s="146"/>
      <c r="AJ3007" s="138">
        <f>AJ3006/AJ3003</f>
        <v>1.0470073883874238</v>
      </c>
      <c r="AK3007" s="132"/>
      <c r="AL3007" s="146"/>
      <c r="AM3007" s="138">
        <f>AM3006/AM3003</f>
        <v>1.033329710815682</v>
      </c>
      <c r="AN3007" s="132"/>
      <c r="AO3007" s="146"/>
      <c r="AP3007" s="138">
        <f>AP3006/AP3003</f>
        <v>1.0264287901183338</v>
      </c>
      <c r="AQ3007" s="132"/>
      <c r="AR3007" s="146"/>
      <c r="AS3007" s="138">
        <f>AS3006/AS3003</f>
        <v>1.0210132781136301</v>
      </c>
      <c r="AT3007" s="132"/>
      <c r="AU3007" s="146"/>
    </row>
    <row r="3008" spans="13:47" x14ac:dyDescent="0.25">
      <c r="M3008" s="27"/>
      <c r="N3008" s="27"/>
      <c r="O3008" s="2" t="s">
        <v>26</v>
      </c>
      <c r="P3008" s="7">
        <v>12</v>
      </c>
      <c r="Q3008" s="2"/>
      <c r="R3008" s="181">
        <f>1-R3007/(3*F_GAMMA*R$29)</f>
        <v>0.73883828628390935</v>
      </c>
      <c r="S3008" s="133"/>
      <c r="T3008" s="146"/>
      <c r="U3008" s="138">
        <f>1-U3007/(3*F_GAMMA*U$29)</f>
        <v>0.75429725079631726</v>
      </c>
      <c r="V3008" s="133"/>
      <c r="W3008" s="146"/>
      <c r="X3008" s="138">
        <f>1-X3007/(3*F_GAMMA*X$29)</f>
        <v>0.8796003195390657</v>
      </c>
      <c r="Y3008" s="133"/>
      <c r="Z3008" s="146"/>
      <c r="AA3008" s="138">
        <f>1-AA3007/(3*F_GAMMA*AA$29)</f>
        <v>-0.29708994616195072</v>
      </c>
      <c r="AB3008" s="133"/>
      <c r="AC3008" s="146"/>
      <c r="AD3008" s="138">
        <f>1-AD3007/(3*F_GAMMA*AD$29)</f>
        <v>0.34629960862765474</v>
      </c>
      <c r="AE3008" s="133"/>
      <c r="AF3008" s="146"/>
      <c r="AG3008" s="138">
        <f>1-AG3007/(3*F_GAMMA*AG$29)</f>
        <v>0.37135407611903104</v>
      </c>
      <c r="AH3008" s="133"/>
      <c r="AI3008" s="146"/>
      <c r="AJ3008" s="138">
        <f>1-AJ3007/(3*F_GAMMA*AJ$29)</f>
        <v>0.34876445526975575</v>
      </c>
      <c r="AK3008" s="133"/>
      <c r="AL3008" s="146"/>
      <c r="AM3008" s="138">
        <f>1-AM3007/(3*F_GAMMA*AM$29)</f>
        <v>0.29775422621363368</v>
      </c>
      <c r="AN3008" s="133"/>
      <c r="AO3008" s="146"/>
      <c r="AP3008" s="138">
        <f>1-AP3007/(3*F_GAMMA*AP$29)</f>
        <v>0.42354548042888085</v>
      </c>
      <c r="AQ3008" s="133"/>
      <c r="AR3008" s="146"/>
      <c r="AS3008" s="138">
        <f>1-AS3007/(3*F_GAMMA*AS$29)</f>
        <v>0.12950908206717515</v>
      </c>
      <c r="AT3008" s="133"/>
      <c r="AU3008" s="146"/>
    </row>
    <row r="3009" spans="13:47" x14ac:dyDescent="0.25">
      <c r="M3009" s="27"/>
      <c r="N3009" s="27"/>
      <c r="O3009" s="2" t="s">
        <v>71</v>
      </c>
      <c r="P3009" s="85">
        <v>5</v>
      </c>
      <c r="Q3009" s="2"/>
      <c r="R3009" s="179">
        <f>R3001/((N_6*R$27*R3008)*SQRT(R3007*R3003*R3005))</f>
        <v>3.3042089149806277</v>
      </c>
      <c r="S3009" s="133"/>
      <c r="T3009" s="146"/>
      <c r="U3009" s="143">
        <f>U3001/((N_6*U$27*U3008)*SQRT(U3007*U3003*U3005))</f>
        <v>17.770687112115574</v>
      </c>
      <c r="V3009" s="133"/>
      <c r="W3009" s="146"/>
      <c r="X3009" s="143">
        <f>X3001/((N_6*X$27*X3008)*SQRT(X3007*X3003*X3005))</f>
        <v>79.483873701533312</v>
      </c>
      <c r="Y3009" s="133"/>
      <c r="Z3009" s="146"/>
      <c r="AA3009" s="143">
        <f>AA3001/((N_6*AA$27*AA3008)*SQRT(AA3007*AA3003*AA3005))</f>
        <v>-260.23755614758858</v>
      </c>
      <c r="AB3009" s="133"/>
      <c r="AC3009" s="146"/>
      <c r="AD3009" s="143">
        <f>AD3001/((N_6*AD$27*AD3008)*SQRT(AD3007*AD3003*AD3005))</f>
        <v>70.029784936008852</v>
      </c>
      <c r="AE3009" s="133"/>
      <c r="AF3009" s="146"/>
      <c r="AG3009" s="143">
        <f>AG3001/((N_6*AG$27*AG3008)*SQRT(AG3007*AG3003*AG3005))</f>
        <v>42.067660643445791</v>
      </c>
      <c r="AH3009" s="133"/>
      <c r="AI3009" s="146"/>
      <c r="AJ3009" s="143">
        <f>AJ3001/((N_6*AJ$27*AJ3008)*SQRT(AJ3007*AJ3003*AJ3005))</f>
        <v>34.921457749476609</v>
      </c>
      <c r="AK3009" s="133"/>
      <c r="AL3009" s="146"/>
      <c r="AM3009" s="143">
        <f>AM3001/((N_6*AM$27*AM3008)*SQRT(AM3007*AM3003*AM3005))</f>
        <v>36.334041516322934</v>
      </c>
      <c r="AN3009" s="133"/>
      <c r="AO3009" s="146"/>
      <c r="AP3009" s="143">
        <f>AP3001/((N_6*AP$27*AP3008)*SQRT(AP3007*AP3003*AP3005))</f>
        <v>25.7550031550116</v>
      </c>
      <c r="AQ3009" s="133"/>
      <c r="AR3009" s="146"/>
      <c r="AS3009" s="143">
        <f>AS3001/((N_6*AS$27*AS3008)*SQRT(AS3007*AS3003*AS3005))</f>
        <v>98.434923521300774</v>
      </c>
      <c r="AT3009" s="133"/>
      <c r="AU3009" s="146"/>
    </row>
    <row r="3010" spans="13:47" x14ac:dyDescent="0.25">
      <c r="M3010" s="27"/>
      <c r="N3010" s="27"/>
      <c r="O3010" s="2" t="s">
        <v>73</v>
      </c>
      <c r="P3010" s="85">
        <v>5</v>
      </c>
      <c r="Q3010" s="2"/>
      <c r="R3010" s="179">
        <f>R3001/((N_6*R$27*0.667)*SQRT(R3011*R3003*R3005))</f>
        <v>3.2397122588758136</v>
      </c>
      <c r="S3010" s="133"/>
      <c r="T3010" s="155"/>
      <c r="U3010" s="143">
        <f>U3001/((N_6*U$27*0.667)*SQRT(U3011*U3003*U3005))</f>
        <v>17.253870995378357</v>
      </c>
      <c r="V3010" s="133"/>
      <c r="W3010" s="155"/>
      <c r="X3010" s="143">
        <f>X3001/((N_6*X$27*0.667)*SQRT(X3011*X3003*X3005))</f>
        <v>62.995838893098394</v>
      </c>
      <c r="Y3010" s="133"/>
      <c r="Z3010" s="155"/>
      <c r="AA3010" s="143">
        <f>AA3001/((N_6*AA$27*0.667)*SQRT(AA3011*AA3003*AA3005))</f>
        <v>228.65345442818133</v>
      </c>
      <c r="AB3010" s="133"/>
      <c r="AC3010" s="155"/>
      <c r="AD3010" s="143">
        <f>AD3001/((N_6*AD$27*0.667)*SQRT(AD3011*AD3003*AD3005))</f>
        <v>50.916548850447789</v>
      </c>
      <c r="AE3010" s="133"/>
      <c r="AF3010" s="155"/>
      <c r="AG3010" s="143">
        <f>AG3001/((N_6*AG$27*0.667)*SQRT(AG3011*AG3003*AG3005))</f>
        <v>32.164322095122834</v>
      </c>
      <c r="AH3010" s="133"/>
      <c r="AI3010" s="155"/>
      <c r="AJ3010" s="143">
        <f>AJ3001/((N_6*AJ$27*0.667)*SQRT(AJ3011*AJ3003*AJ3005))</f>
        <v>25.522806214746364</v>
      </c>
      <c r="AK3010" s="133"/>
      <c r="AL3010" s="155"/>
      <c r="AM3010" s="143">
        <f>AM3001/((N_6*AM$27*0.667)*SQRT(AM3011*AM3003*AM3005))</f>
        <v>23.542414566060085</v>
      </c>
      <c r="AN3010" s="133"/>
      <c r="AO3010" s="155"/>
      <c r="AP3010" s="143">
        <f>AP3001/((N_6*AP$27*0.667)*SQRT(AP3011*AP3003*AP3005))</f>
        <v>21.506957503006696</v>
      </c>
      <c r="AQ3010" s="133"/>
      <c r="AR3010" s="155"/>
      <c r="AS3010" s="143">
        <f>AS3001/((N_6*AS$27*0.667)*SQRT(AS3011*AS3003*AS3005))</f>
        <v>30.886332968983101</v>
      </c>
      <c r="AT3010" s="133"/>
      <c r="AU3010" s="155"/>
    </row>
    <row r="3011" spans="13:47" ht="15.5" x14ac:dyDescent="0.4">
      <c r="M3011" s="27"/>
      <c r="N3011" s="27"/>
      <c r="O3011" s="2" t="s">
        <v>192</v>
      </c>
      <c r="P3011" s="85">
        <v>10</v>
      </c>
      <c r="Q3011" s="2"/>
      <c r="R3011" s="181">
        <f>F_GAMMA*R$29</f>
        <v>0.64002688015162901</v>
      </c>
      <c r="S3011" s="133"/>
      <c r="T3011" s="155"/>
      <c r="U3011" s="138">
        <f>F_GAMMA*U$29</f>
        <v>0.64016782916606918</v>
      </c>
      <c r="V3011" s="133"/>
      <c r="W3011" s="155"/>
      <c r="X3011" s="138">
        <f>F_GAMMA*X$29</f>
        <v>0.6307062319203669</v>
      </c>
      <c r="Y3011" s="133"/>
      <c r="Z3011" s="155"/>
      <c r="AA3011" s="138">
        <f>F_GAMMA*AA$29</f>
        <v>0.62217534213893466</v>
      </c>
      <c r="AB3011" s="133"/>
      <c r="AC3011" s="155"/>
      <c r="AD3011" s="138">
        <f>F_GAMMA*AD$29</f>
        <v>0.60557184969146072</v>
      </c>
      <c r="AE3011" s="133"/>
      <c r="AF3011" s="155"/>
      <c r="AG3011" s="138">
        <f>F_GAMMA*AG$29</f>
        <v>0.57289312142622573</v>
      </c>
      <c r="AH3011" s="133"/>
      <c r="AI3011" s="155"/>
      <c r="AJ3011" s="138">
        <f>F_GAMMA*AJ$29</f>
        <v>0.53590819116049981</v>
      </c>
      <c r="AK3011" s="133"/>
      <c r="AL3011" s="155"/>
      <c r="AM3011" s="138">
        <f>F_GAMMA*AM$29</f>
        <v>0.49048815926850342</v>
      </c>
      <c r="AN3011" s="133"/>
      <c r="AO3011" s="155"/>
      <c r="AP3011" s="138">
        <f>F_GAMMA*AP$29</f>
        <v>0.59352979016280105</v>
      </c>
      <c r="AQ3011" s="133"/>
      <c r="AR3011" s="155"/>
      <c r="AS3011" s="138">
        <f>F_GAMMA*AS$29</f>
        <v>0.39097221161068291</v>
      </c>
      <c r="AT3011" s="133"/>
      <c r="AU3011" s="155"/>
    </row>
    <row r="3012" spans="13:47" x14ac:dyDescent="0.25">
      <c r="M3012" s="27"/>
      <c r="N3012" s="27"/>
      <c r="O3012" s="2" t="s">
        <v>193</v>
      </c>
      <c r="P3012" s="134"/>
      <c r="Q3012" s="2"/>
      <c r="R3012" s="181">
        <f>IF(R3007&lt;R3011,R3009,R3010)</f>
        <v>3.3042089149806277</v>
      </c>
      <c r="S3012" s="133"/>
      <c r="T3012" s="155"/>
      <c r="U3012" s="138">
        <f>IF(U3007&lt;U3011,U3009,U3010)</f>
        <v>17.770687112115574</v>
      </c>
      <c r="V3012" s="133"/>
      <c r="W3012" s="155"/>
      <c r="X3012" s="138">
        <f>IF(X3007&lt;X3011,X3009,X3010)</f>
        <v>79.483873701533312</v>
      </c>
      <c r="Y3012" s="133"/>
      <c r="Z3012" s="155"/>
      <c r="AA3012" s="138">
        <f>IF(AA3007&lt;AA3011,AA3009,AA3010)</f>
        <v>228.65345442818133</v>
      </c>
      <c r="AB3012" s="133"/>
      <c r="AC3012" s="155"/>
      <c r="AD3012" s="138">
        <f>IF(AD3007&lt;AD3011,AD3009,AD3010)</f>
        <v>50.916548850447789</v>
      </c>
      <c r="AE3012" s="133"/>
      <c r="AF3012" s="155"/>
      <c r="AG3012" s="138">
        <f>IF(AG3007&lt;AG3011,AG3009,AG3010)</f>
        <v>32.164322095122834</v>
      </c>
      <c r="AH3012" s="133"/>
      <c r="AI3012" s="155"/>
      <c r="AJ3012" s="138">
        <f>IF(AJ3007&lt;AJ3011,AJ3009,AJ3010)</f>
        <v>25.522806214746364</v>
      </c>
      <c r="AK3012" s="133"/>
      <c r="AL3012" s="155"/>
      <c r="AM3012" s="138">
        <f>IF(AM3007&lt;AM3011,AM3009,AM3010)</f>
        <v>23.542414566060085</v>
      </c>
      <c r="AN3012" s="133"/>
      <c r="AO3012" s="155"/>
      <c r="AP3012" s="138">
        <f>IF(AP3007&lt;AP3011,AP3009,AP3010)</f>
        <v>21.506957503006696</v>
      </c>
      <c r="AQ3012" s="133"/>
      <c r="AR3012" s="155"/>
      <c r="AS3012" s="138">
        <f>IF(AS3007&lt;AS3011,AS3009,AS3010)</f>
        <v>30.886332968983101</v>
      </c>
      <c r="AT3012" s="133"/>
      <c r="AU3012" s="155"/>
    </row>
    <row r="3013" spans="13:47" ht="13" x14ac:dyDescent="0.3">
      <c r="M3013" s="28"/>
      <c r="N3013" s="28"/>
      <c r="O3013" s="9" t="s">
        <v>194</v>
      </c>
      <c r="P3013" s="1"/>
      <c r="Q3013" s="1"/>
      <c r="R3013" s="135"/>
      <c r="S3013" s="132">
        <f>IF(R3006&lt;=0,W_max,ABS(R$23-R3012))</f>
        <v>1.3042089149806277</v>
      </c>
      <c r="T3013" s="151">
        <f>R3001</f>
        <v>762.1525380266047</v>
      </c>
      <c r="U3013" s="135"/>
      <c r="V3013" s="132">
        <f>IF(U3006&lt;=0,W_max,ABS(U$23-U3012))</f>
        <v>12.770687112115574</v>
      </c>
      <c r="W3013" s="151">
        <f>U3001</f>
        <v>3829.736095599661</v>
      </c>
      <c r="X3013" s="135"/>
      <c r="Y3013" s="132">
        <f>IF(X3006&lt;=0,W_max,ABS(X$23-X3012))</f>
        <v>69.483873701533312</v>
      </c>
      <c r="Z3013" s="151">
        <f>X3001</f>
        <v>9471.393108355689</v>
      </c>
      <c r="AA3013" s="135"/>
      <c r="AB3013" s="132">
        <f>IF(AA3006&lt;=0,W_max,ABS(AA$23-AA3012))</f>
        <v>7174</v>
      </c>
      <c r="AC3013" s="151">
        <f>AA3001</f>
        <v>18447.856245427978</v>
      </c>
      <c r="AD3013" s="135"/>
      <c r="AE3013" s="132">
        <f>IF(AD3006&lt;=0,W_max,ABS(AD$23-AD3012))</f>
        <v>7174</v>
      </c>
      <c r="AF3013" s="151">
        <f>AD3001</f>
        <v>30339.931426032264</v>
      </c>
      <c r="AG3013" s="135"/>
      <c r="AH3013" s="132">
        <f>IF(AG3006&lt;=0,W_max,ABS(AG$23-AG3012))</f>
        <v>7174</v>
      </c>
      <c r="AI3013" s="151">
        <f>AG3001</f>
        <v>42554.08958011584</v>
      </c>
      <c r="AJ3013" s="135"/>
      <c r="AK3013" s="132">
        <f>IF(AJ3006&lt;=0,W_max,ABS(AJ$23-AJ3012))</f>
        <v>7174</v>
      </c>
      <c r="AL3013" s="151">
        <f>AJ3001</f>
        <v>54032.401976604007</v>
      </c>
      <c r="AM3013" s="135"/>
      <c r="AN3013" s="132">
        <f>IF(AM3006&lt;=0,W_max,ABS(AM$23-AM3012))</f>
        <v>7174</v>
      </c>
      <c r="AO3013" s="151">
        <f>AM3001</f>
        <v>63357.240691698891</v>
      </c>
      <c r="AP3013" s="135"/>
      <c r="AQ3013" s="132">
        <f>IF(AP3006&lt;=0,W_max,ABS(AP$23-AP3012))</f>
        <v>7174</v>
      </c>
      <c r="AR3013" s="151">
        <f>AP3001</f>
        <v>70685.667971784205</v>
      </c>
      <c r="AS3013" s="135"/>
      <c r="AT3013" s="132">
        <f>IF(AS3006&lt;=0,W_max,ABS(AS$23-AS3012))</f>
        <v>7174</v>
      </c>
      <c r="AU3013" s="151">
        <f>AS3001</f>
        <v>78861.762319014</v>
      </c>
    </row>
    <row r="3014" spans="13:47" ht="13" x14ac:dyDescent="0.25">
      <c r="M3014" s="12"/>
      <c r="N3014" s="12"/>
      <c r="O3014" s="2"/>
      <c r="P3014" s="85"/>
      <c r="Q3014" s="2"/>
      <c r="R3014" s="18"/>
      <c r="S3014" s="150"/>
      <c r="T3014" s="148"/>
      <c r="U3014" s="157"/>
      <c r="V3014" s="1"/>
      <c r="W3014" s="147"/>
      <c r="X3014" s="157"/>
      <c r="Y3014" s="1"/>
      <c r="Z3014" s="147"/>
      <c r="AA3014" s="157"/>
      <c r="AB3014" s="1"/>
      <c r="AC3014" s="147"/>
      <c r="AD3014" s="157"/>
      <c r="AE3014" s="1"/>
      <c r="AF3014" s="147"/>
      <c r="AG3014" s="157"/>
      <c r="AH3014" s="1"/>
      <c r="AI3014" s="147"/>
      <c r="AJ3014" s="157"/>
      <c r="AK3014" s="1"/>
      <c r="AL3014" s="147"/>
      <c r="AM3014" s="157"/>
      <c r="AN3014" s="1"/>
      <c r="AO3014" s="147"/>
      <c r="AP3014" s="157"/>
      <c r="AQ3014" s="1"/>
      <c r="AR3014" s="147"/>
      <c r="AS3014" s="157"/>
      <c r="AT3014" s="1"/>
      <c r="AU3014" s="147"/>
    </row>
    <row r="3015" spans="13:47" ht="14" x14ac:dyDescent="0.3">
      <c r="M3015" s="23"/>
      <c r="N3015" s="23"/>
      <c r="O3015" s="23" t="s">
        <v>238</v>
      </c>
      <c r="P3015" s="20"/>
      <c r="Q3015" s="20"/>
      <c r="R3015" s="181">
        <f>R3001*1.02</f>
        <v>777.39558878713683</v>
      </c>
      <c r="S3015" s="128" t="s">
        <v>185</v>
      </c>
      <c r="T3015" s="149" t="s">
        <v>186</v>
      </c>
      <c r="U3015" s="143">
        <f>U3001*1.01</f>
        <v>3868.0334565556577</v>
      </c>
      <c r="V3015" s="128" t="s">
        <v>185</v>
      </c>
      <c r="W3015" s="153" t="s">
        <v>186</v>
      </c>
      <c r="X3015" s="143">
        <f>X3001*1.01</f>
        <v>9566.1070394392464</v>
      </c>
      <c r="Y3015" s="128" t="s">
        <v>185</v>
      </c>
      <c r="Z3015" s="153" t="s">
        <v>186</v>
      </c>
      <c r="AA3015" s="143">
        <f>AA3001*1.01</f>
        <v>18632.334807882256</v>
      </c>
      <c r="AB3015" s="128" t="s">
        <v>185</v>
      </c>
      <c r="AC3015" s="153" t="s">
        <v>186</v>
      </c>
      <c r="AD3015" s="143">
        <f>AD3001*1.01</f>
        <v>30643.330740292586</v>
      </c>
      <c r="AE3015" s="128" t="s">
        <v>185</v>
      </c>
      <c r="AF3015" s="153" t="s">
        <v>186</v>
      </c>
      <c r="AG3015" s="143">
        <f>AG3001*1.01</f>
        <v>42979.630475917002</v>
      </c>
      <c r="AH3015" s="128" t="s">
        <v>185</v>
      </c>
      <c r="AI3015" s="153" t="s">
        <v>186</v>
      </c>
      <c r="AJ3015" s="143">
        <f>AJ3001*1.01</f>
        <v>54572.725996370049</v>
      </c>
      <c r="AK3015" s="128" t="s">
        <v>185</v>
      </c>
      <c r="AL3015" s="153" t="s">
        <v>186</v>
      </c>
      <c r="AM3015" s="143">
        <f>AM3001*1.01</f>
        <v>63990.813098615879</v>
      </c>
      <c r="AN3015" s="128" t="s">
        <v>185</v>
      </c>
      <c r="AO3015" s="153" t="s">
        <v>186</v>
      </c>
      <c r="AP3015" s="143">
        <f>AP3001*1.01</f>
        <v>71392.524651502041</v>
      </c>
      <c r="AQ3015" s="128" t="s">
        <v>185</v>
      </c>
      <c r="AR3015" s="153" t="s">
        <v>186</v>
      </c>
      <c r="AS3015" s="143">
        <f>AS3001*1.01</f>
        <v>79650.379942204134</v>
      </c>
      <c r="AT3015" s="128" t="s">
        <v>185</v>
      </c>
      <c r="AU3015" s="153" t="s">
        <v>186</v>
      </c>
    </row>
    <row r="3016" spans="13:47" ht="14" x14ac:dyDescent="0.3">
      <c r="M3016" s="12"/>
      <c r="N3016" s="12"/>
      <c r="O3016" s="20"/>
      <c r="P3016" s="20"/>
      <c r="Q3016" s="23"/>
      <c r="R3016" s="139"/>
      <c r="S3016" s="130" t="s">
        <v>228</v>
      </c>
      <c r="T3016" s="131" t="s">
        <v>187</v>
      </c>
      <c r="U3016" s="144"/>
      <c r="V3016" s="130" t="s">
        <v>228</v>
      </c>
      <c r="W3016" s="154" t="s">
        <v>187</v>
      </c>
      <c r="X3016" s="144"/>
      <c r="Y3016" s="130" t="s">
        <v>228</v>
      </c>
      <c r="Z3016" s="154" t="s">
        <v>187</v>
      </c>
      <c r="AA3016" s="144"/>
      <c r="AB3016" s="130" t="s">
        <v>228</v>
      </c>
      <c r="AC3016" s="154" t="s">
        <v>187</v>
      </c>
      <c r="AD3016" s="144"/>
      <c r="AE3016" s="130" t="s">
        <v>228</v>
      </c>
      <c r="AF3016" s="154" t="s">
        <v>187</v>
      </c>
      <c r="AG3016" s="144"/>
      <c r="AH3016" s="130" t="s">
        <v>228</v>
      </c>
      <c r="AI3016" s="154" t="s">
        <v>187</v>
      </c>
      <c r="AJ3016" s="144"/>
      <c r="AK3016" s="130" t="s">
        <v>228</v>
      </c>
      <c r="AL3016" s="154" t="s">
        <v>187</v>
      </c>
      <c r="AM3016" s="144"/>
      <c r="AN3016" s="130" t="s">
        <v>228</v>
      </c>
      <c r="AO3016" s="154" t="s">
        <v>187</v>
      </c>
      <c r="AP3016" s="144"/>
      <c r="AQ3016" s="130" t="s">
        <v>228</v>
      </c>
      <c r="AR3016" s="154" t="s">
        <v>187</v>
      </c>
      <c r="AS3016" s="144"/>
      <c r="AT3016" s="130" t="s">
        <v>228</v>
      </c>
      <c r="AU3016" s="154" t="s">
        <v>187</v>
      </c>
    </row>
    <row r="3017" spans="13:47" x14ac:dyDescent="0.25">
      <c r="M3017" s="20"/>
      <c r="N3017" s="20"/>
      <c r="O3017" s="7" t="s">
        <v>188</v>
      </c>
      <c r="P3017" s="7"/>
      <c r="Q3017" s="7"/>
      <c r="R3017" s="181">
        <f>P_1_minW-(R3015^2*R_up)+dpup_minQ</f>
        <v>100.28179745268717</v>
      </c>
      <c r="S3017" s="132"/>
      <c r="T3017" s="145"/>
      <c r="U3017" s="138">
        <f>P_1_minW-(U3015^2*R_up)+dpup_minQ</f>
        <v>94.556638617546184</v>
      </c>
      <c r="V3017" s="132"/>
      <c r="W3017" s="145"/>
      <c r="X3017" s="138">
        <f>P_1_minW-(X3015^2*R_up)+dpup_minQ</f>
        <v>64.031930020643657</v>
      </c>
      <c r="Y3017" s="132"/>
      <c r="Z3017" s="145"/>
      <c r="AA3017" s="138">
        <f>P_1_minW-(AA3015^2*R_up)+dpup_minQ</f>
        <v>-37.912927758260352</v>
      </c>
      <c r="AB3017" s="132"/>
      <c r="AC3017" s="145"/>
      <c r="AD3017" s="138">
        <f>P_1_minW-(AD3015^2*R_up)+dpup_minQ</f>
        <v>-273.92004831516465</v>
      </c>
      <c r="AE3017" s="132"/>
      <c r="AF3017" s="145"/>
      <c r="AG3017" s="138">
        <f>P_1_minW-(AG3015^2*R_up)+dpup_minQ</f>
        <v>-636.08947180679991</v>
      </c>
      <c r="AH3017" s="132"/>
      <c r="AI3017" s="145"/>
      <c r="AJ3017" s="138">
        <f>P_1_minW-(AJ3015^2*R_up)+dpup_minQ</f>
        <v>-1087.0627056277253</v>
      </c>
      <c r="AK3017" s="132"/>
      <c r="AL3017" s="145"/>
      <c r="AM3017" s="138">
        <f>P_1_minW-(AM3015^2*R_up)+dpup_minQ</f>
        <v>-1532.3368159485397</v>
      </c>
      <c r="AN3017" s="132"/>
      <c r="AO3017" s="145"/>
      <c r="AP3017" s="138">
        <f>P_1_minW-(AP3015^2*R_up)+dpup_minQ</f>
        <v>-1931.9234574722107</v>
      </c>
      <c r="AQ3017" s="132"/>
      <c r="AR3017" s="145"/>
      <c r="AS3017" s="138">
        <f>P_1_minW-(AS3015^2*R_up)+dpup_minQ</f>
        <v>-2429.2952875213305</v>
      </c>
      <c r="AT3017" s="132"/>
      <c r="AU3017" s="145"/>
    </row>
    <row r="3018" spans="13:47" x14ac:dyDescent="0.25">
      <c r="M3018" s="20"/>
      <c r="N3018" s="20"/>
      <c r="O3018" s="7" t="s">
        <v>189</v>
      </c>
      <c r="P3018" s="1"/>
      <c r="Q3018" s="7"/>
      <c r="R3018" s="181">
        <f>P_2_minW+(R3015^2*R_dn)-dpdn_minQ</f>
        <v>50</v>
      </c>
      <c r="S3018" s="132"/>
      <c r="T3018" s="146"/>
      <c r="U3018" s="138">
        <f>P_2_minW+(U3015^2*R_dn)-dpdn_minQ</f>
        <v>50</v>
      </c>
      <c r="V3018" s="132"/>
      <c r="W3018" s="146"/>
      <c r="X3018" s="138">
        <f>P_2_minW+(X3015^2*R_dn)-dpdn_minQ</f>
        <v>50</v>
      </c>
      <c r="Y3018" s="132"/>
      <c r="Z3018" s="146"/>
      <c r="AA3018" s="138">
        <f>P_2_minW+(AA3015^2*R_dn)-dpdn_minQ</f>
        <v>50</v>
      </c>
      <c r="AB3018" s="132"/>
      <c r="AC3018" s="146"/>
      <c r="AD3018" s="138">
        <f>P_2_minW+(AD3015^2*R_dn)-dpdn_minQ</f>
        <v>50</v>
      </c>
      <c r="AE3018" s="132"/>
      <c r="AF3018" s="146"/>
      <c r="AG3018" s="138">
        <f>P_2_minW+(AG3015^2*R_dn)-dpdn_minQ</f>
        <v>50</v>
      </c>
      <c r="AH3018" s="132"/>
      <c r="AI3018" s="146"/>
      <c r="AJ3018" s="138">
        <f>P_2_minW+(AJ3015^2*R_dn)-dpdn_minQ</f>
        <v>50</v>
      </c>
      <c r="AK3018" s="132"/>
      <c r="AL3018" s="146"/>
      <c r="AM3018" s="138">
        <f>P_2_minW+(AM3015^2*R_dn)-dpdn_minQ</f>
        <v>50</v>
      </c>
      <c r="AN3018" s="132"/>
      <c r="AO3018" s="146"/>
      <c r="AP3018" s="138">
        <f>P_2_minW+(AP3015^2*R_dn)-dpdn_minQ</f>
        <v>50</v>
      </c>
      <c r="AQ3018" s="132"/>
      <c r="AR3018" s="146"/>
      <c r="AS3018" s="138">
        <f>P_2_minW+(AS3015^2*R_dn)-dpdn_minQ</f>
        <v>50</v>
      </c>
      <c r="AT3018" s="132"/>
      <c r="AU3018" s="146"/>
    </row>
    <row r="3019" spans="13:47" x14ac:dyDescent="0.25">
      <c r="M3019" s="20"/>
      <c r="N3019" s="20"/>
      <c r="O3019" s="7" t="s">
        <v>234</v>
      </c>
      <c r="P3019" s="1"/>
      <c r="Q3019" s="7"/>
      <c r="R3019" s="179">
        <f>'Valve Sizing'!G$8*R3017/P_1_maxW</f>
        <v>0.48374153683818166</v>
      </c>
      <c r="S3019" s="132"/>
      <c r="T3019" s="146"/>
      <c r="U3019" s="143">
        <f>'Valve Sizing'!$G$8*U3017/P_1_maxW</f>
        <v>0.45612438991916637</v>
      </c>
      <c r="V3019" s="132"/>
      <c r="W3019" s="146"/>
      <c r="X3019" s="143">
        <f>'Valve Sizing'!$G$8*X3017/P_1_maxW</f>
        <v>0.30887863023710749</v>
      </c>
      <c r="Y3019" s="132"/>
      <c r="Z3019" s="146"/>
      <c r="AA3019" s="143">
        <f>'Valve Sizing'!$G$8*AA3017/P_1_maxW</f>
        <v>-0.18288521352510298</v>
      </c>
      <c r="AB3019" s="132"/>
      <c r="AC3019" s="146"/>
      <c r="AD3019" s="143">
        <f>'Valve Sizing'!$G$8*AD3017/P_1_maxW</f>
        <v>-1.3213415446136487</v>
      </c>
      <c r="AE3019" s="132"/>
      <c r="AF3019" s="146"/>
      <c r="AG3019" s="143">
        <f>'Valve Sizing'!$G$8*AG3017/P_1_maxW</f>
        <v>-3.0683823632457576</v>
      </c>
      <c r="AH3019" s="132"/>
      <c r="AI3019" s="146"/>
      <c r="AJ3019" s="143">
        <f>'Valve Sizing'!$G$8*AJ3017/P_1_maxW</f>
        <v>-5.2437969523624322</v>
      </c>
      <c r="AK3019" s="132"/>
      <c r="AL3019" s="146"/>
      <c r="AM3019" s="143">
        <f>'Valve Sizing'!$G$8*AM3017/P_1_maxW</f>
        <v>-7.3917199843809716</v>
      </c>
      <c r="AN3019" s="132"/>
      <c r="AO3019" s="146"/>
      <c r="AP3019" s="143">
        <f>'Valve Sizing'!$G$8*AP3017/P_1_maxW</f>
        <v>-9.3192548010745533</v>
      </c>
      <c r="AQ3019" s="132"/>
      <c r="AR3019" s="146"/>
      <c r="AS3019" s="143">
        <f>'Valve Sizing'!$G$8*AS3017/P_1_maxW</f>
        <v>-11.718487957635139</v>
      </c>
      <c r="AT3019" s="132"/>
      <c r="AU3019" s="146"/>
    </row>
    <row r="3020" spans="13:47" x14ac:dyDescent="0.25">
      <c r="M3020" s="20"/>
      <c r="N3020" s="20"/>
      <c r="O3020" s="7" t="s">
        <v>190</v>
      </c>
      <c r="P3020" s="1"/>
      <c r="Q3020" s="7"/>
      <c r="R3020" s="181">
        <f>R3017-R3018</f>
        <v>50.281797452687172</v>
      </c>
      <c r="S3020" s="132"/>
      <c r="T3020" s="146"/>
      <c r="U3020" s="138">
        <f>U3017-U3018</f>
        <v>44.556638617546184</v>
      </c>
      <c r="V3020" s="132"/>
      <c r="W3020" s="146"/>
      <c r="X3020" s="138">
        <f>X3017-X3018</f>
        <v>14.031930020643657</v>
      </c>
      <c r="Y3020" s="132"/>
      <c r="Z3020" s="146"/>
      <c r="AA3020" s="138">
        <f>AA3017-AA3018</f>
        <v>-87.912927758260352</v>
      </c>
      <c r="AB3020" s="132"/>
      <c r="AC3020" s="146"/>
      <c r="AD3020" s="138">
        <f>AD3017-AD3018</f>
        <v>-323.92004831516465</v>
      </c>
      <c r="AE3020" s="132"/>
      <c r="AF3020" s="146"/>
      <c r="AG3020" s="138">
        <f>AG3017-AG3018</f>
        <v>-686.08947180679991</v>
      </c>
      <c r="AH3020" s="132"/>
      <c r="AI3020" s="146"/>
      <c r="AJ3020" s="138">
        <f>AJ3017-AJ3018</f>
        <v>-1137.0627056277253</v>
      </c>
      <c r="AK3020" s="132"/>
      <c r="AL3020" s="146"/>
      <c r="AM3020" s="138">
        <f>AM3017-AM3018</f>
        <v>-1582.3368159485397</v>
      </c>
      <c r="AN3020" s="132"/>
      <c r="AO3020" s="146"/>
      <c r="AP3020" s="138">
        <f>AP3017-AP3018</f>
        <v>-1981.9234574722107</v>
      </c>
      <c r="AQ3020" s="132"/>
      <c r="AR3020" s="146"/>
      <c r="AS3020" s="138">
        <f>AS3017-AS3018</f>
        <v>-2479.2952875213305</v>
      </c>
      <c r="AT3020" s="132"/>
      <c r="AU3020" s="146"/>
    </row>
    <row r="3021" spans="13:47" ht="14.5" x14ac:dyDescent="0.35">
      <c r="M3021" s="27"/>
      <c r="N3021" s="27"/>
      <c r="O3021" s="2" t="s">
        <v>191</v>
      </c>
      <c r="P3021" s="10"/>
      <c r="Q3021" s="2"/>
      <c r="R3021" s="181">
        <f>R3020/R3017</f>
        <v>0.50140502793051811</v>
      </c>
      <c r="S3021" s="132"/>
      <c r="T3021" s="146"/>
      <c r="U3021" s="138">
        <f>U3020/U3017</f>
        <v>0.47121639758964673</v>
      </c>
      <c r="V3021" s="132"/>
      <c r="W3021" s="146"/>
      <c r="X3021" s="138">
        <f>X3020/X3017</f>
        <v>0.219139576397585</v>
      </c>
      <c r="Y3021" s="132"/>
      <c r="Z3021" s="146"/>
      <c r="AA3021" s="138">
        <f>AA3020/AA3017</f>
        <v>2.3188113647885227</v>
      </c>
      <c r="AB3021" s="132"/>
      <c r="AC3021" s="146"/>
      <c r="AD3021" s="138">
        <f>AD3020/AD3017</f>
        <v>1.1825350145326763</v>
      </c>
      <c r="AE3021" s="132"/>
      <c r="AF3021" s="146"/>
      <c r="AG3021" s="138">
        <f>AG3020/AG3017</f>
        <v>1.0786052940916879</v>
      </c>
      <c r="AH3021" s="132"/>
      <c r="AI3021" s="146"/>
      <c r="AJ3021" s="138">
        <f>AJ3020/AJ3017</f>
        <v>1.0459955067367779</v>
      </c>
      <c r="AK3021" s="132"/>
      <c r="AL3021" s="146"/>
      <c r="AM3021" s="138">
        <f>AM3020/AM3017</f>
        <v>1.0326299019116429</v>
      </c>
      <c r="AN3021" s="132"/>
      <c r="AO3021" s="146"/>
      <c r="AP3021" s="138">
        <f>AP3020/AP3017</f>
        <v>1.0258809425428383</v>
      </c>
      <c r="AQ3021" s="132"/>
      <c r="AR3021" s="146"/>
      <c r="AS3021" s="138">
        <f>AS3020/AS3017</f>
        <v>1.0205821006021119</v>
      </c>
      <c r="AT3021" s="132"/>
      <c r="AU3021" s="146"/>
    </row>
    <row r="3022" spans="13:47" x14ac:dyDescent="0.25">
      <c r="M3022" s="27"/>
      <c r="N3022" s="27"/>
      <c r="O3022" s="2" t="s">
        <v>26</v>
      </c>
      <c r="P3022" s="7">
        <v>12</v>
      </c>
      <c r="Q3022" s="2"/>
      <c r="R3022" s="181">
        <f>1-R3021/(3*F_GAMMA*R$29)</f>
        <v>0.7388625157890607</v>
      </c>
      <c r="S3022" s="133"/>
      <c r="T3022" s="146"/>
      <c r="U3022" s="138">
        <f>1-U3021/(3*F_GAMMA*U$29)</f>
        <v>0.75463913465552268</v>
      </c>
      <c r="V3022" s="133"/>
      <c r="W3022" s="146"/>
      <c r="X3022" s="138">
        <f>1-X3021/(3*F_GAMMA*X$29)</f>
        <v>0.88418296542995867</v>
      </c>
      <c r="Y3022" s="133"/>
      <c r="Z3022" s="146"/>
      <c r="AA3022" s="138">
        <f>1-AA3021/(3*F_GAMMA*AA$29)</f>
        <v>-0.24231397364438423</v>
      </c>
      <c r="AB3022" s="133"/>
      <c r="AC3022" s="146"/>
      <c r="AD3022" s="138">
        <f>1-AD3021/(3*F_GAMMA*AD$29)</f>
        <v>0.34908080952178855</v>
      </c>
      <c r="AE3022" s="133"/>
      <c r="AF3022" s="146"/>
      <c r="AG3022" s="138">
        <f>1-AG3021/(3*F_GAMMA*AG$29)</f>
        <v>0.37242203722834932</v>
      </c>
      <c r="AH3022" s="133"/>
      <c r="AI3022" s="146"/>
      <c r="AJ3022" s="138">
        <f>1-AJ3021/(3*F_GAMMA*AJ$29)</f>
        <v>0.3493938427079627</v>
      </c>
      <c r="AK3022" s="133"/>
      <c r="AL3022" s="146"/>
      <c r="AM3022" s="138">
        <f>1-AM3021/(3*F_GAMMA*AM$29)</f>
        <v>0.29822981289247952</v>
      </c>
      <c r="AN3022" s="133"/>
      <c r="AO3022" s="146"/>
      <c r="AP3022" s="138">
        <f>1-AP3021/(3*F_GAMMA*AP$29)</f>
        <v>0.42385315809144331</v>
      </c>
      <c r="AQ3022" s="133"/>
      <c r="AR3022" s="146"/>
      <c r="AS3022" s="138">
        <f>1-AS3021/(3*F_GAMMA*AS$29)</f>
        <v>0.12987669345464592</v>
      </c>
      <c r="AT3022" s="133"/>
      <c r="AU3022" s="146"/>
    </row>
    <row r="3023" spans="13:47" x14ac:dyDescent="0.25">
      <c r="M3023" s="27"/>
      <c r="N3023" s="27"/>
      <c r="O3023" s="2" t="s">
        <v>71</v>
      </c>
      <c r="P3023" s="85">
        <v>5</v>
      </c>
      <c r="Q3023" s="2"/>
      <c r="R3023" s="179">
        <f>R3015/((N_6*R$27*R3022)*SQRT(R3021*R3017*R3019))</f>
        <v>3.3706534249378572</v>
      </c>
      <c r="S3023" s="133"/>
      <c r="T3023" s="146"/>
      <c r="U3023" s="143">
        <f>U3015/((N_6*U$27*U3022)*SQRT(U3021*U3017*U3019))</f>
        <v>17.975076753099028</v>
      </c>
      <c r="V3023" s="133"/>
      <c r="W3023" s="146"/>
      <c r="X3023" s="143">
        <f>X3015/((N_6*X$27*X3022)*SQRT(X3021*X3017*X3019))</f>
        <v>82.341655129001836</v>
      </c>
      <c r="Y3023" s="133"/>
      <c r="Z3023" s="146"/>
      <c r="AA3023" s="143">
        <f>AA3015/((N_6*AA$27*AA3022)*SQRT(AA3021*AA3017*AA3019))</f>
        <v>-305.59262549365616</v>
      </c>
      <c r="AB3023" s="133"/>
      <c r="AC3023" s="146"/>
      <c r="AD3023" s="143">
        <f>AD3015/((N_6*AD$27*AD3022)*SQRT(AD3021*AD3017*AD3019))</f>
        <v>68.422341706668092</v>
      </c>
      <c r="AE3023" s="133"/>
      <c r="AF3023" s="146"/>
      <c r="AG3023" s="143">
        <f>AG3015/((N_6*AG$27*AG3022)*SQRT(AG3021*AG3017*AG3019))</f>
        <v>41.434996821127918</v>
      </c>
      <c r="AH3023" s="133"/>
      <c r="AI3023" s="146"/>
      <c r="AJ3023" s="143">
        <f>AJ3015/((N_6*AJ$27*AJ3022)*SQRT(AJ3021*AJ3017*AJ3019))</f>
        <v>34.4659263740188</v>
      </c>
      <c r="AK3023" s="133"/>
      <c r="AL3023" s="146"/>
      <c r="AM3023" s="143">
        <f>AM3015/((N_6*AM$27*AM3022)*SQRT(AM3021*AM3017*AM3019))</f>
        <v>35.881723304933054</v>
      </c>
      <c r="AN3023" s="133"/>
      <c r="AO3023" s="146"/>
      <c r="AP3023" s="143">
        <f>AP3015/((N_6*AP$27*AP3022)*SQRT(AP3021*AP3017*AP3019))</f>
        <v>25.461638488127008</v>
      </c>
      <c r="AQ3023" s="133"/>
      <c r="AR3023" s="146"/>
      <c r="AS3023" s="143">
        <f>AS3015/((N_6*AS$27*AS3022)*SQRT(AS3021*AS3017*AS3019))</f>
        <v>97.124141585302809</v>
      </c>
      <c r="AT3023" s="133"/>
      <c r="AU3023" s="146"/>
    </row>
    <row r="3024" spans="13:47" x14ac:dyDescent="0.25">
      <c r="M3024" s="27"/>
      <c r="N3024" s="27"/>
      <c r="O3024" s="2" t="s">
        <v>73</v>
      </c>
      <c r="P3024" s="85">
        <v>5</v>
      </c>
      <c r="Q3024" s="2"/>
      <c r="R3024" s="179">
        <f>R3015/((N_6*R$27*0.667)*SQRT(R3025*R3017*R3019))</f>
        <v>3.3048148677578104</v>
      </c>
      <c r="S3024" s="133"/>
      <c r="T3024" s="147"/>
      <c r="U3024" s="143">
        <f>U3015/((N_6*U$27*0.667)*SQRT(U3025*U3017*U3019))</f>
        <v>17.448074931958811</v>
      </c>
      <c r="V3024" s="133"/>
      <c r="W3024" s="155"/>
      <c r="X3024" s="143">
        <f>X3015/((N_6*X$27*0.667)*SQRT(X3025*X3017*X3019))</f>
        <v>64.340250858539349</v>
      </c>
      <c r="Y3024" s="133"/>
      <c r="Z3024" s="155"/>
      <c r="AA3024" s="143">
        <f>AA3015/((N_6*AA$27*0.667)*SQRT(AA3025*AA3017*AA3019))</f>
        <v>214.32449436614715</v>
      </c>
      <c r="AB3024" s="133"/>
      <c r="AC3024" s="155"/>
      <c r="AD3024" s="143">
        <f>AD3015/((N_6*AD$27*0.667)*SQRT(AD3025*AD3017*AD3019))</f>
        <v>50.040568989909488</v>
      </c>
      <c r="AE3024" s="133"/>
      <c r="AF3024" s="155"/>
      <c r="AG3024" s="143">
        <f>AG3015/((N_6*AG$27*0.667)*SQRT(AG3025*AG3017*AG3019))</f>
        <v>31.744706586889304</v>
      </c>
      <c r="AH3024" s="133"/>
      <c r="AI3024" s="155"/>
      <c r="AJ3024" s="143">
        <f>AJ3015/((N_6*AJ$27*0.667)*SQRT(AJ3025*AJ3017*AJ3019))</f>
        <v>25.223135977513113</v>
      </c>
      <c r="AK3024" s="133"/>
      <c r="AL3024" s="155"/>
      <c r="AM3024" s="143">
        <f>AM3015/((N_6*AM$27*0.667)*SQRT(AM3025*AM3017*AM3019))</f>
        <v>23.278586157706993</v>
      </c>
      <c r="AN3024" s="133"/>
      <c r="AO3024" s="155"/>
      <c r="AP3024" s="143">
        <f>AP3015/((N_6*AP$27*0.667)*SQRT(AP3025*AP3017*AP3019))</f>
        <v>21.271746917035678</v>
      </c>
      <c r="AQ3024" s="133"/>
      <c r="AR3024" s="155"/>
      <c r="AS3024" s="143">
        <f>AS3015/((N_6*AS$27*0.667)*SQRT(AS3025*AS3017*AS3019))</f>
        <v>30.555093072576966</v>
      </c>
      <c r="AT3024" s="133"/>
      <c r="AU3024" s="155"/>
    </row>
    <row r="3025" spans="13:47" ht="15.5" x14ac:dyDescent="0.4">
      <c r="M3025" s="27"/>
      <c r="N3025" s="27"/>
      <c r="O3025" s="2" t="s">
        <v>192</v>
      </c>
      <c r="P3025" s="85">
        <v>10</v>
      </c>
      <c r="Q3025" s="2"/>
      <c r="R3025" s="181">
        <f>F_GAMMA*R$29</f>
        <v>0.64002688015162901</v>
      </c>
      <c r="S3025" s="133"/>
      <c r="T3025" s="147"/>
      <c r="U3025" s="138">
        <f>F_GAMMA*U$29</f>
        <v>0.64016782916606918</v>
      </c>
      <c r="V3025" s="133"/>
      <c r="W3025" s="155"/>
      <c r="X3025" s="138">
        <f>F_GAMMA*X$29</f>
        <v>0.6307062319203669</v>
      </c>
      <c r="Y3025" s="133"/>
      <c r="Z3025" s="155"/>
      <c r="AA3025" s="138">
        <f>F_GAMMA*AA$29</f>
        <v>0.62217534213893466</v>
      </c>
      <c r="AB3025" s="133"/>
      <c r="AC3025" s="155"/>
      <c r="AD3025" s="138">
        <f>F_GAMMA*AD$29</f>
        <v>0.60557184969146072</v>
      </c>
      <c r="AE3025" s="133"/>
      <c r="AF3025" s="155"/>
      <c r="AG3025" s="138">
        <f>F_GAMMA*AG$29</f>
        <v>0.57289312142622573</v>
      </c>
      <c r="AH3025" s="133"/>
      <c r="AI3025" s="155"/>
      <c r="AJ3025" s="138">
        <f>F_GAMMA*AJ$29</f>
        <v>0.53590819116049981</v>
      </c>
      <c r="AK3025" s="133"/>
      <c r="AL3025" s="155"/>
      <c r="AM3025" s="138">
        <f>F_GAMMA*AM$29</f>
        <v>0.49048815926850342</v>
      </c>
      <c r="AN3025" s="133"/>
      <c r="AO3025" s="155"/>
      <c r="AP3025" s="138">
        <f>F_GAMMA*AP$29</f>
        <v>0.59352979016280105</v>
      </c>
      <c r="AQ3025" s="133"/>
      <c r="AR3025" s="155"/>
      <c r="AS3025" s="138">
        <f>F_GAMMA*AS$29</f>
        <v>0.39097221161068291</v>
      </c>
      <c r="AT3025" s="133"/>
      <c r="AU3025" s="155"/>
    </row>
    <row r="3026" spans="13:47" x14ac:dyDescent="0.25">
      <c r="M3026" s="27"/>
      <c r="N3026" s="27"/>
      <c r="O3026" s="2" t="s">
        <v>193</v>
      </c>
      <c r="P3026" s="134"/>
      <c r="Q3026" s="2"/>
      <c r="R3026" s="181">
        <f>IF(R3021&lt;R3025,R3023,R3024)</f>
        <v>3.3706534249378572</v>
      </c>
      <c r="S3026" s="133"/>
      <c r="T3026" s="147"/>
      <c r="U3026" s="138">
        <f>IF(U3021&lt;U3025,U3023,U3024)</f>
        <v>17.975076753099028</v>
      </c>
      <c r="V3026" s="133"/>
      <c r="W3026" s="155"/>
      <c r="X3026" s="138">
        <f>IF(X3021&lt;X3025,X3023,X3024)</f>
        <v>82.341655129001836</v>
      </c>
      <c r="Y3026" s="133"/>
      <c r="Z3026" s="155"/>
      <c r="AA3026" s="138">
        <f>IF(AA3021&lt;AA3025,AA3023,AA3024)</f>
        <v>214.32449436614715</v>
      </c>
      <c r="AB3026" s="133"/>
      <c r="AC3026" s="155"/>
      <c r="AD3026" s="138">
        <f>IF(AD3021&lt;AD3025,AD3023,AD3024)</f>
        <v>50.040568989909488</v>
      </c>
      <c r="AE3026" s="133"/>
      <c r="AF3026" s="155"/>
      <c r="AG3026" s="138">
        <f>IF(AG3021&lt;AG3025,AG3023,AG3024)</f>
        <v>31.744706586889304</v>
      </c>
      <c r="AH3026" s="133"/>
      <c r="AI3026" s="155"/>
      <c r="AJ3026" s="138">
        <f>IF(AJ3021&lt;AJ3025,AJ3023,AJ3024)</f>
        <v>25.223135977513113</v>
      </c>
      <c r="AK3026" s="133"/>
      <c r="AL3026" s="155"/>
      <c r="AM3026" s="138">
        <f>IF(AM3021&lt;AM3025,AM3023,AM3024)</f>
        <v>23.278586157706993</v>
      </c>
      <c r="AN3026" s="133"/>
      <c r="AO3026" s="155"/>
      <c r="AP3026" s="138">
        <f>IF(AP3021&lt;AP3025,AP3023,AP3024)</f>
        <v>21.271746917035678</v>
      </c>
      <c r="AQ3026" s="133"/>
      <c r="AR3026" s="155"/>
      <c r="AS3026" s="138">
        <f>IF(AS3021&lt;AS3025,AS3023,AS3024)</f>
        <v>30.555093072576966</v>
      </c>
      <c r="AT3026" s="133"/>
      <c r="AU3026" s="155"/>
    </row>
    <row r="3027" spans="13:47" ht="13" x14ac:dyDescent="0.3">
      <c r="M3027" s="28"/>
      <c r="N3027" s="28"/>
      <c r="O3027" s="9" t="s">
        <v>194</v>
      </c>
      <c r="P3027" s="1"/>
      <c r="Q3027" s="1"/>
      <c r="R3027" s="135"/>
      <c r="S3027" s="132">
        <f>IF(R3020&lt;=0,W_max,ABS(R$23-R3026))</f>
        <v>1.3706534249378572</v>
      </c>
      <c r="T3027" s="151">
        <f>R3015</f>
        <v>777.39558878713683</v>
      </c>
      <c r="U3027" s="135"/>
      <c r="V3027" s="132">
        <f>IF(U3020&lt;=0,W_max,ABS(U$23-U3026))</f>
        <v>12.975076753099028</v>
      </c>
      <c r="W3027" s="151">
        <f>U3015</f>
        <v>3868.0334565556577</v>
      </c>
      <c r="X3027" s="135"/>
      <c r="Y3027" s="132">
        <f>IF(X3020&lt;=0,W_max,ABS(X$23-X3026))</f>
        <v>72.341655129001836</v>
      </c>
      <c r="Z3027" s="151">
        <f>X3015</f>
        <v>9566.1070394392464</v>
      </c>
      <c r="AA3027" s="135"/>
      <c r="AB3027" s="132">
        <f>IF(AA3020&lt;=0,W_max,ABS(AA$23-AA3026))</f>
        <v>7174</v>
      </c>
      <c r="AC3027" s="151">
        <f>AA3015</f>
        <v>18632.334807882256</v>
      </c>
      <c r="AD3027" s="135"/>
      <c r="AE3027" s="132">
        <f>IF(AD3020&lt;=0,W_max,ABS(AD$23-AD3026))</f>
        <v>7174</v>
      </c>
      <c r="AF3027" s="151">
        <f>AD3015</f>
        <v>30643.330740292586</v>
      </c>
      <c r="AG3027" s="135"/>
      <c r="AH3027" s="132">
        <f>IF(AG3020&lt;=0,W_max,ABS(AG$23-AG3026))</f>
        <v>7174</v>
      </c>
      <c r="AI3027" s="151">
        <f>AG3015</f>
        <v>42979.630475917002</v>
      </c>
      <c r="AJ3027" s="135"/>
      <c r="AK3027" s="132">
        <f>IF(AJ3020&lt;=0,W_max,ABS(AJ$23-AJ3026))</f>
        <v>7174</v>
      </c>
      <c r="AL3027" s="151">
        <f>AJ3015</f>
        <v>54572.725996370049</v>
      </c>
      <c r="AM3027" s="135"/>
      <c r="AN3027" s="132">
        <f>IF(AM3020&lt;=0,W_max,ABS(AM$23-AM3026))</f>
        <v>7174</v>
      </c>
      <c r="AO3027" s="151">
        <f>AM3015</f>
        <v>63990.813098615879</v>
      </c>
      <c r="AP3027" s="135"/>
      <c r="AQ3027" s="132">
        <f>IF(AP3020&lt;=0,W_max,ABS(AP$23-AP3026))</f>
        <v>7174</v>
      </c>
      <c r="AR3027" s="151">
        <f>AP3015</f>
        <v>71392.524651502041</v>
      </c>
      <c r="AS3027" s="135"/>
      <c r="AT3027" s="132">
        <f>IF(AS3020&lt;=0,W_max,ABS(AS$23-AS3026))</f>
        <v>7174</v>
      </c>
      <c r="AU3027" s="151">
        <f>AS3015</f>
        <v>79650.379942204134</v>
      </c>
    </row>
    <row r="3028" spans="13:47" ht="13" x14ac:dyDescent="0.25">
      <c r="M3028" s="12"/>
      <c r="N3028" s="12"/>
      <c r="O3028" s="12"/>
      <c r="P3028" s="12"/>
      <c r="Q3028" s="12"/>
      <c r="R3028" s="182"/>
      <c r="S3028" s="22"/>
      <c r="T3028" s="152"/>
      <c r="U3028" s="157"/>
      <c r="V3028" s="1"/>
      <c r="W3028" s="147"/>
      <c r="X3028" s="157"/>
      <c r="Y3028" s="1"/>
      <c r="Z3028" s="147"/>
      <c r="AA3028" s="157"/>
      <c r="AB3028" s="1"/>
      <c r="AC3028" s="147"/>
      <c r="AD3028" s="157"/>
      <c r="AE3028" s="1"/>
      <c r="AF3028" s="147"/>
      <c r="AG3028" s="157"/>
      <c r="AH3028" s="1"/>
      <c r="AI3028" s="147"/>
      <c r="AJ3028" s="157"/>
      <c r="AK3028" s="1"/>
      <c r="AL3028" s="147"/>
      <c r="AM3028" s="157"/>
      <c r="AN3028" s="1"/>
      <c r="AO3028" s="147"/>
      <c r="AP3028" s="157"/>
      <c r="AQ3028" s="1"/>
      <c r="AR3028" s="147"/>
      <c r="AS3028" s="157"/>
      <c r="AT3028" s="1"/>
      <c r="AU3028" s="147"/>
    </row>
    <row r="3029" spans="13:47" ht="14" x14ac:dyDescent="0.3">
      <c r="M3029" s="23"/>
      <c r="N3029" s="23"/>
      <c r="O3029" s="23" t="s">
        <v>238</v>
      </c>
      <c r="P3029" s="20"/>
      <c r="Q3029" s="20"/>
      <c r="R3029" s="18">
        <f>R3015*1.02</f>
        <v>792.94350056287954</v>
      </c>
      <c r="S3029" s="128" t="s">
        <v>185</v>
      </c>
      <c r="T3029" s="153" t="s">
        <v>186</v>
      </c>
      <c r="U3029" s="143">
        <f>U3015*1.01</f>
        <v>3906.7137911212144</v>
      </c>
      <c r="V3029" s="128" t="s">
        <v>185</v>
      </c>
      <c r="W3029" s="153" t="s">
        <v>186</v>
      </c>
      <c r="X3029" s="143">
        <f>X3015*1.01</f>
        <v>9661.7681098336398</v>
      </c>
      <c r="Y3029" s="128" t="s">
        <v>185</v>
      </c>
      <c r="Z3029" s="153" t="s">
        <v>186</v>
      </c>
      <c r="AA3029" s="143">
        <f>AA3015*1.01</f>
        <v>18818.658155961079</v>
      </c>
      <c r="AB3029" s="128" t="s">
        <v>185</v>
      </c>
      <c r="AC3029" s="153" t="s">
        <v>186</v>
      </c>
      <c r="AD3029" s="143">
        <f>AD3015*1.01</f>
        <v>30949.764047695513</v>
      </c>
      <c r="AE3029" s="128" t="s">
        <v>185</v>
      </c>
      <c r="AF3029" s="153" t="s">
        <v>186</v>
      </c>
      <c r="AG3029" s="143">
        <f>AG3015*1.01</f>
        <v>43409.426780676171</v>
      </c>
      <c r="AH3029" s="128" t="s">
        <v>185</v>
      </c>
      <c r="AI3029" s="153" t="s">
        <v>186</v>
      </c>
      <c r="AJ3029" s="143">
        <f>AJ3015*1.01</f>
        <v>55118.453256333749</v>
      </c>
      <c r="AK3029" s="128" t="s">
        <v>185</v>
      </c>
      <c r="AL3029" s="153" t="s">
        <v>186</v>
      </c>
      <c r="AM3029" s="143">
        <f>AM3015*1.01</f>
        <v>64630.721229602037</v>
      </c>
      <c r="AN3029" s="128" t="s">
        <v>185</v>
      </c>
      <c r="AO3029" s="153" t="s">
        <v>186</v>
      </c>
      <c r="AP3029" s="143">
        <f>AP3015*1.01</f>
        <v>72106.449898017061</v>
      </c>
      <c r="AQ3029" s="128" t="s">
        <v>185</v>
      </c>
      <c r="AR3029" s="153" t="s">
        <v>186</v>
      </c>
      <c r="AS3029" s="143">
        <f>AS3015*1.01</f>
        <v>80446.883741626181</v>
      </c>
      <c r="AT3029" s="128" t="s">
        <v>185</v>
      </c>
      <c r="AU3029" s="153" t="s">
        <v>186</v>
      </c>
    </row>
    <row r="3030" spans="13:47" ht="14" x14ac:dyDescent="0.3">
      <c r="M3030" s="12"/>
      <c r="N3030" s="12"/>
      <c r="O3030" s="20"/>
      <c r="P3030" s="20"/>
      <c r="Q3030" s="23"/>
      <c r="R3030" s="139"/>
      <c r="S3030" s="130" t="s">
        <v>228</v>
      </c>
      <c r="T3030" s="154" t="s">
        <v>187</v>
      </c>
      <c r="U3030" s="144"/>
      <c r="V3030" s="130" t="s">
        <v>228</v>
      </c>
      <c r="W3030" s="154" t="s">
        <v>187</v>
      </c>
      <c r="X3030" s="144"/>
      <c r="Y3030" s="130" t="s">
        <v>228</v>
      </c>
      <c r="Z3030" s="154" t="s">
        <v>187</v>
      </c>
      <c r="AA3030" s="144"/>
      <c r="AB3030" s="130" t="s">
        <v>228</v>
      </c>
      <c r="AC3030" s="154" t="s">
        <v>187</v>
      </c>
      <c r="AD3030" s="144"/>
      <c r="AE3030" s="130" t="s">
        <v>228</v>
      </c>
      <c r="AF3030" s="154" t="s">
        <v>187</v>
      </c>
      <c r="AG3030" s="144"/>
      <c r="AH3030" s="130" t="s">
        <v>228</v>
      </c>
      <c r="AI3030" s="154" t="s">
        <v>187</v>
      </c>
      <c r="AJ3030" s="144"/>
      <c r="AK3030" s="130" t="s">
        <v>228</v>
      </c>
      <c r="AL3030" s="154" t="s">
        <v>187</v>
      </c>
      <c r="AM3030" s="144"/>
      <c r="AN3030" s="130" t="s">
        <v>228</v>
      </c>
      <c r="AO3030" s="154" t="s">
        <v>187</v>
      </c>
      <c r="AP3030" s="144"/>
      <c r="AQ3030" s="130" t="s">
        <v>228</v>
      </c>
      <c r="AR3030" s="154" t="s">
        <v>187</v>
      </c>
      <c r="AS3030" s="144"/>
      <c r="AT3030" s="130" t="s">
        <v>228</v>
      </c>
      <c r="AU3030" s="154" t="s">
        <v>187</v>
      </c>
    </row>
    <row r="3031" spans="13:47" x14ac:dyDescent="0.25">
      <c r="M3031" s="20"/>
      <c r="N3031" s="20"/>
      <c r="O3031" s="7" t="s">
        <v>188</v>
      </c>
      <c r="P3031" s="7"/>
      <c r="Q3031" s="7"/>
      <c r="R3031" s="181">
        <f>P_1_minW-(R3029^2*R_up)+dpup_minQ</f>
        <v>100.27206148561199</v>
      </c>
      <c r="S3031" s="132"/>
      <c r="T3031" s="145"/>
      <c r="U3031" s="138">
        <f>P_1_minW-(U3029^2*R_up)+dpup_minQ</f>
        <v>94.436719040350653</v>
      </c>
      <c r="V3031" s="132"/>
      <c r="W3031" s="145"/>
      <c r="X3031" s="138">
        <f>P_1_minW-(X3029^2*R_up)+dpup_minQ</f>
        <v>63.298463800650381</v>
      </c>
      <c r="Y3031" s="132"/>
      <c r="Z3031" s="145"/>
      <c r="AA3031" s="138">
        <f>P_1_minW-(AA3029^2*R_up)+dpup_minQ</f>
        <v>-40.695485619609585</v>
      </c>
      <c r="AB3031" s="132"/>
      <c r="AC3031" s="145"/>
      <c r="AD3031" s="138">
        <f>P_1_minW-(AD3029^2*R_up)+dpup_minQ</f>
        <v>-281.44634929970772</v>
      </c>
      <c r="AE3031" s="132"/>
      <c r="AF3031" s="145"/>
      <c r="AG3031" s="138">
        <f>P_1_minW-(AG3029^2*R_up)+dpup_minQ</f>
        <v>-650.89537820352473</v>
      </c>
      <c r="AH3031" s="132"/>
      <c r="AI3031" s="145"/>
      <c r="AJ3031" s="138">
        <f>P_1_minW-(AJ3029^2*R_up)+dpup_minQ</f>
        <v>-1110.9331740242508</v>
      </c>
      <c r="AK3031" s="132"/>
      <c r="AL3031" s="145"/>
      <c r="AM3031" s="138">
        <f>P_1_minW-(AM3029^2*R_up)+dpup_minQ</f>
        <v>-1565.1572939625132</v>
      </c>
      <c r="AN3031" s="132"/>
      <c r="AO3031" s="145"/>
      <c r="AP3031" s="138">
        <f>P_1_minW-(AP3029^2*R_up)+dpup_minQ</f>
        <v>-1972.7756269808101</v>
      </c>
      <c r="AQ3031" s="132"/>
      <c r="AR3031" s="145"/>
      <c r="AS3031" s="138">
        <f>P_1_minW-(AS3029^2*R_up)+dpup_minQ</f>
        <v>-2480.144630813918</v>
      </c>
      <c r="AT3031" s="132"/>
      <c r="AU3031" s="145"/>
    </row>
    <row r="3032" spans="13:47" x14ac:dyDescent="0.25">
      <c r="M3032" s="20"/>
      <c r="N3032" s="20"/>
      <c r="O3032" s="7" t="s">
        <v>189</v>
      </c>
      <c r="P3032" s="1"/>
      <c r="Q3032" s="7"/>
      <c r="R3032" s="181">
        <f>P_2_minW+(R3029^2*R_dn)-dpdn_minQ</f>
        <v>50</v>
      </c>
      <c r="S3032" s="132"/>
      <c r="T3032" s="146"/>
      <c r="U3032" s="138">
        <f>P_2_minW+(U3029^2*R_dn)-dpdn_minQ</f>
        <v>50</v>
      </c>
      <c r="V3032" s="132"/>
      <c r="W3032" s="146"/>
      <c r="X3032" s="138">
        <f>P_2_minW+(X3029^2*R_dn)-dpdn_minQ</f>
        <v>50</v>
      </c>
      <c r="Y3032" s="132"/>
      <c r="Z3032" s="146"/>
      <c r="AA3032" s="138">
        <f>P_2_minW+(AA3029^2*R_dn)-dpdn_minQ</f>
        <v>50</v>
      </c>
      <c r="AB3032" s="132"/>
      <c r="AC3032" s="146"/>
      <c r="AD3032" s="138">
        <f>P_2_minW+(AD3029^2*R_dn)-dpdn_minQ</f>
        <v>50</v>
      </c>
      <c r="AE3032" s="132"/>
      <c r="AF3032" s="146"/>
      <c r="AG3032" s="138">
        <f>P_2_minW+(AG3029^2*R_dn)-dpdn_minQ</f>
        <v>50</v>
      </c>
      <c r="AH3032" s="132"/>
      <c r="AI3032" s="146"/>
      <c r="AJ3032" s="138">
        <f>P_2_minW+(AJ3029^2*R_dn)-dpdn_minQ</f>
        <v>50</v>
      </c>
      <c r="AK3032" s="132"/>
      <c r="AL3032" s="146"/>
      <c r="AM3032" s="138">
        <f>P_2_minW+(AM3029^2*R_dn)-dpdn_minQ</f>
        <v>50</v>
      </c>
      <c r="AN3032" s="132"/>
      <c r="AO3032" s="146"/>
      <c r="AP3032" s="138">
        <f>P_2_minW+(AP3029^2*R_dn)-dpdn_minQ</f>
        <v>50</v>
      </c>
      <c r="AQ3032" s="132"/>
      <c r="AR3032" s="146"/>
      <c r="AS3032" s="138">
        <f>P_2_minW+(AS3029^2*R_dn)-dpdn_minQ</f>
        <v>50</v>
      </c>
      <c r="AT3032" s="132"/>
      <c r="AU3032" s="146"/>
    </row>
    <row r="3033" spans="13:47" x14ac:dyDescent="0.25">
      <c r="M3033" s="20"/>
      <c r="N3033" s="20"/>
      <c r="O3033" s="7" t="s">
        <v>234</v>
      </c>
      <c r="P3033" s="1"/>
      <c r="Q3033" s="7"/>
      <c r="R3033" s="179">
        <f>'Valve Sizing'!G$8*R3031/P_1_maxW</f>
        <v>0.48369457226639306</v>
      </c>
      <c r="S3033" s="132"/>
      <c r="T3033" s="146"/>
      <c r="U3033" s="143">
        <f>'Valve Sizing'!$G$8*U3031/P_1_maxW</f>
        <v>0.4555459192291399</v>
      </c>
      <c r="V3033" s="132"/>
      <c r="W3033" s="146"/>
      <c r="X3033" s="143">
        <f>'Valve Sizing'!$G$8*X3031/P_1_maxW</f>
        <v>0.30534051977747156</v>
      </c>
      <c r="Y3033" s="132"/>
      <c r="Z3033" s="146"/>
      <c r="AA3033" s="143">
        <f>'Valve Sizing'!$G$8*AA3031/P_1_maxW</f>
        <v>-0.19630777724435922</v>
      </c>
      <c r="AB3033" s="132"/>
      <c r="AC3033" s="146"/>
      <c r="AD3033" s="143">
        <f>'Valve Sizing'!$G$8*AD3031/P_1_maxW</f>
        <v>-1.3576470805877849</v>
      </c>
      <c r="AE3033" s="132"/>
      <c r="AF3033" s="146"/>
      <c r="AG3033" s="143">
        <f>'Valve Sizing'!$G$8*AG3031/P_1_maxW</f>
        <v>-3.1398034196743985</v>
      </c>
      <c r="AH3033" s="132"/>
      <c r="AI3033" s="146"/>
      <c r="AJ3033" s="143">
        <f>'Valve Sizing'!$G$8*AJ3031/P_1_maxW</f>
        <v>-5.3589438420323194</v>
      </c>
      <c r="AK3033" s="132"/>
      <c r="AL3033" s="146"/>
      <c r="AM3033" s="143">
        <f>'Valve Sizing'!$G$8*AM3031/P_1_maxW</f>
        <v>-7.5500401269944293</v>
      </c>
      <c r="AN3033" s="132"/>
      <c r="AO3033" s="146"/>
      <c r="AP3033" s="143">
        <f>'Valve Sizing'!$G$8*AP3031/P_1_maxW</f>
        <v>-9.5163183935035516</v>
      </c>
      <c r="AQ3033" s="132"/>
      <c r="AR3033" s="146"/>
      <c r="AS3033" s="143">
        <f>'Valve Sizing'!$G$8*AS3031/P_1_maxW</f>
        <v>-11.963776136511012</v>
      </c>
      <c r="AT3033" s="132"/>
      <c r="AU3033" s="146"/>
    </row>
    <row r="3034" spans="13:47" x14ac:dyDescent="0.25">
      <c r="M3034" s="20"/>
      <c r="N3034" s="20"/>
      <c r="O3034" s="7" t="s">
        <v>190</v>
      </c>
      <c r="P3034" s="1"/>
      <c r="Q3034" s="7"/>
      <c r="R3034" s="181">
        <f>R3031-R3032</f>
        <v>50.272061485611985</v>
      </c>
      <c r="S3034" s="132"/>
      <c r="T3034" s="146"/>
      <c r="U3034" s="138">
        <f>U3031-U3032</f>
        <v>44.436719040350653</v>
      </c>
      <c r="V3034" s="132"/>
      <c r="W3034" s="146"/>
      <c r="X3034" s="138">
        <f>X3031-X3032</f>
        <v>13.298463800650381</v>
      </c>
      <c r="Y3034" s="132"/>
      <c r="Z3034" s="146"/>
      <c r="AA3034" s="138">
        <f>AA3031-AA3032</f>
        <v>-90.695485619609585</v>
      </c>
      <c r="AB3034" s="132"/>
      <c r="AC3034" s="146"/>
      <c r="AD3034" s="138">
        <f>AD3031-AD3032</f>
        <v>-331.44634929970772</v>
      </c>
      <c r="AE3034" s="132"/>
      <c r="AF3034" s="146"/>
      <c r="AG3034" s="138">
        <f>AG3031-AG3032</f>
        <v>-700.89537820352473</v>
      </c>
      <c r="AH3034" s="132"/>
      <c r="AI3034" s="146"/>
      <c r="AJ3034" s="138">
        <f>AJ3031-AJ3032</f>
        <v>-1160.9331740242508</v>
      </c>
      <c r="AK3034" s="132"/>
      <c r="AL3034" s="146"/>
      <c r="AM3034" s="138">
        <f>AM3031-AM3032</f>
        <v>-1615.1572939625132</v>
      </c>
      <c r="AN3034" s="132"/>
      <c r="AO3034" s="146"/>
      <c r="AP3034" s="138">
        <f>AP3031-AP3032</f>
        <v>-2022.7756269808101</v>
      </c>
      <c r="AQ3034" s="132"/>
      <c r="AR3034" s="146"/>
      <c r="AS3034" s="138">
        <f>AS3031-AS3032</f>
        <v>-2530.144630813918</v>
      </c>
      <c r="AT3034" s="132"/>
      <c r="AU3034" s="146"/>
    </row>
    <row r="3035" spans="13:47" ht="14.5" x14ac:dyDescent="0.35">
      <c r="M3035" s="27"/>
      <c r="N3035" s="27"/>
      <c r="O3035" s="2" t="s">
        <v>191</v>
      </c>
      <c r="P3035" s="10"/>
      <c r="Q3035" s="2"/>
      <c r="R3035" s="181">
        <f>R3034/R3031</f>
        <v>0.50135661659679265</v>
      </c>
      <c r="S3035" s="132"/>
      <c r="T3035" s="146"/>
      <c r="U3035" s="138">
        <f>U3034/U3031</f>
        <v>0.47054492671821707</v>
      </c>
      <c r="V3035" s="132"/>
      <c r="W3035" s="146"/>
      <c r="X3035" s="138">
        <f>X3034/X3031</f>
        <v>0.21009141458048688</v>
      </c>
      <c r="Y3035" s="132"/>
      <c r="Z3035" s="146"/>
      <c r="AA3035" s="138">
        <f>AA3034/AA3031</f>
        <v>2.2286375070532869</v>
      </c>
      <c r="AB3035" s="132"/>
      <c r="AC3035" s="146"/>
      <c r="AD3035" s="138">
        <f>AD3034/AD3031</f>
        <v>1.1776537522139106</v>
      </c>
      <c r="AE3035" s="132"/>
      <c r="AF3035" s="146"/>
      <c r="AG3035" s="138">
        <f>AG3034/AG3031</f>
        <v>1.0768172607677755</v>
      </c>
      <c r="AH3035" s="132"/>
      <c r="AI3035" s="146"/>
      <c r="AJ3035" s="138">
        <f>AJ3034/AJ3031</f>
        <v>1.0450072076062682</v>
      </c>
      <c r="AK3035" s="132"/>
      <c r="AL3035" s="146"/>
      <c r="AM3035" s="138">
        <f>AM3034/AM3031</f>
        <v>1.0319456710152211</v>
      </c>
      <c r="AN3035" s="132"/>
      <c r="AO3035" s="146"/>
      <c r="AP3035" s="138">
        <f>AP3034/AP3031</f>
        <v>1.0253450008790514</v>
      </c>
      <c r="AQ3035" s="132"/>
      <c r="AR3035" s="146"/>
      <c r="AS3035" s="138">
        <f>AS3034/AS3031</f>
        <v>1.0201601146073451</v>
      </c>
      <c r="AT3035" s="132"/>
      <c r="AU3035" s="146"/>
    </row>
    <row r="3036" spans="13:47" x14ac:dyDescent="0.25">
      <c r="M3036" s="27"/>
      <c r="N3036" s="27"/>
      <c r="O3036" s="2" t="s">
        <v>26</v>
      </c>
      <c r="P3036" s="7">
        <v>12</v>
      </c>
      <c r="Q3036" s="2"/>
      <c r="R3036" s="181">
        <f>1-R3035/(3*F_GAMMA*R$29)</f>
        <v>0.73888772896641663</v>
      </c>
      <c r="S3036" s="133"/>
      <c r="T3036" s="146"/>
      <c r="U3036" s="138">
        <f>1-U3035/(3*F_GAMMA*U$29)</f>
        <v>0.75498876738246157</v>
      </c>
      <c r="V3036" s="133"/>
      <c r="W3036" s="146"/>
      <c r="X3036" s="138">
        <f>1-X3035/(3*F_GAMMA*X$29)</f>
        <v>0.88896499196844625</v>
      </c>
      <c r="Y3036" s="133"/>
      <c r="Z3036" s="146"/>
      <c r="AA3036" s="138">
        <f>1-AA3035/(3*F_GAMMA*AA$29)</f>
        <v>-0.19400290995761438</v>
      </c>
      <c r="AB3036" s="133"/>
      <c r="AC3036" s="146"/>
      <c r="AD3036" s="138">
        <f>1-AD3035/(3*F_GAMMA*AD$29)</f>
        <v>0.35176767061088576</v>
      </c>
      <c r="AE3036" s="133"/>
      <c r="AF3036" s="146"/>
      <c r="AG3036" s="138">
        <f>1-AG3035/(3*F_GAMMA*AG$29)</f>
        <v>0.37346239028144068</v>
      </c>
      <c r="AH3036" s="133"/>
      <c r="AI3036" s="146"/>
      <c r="AJ3036" s="138">
        <f>1-AJ3035/(3*F_GAMMA*AJ$29)</f>
        <v>0.3500085618873614</v>
      </c>
      <c r="AK3036" s="133"/>
      <c r="AL3036" s="146"/>
      <c r="AM3036" s="138">
        <f>1-AM3035/(3*F_GAMMA*AM$29)</f>
        <v>0.29869481283419907</v>
      </c>
      <c r="AN3036" s="133"/>
      <c r="AO3036" s="146"/>
      <c r="AP3036" s="138">
        <f>1-AP3035/(3*F_GAMMA*AP$29)</f>
        <v>0.42415414925351003</v>
      </c>
      <c r="AQ3036" s="133"/>
      <c r="AR3036" s="146"/>
      <c r="AS3036" s="138">
        <f>1-AS3035/(3*F_GAMMA*AS$29)</f>
        <v>0.13023646838002001</v>
      </c>
      <c r="AT3036" s="133"/>
      <c r="AU3036" s="146"/>
    </row>
    <row r="3037" spans="13:47" x14ac:dyDescent="0.25">
      <c r="M3037" s="27"/>
      <c r="N3037" s="27"/>
      <c r="O3037" s="2" t="s">
        <v>71</v>
      </c>
      <c r="P3037" s="85">
        <v>5</v>
      </c>
      <c r="Q3037" s="2"/>
      <c r="R3037" s="179">
        <f>R3029/((N_6*R$27*R3036)*SQRT(R3035*R3031*R3033))</f>
        <v>3.4384489826655615</v>
      </c>
      <c r="S3037" s="133"/>
      <c r="T3037" s="146"/>
      <c r="U3037" s="143">
        <f>U3029/((N_6*U$27*U3036)*SQRT(U3035*U3031*U3033))</f>
        <v>18.182422495554274</v>
      </c>
      <c r="V3037" s="133"/>
      <c r="W3037" s="146"/>
      <c r="X3037" s="143">
        <f>X3029/((N_6*X$27*X3036)*SQRT(X3035*X3031*X3033))</f>
        <v>85.459063570823545</v>
      </c>
      <c r="Y3037" s="133"/>
      <c r="Z3037" s="146"/>
      <c r="AA3037" s="143">
        <f>AA3029/((N_6*AA$27*AA3036)*SQRT(AA3035*AA3031*AA3033))</f>
        <v>-366.34354140728999</v>
      </c>
      <c r="AB3037" s="133"/>
      <c r="AC3037" s="146"/>
      <c r="AD3037" s="143">
        <f>AD3029/((N_6*AD$27*AD3036)*SQRT(AD3035*AD3031*AD3033))</f>
        <v>66.883001265760697</v>
      </c>
      <c r="AE3037" s="133"/>
      <c r="AF3037" s="146"/>
      <c r="AG3037" s="143">
        <f>AG3029/((N_6*AG$27*AG3036)*SQRT(AG3035*AG3031*AG3033))</f>
        <v>40.817318647836764</v>
      </c>
      <c r="AH3037" s="133"/>
      <c r="AI3037" s="146"/>
      <c r="AJ3037" s="143">
        <f>AJ3029/((N_6*AJ$27*AJ3036)*SQRT(AJ3035*AJ3031*AJ3033))</f>
        <v>34.018866284241227</v>
      </c>
      <c r="AK3037" s="133"/>
      <c r="AL3037" s="146"/>
      <c r="AM3037" s="143">
        <f>AM3029/((N_6*AM$27*AM3036)*SQRT(AM3035*AM3031*AM3033))</f>
        <v>35.437103767209976</v>
      </c>
      <c r="AN3037" s="133"/>
      <c r="AO3037" s="146"/>
      <c r="AP3037" s="143">
        <f>AP3029/((N_6*AP$27*AP3036)*SQRT(AP3035*AP3031*AP3033))</f>
        <v>25.172428670659674</v>
      </c>
      <c r="AQ3037" s="133"/>
      <c r="AR3037" s="146"/>
      <c r="AS3037" s="143">
        <f>AS3029/((N_6*AS$27*AS3036)*SQRT(AS3035*AS3031*AS3033))</f>
        <v>95.838560795780239</v>
      </c>
      <c r="AT3037" s="133"/>
      <c r="AU3037" s="146"/>
    </row>
    <row r="3038" spans="13:47" x14ac:dyDescent="0.25">
      <c r="M3038" s="27"/>
      <c r="N3038" s="27"/>
      <c r="O3038" s="2" t="s">
        <v>73</v>
      </c>
      <c r="P3038" s="85">
        <v>5</v>
      </c>
      <c r="Q3038" s="2"/>
      <c r="R3038" s="179">
        <f>R3029/((N_6*R$27*0.667)*SQRT(R3039*R3031*R3033))</f>
        <v>3.3712384654559604</v>
      </c>
      <c r="S3038" s="133"/>
      <c r="T3038" s="155"/>
      <c r="U3038" s="143">
        <f>U3029/((N_6*U$27*0.667)*SQRT(U3039*U3031*U3033))</f>
        <v>17.64493351744084</v>
      </c>
      <c r="V3038" s="133"/>
      <c r="W3038" s="155"/>
      <c r="X3038" s="143">
        <f>X3029/((N_6*X$27*0.667)*SQRT(X3039*X3031*X3033))</f>
        <v>65.736646595311896</v>
      </c>
      <c r="Y3038" s="133"/>
      <c r="Z3038" s="155"/>
      <c r="AA3038" s="143">
        <f>AA3029/((N_6*AA$27*0.667)*SQRT(AA3039*AA3031*AA3033))</f>
        <v>201.66673618687838</v>
      </c>
      <c r="AB3038" s="133"/>
      <c r="AC3038" s="155"/>
      <c r="AD3038" s="143">
        <f>AD3029/((N_6*AD$27*0.667)*SQRT(AD3039*AD3031*AD3033))</f>
        <v>49.189432588611162</v>
      </c>
      <c r="AE3038" s="133"/>
      <c r="AF3038" s="155"/>
      <c r="AG3038" s="143">
        <f>AG3029/((N_6*AG$27*0.667)*SQRT(AG3039*AG3031*AG3033))</f>
        <v>31.332836374195942</v>
      </c>
      <c r="AH3038" s="133"/>
      <c r="AI3038" s="155"/>
      <c r="AJ3038" s="143">
        <f>AJ3029/((N_6*AJ$27*0.667)*SQRT(AJ3039*AJ3031*AJ3033))</f>
        <v>24.927981621267364</v>
      </c>
      <c r="AK3038" s="133"/>
      <c r="AL3038" s="155"/>
      <c r="AM3038" s="143">
        <f>AM3029/((N_6*AM$27*0.667)*SQRT(AM3039*AM3031*AM3033))</f>
        <v>23.018351623561621</v>
      </c>
      <c r="AN3038" s="133"/>
      <c r="AO3038" s="155"/>
      <c r="AP3038" s="143">
        <f>AP3029/((N_6*AP$27*0.667)*SQRT(AP3039*AP3031*AP3033))</f>
        <v>21.039564840153762</v>
      </c>
      <c r="AQ3038" s="133"/>
      <c r="AR3038" s="155"/>
      <c r="AS3038" s="143">
        <f>AS3029/((N_6*AS$27*0.667)*SQRT(AS3039*AS3031*AS3033))</f>
        <v>30.227921434764756</v>
      </c>
      <c r="AT3038" s="133"/>
      <c r="AU3038" s="155"/>
    </row>
    <row r="3039" spans="13:47" ht="15.5" x14ac:dyDescent="0.4">
      <c r="M3039" s="27"/>
      <c r="N3039" s="27"/>
      <c r="O3039" s="2" t="s">
        <v>192</v>
      </c>
      <c r="P3039" s="85">
        <v>10</v>
      </c>
      <c r="Q3039" s="2"/>
      <c r="R3039" s="181">
        <f>F_GAMMA*R$29</f>
        <v>0.64002688015162901</v>
      </c>
      <c r="S3039" s="133"/>
      <c r="T3039" s="155"/>
      <c r="U3039" s="138">
        <f>F_GAMMA*U$29</f>
        <v>0.64016782916606918</v>
      </c>
      <c r="V3039" s="133"/>
      <c r="W3039" s="155"/>
      <c r="X3039" s="138">
        <f>F_GAMMA*X$29</f>
        <v>0.6307062319203669</v>
      </c>
      <c r="Y3039" s="133"/>
      <c r="Z3039" s="155"/>
      <c r="AA3039" s="138">
        <f>F_GAMMA*AA$29</f>
        <v>0.62217534213893466</v>
      </c>
      <c r="AB3039" s="133"/>
      <c r="AC3039" s="155"/>
      <c r="AD3039" s="138">
        <f>F_GAMMA*AD$29</f>
        <v>0.60557184969146072</v>
      </c>
      <c r="AE3039" s="133"/>
      <c r="AF3039" s="155"/>
      <c r="AG3039" s="138">
        <f>F_GAMMA*AG$29</f>
        <v>0.57289312142622573</v>
      </c>
      <c r="AH3039" s="133"/>
      <c r="AI3039" s="155"/>
      <c r="AJ3039" s="138">
        <f>F_GAMMA*AJ$29</f>
        <v>0.53590819116049981</v>
      </c>
      <c r="AK3039" s="133"/>
      <c r="AL3039" s="155"/>
      <c r="AM3039" s="138">
        <f>F_GAMMA*AM$29</f>
        <v>0.49048815926850342</v>
      </c>
      <c r="AN3039" s="133"/>
      <c r="AO3039" s="155"/>
      <c r="AP3039" s="138">
        <f>F_GAMMA*AP$29</f>
        <v>0.59352979016280105</v>
      </c>
      <c r="AQ3039" s="133"/>
      <c r="AR3039" s="155"/>
      <c r="AS3039" s="138">
        <f>F_GAMMA*AS$29</f>
        <v>0.39097221161068291</v>
      </c>
      <c r="AT3039" s="133"/>
      <c r="AU3039" s="155"/>
    </row>
    <row r="3040" spans="13:47" x14ac:dyDescent="0.25">
      <c r="M3040" s="27"/>
      <c r="N3040" s="27"/>
      <c r="O3040" s="2" t="s">
        <v>193</v>
      </c>
      <c r="P3040" s="134"/>
      <c r="Q3040" s="2"/>
      <c r="R3040" s="181">
        <f>IF(R3035&lt;R3039,R3037,R3038)</f>
        <v>3.4384489826655615</v>
      </c>
      <c r="S3040" s="133"/>
      <c r="T3040" s="155"/>
      <c r="U3040" s="138">
        <f>IF(U3035&lt;U3039,U3037,U3038)</f>
        <v>18.182422495554274</v>
      </c>
      <c r="V3040" s="133"/>
      <c r="W3040" s="155"/>
      <c r="X3040" s="138">
        <f>IF(X3035&lt;X3039,X3037,X3038)</f>
        <v>85.459063570823545</v>
      </c>
      <c r="Y3040" s="133"/>
      <c r="Z3040" s="155"/>
      <c r="AA3040" s="138">
        <f>IF(AA3035&lt;AA3039,AA3037,AA3038)</f>
        <v>201.66673618687838</v>
      </c>
      <c r="AB3040" s="133"/>
      <c r="AC3040" s="155"/>
      <c r="AD3040" s="138">
        <f>IF(AD3035&lt;AD3039,AD3037,AD3038)</f>
        <v>49.189432588611162</v>
      </c>
      <c r="AE3040" s="133"/>
      <c r="AF3040" s="155"/>
      <c r="AG3040" s="138">
        <f>IF(AG3035&lt;AG3039,AG3037,AG3038)</f>
        <v>31.332836374195942</v>
      </c>
      <c r="AH3040" s="133"/>
      <c r="AI3040" s="155"/>
      <c r="AJ3040" s="138">
        <f>IF(AJ3035&lt;AJ3039,AJ3037,AJ3038)</f>
        <v>24.927981621267364</v>
      </c>
      <c r="AK3040" s="133"/>
      <c r="AL3040" s="155"/>
      <c r="AM3040" s="138">
        <f>IF(AM3035&lt;AM3039,AM3037,AM3038)</f>
        <v>23.018351623561621</v>
      </c>
      <c r="AN3040" s="133"/>
      <c r="AO3040" s="155"/>
      <c r="AP3040" s="138">
        <f>IF(AP3035&lt;AP3039,AP3037,AP3038)</f>
        <v>21.039564840153762</v>
      </c>
      <c r="AQ3040" s="133"/>
      <c r="AR3040" s="155"/>
      <c r="AS3040" s="138">
        <f>IF(AS3035&lt;AS3039,AS3037,AS3038)</f>
        <v>30.227921434764756</v>
      </c>
      <c r="AT3040" s="133"/>
      <c r="AU3040" s="155"/>
    </row>
    <row r="3041" spans="13:47" ht="13" x14ac:dyDescent="0.3">
      <c r="M3041" s="28"/>
      <c r="N3041" s="28"/>
      <c r="O3041" s="9" t="s">
        <v>194</v>
      </c>
      <c r="P3041" s="1"/>
      <c r="Q3041" s="1"/>
      <c r="R3041" s="135"/>
      <c r="S3041" s="132">
        <f>IF(R3034&lt;=0,W_max,ABS(R$23-R3040))</f>
        <v>1.4384489826655615</v>
      </c>
      <c r="T3041" s="151">
        <f>R3029</f>
        <v>792.94350056287954</v>
      </c>
      <c r="U3041" s="135"/>
      <c r="V3041" s="132">
        <f>IF(U3034&lt;=0,W_max,ABS(U$23-U3040))</f>
        <v>13.182422495554274</v>
      </c>
      <c r="W3041" s="151">
        <f>U3029</f>
        <v>3906.7137911212144</v>
      </c>
      <c r="X3041" s="135"/>
      <c r="Y3041" s="132">
        <f>IF(X3034&lt;=0,W_max,ABS(X$23-X3040))</f>
        <v>75.459063570823545</v>
      </c>
      <c r="Z3041" s="151">
        <f>X3029</f>
        <v>9661.7681098336398</v>
      </c>
      <c r="AA3041" s="135"/>
      <c r="AB3041" s="132">
        <f>IF(AA3034&lt;=0,W_max,ABS(AA$23-AA3040))</f>
        <v>7174</v>
      </c>
      <c r="AC3041" s="151">
        <f>AA3029</f>
        <v>18818.658155961079</v>
      </c>
      <c r="AD3041" s="135"/>
      <c r="AE3041" s="132">
        <f>IF(AD3034&lt;=0,W_max,ABS(AD$23-AD3040))</f>
        <v>7174</v>
      </c>
      <c r="AF3041" s="151">
        <f>AD3029</f>
        <v>30949.764047695513</v>
      </c>
      <c r="AG3041" s="135"/>
      <c r="AH3041" s="132">
        <f>IF(AG3034&lt;=0,W_max,ABS(AG$23-AG3040))</f>
        <v>7174</v>
      </c>
      <c r="AI3041" s="151">
        <f>AG3029</f>
        <v>43409.426780676171</v>
      </c>
      <c r="AJ3041" s="135"/>
      <c r="AK3041" s="132">
        <f>IF(AJ3034&lt;=0,W_max,ABS(AJ$23-AJ3040))</f>
        <v>7174</v>
      </c>
      <c r="AL3041" s="151">
        <f>AJ3029</f>
        <v>55118.453256333749</v>
      </c>
      <c r="AM3041" s="135"/>
      <c r="AN3041" s="132">
        <f>IF(AM3034&lt;=0,W_max,ABS(AM$23-AM3040))</f>
        <v>7174</v>
      </c>
      <c r="AO3041" s="151">
        <f>AM3029</f>
        <v>64630.721229602037</v>
      </c>
      <c r="AP3041" s="135"/>
      <c r="AQ3041" s="132">
        <f>IF(AP3034&lt;=0,W_max,ABS(AP$23-AP3040))</f>
        <v>7174</v>
      </c>
      <c r="AR3041" s="151">
        <f>AP3029</f>
        <v>72106.449898017061</v>
      </c>
      <c r="AS3041" s="135"/>
      <c r="AT3041" s="132">
        <f>IF(AS3034&lt;=0,W_max,ABS(AS$23-AS3040))</f>
        <v>7174</v>
      </c>
      <c r="AU3041" s="151">
        <f>AS3029</f>
        <v>80446.883741626181</v>
      </c>
    </row>
    <row r="3042" spans="13:47" ht="13" x14ac:dyDescent="0.25">
      <c r="M3042" s="12"/>
      <c r="N3042" s="12"/>
      <c r="O3042" s="2"/>
      <c r="P3042" s="85"/>
      <c r="Q3042" s="2"/>
      <c r="R3042" s="18"/>
      <c r="S3042" s="150"/>
      <c r="T3042" s="152"/>
      <c r="U3042" s="157"/>
      <c r="V3042" s="1"/>
      <c r="W3042" s="147"/>
      <c r="X3042" s="157"/>
      <c r="Y3042" s="1"/>
      <c r="Z3042" s="147"/>
      <c r="AA3042" s="157"/>
      <c r="AB3042" s="1"/>
      <c r="AC3042" s="147"/>
      <c r="AD3042" s="157"/>
      <c r="AE3042" s="1"/>
      <c r="AF3042" s="147"/>
      <c r="AG3042" s="157"/>
      <c r="AH3042" s="1"/>
      <c r="AI3042" s="147"/>
      <c r="AJ3042" s="157"/>
      <c r="AK3042" s="1"/>
      <c r="AL3042" s="147"/>
      <c r="AM3042" s="157"/>
      <c r="AN3042" s="1"/>
      <c r="AO3042" s="147"/>
      <c r="AP3042" s="157"/>
      <c r="AQ3042" s="1"/>
      <c r="AR3042" s="147"/>
      <c r="AS3042" s="157"/>
      <c r="AT3042" s="1"/>
      <c r="AU3042" s="147"/>
    </row>
    <row r="3043" spans="13:47" ht="14" x14ac:dyDescent="0.3">
      <c r="M3043" s="23"/>
      <c r="N3043" s="23"/>
      <c r="O3043" s="23" t="s">
        <v>238</v>
      </c>
      <c r="P3043" s="20"/>
      <c r="Q3043" s="20"/>
      <c r="R3043" s="181">
        <f>R3029*1.02</f>
        <v>808.80237057413717</v>
      </c>
      <c r="S3043" s="128" t="s">
        <v>185</v>
      </c>
      <c r="T3043" s="153" t="s">
        <v>186</v>
      </c>
      <c r="U3043" s="143">
        <f>U3029*1.01</f>
        <v>3945.7809290324267</v>
      </c>
      <c r="V3043" s="128" t="s">
        <v>185</v>
      </c>
      <c r="W3043" s="153" t="s">
        <v>186</v>
      </c>
      <c r="X3043" s="143">
        <f>X3029*1.01</f>
        <v>9758.3857909319759</v>
      </c>
      <c r="Y3043" s="128" t="s">
        <v>185</v>
      </c>
      <c r="Z3043" s="153" t="s">
        <v>186</v>
      </c>
      <c r="AA3043" s="143">
        <f>AA3029*1.01</f>
        <v>19006.844737520689</v>
      </c>
      <c r="AB3043" s="128" t="s">
        <v>185</v>
      </c>
      <c r="AC3043" s="153" t="s">
        <v>186</v>
      </c>
      <c r="AD3043" s="143">
        <f>AD3029*1.01</f>
        <v>31259.261688172468</v>
      </c>
      <c r="AE3043" s="128" t="s">
        <v>185</v>
      </c>
      <c r="AF3043" s="153" t="s">
        <v>186</v>
      </c>
      <c r="AG3043" s="143">
        <f>AG3029*1.01</f>
        <v>43843.521048482929</v>
      </c>
      <c r="AH3043" s="128" t="s">
        <v>185</v>
      </c>
      <c r="AI3043" s="153" t="s">
        <v>186</v>
      </c>
      <c r="AJ3043" s="143">
        <f>AJ3029*1.01</f>
        <v>55669.637788897089</v>
      </c>
      <c r="AK3043" s="128" t="s">
        <v>185</v>
      </c>
      <c r="AL3043" s="153" t="s">
        <v>186</v>
      </c>
      <c r="AM3043" s="143">
        <f>AM3029*1.01</f>
        <v>65277.028441898059</v>
      </c>
      <c r="AN3043" s="128" t="s">
        <v>185</v>
      </c>
      <c r="AO3043" s="153" t="s">
        <v>186</v>
      </c>
      <c r="AP3043" s="143">
        <f>AP3029*1.01</f>
        <v>72827.514396997227</v>
      </c>
      <c r="AQ3043" s="128" t="s">
        <v>185</v>
      </c>
      <c r="AR3043" s="153" t="s">
        <v>186</v>
      </c>
      <c r="AS3043" s="143">
        <f>AS3029*1.01</f>
        <v>81251.352579042446</v>
      </c>
      <c r="AT3043" s="128" t="s">
        <v>185</v>
      </c>
      <c r="AU3043" s="153" t="s">
        <v>186</v>
      </c>
    </row>
    <row r="3044" spans="13:47" ht="14" x14ac:dyDescent="0.3">
      <c r="M3044" s="12"/>
      <c r="N3044" s="12"/>
      <c r="O3044" s="20"/>
      <c r="P3044" s="20"/>
      <c r="Q3044" s="23"/>
      <c r="R3044" s="139"/>
      <c r="S3044" s="130" t="s">
        <v>228</v>
      </c>
      <c r="T3044" s="154" t="s">
        <v>187</v>
      </c>
      <c r="U3044" s="144"/>
      <c r="V3044" s="130" t="s">
        <v>228</v>
      </c>
      <c r="W3044" s="154" t="s">
        <v>187</v>
      </c>
      <c r="X3044" s="144"/>
      <c r="Y3044" s="130" t="s">
        <v>228</v>
      </c>
      <c r="Z3044" s="154" t="s">
        <v>187</v>
      </c>
      <c r="AA3044" s="144"/>
      <c r="AB3044" s="130" t="s">
        <v>228</v>
      </c>
      <c r="AC3044" s="154" t="s">
        <v>187</v>
      </c>
      <c r="AD3044" s="144"/>
      <c r="AE3044" s="130" t="s">
        <v>228</v>
      </c>
      <c r="AF3044" s="154" t="s">
        <v>187</v>
      </c>
      <c r="AG3044" s="144"/>
      <c r="AH3044" s="130" t="s">
        <v>228</v>
      </c>
      <c r="AI3044" s="154" t="s">
        <v>187</v>
      </c>
      <c r="AJ3044" s="144"/>
      <c r="AK3044" s="130" t="s">
        <v>228</v>
      </c>
      <c r="AL3044" s="154" t="s">
        <v>187</v>
      </c>
      <c r="AM3044" s="144"/>
      <c r="AN3044" s="130" t="s">
        <v>228</v>
      </c>
      <c r="AO3044" s="154" t="s">
        <v>187</v>
      </c>
      <c r="AP3044" s="144"/>
      <c r="AQ3044" s="130" t="s">
        <v>228</v>
      </c>
      <c r="AR3044" s="154" t="s">
        <v>187</v>
      </c>
      <c r="AS3044" s="144"/>
      <c r="AT3044" s="130" t="s">
        <v>228</v>
      </c>
      <c r="AU3044" s="154" t="s">
        <v>187</v>
      </c>
    </row>
    <row r="3045" spans="13:47" x14ac:dyDescent="0.25">
      <c r="M3045" s="20"/>
      <c r="N3045" s="20"/>
      <c r="O3045" s="7" t="s">
        <v>188</v>
      </c>
      <c r="P3045" s="7"/>
      <c r="Q3045" s="7"/>
      <c r="R3045" s="181">
        <f>P_1_minW-(R3043^2*R_up)+dpup_minQ</f>
        <v>100.26193218546695</v>
      </c>
      <c r="S3045" s="132"/>
      <c r="T3045" s="145"/>
      <c r="U3045" s="138">
        <f>P_1_minW-(U3043^2*R_up)+dpup_minQ</f>
        <v>94.314389079653495</v>
      </c>
      <c r="V3045" s="132"/>
      <c r="W3045" s="145"/>
      <c r="X3045" s="138">
        <f>P_1_minW-(X3043^2*R_up)+dpup_minQ</f>
        <v>62.55025490963525</v>
      </c>
      <c r="Y3045" s="132"/>
      <c r="Z3045" s="145"/>
      <c r="AA3045" s="138">
        <f>P_1_minW-(AA3043^2*R_up)+dpup_minQ</f>
        <v>-43.533972893971921</v>
      </c>
      <c r="AB3045" s="132"/>
      <c r="AC3045" s="145"/>
      <c r="AD3045" s="138">
        <f>P_1_minW-(AD3043^2*R_up)+dpup_minQ</f>
        <v>-289.12392893404007</v>
      </c>
      <c r="AE3045" s="132"/>
      <c r="AF3045" s="145"/>
      <c r="AG3045" s="138">
        <f>P_1_minW-(AG3043^2*R_up)+dpup_minQ</f>
        <v>-665.99888331882369</v>
      </c>
      <c r="AH3045" s="132"/>
      <c r="AI3045" s="145"/>
      <c r="AJ3045" s="138">
        <f>P_1_minW-(AJ3043^2*R_up)+dpup_minQ</f>
        <v>-1135.2834388355466</v>
      </c>
      <c r="AK3045" s="132"/>
      <c r="AL3045" s="145"/>
      <c r="AM3045" s="138">
        <f>P_1_minW-(AM3043^2*R_up)+dpup_minQ</f>
        <v>-1598.637463584568</v>
      </c>
      <c r="AN3045" s="132"/>
      <c r="AO3045" s="145"/>
      <c r="AP3045" s="138">
        <f>P_1_minW-(AP3043^2*R_up)+dpup_minQ</f>
        <v>-2014.4489250965325</v>
      </c>
      <c r="AQ3045" s="132"/>
      <c r="AR3045" s="145"/>
      <c r="AS3045" s="138">
        <f>P_1_minW-(AS3043^2*R_up)+dpup_minQ</f>
        <v>-2532.016045906686</v>
      </c>
      <c r="AT3045" s="132"/>
      <c r="AU3045" s="145"/>
    </row>
    <row r="3046" spans="13:47" x14ac:dyDescent="0.25">
      <c r="M3046" s="20"/>
      <c r="N3046" s="20"/>
      <c r="O3046" s="7" t="s">
        <v>189</v>
      </c>
      <c r="P3046" s="1"/>
      <c r="Q3046" s="7"/>
      <c r="R3046" s="181">
        <f>P_2_minW+(R3043^2*R_dn)-dpdn_minQ</f>
        <v>50</v>
      </c>
      <c r="S3046" s="132"/>
      <c r="T3046" s="146"/>
      <c r="U3046" s="138">
        <f>P_2_minW+(U3043^2*R_dn)-dpdn_minQ</f>
        <v>50</v>
      </c>
      <c r="V3046" s="132"/>
      <c r="W3046" s="146"/>
      <c r="X3046" s="138">
        <f>P_2_minW+(X3043^2*R_dn)-dpdn_minQ</f>
        <v>50</v>
      </c>
      <c r="Y3046" s="132"/>
      <c r="Z3046" s="146"/>
      <c r="AA3046" s="138">
        <f>P_2_minW+(AA3043^2*R_dn)-dpdn_minQ</f>
        <v>50</v>
      </c>
      <c r="AB3046" s="132"/>
      <c r="AC3046" s="146"/>
      <c r="AD3046" s="138">
        <f>P_2_minW+(AD3043^2*R_dn)-dpdn_minQ</f>
        <v>50</v>
      </c>
      <c r="AE3046" s="132"/>
      <c r="AF3046" s="146"/>
      <c r="AG3046" s="138">
        <f>P_2_minW+(AG3043^2*R_dn)-dpdn_minQ</f>
        <v>50</v>
      </c>
      <c r="AH3046" s="132"/>
      <c r="AI3046" s="146"/>
      <c r="AJ3046" s="138">
        <f>P_2_minW+(AJ3043^2*R_dn)-dpdn_minQ</f>
        <v>50</v>
      </c>
      <c r="AK3046" s="132"/>
      <c r="AL3046" s="146"/>
      <c r="AM3046" s="138">
        <f>P_2_minW+(AM3043^2*R_dn)-dpdn_minQ</f>
        <v>50</v>
      </c>
      <c r="AN3046" s="132"/>
      <c r="AO3046" s="146"/>
      <c r="AP3046" s="138">
        <f>P_2_minW+(AP3043^2*R_dn)-dpdn_minQ</f>
        <v>50</v>
      </c>
      <c r="AQ3046" s="132"/>
      <c r="AR3046" s="146"/>
      <c r="AS3046" s="138">
        <f>P_2_minW+(AS3043^2*R_dn)-dpdn_minQ</f>
        <v>50</v>
      </c>
      <c r="AT3046" s="132"/>
      <c r="AU3046" s="146"/>
    </row>
    <row r="3047" spans="13:47" x14ac:dyDescent="0.25">
      <c r="M3047" s="20"/>
      <c r="N3047" s="20"/>
      <c r="O3047" s="7" t="s">
        <v>234</v>
      </c>
      <c r="P3047" s="1"/>
      <c r="Q3047" s="7"/>
      <c r="R3047" s="179">
        <f>'Valve Sizing'!G$8*R3045/P_1_maxW</f>
        <v>0.48364571032590414</v>
      </c>
      <c r="S3047" s="132"/>
      <c r="T3047" s="146"/>
      <c r="U3047" s="143">
        <f>'Valve Sizing'!$G$8*U3045/P_1_maxW</f>
        <v>0.45495582127824391</v>
      </c>
      <c r="V3047" s="132"/>
      <c r="W3047" s="146"/>
      <c r="X3047" s="143">
        <f>'Valve Sizing'!$G$8*X3045/P_1_maxW</f>
        <v>0.30173129329759707</v>
      </c>
      <c r="Y3047" s="132"/>
      <c r="Z3047" s="146"/>
      <c r="AA3047" s="143">
        <f>'Valve Sizing'!$G$8*AA3045/P_1_maxW</f>
        <v>-0.21000013449437244</v>
      </c>
      <c r="AB3047" s="132"/>
      <c r="AC3047" s="146"/>
      <c r="AD3047" s="143">
        <f>'Valve Sizing'!$G$8*AD3045/P_1_maxW</f>
        <v>-1.3946823578350012</v>
      </c>
      <c r="AE3047" s="132"/>
      <c r="AF3047" s="146"/>
      <c r="AG3047" s="143">
        <f>'Valve Sizing'!$G$8*AG3045/P_1_maxW</f>
        <v>-3.2126600393372549</v>
      </c>
      <c r="AH3047" s="132"/>
      <c r="AI3047" s="146"/>
      <c r="AJ3047" s="143">
        <f>'Valve Sizing'!$G$8*AJ3045/P_1_maxW</f>
        <v>-5.4764051841845713</v>
      </c>
      <c r="AK3047" s="132"/>
      <c r="AL3047" s="146"/>
      <c r="AM3047" s="143">
        <f>'Valve Sizing'!$G$8*AM3045/P_1_maxW</f>
        <v>-7.7115425044744184</v>
      </c>
      <c r="AN3047" s="132"/>
      <c r="AO3047" s="146"/>
      <c r="AP3047" s="143">
        <f>'Valve Sizing'!$G$8*AP3045/P_1_maxW</f>
        <v>-9.717342964140375</v>
      </c>
      <c r="AQ3047" s="132"/>
      <c r="AR3047" s="146"/>
      <c r="AS3047" s="143">
        <f>'Valve Sizing'!$G$8*AS3045/P_1_maxW</f>
        <v>-12.213994607782285</v>
      </c>
      <c r="AT3047" s="132"/>
      <c r="AU3047" s="146"/>
    </row>
    <row r="3048" spans="13:47" x14ac:dyDescent="0.25">
      <c r="M3048" s="20"/>
      <c r="N3048" s="20"/>
      <c r="O3048" s="7" t="s">
        <v>190</v>
      </c>
      <c r="P3048" s="1"/>
      <c r="Q3048" s="7"/>
      <c r="R3048" s="181">
        <f>R3045-R3046</f>
        <v>50.261932185466947</v>
      </c>
      <c r="S3048" s="132"/>
      <c r="T3048" s="146"/>
      <c r="U3048" s="138">
        <f>U3045-U3046</f>
        <v>44.314389079653495</v>
      </c>
      <c r="V3048" s="132"/>
      <c r="W3048" s="146"/>
      <c r="X3048" s="138">
        <f>X3045-X3046</f>
        <v>12.55025490963525</v>
      </c>
      <c r="Y3048" s="132"/>
      <c r="Z3048" s="146"/>
      <c r="AA3048" s="138">
        <f>AA3045-AA3046</f>
        <v>-93.533972893971921</v>
      </c>
      <c r="AB3048" s="132"/>
      <c r="AC3048" s="146"/>
      <c r="AD3048" s="138">
        <f>AD3045-AD3046</f>
        <v>-339.12392893404007</v>
      </c>
      <c r="AE3048" s="132"/>
      <c r="AF3048" s="146"/>
      <c r="AG3048" s="138">
        <f>AG3045-AG3046</f>
        <v>-715.99888331882369</v>
      </c>
      <c r="AH3048" s="132"/>
      <c r="AI3048" s="146"/>
      <c r="AJ3048" s="138">
        <f>AJ3045-AJ3046</f>
        <v>-1185.2834388355466</v>
      </c>
      <c r="AK3048" s="132"/>
      <c r="AL3048" s="146"/>
      <c r="AM3048" s="138">
        <f>AM3045-AM3046</f>
        <v>-1648.637463584568</v>
      </c>
      <c r="AN3048" s="132"/>
      <c r="AO3048" s="146"/>
      <c r="AP3048" s="138">
        <f>AP3045-AP3046</f>
        <v>-2064.4489250965325</v>
      </c>
      <c r="AQ3048" s="132"/>
      <c r="AR3048" s="146"/>
      <c r="AS3048" s="138">
        <f>AS3045-AS3046</f>
        <v>-2582.016045906686</v>
      </c>
      <c r="AT3048" s="132"/>
      <c r="AU3048" s="146"/>
    </row>
    <row r="3049" spans="13:47" ht="14.5" x14ac:dyDescent="0.35">
      <c r="M3049" s="27"/>
      <c r="N3049" s="27"/>
      <c r="O3049" s="2" t="s">
        <v>191</v>
      </c>
      <c r="P3049" s="10"/>
      <c r="Q3049" s="2"/>
      <c r="R3049" s="181">
        <f>R3048/R3045</f>
        <v>0.5013062394657547</v>
      </c>
      <c r="S3049" s="132"/>
      <c r="T3049" s="146"/>
      <c r="U3049" s="138">
        <f>U3048/U3045</f>
        <v>0.46985819992141015</v>
      </c>
      <c r="V3049" s="132"/>
      <c r="W3049" s="146"/>
      <c r="X3049" s="138">
        <f>X3048/X3045</f>
        <v>0.20064274602503668</v>
      </c>
      <c r="Y3049" s="132"/>
      <c r="Z3049" s="146"/>
      <c r="AA3049" s="138">
        <f>AA3048/AA3045</f>
        <v>2.1485283027528008</v>
      </c>
      <c r="AB3049" s="132"/>
      <c r="AC3049" s="146"/>
      <c r="AD3049" s="138">
        <f>AD3048/AD3045</f>
        <v>1.1729362221395616</v>
      </c>
      <c r="AE3049" s="132"/>
      <c r="AF3049" s="146"/>
      <c r="AG3049" s="138">
        <f>AG3048/AG3045</f>
        <v>1.0750752009535491</v>
      </c>
      <c r="AH3049" s="132"/>
      <c r="AI3049" s="146"/>
      <c r="AJ3049" s="138">
        <f>AJ3048/AJ3045</f>
        <v>1.0440418650441028</v>
      </c>
      <c r="AK3049" s="132"/>
      <c r="AL3049" s="146"/>
      <c r="AM3049" s="138">
        <f>AM3048/AM3045</f>
        <v>1.0312766347210998</v>
      </c>
      <c r="AN3049" s="132"/>
      <c r="AO3049" s="146"/>
      <c r="AP3049" s="138">
        <f>AP3048/AP3045</f>
        <v>1.024820683898751</v>
      </c>
      <c r="AQ3049" s="132"/>
      <c r="AR3049" s="146"/>
      <c r="AS3049" s="138">
        <f>AS3048/AS3045</f>
        <v>1.019747110244752</v>
      </c>
      <c r="AT3049" s="132"/>
      <c r="AU3049" s="146"/>
    </row>
    <row r="3050" spans="13:47" x14ac:dyDescent="0.25">
      <c r="M3050" s="27"/>
      <c r="N3050" s="27"/>
      <c r="O3050" s="2" t="s">
        <v>26</v>
      </c>
      <c r="P3050" s="7">
        <v>12</v>
      </c>
      <c r="Q3050" s="2"/>
      <c r="R3050" s="181">
        <f>1-R3049/(3*F_GAMMA*R$29)</f>
        <v>0.73891396595353931</v>
      </c>
      <c r="S3050" s="133"/>
      <c r="T3050" s="146"/>
      <c r="U3050" s="138">
        <f>1-U3049/(3*F_GAMMA*U$29)</f>
        <v>0.75534634382076404</v>
      </c>
      <c r="V3050" s="133"/>
      <c r="W3050" s="146"/>
      <c r="X3050" s="138">
        <f>1-X3049/(3*F_GAMMA*X$29)</f>
        <v>0.89395868955021951</v>
      </c>
      <c r="Y3050" s="133"/>
      <c r="Z3050" s="146"/>
      <c r="AA3050" s="138">
        <f>1-AA3049/(3*F_GAMMA*AA$29)</f>
        <v>-0.15108403115994085</v>
      </c>
      <c r="AB3050" s="133"/>
      <c r="AC3050" s="146"/>
      <c r="AD3050" s="138">
        <f>1-AD3049/(3*F_GAMMA*AD$29)</f>
        <v>0.35436440628409138</v>
      </c>
      <c r="AE3050" s="133"/>
      <c r="AF3050" s="146"/>
      <c r="AG3050" s="138">
        <f>1-AG3049/(3*F_GAMMA*AG$29)</f>
        <v>0.37447599401139386</v>
      </c>
      <c r="AH3050" s="133"/>
      <c r="AI3050" s="146"/>
      <c r="AJ3050" s="138">
        <f>1-AJ3049/(3*F_GAMMA*AJ$29)</f>
        <v>0.3506090021481425</v>
      </c>
      <c r="AK3050" s="133"/>
      <c r="AL3050" s="146"/>
      <c r="AM3050" s="138">
        <f>1-AM3049/(3*F_GAMMA*AM$29)</f>
        <v>0.29914948659915397</v>
      </c>
      <c r="AN3050" s="133"/>
      <c r="AO3050" s="146"/>
      <c r="AP3050" s="138">
        <f>1-AP3049/(3*F_GAMMA*AP$29)</f>
        <v>0.42444861185616878</v>
      </c>
      <c r="AQ3050" s="133"/>
      <c r="AR3050" s="146"/>
      <c r="AS3050" s="138">
        <f>1-AS3049/(3*F_GAMMA*AS$29)</f>
        <v>0.13058858578574883</v>
      </c>
      <c r="AT3050" s="133"/>
      <c r="AU3050" s="146"/>
    </row>
    <row r="3051" spans="13:47" x14ac:dyDescent="0.25">
      <c r="M3051" s="27"/>
      <c r="N3051" s="27"/>
      <c r="O3051" s="2" t="s">
        <v>71</v>
      </c>
      <c r="P3051" s="85">
        <v>5</v>
      </c>
      <c r="Q3051" s="2"/>
      <c r="R3051" s="179">
        <f>R3043/((N_6*R$27*R3050)*SQRT(R3049*R3045*R3047))</f>
        <v>3.5076239760497376</v>
      </c>
      <c r="S3051" s="133"/>
      <c r="T3051" s="146"/>
      <c r="U3051" s="143">
        <f>U3043/((N_6*U$27*U3050)*SQRT(U3049*U3045*U3047))</f>
        <v>18.392787547571828</v>
      </c>
      <c r="V3051" s="133"/>
      <c r="W3051" s="146"/>
      <c r="X3051" s="143">
        <f>X3043/((N_6*X$27*X3050)*SQRT(X3049*X3045*X3047))</f>
        <v>88.879830796379125</v>
      </c>
      <c r="Y3051" s="133"/>
      <c r="Z3051" s="146"/>
      <c r="AA3051" s="143">
        <f>AA3043/((N_6*AA$27*AA3050)*SQRT(AA3049*AA3045*AA3047))</f>
        <v>-452.34178164592021</v>
      </c>
      <c r="AB3051" s="133"/>
      <c r="AC3051" s="146"/>
      <c r="AD3051" s="143">
        <f>AD3043/((N_6*AD$27*AD3050)*SQRT(AD3049*AD3045*AD3047))</f>
        <v>65.407289223004014</v>
      </c>
      <c r="AE3051" s="133"/>
      <c r="AF3051" s="146"/>
      <c r="AG3051" s="143">
        <f>AG3043/((N_6*AG$27*AG3050)*SQRT(AG3049*AG3045*AG3047))</f>
        <v>40.214067716392101</v>
      </c>
      <c r="AH3051" s="133"/>
      <c r="AI3051" s="146"/>
      <c r="AJ3051" s="143">
        <f>AJ3043/((N_6*AJ$27*AJ3050)*SQRT(AJ3049*AJ3045*AJ3047))</f>
        <v>33.580034228806838</v>
      </c>
      <c r="AK3051" s="133"/>
      <c r="AL3051" s="146"/>
      <c r="AM3051" s="143">
        <f>AM3043/((N_6*AM$27*AM3050)*SQRT(AM3049*AM3045*AM3047))</f>
        <v>34.999983830561163</v>
      </c>
      <c r="AN3051" s="133"/>
      <c r="AO3051" s="146"/>
      <c r="AP3051" s="143">
        <f>AP3043/((N_6*AP$27*AP3050)*SQRT(AP3049*AP3045*AP3047))</f>
        <v>24.887289290540973</v>
      </c>
      <c r="AQ3051" s="133"/>
      <c r="AR3051" s="146"/>
      <c r="AS3051" s="143">
        <f>AS3043/((N_6*AS$27*AS3050)*SQRT(AS3049*AS3045*AS3047))</f>
        <v>94.577435045625236</v>
      </c>
      <c r="AT3051" s="133"/>
      <c r="AU3051" s="146"/>
    </row>
    <row r="3052" spans="13:47" x14ac:dyDescent="0.25">
      <c r="M3052" s="27"/>
      <c r="N3052" s="27"/>
      <c r="O3052" s="2" t="s">
        <v>73</v>
      </c>
      <c r="P3052" s="85">
        <v>5</v>
      </c>
      <c r="Q3052" s="2"/>
      <c r="R3052" s="179">
        <f>R3043/((N_6*R$27*0.667)*SQRT(R3053*R3045*R3047))</f>
        <v>3.4390106373259863</v>
      </c>
      <c r="S3052" s="133"/>
      <c r="T3052" s="155"/>
      <c r="U3052" s="143">
        <f>U3043/((N_6*U$27*0.667)*SQRT(U3053*U3045*U3047))</f>
        <v>17.844497979428912</v>
      </c>
      <c r="V3052" s="133"/>
      <c r="W3052" s="155"/>
      <c r="X3052" s="143">
        <f>X3043/((N_6*X$27*0.667)*SQRT(X3053*X3045*X3047))</f>
        <v>67.188199926760262</v>
      </c>
      <c r="Y3052" s="133"/>
      <c r="Z3052" s="155"/>
      <c r="AA3052" s="143">
        <f>AA3043/((N_6*AA$27*0.667)*SQRT(AA3053*AA3045*AA3047))</f>
        <v>190.40290763857527</v>
      </c>
      <c r="AB3052" s="133"/>
      <c r="AC3052" s="155"/>
      <c r="AD3052" s="143">
        <f>AD3043/((N_6*AD$27*0.667)*SQRT(AD3053*AD3045*AD3047))</f>
        <v>48.362057543983248</v>
      </c>
      <c r="AE3052" s="133"/>
      <c r="AF3052" s="155"/>
      <c r="AG3052" s="143">
        <f>AG3043/((N_6*AG$27*0.667)*SQRT(AG3053*AG3045*AG3047))</f>
        <v>30.92849384843548</v>
      </c>
      <c r="AH3052" s="133"/>
      <c r="AI3052" s="155"/>
      <c r="AJ3052" s="143">
        <f>AJ3043/((N_6*AJ$27*0.667)*SQRT(AJ3053*AJ3045*AJ3047))</f>
        <v>24.63724388569166</v>
      </c>
      <c r="AK3052" s="133"/>
      <c r="AL3052" s="155"/>
      <c r="AM3052" s="143">
        <f>AM3043/((N_6*AM$27*0.667)*SQRT(AM3053*AM3045*AM3047))</f>
        <v>22.761642446691319</v>
      </c>
      <c r="AN3052" s="133"/>
      <c r="AO3052" s="155"/>
      <c r="AP3052" s="143">
        <f>AP3043/((N_6*AP$27*0.667)*SQRT(AP3053*AP3045*AP3047))</f>
        <v>20.810358408128039</v>
      </c>
      <c r="AQ3052" s="133"/>
      <c r="AR3052" s="155"/>
      <c r="AS3052" s="143">
        <f>AS3043/((N_6*AS$27*0.667)*SQRT(AS3053*AS3045*AS3047))</f>
        <v>29.90475251528412</v>
      </c>
      <c r="AT3052" s="133"/>
      <c r="AU3052" s="155"/>
    </row>
    <row r="3053" spans="13:47" ht="15.5" x14ac:dyDescent="0.4">
      <c r="M3053" s="27"/>
      <c r="N3053" s="27"/>
      <c r="O3053" s="2" t="s">
        <v>192</v>
      </c>
      <c r="P3053" s="85">
        <v>10</v>
      </c>
      <c r="Q3053" s="2"/>
      <c r="R3053" s="181">
        <f>F_GAMMA*R$29</f>
        <v>0.64002688015162901</v>
      </c>
      <c r="S3053" s="133"/>
      <c r="T3053" s="155"/>
      <c r="U3053" s="138">
        <f>F_GAMMA*U$29</f>
        <v>0.64016782916606918</v>
      </c>
      <c r="V3053" s="133"/>
      <c r="W3053" s="155"/>
      <c r="X3053" s="138">
        <f>F_GAMMA*X$29</f>
        <v>0.6307062319203669</v>
      </c>
      <c r="Y3053" s="133"/>
      <c r="Z3053" s="155"/>
      <c r="AA3053" s="138">
        <f>F_GAMMA*AA$29</f>
        <v>0.62217534213893466</v>
      </c>
      <c r="AB3053" s="133"/>
      <c r="AC3053" s="155"/>
      <c r="AD3053" s="138">
        <f>F_GAMMA*AD$29</f>
        <v>0.60557184969146072</v>
      </c>
      <c r="AE3053" s="133"/>
      <c r="AF3053" s="155"/>
      <c r="AG3053" s="138">
        <f>F_GAMMA*AG$29</f>
        <v>0.57289312142622573</v>
      </c>
      <c r="AH3053" s="133"/>
      <c r="AI3053" s="155"/>
      <c r="AJ3053" s="138">
        <f>F_GAMMA*AJ$29</f>
        <v>0.53590819116049981</v>
      </c>
      <c r="AK3053" s="133"/>
      <c r="AL3053" s="155"/>
      <c r="AM3053" s="138">
        <f>F_GAMMA*AM$29</f>
        <v>0.49048815926850342</v>
      </c>
      <c r="AN3053" s="133"/>
      <c r="AO3053" s="155"/>
      <c r="AP3053" s="138">
        <f>F_GAMMA*AP$29</f>
        <v>0.59352979016280105</v>
      </c>
      <c r="AQ3053" s="133"/>
      <c r="AR3053" s="155"/>
      <c r="AS3053" s="138">
        <f>F_GAMMA*AS$29</f>
        <v>0.39097221161068291</v>
      </c>
      <c r="AT3053" s="133"/>
      <c r="AU3053" s="155"/>
    </row>
    <row r="3054" spans="13:47" x14ac:dyDescent="0.25">
      <c r="M3054" s="27"/>
      <c r="N3054" s="27"/>
      <c r="O3054" s="2" t="s">
        <v>193</v>
      </c>
      <c r="P3054" s="134"/>
      <c r="Q3054" s="2"/>
      <c r="R3054" s="181">
        <f>IF(R3049&lt;R3053,R3051,R3052)</f>
        <v>3.5076239760497376</v>
      </c>
      <c r="S3054" s="133"/>
      <c r="T3054" s="155"/>
      <c r="U3054" s="138">
        <f>IF(U3049&lt;U3053,U3051,U3052)</f>
        <v>18.392787547571828</v>
      </c>
      <c r="V3054" s="133"/>
      <c r="W3054" s="155"/>
      <c r="X3054" s="138">
        <f>IF(X3049&lt;X3053,X3051,X3052)</f>
        <v>88.879830796379125</v>
      </c>
      <c r="Y3054" s="133"/>
      <c r="Z3054" s="155"/>
      <c r="AA3054" s="138">
        <f>IF(AA3049&lt;AA3053,AA3051,AA3052)</f>
        <v>190.40290763857527</v>
      </c>
      <c r="AB3054" s="133"/>
      <c r="AC3054" s="155"/>
      <c r="AD3054" s="138">
        <f>IF(AD3049&lt;AD3053,AD3051,AD3052)</f>
        <v>48.362057543983248</v>
      </c>
      <c r="AE3054" s="133"/>
      <c r="AF3054" s="155"/>
      <c r="AG3054" s="138">
        <f>IF(AG3049&lt;AG3053,AG3051,AG3052)</f>
        <v>30.92849384843548</v>
      </c>
      <c r="AH3054" s="133"/>
      <c r="AI3054" s="155"/>
      <c r="AJ3054" s="138">
        <f>IF(AJ3049&lt;AJ3053,AJ3051,AJ3052)</f>
        <v>24.63724388569166</v>
      </c>
      <c r="AK3054" s="133"/>
      <c r="AL3054" s="155"/>
      <c r="AM3054" s="138">
        <f>IF(AM3049&lt;AM3053,AM3051,AM3052)</f>
        <v>22.761642446691319</v>
      </c>
      <c r="AN3054" s="133"/>
      <c r="AO3054" s="155"/>
      <c r="AP3054" s="138">
        <f>IF(AP3049&lt;AP3053,AP3051,AP3052)</f>
        <v>20.810358408128039</v>
      </c>
      <c r="AQ3054" s="133"/>
      <c r="AR3054" s="155"/>
      <c r="AS3054" s="138">
        <f>IF(AS3049&lt;AS3053,AS3051,AS3052)</f>
        <v>29.90475251528412</v>
      </c>
      <c r="AT3054" s="133"/>
      <c r="AU3054" s="155"/>
    </row>
    <row r="3055" spans="13:47" ht="13" x14ac:dyDescent="0.3">
      <c r="M3055" s="28"/>
      <c r="N3055" s="28"/>
      <c r="O3055" s="9" t="s">
        <v>194</v>
      </c>
      <c r="P3055" s="1"/>
      <c r="Q3055" s="1"/>
      <c r="R3055" s="135"/>
      <c r="S3055" s="132">
        <f>IF(R3048&lt;=0,W_max,ABS(R$23-R3054))</f>
        <v>1.5076239760497376</v>
      </c>
      <c r="T3055" s="151">
        <f>R3043</f>
        <v>808.80237057413717</v>
      </c>
      <c r="U3055" s="135"/>
      <c r="V3055" s="132">
        <f>IF(U3048&lt;=0,W_max,ABS(U$23-U3054))</f>
        <v>13.392787547571828</v>
      </c>
      <c r="W3055" s="151">
        <f>U3043</f>
        <v>3945.7809290324267</v>
      </c>
      <c r="X3055" s="135"/>
      <c r="Y3055" s="132">
        <f>IF(X3048&lt;=0,W_max,ABS(X$23-X3054))</f>
        <v>78.879830796379125</v>
      </c>
      <c r="Z3055" s="151">
        <f>X3043</f>
        <v>9758.3857909319759</v>
      </c>
      <c r="AA3055" s="135"/>
      <c r="AB3055" s="132">
        <f>IF(AA3048&lt;=0,W_max,ABS(AA$23-AA3054))</f>
        <v>7174</v>
      </c>
      <c r="AC3055" s="151">
        <f>AA3043</f>
        <v>19006.844737520689</v>
      </c>
      <c r="AD3055" s="135"/>
      <c r="AE3055" s="132">
        <f>IF(AD3048&lt;=0,W_max,ABS(AD$23-AD3054))</f>
        <v>7174</v>
      </c>
      <c r="AF3055" s="151">
        <f>AD3043</f>
        <v>31259.261688172468</v>
      </c>
      <c r="AG3055" s="135"/>
      <c r="AH3055" s="132">
        <f>IF(AG3048&lt;=0,W_max,ABS(AG$23-AG3054))</f>
        <v>7174</v>
      </c>
      <c r="AI3055" s="151">
        <f>AG3043</f>
        <v>43843.521048482929</v>
      </c>
      <c r="AJ3055" s="135"/>
      <c r="AK3055" s="132">
        <f>IF(AJ3048&lt;=0,W_max,ABS(AJ$23-AJ3054))</f>
        <v>7174</v>
      </c>
      <c r="AL3055" s="151">
        <f>AJ3043</f>
        <v>55669.637788897089</v>
      </c>
      <c r="AM3055" s="135"/>
      <c r="AN3055" s="132">
        <f>IF(AM3048&lt;=0,W_max,ABS(AM$23-AM3054))</f>
        <v>7174</v>
      </c>
      <c r="AO3055" s="151">
        <f>AM3043</f>
        <v>65277.028441898059</v>
      </c>
      <c r="AP3055" s="135"/>
      <c r="AQ3055" s="132">
        <f>IF(AP3048&lt;=0,W_max,ABS(AP$23-AP3054))</f>
        <v>7174</v>
      </c>
      <c r="AR3055" s="151">
        <f>AP3043</f>
        <v>72827.514396997227</v>
      </c>
      <c r="AS3055" s="135"/>
      <c r="AT3055" s="132">
        <f>IF(AS3048&lt;=0,W_max,ABS(AS$23-AS3054))</f>
        <v>7174</v>
      </c>
      <c r="AU3055" s="151">
        <f>AS3043</f>
        <v>81251.352579042446</v>
      </c>
    </row>
    <row r="3056" spans="13:47" ht="13" x14ac:dyDescent="0.25">
      <c r="M3056" s="12"/>
      <c r="N3056" s="12"/>
      <c r="O3056" s="2"/>
      <c r="P3056" s="85"/>
      <c r="Q3056" s="2"/>
      <c r="R3056" s="18"/>
      <c r="S3056" s="150"/>
      <c r="T3056" s="148"/>
      <c r="U3056" s="157"/>
      <c r="V3056" s="1"/>
      <c r="W3056" s="147"/>
      <c r="X3056" s="157"/>
      <c r="Y3056" s="1"/>
      <c r="Z3056" s="147"/>
      <c r="AA3056" s="157"/>
      <c r="AB3056" s="1"/>
      <c r="AC3056" s="147"/>
      <c r="AD3056" s="157"/>
      <c r="AE3056" s="1"/>
      <c r="AF3056" s="147"/>
      <c r="AG3056" s="157"/>
      <c r="AH3056" s="1"/>
      <c r="AI3056" s="147"/>
      <c r="AJ3056" s="157"/>
      <c r="AK3056" s="1"/>
      <c r="AL3056" s="147"/>
      <c r="AM3056" s="157"/>
      <c r="AN3056" s="1"/>
      <c r="AO3056" s="147"/>
      <c r="AP3056" s="157"/>
      <c r="AQ3056" s="1"/>
      <c r="AR3056" s="147"/>
      <c r="AS3056" s="157"/>
      <c r="AT3056" s="1"/>
      <c r="AU3056" s="147"/>
    </row>
    <row r="3057" spans="13:47" ht="14" x14ac:dyDescent="0.3">
      <c r="M3057" s="23"/>
      <c r="N3057" s="23"/>
      <c r="O3057" s="23" t="s">
        <v>238</v>
      </c>
      <c r="P3057" s="20"/>
      <c r="Q3057" s="20"/>
      <c r="R3057" s="181">
        <f>R3043*1.02</f>
        <v>824.9784179856199</v>
      </c>
      <c r="S3057" s="128" t="s">
        <v>185</v>
      </c>
      <c r="T3057" s="149" t="s">
        <v>186</v>
      </c>
      <c r="U3057" s="143">
        <f>U3043*1.01</f>
        <v>3985.238738322751</v>
      </c>
      <c r="V3057" s="128" t="s">
        <v>185</v>
      </c>
      <c r="W3057" s="153" t="s">
        <v>186</v>
      </c>
      <c r="X3057" s="143">
        <f>X3043*1.01</f>
        <v>9855.9696488412956</v>
      </c>
      <c r="Y3057" s="128" t="s">
        <v>185</v>
      </c>
      <c r="Z3057" s="153" t="s">
        <v>186</v>
      </c>
      <c r="AA3057" s="143">
        <f>AA3043*1.01</f>
        <v>19196.913184895897</v>
      </c>
      <c r="AB3057" s="128" t="s">
        <v>185</v>
      </c>
      <c r="AC3057" s="153" t="s">
        <v>186</v>
      </c>
      <c r="AD3057" s="143">
        <f>AD3043*1.01</f>
        <v>31571.854305054192</v>
      </c>
      <c r="AE3057" s="128" t="s">
        <v>185</v>
      </c>
      <c r="AF3057" s="153" t="s">
        <v>186</v>
      </c>
      <c r="AG3057" s="143">
        <f>AG3043*1.01</f>
        <v>44281.956258967759</v>
      </c>
      <c r="AH3057" s="128" t="s">
        <v>185</v>
      </c>
      <c r="AI3057" s="153" t="s">
        <v>186</v>
      </c>
      <c r="AJ3057" s="143">
        <f>AJ3043*1.01</f>
        <v>56226.334166786059</v>
      </c>
      <c r="AK3057" s="128" t="s">
        <v>185</v>
      </c>
      <c r="AL3057" s="153" t="s">
        <v>186</v>
      </c>
      <c r="AM3057" s="143">
        <f>AM3043*1.01</f>
        <v>65929.798726317036</v>
      </c>
      <c r="AN3057" s="128" t="s">
        <v>185</v>
      </c>
      <c r="AO3057" s="153" t="s">
        <v>186</v>
      </c>
      <c r="AP3057" s="143">
        <f>AP3043*1.01</f>
        <v>73555.789540967206</v>
      </c>
      <c r="AQ3057" s="128" t="s">
        <v>185</v>
      </c>
      <c r="AR3057" s="153" t="s">
        <v>186</v>
      </c>
      <c r="AS3057" s="143">
        <f>AS3043*1.01</f>
        <v>82063.866104832865</v>
      </c>
      <c r="AT3057" s="128" t="s">
        <v>185</v>
      </c>
      <c r="AU3057" s="153" t="s">
        <v>186</v>
      </c>
    </row>
    <row r="3058" spans="13:47" ht="14" x14ac:dyDescent="0.3">
      <c r="M3058" s="12"/>
      <c r="N3058" s="12"/>
      <c r="O3058" s="20"/>
      <c r="P3058" s="20"/>
      <c r="Q3058" s="23"/>
      <c r="R3058" s="139"/>
      <c r="S3058" s="130" t="s">
        <v>228</v>
      </c>
      <c r="T3058" s="131" t="s">
        <v>187</v>
      </c>
      <c r="U3058" s="144"/>
      <c r="V3058" s="130" t="s">
        <v>228</v>
      </c>
      <c r="W3058" s="154" t="s">
        <v>187</v>
      </c>
      <c r="X3058" s="144"/>
      <c r="Y3058" s="130" t="s">
        <v>228</v>
      </c>
      <c r="Z3058" s="154" t="s">
        <v>187</v>
      </c>
      <c r="AA3058" s="144"/>
      <c r="AB3058" s="130" t="s">
        <v>228</v>
      </c>
      <c r="AC3058" s="154" t="s">
        <v>187</v>
      </c>
      <c r="AD3058" s="144"/>
      <c r="AE3058" s="130" t="s">
        <v>228</v>
      </c>
      <c r="AF3058" s="154" t="s">
        <v>187</v>
      </c>
      <c r="AG3058" s="144"/>
      <c r="AH3058" s="130" t="s">
        <v>228</v>
      </c>
      <c r="AI3058" s="154" t="s">
        <v>187</v>
      </c>
      <c r="AJ3058" s="144"/>
      <c r="AK3058" s="130" t="s">
        <v>228</v>
      </c>
      <c r="AL3058" s="154" t="s">
        <v>187</v>
      </c>
      <c r="AM3058" s="144"/>
      <c r="AN3058" s="130" t="s">
        <v>228</v>
      </c>
      <c r="AO3058" s="154" t="s">
        <v>187</v>
      </c>
      <c r="AP3058" s="144"/>
      <c r="AQ3058" s="130" t="s">
        <v>228</v>
      </c>
      <c r="AR3058" s="154" t="s">
        <v>187</v>
      </c>
      <c r="AS3058" s="144"/>
      <c r="AT3058" s="130" t="s">
        <v>228</v>
      </c>
      <c r="AU3058" s="154" t="s">
        <v>187</v>
      </c>
    </row>
    <row r="3059" spans="13:47" x14ac:dyDescent="0.25">
      <c r="M3059" s="20"/>
      <c r="N3059" s="20"/>
      <c r="O3059" s="7" t="s">
        <v>188</v>
      </c>
      <c r="P3059" s="7"/>
      <c r="Q3059" s="7"/>
      <c r="R3059" s="181">
        <f>P_1_minW-(R3057^2*R_up)+dpup_minQ</f>
        <v>100.25139366159605</v>
      </c>
      <c r="S3059" s="132"/>
      <c r="T3059" s="145"/>
      <c r="U3059" s="138">
        <f>P_1_minW-(U3057^2*R_up)+dpup_minQ</f>
        <v>94.189600286746327</v>
      </c>
      <c r="V3059" s="132"/>
      <c r="W3059" s="145"/>
      <c r="X3059" s="138">
        <f>P_1_minW-(X3057^2*R_up)+dpup_minQ</f>
        <v>61.78700701991071</v>
      </c>
      <c r="Y3059" s="132"/>
      <c r="Z3059" s="145"/>
      <c r="AA3059" s="138">
        <f>P_1_minW-(AA3057^2*R_up)+dpup_minQ</f>
        <v>-46.429513762548979</v>
      </c>
      <c r="AB3059" s="132"/>
      <c r="AC3059" s="145"/>
      <c r="AD3059" s="138">
        <f>P_1_minW-(AD3057^2*R_up)+dpup_minQ</f>
        <v>-296.95582791902245</v>
      </c>
      <c r="AE3059" s="132"/>
      <c r="AF3059" s="145"/>
      <c r="AG3059" s="138">
        <f>P_1_minW-(AG3057^2*R_up)+dpup_minQ</f>
        <v>-681.40596888694017</v>
      </c>
      <c r="AH3059" s="132"/>
      <c r="AI3059" s="145"/>
      <c r="AJ3059" s="138">
        <f>P_1_minW-(AJ3057^2*R_up)+dpup_minQ</f>
        <v>-1160.1231439695491</v>
      </c>
      <c r="AK3059" s="132"/>
      <c r="AL3059" s="145"/>
      <c r="AM3059" s="138">
        <f>P_1_minW-(AM3057^2*R_up)+dpup_minQ</f>
        <v>-1632.7905846160259</v>
      </c>
      <c r="AN3059" s="132"/>
      <c r="AO3059" s="145"/>
      <c r="AP3059" s="138">
        <f>P_1_minW-(AP3057^2*R_up)+dpup_minQ</f>
        <v>-2056.9598565043812</v>
      </c>
      <c r="AQ3059" s="132"/>
      <c r="AR3059" s="145"/>
      <c r="AS3059" s="138">
        <f>P_1_minW-(AS3057^2*R_up)+dpup_minQ</f>
        <v>-2584.9300764428185</v>
      </c>
      <c r="AT3059" s="132"/>
      <c r="AU3059" s="145"/>
    </row>
    <row r="3060" spans="13:47" x14ac:dyDescent="0.25">
      <c r="M3060" s="20"/>
      <c r="N3060" s="20"/>
      <c r="O3060" s="7" t="s">
        <v>189</v>
      </c>
      <c r="P3060" s="1"/>
      <c r="Q3060" s="7"/>
      <c r="R3060" s="181">
        <f>P_2_minW+(R3057^2*R_dn)-dpdn_minQ</f>
        <v>50</v>
      </c>
      <c r="S3060" s="132"/>
      <c r="T3060" s="146"/>
      <c r="U3060" s="138">
        <f>P_2_minW+(U3057^2*R_dn)-dpdn_minQ</f>
        <v>50</v>
      </c>
      <c r="V3060" s="132"/>
      <c r="W3060" s="146"/>
      <c r="X3060" s="138">
        <f>P_2_minW+(X3057^2*R_dn)-dpdn_minQ</f>
        <v>50</v>
      </c>
      <c r="Y3060" s="132"/>
      <c r="Z3060" s="146"/>
      <c r="AA3060" s="138">
        <f>P_2_minW+(AA3057^2*R_dn)-dpdn_minQ</f>
        <v>50</v>
      </c>
      <c r="AB3060" s="132"/>
      <c r="AC3060" s="146"/>
      <c r="AD3060" s="138">
        <f>P_2_minW+(AD3057^2*R_dn)-dpdn_minQ</f>
        <v>50</v>
      </c>
      <c r="AE3060" s="132"/>
      <c r="AF3060" s="146"/>
      <c r="AG3060" s="138">
        <f>P_2_minW+(AG3057^2*R_dn)-dpdn_minQ</f>
        <v>50</v>
      </c>
      <c r="AH3060" s="132"/>
      <c r="AI3060" s="146"/>
      <c r="AJ3060" s="138">
        <f>P_2_minW+(AJ3057^2*R_dn)-dpdn_minQ</f>
        <v>50</v>
      </c>
      <c r="AK3060" s="132"/>
      <c r="AL3060" s="146"/>
      <c r="AM3060" s="138">
        <f>P_2_minW+(AM3057^2*R_dn)-dpdn_minQ</f>
        <v>50</v>
      </c>
      <c r="AN3060" s="132"/>
      <c r="AO3060" s="146"/>
      <c r="AP3060" s="138">
        <f>P_2_minW+(AP3057^2*R_dn)-dpdn_minQ</f>
        <v>50</v>
      </c>
      <c r="AQ3060" s="132"/>
      <c r="AR3060" s="146"/>
      <c r="AS3060" s="138">
        <f>P_2_minW+(AS3057^2*R_dn)-dpdn_minQ</f>
        <v>50</v>
      </c>
      <c r="AT3060" s="132"/>
      <c r="AU3060" s="146"/>
    </row>
    <row r="3061" spans="13:47" x14ac:dyDescent="0.25">
      <c r="M3061" s="20"/>
      <c r="N3061" s="20"/>
      <c r="O3061" s="7" t="s">
        <v>234</v>
      </c>
      <c r="P3061" s="1"/>
      <c r="Q3061" s="7"/>
      <c r="R3061" s="179">
        <f>'Valve Sizing'!G$8*R3059/P_1_maxW</f>
        <v>0.48359487436301951</v>
      </c>
      <c r="S3061" s="132"/>
      <c r="T3061" s="146"/>
      <c r="U3061" s="143">
        <f>'Valve Sizing'!$G$8*U3059/P_1_maxW</f>
        <v>0.45435386235853492</v>
      </c>
      <c r="V3061" s="132"/>
      <c r="W3061" s="146"/>
      <c r="X3061" s="143">
        <f>'Valve Sizing'!$G$8*X3059/P_1_maxW</f>
        <v>0.29804952136547708</v>
      </c>
      <c r="Y3061" s="132"/>
      <c r="Z3061" s="146"/>
      <c r="AA3061" s="143">
        <f>'Valve Sizing'!$G$8*AA3059/P_1_maxW</f>
        <v>-0.2239677081251111</v>
      </c>
      <c r="AB3061" s="132"/>
      <c r="AC3061" s="146"/>
      <c r="AD3061" s="143">
        <f>'Valve Sizing'!$G$8*AD3059/P_1_maxW</f>
        <v>-1.4324620441548865</v>
      </c>
      <c r="AE3061" s="132"/>
      <c r="AF3061" s="146"/>
      <c r="AG3061" s="143">
        <f>'Valve Sizing'!$G$8*AG3059/P_1_maxW</f>
        <v>-3.2869810770553349</v>
      </c>
      <c r="AH3061" s="132"/>
      <c r="AI3061" s="146"/>
      <c r="AJ3061" s="143">
        <f>'Valve Sizing'!$G$8*AJ3059/P_1_maxW</f>
        <v>-5.5962274993140815</v>
      </c>
      <c r="AK3061" s="132"/>
      <c r="AL3061" s="146"/>
      <c r="AM3061" s="143">
        <f>'Valve Sizing'!$G$8*AM3059/P_1_maxW</f>
        <v>-7.8762910797417565</v>
      </c>
      <c r="AN3061" s="132"/>
      <c r="AO3061" s="146"/>
      <c r="AP3061" s="143">
        <f>'Valve Sizing'!$G$8*AP3059/P_1_maxW</f>
        <v>-9.9224081286469978</v>
      </c>
      <c r="AQ3061" s="132"/>
      <c r="AR3061" s="146"/>
      <c r="AS3061" s="143">
        <f>'Valve Sizing'!$G$8*AS3059/P_1_maxW</f>
        <v>-12.46924247032611</v>
      </c>
      <c r="AT3061" s="132"/>
      <c r="AU3061" s="146"/>
    </row>
    <row r="3062" spans="13:47" x14ac:dyDescent="0.25">
      <c r="M3062" s="20"/>
      <c r="N3062" s="20"/>
      <c r="O3062" s="7" t="s">
        <v>190</v>
      </c>
      <c r="P3062" s="1"/>
      <c r="Q3062" s="7"/>
      <c r="R3062" s="181">
        <f>R3059-R3060</f>
        <v>50.251393661596055</v>
      </c>
      <c r="S3062" s="132"/>
      <c r="T3062" s="146"/>
      <c r="U3062" s="138">
        <f>U3059-U3060</f>
        <v>44.189600286746327</v>
      </c>
      <c r="V3062" s="132"/>
      <c r="W3062" s="146"/>
      <c r="X3062" s="138">
        <f>X3059-X3060</f>
        <v>11.78700701991071</v>
      </c>
      <c r="Y3062" s="132"/>
      <c r="Z3062" s="146"/>
      <c r="AA3062" s="138">
        <f>AA3059-AA3060</f>
        <v>-96.429513762548979</v>
      </c>
      <c r="AB3062" s="132"/>
      <c r="AC3062" s="146"/>
      <c r="AD3062" s="138">
        <f>AD3059-AD3060</f>
        <v>-346.95582791902245</v>
      </c>
      <c r="AE3062" s="132"/>
      <c r="AF3062" s="146"/>
      <c r="AG3062" s="138">
        <f>AG3059-AG3060</f>
        <v>-731.40596888694017</v>
      </c>
      <c r="AH3062" s="132"/>
      <c r="AI3062" s="146"/>
      <c r="AJ3062" s="138">
        <f>AJ3059-AJ3060</f>
        <v>-1210.1231439695491</v>
      </c>
      <c r="AK3062" s="132"/>
      <c r="AL3062" s="146"/>
      <c r="AM3062" s="138">
        <f>AM3059-AM3060</f>
        <v>-1682.7905846160259</v>
      </c>
      <c r="AN3062" s="132"/>
      <c r="AO3062" s="146"/>
      <c r="AP3062" s="138">
        <f>AP3059-AP3060</f>
        <v>-2106.9598565043812</v>
      </c>
      <c r="AQ3062" s="132"/>
      <c r="AR3062" s="146"/>
      <c r="AS3062" s="138">
        <f>AS3059-AS3060</f>
        <v>-2634.9300764428185</v>
      </c>
      <c r="AT3062" s="132"/>
      <c r="AU3062" s="146"/>
    </row>
    <row r="3063" spans="13:47" ht="14.5" x14ac:dyDescent="0.35">
      <c r="M3063" s="27"/>
      <c r="N3063" s="27"/>
      <c r="O3063" s="2" t="s">
        <v>191</v>
      </c>
      <c r="P3063" s="10"/>
      <c r="Q3063" s="2"/>
      <c r="R3063" s="181">
        <f>R3062/R3059</f>
        <v>0.50125381629329091</v>
      </c>
      <c r="S3063" s="132"/>
      <c r="T3063" s="146"/>
      <c r="U3063" s="138">
        <f>U3062/U3059</f>
        <v>0.4691558319837606</v>
      </c>
      <c r="V3063" s="132"/>
      <c r="W3063" s="146"/>
      <c r="X3063" s="138">
        <f>X3062/X3059</f>
        <v>0.19076837653120787</v>
      </c>
      <c r="Y3063" s="132"/>
      <c r="Z3063" s="146"/>
      <c r="AA3063" s="138">
        <f>AA3062/AA3059</f>
        <v>2.0769012196791743</v>
      </c>
      <c r="AB3063" s="132"/>
      <c r="AC3063" s="146"/>
      <c r="AD3063" s="138">
        <f>AD3062/AD3059</f>
        <v>1.1683752103819112</v>
      </c>
      <c r="AE3063" s="132"/>
      <c r="AF3063" s="146"/>
      <c r="AG3063" s="138">
        <f>AG3062/AG3059</f>
        <v>1.073377695944862</v>
      </c>
      <c r="AH3063" s="132"/>
      <c r="AI3063" s="146"/>
      <c r="AJ3063" s="138">
        <f>AJ3062/AJ3059</f>
        <v>1.0430988729600867</v>
      </c>
      <c r="AK3063" s="132"/>
      <c r="AL3063" s="146"/>
      <c r="AM3063" s="138">
        <f>AM3062/AM3059</f>
        <v>1.0306224205792798</v>
      </c>
      <c r="AN3063" s="132"/>
      <c r="AO3063" s="146"/>
      <c r="AP3063" s="138">
        <f>AP3062/AP3059</f>
        <v>1.0243077179371747</v>
      </c>
      <c r="AQ3063" s="132"/>
      <c r="AR3063" s="146"/>
      <c r="AS3063" s="138">
        <f>AS3062/AS3059</f>
        <v>1.0193428829876923</v>
      </c>
      <c r="AT3063" s="132"/>
      <c r="AU3063" s="146"/>
    </row>
    <row r="3064" spans="13:47" x14ac:dyDescent="0.25">
      <c r="M3064" s="27"/>
      <c r="N3064" s="27"/>
      <c r="O3064" s="2" t="s">
        <v>26</v>
      </c>
      <c r="P3064" s="7">
        <v>12</v>
      </c>
      <c r="Q3064" s="2"/>
      <c r="R3064" s="181">
        <f>1-R3063/(3*F_GAMMA*R$29)</f>
        <v>0.73894126854248232</v>
      </c>
      <c r="S3064" s="133"/>
      <c r="T3064" s="146"/>
      <c r="U3064" s="138">
        <f>1-U3063/(3*F_GAMMA*U$29)</f>
        <v>0.75571206455088591</v>
      </c>
      <c r="V3064" s="133"/>
      <c r="W3064" s="146"/>
      <c r="X3064" s="138">
        <f>1-X3063/(3*F_GAMMA*X$29)</f>
        <v>0.89917737351330818</v>
      </c>
      <c r="Y3064" s="133"/>
      <c r="Z3064" s="146"/>
      <c r="AA3064" s="138">
        <f>1-AA3063/(3*F_GAMMA*AA$29)</f>
        <v>-0.11270948826051486</v>
      </c>
      <c r="AB3064" s="133"/>
      <c r="AC3064" s="146"/>
      <c r="AD3064" s="138">
        <f>1-AD3063/(3*F_GAMMA*AD$29)</f>
        <v>0.35687498740394497</v>
      </c>
      <c r="AE3064" s="133"/>
      <c r="AF3064" s="146"/>
      <c r="AG3064" s="138">
        <f>1-AG3063/(3*F_GAMMA*AG$29)</f>
        <v>0.37546367388000013</v>
      </c>
      <c r="AH3064" s="133"/>
      <c r="AI3064" s="146"/>
      <c r="AJ3064" s="138">
        <f>1-AJ3063/(3*F_GAMMA*AJ$29)</f>
        <v>0.35119554047664114</v>
      </c>
      <c r="AK3064" s="133"/>
      <c r="AL3064" s="146"/>
      <c r="AM3064" s="138">
        <f>1-AM3063/(3*F_GAMMA*AM$29)</f>
        <v>0.29959408730252646</v>
      </c>
      <c r="AN3064" s="133"/>
      <c r="AO3064" s="146"/>
      <c r="AP3064" s="138">
        <f>1-AP3063/(3*F_GAMMA*AP$29)</f>
        <v>0.42473669959277904</v>
      </c>
      <c r="AQ3064" s="133"/>
      <c r="AR3064" s="146"/>
      <c r="AS3064" s="138">
        <f>1-AS3063/(3*F_GAMMA*AS$29)</f>
        <v>0.13093322004623709</v>
      </c>
      <c r="AT3064" s="133"/>
      <c r="AU3064" s="146"/>
    </row>
    <row r="3065" spans="13:47" x14ac:dyDescent="0.25">
      <c r="M3065" s="27"/>
      <c r="N3065" s="27"/>
      <c r="O3065" s="2" t="s">
        <v>71</v>
      </c>
      <c r="P3065" s="85">
        <v>5</v>
      </c>
      <c r="Q3065" s="2"/>
      <c r="R3065" s="179">
        <f>R3057/((N_6*R$27*R3064)*SQRT(R3063*R3059*R3061))</f>
        <v>3.578207445523812</v>
      </c>
      <c r="S3065" s="133"/>
      <c r="T3065" s="146"/>
      <c r="U3065" s="143">
        <f>U3057/((N_6*U$27*U3064)*SQRT(U3063*U3059*U3061))</f>
        <v>18.606237134303772</v>
      </c>
      <c r="V3065" s="133"/>
      <c r="W3065" s="146"/>
      <c r="X3065" s="143">
        <f>X3057/((N_6*X$27*X3064)*SQRT(X3063*X3059*X3061))</f>
        <v>92.658899600357117</v>
      </c>
      <c r="Y3065" s="133"/>
      <c r="Z3065" s="146"/>
      <c r="AA3065" s="143">
        <f>AA3057/((N_6*AA$27*AA3064)*SQRT(AA3063*AA3059*AA3061))</f>
        <v>-584.04048095487656</v>
      </c>
      <c r="AB3065" s="133"/>
      <c r="AC3065" s="146"/>
      <c r="AD3065" s="143">
        <f>AD3057/((N_6*AD$27*AD3064)*SQRT(AD3063*AD3059*AD3061))</f>
        <v>63.991121732513122</v>
      </c>
      <c r="AE3065" s="133"/>
      <c r="AF3065" s="146"/>
      <c r="AG3065" s="143">
        <f>AG3057/((N_6*AG$27*AG3064)*SQRT(AG3063*AG3059*AG3061))</f>
        <v>39.624714094793497</v>
      </c>
      <c r="AH3065" s="133"/>
      <c r="AI3065" s="146"/>
      <c r="AJ3065" s="143">
        <f>AJ3057/((N_6*AJ$27*AJ3064)*SQRT(AJ3063*AJ3059*AJ3061))</f>
        <v>33.14919672166846</v>
      </c>
      <c r="AK3065" s="133"/>
      <c r="AL3065" s="146"/>
      <c r="AM3065" s="143">
        <f>AM3057/((N_6*AM$27*AM3064)*SQRT(AM3063*AM3059*AM3061))</f>
        <v>34.570171681931484</v>
      </c>
      <c r="AN3065" s="133"/>
      <c r="AO3065" s="146"/>
      <c r="AP3065" s="143">
        <f>AP3057/((N_6*AP$27*AP3064)*SQRT(AP3063*AP3059*AP3061))</f>
        <v>24.606138403072183</v>
      </c>
      <c r="AQ3065" s="133"/>
      <c r="AR3065" s="146"/>
      <c r="AS3065" s="143">
        <f>AS3057/((N_6*AS$27*AS3064)*SQRT(AS3063*AS3059*AS3061))</f>
        <v>93.34004878184426</v>
      </c>
      <c r="AT3065" s="133"/>
      <c r="AU3065" s="146"/>
    </row>
    <row r="3066" spans="13:47" x14ac:dyDescent="0.25">
      <c r="M3066" s="27"/>
      <c r="N3066" s="27"/>
      <c r="O3066" s="2" t="s">
        <v>73</v>
      </c>
      <c r="P3066" s="85">
        <v>5</v>
      </c>
      <c r="Q3066" s="2"/>
      <c r="R3066" s="179">
        <f>R3057/((N_6*R$27*0.667)*SQRT(R3067*R3059*R3061))</f>
        <v>3.508159592453608</v>
      </c>
      <c r="S3066" s="133"/>
      <c r="T3066" s="147"/>
      <c r="U3066" s="143">
        <f>U3057/((N_6*U$27*0.667)*SQRT(U3067*U3059*U3061))</f>
        <v>18.046820980678536</v>
      </c>
      <c r="V3066" s="133"/>
      <c r="W3066" s="155"/>
      <c r="X3066" s="143">
        <f>X3057/((N_6*X$27*0.667)*SQRT(X3067*X3059*X3061))</f>
        <v>68.698349821248698</v>
      </c>
      <c r="Y3066" s="133"/>
      <c r="Z3066" s="155"/>
      <c r="AA3066" s="143">
        <f>AA3057/((N_6*AA$27*0.667)*SQRT(AA3067*AA3059*AA3061))</f>
        <v>180.31386270999087</v>
      </c>
      <c r="AB3066" s="133"/>
      <c r="AC3066" s="155"/>
      <c r="AD3066" s="143">
        <f>AD3057/((N_6*AD$27*0.667)*SQRT(AD3067*AD3059*AD3061))</f>
        <v>47.55742451091465</v>
      </c>
      <c r="AE3066" s="133"/>
      <c r="AF3066" s="155"/>
      <c r="AG3066" s="143">
        <f>AG3057/((N_6*AG$27*0.667)*SQRT(AG3067*AG3059*AG3061))</f>
        <v>30.53146984232087</v>
      </c>
      <c r="AH3066" s="133"/>
      <c r="AI3066" s="155"/>
      <c r="AJ3066" s="143">
        <f>AJ3057/((N_6*AJ$27*0.667)*SQRT(AJ3067*AJ3059*AJ3061))</f>
        <v>24.350826598404073</v>
      </c>
      <c r="AK3066" s="133"/>
      <c r="AL3066" s="155"/>
      <c r="AM3066" s="143">
        <f>AM3057/((N_6*AM$27*0.667)*SQRT(AM3067*AM3059*AM3061))</f>
        <v>22.508391974908438</v>
      </c>
      <c r="AN3066" s="133"/>
      <c r="AO3066" s="155"/>
      <c r="AP3066" s="143">
        <f>AP3057/((N_6*AP$27*0.667)*SQRT(AP3067*AP3059*AP3061))</f>
        <v>20.5840760739699</v>
      </c>
      <c r="AQ3066" s="133"/>
      <c r="AR3066" s="155"/>
      <c r="AS3066" s="143">
        <f>AS3057/((N_6*AS$27*0.667)*SQRT(AS3067*AS3059*AS3061))</f>
        <v>29.585522272611897</v>
      </c>
      <c r="AT3066" s="133"/>
      <c r="AU3066" s="155"/>
    </row>
    <row r="3067" spans="13:47" ht="15.5" x14ac:dyDescent="0.4">
      <c r="M3067" s="27"/>
      <c r="N3067" s="27"/>
      <c r="O3067" s="2" t="s">
        <v>192</v>
      </c>
      <c r="P3067" s="85">
        <v>10</v>
      </c>
      <c r="Q3067" s="2"/>
      <c r="R3067" s="181">
        <f>F_GAMMA*R$29</f>
        <v>0.64002688015162901</v>
      </c>
      <c r="S3067" s="133"/>
      <c r="T3067" s="147"/>
      <c r="U3067" s="138">
        <f>F_GAMMA*U$29</f>
        <v>0.64016782916606918</v>
      </c>
      <c r="V3067" s="133"/>
      <c r="W3067" s="155"/>
      <c r="X3067" s="138">
        <f>F_GAMMA*X$29</f>
        <v>0.6307062319203669</v>
      </c>
      <c r="Y3067" s="133"/>
      <c r="Z3067" s="155"/>
      <c r="AA3067" s="138">
        <f>F_GAMMA*AA$29</f>
        <v>0.62217534213893466</v>
      </c>
      <c r="AB3067" s="133"/>
      <c r="AC3067" s="155"/>
      <c r="AD3067" s="138">
        <f>F_GAMMA*AD$29</f>
        <v>0.60557184969146072</v>
      </c>
      <c r="AE3067" s="133"/>
      <c r="AF3067" s="155"/>
      <c r="AG3067" s="138">
        <f>F_GAMMA*AG$29</f>
        <v>0.57289312142622573</v>
      </c>
      <c r="AH3067" s="133"/>
      <c r="AI3067" s="155"/>
      <c r="AJ3067" s="138">
        <f>F_GAMMA*AJ$29</f>
        <v>0.53590819116049981</v>
      </c>
      <c r="AK3067" s="133"/>
      <c r="AL3067" s="155"/>
      <c r="AM3067" s="138">
        <f>F_GAMMA*AM$29</f>
        <v>0.49048815926850342</v>
      </c>
      <c r="AN3067" s="133"/>
      <c r="AO3067" s="155"/>
      <c r="AP3067" s="138">
        <f>F_GAMMA*AP$29</f>
        <v>0.59352979016280105</v>
      </c>
      <c r="AQ3067" s="133"/>
      <c r="AR3067" s="155"/>
      <c r="AS3067" s="138">
        <f>F_GAMMA*AS$29</f>
        <v>0.39097221161068291</v>
      </c>
      <c r="AT3067" s="133"/>
      <c r="AU3067" s="155"/>
    </row>
    <row r="3068" spans="13:47" x14ac:dyDescent="0.25">
      <c r="M3068" s="27"/>
      <c r="N3068" s="27"/>
      <c r="O3068" s="2" t="s">
        <v>193</v>
      </c>
      <c r="P3068" s="134"/>
      <c r="Q3068" s="2"/>
      <c r="R3068" s="181">
        <f>IF(R3063&lt;R3067,R3065,R3066)</f>
        <v>3.578207445523812</v>
      </c>
      <c r="S3068" s="133"/>
      <c r="T3068" s="147"/>
      <c r="U3068" s="138">
        <f>IF(U3063&lt;U3067,U3065,U3066)</f>
        <v>18.606237134303772</v>
      </c>
      <c r="V3068" s="133"/>
      <c r="W3068" s="155"/>
      <c r="X3068" s="138">
        <f>IF(X3063&lt;X3067,X3065,X3066)</f>
        <v>92.658899600357117</v>
      </c>
      <c r="Y3068" s="133"/>
      <c r="Z3068" s="155"/>
      <c r="AA3068" s="138">
        <f>IF(AA3063&lt;AA3067,AA3065,AA3066)</f>
        <v>180.31386270999087</v>
      </c>
      <c r="AB3068" s="133"/>
      <c r="AC3068" s="155"/>
      <c r="AD3068" s="138">
        <f>IF(AD3063&lt;AD3067,AD3065,AD3066)</f>
        <v>47.55742451091465</v>
      </c>
      <c r="AE3068" s="133"/>
      <c r="AF3068" s="155"/>
      <c r="AG3068" s="138">
        <f>IF(AG3063&lt;AG3067,AG3065,AG3066)</f>
        <v>30.53146984232087</v>
      </c>
      <c r="AH3068" s="133"/>
      <c r="AI3068" s="155"/>
      <c r="AJ3068" s="138">
        <f>IF(AJ3063&lt;AJ3067,AJ3065,AJ3066)</f>
        <v>24.350826598404073</v>
      </c>
      <c r="AK3068" s="133"/>
      <c r="AL3068" s="155"/>
      <c r="AM3068" s="138">
        <f>IF(AM3063&lt;AM3067,AM3065,AM3066)</f>
        <v>22.508391974908438</v>
      </c>
      <c r="AN3068" s="133"/>
      <c r="AO3068" s="155"/>
      <c r="AP3068" s="138">
        <f>IF(AP3063&lt;AP3067,AP3065,AP3066)</f>
        <v>20.5840760739699</v>
      </c>
      <c r="AQ3068" s="133"/>
      <c r="AR3068" s="155"/>
      <c r="AS3068" s="138">
        <f>IF(AS3063&lt;AS3067,AS3065,AS3066)</f>
        <v>29.585522272611897</v>
      </c>
      <c r="AT3068" s="133"/>
      <c r="AU3068" s="155"/>
    </row>
    <row r="3069" spans="13:47" ht="13" x14ac:dyDescent="0.3">
      <c r="M3069" s="28"/>
      <c r="N3069" s="28"/>
      <c r="O3069" s="9" t="s">
        <v>194</v>
      </c>
      <c r="P3069" s="1"/>
      <c r="Q3069" s="1"/>
      <c r="R3069" s="135"/>
      <c r="S3069" s="132">
        <f>IF(R3062&lt;=0,W_max,ABS(R$23-R3068))</f>
        <v>1.578207445523812</v>
      </c>
      <c r="T3069" s="151">
        <f>R3057</f>
        <v>824.9784179856199</v>
      </c>
      <c r="U3069" s="135"/>
      <c r="V3069" s="132">
        <f>IF(U3062&lt;=0,W_max,ABS(U$23-U3068))</f>
        <v>13.606237134303772</v>
      </c>
      <c r="W3069" s="151">
        <f>U3057</f>
        <v>3985.238738322751</v>
      </c>
      <c r="X3069" s="135"/>
      <c r="Y3069" s="132">
        <f>IF(X3062&lt;=0,W_max,ABS(X$23-X3068))</f>
        <v>82.658899600357117</v>
      </c>
      <c r="Z3069" s="151">
        <f>X3057</f>
        <v>9855.9696488412956</v>
      </c>
      <c r="AA3069" s="135"/>
      <c r="AB3069" s="132">
        <f>IF(AA3062&lt;=0,W_max,ABS(AA$23-AA3068))</f>
        <v>7174</v>
      </c>
      <c r="AC3069" s="151">
        <f>AA3057</f>
        <v>19196.913184895897</v>
      </c>
      <c r="AD3069" s="135"/>
      <c r="AE3069" s="132">
        <f>IF(AD3062&lt;=0,W_max,ABS(AD$23-AD3068))</f>
        <v>7174</v>
      </c>
      <c r="AF3069" s="151">
        <f>AD3057</f>
        <v>31571.854305054192</v>
      </c>
      <c r="AG3069" s="135"/>
      <c r="AH3069" s="132">
        <f>IF(AG3062&lt;=0,W_max,ABS(AG$23-AG3068))</f>
        <v>7174</v>
      </c>
      <c r="AI3069" s="151">
        <f>AG3057</f>
        <v>44281.956258967759</v>
      </c>
      <c r="AJ3069" s="135"/>
      <c r="AK3069" s="132">
        <f>IF(AJ3062&lt;=0,W_max,ABS(AJ$23-AJ3068))</f>
        <v>7174</v>
      </c>
      <c r="AL3069" s="151">
        <f>AJ3057</f>
        <v>56226.334166786059</v>
      </c>
      <c r="AM3069" s="135"/>
      <c r="AN3069" s="132">
        <f>IF(AM3062&lt;=0,W_max,ABS(AM$23-AM3068))</f>
        <v>7174</v>
      </c>
      <c r="AO3069" s="151">
        <f>AM3057</f>
        <v>65929.798726317036</v>
      </c>
      <c r="AP3069" s="135"/>
      <c r="AQ3069" s="132">
        <f>IF(AP3062&lt;=0,W_max,ABS(AP$23-AP3068))</f>
        <v>7174</v>
      </c>
      <c r="AR3069" s="151">
        <f>AP3057</f>
        <v>73555.789540967206</v>
      </c>
      <c r="AS3069" s="135"/>
      <c r="AT3069" s="132">
        <f>IF(AS3062&lt;=0,W_max,ABS(AS$23-AS3068))</f>
        <v>7174</v>
      </c>
      <c r="AU3069" s="151">
        <f>AS3057</f>
        <v>82063.866104832865</v>
      </c>
    </row>
    <row r="3070" spans="13:47" ht="13" x14ac:dyDescent="0.25">
      <c r="M3070" s="12"/>
      <c r="N3070" s="12"/>
      <c r="O3070" s="12"/>
      <c r="P3070" s="12"/>
      <c r="Q3070" s="12"/>
      <c r="R3070" s="182"/>
      <c r="S3070" s="22"/>
      <c r="T3070" s="152"/>
      <c r="U3070" s="157"/>
      <c r="V3070" s="1"/>
      <c r="W3070" s="147"/>
      <c r="X3070" s="157"/>
      <c r="Y3070" s="1"/>
      <c r="Z3070" s="147"/>
      <c r="AA3070" s="157"/>
      <c r="AB3070" s="1"/>
      <c r="AC3070" s="147"/>
      <c r="AD3070" s="157"/>
      <c r="AE3070" s="1"/>
      <c r="AF3070" s="147"/>
      <c r="AG3070" s="157"/>
      <c r="AH3070" s="1"/>
      <c r="AI3070" s="147"/>
      <c r="AJ3070" s="157"/>
      <c r="AK3070" s="1"/>
      <c r="AL3070" s="147"/>
      <c r="AM3070" s="157"/>
      <c r="AN3070" s="1"/>
      <c r="AO3070" s="147"/>
      <c r="AP3070" s="157"/>
      <c r="AQ3070" s="1"/>
      <c r="AR3070" s="147"/>
      <c r="AS3070" s="157"/>
      <c r="AT3070" s="1"/>
      <c r="AU3070" s="147"/>
    </row>
    <row r="3071" spans="13:47" ht="14" x14ac:dyDescent="0.3">
      <c r="M3071" s="23"/>
      <c r="N3071" s="23"/>
      <c r="O3071" s="23" t="s">
        <v>238</v>
      </c>
      <c r="P3071" s="20"/>
      <c r="Q3071" s="20"/>
      <c r="R3071" s="18">
        <f>R3057*1.02</f>
        <v>841.47798634533228</v>
      </c>
      <c r="S3071" s="128" t="s">
        <v>185</v>
      </c>
      <c r="T3071" s="153" t="s">
        <v>186</v>
      </c>
      <c r="U3071" s="143">
        <f>U3057*1.01</f>
        <v>4025.0911257059784</v>
      </c>
      <c r="V3071" s="128" t="s">
        <v>185</v>
      </c>
      <c r="W3071" s="153" t="s">
        <v>186</v>
      </c>
      <c r="X3071" s="143">
        <f>X3057*1.01</f>
        <v>9954.529345329709</v>
      </c>
      <c r="Y3071" s="128" t="s">
        <v>185</v>
      </c>
      <c r="Z3071" s="153" t="s">
        <v>186</v>
      </c>
      <c r="AA3071" s="143">
        <f>AA3057*1.01</f>
        <v>19388.882316744857</v>
      </c>
      <c r="AB3071" s="128" t="s">
        <v>185</v>
      </c>
      <c r="AC3071" s="153" t="s">
        <v>186</v>
      </c>
      <c r="AD3071" s="143">
        <f>AD3057*1.01</f>
        <v>31887.572848104734</v>
      </c>
      <c r="AE3071" s="128" t="s">
        <v>185</v>
      </c>
      <c r="AF3071" s="153" t="s">
        <v>186</v>
      </c>
      <c r="AG3071" s="143">
        <f>AG3057*1.01</f>
        <v>44724.775821557436</v>
      </c>
      <c r="AH3071" s="128" t="s">
        <v>185</v>
      </c>
      <c r="AI3071" s="153" t="s">
        <v>186</v>
      </c>
      <c r="AJ3071" s="143">
        <f>AJ3057*1.01</f>
        <v>56788.597508453917</v>
      </c>
      <c r="AK3071" s="128" t="s">
        <v>185</v>
      </c>
      <c r="AL3071" s="153" t="s">
        <v>186</v>
      </c>
      <c r="AM3071" s="143">
        <f>AM3057*1.01</f>
        <v>66589.096713580206</v>
      </c>
      <c r="AN3071" s="128" t="s">
        <v>185</v>
      </c>
      <c r="AO3071" s="153" t="s">
        <v>186</v>
      </c>
      <c r="AP3071" s="143">
        <f>AP3057*1.01</f>
        <v>74291.347436376876</v>
      </c>
      <c r="AQ3071" s="128" t="s">
        <v>185</v>
      </c>
      <c r="AR3071" s="153" t="s">
        <v>186</v>
      </c>
      <c r="AS3071" s="143">
        <f>AS3057*1.01</f>
        <v>82884.504765881196</v>
      </c>
      <c r="AT3071" s="128" t="s">
        <v>185</v>
      </c>
      <c r="AU3071" s="153" t="s">
        <v>186</v>
      </c>
    </row>
    <row r="3072" spans="13:47" ht="14" x14ac:dyDescent="0.3">
      <c r="M3072" s="12"/>
      <c r="N3072" s="12"/>
      <c r="O3072" s="20"/>
      <c r="P3072" s="20"/>
      <c r="Q3072" s="23"/>
      <c r="R3072" s="139"/>
      <c r="S3072" s="130" t="s">
        <v>228</v>
      </c>
      <c r="T3072" s="154" t="s">
        <v>187</v>
      </c>
      <c r="U3072" s="144"/>
      <c r="V3072" s="130" t="s">
        <v>228</v>
      </c>
      <c r="W3072" s="154" t="s">
        <v>187</v>
      </c>
      <c r="X3072" s="144"/>
      <c r="Y3072" s="130" t="s">
        <v>228</v>
      </c>
      <c r="Z3072" s="154" t="s">
        <v>187</v>
      </c>
      <c r="AA3072" s="144"/>
      <c r="AB3072" s="130" t="s">
        <v>228</v>
      </c>
      <c r="AC3072" s="154" t="s">
        <v>187</v>
      </c>
      <c r="AD3072" s="144"/>
      <c r="AE3072" s="130" t="s">
        <v>228</v>
      </c>
      <c r="AF3072" s="154" t="s">
        <v>187</v>
      </c>
      <c r="AG3072" s="144"/>
      <c r="AH3072" s="130" t="s">
        <v>228</v>
      </c>
      <c r="AI3072" s="154" t="s">
        <v>187</v>
      </c>
      <c r="AJ3072" s="144"/>
      <c r="AK3072" s="130" t="s">
        <v>228</v>
      </c>
      <c r="AL3072" s="154" t="s">
        <v>187</v>
      </c>
      <c r="AM3072" s="144"/>
      <c r="AN3072" s="130" t="s">
        <v>228</v>
      </c>
      <c r="AO3072" s="154" t="s">
        <v>187</v>
      </c>
      <c r="AP3072" s="144"/>
      <c r="AQ3072" s="130" t="s">
        <v>228</v>
      </c>
      <c r="AR3072" s="154" t="s">
        <v>187</v>
      </c>
      <c r="AS3072" s="144"/>
      <c r="AT3072" s="130" t="s">
        <v>228</v>
      </c>
      <c r="AU3072" s="154" t="s">
        <v>187</v>
      </c>
    </row>
    <row r="3073" spans="13:47" x14ac:dyDescent="0.25">
      <c r="M3073" s="20"/>
      <c r="N3073" s="20"/>
      <c r="O3073" s="7" t="s">
        <v>188</v>
      </c>
      <c r="P3073" s="7"/>
      <c r="Q3073" s="7"/>
      <c r="R3073" s="181">
        <f>P_1_minW-(R3071^2*R_up)+dpup_minQ</f>
        <v>100.24042938136077</v>
      </c>
      <c r="S3073" s="132"/>
      <c r="T3073" s="145"/>
      <c r="U3073" s="138">
        <f>P_1_minW-(U3071^2*R_up)+dpup_minQ</f>
        <v>94.062303239101723</v>
      </c>
      <c r="V3073" s="132"/>
      <c r="W3073" s="145"/>
      <c r="X3073" s="138">
        <f>P_1_minW-(X3071^2*R_up)+dpup_minQ</f>
        <v>61.008417847602708</v>
      </c>
      <c r="Y3073" s="132"/>
      <c r="Z3073" s="145"/>
      <c r="AA3073" s="138">
        <f>P_1_minW-(AA3071^2*R_up)+dpup_minQ</f>
        <v>-49.383255002584448</v>
      </c>
      <c r="AB3073" s="132"/>
      <c r="AC3073" s="145"/>
      <c r="AD3073" s="138">
        <f>P_1_minW-(AD3071^2*R_up)+dpup_minQ</f>
        <v>-304.94514807360298</v>
      </c>
      <c r="AE3073" s="132"/>
      <c r="AF3073" s="145"/>
      <c r="AG3073" s="138">
        <f>P_1_minW-(AG3071^2*R_up)+dpup_minQ</f>
        <v>-697.12273687497589</v>
      </c>
      <c r="AH3073" s="132"/>
      <c r="AI3073" s="145"/>
      <c r="AJ3073" s="138">
        <f>P_1_minW-(AJ3071^2*R_up)+dpup_minQ</f>
        <v>-1185.4621271767453</v>
      </c>
      <c r="AK3073" s="132"/>
      <c r="AL3073" s="145"/>
      <c r="AM3073" s="138">
        <f>P_1_minW-(AM3071^2*R_up)+dpup_minQ</f>
        <v>-1667.6301833802161</v>
      </c>
      <c r="AN3073" s="132"/>
      <c r="AO3073" s="145"/>
      <c r="AP3073" s="138">
        <f>P_1_minW-(AP3071^2*R_up)+dpup_minQ</f>
        <v>-2100.3252576335276</v>
      </c>
      <c r="AQ3073" s="132"/>
      <c r="AR3073" s="145"/>
      <c r="AS3073" s="138">
        <f>P_1_minW-(AS3071^2*R_up)+dpup_minQ</f>
        <v>-2638.9076789927276</v>
      </c>
      <c r="AT3073" s="132"/>
      <c r="AU3073" s="145"/>
    </row>
    <row r="3074" spans="13:47" x14ac:dyDescent="0.25">
      <c r="M3074" s="20"/>
      <c r="N3074" s="20"/>
      <c r="O3074" s="7" t="s">
        <v>189</v>
      </c>
      <c r="P3074" s="1"/>
      <c r="Q3074" s="7"/>
      <c r="R3074" s="181">
        <f>P_2_minW+(R3071^2*R_dn)-dpdn_minQ</f>
        <v>50</v>
      </c>
      <c r="S3074" s="132"/>
      <c r="T3074" s="146"/>
      <c r="U3074" s="138">
        <f>P_2_minW+(U3071^2*R_dn)-dpdn_minQ</f>
        <v>50</v>
      </c>
      <c r="V3074" s="132"/>
      <c r="W3074" s="146"/>
      <c r="X3074" s="138">
        <f>P_2_minW+(X3071^2*R_dn)-dpdn_minQ</f>
        <v>50</v>
      </c>
      <c r="Y3074" s="132"/>
      <c r="Z3074" s="146"/>
      <c r="AA3074" s="138">
        <f>P_2_minW+(AA3071^2*R_dn)-dpdn_minQ</f>
        <v>50</v>
      </c>
      <c r="AB3074" s="132"/>
      <c r="AC3074" s="146"/>
      <c r="AD3074" s="138">
        <f>P_2_minW+(AD3071^2*R_dn)-dpdn_minQ</f>
        <v>50</v>
      </c>
      <c r="AE3074" s="132"/>
      <c r="AF3074" s="146"/>
      <c r="AG3074" s="138">
        <f>P_2_minW+(AG3071^2*R_dn)-dpdn_minQ</f>
        <v>50</v>
      </c>
      <c r="AH3074" s="132"/>
      <c r="AI3074" s="146"/>
      <c r="AJ3074" s="138">
        <f>P_2_minW+(AJ3071^2*R_dn)-dpdn_minQ</f>
        <v>50</v>
      </c>
      <c r="AK3074" s="132"/>
      <c r="AL3074" s="146"/>
      <c r="AM3074" s="138">
        <f>P_2_minW+(AM3071^2*R_dn)-dpdn_minQ</f>
        <v>50</v>
      </c>
      <c r="AN3074" s="132"/>
      <c r="AO3074" s="146"/>
      <c r="AP3074" s="138">
        <f>P_2_minW+(AP3071^2*R_dn)-dpdn_minQ</f>
        <v>50</v>
      </c>
      <c r="AQ3074" s="132"/>
      <c r="AR3074" s="146"/>
      <c r="AS3074" s="138">
        <f>P_2_minW+(AS3071^2*R_dn)-dpdn_minQ</f>
        <v>50</v>
      </c>
      <c r="AT3074" s="132"/>
      <c r="AU3074" s="146"/>
    </row>
    <row r="3075" spans="13:47" x14ac:dyDescent="0.25">
      <c r="M3075" s="20"/>
      <c r="N3075" s="20"/>
      <c r="O3075" s="7" t="s">
        <v>234</v>
      </c>
      <c r="P3075" s="1"/>
      <c r="Q3075" s="7"/>
      <c r="R3075" s="179">
        <f>'Valve Sizing'!G$8*R3073/P_1_maxW</f>
        <v>0.4835419846272343</v>
      </c>
      <c r="S3075" s="132"/>
      <c r="T3075" s="146"/>
      <c r="U3075" s="143">
        <f>'Valve Sizing'!$G$8*U3073/P_1_maxW</f>
        <v>0.45373980406453979</v>
      </c>
      <c r="V3075" s="132"/>
      <c r="W3075" s="146"/>
      <c r="X3075" s="143">
        <f>'Valve Sizing'!$G$8*X3073/P_1_maxW</f>
        <v>0.29429374581752143</v>
      </c>
      <c r="Y3075" s="132"/>
      <c r="Z3075" s="146"/>
      <c r="AA3075" s="143">
        <f>'Valve Sizing'!$G$8*AA3073/P_1_maxW</f>
        <v>-0.23821602998582767</v>
      </c>
      <c r="AB3075" s="132"/>
      <c r="AC3075" s="146"/>
      <c r="AD3075" s="143">
        <f>'Valve Sizing'!$G$8*AD3073/P_1_maxW</f>
        <v>-1.4710011021698013</v>
      </c>
      <c r="AE3075" s="132"/>
      <c r="AF3075" s="146"/>
      <c r="AG3075" s="143">
        <f>'Valve Sizing'!$G$8*AG3073/P_1_maxW</f>
        <v>-3.3627959676315493</v>
      </c>
      <c r="AH3075" s="132"/>
      <c r="AI3075" s="146"/>
      <c r="AJ3075" s="143">
        <f>'Valve Sizing'!$G$8*AJ3073/P_1_maxW</f>
        <v>-5.7184582429776967</v>
      </c>
      <c r="AK3075" s="132"/>
      <c r="AL3075" s="146"/>
      <c r="AM3075" s="143">
        <f>'Valve Sizing'!$G$8*AM3073/P_1_maxW</f>
        <v>-8.0443511013719657</v>
      </c>
      <c r="AN3075" s="132"/>
      <c r="AO3075" s="146"/>
      <c r="AP3075" s="143">
        <f>'Valve Sizing'!$G$8*AP3073/P_1_maxW</f>
        <v>-10.131595102960205</v>
      </c>
      <c r="AQ3075" s="132"/>
      <c r="AR3075" s="146"/>
      <c r="AS3075" s="143">
        <f>'Valve Sizing'!$G$8*AS3073/P_1_maxW</f>
        <v>-12.729620814907067</v>
      </c>
      <c r="AT3075" s="132"/>
      <c r="AU3075" s="146"/>
    </row>
    <row r="3076" spans="13:47" x14ac:dyDescent="0.25">
      <c r="M3076" s="20"/>
      <c r="N3076" s="20"/>
      <c r="O3076" s="7" t="s">
        <v>190</v>
      </c>
      <c r="P3076" s="1"/>
      <c r="Q3076" s="7"/>
      <c r="R3076" s="181">
        <f>R3073-R3074</f>
        <v>50.240429381360769</v>
      </c>
      <c r="S3076" s="132"/>
      <c r="T3076" s="146"/>
      <c r="U3076" s="138">
        <f>U3073-U3074</f>
        <v>44.062303239101723</v>
      </c>
      <c r="V3076" s="132"/>
      <c r="W3076" s="146"/>
      <c r="X3076" s="138">
        <f>X3073-X3074</f>
        <v>11.008417847602708</v>
      </c>
      <c r="Y3076" s="132"/>
      <c r="Z3076" s="146"/>
      <c r="AA3076" s="138">
        <f>AA3073-AA3074</f>
        <v>-99.383255002584448</v>
      </c>
      <c r="AB3076" s="132"/>
      <c r="AC3076" s="146"/>
      <c r="AD3076" s="138">
        <f>AD3073-AD3074</f>
        <v>-354.94514807360298</v>
      </c>
      <c r="AE3076" s="132"/>
      <c r="AF3076" s="146"/>
      <c r="AG3076" s="138">
        <f>AG3073-AG3074</f>
        <v>-747.12273687497589</v>
      </c>
      <c r="AH3076" s="132"/>
      <c r="AI3076" s="146"/>
      <c r="AJ3076" s="138">
        <f>AJ3073-AJ3074</f>
        <v>-1235.4621271767453</v>
      </c>
      <c r="AK3076" s="132"/>
      <c r="AL3076" s="146"/>
      <c r="AM3076" s="138">
        <f>AM3073-AM3074</f>
        <v>-1717.6301833802161</v>
      </c>
      <c r="AN3076" s="132"/>
      <c r="AO3076" s="146"/>
      <c r="AP3076" s="138">
        <f>AP3073-AP3074</f>
        <v>-2150.3252576335276</v>
      </c>
      <c r="AQ3076" s="132"/>
      <c r="AR3076" s="146"/>
      <c r="AS3076" s="138">
        <f>AS3073-AS3074</f>
        <v>-2688.9076789927276</v>
      </c>
      <c r="AT3076" s="132"/>
      <c r="AU3076" s="146"/>
    </row>
    <row r="3077" spans="13:47" ht="14.5" x14ac:dyDescent="0.35">
      <c r="M3077" s="27"/>
      <c r="N3077" s="27"/>
      <c r="O3077" s="2" t="s">
        <v>191</v>
      </c>
      <c r="P3077" s="10"/>
      <c r="Q3077" s="2"/>
      <c r="R3077" s="181">
        <f>R3076/R3073</f>
        <v>0.50119926352492994</v>
      </c>
      <c r="S3077" s="132"/>
      <c r="T3077" s="146"/>
      <c r="U3077" s="138">
        <f>U3076/U3073</f>
        <v>0.46843742627795887</v>
      </c>
      <c r="V3077" s="132"/>
      <c r="W3077" s="146"/>
      <c r="X3077" s="138">
        <f>X3076/X3073</f>
        <v>0.18044096595164003</v>
      </c>
      <c r="Y3077" s="132"/>
      <c r="Z3077" s="146"/>
      <c r="AA3077" s="138">
        <f>AA3076/AA3073</f>
        <v>2.0124889498957343</v>
      </c>
      <c r="AB3077" s="132"/>
      <c r="AC3077" s="146"/>
      <c r="AD3077" s="138">
        <f>AD3076/AD3073</f>
        <v>1.1639639138902835</v>
      </c>
      <c r="AE3077" s="132"/>
      <c r="AF3077" s="146"/>
      <c r="AG3077" s="138">
        <f>AG3076/AG3073</f>
        <v>1.0717233814867915</v>
      </c>
      <c r="AH3077" s="132"/>
      <c r="AI3077" s="146"/>
      <c r="AJ3077" s="138">
        <f>AJ3076/AJ3073</f>
        <v>1.0421776443580515</v>
      </c>
      <c r="AK3077" s="132"/>
      <c r="AL3077" s="146"/>
      <c r="AM3077" s="138">
        <f>AM3076/AM3073</f>
        <v>1.0299826667196992</v>
      </c>
      <c r="AN3077" s="132"/>
      <c r="AO3077" s="146"/>
      <c r="AP3077" s="138">
        <f>AP3076/AP3073</f>
        <v>1.0238058366523364</v>
      </c>
      <c r="AQ3077" s="132"/>
      <c r="AR3077" s="146"/>
      <c r="AS3077" s="138">
        <f>AS3076/AS3073</f>
        <v>1.0189472335080267</v>
      </c>
      <c r="AT3077" s="132"/>
      <c r="AU3077" s="146"/>
    </row>
    <row r="3078" spans="13:47" x14ac:dyDescent="0.25">
      <c r="M3078" s="27"/>
      <c r="N3078" s="27"/>
      <c r="O3078" s="2" t="s">
        <v>26</v>
      </c>
      <c r="P3078" s="7">
        <v>12</v>
      </c>
      <c r="Q3078" s="2"/>
      <c r="R3078" s="181">
        <f>1-R3077/(3*F_GAMMA*R$29)</f>
        <v>0.73896968024937193</v>
      </c>
      <c r="S3078" s="133"/>
      <c r="T3078" s="146"/>
      <c r="U3078" s="138">
        <f>1-U3077/(3*F_GAMMA*U$29)</f>
        <v>0.7560861360953941</v>
      </c>
      <c r="V3078" s="133"/>
      <c r="W3078" s="146"/>
      <c r="X3078" s="138">
        <f>1-X3077/(3*F_GAMMA*X$29)</f>
        <v>0.90463549334622584</v>
      </c>
      <c r="Y3078" s="133"/>
      <c r="Z3078" s="146"/>
      <c r="AA3078" s="138">
        <f>1-AA3077/(3*F_GAMMA*AA$29)</f>
        <v>-7.8200315137923582E-2</v>
      </c>
      <c r="AB3078" s="133"/>
      <c r="AC3078" s="146"/>
      <c r="AD3078" s="138">
        <f>1-AD3077/(3*F_GAMMA*AD$29)</f>
        <v>0.35930315866822193</v>
      </c>
      <c r="AE3078" s="133"/>
      <c r="AF3078" s="146"/>
      <c r="AG3078" s="138">
        <f>1-AG3077/(3*F_GAMMA*AG$29)</f>
        <v>0.37642622366820033</v>
      </c>
      <c r="AH3078" s="133"/>
      <c r="AI3078" s="146"/>
      <c r="AJ3078" s="138">
        <f>1-AJ3077/(3*F_GAMMA*AJ$29)</f>
        <v>0.35176854198276386</v>
      </c>
      <c r="AK3078" s="133"/>
      <c r="AL3078" s="146"/>
      <c r="AM3078" s="138">
        <f>1-AM3077/(3*F_GAMMA*AM$29)</f>
        <v>0.30002886086942537</v>
      </c>
      <c r="AN3078" s="133"/>
      <c r="AO3078" s="146"/>
      <c r="AP3078" s="138">
        <f>1-AP3077/(3*F_GAMMA*AP$29)</f>
        <v>0.4250185620441429</v>
      </c>
      <c r="AQ3078" s="133"/>
      <c r="AR3078" s="146"/>
      <c r="AS3078" s="138">
        <f>1-AS3077/(3*F_GAMMA*AS$29)</f>
        <v>0.13127054110377512</v>
      </c>
      <c r="AT3078" s="133"/>
      <c r="AU3078" s="146"/>
    </row>
    <row r="3079" spans="13:47" x14ac:dyDescent="0.25">
      <c r="M3079" s="27"/>
      <c r="N3079" s="27"/>
      <c r="O3079" s="2" t="s">
        <v>71</v>
      </c>
      <c r="P3079" s="85">
        <v>5</v>
      </c>
      <c r="Q3079" s="2"/>
      <c r="R3079" s="179">
        <f>R3071/((N_6*R$27*R3078)*SQRT(R3077*R3073*R3075))</f>
        <v>3.6502291024274247</v>
      </c>
      <c r="S3079" s="133"/>
      <c r="T3079" s="146"/>
      <c r="U3079" s="143">
        <f>U3071/((N_6*U$27*U3078)*SQRT(U3077*U3073*U3075))</f>
        <v>18.822838583788581</v>
      </c>
      <c r="V3079" s="133"/>
      <c r="W3079" s="146"/>
      <c r="X3079" s="143">
        <f>X3071/((N_6*X$27*X3078)*SQRT(X3077*X3073*X3075))</f>
        <v>96.866425717702072</v>
      </c>
      <c r="Y3079" s="133"/>
      <c r="Z3079" s="146"/>
      <c r="AA3079" s="143">
        <f>AA3071/((N_6*AA$27*AA3078)*SQRT(AA3077*AA3073*AA3075))</f>
        <v>-812.02965572282994</v>
      </c>
      <c r="AB3079" s="133"/>
      <c r="AC3079" s="146"/>
      <c r="AD3079" s="143">
        <f>AD3071/((N_6*AD$27*AD3078)*SQRT(AD3077*AD3073*AD3075))</f>
        <v>62.63076352152985</v>
      </c>
      <c r="AE3079" s="133"/>
      <c r="AF3079" s="146"/>
      <c r="AG3079" s="143">
        <f>AG3071/((N_6*AG$27*AG3078)*SQRT(AG3077*AG3073*AG3075))</f>
        <v>39.048754517568597</v>
      </c>
      <c r="AH3079" s="133"/>
      <c r="AI3079" s="146"/>
      <c r="AJ3079" s="143">
        <f>AJ3071/((N_6*AJ$27*AJ3078)*SQRT(AJ3077*AJ3073*AJ3075))</f>
        <v>32.726129550179309</v>
      </c>
      <c r="AK3079" s="133"/>
      <c r="AL3079" s="146"/>
      <c r="AM3079" s="143">
        <f>AM3071/((N_6*AM$27*AM3078)*SQRT(AM3077*AM3073*AM3075))</f>
        <v>34.147482434140066</v>
      </c>
      <c r="AN3079" s="133"/>
      <c r="AO3079" s="146"/>
      <c r="AP3079" s="143">
        <f>AP3071/((N_6*AP$27*AP3078)*SQRT(AP3077*AP3073*AP3075))</f>
        <v>24.328896437840864</v>
      </c>
      <c r="AQ3079" s="133"/>
      <c r="AR3079" s="146"/>
      <c r="AS3079" s="143">
        <f>AS3071/((N_6*AS$27*AS3078)*SQRT(AS3077*AS3073*AS3075))</f>
        <v>92.125715446198839</v>
      </c>
      <c r="AT3079" s="133"/>
      <c r="AU3079" s="146"/>
    </row>
    <row r="3080" spans="13:47" x14ac:dyDescent="0.25">
      <c r="M3080" s="27"/>
      <c r="N3080" s="27"/>
      <c r="O3080" s="2" t="s">
        <v>73</v>
      </c>
      <c r="P3080" s="85">
        <v>5</v>
      </c>
      <c r="Q3080" s="2"/>
      <c r="R3080" s="179">
        <f>R3071/((N_6*R$27*0.667)*SQRT(R3081*R3073*R3075))</f>
        <v>3.5787141806087566</v>
      </c>
      <c r="S3080" s="133"/>
      <c r="T3080" s="155"/>
      <c r="U3080" s="143">
        <f>U3071/((N_6*U$27*0.667)*SQRT(U3081*U3073*U3075))</f>
        <v>18.251956671725019</v>
      </c>
      <c r="V3080" s="133"/>
      <c r="W3080" s="155"/>
      <c r="X3080" s="143">
        <f>X3071/((N_6*X$27*0.667)*SQRT(X3081*X3073*X3075))</f>
        <v>70.270828651834194</v>
      </c>
      <c r="Y3080" s="133"/>
      <c r="Z3080" s="155"/>
      <c r="AA3080" s="143">
        <f>AA3071/((N_6*AA$27*0.667)*SQRT(AA3081*AA3073*AA3075))</f>
        <v>171.22410864840901</v>
      </c>
      <c r="AB3080" s="133"/>
      <c r="AC3080" s="155"/>
      <c r="AD3080" s="143">
        <f>AD3071/((N_6*AD$27*0.667)*SQRT(AD3081*AD3073*AD3075))</f>
        <v>46.774572421088919</v>
      </c>
      <c r="AE3080" s="133"/>
      <c r="AF3080" s="155"/>
      <c r="AG3080" s="143">
        <f>AG3071/((N_6*AG$27*0.667)*SQRT(AG3081*AG3073*AG3075))</f>
        <v>30.141563222477366</v>
      </c>
      <c r="AH3080" s="133"/>
      <c r="AI3080" s="155"/>
      <c r="AJ3080" s="143">
        <f>AJ3071/((N_6*AJ$27*0.667)*SQRT(AJ3081*AJ3073*AJ3075))</f>
        <v>24.068636553295651</v>
      </c>
      <c r="AK3080" s="133"/>
      <c r="AL3080" s="155"/>
      <c r="AM3080" s="143">
        <f>AM3071/((N_6*AM$27*0.667)*SQRT(AM3081*AM3073*AM3075))</f>
        <v>22.258535355334917</v>
      </c>
      <c r="AN3080" s="133"/>
      <c r="AO3080" s="155"/>
      <c r="AP3080" s="143">
        <f>AP3071/((N_6*AP$27*0.667)*SQRT(AP3081*AP3073*AP3075))</f>
        <v>20.36066756500621</v>
      </c>
      <c r="AQ3080" s="133"/>
      <c r="AR3080" s="155"/>
      <c r="AS3080" s="143">
        <f>AS3071/((N_6*AS$27*0.667)*SQRT(AS3081*AS3073*AS3075))</f>
        <v>29.270168118470842</v>
      </c>
      <c r="AT3080" s="133"/>
      <c r="AU3080" s="155"/>
    </row>
    <row r="3081" spans="13:47" ht="15.5" x14ac:dyDescent="0.4">
      <c r="M3081" s="27"/>
      <c r="N3081" s="27"/>
      <c r="O3081" s="2" t="s">
        <v>192</v>
      </c>
      <c r="P3081" s="85">
        <v>10</v>
      </c>
      <c r="Q3081" s="2"/>
      <c r="R3081" s="181">
        <f>F_GAMMA*R$29</f>
        <v>0.64002688015162901</v>
      </c>
      <c r="S3081" s="133"/>
      <c r="T3081" s="155"/>
      <c r="U3081" s="138">
        <f>F_GAMMA*U$29</f>
        <v>0.64016782916606918</v>
      </c>
      <c r="V3081" s="133"/>
      <c r="W3081" s="155"/>
      <c r="X3081" s="138">
        <f>F_GAMMA*X$29</f>
        <v>0.6307062319203669</v>
      </c>
      <c r="Y3081" s="133"/>
      <c r="Z3081" s="155"/>
      <c r="AA3081" s="138">
        <f>F_GAMMA*AA$29</f>
        <v>0.62217534213893466</v>
      </c>
      <c r="AB3081" s="133"/>
      <c r="AC3081" s="155"/>
      <c r="AD3081" s="138">
        <f>F_GAMMA*AD$29</f>
        <v>0.60557184969146072</v>
      </c>
      <c r="AE3081" s="133"/>
      <c r="AF3081" s="155"/>
      <c r="AG3081" s="138">
        <f>F_GAMMA*AG$29</f>
        <v>0.57289312142622573</v>
      </c>
      <c r="AH3081" s="133"/>
      <c r="AI3081" s="155"/>
      <c r="AJ3081" s="138">
        <f>F_GAMMA*AJ$29</f>
        <v>0.53590819116049981</v>
      </c>
      <c r="AK3081" s="133"/>
      <c r="AL3081" s="155"/>
      <c r="AM3081" s="138">
        <f>F_GAMMA*AM$29</f>
        <v>0.49048815926850342</v>
      </c>
      <c r="AN3081" s="133"/>
      <c r="AO3081" s="155"/>
      <c r="AP3081" s="138">
        <f>F_GAMMA*AP$29</f>
        <v>0.59352979016280105</v>
      </c>
      <c r="AQ3081" s="133"/>
      <c r="AR3081" s="155"/>
      <c r="AS3081" s="138">
        <f>F_GAMMA*AS$29</f>
        <v>0.39097221161068291</v>
      </c>
      <c r="AT3081" s="133"/>
      <c r="AU3081" s="155"/>
    </row>
    <row r="3082" spans="13:47" x14ac:dyDescent="0.25">
      <c r="M3082" s="27"/>
      <c r="N3082" s="27"/>
      <c r="O3082" s="2" t="s">
        <v>193</v>
      </c>
      <c r="P3082" s="134"/>
      <c r="Q3082" s="2"/>
      <c r="R3082" s="181">
        <f>IF(R3077&lt;R3081,R3079,R3080)</f>
        <v>3.6502291024274247</v>
      </c>
      <c r="S3082" s="133"/>
      <c r="T3082" s="155"/>
      <c r="U3082" s="138">
        <f>IF(U3077&lt;U3081,U3079,U3080)</f>
        <v>18.822838583788581</v>
      </c>
      <c r="V3082" s="133"/>
      <c r="W3082" s="155"/>
      <c r="X3082" s="138">
        <f>IF(X3077&lt;X3081,X3079,X3080)</f>
        <v>96.866425717702072</v>
      </c>
      <c r="Y3082" s="133"/>
      <c r="Z3082" s="155"/>
      <c r="AA3082" s="138">
        <f>IF(AA3077&lt;AA3081,AA3079,AA3080)</f>
        <v>171.22410864840901</v>
      </c>
      <c r="AB3082" s="133"/>
      <c r="AC3082" s="155"/>
      <c r="AD3082" s="138">
        <f>IF(AD3077&lt;AD3081,AD3079,AD3080)</f>
        <v>46.774572421088919</v>
      </c>
      <c r="AE3082" s="133"/>
      <c r="AF3082" s="155"/>
      <c r="AG3082" s="138">
        <f>IF(AG3077&lt;AG3081,AG3079,AG3080)</f>
        <v>30.141563222477366</v>
      </c>
      <c r="AH3082" s="133"/>
      <c r="AI3082" s="155"/>
      <c r="AJ3082" s="138">
        <f>IF(AJ3077&lt;AJ3081,AJ3079,AJ3080)</f>
        <v>24.068636553295651</v>
      </c>
      <c r="AK3082" s="133"/>
      <c r="AL3082" s="155"/>
      <c r="AM3082" s="138">
        <f>IF(AM3077&lt;AM3081,AM3079,AM3080)</f>
        <v>22.258535355334917</v>
      </c>
      <c r="AN3082" s="133"/>
      <c r="AO3082" s="155"/>
      <c r="AP3082" s="138">
        <f>IF(AP3077&lt;AP3081,AP3079,AP3080)</f>
        <v>20.36066756500621</v>
      </c>
      <c r="AQ3082" s="133"/>
      <c r="AR3082" s="155"/>
      <c r="AS3082" s="138">
        <f>IF(AS3077&lt;AS3081,AS3079,AS3080)</f>
        <v>29.270168118470842</v>
      </c>
      <c r="AT3082" s="133"/>
      <c r="AU3082" s="155"/>
    </row>
    <row r="3083" spans="13:47" ht="13" x14ac:dyDescent="0.3">
      <c r="M3083" s="28"/>
      <c r="N3083" s="28"/>
      <c r="O3083" s="9" t="s">
        <v>194</v>
      </c>
      <c r="P3083" s="1"/>
      <c r="Q3083" s="1"/>
      <c r="R3083" s="135"/>
      <c r="S3083" s="132">
        <f>IF(R3076&lt;=0,W_max,ABS(R$23-R3082))</f>
        <v>1.6502291024274247</v>
      </c>
      <c r="T3083" s="151">
        <f>R3071</f>
        <v>841.47798634533228</v>
      </c>
      <c r="U3083" s="135"/>
      <c r="V3083" s="132">
        <f>IF(U3076&lt;=0,W_max,ABS(U$23-U3082))</f>
        <v>13.822838583788581</v>
      </c>
      <c r="W3083" s="151">
        <f>U3071</f>
        <v>4025.0911257059784</v>
      </c>
      <c r="X3083" s="135"/>
      <c r="Y3083" s="132">
        <f>IF(X3076&lt;=0,W_max,ABS(X$23-X3082))</f>
        <v>86.866425717702072</v>
      </c>
      <c r="Z3083" s="151">
        <f>X3071</f>
        <v>9954.529345329709</v>
      </c>
      <c r="AA3083" s="135"/>
      <c r="AB3083" s="132">
        <f>IF(AA3076&lt;=0,W_max,ABS(AA$23-AA3082))</f>
        <v>7174</v>
      </c>
      <c r="AC3083" s="151">
        <f>AA3071</f>
        <v>19388.882316744857</v>
      </c>
      <c r="AD3083" s="135"/>
      <c r="AE3083" s="132">
        <f>IF(AD3076&lt;=0,W_max,ABS(AD$23-AD3082))</f>
        <v>7174</v>
      </c>
      <c r="AF3083" s="151">
        <f>AD3071</f>
        <v>31887.572848104734</v>
      </c>
      <c r="AG3083" s="135"/>
      <c r="AH3083" s="132">
        <f>IF(AG3076&lt;=0,W_max,ABS(AG$23-AG3082))</f>
        <v>7174</v>
      </c>
      <c r="AI3083" s="151">
        <f>AG3071</f>
        <v>44724.775821557436</v>
      </c>
      <c r="AJ3083" s="135"/>
      <c r="AK3083" s="132">
        <f>IF(AJ3076&lt;=0,W_max,ABS(AJ$23-AJ3082))</f>
        <v>7174</v>
      </c>
      <c r="AL3083" s="151">
        <f>AJ3071</f>
        <v>56788.597508453917</v>
      </c>
      <c r="AM3083" s="135"/>
      <c r="AN3083" s="132">
        <f>IF(AM3076&lt;=0,W_max,ABS(AM$23-AM3082))</f>
        <v>7174</v>
      </c>
      <c r="AO3083" s="151">
        <f>AM3071</f>
        <v>66589.096713580206</v>
      </c>
      <c r="AP3083" s="135"/>
      <c r="AQ3083" s="132">
        <f>IF(AP3076&lt;=0,W_max,ABS(AP$23-AP3082))</f>
        <v>7174</v>
      </c>
      <c r="AR3083" s="151">
        <f>AP3071</f>
        <v>74291.347436376876</v>
      </c>
      <c r="AS3083" s="135"/>
      <c r="AT3083" s="132">
        <f>IF(AS3076&lt;=0,W_max,ABS(AS$23-AS3082))</f>
        <v>7174</v>
      </c>
      <c r="AU3083" s="151">
        <f>AS3071</f>
        <v>82884.504765881196</v>
      </c>
    </row>
    <row r="3084" spans="13:47" ht="13" x14ac:dyDescent="0.25">
      <c r="M3084" s="12"/>
      <c r="N3084" s="12"/>
      <c r="O3084" s="2"/>
      <c r="P3084" s="85"/>
      <c r="Q3084" s="2"/>
      <c r="R3084" s="18"/>
      <c r="S3084" s="150"/>
      <c r="T3084" s="152"/>
      <c r="U3084" s="157"/>
      <c r="V3084" s="1"/>
      <c r="W3084" s="147"/>
      <c r="X3084" s="157"/>
      <c r="Y3084" s="1"/>
      <c r="Z3084" s="147"/>
      <c r="AA3084" s="157"/>
      <c r="AB3084" s="1"/>
      <c r="AC3084" s="147"/>
      <c r="AD3084" s="157"/>
      <c r="AE3084" s="1"/>
      <c r="AF3084" s="147"/>
      <c r="AG3084" s="157"/>
      <c r="AH3084" s="1"/>
      <c r="AI3084" s="147"/>
      <c r="AJ3084" s="157"/>
      <c r="AK3084" s="1"/>
      <c r="AL3084" s="147"/>
      <c r="AM3084" s="157"/>
      <c r="AN3084" s="1"/>
      <c r="AO3084" s="147"/>
      <c r="AP3084" s="157"/>
      <c r="AQ3084" s="1"/>
      <c r="AR3084" s="147"/>
      <c r="AS3084" s="157"/>
      <c r="AT3084" s="1"/>
      <c r="AU3084" s="147"/>
    </row>
    <row r="3085" spans="13:47" ht="14" x14ac:dyDescent="0.3">
      <c r="M3085" s="23"/>
      <c r="N3085" s="23"/>
      <c r="O3085" s="23" t="s">
        <v>238</v>
      </c>
      <c r="P3085" s="20"/>
      <c r="Q3085" s="20"/>
      <c r="R3085" s="181">
        <f>R3071*1.02</f>
        <v>858.30754607223889</v>
      </c>
      <c r="S3085" s="128" t="s">
        <v>185</v>
      </c>
      <c r="T3085" s="153" t="s">
        <v>186</v>
      </c>
      <c r="U3085" s="143">
        <f>U3071*1.01</f>
        <v>4065.342036963038</v>
      </c>
      <c r="V3085" s="128" t="s">
        <v>185</v>
      </c>
      <c r="W3085" s="153" t="s">
        <v>186</v>
      </c>
      <c r="X3085" s="143">
        <f>X3071*1.01</f>
        <v>10054.074638783006</v>
      </c>
      <c r="Y3085" s="128" t="s">
        <v>185</v>
      </c>
      <c r="Z3085" s="153" t="s">
        <v>186</v>
      </c>
      <c r="AA3085" s="143">
        <f>AA3071*1.01</f>
        <v>19582.771139912307</v>
      </c>
      <c r="AB3085" s="128" t="s">
        <v>185</v>
      </c>
      <c r="AC3085" s="153" t="s">
        <v>186</v>
      </c>
      <c r="AD3085" s="143">
        <f>AD3071*1.01</f>
        <v>32206.448576585783</v>
      </c>
      <c r="AE3085" s="128" t="s">
        <v>185</v>
      </c>
      <c r="AF3085" s="153" t="s">
        <v>186</v>
      </c>
      <c r="AG3085" s="143">
        <f>AG3071*1.01</f>
        <v>45172.023579773013</v>
      </c>
      <c r="AH3085" s="128" t="s">
        <v>185</v>
      </c>
      <c r="AI3085" s="153" t="s">
        <v>186</v>
      </c>
      <c r="AJ3085" s="143">
        <f>AJ3071*1.01</f>
        <v>57356.483483538454</v>
      </c>
      <c r="AK3085" s="128" t="s">
        <v>185</v>
      </c>
      <c r="AL3085" s="153" t="s">
        <v>186</v>
      </c>
      <c r="AM3085" s="143">
        <f>AM3071*1.01</f>
        <v>67254.987680716004</v>
      </c>
      <c r="AN3085" s="128" t="s">
        <v>185</v>
      </c>
      <c r="AO3085" s="153" t="s">
        <v>186</v>
      </c>
      <c r="AP3085" s="143">
        <f>AP3071*1.01</f>
        <v>75034.260910740646</v>
      </c>
      <c r="AQ3085" s="128" t="s">
        <v>185</v>
      </c>
      <c r="AR3085" s="153" t="s">
        <v>186</v>
      </c>
      <c r="AS3085" s="143">
        <f>AS3071*1.01</f>
        <v>83713.349813540015</v>
      </c>
      <c r="AT3085" s="128" t="s">
        <v>185</v>
      </c>
      <c r="AU3085" s="153" t="s">
        <v>186</v>
      </c>
    </row>
    <row r="3086" spans="13:47" ht="14" x14ac:dyDescent="0.3">
      <c r="M3086" s="12"/>
      <c r="N3086" s="12"/>
      <c r="O3086" s="20"/>
      <c r="P3086" s="20"/>
      <c r="Q3086" s="23"/>
      <c r="R3086" s="139"/>
      <c r="S3086" s="130" t="s">
        <v>228</v>
      </c>
      <c r="T3086" s="154" t="s">
        <v>187</v>
      </c>
      <c r="U3086" s="144"/>
      <c r="V3086" s="130" t="s">
        <v>228</v>
      </c>
      <c r="W3086" s="154" t="s">
        <v>187</v>
      </c>
      <c r="X3086" s="144"/>
      <c r="Y3086" s="130" t="s">
        <v>228</v>
      </c>
      <c r="Z3086" s="154" t="s">
        <v>187</v>
      </c>
      <c r="AA3086" s="144"/>
      <c r="AB3086" s="130" t="s">
        <v>228</v>
      </c>
      <c r="AC3086" s="154" t="s">
        <v>187</v>
      </c>
      <c r="AD3086" s="144"/>
      <c r="AE3086" s="130" t="s">
        <v>228</v>
      </c>
      <c r="AF3086" s="154" t="s">
        <v>187</v>
      </c>
      <c r="AG3086" s="144"/>
      <c r="AH3086" s="130" t="s">
        <v>228</v>
      </c>
      <c r="AI3086" s="154" t="s">
        <v>187</v>
      </c>
      <c r="AJ3086" s="144"/>
      <c r="AK3086" s="130" t="s">
        <v>228</v>
      </c>
      <c r="AL3086" s="154" t="s">
        <v>187</v>
      </c>
      <c r="AM3086" s="144"/>
      <c r="AN3086" s="130" t="s">
        <v>228</v>
      </c>
      <c r="AO3086" s="154" t="s">
        <v>187</v>
      </c>
      <c r="AP3086" s="144"/>
      <c r="AQ3086" s="130" t="s">
        <v>228</v>
      </c>
      <c r="AR3086" s="154" t="s">
        <v>187</v>
      </c>
      <c r="AS3086" s="144"/>
      <c r="AT3086" s="130" t="s">
        <v>228</v>
      </c>
      <c r="AU3086" s="154" t="s">
        <v>187</v>
      </c>
    </row>
    <row r="3087" spans="13:47" x14ac:dyDescent="0.25">
      <c r="M3087" s="20"/>
      <c r="N3087" s="20"/>
      <c r="O3087" s="7" t="s">
        <v>188</v>
      </c>
      <c r="P3087" s="7"/>
      <c r="Q3087" s="7"/>
      <c r="R3087" s="181">
        <f>P_1_minW-(R3085^2*R_up)+dpup_minQ</f>
        <v>100.22902214420398</v>
      </c>
      <c r="S3087" s="132"/>
      <c r="T3087" s="145"/>
      <c r="U3087" s="138">
        <f>P_1_minW-(U3085^2*R_up)+dpup_minQ</f>
        <v>93.932447520799457</v>
      </c>
      <c r="V3087" s="132"/>
      <c r="W3087" s="145"/>
      <c r="X3087" s="138">
        <f>P_1_minW-(X3085^2*R_up)+dpup_minQ</f>
        <v>60.214179032931312</v>
      </c>
      <c r="Y3087" s="132"/>
      <c r="Z3087" s="145"/>
      <c r="AA3087" s="138">
        <f>P_1_minW-(AA3085^2*R_up)+dpup_minQ</f>
        <v>-52.3963664415446</v>
      </c>
      <c r="AB3087" s="132"/>
      <c r="AC3087" s="145"/>
      <c r="AD3087" s="138">
        <f>P_1_minW-(AD3085^2*R_up)+dpup_minQ</f>
        <v>-313.09505356329066</v>
      </c>
      <c r="AE3087" s="132"/>
      <c r="AF3087" s="145"/>
      <c r="AG3087" s="138">
        <f>P_1_minW-(AG3085^2*R_up)+dpup_minQ</f>
        <v>-713.15541189957116</v>
      </c>
      <c r="AH3087" s="132"/>
      <c r="AI3087" s="145"/>
      <c r="AJ3087" s="138">
        <f>P_1_minW-(AJ3085^2*R_up)+dpup_minQ</f>
        <v>-1211.3104239464058</v>
      </c>
      <c r="AK3087" s="132"/>
      <c r="AL3087" s="145"/>
      <c r="AM3087" s="138">
        <f>P_1_minW-(AM3085^2*R_up)+dpup_minQ</f>
        <v>-1703.1700580795666</v>
      </c>
      <c r="AN3087" s="132"/>
      <c r="AO3087" s="145"/>
      <c r="AP3087" s="138">
        <f>P_1_minW-(AP3085^2*R_up)+dpup_minQ</f>
        <v>-2144.5623033253696</v>
      </c>
      <c r="AQ3087" s="132"/>
      <c r="AR3087" s="145"/>
      <c r="AS3087" s="138">
        <f>P_1_minW-(AS3085^2*R_up)+dpup_minQ</f>
        <v>-2693.9702313538896</v>
      </c>
      <c r="AT3087" s="132"/>
      <c r="AU3087" s="145"/>
    </row>
    <row r="3088" spans="13:47" x14ac:dyDescent="0.25">
      <c r="M3088" s="20"/>
      <c r="N3088" s="20"/>
      <c r="O3088" s="7" t="s">
        <v>189</v>
      </c>
      <c r="P3088" s="1"/>
      <c r="Q3088" s="7"/>
      <c r="R3088" s="181">
        <f>P_2_minW+(R3085^2*R_dn)-dpdn_minQ</f>
        <v>50</v>
      </c>
      <c r="S3088" s="132"/>
      <c r="T3088" s="146"/>
      <c r="U3088" s="138">
        <f>P_2_minW+(U3085^2*R_dn)-dpdn_minQ</f>
        <v>50</v>
      </c>
      <c r="V3088" s="132"/>
      <c r="W3088" s="146"/>
      <c r="X3088" s="138">
        <f>P_2_minW+(X3085^2*R_dn)-dpdn_minQ</f>
        <v>50</v>
      </c>
      <c r="Y3088" s="132"/>
      <c r="Z3088" s="146"/>
      <c r="AA3088" s="138">
        <f>P_2_minW+(AA3085^2*R_dn)-dpdn_minQ</f>
        <v>50</v>
      </c>
      <c r="AB3088" s="132"/>
      <c r="AC3088" s="146"/>
      <c r="AD3088" s="138">
        <f>P_2_minW+(AD3085^2*R_dn)-dpdn_minQ</f>
        <v>50</v>
      </c>
      <c r="AE3088" s="132"/>
      <c r="AF3088" s="146"/>
      <c r="AG3088" s="138">
        <f>P_2_minW+(AG3085^2*R_dn)-dpdn_minQ</f>
        <v>50</v>
      </c>
      <c r="AH3088" s="132"/>
      <c r="AI3088" s="146"/>
      <c r="AJ3088" s="138">
        <f>P_2_minW+(AJ3085^2*R_dn)-dpdn_minQ</f>
        <v>50</v>
      </c>
      <c r="AK3088" s="132"/>
      <c r="AL3088" s="146"/>
      <c r="AM3088" s="138">
        <f>P_2_minW+(AM3085^2*R_dn)-dpdn_minQ</f>
        <v>50</v>
      </c>
      <c r="AN3088" s="132"/>
      <c r="AO3088" s="146"/>
      <c r="AP3088" s="138">
        <f>P_2_minW+(AP3085^2*R_dn)-dpdn_minQ</f>
        <v>50</v>
      </c>
      <c r="AQ3088" s="132"/>
      <c r="AR3088" s="146"/>
      <c r="AS3088" s="138">
        <f>P_2_minW+(AS3085^2*R_dn)-dpdn_minQ</f>
        <v>50</v>
      </c>
      <c r="AT3088" s="132"/>
      <c r="AU3088" s="146"/>
    </row>
    <row r="3089" spans="13:47" x14ac:dyDescent="0.25">
      <c r="M3089" s="20"/>
      <c r="N3089" s="20"/>
      <c r="O3089" s="7" t="s">
        <v>234</v>
      </c>
      <c r="P3089" s="1"/>
      <c r="Q3089" s="7"/>
      <c r="R3089" s="179">
        <f>'Valve Sizing'!G$8*R3087/P_1_maxW</f>
        <v>0.4834869581461233</v>
      </c>
      <c r="S3089" s="132"/>
      <c r="T3089" s="146"/>
      <c r="U3089" s="143">
        <f>'Valve Sizing'!$G$8*U3087/P_1_maxW</f>
        <v>0.45311340319883531</v>
      </c>
      <c r="V3089" s="132"/>
      <c r="W3089" s="146"/>
      <c r="X3089" s="143">
        <f>'Valve Sizing'!$G$8*X3087/P_1_maxW</f>
        <v>0.29046247918105189</v>
      </c>
      <c r="Y3089" s="132"/>
      <c r="Z3089" s="146"/>
      <c r="AA3089" s="143">
        <f>'Valve Sizing'!$G$8*AA3087/P_1_maxW</f>
        <v>-0.25275074311594448</v>
      </c>
      <c r="AB3089" s="132"/>
      <c r="AC3089" s="146"/>
      <c r="AD3089" s="143">
        <f>'Valve Sizing'!$G$8*AD3087/P_1_maxW</f>
        <v>-1.510314795250816</v>
      </c>
      <c r="AE3089" s="132"/>
      <c r="AF3089" s="146"/>
      <c r="AG3089" s="143">
        <f>'Valve Sizing'!$G$8*AG3087/P_1_maxW</f>
        <v>-3.4401347375083455</v>
      </c>
      <c r="AH3089" s="132"/>
      <c r="AI3089" s="146"/>
      <c r="AJ3089" s="143">
        <f>'Valve Sizing'!$G$8*AJ3087/P_1_maxW</f>
        <v>-5.8431458245889489</v>
      </c>
      <c r="AK3089" s="132"/>
      <c r="AL3089" s="146"/>
      <c r="AM3089" s="143">
        <f>'Valve Sizing'!$G$8*AM3087/P_1_maxW</f>
        <v>-8.2157891294369456</v>
      </c>
      <c r="AN3089" s="132"/>
      <c r="AO3089" s="146"/>
      <c r="AP3089" s="143">
        <f>'Valve Sizing'!$G$8*AP3087/P_1_maxW</f>
        <v>-10.344986735457107</v>
      </c>
      <c r="AQ3089" s="132"/>
      <c r="AR3089" s="146"/>
      <c r="AS3089" s="143">
        <f>'Valve Sizing'!$G$8*AS3087/P_1_maxW</f>
        <v>-12.9952327642141</v>
      </c>
      <c r="AT3089" s="132"/>
      <c r="AU3089" s="146"/>
    </row>
    <row r="3090" spans="13:47" x14ac:dyDescent="0.25">
      <c r="M3090" s="20"/>
      <c r="N3090" s="20"/>
      <c r="O3090" s="7" t="s">
        <v>190</v>
      </c>
      <c r="P3090" s="1"/>
      <c r="Q3090" s="7"/>
      <c r="R3090" s="181">
        <f>R3087-R3088</f>
        <v>50.229022144203981</v>
      </c>
      <c r="S3090" s="132"/>
      <c r="T3090" s="146"/>
      <c r="U3090" s="138">
        <f>U3087-U3088</f>
        <v>43.932447520799457</v>
      </c>
      <c r="V3090" s="132"/>
      <c r="W3090" s="146"/>
      <c r="X3090" s="138">
        <f>X3087-X3088</f>
        <v>10.214179032931312</v>
      </c>
      <c r="Y3090" s="132"/>
      <c r="Z3090" s="146"/>
      <c r="AA3090" s="138">
        <f>AA3087-AA3088</f>
        <v>-102.3963664415446</v>
      </c>
      <c r="AB3090" s="132"/>
      <c r="AC3090" s="146"/>
      <c r="AD3090" s="138">
        <f>AD3087-AD3088</f>
        <v>-363.09505356329066</v>
      </c>
      <c r="AE3090" s="132"/>
      <c r="AF3090" s="146"/>
      <c r="AG3090" s="138">
        <f>AG3087-AG3088</f>
        <v>-763.15541189957116</v>
      </c>
      <c r="AH3090" s="132"/>
      <c r="AI3090" s="146"/>
      <c r="AJ3090" s="138">
        <f>AJ3087-AJ3088</f>
        <v>-1261.3104239464058</v>
      </c>
      <c r="AK3090" s="132"/>
      <c r="AL3090" s="146"/>
      <c r="AM3090" s="138">
        <f>AM3087-AM3088</f>
        <v>-1753.1700580795666</v>
      </c>
      <c r="AN3090" s="132"/>
      <c r="AO3090" s="146"/>
      <c r="AP3090" s="138">
        <f>AP3087-AP3088</f>
        <v>-2194.5623033253696</v>
      </c>
      <c r="AQ3090" s="132"/>
      <c r="AR3090" s="146"/>
      <c r="AS3090" s="138">
        <f>AS3087-AS3088</f>
        <v>-2743.9702313538896</v>
      </c>
      <c r="AT3090" s="132"/>
      <c r="AU3090" s="146"/>
    </row>
    <row r="3091" spans="13:47" ht="14.5" x14ac:dyDescent="0.35">
      <c r="M3091" s="27"/>
      <c r="N3091" s="27"/>
      <c r="O3091" s="2" t="s">
        <v>191</v>
      </c>
      <c r="P3091" s="10"/>
      <c r="Q3091" s="2"/>
      <c r="R3091" s="181">
        <f>R3090/R3087</f>
        <v>0.50114249415640555</v>
      </c>
      <c r="S3091" s="132"/>
      <c r="T3091" s="146"/>
      <c r="U3091" s="138">
        <f>U3090/U3087</f>
        <v>0.46770257435346285</v>
      </c>
      <c r="V3091" s="132"/>
      <c r="W3091" s="146"/>
      <c r="X3091" s="138">
        <f>X3090/X3087</f>
        <v>0.16963079455663005</v>
      </c>
      <c r="Y3091" s="132"/>
      <c r="Z3091" s="146"/>
      <c r="AA3091" s="138">
        <f>AA3090/AA3087</f>
        <v>1.9542646445871761</v>
      </c>
      <c r="AB3091" s="132"/>
      <c r="AC3091" s="146"/>
      <c r="AD3091" s="138">
        <f>AD3090/AD3087</f>
        <v>1.1596959116120074</v>
      </c>
      <c r="AE3091" s="132"/>
      <c r="AF3091" s="146"/>
      <c r="AG3091" s="138">
        <f>AG3090/AG3087</f>
        <v>1.0701109451961099</v>
      </c>
      <c r="AH3091" s="132"/>
      <c r="AI3091" s="146"/>
      <c r="AJ3091" s="138">
        <f>AJ3090/AJ3087</f>
        <v>1.0412776106038135</v>
      </c>
      <c r="AK3091" s="132"/>
      <c r="AL3091" s="146"/>
      <c r="AM3091" s="138">
        <f>AM3090/AM3087</f>
        <v>1.0293570214922509</v>
      </c>
      <c r="AN3091" s="132"/>
      <c r="AO3091" s="146"/>
      <c r="AP3091" s="138">
        <f>AP3090/AP3087</f>
        <v>1.0233147807934839</v>
      </c>
      <c r="AQ3091" s="132"/>
      <c r="AR3091" s="146"/>
      <c r="AS3091" s="138">
        <f>AS3090/AS3087</f>
        <v>1.0185599675223107</v>
      </c>
      <c r="AT3091" s="132"/>
      <c r="AU3091" s="146"/>
    </row>
    <row r="3092" spans="13:47" x14ac:dyDescent="0.25">
      <c r="M3092" s="27"/>
      <c r="N3092" s="27"/>
      <c r="O3092" s="2" t="s">
        <v>26</v>
      </c>
      <c r="P3092" s="7">
        <v>12</v>
      </c>
      <c r="Q3092" s="2"/>
      <c r="R3092" s="181">
        <f>1-R3091/(3*F_GAMMA*R$29)</f>
        <v>0.73899924638702696</v>
      </c>
      <c r="S3092" s="133"/>
      <c r="T3092" s="146"/>
      <c r="U3092" s="138">
        <f>1-U3091/(3*F_GAMMA*U$29)</f>
        <v>0.75646877113317434</v>
      </c>
      <c r="V3092" s="133"/>
      <c r="W3092" s="146"/>
      <c r="X3092" s="138">
        <f>1-X3091/(3*F_GAMMA*X$29)</f>
        <v>0.9103487561659569</v>
      </c>
      <c r="Y3092" s="133"/>
      <c r="Z3092" s="146"/>
      <c r="AA3092" s="138">
        <f>1-AA3091/(3*F_GAMMA*AA$29)</f>
        <v>-4.7006372763419346E-2</v>
      </c>
      <c r="AB3092" s="133"/>
      <c r="AC3092" s="146"/>
      <c r="AD3092" s="138">
        <f>1-AD3091/(3*F_GAMMA*AD$29)</f>
        <v>0.36165245450622518</v>
      </c>
      <c r="AE3092" s="133"/>
      <c r="AF3092" s="146"/>
      <c r="AG3092" s="138">
        <f>1-AG3091/(3*F_GAMMA*AG$29)</f>
        <v>0.37736440697579965</v>
      </c>
      <c r="AH3092" s="133"/>
      <c r="AI3092" s="146"/>
      <c r="AJ3092" s="138">
        <f>1-AJ3091/(3*F_GAMMA*AJ$29)</f>
        <v>0.35232836035531567</v>
      </c>
      <c r="AK3092" s="133"/>
      <c r="AL3092" s="146"/>
      <c r="AM3092" s="138">
        <f>1-AM3091/(3*F_GAMMA*AM$29)</f>
        <v>0.30045404627952876</v>
      </c>
      <c r="AN3092" s="133"/>
      <c r="AO3092" s="146"/>
      <c r="AP3092" s="138">
        <f>1-AP3091/(3*F_GAMMA*AP$29)</f>
        <v>0.42529434480854167</v>
      </c>
      <c r="AQ3092" s="133"/>
      <c r="AR3092" s="146"/>
      <c r="AS3092" s="138">
        <f>1-AS3091/(3*F_GAMMA*AS$29)</f>
        <v>0.13160071459967027</v>
      </c>
      <c r="AT3092" s="133"/>
      <c r="AU3092" s="146"/>
    </row>
    <row r="3093" spans="13:47" x14ac:dyDescent="0.25">
      <c r="M3093" s="27"/>
      <c r="N3093" s="27"/>
      <c r="O3093" s="2" t="s">
        <v>71</v>
      </c>
      <c r="P3093" s="85">
        <v>5</v>
      </c>
      <c r="Q3093" s="2"/>
      <c r="R3093" s="179">
        <f>R3085/((N_6*R$27*R3092)*SQRT(R3091*R3087*R3089))</f>
        <v>3.7237193480697446</v>
      </c>
      <c r="S3093" s="133"/>
      <c r="T3093" s="146"/>
      <c r="U3093" s="143">
        <f>U3085/((N_6*U$27*U3092)*SQRT(U3091*U3087*U3089))</f>
        <v>19.042661417283092</v>
      </c>
      <c r="V3093" s="133"/>
      <c r="W3093" s="146"/>
      <c r="X3093" s="143">
        <f>X3085/((N_6*X$27*X3092)*SQRT(X3091*X3087*X3089))</f>
        <v>101.59367844251439</v>
      </c>
      <c r="Y3093" s="133"/>
      <c r="Z3093" s="146"/>
      <c r="AA3093" s="143">
        <f>AA3085/((N_6*AA$27*AA3092)*SQRT(AA3091*AA3087*AA3089))</f>
        <v>-1304.9643067479283</v>
      </c>
      <c r="AB3093" s="133"/>
      <c r="AC3093" s="146"/>
      <c r="AD3093" s="143">
        <f>AD3085/((N_6*AD$27*AD3092)*SQRT(AD3091*AD3087*AD3089))</f>
        <v>61.322791235701267</v>
      </c>
      <c r="AE3093" s="133"/>
      <c r="AF3093" s="146"/>
      <c r="AG3093" s="143">
        <f>AG3085/((N_6*AG$27*AG3092)*SQRT(AG3091*AG3087*AG3089))</f>
        <v>38.485710713805048</v>
      </c>
      <c r="AH3093" s="133"/>
      <c r="AI3093" s="146"/>
      <c r="AJ3093" s="143">
        <f>AJ3085/((N_6*AJ$27*AJ3092)*SQRT(AJ3091*AJ3087*AJ3089))</f>
        <v>32.310617312705929</v>
      </c>
      <c r="AK3093" s="133"/>
      <c r="AL3093" s="146"/>
      <c r="AM3093" s="143">
        <f>AM3085/((N_6*AM$27*AM3092)*SQRT(AM3091*AM3087*AM3089))</f>
        <v>33.731737810466107</v>
      </c>
      <c r="AN3093" s="133"/>
      <c r="AO3093" s="146"/>
      <c r="AP3093" s="143">
        <f>AP3085/((N_6*AP$27*AP3092)*SQRT(AP3091*AP3087*AP3089))</f>
        <v>24.055486109832707</v>
      </c>
      <c r="AQ3093" s="133"/>
      <c r="AR3093" s="146"/>
      <c r="AS3093" s="143">
        <f>AS3085/((N_6*AS$27*AS3092)*SQRT(AS3091*AS3087*AS3089))</f>
        <v>90.933776010250355</v>
      </c>
      <c r="AT3093" s="133"/>
      <c r="AU3093" s="146"/>
    </row>
    <row r="3094" spans="13:47" x14ac:dyDescent="0.25">
      <c r="M3094" s="27"/>
      <c r="N3094" s="27"/>
      <c r="O3094" s="2" t="s">
        <v>73</v>
      </c>
      <c r="P3094" s="85">
        <v>5</v>
      </c>
      <c r="Q3094" s="2"/>
      <c r="R3094" s="179">
        <f>R3085/((N_6*R$27*0.667)*SQRT(R3095*R3087*R3089))</f>
        <v>3.6507039098205323</v>
      </c>
      <c r="S3094" s="133"/>
      <c r="T3094" s="155"/>
      <c r="U3094" s="143">
        <f>U3085/((N_6*U$27*0.667)*SQRT(U3095*U3087*U3089))</f>
        <v>18.459960745837208</v>
      </c>
      <c r="V3094" s="133"/>
      <c r="W3094" s="155"/>
      <c r="X3094" s="143">
        <f>X3085/((N_6*X$27*0.667)*SQRT(X3095*X3087*X3089))</f>
        <v>71.909694148436316</v>
      </c>
      <c r="Y3094" s="133"/>
      <c r="Z3094" s="155"/>
      <c r="AA3094" s="143">
        <f>AA3085/((N_6*AA$27*0.667)*SQRT(AA3095*AA3087*AA3089))</f>
        <v>162.99145223556837</v>
      </c>
      <c r="AB3094" s="133"/>
      <c r="AC3094" s="155"/>
      <c r="AD3094" s="143">
        <f>AD3085/((N_6*AD$27*0.667)*SQRT(AD3095*AD3087*AD3089))</f>
        <v>46.012594380532242</v>
      </c>
      <c r="AE3094" s="133"/>
      <c r="AF3094" s="155"/>
      <c r="AG3094" s="143">
        <f>AG3085/((N_6*AG$27*0.667)*SQRT(AG3095*AG3087*AG3089))</f>
        <v>29.758580505318513</v>
      </c>
      <c r="AH3094" s="133"/>
      <c r="AI3094" s="155"/>
      <c r="AJ3094" s="143">
        <f>AJ3085/((N_6*AJ$27*0.667)*SQRT(AJ3095*AJ3087*AJ3089))</f>
        <v>23.790583394546928</v>
      </c>
      <c r="AK3094" s="133"/>
      <c r="AL3094" s="155"/>
      <c r="AM3094" s="143">
        <f>AM3085/((N_6*AM$27*0.667)*SQRT(AM3095*AM3087*AM3089))</f>
        <v>22.012009471695801</v>
      </c>
      <c r="AN3094" s="133"/>
      <c r="AO3094" s="155"/>
      <c r="AP3094" s="143">
        <f>AP3085/((N_6*AP$27*0.667)*SQRT(AP3095*AP3087*AP3089))</f>
        <v>20.140083841621049</v>
      </c>
      <c r="AQ3094" s="133"/>
      <c r="AR3094" s="155"/>
      <c r="AS3094" s="143">
        <f>AS3085/((N_6*AS$27*0.667)*SQRT(AS3095*AS3087*AS3089))</f>
        <v>28.958628873997043</v>
      </c>
      <c r="AT3094" s="133"/>
      <c r="AU3094" s="155"/>
    </row>
    <row r="3095" spans="13:47" ht="15.5" x14ac:dyDescent="0.4">
      <c r="M3095" s="27"/>
      <c r="N3095" s="27"/>
      <c r="O3095" s="2" t="s">
        <v>192</v>
      </c>
      <c r="P3095" s="85">
        <v>10</v>
      </c>
      <c r="Q3095" s="2"/>
      <c r="R3095" s="181">
        <f>F_GAMMA*R$29</f>
        <v>0.64002688015162901</v>
      </c>
      <c r="S3095" s="133"/>
      <c r="T3095" s="155"/>
      <c r="U3095" s="138">
        <f>F_GAMMA*U$29</f>
        <v>0.64016782916606918</v>
      </c>
      <c r="V3095" s="133"/>
      <c r="W3095" s="155"/>
      <c r="X3095" s="138">
        <f>F_GAMMA*X$29</f>
        <v>0.6307062319203669</v>
      </c>
      <c r="Y3095" s="133"/>
      <c r="Z3095" s="155"/>
      <c r="AA3095" s="138">
        <f>F_GAMMA*AA$29</f>
        <v>0.62217534213893466</v>
      </c>
      <c r="AB3095" s="133"/>
      <c r="AC3095" s="155"/>
      <c r="AD3095" s="138">
        <f>F_GAMMA*AD$29</f>
        <v>0.60557184969146072</v>
      </c>
      <c r="AE3095" s="133"/>
      <c r="AF3095" s="155"/>
      <c r="AG3095" s="138">
        <f>F_GAMMA*AG$29</f>
        <v>0.57289312142622573</v>
      </c>
      <c r="AH3095" s="133"/>
      <c r="AI3095" s="155"/>
      <c r="AJ3095" s="138">
        <f>F_GAMMA*AJ$29</f>
        <v>0.53590819116049981</v>
      </c>
      <c r="AK3095" s="133"/>
      <c r="AL3095" s="155"/>
      <c r="AM3095" s="138">
        <f>F_GAMMA*AM$29</f>
        <v>0.49048815926850342</v>
      </c>
      <c r="AN3095" s="133"/>
      <c r="AO3095" s="155"/>
      <c r="AP3095" s="138">
        <f>F_GAMMA*AP$29</f>
        <v>0.59352979016280105</v>
      </c>
      <c r="AQ3095" s="133"/>
      <c r="AR3095" s="155"/>
      <c r="AS3095" s="138">
        <f>F_GAMMA*AS$29</f>
        <v>0.39097221161068291</v>
      </c>
      <c r="AT3095" s="133"/>
      <c r="AU3095" s="155"/>
    </row>
    <row r="3096" spans="13:47" x14ac:dyDescent="0.25">
      <c r="M3096" s="27"/>
      <c r="N3096" s="27"/>
      <c r="O3096" s="2" t="s">
        <v>193</v>
      </c>
      <c r="P3096" s="134"/>
      <c r="Q3096" s="2"/>
      <c r="R3096" s="181">
        <f>IF(R3091&lt;R3095,R3093,R3094)</f>
        <v>3.7237193480697446</v>
      </c>
      <c r="S3096" s="133"/>
      <c r="T3096" s="155"/>
      <c r="U3096" s="138">
        <f>IF(U3091&lt;U3095,U3093,U3094)</f>
        <v>19.042661417283092</v>
      </c>
      <c r="V3096" s="133"/>
      <c r="W3096" s="155"/>
      <c r="X3096" s="138">
        <f>IF(X3091&lt;X3095,X3093,X3094)</f>
        <v>101.59367844251439</v>
      </c>
      <c r="Y3096" s="133"/>
      <c r="Z3096" s="155"/>
      <c r="AA3096" s="138">
        <f>IF(AA3091&lt;AA3095,AA3093,AA3094)</f>
        <v>162.99145223556837</v>
      </c>
      <c r="AB3096" s="133"/>
      <c r="AC3096" s="155"/>
      <c r="AD3096" s="138">
        <f>IF(AD3091&lt;AD3095,AD3093,AD3094)</f>
        <v>46.012594380532242</v>
      </c>
      <c r="AE3096" s="133"/>
      <c r="AF3096" s="155"/>
      <c r="AG3096" s="138">
        <f>IF(AG3091&lt;AG3095,AG3093,AG3094)</f>
        <v>29.758580505318513</v>
      </c>
      <c r="AH3096" s="133"/>
      <c r="AI3096" s="155"/>
      <c r="AJ3096" s="138">
        <f>IF(AJ3091&lt;AJ3095,AJ3093,AJ3094)</f>
        <v>23.790583394546928</v>
      </c>
      <c r="AK3096" s="133"/>
      <c r="AL3096" s="155"/>
      <c r="AM3096" s="138">
        <f>IF(AM3091&lt;AM3095,AM3093,AM3094)</f>
        <v>22.012009471695801</v>
      </c>
      <c r="AN3096" s="133"/>
      <c r="AO3096" s="155"/>
      <c r="AP3096" s="138">
        <f>IF(AP3091&lt;AP3095,AP3093,AP3094)</f>
        <v>20.140083841621049</v>
      </c>
      <c r="AQ3096" s="133"/>
      <c r="AR3096" s="155"/>
      <c r="AS3096" s="138">
        <f>IF(AS3091&lt;AS3095,AS3093,AS3094)</f>
        <v>28.958628873997043</v>
      </c>
      <c r="AT3096" s="133"/>
      <c r="AU3096" s="155"/>
    </row>
    <row r="3097" spans="13:47" ht="13" x14ac:dyDescent="0.3">
      <c r="M3097" s="28"/>
      <c r="N3097" s="28"/>
      <c r="O3097" s="9" t="s">
        <v>194</v>
      </c>
      <c r="P3097" s="1"/>
      <c r="Q3097" s="1"/>
      <c r="R3097" s="135"/>
      <c r="S3097" s="132">
        <f>IF(R3090&lt;=0,W_max,ABS(R$23-R3096))</f>
        <v>1.7237193480697446</v>
      </c>
      <c r="T3097" s="151">
        <f>R3085</f>
        <v>858.30754607223889</v>
      </c>
      <c r="U3097" s="135"/>
      <c r="V3097" s="132">
        <f>IF(U3090&lt;=0,W_max,ABS(U$23-U3096))</f>
        <v>14.042661417283092</v>
      </c>
      <c r="W3097" s="151">
        <f>U3085</f>
        <v>4065.342036963038</v>
      </c>
      <c r="X3097" s="135"/>
      <c r="Y3097" s="132">
        <f>IF(X3090&lt;=0,W_max,ABS(X$23-X3096))</f>
        <v>91.593678442514388</v>
      </c>
      <c r="Z3097" s="151">
        <f>X3085</f>
        <v>10054.074638783006</v>
      </c>
      <c r="AA3097" s="135"/>
      <c r="AB3097" s="132">
        <f>IF(AA3090&lt;=0,W_max,ABS(AA$23-AA3096))</f>
        <v>7174</v>
      </c>
      <c r="AC3097" s="151">
        <f>AA3085</f>
        <v>19582.771139912307</v>
      </c>
      <c r="AD3097" s="135"/>
      <c r="AE3097" s="132">
        <f>IF(AD3090&lt;=0,W_max,ABS(AD$23-AD3096))</f>
        <v>7174</v>
      </c>
      <c r="AF3097" s="151">
        <f>AD3085</f>
        <v>32206.448576585783</v>
      </c>
      <c r="AG3097" s="135"/>
      <c r="AH3097" s="132">
        <f>IF(AG3090&lt;=0,W_max,ABS(AG$23-AG3096))</f>
        <v>7174</v>
      </c>
      <c r="AI3097" s="151">
        <f>AG3085</f>
        <v>45172.023579773013</v>
      </c>
      <c r="AJ3097" s="135"/>
      <c r="AK3097" s="132">
        <f>IF(AJ3090&lt;=0,W_max,ABS(AJ$23-AJ3096))</f>
        <v>7174</v>
      </c>
      <c r="AL3097" s="151">
        <f>AJ3085</f>
        <v>57356.483483538454</v>
      </c>
      <c r="AM3097" s="135"/>
      <c r="AN3097" s="132">
        <f>IF(AM3090&lt;=0,W_max,ABS(AM$23-AM3096))</f>
        <v>7174</v>
      </c>
      <c r="AO3097" s="151">
        <f>AM3085</f>
        <v>67254.987680716004</v>
      </c>
      <c r="AP3097" s="135"/>
      <c r="AQ3097" s="132">
        <f>IF(AP3090&lt;=0,W_max,ABS(AP$23-AP3096))</f>
        <v>7174</v>
      </c>
      <c r="AR3097" s="151">
        <f>AP3085</f>
        <v>75034.260910740646</v>
      </c>
      <c r="AS3097" s="135"/>
      <c r="AT3097" s="132">
        <f>IF(AS3090&lt;=0,W_max,ABS(AS$23-AS3096))</f>
        <v>7174</v>
      </c>
      <c r="AU3097" s="151">
        <f>AS3085</f>
        <v>83713.349813540015</v>
      </c>
    </row>
    <row r="3098" spans="13:47" ht="13" x14ac:dyDescent="0.25">
      <c r="M3098" s="12"/>
      <c r="N3098" s="12"/>
      <c r="O3098" s="2"/>
      <c r="P3098" s="85"/>
      <c r="Q3098" s="2"/>
      <c r="R3098" s="18"/>
      <c r="S3098" s="150"/>
      <c r="T3098" s="148"/>
      <c r="U3098" s="157"/>
      <c r="V3098" s="1"/>
      <c r="W3098" s="147"/>
      <c r="X3098" s="157"/>
      <c r="Y3098" s="1"/>
      <c r="Z3098" s="147"/>
      <c r="AA3098" s="157"/>
      <c r="AB3098" s="1"/>
      <c r="AC3098" s="147"/>
      <c r="AD3098" s="157"/>
      <c r="AE3098" s="1"/>
      <c r="AF3098" s="147"/>
      <c r="AG3098" s="157"/>
      <c r="AH3098" s="1"/>
      <c r="AI3098" s="147"/>
      <c r="AJ3098" s="157"/>
      <c r="AK3098" s="1"/>
      <c r="AL3098" s="147"/>
      <c r="AM3098" s="157"/>
      <c r="AN3098" s="1"/>
      <c r="AO3098" s="147"/>
      <c r="AP3098" s="157"/>
      <c r="AQ3098" s="1"/>
      <c r="AR3098" s="147"/>
      <c r="AS3098" s="157"/>
      <c r="AT3098" s="1"/>
      <c r="AU3098" s="147"/>
    </row>
    <row r="3099" spans="13:47" ht="14" x14ac:dyDescent="0.3">
      <c r="M3099" s="23"/>
      <c r="N3099" s="23"/>
      <c r="O3099" s="23" t="s">
        <v>238</v>
      </c>
      <c r="P3099" s="20"/>
      <c r="Q3099" s="20"/>
      <c r="R3099" s="181">
        <f>R3085*1.02</f>
        <v>875.47369699368369</v>
      </c>
      <c r="S3099" s="128" t="s">
        <v>185</v>
      </c>
      <c r="T3099" s="149" t="s">
        <v>186</v>
      </c>
      <c r="U3099" s="143">
        <f>U3085*1.01</f>
        <v>4105.9954573326686</v>
      </c>
      <c r="V3099" s="128" t="s">
        <v>185</v>
      </c>
      <c r="W3099" s="153" t="s">
        <v>186</v>
      </c>
      <c r="X3099" s="143">
        <f>X3085*1.01</f>
        <v>10154.615385170837</v>
      </c>
      <c r="Y3099" s="128" t="s">
        <v>185</v>
      </c>
      <c r="Z3099" s="153" t="s">
        <v>186</v>
      </c>
      <c r="AA3099" s="143">
        <f>AA3085*1.01</f>
        <v>19778.598851311432</v>
      </c>
      <c r="AB3099" s="128" t="s">
        <v>185</v>
      </c>
      <c r="AC3099" s="153" t="s">
        <v>186</v>
      </c>
      <c r="AD3099" s="143">
        <f>AD3085*1.01</f>
        <v>32528.513062351642</v>
      </c>
      <c r="AE3099" s="128" t="s">
        <v>185</v>
      </c>
      <c r="AF3099" s="153" t="s">
        <v>186</v>
      </c>
      <c r="AG3099" s="143">
        <f>AG3085*1.01</f>
        <v>45623.743815570742</v>
      </c>
      <c r="AH3099" s="128" t="s">
        <v>185</v>
      </c>
      <c r="AI3099" s="153" t="s">
        <v>186</v>
      </c>
      <c r="AJ3099" s="143">
        <f>AJ3085*1.01</f>
        <v>57930.04831837384</v>
      </c>
      <c r="AK3099" s="128" t="s">
        <v>185</v>
      </c>
      <c r="AL3099" s="153" t="s">
        <v>186</v>
      </c>
      <c r="AM3099" s="143">
        <f>AM3085*1.01</f>
        <v>67927.537557523159</v>
      </c>
      <c r="AN3099" s="128" t="s">
        <v>185</v>
      </c>
      <c r="AO3099" s="153" t="s">
        <v>186</v>
      </c>
      <c r="AP3099" s="143">
        <f>AP3085*1.01</f>
        <v>75784.603519848053</v>
      </c>
      <c r="AQ3099" s="128" t="s">
        <v>185</v>
      </c>
      <c r="AR3099" s="153" t="s">
        <v>186</v>
      </c>
      <c r="AS3099" s="143">
        <f>AS3085*1.01</f>
        <v>84550.483311675416</v>
      </c>
      <c r="AT3099" s="128" t="s">
        <v>185</v>
      </c>
      <c r="AU3099" s="153" t="s">
        <v>186</v>
      </c>
    </row>
    <row r="3100" spans="13:47" ht="14" x14ac:dyDescent="0.3">
      <c r="M3100" s="12"/>
      <c r="N3100" s="12"/>
      <c r="O3100" s="20"/>
      <c r="P3100" s="20"/>
      <c r="Q3100" s="23"/>
      <c r="R3100" s="139"/>
      <c r="S3100" s="130" t="s">
        <v>228</v>
      </c>
      <c r="T3100" s="131" t="s">
        <v>187</v>
      </c>
      <c r="U3100" s="144"/>
      <c r="V3100" s="130" t="s">
        <v>228</v>
      </c>
      <c r="W3100" s="154" t="s">
        <v>187</v>
      </c>
      <c r="X3100" s="144"/>
      <c r="Y3100" s="130" t="s">
        <v>228</v>
      </c>
      <c r="Z3100" s="154" t="s">
        <v>187</v>
      </c>
      <c r="AA3100" s="144"/>
      <c r="AB3100" s="130" t="s">
        <v>228</v>
      </c>
      <c r="AC3100" s="154" t="s">
        <v>187</v>
      </c>
      <c r="AD3100" s="144"/>
      <c r="AE3100" s="130" t="s">
        <v>228</v>
      </c>
      <c r="AF3100" s="154" t="s">
        <v>187</v>
      </c>
      <c r="AG3100" s="144"/>
      <c r="AH3100" s="130" t="s">
        <v>228</v>
      </c>
      <c r="AI3100" s="154" t="s">
        <v>187</v>
      </c>
      <c r="AJ3100" s="144"/>
      <c r="AK3100" s="130" t="s">
        <v>228</v>
      </c>
      <c r="AL3100" s="154" t="s">
        <v>187</v>
      </c>
      <c r="AM3100" s="144"/>
      <c r="AN3100" s="130" t="s">
        <v>228</v>
      </c>
      <c r="AO3100" s="154" t="s">
        <v>187</v>
      </c>
      <c r="AP3100" s="144"/>
      <c r="AQ3100" s="130" t="s">
        <v>228</v>
      </c>
      <c r="AR3100" s="154" t="s">
        <v>187</v>
      </c>
      <c r="AS3100" s="144"/>
      <c r="AT3100" s="130" t="s">
        <v>228</v>
      </c>
      <c r="AU3100" s="154" t="s">
        <v>187</v>
      </c>
    </row>
    <row r="3101" spans="13:47" x14ac:dyDescent="0.25">
      <c r="M3101" s="20"/>
      <c r="N3101" s="20"/>
      <c r="O3101" s="7" t="s">
        <v>188</v>
      </c>
      <c r="P3101" s="7"/>
      <c r="Q3101" s="7"/>
      <c r="R3101" s="181">
        <f>P_1_minW-(R3099^2*R_up)+dpup_minQ</f>
        <v>100.21715405466607</v>
      </c>
      <c r="S3101" s="132"/>
      <c r="T3101" s="145"/>
      <c r="U3101" s="138">
        <f>P_1_minW-(U3099^2*R_up)+dpup_minQ</f>
        <v>93.799981702559322</v>
      </c>
      <c r="V3101" s="132"/>
      <c r="W3101" s="145"/>
      <c r="X3101" s="138">
        <f>P_1_minW-(X3099^2*R_up)+dpup_minQ</f>
        <v>59.403976018085018</v>
      </c>
      <c r="Y3101" s="132"/>
      <c r="Z3101" s="145"/>
      <c r="AA3101" s="138">
        <f>P_1_minW-(AA3099^2*R_up)+dpup_minQ</f>
        <v>-55.470041420427904</v>
      </c>
      <c r="AB3101" s="132"/>
      <c r="AC3101" s="145"/>
      <c r="AD3101" s="138">
        <f>P_1_minW-(AD3099^2*R_up)+dpup_minQ</f>
        <v>-321.40877215332102</v>
      </c>
      <c r="AE3101" s="132"/>
      <c r="AF3101" s="145"/>
      <c r="AG3101" s="138">
        <f>P_1_minW-(AG3099^2*R_up)+dpup_minQ</f>
        <v>-729.51034369216086</v>
      </c>
      <c r="AH3101" s="132"/>
      <c r="AI3101" s="145"/>
      <c r="AJ3101" s="138">
        <f>P_1_minW-(AJ3099^2*R_up)+dpup_minQ</f>
        <v>-1237.678271481137</v>
      </c>
      <c r="AK3101" s="132"/>
      <c r="AL3101" s="145"/>
      <c r="AM3101" s="138">
        <f>P_1_minW-(AM3099^2*R_up)+dpup_minQ</f>
        <v>-1739.4242842603737</v>
      </c>
      <c r="AN3101" s="132"/>
      <c r="AO3101" s="145"/>
      <c r="AP3101" s="138">
        <f>P_1_minW-(AP3099^2*R_up)+dpup_minQ</f>
        <v>-2189.6885136356177</v>
      </c>
      <c r="AQ3101" s="132"/>
      <c r="AR3101" s="145"/>
      <c r="AS3101" s="138">
        <f>P_1_minW-(AS3099^2*R_up)+dpup_minQ</f>
        <v>-2750.139541017511</v>
      </c>
      <c r="AT3101" s="132"/>
      <c r="AU3101" s="145"/>
    </row>
    <row r="3102" spans="13:47" x14ac:dyDescent="0.25">
      <c r="M3102" s="20"/>
      <c r="N3102" s="20"/>
      <c r="O3102" s="7" t="s">
        <v>189</v>
      </c>
      <c r="P3102" s="1"/>
      <c r="Q3102" s="7"/>
      <c r="R3102" s="181">
        <f>P_2_minW+(R3099^2*R_dn)-dpdn_minQ</f>
        <v>50</v>
      </c>
      <c r="S3102" s="132"/>
      <c r="T3102" s="146"/>
      <c r="U3102" s="138">
        <f>P_2_minW+(U3099^2*R_dn)-dpdn_minQ</f>
        <v>50</v>
      </c>
      <c r="V3102" s="132"/>
      <c r="W3102" s="146"/>
      <c r="X3102" s="138">
        <f>P_2_minW+(X3099^2*R_dn)-dpdn_minQ</f>
        <v>50</v>
      </c>
      <c r="Y3102" s="132"/>
      <c r="Z3102" s="146"/>
      <c r="AA3102" s="138">
        <f>P_2_minW+(AA3099^2*R_dn)-dpdn_minQ</f>
        <v>50</v>
      </c>
      <c r="AB3102" s="132"/>
      <c r="AC3102" s="146"/>
      <c r="AD3102" s="138">
        <f>P_2_minW+(AD3099^2*R_dn)-dpdn_minQ</f>
        <v>50</v>
      </c>
      <c r="AE3102" s="132"/>
      <c r="AF3102" s="146"/>
      <c r="AG3102" s="138">
        <f>P_2_minW+(AG3099^2*R_dn)-dpdn_minQ</f>
        <v>50</v>
      </c>
      <c r="AH3102" s="132"/>
      <c r="AI3102" s="146"/>
      <c r="AJ3102" s="138">
        <f>P_2_minW+(AJ3099^2*R_dn)-dpdn_minQ</f>
        <v>50</v>
      </c>
      <c r="AK3102" s="132"/>
      <c r="AL3102" s="146"/>
      <c r="AM3102" s="138">
        <f>P_2_minW+(AM3099^2*R_dn)-dpdn_minQ</f>
        <v>50</v>
      </c>
      <c r="AN3102" s="132"/>
      <c r="AO3102" s="146"/>
      <c r="AP3102" s="138">
        <f>P_2_minW+(AP3099^2*R_dn)-dpdn_minQ</f>
        <v>50</v>
      </c>
      <c r="AQ3102" s="132"/>
      <c r="AR3102" s="146"/>
      <c r="AS3102" s="138">
        <f>P_2_minW+(AS3099^2*R_dn)-dpdn_minQ</f>
        <v>50</v>
      </c>
      <c r="AT3102" s="132"/>
      <c r="AU3102" s="146"/>
    </row>
    <row r="3103" spans="13:47" x14ac:dyDescent="0.25">
      <c r="M3103" s="20"/>
      <c r="N3103" s="20"/>
      <c r="O3103" s="7" t="s">
        <v>234</v>
      </c>
      <c r="P3103" s="1"/>
      <c r="Q3103" s="7"/>
      <c r="R3103" s="179">
        <f>'Valve Sizing'!G$8*R3101/P_1_maxW</f>
        <v>0.48342970859517553</v>
      </c>
      <c r="S3103" s="132"/>
      <c r="T3103" s="146"/>
      <c r="U3103" s="143">
        <f>'Valve Sizing'!$G$8*U3101/P_1_maxW</f>
        <v>0.45247441167573016</v>
      </c>
      <c r="V3103" s="132"/>
      <c r="W3103" s="146"/>
      <c r="X3103" s="143">
        <f>'Valve Sizing'!$G$8*X3101/P_1_maxW</f>
        <v>0.28655420408518928</v>
      </c>
      <c r="Y3103" s="132"/>
      <c r="Z3103" s="146"/>
      <c r="AA3103" s="143">
        <f>'Valve Sizing'!$G$8*AA3101/P_1_maxW</f>
        <v>-0.26757760397997699</v>
      </c>
      <c r="AB3103" s="132"/>
      <c r="AC3103" s="146"/>
      <c r="AD3103" s="143">
        <f>'Valve Sizing'!$G$8*AD3101/P_1_maxW</f>
        <v>-1.5504186935627593</v>
      </c>
      <c r="AE3103" s="132"/>
      <c r="AF3103" s="146"/>
      <c r="AG3103" s="143">
        <f>'Valve Sizing'!$G$8*AG3101/P_1_maxW</f>
        <v>-3.5190280166596652</v>
      </c>
      <c r="AH3103" s="132"/>
      <c r="AI3103" s="146"/>
      <c r="AJ3103" s="143">
        <f>'Valve Sizing'!$G$8*AJ3101/P_1_maxW</f>
        <v>-5.9703396265905893</v>
      </c>
      <c r="AK3103" s="132"/>
      <c r="AL3103" s="146"/>
      <c r="AM3103" s="143">
        <f>'Valve Sizing'!$G$8*AM3101/P_1_maxW</f>
        <v>-8.3906730618660266</v>
      </c>
      <c r="AN3103" s="132"/>
      <c r="AO3103" s="146"/>
      <c r="AP3103" s="143">
        <f>'Valve Sizing'!$G$8*AP3101/P_1_maxW</f>
        <v>-10.562667539767196</v>
      </c>
      <c r="AQ3103" s="132"/>
      <c r="AR3103" s="146"/>
      <c r="AS3103" s="143">
        <f>'Valve Sizing'!$G$8*AS3101/P_1_maxW</f>
        <v>-13.266183513702206</v>
      </c>
      <c r="AT3103" s="132"/>
      <c r="AU3103" s="146"/>
    </row>
    <row r="3104" spans="13:47" x14ac:dyDescent="0.25">
      <c r="M3104" s="20"/>
      <c r="N3104" s="20"/>
      <c r="O3104" s="7" t="s">
        <v>190</v>
      </c>
      <c r="P3104" s="1"/>
      <c r="Q3104" s="7"/>
      <c r="R3104" s="181">
        <f>R3101-R3102</f>
        <v>50.217154054666068</v>
      </c>
      <c r="S3104" s="132"/>
      <c r="T3104" s="146"/>
      <c r="U3104" s="138">
        <f>U3101-U3102</f>
        <v>43.799981702559322</v>
      </c>
      <c r="V3104" s="132"/>
      <c r="W3104" s="146"/>
      <c r="X3104" s="138">
        <f>X3101-X3102</f>
        <v>9.403976018085018</v>
      </c>
      <c r="Y3104" s="132"/>
      <c r="Z3104" s="146"/>
      <c r="AA3104" s="138">
        <f>AA3101-AA3102</f>
        <v>-105.4700414204279</v>
      </c>
      <c r="AB3104" s="132"/>
      <c r="AC3104" s="146"/>
      <c r="AD3104" s="138">
        <f>AD3101-AD3102</f>
        <v>-371.40877215332102</v>
      </c>
      <c r="AE3104" s="132"/>
      <c r="AF3104" s="146"/>
      <c r="AG3104" s="138">
        <f>AG3101-AG3102</f>
        <v>-779.51034369216086</v>
      </c>
      <c r="AH3104" s="132"/>
      <c r="AI3104" s="146"/>
      <c r="AJ3104" s="138">
        <f>AJ3101-AJ3102</f>
        <v>-1287.678271481137</v>
      </c>
      <c r="AK3104" s="132"/>
      <c r="AL3104" s="146"/>
      <c r="AM3104" s="138">
        <f>AM3101-AM3102</f>
        <v>-1789.4242842603737</v>
      </c>
      <c r="AN3104" s="132"/>
      <c r="AO3104" s="146"/>
      <c r="AP3104" s="138">
        <f>AP3101-AP3102</f>
        <v>-2239.6885136356177</v>
      </c>
      <c r="AQ3104" s="132"/>
      <c r="AR3104" s="146"/>
      <c r="AS3104" s="138">
        <f>AS3101-AS3102</f>
        <v>-2800.139541017511</v>
      </c>
      <c r="AT3104" s="132"/>
      <c r="AU3104" s="146"/>
    </row>
    <row r="3105" spans="13:47" ht="14.5" x14ac:dyDescent="0.35">
      <c r="M3105" s="27"/>
      <c r="N3105" s="27"/>
      <c r="O3105" s="2" t="s">
        <v>191</v>
      </c>
      <c r="P3105" s="10"/>
      <c r="Q3105" s="2"/>
      <c r="R3105" s="181">
        <f>R3104/R3101</f>
        <v>0.50108341758810881</v>
      </c>
      <c r="S3105" s="132"/>
      <c r="T3105" s="146"/>
      <c r="U3105" s="138">
        <f>U3104/U3101</f>
        <v>0.46695085550708848</v>
      </c>
      <c r="V3105" s="132"/>
      <c r="W3105" s="146"/>
      <c r="X3105" s="138">
        <f>X3104/X3101</f>
        <v>0.15830549819126685</v>
      </c>
      <c r="Y3105" s="132"/>
      <c r="Z3105" s="146"/>
      <c r="AA3105" s="138">
        <f>AA3104/AA3101</f>
        <v>1.9013874646501805</v>
      </c>
      <c r="AB3105" s="132"/>
      <c r="AC3105" s="146"/>
      <c r="AD3105" s="138">
        <f>AD3104/AD3101</f>
        <v>1.1555651380172929</v>
      </c>
      <c r="AE3105" s="132"/>
      <c r="AF3105" s="146"/>
      <c r="AG3105" s="138">
        <f>AG3104/AG3101</f>
        <v>1.0685391241294024</v>
      </c>
      <c r="AH3105" s="132"/>
      <c r="AI3105" s="146"/>
      <c r="AJ3105" s="138">
        <f>AJ3104/AJ3101</f>
        <v>1.0403982207267521</v>
      </c>
      <c r="AK3105" s="132"/>
      <c r="AL3105" s="146"/>
      <c r="AM3105" s="138">
        <f>AM3104/AM3101</f>
        <v>1.0287451431214556</v>
      </c>
      <c r="AN3105" s="132"/>
      <c r="AO3105" s="146"/>
      <c r="AP3105" s="138">
        <f>AP3104/AP3101</f>
        <v>1.0228342979782925</v>
      </c>
      <c r="AQ3105" s="132"/>
      <c r="AR3105" s="146"/>
      <c r="AS3105" s="138">
        <f>AS3104/AS3101</f>
        <v>1.01818089564339</v>
      </c>
      <c r="AT3105" s="132"/>
      <c r="AU3105" s="146"/>
    </row>
    <row r="3106" spans="13:47" x14ac:dyDescent="0.25">
      <c r="M3106" s="27"/>
      <c r="N3106" s="27"/>
      <c r="O3106" s="2" t="s">
        <v>26</v>
      </c>
      <c r="P3106" s="7">
        <v>12</v>
      </c>
      <c r="Q3106" s="2"/>
      <c r="R3106" s="181">
        <f>1-R3105/(3*F_GAMMA*R$29)</f>
        <v>0.73903001414076175</v>
      </c>
      <c r="S3106" s="133"/>
      <c r="T3106" s="146"/>
      <c r="U3106" s="138">
        <f>1-U3105/(3*F_GAMMA*U$29)</f>
        <v>0.75686018872302396</v>
      </c>
      <c r="V3106" s="133"/>
      <c r="W3106" s="146"/>
      <c r="X3106" s="138">
        <f>1-X3105/(3*F_GAMMA*X$29)</f>
        <v>0.91633426668954887</v>
      </c>
      <c r="Y3106" s="133"/>
      <c r="Z3106" s="146"/>
      <c r="AA3106" s="138">
        <f>1-AA3105/(3*F_GAMMA*AA$29)</f>
        <v>-1.8677177676595491E-2</v>
      </c>
      <c r="AB3106" s="133"/>
      <c r="AC3106" s="146"/>
      <c r="AD3106" s="138">
        <f>1-AD3105/(3*F_GAMMA*AD$29)</f>
        <v>0.36392621365185429</v>
      </c>
      <c r="AE3106" s="133"/>
      <c r="AF3106" s="146"/>
      <c r="AG3106" s="138">
        <f>1-AG3105/(3*F_GAMMA*AG$29)</f>
        <v>0.3782789586364389</v>
      </c>
      <c r="AH3106" s="133"/>
      <c r="AI3106" s="146"/>
      <c r="AJ3106" s="138">
        <f>1-AJ3105/(3*F_GAMMA*AJ$29)</f>
        <v>0.35287533829641726</v>
      </c>
      <c r="AK3106" s="133"/>
      <c r="AL3106" s="146"/>
      <c r="AM3106" s="138">
        <f>1-AM3105/(3*F_GAMMA*AM$29)</f>
        <v>0.30086987580176627</v>
      </c>
      <c r="AN3106" s="133"/>
      <c r="AO3106" s="146"/>
      <c r="AP3106" s="138">
        <f>1-AP3105/(3*F_GAMMA*AP$29)</f>
        <v>0.42556418962686704</v>
      </c>
      <c r="AQ3106" s="133"/>
      <c r="AR3106" s="146"/>
      <c r="AS3106" s="138">
        <f>1-AS3105/(3*F_GAMMA*AS$29)</f>
        <v>0.13192390200077231</v>
      </c>
      <c r="AT3106" s="133"/>
      <c r="AU3106" s="146"/>
    </row>
    <row r="3107" spans="13:47" x14ac:dyDescent="0.25">
      <c r="M3107" s="27"/>
      <c r="N3107" s="27"/>
      <c r="O3107" s="2" t="s">
        <v>71</v>
      </c>
      <c r="P3107" s="85">
        <v>5</v>
      </c>
      <c r="Q3107" s="2"/>
      <c r="R3107" s="179">
        <f>R3099/((N_6*R$27*R3106)*SQRT(R3105*R3101*R3103))</f>
        <v>3.7987092935333542</v>
      </c>
      <c r="S3107" s="133"/>
      <c r="T3107" s="146"/>
      <c r="U3107" s="143">
        <f>U3099/((N_6*U$27*U3106)*SQRT(U3105*U3101*U3103))</f>
        <v>19.265777444384256</v>
      </c>
      <c r="V3107" s="133"/>
      <c r="W3107" s="146"/>
      <c r="X3107" s="143">
        <f>X3099/((N_6*X$27*X3106)*SQRT(X3105*X3101*X3103))</f>
        <v>106.9620059214145</v>
      </c>
      <c r="Y3107" s="133"/>
      <c r="Z3107" s="146"/>
      <c r="AA3107" s="143">
        <f>AA3099/((N_6*AA$27*AA3106)*SQRT(AA3105*AA3101*AA3103))</f>
        <v>-3176.6147766625018</v>
      </c>
      <c r="AB3107" s="133"/>
      <c r="AC3107" s="146"/>
      <c r="AD3107" s="143">
        <f>AD3099/((N_6*AD$27*AD3106)*SQRT(AD3105*AD3101*AD3103))</f>
        <v>60.064061330102781</v>
      </c>
      <c r="AE3107" s="133"/>
      <c r="AF3107" s="146"/>
      <c r="AG3107" s="143">
        <f>AG3099/((N_6*AG$27*AG3106)*SQRT(AG3105*AG3101*AG3103))</f>
        <v>37.935127859926432</v>
      </c>
      <c r="AH3107" s="133"/>
      <c r="AI3107" s="146"/>
      <c r="AJ3107" s="143">
        <f>AJ3099/((N_6*AJ$27*AJ3106)*SQRT(AJ3105*AJ3101*AJ3103))</f>
        <v>31.902452983693955</v>
      </c>
      <c r="AK3107" s="133"/>
      <c r="AL3107" s="146"/>
      <c r="AM3107" s="143">
        <f>AM3099/((N_6*AM$27*AM3106)*SQRT(AM3105*AM3101*AM3103))</f>
        <v>33.322765846328188</v>
      </c>
      <c r="AN3107" s="133"/>
      <c r="AO3107" s="146"/>
      <c r="AP3107" s="143">
        <f>AP3099/((N_6*AP$27*AP3106)*SQRT(AP3105*AP3101*AP3103))</f>
        <v>23.785832334519917</v>
      </c>
      <c r="AQ3107" s="133"/>
      <c r="AR3107" s="146"/>
      <c r="AS3107" s="143">
        <f>AS3099/((N_6*AS$27*AS3106)*SQRT(AS3105*AS3101*AS3103))</f>
        <v>89.763597598210183</v>
      </c>
      <c r="AT3107" s="133"/>
      <c r="AU3107" s="146"/>
    </row>
    <row r="3108" spans="13:47" x14ac:dyDescent="0.25">
      <c r="M3108" s="27"/>
      <c r="N3108" s="27"/>
      <c r="O3108" s="2" t="s">
        <v>73</v>
      </c>
      <c r="P3108" s="85">
        <v>5</v>
      </c>
      <c r="Q3108" s="2"/>
      <c r="R3108" s="179">
        <f>R3099/((N_6*R$27*0.667)*SQRT(R3109*R3101*R3103))</f>
        <v>3.7241589646033622</v>
      </c>
      <c r="S3108" s="133"/>
      <c r="T3108" s="147"/>
      <c r="U3108" s="143">
        <f>U3099/((N_6*U$27*0.667)*SQRT(U3109*U3101*U3103))</f>
        <v>18.670890496416064</v>
      </c>
      <c r="V3108" s="133"/>
      <c r="W3108" s="155"/>
      <c r="X3108" s="143">
        <f>X3099/((N_6*X$27*0.667)*SQRT(X3109*X3101*X3103))</f>
        <v>73.619365617925013</v>
      </c>
      <c r="Y3108" s="133"/>
      <c r="Z3108" s="155"/>
      <c r="AA3108" s="143">
        <f>AA3099/((N_6*AA$27*0.667)*SQRT(AA3109*AA3101*AA3103))</f>
        <v>155.49945945379392</v>
      </c>
      <c r="AB3108" s="133"/>
      <c r="AC3108" s="155"/>
      <c r="AD3108" s="143">
        <f>AD3099/((N_6*AD$27*0.667)*SQRT(AD3109*AD3101*AD3103))</f>
        <v>45.270633908645642</v>
      </c>
      <c r="AE3108" s="133"/>
      <c r="AF3108" s="155"/>
      <c r="AG3108" s="143">
        <f>AG3099/((N_6*AG$27*0.667)*SQRT(AG3109*AG3101*AG3103))</f>
        <v>29.382335494670073</v>
      </c>
      <c r="AH3108" s="133"/>
      <c r="AI3108" s="155"/>
      <c r="AJ3108" s="143">
        <f>AJ3099/((N_6*AJ$27*0.667)*SQRT(AJ3109*AJ3101*AJ3103))</f>
        <v>23.516579506017745</v>
      </c>
      <c r="AK3108" s="133"/>
      <c r="AL3108" s="155"/>
      <c r="AM3108" s="143">
        <f>AM3099/((N_6*AM$27*0.667)*SQRT(AM3109*AM3101*AM3103))</f>
        <v>21.768752884211004</v>
      </c>
      <c r="AN3108" s="133"/>
      <c r="AO3108" s="155"/>
      <c r="AP3108" s="143">
        <f>AP3099/((N_6*AP$27*0.667)*SQRT(AP3109*AP3101*AP3103))</f>
        <v>19.922277057593295</v>
      </c>
      <c r="AQ3108" s="133"/>
      <c r="AR3108" s="155"/>
      <c r="AS3108" s="143">
        <f>AS3099/((N_6*AS$27*0.667)*SQRT(AS3109*AS3101*AS3103))</f>
        <v>28.650844727498598</v>
      </c>
      <c r="AT3108" s="133"/>
      <c r="AU3108" s="155"/>
    </row>
    <row r="3109" spans="13:47" ht="15.5" x14ac:dyDescent="0.4">
      <c r="M3109" s="27"/>
      <c r="N3109" s="27"/>
      <c r="O3109" s="2" t="s">
        <v>192</v>
      </c>
      <c r="P3109" s="85">
        <v>10</v>
      </c>
      <c r="Q3109" s="2"/>
      <c r="R3109" s="181">
        <f>F_GAMMA*R$29</f>
        <v>0.64002688015162901</v>
      </c>
      <c r="S3109" s="133"/>
      <c r="T3109" s="147"/>
      <c r="U3109" s="138">
        <f>F_GAMMA*U$29</f>
        <v>0.64016782916606918</v>
      </c>
      <c r="V3109" s="133"/>
      <c r="W3109" s="155"/>
      <c r="X3109" s="138">
        <f>F_GAMMA*X$29</f>
        <v>0.6307062319203669</v>
      </c>
      <c r="Y3109" s="133"/>
      <c r="Z3109" s="155"/>
      <c r="AA3109" s="138">
        <f>F_GAMMA*AA$29</f>
        <v>0.62217534213893466</v>
      </c>
      <c r="AB3109" s="133"/>
      <c r="AC3109" s="155"/>
      <c r="AD3109" s="138">
        <f>F_GAMMA*AD$29</f>
        <v>0.60557184969146072</v>
      </c>
      <c r="AE3109" s="133"/>
      <c r="AF3109" s="155"/>
      <c r="AG3109" s="138">
        <f>F_GAMMA*AG$29</f>
        <v>0.57289312142622573</v>
      </c>
      <c r="AH3109" s="133"/>
      <c r="AI3109" s="155"/>
      <c r="AJ3109" s="138">
        <f>F_GAMMA*AJ$29</f>
        <v>0.53590819116049981</v>
      </c>
      <c r="AK3109" s="133"/>
      <c r="AL3109" s="155"/>
      <c r="AM3109" s="138">
        <f>F_GAMMA*AM$29</f>
        <v>0.49048815926850342</v>
      </c>
      <c r="AN3109" s="133"/>
      <c r="AO3109" s="155"/>
      <c r="AP3109" s="138">
        <f>F_GAMMA*AP$29</f>
        <v>0.59352979016280105</v>
      </c>
      <c r="AQ3109" s="133"/>
      <c r="AR3109" s="155"/>
      <c r="AS3109" s="138">
        <f>F_GAMMA*AS$29</f>
        <v>0.39097221161068291</v>
      </c>
      <c r="AT3109" s="133"/>
      <c r="AU3109" s="155"/>
    </row>
    <row r="3110" spans="13:47" x14ac:dyDescent="0.25">
      <c r="M3110" s="27"/>
      <c r="N3110" s="27"/>
      <c r="O3110" s="2" t="s">
        <v>193</v>
      </c>
      <c r="P3110" s="134"/>
      <c r="Q3110" s="2"/>
      <c r="R3110" s="181">
        <f>IF(R3105&lt;R3109,R3107,R3108)</f>
        <v>3.7987092935333542</v>
      </c>
      <c r="S3110" s="133"/>
      <c r="T3110" s="147"/>
      <c r="U3110" s="138">
        <f>IF(U3105&lt;U3109,U3107,U3108)</f>
        <v>19.265777444384256</v>
      </c>
      <c r="V3110" s="133"/>
      <c r="W3110" s="155"/>
      <c r="X3110" s="138">
        <f>IF(X3105&lt;X3109,X3107,X3108)</f>
        <v>106.9620059214145</v>
      </c>
      <c r="Y3110" s="133"/>
      <c r="Z3110" s="155"/>
      <c r="AA3110" s="138">
        <f>IF(AA3105&lt;AA3109,AA3107,AA3108)</f>
        <v>155.49945945379392</v>
      </c>
      <c r="AB3110" s="133"/>
      <c r="AC3110" s="155"/>
      <c r="AD3110" s="138">
        <f>IF(AD3105&lt;AD3109,AD3107,AD3108)</f>
        <v>45.270633908645642</v>
      </c>
      <c r="AE3110" s="133"/>
      <c r="AF3110" s="155"/>
      <c r="AG3110" s="138">
        <f>IF(AG3105&lt;AG3109,AG3107,AG3108)</f>
        <v>29.382335494670073</v>
      </c>
      <c r="AH3110" s="133"/>
      <c r="AI3110" s="155"/>
      <c r="AJ3110" s="138">
        <f>IF(AJ3105&lt;AJ3109,AJ3107,AJ3108)</f>
        <v>23.516579506017745</v>
      </c>
      <c r="AK3110" s="133"/>
      <c r="AL3110" s="155"/>
      <c r="AM3110" s="138">
        <f>IF(AM3105&lt;AM3109,AM3107,AM3108)</f>
        <v>21.768752884211004</v>
      </c>
      <c r="AN3110" s="133"/>
      <c r="AO3110" s="155"/>
      <c r="AP3110" s="138">
        <f>IF(AP3105&lt;AP3109,AP3107,AP3108)</f>
        <v>19.922277057593295</v>
      </c>
      <c r="AQ3110" s="133"/>
      <c r="AR3110" s="155"/>
      <c r="AS3110" s="138">
        <f>IF(AS3105&lt;AS3109,AS3107,AS3108)</f>
        <v>28.650844727498598</v>
      </c>
      <c r="AT3110" s="133"/>
      <c r="AU3110" s="155"/>
    </row>
    <row r="3111" spans="13:47" ht="13" x14ac:dyDescent="0.3">
      <c r="M3111" s="28"/>
      <c r="N3111" s="28"/>
      <c r="O3111" s="9" t="s">
        <v>194</v>
      </c>
      <c r="P3111" s="1"/>
      <c r="Q3111" s="1"/>
      <c r="R3111" s="135"/>
      <c r="S3111" s="132">
        <f>IF(R3104&lt;=0,W_max,ABS(R$23-R3110))</f>
        <v>1.7987092935333542</v>
      </c>
      <c r="T3111" s="151">
        <f>R3099</f>
        <v>875.47369699368369</v>
      </c>
      <c r="U3111" s="135"/>
      <c r="V3111" s="132">
        <f>IF(U3104&lt;=0,W_max,ABS(U$23-U3110))</f>
        <v>14.265777444384256</v>
      </c>
      <c r="W3111" s="151">
        <f>U3099</f>
        <v>4105.9954573326686</v>
      </c>
      <c r="X3111" s="135"/>
      <c r="Y3111" s="132">
        <f>IF(X3104&lt;=0,W_max,ABS(X$23-X3110))</f>
        <v>96.962005921414502</v>
      </c>
      <c r="Z3111" s="151">
        <f>X3099</f>
        <v>10154.615385170837</v>
      </c>
      <c r="AA3111" s="135"/>
      <c r="AB3111" s="132">
        <f>IF(AA3104&lt;=0,W_max,ABS(AA$23-AA3110))</f>
        <v>7174</v>
      </c>
      <c r="AC3111" s="151">
        <f>AA3099</f>
        <v>19778.598851311432</v>
      </c>
      <c r="AD3111" s="135"/>
      <c r="AE3111" s="132">
        <f>IF(AD3104&lt;=0,W_max,ABS(AD$23-AD3110))</f>
        <v>7174</v>
      </c>
      <c r="AF3111" s="151">
        <f>AD3099</f>
        <v>32528.513062351642</v>
      </c>
      <c r="AG3111" s="135"/>
      <c r="AH3111" s="132">
        <f>IF(AG3104&lt;=0,W_max,ABS(AG$23-AG3110))</f>
        <v>7174</v>
      </c>
      <c r="AI3111" s="151">
        <f>AG3099</f>
        <v>45623.743815570742</v>
      </c>
      <c r="AJ3111" s="135"/>
      <c r="AK3111" s="132">
        <f>IF(AJ3104&lt;=0,W_max,ABS(AJ$23-AJ3110))</f>
        <v>7174</v>
      </c>
      <c r="AL3111" s="151">
        <f>AJ3099</f>
        <v>57930.04831837384</v>
      </c>
      <c r="AM3111" s="135"/>
      <c r="AN3111" s="132">
        <f>IF(AM3104&lt;=0,W_max,ABS(AM$23-AM3110))</f>
        <v>7174</v>
      </c>
      <c r="AO3111" s="151">
        <f>AM3099</f>
        <v>67927.537557523159</v>
      </c>
      <c r="AP3111" s="135"/>
      <c r="AQ3111" s="132">
        <f>IF(AP3104&lt;=0,W_max,ABS(AP$23-AP3110))</f>
        <v>7174</v>
      </c>
      <c r="AR3111" s="151">
        <f>AP3099</f>
        <v>75784.603519848053</v>
      </c>
      <c r="AS3111" s="135"/>
      <c r="AT3111" s="132">
        <f>IF(AS3104&lt;=0,W_max,ABS(AS$23-AS3110))</f>
        <v>7174</v>
      </c>
      <c r="AU3111" s="151">
        <f>AS3099</f>
        <v>84550.483311675416</v>
      </c>
    </row>
    <row r="3112" spans="13:47" ht="13" x14ac:dyDescent="0.25">
      <c r="M3112" s="12"/>
      <c r="N3112" s="12"/>
      <c r="O3112" s="12"/>
      <c r="P3112" s="12"/>
      <c r="Q3112" s="12"/>
      <c r="R3112" s="182"/>
      <c r="S3112" s="22"/>
      <c r="T3112" s="152"/>
      <c r="U3112" s="157"/>
      <c r="V3112" s="1"/>
      <c r="W3112" s="147"/>
      <c r="X3112" s="157"/>
      <c r="Y3112" s="1"/>
      <c r="Z3112" s="147"/>
      <c r="AA3112" s="157"/>
      <c r="AB3112" s="1"/>
      <c r="AC3112" s="147"/>
      <c r="AD3112" s="157"/>
      <c r="AE3112" s="1"/>
      <c r="AF3112" s="147"/>
      <c r="AG3112" s="157"/>
      <c r="AH3112" s="1"/>
      <c r="AI3112" s="147"/>
      <c r="AJ3112" s="157"/>
      <c r="AK3112" s="1"/>
      <c r="AL3112" s="147"/>
      <c r="AM3112" s="157"/>
      <c r="AN3112" s="1"/>
      <c r="AO3112" s="147"/>
      <c r="AP3112" s="157"/>
      <c r="AQ3112" s="1"/>
      <c r="AR3112" s="147"/>
      <c r="AS3112" s="157"/>
      <c r="AT3112" s="1"/>
      <c r="AU3112" s="147"/>
    </row>
    <row r="3113" spans="13:47" ht="14" x14ac:dyDescent="0.3">
      <c r="M3113" s="23"/>
      <c r="N3113" s="23"/>
      <c r="O3113" s="23" t="s">
        <v>238</v>
      </c>
      <c r="P3113" s="20"/>
      <c r="Q3113" s="20"/>
      <c r="R3113" s="18">
        <f>R3099*1.02</f>
        <v>892.9831709335574</v>
      </c>
      <c r="S3113" s="128" t="s">
        <v>185</v>
      </c>
      <c r="T3113" s="153" t="s">
        <v>186</v>
      </c>
      <c r="U3113" s="143">
        <f>U3099*1.01</f>
        <v>4147.0554119059952</v>
      </c>
      <c r="V3113" s="128" t="s">
        <v>185</v>
      </c>
      <c r="W3113" s="153" t="s">
        <v>186</v>
      </c>
      <c r="X3113" s="143">
        <f>X3099*1.01</f>
        <v>10256.161539022545</v>
      </c>
      <c r="Y3113" s="128" t="s">
        <v>185</v>
      </c>
      <c r="Z3113" s="153" t="s">
        <v>186</v>
      </c>
      <c r="AA3113" s="143">
        <f>AA3099*1.01</f>
        <v>19976.384839824546</v>
      </c>
      <c r="AB3113" s="128" t="s">
        <v>185</v>
      </c>
      <c r="AC3113" s="153" t="s">
        <v>186</v>
      </c>
      <c r="AD3113" s="143">
        <f>AD3099*1.01</f>
        <v>32853.798192975155</v>
      </c>
      <c r="AE3113" s="128" t="s">
        <v>185</v>
      </c>
      <c r="AF3113" s="153" t="s">
        <v>186</v>
      </c>
      <c r="AG3113" s="143">
        <f>AG3099*1.01</f>
        <v>46079.981253726452</v>
      </c>
      <c r="AH3113" s="128" t="s">
        <v>185</v>
      </c>
      <c r="AI3113" s="153" t="s">
        <v>186</v>
      </c>
      <c r="AJ3113" s="143">
        <f>AJ3099*1.01</f>
        <v>58509.348801557579</v>
      </c>
      <c r="AK3113" s="128" t="s">
        <v>185</v>
      </c>
      <c r="AL3113" s="153" t="s">
        <v>186</v>
      </c>
      <c r="AM3113" s="143">
        <f>AM3099*1.01</f>
        <v>68606.812933098394</v>
      </c>
      <c r="AN3113" s="128" t="s">
        <v>185</v>
      </c>
      <c r="AO3113" s="153" t="s">
        <v>186</v>
      </c>
      <c r="AP3113" s="143">
        <f>AP3099*1.01</f>
        <v>76542.449555046536</v>
      </c>
      <c r="AQ3113" s="128" t="s">
        <v>185</v>
      </c>
      <c r="AR3113" s="153" t="s">
        <v>186</v>
      </c>
      <c r="AS3113" s="143">
        <f>AS3099*1.01</f>
        <v>85395.988144792165</v>
      </c>
      <c r="AT3113" s="128" t="s">
        <v>185</v>
      </c>
      <c r="AU3113" s="153" t="s">
        <v>186</v>
      </c>
    </row>
    <row r="3114" spans="13:47" ht="14" x14ac:dyDescent="0.3">
      <c r="M3114" s="12"/>
      <c r="N3114" s="12"/>
      <c r="O3114" s="20"/>
      <c r="P3114" s="20"/>
      <c r="Q3114" s="23"/>
      <c r="R3114" s="139"/>
      <c r="S3114" s="130" t="s">
        <v>228</v>
      </c>
      <c r="T3114" s="154" t="s">
        <v>187</v>
      </c>
      <c r="U3114" s="144"/>
      <c r="V3114" s="130" t="s">
        <v>228</v>
      </c>
      <c r="W3114" s="154" t="s">
        <v>187</v>
      </c>
      <c r="X3114" s="144"/>
      <c r="Y3114" s="130" t="s">
        <v>228</v>
      </c>
      <c r="Z3114" s="154" t="s">
        <v>187</v>
      </c>
      <c r="AA3114" s="144"/>
      <c r="AB3114" s="130" t="s">
        <v>228</v>
      </c>
      <c r="AC3114" s="154" t="s">
        <v>187</v>
      </c>
      <c r="AD3114" s="144"/>
      <c r="AE3114" s="130" t="s">
        <v>228</v>
      </c>
      <c r="AF3114" s="154" t="s">
        <v>187</v>
      </c>
      <c r="AG3114" s="144"/>
      <c r="AH3114" s="130" t="s">
        <v>228</v>
      </c>
      <c r="AI3114" s="154" t="s">
        <v>187</v>
      </c>
      <c r="AJ3114" s="144"/>
      <c r="AK3114" s="130" t="s">
        <v>228</v>
      </c>
      <c r="AL3114" s="154" t="s">
        <v>187</v>
      </c>
      <c r="AM3114" s="144"/>
      <c r="AN3114" s="130" t="s">
        <v>228</v>
      </c>
      <c r="AO3114" s="154" t="s">
        <v>187</v>
      </c>
      <c r="AP3114" s="144"/>
      <c r="AQ3114" s="130" t="s">
        <v>228</v>
      </c>
      <c r="AR3114" s="154" t="s">
        <v>187</v>
      </c>
      <c r="AS3114" s="144"/>
      <c r="AT3114" s="130" t="s">
        <v>228</v>
      </c>
      <c r="AU3114" s="154" t="s">
        <v>187</v>
      </c>
    </row>
    <row r="3115" spans="13:47" x14ac:dyDescent="0.25">
      <c r="M3115" s="20"/>
      <c r="N3115" s="20"/>
      <c r="O3115" s="7" t="s">
        <v>188</v>
      </c>
      <c r="P3115" s="7"/>
      <c r="Q3115" s="7"/>
      <c r="R3115" s="181">
        <f>P_1_minW-(R3113^2*R_up)+dpup_minQ</f>
        <v>100.20480649431082</v>
      </c>
      <c r="S3115" s="132"/>
      <c r="T3115" s="145"/>
      <c r="U3115" s="138">
        <f>P_1_minW-(U3113^2*R_up)+dpup_minQ</f>
        <v>93.664853321372547</v>
      </c>
      <c r="V3115" s="132"/>
      <c r="W3115" s="145"/>
      <c r="X3115" s="138">
        <f>P_1_minW-(X3113^2*R_up)+dpup_minQ</f>
        <v>58.577487922640316</v>
      </c>
      <c r="Y3115" s="132"/>
      <c r="Z3115" s="145"/>
      <c r="AA3115" s="138">
        <f>P_1_minW-(AA3113^2*R_up)+dpup_minQ</f>
        <v>-58.605497266386706</v>
      </c>
      <c r="AB3115" s="132"/>
      <c r="AC3115" s="145"/>
      <c r="AD3115" s="138">
        <f>P_1_minW-(AD3113^2*R_up)+dpup_minQ</f>
        <v>-329.88959648701098</v>
      </c>
      <c r="AE3115" s="132"/>
      <c r="AF3115" s="145"/>
      <c r="AG3115" s="138">
        <f>P_1_minW-(AG3113^2*R_up)+dpup_minQ</f>
        <v>-746.19400961378153</v>
      </c>
      <c r="AH3115" s="132"/>
      <c r="AI3115" s="145"/>
      <c r="AJ3115" s="138">
        <f>P_1_minW-(AJ3113^2*R_up)+dpup_minQ</f>
        <v>-1264.576112751316</v>
      </c>
      <c r="AK3115" s="132"/>
      <c r="AL3115" s="145"/>
      <c r="AM3115" s="138">
        <f>P_1_minW-(AM3113^2*R_up)+dpup_minQ</f>
        <v>-1776.4072203874157</v>
      </c>
      <c r="AN3115" s="132"/>
      <c r="AO3115" s="145"/>
      <c r="AP3115" s="138">
        <f>P_1_minW-(AP3113^2*R_up)+dpup_minQ</f>
        <v>-2235.7217607731018</v>
      </c>
      <c r="AQ3115" s="132"/>
      <c r="AR3115" s="145"/>
      <c r="AS3115" s="138">
        <f>P_1_minW-(AS3113^2*R_up)+dpup_minQ</f>
        <v>-2807.4378538053711</v>
      </c>
      <c r="AT3115" s="132"/>
      <c r="AU3115" s="145"/>
    </row>
    <row r="3116" spans="13:47" x14ac:dyDescent="0.25">
      <c r="M3116" s="20"/>
      <c r="N3116" s="20"/>
      <c r="O3116" s="7" t="s">
        <v>189</v>
      </c>
      <c r="P3116" s="1"/>
      <c r="Q3116" s="7"/>
      <c r="R3116" s="181">
        <f>P_2_minW+(R3113^2*R_dn)-dpdn_minQ</f>
        <v>50</v>
      </c>
      <c r="S3116" s="132"/>
      <c r="T3116" s="146"/>
      <c r="U3116" s="138">
        <f>P_2_minW+(U3113^2*R_dn)-dpdn_minQ</f>
        <v>50</v>
      </c>
      <c r="V3116" s="132"/>
      <c r="W3116" s="146"/>
      <c r="X3116" s="138">
        <f>P_2_minW+(X3113^2*R_dn)-dpdn_minQ</f>
        <v>50</v>
      </c>
      <c r="Y3116" s="132"/>
      <c r="Z3116" s="146"/>
      <c r="AA3116" s="138">
        <f>P_2_minW+(AA3113^2*R_dn)-dpdn_minQ</f>
        <v>50</v>
      </c>
      <c r="AB3116" s="132"/>
      <c r="AC3116" s="146"/>
      <c r="AD3116" s="138">
        <f>P_2_minW+(AD3113^2*R_dn)-dpdn_minQ</f>
        <v>50</v>
      </c>
      <c r="AE3116" s="132"/>
      <c r="AF3116" s="146"/>
      <c r="AG3116" s="138">
        <f>P_2_minW+(AG3113^2*R_dn)-dpdn_minQ</f>
        <v>50</v>
      </c>
      <c r="AH3116" s="132"/>
      <c r="AI3116" s="146"/>
      <c r="AJ3116" s="138">
        <f>P_2_minW+(AJ3113^2*R_dn)-dpdn_minQ</f>
        <v>50</v>
      </c>
      <c r="AK3116" s="132"/>
      <c r="AL3116" s="146"/>
      <c r="AM3116" s="138">
        <f>P_2_minW+(AM3113^2*R_dn)-dpdn_minQ</f>
        <v>50</v>
      </c>
      <c r="AN3116" s="132"/>
      <c r="AO3116" s="146"/>
      <c r="AP3116" s="138">
        <f>P_2_minW+(AP3113^2*R_dn)-dpdn_minQ</f>
        <v>50</v>
      </c>
      <c r="AQ3116" s="132"/>
      <c r="AR3116" s="146"/>
      <c r="AS3116" s="138">
        <f>P_2_minW+(AS3113^2*R_dn)-dpdn_minQ</f>
        <v>50</v>
      </c>
      <c r="AT3116" s="132"/>
      <c r="AU3116" s="146"/>
    </row>
    <row r="3117" spans="13:47" x14ac:dyDescent="0.25">
      <c r="M3117" s="20"/>
      <c r="N3117" s="20"/>
      <c r="O3117" s="7" t="s">
        <v>234</v>
      </c>
      <c r="P3117" s="1"/>
      <c r="Q3117" s="7"/>
      <c r="R3117" s="179">
        <f>'Valve Sizing'!G$8*R3115/P_1_maxW</f>
        <v>0.48337014616236945</v>
      </c>
      <c r="S3117" s="132"/>
      <c r="T3117" s="146"/>
      <c r="U3117" s="143">
        <f>'Valve Sizing'!$G$8*U3115/P_1_maxW</f>
        <v>0.4518225764230106</v>
      </c>
      <c r="V3117" s="132"/>
      <c r="W3117" s="146"/>
      <c r="X3117" s="143">
        <f>'Valve Sizing'!$G$8*X3115/P_1_maxW</f>
        <v>0.2825673726598999</v>
      </c>
      <c r="Y3117" s="132"/>
      <c r="Z3117" s="146"/>
      <c r="AA3117" s="143">
        <f>'Valve Sizing'!$G$8*AA3115/P_1_maxW</f>
        <v>-0.28270248474737614</v>
      </c>
      <c r="AB3117" s="132"/>
      <c r="AC3117" s="146"/>
      <c r="AD3117" s="143">
        <f>'Valve Sizing'!$G$8*AD3115/P_1_maxW</f>
        <v>-1.5913286802307725</v>
      </c>
      <c r="AE3117" s="132"/>
      <c r="AF3117" s="146"/>
      <c r="AG3117" s="143">
        <f>'Valve Sizing'!$G$8*AG3115/P_1_maxW</f>
        <v>-3.5995070507219267</v>
      </c>
      <c r="AH3117" s="132"/>
      <c r="AI3117" s="146"/>
      <c r="AJ3117" s="143">
        <f>'Valve Sizing'!$G$8*AJ3115/P_1_maxW</f>
        <v>-6.100090024012462</v>
      </c>
      <c r="AK3117" s="132"/>
      <c r="AL3117" s="146"/>
      <c r="AM3117" s="143">
        <f>'Valve Sizing'!$G$8*AM3115/P_1_maxW</f>
        <v>-8.5690721613369369</v>
      </c>
      <c r="AN3117" s="132"/>
      <c r="AO3117" s="146"/>
      <c r="AP3117" s="143">
        <f>'Valve Sizing'!$G$8*AP3115/P_1_maxW</f>
        <v>-10.784723728243918</v>
      </c>
      <c r="AQ3117" s="132"/>
      <c r="AR3117" s="146"/>
      <c r="AS3117" s="143">
        <f>'Valve Sizing'!$G$8*AS3115/P_1_maxW</f>
        <v>-13.542580373255021</v>
      </c>
      <c r="AT3117" s="132"/>
      <c r="AU3117" s="146"/>
    </row>
    <row r="3118" spans="13:47" x14ac:dyDescent="0.25">
      <c r="M3118" s="20"/>
      <c r="N3118" s="20"/>
      <c r="O3118" s="7" t="s">
        <v>190</v>
      </c>
      <c r="P3118" s="1"/>
      <c r="Q3118" s="7"/>
      <c r="R3118" s="181">
        <f>R3115-R3116</f>
        <v>50.204806494310816</v>
      </c>
      <c r="S3118" s="132"/>
      <c r="T3118" s="146"/>
      <c r="U3118" s="138">
        <f>U3115-U3116</f>
        <v>43.664853321372547</v>
      </c>
      <c r="V3118" s="132"/>
      <c r="W3118" s="146"/>
      <c r="X3118" s="138">
        <f>X3115-X3116</f>
        <v>8.5774879226403158</v>
      </c>
      <c r="Y3118" s="132"/>
      <c r="Z3118" s="146"/>
      <c r="AA3118" s="138">
        <f>AA3115-AA3116</f>
        <v>-108.60549726638671</v>
      </c>
      <c r="AB3118" s="132"/>
      <c r="AC3118" s="146"/>
      <c r="AD3118" s="138">
        <f>AD3115-AD3116</f>
        <v>-379.88959648701098</v>
      </c>
      <c r="AE3118" s="132"/>
      <c r="AF3118" s="146"/>
      <c r="AG3118" s="138">
        <f>AG3115-AG3116</f>
        <v>-796.19400961378153</v>
      </c>
      <c r="AH3118" s="132"/>
      <c r="AI3118" s="146"/>
      <c r="AJ3118" s="138">
        <f>AJ3115-AJ3116</f>
        <v>-1314.576112751316</v>
      </c>
      <c r="AK3118" s="132"/>
      <c r="AL3118" s="146"/>
      <c r="AM3118" s="138">
        <f>AM3115-AM3116</f>
        <v>-1826.4072203874157</v>
      </c>
      <c r="AN3118" s="132"/>
      <c r="AO3118" s="146"/>
      <c r="AP3118" s="138">
        <f>AP3115-AP3116</f>
        <v>-2285.7217607731018</v>
      </c>
      <c r="AQ3118" s="132"/>
      <c r="AR3118" s="146"/>
      <c r="AS3118" s="138">
        <f>AS3115-AS3116</f>
        <v>-2857.4378538053711</v>
      </c>
      <c r="AT3118" s="132"/>
      <c r="AU3118" s="146"/>
    </row>
    <row r="3119" spans="13:47" ht="14.5" x14ac:dyDescent="0.35">
      <c r="M3119" s="27"/>
      <c r="N3119" s="27"/>
      <c r="O3119" s="2" t="s">
        <v>191</v>
      </c>
      <c r="P3119" s="10"/>
      <c r="Q3119" s="2"/>
      <c r="R3119" s="181">
        <f>R3118/R3115</f>
        <v>0.50102193947314511</v>
      </c>
      <c r="S3119" s="132"/>
      <c r="T3119" s="146"/>
      <c r="U3119" s="138">
        <f>U3118/U3115</f>
        <v>0.46618183633464416</v>
      </c>
      <c r="V3119" s="132"/>
      <c r="W3119" s="146"/>
      <c r="X3119" s="138">
        <f>X3118/X3115</f>
        <v>0.14642976725065568</v>
      </c>
      <c r="Y3119" s="132"/>
      <c r="Z3119" s="146"/>
      <c r="AA3119" s="138">
        <f>AA3118/AA3115</f>
        <v>1.8531622856594647</v>
      </c>
      <c r="AB3119" s="132"/>
      <c r="AC3119" s="146"/>
      <c r="AD3119" s="138">
        <f>AD3118/AD3115</f>
        <v>1.1515658587977591</v>
      </c>
      <c r="AE3119" s="132"/>
      <c r="AF3119" s="146"/>
      <c r="AG3119" s="138">
        <f>AG3118/AG3115</f>
        <v>1.0670067024873051</v>
      </c>
      <c r="AH3119" s="132"/>
      <c r="AI3119" s="146"/>
      <c r="AJ3119" s="138">
        <f>AJ3118/AJ3115</f>
        <v>1.039538940753211</v>
      </c>
      <c r="AK3119" s="132"/>
      <c r="AL3119" s="146"/>
      <c r="AM3119" s="138">
        <f>AM3118/AM3115</f>
        <v>1.0281466993750992</v>
      </c>
      <c r="AN3119" s="132"/>
      <c r="AO3119" s="146"/>
      <c r="AP3119" s="138">
        <f>AP3118/AP3115</f>
        <v>1.0223641424784049</v>
      </c>
      <c r="AQ3119" s="132"/>
      <c r="AR3119" s="146"/>
      <c r="AS3119" s="138">
        <f>AS3118/AS3115</f>
        <v>1.0178098332371728</v>
      </c>
      <c r="AT3119" s="132"/>
      <c r="AU3119" s="146"/>
    </row>
    <row r="3120" spans="13:47" x14ac:dyDescent="0.25">
      <c r="M3120" s="27"/>
      <c r="N3120" s="27"/>
      <c r="O3120" s="2" t="s">
        <v>26</v>
      </c>
      <c r="P3120" s="7">
        <v>12</v>
      </c>
      <c r="Q3120" s="2"/>
      <c r="R3120" s="181">
        <f>1-R3119/(3*F_GAMMA*R$29)</f>
        <v>0.73906203264752057</v>
      </c>
      <c r="S3120" s="133"/>
      <c r="T3120" s="146"/>
      <c r="U3120" s="138">
        <f>1-U3119/(3*F_GAMMA*U$29)</f>
        <v>0.75726061453711413</v>
      </c>
      <c r="V3120" s="133"/>
      <c r="W3120" s="146"/>
      <c r="X3120" s="138">
        <f>1-X3119/(3*F_GAMMA*X$29)</f>
        <v>0.92261068632813514</v>
      </c>
      <c r="Y3120" s="133"/>
      <c r="Z3120" s="146"/>
      <c r="AA3120" s="138">
        <f>1-AA3119/(3*F_GAMMA*AA$29)</f>
        <v>7.1596862664667915E-3</v>
      </c>
      <c r="AB3120" s="133"/>
      <c r="AC3120" s="146"/>
      <c r="AD3120" s="138">
        <f>1-AD3119/(3*F_GAMMA*AD$29)</f>
        <v>0.36612759252020355</v>
      </c>
      <c r="AE3120" s="133"/>
      <c r="AF3120" s="146"/>
      <c r="AG3120" s="138">
        <f>1-AG3119/(3*F_GAMMA*AG$29)</f>
        <v>0.37917058605336573</v>
      </c>
      <c r="AH3120" s="133"/>
      <c r="AI3120" s="146"/>
      <c r="AJ3120" s="138">
        <f>1-AJ3119/(3*F_GAMMA*AJ$29)</f>
        <v>0.35340980793612697</v>
      </c>
      <c r="AK3120" s="133"/>
      <c r="AL3120" s="146"/>
      <c r="AM3120" s="138">
        <f>1-AM3119/(3*F_GAMMA*AM$29)</f>
        <v>0.30127657521951157</v>
      </c>
      <c r="AN3120" s="133"/>
      <c r="AO3120" s="146"/>
      <c r="AP3120" s="138">
        <f>1-AP3119/(3*F_GAMMA*AP$29)</f>
        <v>0.42582823450306362</v>
      </c>
      <c r="AQ3120" s="133"/>
      <c r="AR3120" s="146"/>
      <c r="AS3120" s="138">
        <f>1-AS3119/(3*F_GAMMA*AS$29)</f>
        <v>0.13224026072158646</v>
      </c>
      <c r="AT3120" s="133"/>
      <c r="AU3120" s="146"/>
    </row>
    <row r="3121" spans="13:47" x14ac:dyDescent="0.25">
      <c r="M3121" s="27"/>
      <c r="N3121" s="27"/>
      <c r="O3121" s="2" t="s">
        <v>71</v>
      </c>
      <c r="P3121" s="85">
        <v>5</v>
      </c>
      <c r="Q3121" s="2"/>
      <c r="R3121" s="179">
        <f>R3113/((N_6*R$27*R3120)*SQRT(R3119*R3115*R3117))</f>
        <v>3.8752307802569894</v>
      </c>
      <c r="S3121" s="133"/>
      <c r="T3121" s="146"/>
      <c r="U3121" s="143">
        <f>U3113/((N_6*U$27*U3120)*SQRT(U3119*U3115*U3117))</f>
        <v>19.492260863244287</v>
      </c>
      <c r="V3121" s="133"/>
      <c r="W3121" s="146"/>
      <c r="X3121" s="143">
        <f>X3113/((N_6*X$27*X3120)*SQRT(X3119*X3115*X3117))</f>
        <v>113.1369440702917</v>
      </c>
      <c r="Y3121" s="133"/>
      <c r="Z3121" s="146"/>
      <c r="AA3121" s="143">
        <f>AA3113/((N_6*AA$27*AA3120)*SQRT(AA3119*AA3115*AA3117))</f>
        <v>8024.2029636211928</v>
      </c>
      <c r="AB3121" s="133"/>
      <c r="AC3121" s="146"/>
      <c r="AD3121" s="143">
        <f>AD3113/((N_6*AD$27*AD3120)*SQRT(AD3119*AD3115*AD3117))</f>
        <v>58.851681860441374</v>
      </c>
      <c r="AE3121" s="133"/>
      <c r="AF3121" s="146"/>
      <c r="AG3121" s="143">
        <f>AG3113/((N_6*AG$27*AG3120)*SQRT(AG3119*AG3115*AG3117))</f>
        <v>37.396573146452546</v>
      </c>
      <c r="AH3121" s="133"/>
      <c r="AI3121" s="146"/>
      <c r="AJ3121" s="143">
        <f>AJ3113/((N_6*AJ$27*AJ3120)*SQRT(AJ3119*AJ3115*AJ3117))</f>
        <v>31.501437504299741</v>
      </c>
      <c r="AK3121" s="133"/>
      <c r="AL3121" s="146"/>
      <c r="AM3121" s="143">
        <f>AM3113/((N_6*AM$27*AM3120)*SQRT(AM3119*AM3115*AM3117))</f>
        <v>32.920400606984941</v>
      </c>
      <c r="AN3121" s="133"/>
      <c r="AO3121" s="146"/>
      <c r="AP3121" s="143">
        <f>AP3113/((N_6*AP$27*AP3120)*SQRT(AP3119*AP3115*AP3117))</f>
        <v>23.519862146720296</v>
      </c>
      <c r="AQ3121" s="133"/>
      <c r="AR3121" s="146"/>
      <c r="AS3121" s="143">
        <f>AS3113/((N_6*AS$27*AS3120)*SQRT(AS3119*AS3115*AS3117))</f>
        <v>88.614572191514299</v>
      </c>
      <c r="AT3121" s="133"/>
      <c r="AU3121" s="146"/>
    </row>
    <row r="3122" spans="13:47" x14ac:dyDescent="0.25">
      <c r="M3122" s="27"/>
      <c r="N3122" s="27"/>
      <c r="O3122" s="2" t="s">
        <v>73</v>
      </c>
      <c r="P3122" s="85">
        <v>5</v>
      </c>
      <c r="Q3122" s="2"/>
      <c r="R3122" s="179">
        <f>R3113/((N_6*R$27*0.667)*SQRT(R3123*R3115*R3117))</f>
        <v>3.7991102248665993</v>
      </c>
      <c r="S3122" s="133"/>
      <c r="T3122" s="155"/>
      <c r="U3122" s="143">
        <f>U3113/((N_6*U$27*0.667)*SQRT(U3123*U3115*U3117))</f>
        <v>18.884804876964907</v>
      </c>
      <c r="V3122" s="133"/>
      <c r="W3122" s="155"/>
      <c r="X3122" s="143">
        <f>X3113/((N_6*X$27*0.667)*SQRT(X3123*X3115*X3117))</f>
        <v>75.404665112363134</v>
      </c>
      <c r="Y3122" s="133"/>
      <c r="Z3122" s="155"/>
      <c r="AA3122" s="143">
        <f>AA3113/((N_6*AA$27*0.667)*SQRT(AA3123*AA3115*AA3117))</f>
        <v>148.65187529635276</v>
      </c>
      <c r="AB3122" s="133"/>
      <c r="AC3122" s="155"/>
      <c r="AD3122" s="143">
        <f>AD3113/((N_6*AD$27*0.667)*SQRT(AD3123*AD3115*AD3117))</f>
        <v>44.547881486013246</v>
      </c>
      <c r="AE3122" s="133"/>
      <c r="AF3122" s="155"/>
      <c r="AG3122" s="143">
        <f>AG3113/((N_6*AG$27*0.667)*SQRT(AG3123*AG3115*AG3117))</f>
        <v>29.012648939720538</v>
      </c>
      <c r="AH3122" s="133"/>
      <c r="AI3122" s="155"/>
      <c r="AJ3122" s="143">
        <f>AJ3113/((N_6*AJ$27*0.667)*SQRT(AJ3123*AJ3115*AJ3117))</f>
        <v>23.246539905723637</v>
      </c>
      <c r="AK3122" s="133"/>
      <c r="AL3122" s="155"/>
      <c r="AM3122" s="143">
        <f>AM3113/((N_6*AM$27*0.667)*SQRT(AM3123*AM3115*AM3117))</f>
        <v>21.528705771961292</v>
      </c>
      <c r="AN3122" s="133"/>
      <c r="AO3122" s="155"/>
      <c r="AP3122" s="143">
        <f>AP3113/((N_6*AP$27*0.667)*SQRT(AP3123*AP3115*AP3117))</f>
        <v>19.707200521959201</v>
      </c>
      <c r="AQ3122" s="133"/>
      <c r="AR3122" s="155"/>
      <c r="AS3122" s="143">
        <f>AS3113/((N_6*AS$27*0.667)*SQRT(AS3123*AS3115*AS3117))</f>
        <v>28.346757193739304</v>
      </c>
      <c r="AT3122" s="133"/>
      <c r="AU3122" s="155"/>
    </row>
    <row r="3123" spans="13:47" ht="15.5" x14ac:dyDescent="0.4">
      <c r="M3123" s="27"/>
      <c r="N3123" s="27"/>
      <c r="O3123" s="2" t="s">
        <v>192</v>
      </c>
      <c r="P3123" s="85">
        <v>10</v>
      </c>
      <c r="Q3123" s="2"/>
      <c r="R3123" s="181">
        <f>F_GAMMA*R$29</f>
        <v>0.64002688015162901</v>
      </c>
      <c r="S3123" s="133"/>
      <c r="T3123" s="155"/>
      <c r="U3123" s="138">
        <f>F_GAMMA*U$29</f>
        <v>0.64016782916606918</v>
      </c>
      <c r="V3123" s="133"/>
      <c r="W3123" s="155"/>
      <c r="X3123" s="138">
        <f>F_GAMMA*X$29</f>
        <v>0.6307062319203669</v>
      </c>
      <c r="Y3123" s="133"/>
      <c r="Z3123" s="155"/>
      <c r="AA3123" s="138">
        <f>F_GAMMA*AA$29</f>
        <v>0.62217534213893466</v>
      </c>
      <c r="AB3123" s="133"/>
      <c r="AC3123" s="155"/>
      <c r="AD3123" s="138">
        <f>F_GAMMA*AD$29</f>
        <v>0.60557184969146072</v>
      </c>
      <c r="AE3123" s="133"/>
      <c r="AF3123" s="155"/>
      <c r="AG3123" s="138">
        <f>F_GAMMA*AG$29</f>
        <v>0.57289312142622573</v>
      </c>
      <c r="AH3123" s="133"/>
      <c r="AI3123" s="155"/>
      <c r="AJ3123" s="138">
        <f>F_GAMMA*AJ$29</f>
        <v>0.53590819116049981</v>
      </c>
      <c r="AK3123" s="133"/>
      <c r="AL3123" s="155"/>
      <c r="AM3123" s="138">
        <f>F_GAMMA*AM$29</f>
        <v>0.49048815926850342</v>
      </c>
      <c r="AN3123" s="133"/>
      <c r="AO3123" s="155"/>
      <c r="AP3123" s="138">
        <f>F_GAMMA*AP$29</f>
        <v>0.59352979016280105</v>
      </c>
      <c r="AQ3123" s="133"/>
      <c r="AR3123" s="155"/>
      <c r="AS3123" s="138">
        <f>F_GAMMA*AS$29</f>
        <v>0.39097221161068291</v>
      </c>
      <c r="AT3123" s="133"/>
      <c r="AU3123" s="155"/>
    </row>
    <row r="3124" spans="13:47" x14ac:dyDescent="0.25">
      <c r="M3124" s="27"/>
      <c r="N3124" s="27"/>
      <c r="O3124" s="2" t="s">
        <v>193</v>
      </c>
      <c r="P3124" s="134"/>
      <c r="Q3124" s="2"/>
      <c r="R3124" s="181">
        <f>IF(R3119&lt;R3123,R3121,R3122)</f>
        <v>3.8752307802569894</v>
      </c>
      <c r="S3124" s="133"/>
      <c r="T3124" s="155"/>
      <c r="U3124" s="138">
        <f>IF(U3119&lt;U3123,U3121,U3122)</f>
        <v>19.492260863244287</v>
      </c>
      <c r="V3124" s="133"/>
      <c r="W3124" s="155"/>
      <c r="X3124" s="138">
        <f>IF(X3119&lt;X3123,X3121,X3122)</f>
        <v>113.1369440702917</v>
      </c>
      <c r="Y3124" s="133"/>
      <c r="Z3124" s="155"/>
      <c r="AA3124" s="138">
        <f>IF(AA3119&lt;AA3123,AA3121,AA3122)</f>
        <v>148.65187529635276</v>
      </c>
      <c r="AB3124" s="133"/>
      <c r="AC3124" s="155"/>
      <c r="AD3124" s="138">
        <f>IF(AD3119&lt;AD3123,AD3121,AD3122)</f>
        <v>44.547881486013246</v>
      </c>
      <c r="AE3124" s="133"/>
      <c r="AF3124" s="155"/>
      <c r="AG3124" s="138">
        <f>IF(AG3119&lt;AG3123,AG3121,AG3122)</f>
        <v>29.012648939720538</v>
      </c>
      <c r="AH3124" s="133"/>
      <c r="AI3124" s="155"/>
      <c r="AJ3124" s="138">
        <f>IF(AJ3119&lt;AJ3123,AJ3121,AJ3122)</f>
        <v>23.246539905723637</v>
      </c>
      <c r="AK3124" s="133"/>
      <c r="AL3124" s="155"/>
      <c r="AM3124" s="138">
        <f>IF(AM3119&lt;AM3123,AM3121,AM3122)</f>
        <v>21.528705771961292</v>
      </c>
      <c r="AN3124" s="133"/>
      <c r="AO3124" s="155"/>
      <c r="AP3124" s="138">
        <f>IF(AP3119&lt;AP3123,AP3121,AP3122)</f>
        <v>19.707200521959201</v>
      </c>
      <c r="AQ3124" s="133"/>
      <c r="AR3124" s="155"/>
      <c r="AS3124" s="138">
        <f>IF(AS3119&lt;AS3123,AS3121,AS3122)</f>
        <v>28.346757193739304</v>
      </c>
      <c r="AT3124" s="133"/>
      <c r="AU3124" s="155"/>
    </row>
    <row r="3125" spans="13:47" ht="13" x14ac:dyDescent="0.3">
      <c r="M3125" s="28"/>
      <c r="N3125" s="28"/>
      <c r="O3125" s="9" t="s">
        <v>194</v>
      </c>
      <c r="P3125" s="1"/>
      <c r="Q3125" s="1"/>
      <c r="R3125" s="135"/>
      <c r="S3125" s="132">
        <f>IF(R3118&lt;=0,W_max,ABS(R$23-R3124))</f>
        <v>1.8752307802569894</v>
      </c>
      <c r="T3125" s="151">
        <f>R3113</f>
        <v>892.9831709335574</v>
      </c>
      <c r="U3125" s="135"/>
      <c r="V3125" s="132">
        <f>IF(U3118&lt;=0,W_max,ABS(U$23-U3124))</f>
        <v>14.492260863244287</v>
      </c>
      <c r="W3125" s="151">
        <f>U3113</f>
        <v>4147.0554119059952</v>
      </c>
      <c r="X3125" s="135"/>
      <c r="Y3125" s="132">
        <f>IF(X3118&lt;=0,W_max,ABS(X$23-X3124))</f>
        <v>103.1369440702917</v>
      </c>
      <c r="Z3125" s="151">
        <f>X3113</f>
        <v>10256.161539022545</v>
      </c>
      <c r="AA3125" s="135"/>
      <c r="AB3125" s="132">
        <f>IF(AA3118&lt;=0,W_max,ABS(AA$23-AA3124))</f>
        <v>7174</v>
      </c>
      <c r="AC3125" s="151">
        <f>AA3113</f>
        <v>19976.384839824546</v>
      </c>
      <c r="AD3125" s="135"/>
      <c r="AE3125" s="132">
        <f>IF(AD3118&lt;=0,W_max,ABS(AD$23-AD3124))</f>
        <v>7174</v>
      </c>
      <c r="AF3125" s="151">
        <f>AD3113</f>
        <v>32853.798192975155</v>
      </c>
      <c r="AG3125" s="135"/>
      <c r="AH3125" s="132">
        <f>IF(AG3118&lt;=0,W_max,ABS(AG$23-AG3124))</f>
        <v>7174</v>
      </c>
      <c r="AI3125" s="151">
        <f>AG3113</f>
        <v>46079.981253726452</v>
      </c>
      <c r="AJ3125" s="135"/>
      <c r="AK3125" s="132">
        <f>IF(AJ3118&lt;=0,W_max,ABS(AJ$23-AJ3124))</f>
        <v>7174</v>
      </c>
      <c r="AL3125" s="151">
        <f>AJ3113</f>
        <v>58509.348801557579</v>
      </c>
      <c r="AM3125" s="135"/>
      <c r="AN3125" s="132">
        <f>IF(AM3118&lt;=0,W_max,ABS(AM$23-AM3124))</f>
        <v>7174</v>
      </c>
      <c r="AO3125" s="151">
        <f>AM3113</f>
        <v>68606.812933098394</v>
      </c>
      <c r="AP3125" s="135"/>
      <c r="AQ3125" s="132">
        <f>IF(AP3118&lt;=0,W_max,ABS(AP$23-AP3124))</f>
        <v>7174</v>
      </c>
      <c r="AR3125" s="151">
        <f>AP3113</f>
        <v>76542.449555046536</v>
      </c>
      <c r="AS3125" s="135"/>
      <c r="AT3125" s="132">
        <f>IF(AS3118&lt;=0,W_max,ABS(AS$23-AS3124))</f>
        <v>7174</v>
      </c>
      <c r="AU3125" s="151">
        <f>AS3113</f>
        <v>85395.988144792165</v>
      </c>
    </row>
    <row r="3126" spans="13:47" ht="13" x14ac:dyDescent="0.25">
      <c r="M3126" s="12"/>
      <c r="N3126" s="12"/>
      <c r="O3126" s="2"/>
      <c r="P3126" s="85"/>
      <c r="Q3126" s="2"/>
      <c r="R3126" s="18"/>
      <c r="S3126" s="150"/>
      <c r="T3126" s="152"/>
      <c r="U3126" s="157"/>
      <c r="V3126" s="1"/>
      <c r="W3126" s="147"/>
      <c r="X3126" s="157"/>
      <c r="Y3126" s="1"/>
      <c r="Z3126" s="147"/>
      <c r="AA3126" s="157"/>
      <c r="AB3126" s="1"/>
      <c r="AC3126" s="147"/>
      <c r="AD3126" s="157"/>
      <c r="AE3126" s="1"/>
      <c r="AF3126" s="147"/>
      <c r="AG3126" s="157"/>
      <c r="AH3126" s="1"/>
      <c r="AI3126" s="147"/>
      <c r="AJ3126" s="157"/>
      <c r="AK3126" s="1"/>
      <c r="AL3126" s="147"/>
      <c r="AM3126" s="157"/>
      <c r="AN3126" s="1"/>
      <c r="AO3126" s="147"/>
      <c r="AP3126" s="157"/>
      <c r="AQ3126" s="1"/>
      <c r="AR3126" s="147"/>
      <c r="AS3126" s="157"/>
      <c r="AT3126" s="1"/>
      <c r="AU3126" s="147"/>
    </row>
    <row r="3127" spans="13:47" ht="14" x14ac:dyDescent="0.3">
      <c r="M3127" s="23"/>
      <c r="N3127" s="23"/>
      <c r="O3127" s="23" t="s">
        <v>238</v>
      </c>
      <c r="P3127" s="20"/>
      <c r="Q3127" s="20"/>
      <c r="R3127" s="181">
        <f>R3113*1.02</f>
        <v>910.84283435222858</v>
      </c>
      <c r="S3127" s="128" t="s">
        <v>185</v>
      </c>
      <c r="T3127" s="153" t="s">
        <v>186</v>
      </c>
      <c r="U3127" s="143">
        <f>U3113*1.01</f>
        <v>4188.5259660250549</v>
      </c>
      <c r="V3127" s="128" t="s">
        <v>185</v>
      </c>
      <c r="W3127" s="153" t="s">
        <v>186</v>
      </c>
      <c r="X3127" s="143">
        <f>X3113*1.01</f>
        <v>10358.72315441277</v>
      </c>
      <c r="Y3127" s="128" t="s">
        <v>185</v>
      </c>
      <c r="Z3127" s="153" t="s">
        <v>186</v>
      </c>
      <c r="AA3127" s="143">
        <f>AA3113*1.01</f>
        <v>20176.148688222791</v>
      </c>
      <c r="AB3127" s="128" t="s">
        <v>185</v>
      </c>
      <c r="AC3127" s="153" t="s">
        <v>186</v>
      </c>
      <c r="AD3127" s="143">
        <f>AD3113*1.01</f>
        <v>33182.336174904907</v>
      </c>
      <c r="AE3127" s="128" t="s">
        <v>185</v>
      </c>
      <c r="AF3127" s="153" t="s">
        <v>186</v>
      </c>
      <c r="AG3127" s="143">
        <f>AG3113*1.01</f>
        <v>46540.781066263713</v>
      </c>
      <c r="AH3127" s="128" t="s">
        <v>185</v>
      </c>
      <c r="AI3127" s="153" t="s">
        <v>186</v>
      </c>
      <c r="AJ3127" s="143">
        <f>AJ3113*1.01</f>
        <v>59094.442289573155</v>
      </c>
      <c r="AK3127" s="128" t="s">
        <v>185</v>
      </c>
      <c r="AL3127" s="153" t="s">
        <v>186</v>
      </c>
      <c r="AM3127" s="143">
        <f>AM3113*1.01</f>
        <v>69292.881062429384</v>
      </c>
      <c r="AN3127" s="128" t="s">
        <v>185</v>
      </c>
      <c r="AO3127" s="153" t="s">
        <v>186</v>
      </c>
      <c r="AP3127" s="143">
        <f>AP3113*1.01</f>
        <v>77307.874050597005</v>
      </c>
      <c r="AQ3127" s="128" t="s">
        <v>185</v>
      </c>
      <c r="AR3127" s="153" t="s">
        <v>186</v>
      </c>
      <c r="AS3127" s="143">
        <f>AS3113*1.01</f>
        <v>86249.94802624009</v>
      </c>
      <c r="AT3127" s="128" t="s">
        <v>185</v>
      </c>
      <c r="AU3127" s="153" t="s">
        <v>186</v>
      </c>
    </row>
    <row r="3128" spans="13:47" ht="14" x14ac:dyDescent="0.3">
      <c r="M3128" s="12"/>
      <c r="N3128" s="12"/>
      <c r="O3128" s="20"/>
      <c r="P3128" s="20"/>
      <c r="Q3128" s="23"/>
      <c r="R3128" s="139"/>
      <c r="S3128" s="130" t="s">
        <v>228</v>
      </c>
      <c r="T3128" s="154" t="s">
        <v>187</v>
      </c>
      <c r="U3128" s="144"/>
      <c r="V3128" s="130" t="s">
        <v>228</v>
      </c>
      <c r="W3128" s="154" t="s">
        <v>187</v>
      </c>
      <c r="X3128" s="144"/>
      <c r="Y3128" s="130" t="s">
        <v>228</v>
      </c>
      <c r="Z3128" s="154" t="s">
        <v>187</v>
      </c>
      <c r="AA3128" s="144"/>
      <c r="AB3128" s="130" t="s">
        <v>228</v>
      </c>
      <c r="AC3128" s="154" t="s">
        <v>187</v>
      </c>
      <c r="AD3128" s="144"/>
      <c r="AE3128" s="130" t="s">
        <v>228</v>
      </c>
      <c r="AF3128" s="154" t="s">
        <v>187</v>
      </c>
      <c r="AG3128" s="144"/>
      <c r="AH3128" s="130" t="s">
        <v>228</v>
      </c>
      <c r="AI3128" s="154" t="s">
        <v>187</v>
      </c>
      <c r="AJ3128" s="144"/>
      <c r="AK3128" s="130" t="s">
        <v>228</v>
      </c>
      <c r="AL3128" s="154" t="s">
        <v>187</v>
      </c>
      <c r="AM3128" s="144"/>
      <c r="AN3128" s="130" t="s">
        <v>228</v>
      </c>
      <c r="AO3128" s="154" t="s">
        <v>187</v>
      </c>
      <c r="AP3128" s="144"/>
      <c r="AQ3128" s="130" t="s">
        <v>228</v>
      </c>
      <c r="AR3128" s="154" t="s">
        <v>187</v>
      </c>
      <c r="AS3128" s="144"/>
      <c r="AT3128" s="130" t="s">
        <v>228</v>
      </c>
      <c r="AU3128" s="154" t="s">
        <v>187</v>
      </c>
    </row>
    <row r="3129" spans="13:47" x14ac:dyDescent="0.25">
      <c r="M3129" s="20"/>
      <c r="N3129" s="20"/>
      <c r="O3129" s="7" t="s">
        <v>188</v>
      </c>
      <c r="P3129" s="7"/>
      <c r="Q3129" s="7"/>
      <c r="R3129" s="181">
        <f>P_1_minW-(R3127^2*R_up)+dpup_minQ</f>
        <v>100.19196009251721</v>
      </c>
      <c r="S3129" s="132"/>
      <c r="T3129" s="145"/>
      <c r="U3129" s="138">
        <f>P_1_minW-(U3127^2*R_up)+dpup_minQ</f>
        <v>93.527008859723935</v>
      </c>
      <c r="V3129" s="132"/>
      <c r="W3129" s="145"/>
      <c r="X3129" s="138">
        <f>P_1_minW-(X3127^2*R_up)+dpup_minQ</f>
        <v>57.73438741647719</v>
      </c>
      <c r="Y3129" s="132"/>
      <c r="Z3129" s="145"/>
      <c r="AA3129" s="138">
        <f>P_1_minW-(AA3127^2*R_up)+dpup_minQ</f>
        <v>-61.803975774849263</v>
      </c>
      <c r="AB3129" s="132"/>
      <c r="AC3129" s="145"/>
      <c r="AD3129" s="138">
        <f>P_1_minW-(AD3127^2*R_up)+dpup_minQ</f>
        <v>-338.54088538980807</v>
      </c>
      <c r="AE3129" s="132"/>
      <c r="AF3129" s="145"/>
      <c r="AG3129" s="138">
        <f>P_1_minW-(AG3127^2*R_up)+dpup_minQ</f>
        <v>-763.21301722042654</v>
      </c>
      <c r="AH3129" s="132"/>
      <c r="AI3129" s="145"/>
      <c r="AJ3129" s="138">
        <f>P_1_minW-(AJ3127^2*R_up)+dpup_minQ</f>
        <v>-1292.0146006310256</v>
      </c>
      <c r="AK3129" s="132"/>
      <c r="AL3129" s="145"/>
      <c r="AM3129" s="138">
        <f>P_1_minW-(AM3127^2*R_up)+dpup_minQ</f>
        <v>-1814.1335135306113</v>
      </c>
      <c r="AN3129" s="132"/>
      <c r="AO3129" s="145"/>
      <c r="AP3129" s="138">
        <f>P_1_minW-(AP3127^2*R_up)+dpup_minQ</f>
        <v>-2282.68027617805</v>
      </c>
      <c r="AQ3129" s="132"/>
      <c r="AR3129" s="145"/>
      <c r="AS3129" s="138">
        <f>P_1_minW-(AS3127^2*R_up)+dpup_minQ</f>
        <v>-2865.8878626802675</v>
      </c>
      <c r="AT3129" s="132"/>
      <c r="AU3129" s="145"/>
    </row>
    <row r="3130" spans="13:47" x14ac:dyDescent="0.25">
      <c r="M3130" s="20"/>
      <c r="N3130" s="20"/>
      <c r="O3130" s="7" t="s">
        <v>189</v>
      </c>
      <c r="P3130" s="1"/>
      <c r="Q3130" s="7"/>
      <c r="R3130" s="181">
        <f>P_2_minW+(R3127^2*R_dn)-dpdn_minQ</f>
        <v>50</v>
      </c>
      <c r="S3130" s="132"/>
      <c r="T3130" s="146"/>
      <c r="U3130" s="138">
        <f>P_2_minW+(U3127^2*R_dn)-dpdn_minQ</f>
        <v>50</v>
      </c>
      <c r="V3130" s="132"/>
      <c r="W3130" s="146"/>
      <c r="X3130" s="138">
        <f>P_2_minW+(X3127^2*R_dn)-dpdn_minQ</f>
        <v>50</v>
      </c>
      <c r="Y3130" s="132"/>
      <c r="Z3130" s="146"/>
      <c r="AA3130" s="138">
        <f>P_2_minW+(AA3127^2*R_dn)-dpdn_minQ</f>
        <v>50</v>
      </c>
      <c r="AB3130" s="132"/>
      <c r="AC3130" s="146"/>
      <c r="AD3130" s="138">
        <f>P_2_minW+(AD3127^2*R_dn)-dpdn_minQ</f>
        <v>50</v>
      </c>
      <c r="AE3130" s="132"/>
      <c r="AF3130" s="146"/>
      <c r="AG3130" s="138">
        <f>P_2_minW+(AG3127^2*R_dn)-dpdn_minQ</f>
        <v>50</v>
      </c>
      <c r="AH3130" s="132"/>
      <c r="AI3130" s="146"/>
      <c r="AJ3130" s="138">
        <f>P_2_minW+(AJ3127^2*R_dn)-dpdn_minQ</f>
        <v>50</v>
      </c>
      <c r="AK3130" s="132"/>
      <c r="AL3130" s="146"/>
      <c r="AM3130" s="138">
        <f>P_2_minW+(AM3127^2*R_dn)-dpdn_minQ</f>
        <v>50</v>
      </c>
      <c r="AN3130" s="132"/>
      <c r="AO3130" s="146"/>
      <c r="AP3130" s="138">
        <f>P_2_minW+(AP3127^2*R_dn)-dpdn_minQ</f>
        <v>50</v>
      </c>
      <c r="AQ3130" s="132"/>
      <c r="AR3130" s="146"/>
      <c r="AS3130" s="138">
        <f>P_2_minW+(AS3127^2*R_dn)-dpdn_minQ</f>
        <v>50</v>
      </c>
      <c r="AT3130" s="132"/>
      <c r="AU3130" s="146"/>
    </row>
    <row r="3131" spans="13:47" x14ac:dyDescent="0.25">
      <c r="M3131" s="20"/>
      <c r="N3131" s="20"/>
      <c r="O3131" s="7" t="s">
        <v>234</v>
      </c>
      <c r="P3131" s="1"/>
      <c r="Q3131" s="7"/>
      <c r="R3131" s="179">
        <f>'Valve Sizing'!G$8*R3129/P_1_maxW</f>
        <v>0.48330817740727794</v>
      </c>
      <c r="S3131" s="132"/>
      <c r="T3131" s="146"/>
      <c r="U3131" s="143">
        <f>'Valve Sizing'!$G$8*U3129/P_1_maxW</f>
        <v>0.45115763928171149</v>
      </c>
      <c r="V3131" s="132"/>
      <c r="W3131" s="146"/>
      <c r="X3131" s="143">
        <f>'Valve Sizing'!$G$8*X3129/P_1_maxW</f>
        <v>0.27850040592296221</v>
      </c>
      <c r="Y3131" s="132"/>
      <c r="Z3131" s="146"/>
      <c r="AA3131" s="143">
        <f>'Valve Sizing'!$G$8*AA3129/P_1_maxW</f>
        <v>-0.29813137561820002</v>
      </c>
      <c r="AB3131" s="132"/>
      <c r="AC3131" s="146"/>
      <c r="AD3131" s="143">
        <f>'Valve Sizing'!$G$8*AD3129/P_1_maxW</f>
        <v>-1.6330609576308124</v>
      </c>
      <c r="AE3131" s="132"/>
      <c r="AF3131" s="146"/>
      <c r="AG3131" s="143">
        <f>'Valve Sizing'!$G$8*AG3129/P_1_maxW</f>
        <v>-3.6816037133688377</v>
      </c>
      <c r="AH3131" s="132"/>
      <c r="AI3131" s="146"/>
      <c r="AJ3131" s="143">
        <f>'Valve Sizing'!$G$8*AJ3129/P_1_maxW</f>
        <v>-6.2324484044225139</v>
      </c>
      <c r="AK3131" s="132"/>
      <c r="AL3131" s="146"/>
      <c r="AM3131" s="143">
        <f>'Valve Sizing'!$G$8*AM3129/P_1_maxW</f>
        <v>-8.7510570827072129</v>
      </c>
      <c r="AN3131" s="132"/>
      <c r="AO3131" s="146"/>
      <c r="AP3131" s="143">
        <f>'Valve Sizing'!$G$8*AP3129/P_1_maxW</f>
        <v>-11.011243246109027</v>
      </c>
      <c r="AQ3131" s="132"/>
      <c r="AR3131" s="146"/>
      <c r="AS3131" s="143">
        <f>'Valve Sizing'!$G$8*AS3129/P_1_maxW</f>
        <v>-13.82453280968485</v>
      </c>
      <c r="AT3131" s="132"/>
      <c r="AU3131" s="146"/>
    </row>
    <row r="3132" spans="13:47" x14ac:dyDescent="0.25">
      <c r="M3132" s="20"/>
      <c r="N3132" s="20"/>
      <c r="O3132" s="7" t="s">
        <v>190</v>
      </c>
      <c r="P3132" s="1"/>
      <c r="Q3132" s="7"/>
      <c r="R3132" s="181">
        <f>R3129-R3130</f>
        <v>50.191960092517206</v>
      </c>
      <c r="S3132" s="132"/>
      <c r="T3132" s="146"/>
      <c r="U3132" s="138">
        <f>U3129-U3130</f>
        <v>43.527008859723935</v>
      </c>
      <c r="V3132" s="132"/>
      <c r="W3132" s="146"/>
      <c r="X3132" s="138">
        <f>X3129-X3130</f>
        <v>7.7343874164771904</v>
      </c>
      <c r="Y3132" s="132"/>
      <c r="Z3132" s="146"/>
      <c r="AA3132" s="138">
        <f>AA3129-AA3130</f>
        <v>-111.80397577484926</v>
      </c>
      <c r="AB3132" s="132"/>
      <c r="AC3132" s="146"/>
      <c r="AD3132" s="138">
        <f>AD3129-AD3130</f>
        <v>-388.54088538980807</v>
      </c>
      <c r="AE3132" s="132"/>
      <c r="AF3132" s="146"/>
      <c r="AG3132" s="138">
        <f>AG3129-AG3130</f>
        <v>-813.21301722042654</v>
      </c>
      <c r="AH3132" s="132"/>
      <c r="AI3132" s="146"/>
      <c r="AJ3132" s="138">
        <f>AJ3129-AJ3130</f>
        <v>-1342.0146006310256</v>
      </c>
      <c r="AK3132" s="132"/>
      <c r="AL3132" s="146"/>
      <c r="AM3132" s="138">
        <f>AM3129-AM3130</f>
        <v>-1864.1335135306113</v>
      </c>
      <c r="AN3132" s="132"/>
      <c r="AO3132" s="146"/>
      <c r="AP3132" s="138">
        <f>AP3129-AP3130</f>
        <v>-2332.68027617805</v>
      </c>
      <c r="AQ3132" s="132"/>
      <c r="AR3132" s="146"/>
      <c r="AS3132" s="138">
        <f>AS3129-AS3130</f>
        <v>-2915.8878626802675</v>
      </c>
      <c r="AT3132" s="132"/>
      <c r="AU3132" s="146"/>
    </row>
    <row r="3133" spans="13:47" ht="14.5" x14ac:dyDescent="0.35">
      <c r="M3133" s="27"/>
      <c r="N3133" s="27"/>
      <c r="O3133" s="2" t="s">
        <v>191</v>
      </c>
      <c r="P3133" s="10"/>
      <c r="Q3133" s="2"/>
      <c r="R3133" s="181">
        <f>R3132/R3129</f>
        <v>0.50095796155869166</v>
      </c>
      <c r="S3133" s="132"/>
      <c r="T3133" s="146"/>
      <c r="U3133" s="138">
        <f>U3132/U3129</f>
        <v>0.46539507026262034</v>
      </c>
      <c r="V3133" s="132"/>
      <c r="W3133" s="146"/>
      <c r="X3133" s="138">
        <f>X3132/X3129</f>
        <v>0.13396500357202756</v>
      </c>
      <c r="Y3133" s="132"/>
      <c r="Z3133" s="146"/>
      <c r="AA3133" s="138">
        <f>AA3132/AA3129</f>
        <v>1.8090094427282328</v>
      </c>
      <c r="AB3133" s="132"/>
      <c r="AC3133" s="146"/>
      <c r="AD3133" s="138">
        <f>AD3132/AD3129</f>
        <v>1.147692648533214</v>
      </c>
      <c r="AE3133" s="132"/>
      <c r="AF3133" s="146"/>
      <c r="AG3133" s="138">
        <f>AG3132/AG3129</f>
        <v>1.065512509446048</v>
      </c>
      <c r="AH3133" s="132"/>
      <c r="AI3133" s="146"/>
      <c r="AJ3133" s="138">
        <f>AJ3132/AJ3129</f>
        <v>1.0386992530700347</v>
      </c>
      <c r="AK3133" s="132"/>
      <c r="AL3133" s="146"/>
      <c r="AM3133" s="138">
        <f>AM3132/AM3129</f>
        <v>1.027561367246169</v>
      </c>
      <c r="AN3133" s="132"/>
      <c r="AO3133" s="146"/>
      <c r="AP3133" s="138">
        <f>AP3132/AP3129</f>
        <v>1.0219040750129564</v>
      </c>
      <c r="AQ3133" s="132"/>
      <c r="AR3133" s="146"/>
      <c r="AS3133" s="138">
        <f>AS3132/AS3129</f>
        <v>1.0174466002843665</v>
      </c>
      <c r="AT3133" s="132"/>
      <c r="AU3133" s="146"/>
    </row>
    <row r="3134" spans="13:47" x14ac:dyDescent="0.25">
      <c r="M3134" s="27"/>
      <c r="N3134" s="27"/>
      <c r="O3134" s="2" t="s">
        <v>26</v>
      </c>
      <c r="P3134" s="7">
        <v>12</v>
      </c>
      <c r="Q3134" s="2"/>
      <c r="R3134" s="181">
        <f>1-R3133/(3*F_GAMMA*R$29)</f>
        <v>0.73909535307849905</v>
      </c>
      <c r="S3134" s="133"/>
      <c r="T3134" s="146"/>
      <c r="U3134" s="138">
        <f>1-U3133/(3*F_GAMMA*U$29)</f>
        <v>0.75767028110483725</v>
      </c>
      <c r="V3134" s="133"/>
      <c r="W3134" s="146"/>
      <c r="X3134" s="138">
        <f>1-X3133/(3*F_GAMMA*X$29)</f>
        <v>0.92919841452222407</v>
      </c>
      <c r="Y3134" s="133"/>
      <c r="Z3134" s="146"/>
      <c r="AA3134" s="138">
        <f>1-AA3133/(3*F_GAMMA*AA$29)</f>
        <v>3.0814777224931866E-2</v>
      </c>
      <c r="AB3134" s="133"/>
      <c r="AC3134" s="146"/>
      <c r="AD3134" s="138">
        <f>1-AD3133/(3*F_GAMMA*AD$29)</f>
        <v>0.36825957750074623</v>
      </c>
      <c r="AE3134" s="133"/>
      <c r="AF3134" s="146"/>
      <c r="AG3134" s="138">
        <f>1-AG3133/(3*F_GAMMA*AG$29)</f>
        <v>0.38003997046113414</v>
      </c>
      <c r="AH3134" s="133"/>
      <c r="AI3134" s="146"/>
      <c r="AJ3134" s="138">
        <f>1-AJ3133/(3*F_GAMMA*AJ$29)</f>
        <v>0.35393209122831915</v>
      </c>
      <c r="AK3134" s="133"/>
      <c r="AL3134" s="146"/>
      <c r="AM3134" s="138">
        <f>1-AM3133/(3*F_GAMMA*AM$29)</f>
        <v>0.30167436404673709</v>
      </c>
      <c r="AN3134" s="133"/>
      <c r="AO3134" s="146"/>
      <c r="AP3134" s="138">
        <f>1-AP3133/(3*F_GAMMA*AP$29)</f>
        <v>0.4260866138200885</v>
      </c>
      <c r="AQ3134" s="133"/>
      <c r="AR3134" s="146"/>
      <c r="AS3134" s="138">
        <f>1-AS3133/(3*F_GAMMA*AS$29)</f>
        <v>0.13254994424215338</v>
      </c>
      <c r="AT3134" s="133"/>
      <c r="AU3134" s="146"/>
    </row>
    <row r="3135" spans="13:47" x14ac:dyDescent="0.25">
      <c r="M3135" s="27"/>
      <c r="N3135" s="27"/>
      <c r="O3135" s="2" t="s">
        <v>71</v>
      </c>
      <c r="P3135" s="85">
        <v>5</v>
      </c>
      <c r="Q3135" s="2"/>
      <c r="R3135" s="179">
        <f>R3127/((N_6*R$27*R3134)*SQRT(R3133*R3129*R3131))</f>
        <v>3.953316401437776</v>
      </c>
      <c r="S3135" s="133"/>
      <c r="T3135" s="146"/>
      <c r="U3135" s="143">
        <f>U3127/((N_6*U$27*U3134)*SQRT(U3133*U3129*U3131))</f>
        <v>19.722188366205376</v>
      </c>
      <c r="V3135" s="133"/>
      <c r="W3135" s="146"/>
      <c r="X3135" s="143">
        <f>X3127/((N_6*X$27*X3134)*SQRT(X3133*X3129*X3131))</f>
        <v>120.35136635876169</v>
      </c>
      <c r="Y3135" s="133"/>
      <c r="Z3135" s="146"/>
      <c r="AA3135" s="143">
        <f>AA3127/((N_6*AA$27*AA3134)*SQRT(AA3133*AA3129*AA3131))</f>
        <v>1807.2427454285862</v>
      </c>
      <c r="AB3135" s="133"/>
      <c r="AC3135" s="146"/>
      <c r="AD3135" s="143">
        <f>AD3127/((N_6*AD$27*AD3134)*SQRT(AD3133*AD3129*AD3131))</f>
        <v>57.682987631667196</v>
      </c>
      <c r="AE3135" s="133"/>
      <c r="AF3135" s="146"/>
      <c r="AG3135" s="143">
        <f>AG3127/((N_6*AG$27*AG3134)*SQRT(AG3133*AG3129*AG3131))</f>
        <v>36.8696344490345</v>
      </c>
      <c r="AH3135" s="133"/>
      <c r="AI3135" s="146"/>
      <c r="AJ3135" s="143">
        <f>AJ3127/((N_6*AJ$27*AJ3134)*SQRT(AJ3133*AJ3129*AJ3131))</f>
        <v>31.107379396846653</v>
      </c>
      <c r="AK3135" s="133"/>
      <c r="AL3135" s="146"/>
      <c r="AM3135" s="143">
        <f>AM3127/((N_6*AM$27*AM3134)*SQRT(AM3133*AM3129*AM3131))</f>
        <v>32.524481920260961</v>
      </c>
      <c r="AN3135" s="133"/>
      <c r="AO3135" s="146"/>
      <c r="AP3135" s="143">
        <f>AP3127/((N_6*AP$27*AP3134)*SQRT(AP3133*AP3129*AP3131))</f>
        <v>23.257504623033338</v>
      </c>
      <c r="AQ3135" s="133"/>
      <c r="AR3135" s="146"/>
      <c r="AS3135" s="143">
        <f>AS3127/((N_6*AS$27*AS3134)*SQRT(AS3133*AS3129*AS3131))</f>
        <v>87.486115409521005</v>
      </c>
      <c r="AT3135" s="133"/>
      <c r="AU3135" s="146"/>
    </row>
    <row r="3136" spans="13:47" x14ac:dyDescent="0.25">
      <c r="M3136" s="27"/>
      <c r="N3136" s="27"/>
      <c r="O3136" s="2" t="s">
        <v>73</v>
      </c>
      <c r="P3136" s="85">
        <v>5</v>
      </c>
      <c r="Q3136" s="2"/>
      <c r="R3136" s="179">
        <f>R3127/((N_6*R$27*0.667)*SQRT(R3137*R3129*R3131))</f>
        <v>3.8755892855417029</v>
      </c>
      <c r="S3136" s="133"/>
      <c r="T3136" s="155"/>
      <c r="U3136" s="143">
        <f>U3127/((N_6*U$27*0.667)*SQRT(U3137*U3129*U3131))</f>
        <v>19.101764563765911</v>
      </c>
      <c r="V3136" s="133"/>
      <c r="W3136" s="155"/>
      <c r="X3136" s="143">
        <f>X3127/((N_6*X$27*0.667)*SQRT(X3137*X3129*X3131))</f>
        <v>77.27086435243416</v>
      </c>
      <c r="Y3136" s="133"/>
      <c r="Z3136" s="155"/>
      <c r="AA3136" s="143">
        <f>AA3127/((N_6*AA$27*0.667)*SQRT(AA3137*AA3129*AA3131))</f>
        <v>142.36843393524154</v>
      </c>
      <c r="AB3136" s="133"/>
      <c r="AC3136" s="155"/>
      <c r="AD3136" s="143">
        <f>AD3127/((N_6*AD$27*0.667)*SQRT(AD3137*AD3129*AD3131))</f>
        <v>43.843571381811806</v>
      </c>
      <c r="AE3136" s="133"/>
      <c r="AF3136" s="155"/>
      <c r="AG3136" s="143">
        <f>AG3127/((N_6*AG$27*0.667)*SQRT(AG3137*AG3129*AG3131))</f>
        <v>28.649348211982197</v>
      </c>
      <c r="AH3136" s="133"/>
      <c r="AI3136" s="155"/>
      <c r="AJ3136" s="143">
        <f>AJ3127/((N_6*AJ$27*0.667)*SQRT(AJ3137*AJ3129*AJ3131))</f>
        <v>22.980382145129099</v>
      </c>
      <c r="AK3136" s="133"/>
      <c r="AL3136" s="155"/>
      <c r="AM3136" s="143">
        <f>AM3127/((N_6*AM$27*0.667)*SQRT(AM3137*AM3129*AM3131))</f>
        <v>21.291809877611627</v>
      </c>
      <c r="AN3136" s="133"/>
      <c r="AO3136" s="155"/>
      <c r="AP3136" s="143">
        <f>AP3127/((N_6*AP$27*0.667)*SQRT(AP3137*AP3129*AP3131))</f>
        <v>19.494808662332698</v>
      </c>
      <c r="AQ3136" s="133"/>
      <c r="AR3136" s="155"/>
      <c r="AS3136" s="143">
        <f>AS3127/((N_6*AS$27*0.667)*SQRT(AS3137*AS3129*AS3131))</f>
        <v>28.046309074684157</v>
      </c>
      <c r="AT3136" s="133"/>
      <c r="AU3136" s="155"/>
    </row>
    <row r="3137" spans="13:47" ht="15.5" x14ac:dyDescent="0.4">
      <c r="M3137" s="27"/>
      <c r="N3137" s="27"/>
      <c r="O3137" s="2" t="s">
        <v>192</v>
      </c>
      <c r="P3137" s="85">
        <v>10</v>
      </c>
      <c r="Q3137" s="2"/>
      <c r="R3137" s="181">
        <f>F_GAMMA*R$29</f>
        <v>0.64002688015162901</v>
      </c>
      <c r="S3137" s="133"/>
      <c r="T3137" s="155"/>
      <c r="U3137" s="138">
        <f>F_GAMMA*U$29</f>
        <v>0.64016782916606918</v>
      </c>
      <c r="V3137" s="133"/>
      <c r="W3137" s="155"/>
      <c r="X3137" s="138">
        <f>F_GAMMA*X$29</f>
        <v>0.6307062319203669</v>
      </c>
      <c r="Y3137" s="133"/>
      <c r="Z3137" s="155"/>
      <c r="AA3137" s="138">
        <f>F_GAMMA*AA$29</f>
        <v>0.62217534213893466</v>
      </c>
      <c r="AB3137" s="133"/>
      <c r="AC3137" s="155"/>
      <c r="AD3137" s="138">
        <f>F_GAMMA*AD$29</f>
        <v>0.60557184969146072</v>
      </c>
      <c r="AE3137" s="133"/>
      <c r="AF3137" s="155"/>
      <c r="AG3137" s="138">
        <f>F_GAMMA*AG$29</f>
        <v>0.57289312142622573</v>
      </c>
      <c r="AH3137" s="133"/>
      <c r="AI3137" s="155"/>
      <c r="AJ3137" s="138">
        <f>F_GAMMA*AJ$29</f>
        <v>0.53590819116049981</v>
      </c>
      <c r="AK3137" s="133"/>
      <c r="AL3137" s="155"/>
      <c r="AM3137" s="138">
        <f>F_GAMMA*AM$29</f>
        <v>0.49048815926850342</v>
      </c>
      <c r="AN3137" s="133"/>
      <c r="AO3137" s="155"/>
      <c r="AP3137" s="138">
        <f>F_GAMMA*AP$29</f>
        <v>0.59352979016280105</v>
      </c>
      <c r="AQ3137" s="133"/>
      <c r="AR3137" s="155"/>
      <c r="AS3137" s="138">
        <f>F_GAMMA*AS$29</f>
        <v>0.39097221161068291</v>
      </c>
      <c r="AT3137" s="133"/>
      <c r="AU3137" s="155"/>
    </row>
    <row r="3138" spans="13:47" x14ac:dyDescent="0.25">
      <c r="M3138" s="27"/>
      <c r="N3138" s="27"/>
      <c r="O3138" s="2" t="s">
        <v>193</v>
      </c>
      <c r="P3138" s="134"/>
      <c r="Q3138" s="2"/>
      <c r="R3138" s="181">
        <f>IF(R3133&lt;R3137,R3135,R3136)</f>
        <v>3.953316401437776</v>
      </c>
      <c r="S3138" s="133"/>
      <c r="T3138" s="155"/>
      <c r="U3138" s="138">
        <f>IF(U3133&lt;U3137,U3135,U3136)</f>
        <v>19.722188366205376</v>
      </c>
      <c r="V3138" s="133"/>
      <c r="W3138" s="155"/>
      <c r="X3138" s="138">
        <f>IF(X3133&lt;X3137,X3135,X3136)</f>
        <v>120.35136635876169</v>
      </c>
      <c r="Y3138" s="133"/>
      <c r="Z3138" s="155"/>
      <c r="AA3138" s="138">
        <f>IF(AA3133&lt;AA3137,AA3135,AA3136)</f>
        <v>142.36843393524154</v>
      </c>
      <c r="AB3138" s="133"/>
      <c r="AC3138" s="155"/>
      <c r="AD3138" s="138">
        <f>IF(AD3133&lt;AD3137,AD3135,AD3136)</f>
        <v>43.843571381811806</v>
      </c>
      <c r="AE3138" s="133"/>
      <c r="AF3138" s="155"/>
      <c r="AG3138" s="138">
        <f>IF(AG3133&lt;AG3137,AG3135,AG3136)</f>
        <v>28.649348211982197</v>
      </c>
      <c r="AH3138" s="133"/>
      <c r="AI3138" s="155"/>
      <c r="AJ3138" s="138">
        <f>IF(AJ3133&lt;AJ3137,AJ3135,AJ3136)</f>
        <v>22.980382145129099</v>
      </c>
      <c r="AK3138" s="133"/>
      <c r="AL3138" s="155"/>
      <c r="AM3138" s="138">
        <f>IF(AM3133&lt;AM3137,AM3135,AM3136)</f>
        <v>21.291809877611627</v>
      </c>
      <c r="AN3138" s="133"/>
      <c r="AO3138" s="155"/>
      <c r="AP3138" s="138">
        <f>IF(AP3133&lt;AP3137,AP3135,AP3136)</f>
        <v>19.494808662332698</v>
      </c>
      <c r="AQ3138" s="133"/>
      <c r="AR3138" s="155"/>
      <c r="AS3138" s="138">
        <f>IF(AS3133&lt;AS3137,AS3135,AS3136)</f>
        <v>28.046309074684157</v>
      </c>
      <c r="AT3138" s="133"/>
      <c r="AU3138" s="155"/>
    </row>
    <row r="3139" spans="13:47" ht="13" x14ac:dyDescent="0.3">
      <c r="M3139" s="28"/>
      <c r="N3139" s="28"/>
      <c r="O3139" s="9" t="s">
        <v>194</v>
      </c>
      <c r="P3139" s="1"/>
      <c r="Q3139" s="1"/>
      <c r="R3139" s="135"/>
      <c r="S3139" s="132">
        <f>IF(R3132&lt;=0,W_max,ABS(R$23-R3138))</f>
        <v>1.953316401437776</v>
      </c>
      <c r="T3139" s="151">
        <f>R3127</f>
        <v>910.84283435222858</v>
      </c>
      <c r="U3139" s="135"/>
      <c r="V3139" s="132">
        <f>IF(U3132&lt;=0,W_max,ABS(U$23-U3138))</f>
        <v>14.722188366205376</v>
      </c>
      <c r="W3139" s="151">
        <f>U3127</f>
        <v>4188.5259660250549</v>
      </c>
      <c r="X3139" s="135"/>
      <c r="Y3139" s="132">
        <f>IF(X3132&lt;=0,W_max,ABS(X$23-X3138))</f>
        <v>110.35136635876169</v>
      </c>
      <c r="Z3139" s="151">
        <f>X3127</f>
        <v>10358.72315441277</v>
      </c>
      <c r="AA3139" s="135"/>
      <c r="AB3139" s="132">
        <f>IF(AA3132&lt;=0,W_max,ABS(AA$23-AA3138))</f>
        <v>7174</v>
      </c>
      <c r="AC3139" s="151">
        <f>AA3127</f>
        <v>20176.148688222791</v>
      </c>
      <c r="AD3139" s="135"/>
      <c r="AE3139" s="132">
        <f>IF(AD3132&lt;=0,W_max,ABS(AD$23-AD3138))</f>
        <v>7174</v>
      </c>
      <c r="AF3139" s="151">
        <f>AD3127</f>
        <v>33182.336174904907</v>
      </c>
      <c r="AG3139" s="135"/>
      <c r="AH3139" s="132">
        <f>IF(AG3132&lt;=0,W_max,ABS(AG$23-AG3138))</f>
        <v>7174</v>
      </c>
      <c r="AI3139" s="151">
        <f>AG3127</f>
        <v>46540.781066263713</v>
      </c>
      <c r="AJ3139" s="135"/>
      <c r="AK3139" s="132">
        <f>IF(AJ3132&lt;=0,W_max,ABS(AJ$23-AJ3138))</f>
        <v>7174</v>
      </c>
      <c r="AL3139" s="151">
        <f>AJ3127</f>
        <v>59094.442289573155</v>
      </c>
      <c r="AM3139" s="135"/>
      <c r="AN3139" s="132">
        <f>IF(AM3132&lt;=0,W_max,ABS(AM$23-AM3138))</f>
        <v>7174</v>
      </c>
      <c r="AO3139" s="151">
        <f>AM3127</f>
        <v>69292.881062429384</v>
      </c>
      <c r="AP3139" s="135"/>
      <c r="AQ3139" s="132">
        <f>IF(AP3132&lt;=0,W_max,ABS(AP$23-AP3138))</f>
        <v>7174</v>
      </c>
      <c r="AR3139" s="151">
        <f>AP3127</f>
        <v>77307.874050597005</v>
      </c>
      <c r="AS3139" s="135"/>
      <c r="AT3139" s="132">
        <f>IF(AS3132&lt;=0,W_max,ABS(AS$23-AS3138))</f>
        <v>7174</v>
      </c>
      <c r="AU3139" s="151">
        <f>AS3127</f>
        <v>86249.94802624009</v>
      </c>
    </row>
    <row r="3140" spans="13:47" ht="13" x14ac:dyDescent="0.25">
      <c r="M3140" s="12"/>
      <c r="N3140" s="12"/>
      <c r="O3140" s="2"/>
      <c r="P3140" s="85"/>
      <c r="Q3140" s="2"/>
      <c r="R3140" s="18"/>
      <c r="S3140" s="150"/>
      <c r="T3140" s="148"/>
      <c r="U3140" s="157"/>
      <c r="V3140" s="1"/>
      <c r="W3140" s="147"/>
      <c r="X3140" s="157"/>
      <c r="Y3140" s="1"/>
      <c r="Z3140" s="147"/>
      <c r="AA3140" s="157"/>
      <c r="AB3140" s="1"/>
      <c r="AC3140" s="147"/>
      <c r="AD3140" s="157"/>
      <c r="AE3140" s="1"/>
      <c r="AF3140" s="147"/>
      <c r="AG3140" s="157"/>
      <c r="AH3140" s="1"/>
      <c r="AI3140" s="147"/>
      <c r="AJ3140" s="157"/>
      <c r="AK3140" s="1"/>
      <c r="AL3140" s="147"/>
      <c r="AM3140" s="157"/>
      <c r="AN3140" s="1"/>
      <c r="AO3140" s="147"/>
      <c r="AP3140" s="157"/>
      <c r="AQ3140" s="1"/>
      <c r="AR3140" s="147"/>
      <c r="AS3140" s="157"/>
      <c r="AT3140" s="1"/>
      <c r="AU3140" s="147"/>
    </row>
    <row r="3141" spans="13:47" ht="14" x14ac:dyDescent="0.3">
      <c r="M3141" s="23"/>
      <c r="N3141" s="23"/>
      <c r="O3141" s="23" t="s">
        <v>238</v>
      </c>
      <c r="P3141" s="20"/>
      <c r="Q3141" s="20"/>
      <c r="R3141" s="181">
        <f>R3127*1.02</f>
        <v>929.05969103927316</v>
      </c>
      <c r="S3141" s="128" t="s">
        <v>185</v>
      </c>
      <c r="T3141" s="149" t="s">
        <v>186</v>
      </c>
      <c r="U3141" s="143">
        <f>U3127*1.01</f>
        <v>4230.4112256853059</v>
      </c>
      <c r="V3141" s="128" t="s">
        <v>185</v>
      </c>
      <c r="W3141" s="153" t="s">
        <v>186</v>
      </c>
      <c r="X3141" s="143">
        <f>X3127*1.01</f>
        <v>10462.310385956898</v>
      </c>
      <c r="Y3141" s="128" t="s">
        <v>185</v>
      </c>
      <c r="Z3141" s="153" t="s">
        <v>186</v>
      </c>
      <c r="AA3141" s="143">
        <f>AA3127*1.01</f>
        <v>20377.910175105018</v>
      </c>
      <c r="AB3141" s="128" t="s">
        <v>185</v>
      </c>
      <c r="AC3141" s="153" t="s">
        <v>186</v>
      </c>
      <c r="AD3141" s="143">
        <f>AD3127*1.01</f>
        <v>33514.159536653955</v>
      </c>
      <c r="AE3141" s="128" t="s">
        <v>185</v>
      </c>
      <c r="AF3141" s="153" t="s">
        <v>186</v>
      </c>
      <c r="AG3141" s="143">
        <f>AG3127*1.01</f>
        <v>47006.188876926353</v>
      </c>
      <c r="AH3141" s="128" t="s">
        <v>185</v>
      </c>
      <c r="AI3141" s="153" t="s">
        <v>186</v>
      </c>
      <c r="AJ3141" s="143">
        <f>AJ3127*1.01</f>
        <v>59685.386712468884</v>
      </c>
      <c r="AK3141" s="128" t="s">
        <v>185</v>
      </c>
      <c r="AL3141" s="153" t="s">
        <v>186</v>
      </c>
      <c r="AM3141" s="143">
        <f>AM3127*1.01</f>
        <v>69985.809873053673</v>
      </c>
      <c r="AN3141" s="128" t="s">
        <v>185</v>
      </c>
      <c r="AO3141" s="153" t="s">
        <v>186</v>
      </c>
      <c r="AP3141" s="143">
        <f>AP3127*1.01</f>
        <v>78080.952791102973</v>
      </c>
      <c r="AQ3141" s="128" t="s">
        <v>185</v>
      </c>
      <c r="AR3141" s="153" t="s">
        <v>186</v>
      </c>
      <c r="AS3141" s="143">
        <f>AS3127*1.01</f>
        <v>87112.447506502489</v>
      </c>
      <c r="AT3141" s="128" t="s">
        <v>185</v>
      </c>
      <c r="AU3141" s="153" t="s">
        <v>186</v>
      </c>
    </row>
    <row r="3142" spans="13:47" ht="14" x14ac:dyDescent="0.3">
      <c r="M3142" s="12"/>
      <c r="N3142" s="12"/>
      <c r="O3142" s="20"/>
      <c r="P3142" s="20"/>
      <c r="Q3142" s="23"/>
      <c r="R3142" s="139"/>
      <c r="S3142" s="130" t="s">
        <v>228</v>
      </c>
      <c r="T3142" s="131" t="s">
        <v>187</v>
      </c>
      <c r="U3142" s="144"/>
      <c r="V3142" s="130" t="s">
        <v>228</v>
      </c>
      <c r="W3142" s="154" t="s">
        <v>187</v>
      </c>
      <c r="X3142" s="144"/>
      <c r="Y3142" s="130" t="s">
        <v>228</v>
      </c>
      <c r="Z3142" s="154" t="s">
        <v>187</v>
      </c>
      <c r="AA3142" s="144"/>
      <c r="AB3142" s="130" t="s">
        <v>228</v>
      </c>
      <c r="AC3142" s="154" t="s">
        <v>187</v>
      </c>
      <c r="AD3142" s="144"/>
      <c r="AE3142" s="130" t="s">
        <v>228</v>
      </c>
      <c r="AF3142" s="154" t="s">
        <v>187</v>
      </c>
      <c r="AG3142" s="144"/>
      <c r="AH3142" s="130" t="s">
        <v>228</v>
      </c>
      <c r="AI3142" s="154" t="s">
        <v>187</v>
      </c>
      <c r="AJ3142" s="144"/>
      <c r="AK3142" s="130" t="s">
        <v>228</v>
      </c>
      <c r="AL3142" s="154" t="s">
        <v>187</v>
      </c>
      <c r="AM3142" s="144"/>
      <c r="AN3142" s="130" t="s">
        <v>228</v>
      </c>
      <c r="AO3142" s="154" t="s">
        <v>187</v>
      </c>
      <c r="AP3142" s="144"/>
      <c r="AQ3142" s="130" t="s">
        <v>228</v>
      </c>
      <c r="AR3142" s="154" t="s">
        <v>187</v>
      </c>
      <c r="AS3142" s="144"/>
      <c r="AT3142" s="130" t="s">
        <v>228</v>
      </c>
      <c r="AU3142" s="154" t="s">
        <v>187</v>
      </c>
    </row>
    <row r="3143" spans="13:47" x14ac:dyDescent="0.25">
      <c r="M3143" s="20"/>
      <c r="N3143" s="20"/>
      <c r="O3143" s="7" t="s">
        <v>188</v>
      </c>
      <c r="P3143" s="7"/>
      <c r="Q3143" s="7"/>
      <c r="R3143" s="181">
        <f>P_1_minW-(R3141^2*R_up)+dpup_minQ</f>
        <v>100.17859469609115</v>
      </c>
      <c r="S3143" s="132"/>
      <c r="T3143" s="145"/>
      <c r="U3143" s="138">
        <f>P_1_minW-(U3141^2*R_up)+dpup_minQ</f>
        <v>93.386393724396171</v>
      </c>
      <c r="V3143" s="132"/>
      <c r="W3143" s="145"/>
      <c r="X3143" s="138">
        <f>P_1_minW-(X3141^2*R_up)+dpup_minQ</f>
        <v>56.874340590140172</v>
      </c>
      <c r="Y3143" s="132"/>
      <c r="Z3143" s="145"/>
      <c r="AA3143" s="138">
        <f>P_1_minW-(AA3141^2*R_up)+dpup_minQ</f>
        <v>-65.066743701331959</v>
      </c>
      <c r="AB3143" s="132"/>
      <c r="AC3143" s="145"/>
      <c r="AD3143" s="138">
        <f>P_1_minW-(AD3141^2*R_up)+dpup_minQ</f>
        <v>-347.36606519955137</v>
      </c>
      <c r="AE3143" s="132"/>
      <c r="AF3143" s="145"/>
      <c r="AG3143" s="138">
        <f>P_1_minW-(AG3141^2*R_up)+dpup_minQ</f>
        <v>-780.5741068799656</v>
      </c>
      <c r="AH3143" s="132"/>
      <c r="AI3143" s="145"/>
      <c r="AJ3143" s="138">
        <f>P_1_minW-(AJ3141^2*R_up)+dpup_minQ</f>
        <v>-1320.0046021171174</v>
      </c>
      <c r="AK3143" s="132"/>
      <c r="AL3143" s="145"/>
      <c r="AM3143" s="138">
        <f>P_1_minW-(AM3141^2*R_up)+dpup_minQ</f>
        <v>-1852.6181051659846</v>
      </c>
      <c r="AN3143" s="132"/>
      <c r="AO3143" s="145"/>
      <c r="AP3143" s="138">
        <f>P_1_minW-(AP3141^2*R_up)+dpup_minQ</f>
        <v>-2330.5826577426365</v>
      </c>
      <c r="AQ3143" s="132"/>
      <c r="AR3143" s="145"/>
      <c r="AS3143" s="138">
        <f>P_1_minW-(AS3141^2*R_up)+dpup_minQ</f>
        <v>-2925.512716733549</v>
      </c>
      <c r="AT3143" s="132"/>
      <c r="AU3143" s="145"/>
    </row>
    <row r="3144" spans="13:47" x14ac:dyDescent="0.25">
      <c r="M3144" s="20"/>
      <c r="N3144" s="20"/>
      <c r="O3144" s="7" t="s">
        <v>189</v>
      </c>
      <c r="P3144" s="1"/>
      <c r="Q3144" s="7"/>
      <c r="R3144" s="181">
        <f>P_2_minW+(R3141^2*R_dn)-dpdn_minQ</f>
        <v>50</v>
      </c>
      <c r="S3144" s="132"/>
      <c r="T3144" s="146"/>
      <c r="U3144" s="138">
        <f>P_2_minW+(U3141^2*R_dn)-dpdn_minQ</f>
        <v>50</v>
      </c>
      <c r="V3144" s="132"/>
      <c r="W3144" s="146"/>
      <c r="X3144" s="138">
        <f>P_2_minW+(X3141^2*R_dn)-dpdn_minQ</f>
        <v>50</v>
      </c>
      <c r="Y3144" s="132"/>
      <c r="Z3144" s="146"/>
      <c r="AA3144" s="138">
        <f>P_2_minW+(AA3141^2*R_dn)-dpdn_minQ</f>
        <v>50</v>
      </c>
      <c r="AB3144" s="132"/>
      <c r="AC3144" s="146"/>
      <c r="AD3144" s="138">
        <f>P_2_minW+(AD3141^2*R_dn)-dpdn_minQ</f>
        <v>50</v>
      </c>
      <c r="AE3144" s="132"/>
      <c r="AF3144" s="146"/>
      <c r="AG3144" s="138">
        <f>P_2_minW+(AG3141^2*R_dn)-dpdn_minQ</f>
        <v>50</v>
      </c>
      <c r="AH3144" s="132"/>
      <c r="AI3144" s="146"/>
      <c r="AJ3144" s="138">
        <f>P_2_minW+(AJ3141^2*R_dn)-dpdn_minQ</f>
        <v>50</v>
      </c>
      <c r="AK3144" s="132"/>
      <c r="AL3144" s="146"/>
      <c r="AM3144" s="138">
        <f>P_2_minW+(AM3141^2*R_dn)-dpdn_minQ</f>
        <v>50</v>
      </c>
      <c r="AN3144" s="132"/>
      <c r="AO3144" s="146"/>
      <c r="AP3144" s="138">
        <f>P_2_minW+(AP3141^2*R_dn)-dpdn_minQ</f>
        <v>50</v>
      </c>
      <c r="AQ3144" s="132"/>
      <c r="AR3144" s="146"/>
      <c r="AS3144" s="138">
        <f>P_2_minW+(AS3141^2*R_dn)-dpdn_minQ</f>
        <v>50</v>
      </c>
      <c r="AT3144" s="132"/>
      <c r="AU3144" s="146"/>
    </row>
    <row r="3145" spans="13:47" x14ac:dyDescent="0.25">
      <c r="M3145" s="20"/>
      <c r="N3145" s="20"/>
      <c r="O3145" s="7" t="s">
        <v>234</v>
      </c>
      <c r="P3145" s="1"/>
      <c r="Q3145" s="7"/>
      <c r="R3145" s="179">
        <f>'Valve Sizing'!G$8*R3143/P_1_maxW</f>
        <v>0.48324370511448078</v>
      </c>
      <c r="S3145" s="132"/>
      <c r="T3145" s="146"/>
      <c r="U3145" s="143">
        <f>'Valve Sizing'!$G$8*U3143/P_1_maxW</f>
        <v>0.45047933690387215</v>
      </c>
      <c r="V3145" s="132"/>
      <c r="W3145" s="146"/>
      <c r="X3145" s="143">
        <f>'Valve Sizing'!$G$8*X3143/P_1_maxW</f>
        <v>0.27435169315461205</v>
      </c>
      <c r="Y3145" s="132"/>
      <c r="Z3145" s="146"/>
      <c r="AA3145" s="143">
        <f>'Valve Sizing'!$G$8*AA3143/P_1_maxW</f>
        <v>-0.31387038719552762</v>
      </c>
      <c r="AB3145" s="132"/>
      <c r="AC3145" s="146"/>
      <c r="AD3145" s="143">
        <f>'Valve Sizing'!$G$8*AD3143/P_1_maxW</f>
        <v>-1.6756320538065932</v>
      </c>
      <c r="AE3145" s="132"/>
      <c r="AF3145" s="146"/>
      <c r="AG3145" s="143">
        <f>'Valve Sizing'!$G$8*AG3143/P_1_maxW</f>
        <v>-3.7653505189349543</v>
      </c>
      <c r="AH3145" s="132"/>
      <c r="AI3145" s="146"/>
      <c r="AJ3145" s="143">
        <f>'Valve Sizing'!$G$8*AJ3143/P_1_maxW</f>
        <v>-6.3674671882788081</v>
      </c>
      <c r="AK3145" s="132"/>
      <c r="AL3145" s="146"/>
      <c r="AM3145" s="143">
        <f>'Valve Sizing'!$G$8*AM3143/P_1_maxW</f>
        <v>-8.9366999009970289</v>
      </c>
      <c r="AN3145" s="132"/>
      <c r="AO3145" s="146"/>
      <c r="AP3145" s="143">
        <f>'Valve Sizing'!$G$8*AP3143/P_1_maxW</f>
        <v>-11.242315806283216</v>
      </c>
      <c r="AQ3145" s="132"/>
      <c r="AR3145" s="146"/>
      <c r="AS3145" s="143">
        <f>'Valve Sizing'!$G$8*AS3143/P_1_maxW</f>
        <v>-14.112152490086917</v>
      </c>
      <c r="AT3145" s="132"/>
      <c r="AU3145" s="146"/>
    </row>
    <row r="3146" spans="13:47" x14ac:dyDescent="0.25">
      <c r="M3146" s="20"/>
      <c r="N3146" s="20"/>
      <c r="O3146" s="7" t="s">
        <v>190</v>
      </c>
      <c r="P3146" s="1"/>
      <c r="Q3146" s="7"/>
      <c r="R3146" s="181">
        <f>R3143-R3144</f>
        <v>50.178594696091153</v>
      </c>
      <c r="S3146" s="132"/>
      <c r="T3146" s="146"/>
      <c r="U3146" s="138">
        <f>U3143-U3144</f>
        <v>43.386393724396171</v>
      </c>
      <c r="V3146" s="132"/>
      <c r="W3146" s="146"/>
      <c r="X3146" s="138">
        <f>X3143-X3144</f>
        <v>6.8743405901401715</v>
      </c>
      <c r="Y3146" s="132"/>
      <c r="Z3146" s="146"/>
      <c r="AA3146" s="138">
        <f>AA3143-AA3144</f>
        <v>-115.06674370133196</v>
      </c>
      <c r="AB3146" s="132"/>
      <c r="AC3146" s="146"/>
      <c r="AD3146" s="138">
        <f>AD3143-AD3144</f>
        <v>-397.36606519955137</v>
      </c>
      <c r="AE3146" s="132"/>
      <c r="AF3146" s="146"/>
      <c r="AG3146" s="138">
        <f>AG3143-AG3144</f>
        <v>-830.5741068799656</v>
      </c>
      <c r="AH3146" s="132"/>
      <c r="AI3146" s="146"/>
      <c r="AJ3146" s="138">
        <f>AJ3143-AJ3144</f>
        <v>-1370.0046021171174</v>
      </c>
      <c r="AK3146" s="132"/>
      <c r="AL3146" s="146"/>
      <c r="AM3146" s="138">
        <f>AM3143-AM3144</f>
        <v>-1902.6181051659846</v>
      </c>
      <c r="AN3146" s="132"/>
      <c r="AO3146" s="146"/>
      <c r="AP3146" s="138">
        <f>AP3143-AP3144</f>
        <v>-2380.5826577426365</v>
      </c>
      <c r="AQ3146" s="132"/>
      <c r="AR3146" s="146"/>
      <c r="AS3146" s="138">
        <f>AS3143-AS3144</f>
        <v>-2975.512716733549</v>
      </c>
      <c r="AT3146" s="132"/>
      <c r="AU3146" s="146"/>
    </row>
    <row r="3147" spans="13:47" ht="14.5" x14ac:dyDescent="0.35">
      <c r="M3147" s="27"/>
      <c r="N3147" s="27"/>
      <c r="O3147" s="2" t="s">
        <v>191</v>
      </c>
      <c r="P3147" s="10"/>
      <c r="Q3147" s="2"/>
      <c r="R3147" s="181">
        <f>R3146/R3143</f>
        <v>0.50089138152033852</v>
      </c>
      <c r="S3147" s="132"/>
      <c r="T3147" s="146"/>
      <c r="U3147" s="138">
        <f>U3146/U3143</f>
        <v>0.46459009705888182</v>
      </c>
      <c r="V3147" s="132"/>
      <c r="W3147" s="146"/>
      <c r="X3147" s="138">
        <f>X3146/X3143</f>
        <v>0.12086892821631973</v>
      </c>
      <c r="Y3147" s="132"/>
      <c r="Z3147" s="146"/>
      <c r="AA3147" s="138">
        <f>AA3146/AA3143</f>
        <v>1.7684417131662371</v>
      </c>
      <c r="AB3147" s="132"/>
      <c r="AC3147" s="146"/>
      <c r="AD3147" s="138">
        <f>AD3146/AD3143</f>
        <v>1.1439403701431701</v>
      </c>
      <c r="AE3147" s="132"/>
      <c r="AF3147" s="146"/>
      <c r="AG3147" s="138">
        <f>AG3146/AG3143</f>
        <v>1.0640554171081271</v>
      </c>
      <c r="AH3147" s="132"/>
      <c r="AI3147" s="146"/>
      <c r="AJ3147" s="138">
        <f>AJ3146/AJ3143</f>
        <v>1.0378786558166588</v>
      </c>
      <c r="AK3147" s="132"/>
      <c r="AL3147" s="146"/>
      <c r="AM3147" s="138">
        <f>AM3146/AM3143</f>
        <v>1.0269888326474712</v>
      </c>
      <c r="AN3147" s="132"/>
      <c r="AO3147" s="146"/>
      <c r="AP3147" s="138">
        <f>AP3146/AP3143</f>
        <v>1.0214538625497322</v>
      </c>
      <c r="AQ3147" s="132"/>
      <c r="AR3147" s="146"/>
      <c r="AS3147" s="138">
        <f>AS3146/AS3143</f>
        <v>1.0170910212469788</v>
      </c>
      <c r="AT3147" s="132"/>
      <c r="AU3147" s="146"/>
    </row>
    <row r="3148" spans="13:47" x14ac:dyDescent="0.25">
      <c r="M3148" s="27"/>
      <c r="N3148" s="27"/>
      <c r="O3148" s="2" t="s">
        <v>26</v>
      </c>
      <c r="P3148" s="7">
        <v>12</v>
      </c>
      <c r="Q3148" s="2"/>
      <c r="R3148" s="181">
        <f>1-R3147/(3*F_GAMMA*R$29)</f>
        <v>0.73913002872542255</v>
      </c>
      <c r="S3148" s="133"/>
      <c r="T3148" s="146"/>
      <c r="U3148" s="138">
        <f>1-U3147/(3*F_GAMMA*U$29)</f>
        <v>0.75808942806758872</v>
      </c>
      <c r="V3148" s="133"/>
      <c r="W3148" s="146"/>
      <c r="X3148" s="138">
        <f>1-X3147/(3*F_GAMMA*X$29)</f>
        <v>0.93611979603229889</v>
      </c>
      <c r="Y3148" s="133"/>
      <c r="Z3148" s="146"/>
      <c r="AA3148" s="138">
        <f>1-AA3147/(3*F_GAMMA*AA$29)</f>
        <v>5.2549127021207842E-2</v>
      </c>
      <c r="AB3148" s="133"/>
      <c r="AC3148" s="146"/>
      <c r="AD3148" s="138">
        <f>1-AD3147/(3*F_GAMMA*AD$29)</f>
        <v>0.37032499626812332</v>
      </c>
      <c r="AE3148" s="133"/>
      <c r="AF3148" s="146"/>
      <c r="AG3148" s="138">
        <f>1-AG3147/(3*F_GAMMA*AG$29)</f>
        <v>0.3808877681179893</v>
      </c>
      <c r="AH3148" s="133"/>
      <c r="AI3148" s="146"/>
      <c r="AJ3148" s="138">
        <f>1-AJ3147/(3*F_GAMMA*AJ$29)</f>
        <v>0.35444250032880265</v>
      </c>
      <c r="AK3148" s="133"/>
      <c r="AL3148" s="146"/>
      <c r="AM3148" s="138">
        <f>1-AM3147/(3*F_GAMMA*AM$29)</f>
        <v>0.30206345573555016</v>
      </c>
      <c r="AN3148" s="133"/>
      <c r="AO3148" s="146"/>
      <c r="AP3148" s="138">
        <f>1-AP3147/(3*F_GAMMA*AP$29)</f>
        <v>0.42633945845158294</v>
      </c>
      <c r="AQ3148" s="133"/>
      <c r="AR3148" s="146"/>
      <c r="AS3148" s="138">
        <f>1-AS3147/(3*F_GAMMA*AS$29)</f>
        <v>0.13285310222186664</v>
      </c>
      <c r="AT3148" s="133"/>
      <c r="AU3148" s="146"/>
    </row>
    <row r="3149" spans="13:47" x14ac:dyDescent="0.25">
      <c r="M3149" s="27"/>
      <c r="N3149" s="27"/>
      <c r="O3149" s="2" t="s">
        <v>71</v>
      </c>
      <c r="P3149" s="85">
        <v>5</v>
      </c>
      <c r="Q3149" s="2"/>
      <c r="R3149" s="179">
        <f>R3141/((N_6*R$27*R3148)*SQRT(R3147*R3143*R3145))</f>
        <v>4.032999524296077</v>
      </c>
      <c r="S3149" s="133"/>
      <c r="T3149" s="146"/>
      <c r="U3149" s="143">
        <f>U3141/((N_6*U$27*U3148)*SQRT(U3147*U3143*U3145))</f>
        <v>19.955639251204325</v>
      </c>
      <c r="V3149" s="133"/>
      <c r="W3149" s="146"/>
      <c r="X3149" s="143">
        <f>X3141/((N_6*X$27*X3148)*SQRT(X3147*X3143*X3145))</f>
        <v>128.94543213676977</v>
      </c>
      <c r="Y3149" s="133"/>
      <c r="Z3149" s="146"/>
      <c r="AA3149" s="143">
        <f>AA3141/((N_6*AA$27*AA3148)*SQRT(AA3147*AA3143*AA3145))</f>
        <v>1028.2856453131853</v>
      </c>
      <c r="AB3149" s="133"/>
      <c r="AC3149" s="146"/>
      <c r="AD3149" s="143">
        <f>AD3141/((N_6*AD$27*AD3148)*SQRT(AD3147*AD3143*AD3145))</f>
        <v>56.555518245950473</v>
      </c>
      <c r="AE3149" s="133"/>
      <c r="AF3149" s="146"/>
      <c r="AG3149" s="143">
        <f>AG3141/((N_6*AG$27*AG3148)*SQRT(AG3147*AG3143*AG3145))</f>
        <v>36.353919094990893</v>
      </c>
      <c r="AH3149" s="133"/>
      <c r="AI3149" s="146"/>
      <c r="AJ3149" s="143">
        <f>AJ3141/((N_6*AJ$27*AJ3148)*SQRT(AJ3147*AJ3143*AJ3145))</f>
        <v>30.720094401500674</v>
      </c>
      <c r="AK3149" s="133"/>
      <c r="AL3149" s="146"/>
      <c r="AM3149" s="143">
        <f>AM3141/((N_6*AM$27*AM3148)*SQRT(AM3147*AM3143*AM3145))</f>
        <v>32.134855123372567</v>
      </c>
      <c r="AN3149" s="133"/>
      <c r="AO3149" s="146"/>
      <c r="AP3149" s="143">
        <f>AP3141/((N_6*AP$27*AP3148)*SQRT(AP3147*AP3143*AP3145))</f>
        <v>22.99869080767095</v>
      </c>
      <c r="AQ3149" s="133"/>
      <c r="AR3149" s="146"/>
      <c r="AS3149" s="143">
        <f>AS3141/((N_6*AS$27*AS3148)*SQRT(AS3147*AS3143*AS3145))</f>
        <v>86.377665361165356</v>
      </c>
      <c r="AT3149" s="133"/>
      <c r="AU3149" s="146"/>
    </row>
    <row r="3150" spans="13:47" x14ac:dyDescent="0.25">
      <c r="M3150" s="27"/>
      <c r="N3150" s="27"/>
      <c r="O3150" s="2" t="s">
        <v>73</v>
      </c>
      <c r="P3150" s="85">
        <v>5</v>
      </c>
      <c r="Q3150" s="2"/>
      <c r="R3150" s="179">
        <f>R3141/((N_6*R$27*0.667)*SQRT(R3151*R3143*R3145))</f>
        <v>3.9536284769632064</v>
      </c>
      <c r="S3150" s="133"/>
      <c r="T3150" s="147"/>
      <c r="U3150" s="143">
        <f>U3141/((N_6*U$27*0.667)*SQRT(U3151*U3143*U3145))</f>
        <v>19.32183202140542</v>
      </c>
      <c r="V3150" s="133"/>
      <c r="W3150" s="155"/>
      <c r="X3150" s="143">
        <f>X3141/((N_6*X$27*0.667)*SQRT(X3151*X3143*X3145))</f>
        <v>79.223738367103252</v>
      </c>
      <c r="Y3150" s="133"/>
      <c r="Z3150" s="155"/>
      <c r="AA3150" s="143">
        <f>AA3141/((N_6*AA$27*0.667)*SQRT(AA3151*AA3143*AA3145))</f>
        <v>136.58167120287814</v>
      </c>
      <c r="AB3150" s="133"/>
      <c r="AC3150" s="155"/>
      <c r="AD3150" s="143">
        <f>AD3141/((N_6*AD$27*0.667)*SQRT(AD3151*AD3143*AD3145))</f>
        <v>43.156978734754304</v>
      </c>
      <c r="AE3150" s="133"/>
      <c r="AF3150" s="155"/>
      <c r="AG3150" s="143">
        <f>AG3141/((N_6*AG$27*0.667)*SQRT(AG3151*AG3143*AG3145))</f>
        <v>28.292267000043175</v>
      </c>
      <c r="AH3150" s="133"/>
      <c r="AI3150" s="155"/>
      <c r="AJ3150" s="143">
        <f>AJ3141/((N_6*AJ$27*0.667)*SQRT(AJ3151*AJ3143*AJ3145))</f>
        <v>22.718026213004464</v>
      </c>
      <c r="AK3150" s="133"/>
      <c r="AL3150" s="155"/>
      <c r="AM3150" s="143">
        <f>AM3141/((N_6*AM$27*0.667)*SQRT(AM3151*AM3143*AM3145))</f>
        <v>21.058008454380847</v>
      </c>
      <c r="AN3150" s="133"/>
      <c r="AO3150" s="155"/>
      <c r="AP3150" s="143">
        <f>AP3141/((N_6*AP$27*0.667)*SQRT(AP3151*AP3143*AP3145))</f>
        <v>19.285056989619477</v>
      </c>
      <c r="AQ3150" s="133"/>
      <c r="AR3150" s="155"/>
      <c r="AS3150" s="143">
        <f>AS3141/((N_6*AS$27*0.667)*SQRT(AS3151*AS3143*AS3145))</f>
        <v>27.74944442164659</v>
      </c>
      <c r="AT3150" s="133"/>
      <c r="AU3150" s="155"/>
    </row>
    <row r="3151" spans="13:47" ht="15.5" x14ac:dyDescent="0.4">
      <c r="M3151" s="27"/>
      <c r="N3151" s="27"/>
      <c r="O3151" s="2" t="s">
        <v>192</v>
      </c>
      <c r="P3151" s="85">
        <v>10</v>
      </c>
      <c r="Q3151" s="2"/>
      <c r="R3151" s="181">
        <f>F_GAMMA*R$29</f>
        <v>0.64002688015162901</v>
      </c>
      <c r="S3151" s="133"/>
      <c r="T3151" s="147"/>
      <c r="U3151" s="138">
        <f>F_GAMMA*U$29</f>
        <v>0.64016782916606918</v>
      </c>
      <c r="V3151" s="133"/>
      <c r="W3151" s="155"/>
      <c r="X3151" s="138">
        <f>F_GAMMA*X$29</f>
        <v>0.6307062319203669</v>
      </c>
      <c r="Y3151" s="133"/>
      <c r="Z3151" s="155"/>
      <c r="AA3151" s="138">
        <f>F_GAMMA*AA$29</f>
        <v>0.62217534213893466</v>
      </c>
      <c r="AB3151" s="133"/>
      <c r="AC3151" s="155"/>
      <c r="AD3151" s="138">
        <f>F_GAMMA*AD$29</f>
        <v>0.60557184969146072</v>
      </c>
      <c r="AE3151" s="133"/>
      <c r="AF3151" s="155"/>
      <c r="AG3151" s="138">
        <f>F_GAMMA*AG$29</f>
        <v>0.57289312142622573</v>
      </c>
      <c r="AH3151" s="133"/>
      <c r="AI3151" s="155"/>
      <c r="AJ3151" s="138">
        <f>F_GAMMA*AJ$29</f>
        <v>0.53590819116049981</v>
      </c>
      <c r="AK3151" s="133"/>
      <c r="AL3151" s="155"/>
      <c r="AM3151" s="138">
        <f>F_GAMMA*AM$29</f>
        <v>0.49048815926850342</v>
      </c>
      <c r="AN3151" s="133"/>
      <c r="AO3151" s="155"/>
      <c r="AP3151" s="138">
        <f>F_GAMMA*AP$29</f>
        <v>0.59352979016280105</v>
      </c>
      <c r="AQ3151" s="133"/>
      <c r="AR3151" s="155"/>
      <c r="AS3151" s="138">
        <f>F_GAMMA*AS$29</f>
        <v>0.39097221161068291</v>
      </c>
      <c r="AT3151" s="133"/>
      <c r="AU3151" s="155"/>
    </row>
    <row r="3152" spans="13:47" x14ac:dyDescent="0.25">
      <c r="M3152" s="27"/>
      <c r="N3152" s="27"/>
      <c r="O3152" s="2" t="s">
        <v>193</v>
      </c>
      <c r="P3152" s="134"/>
      <c r="Q3152" s="2"/>
      <c r="R3152" s="181">
        <f>IF(R3147&lt;R3151,R3149,R3150)</f>
        <v>4.032999524296077</v>
      </c>
      <c r="S3152" s="133"/>
      <c r="T3152" s="147"/>
      <c r="U3152" s="138">
        <f>IF(U3147&lt;U3151,U3149,U3150)</f>
        <v>19.955639251204325</v>
      </c>
      <c r="V3152" s="133"/>
      <c r="W3152" s="155"/>
      <c r="X3152" s="138">
        <f>IF(X3147&lt;X3151,X3149,X3150)</f>
        <v>128.94543213676977</v>
      </c>
      <c r="Y3152" s="133"/>
      <c r="Z3152" s="155"/>
      <c r="AA3152" s="138">
        <f>IF(AA3147&lt;AA3151,AA3149,AA3150)</f>
        <v>136.58167120287814</v>
      </c>
      <c r="AB3152" s="133"/>
      <c r="AC3152" s="155"/>
      <c r="AD3152" s="138">
        <f>IF(AD3147&lt;AD3151,AD3149,AD3150)</f>
        <v>43.156978734754304</v>
      </c>
      <c r="AE3152" s="133"/>
      <c r="AF3152" s="155"/>
      <c r="AG3152" s="138">
        <f>IF(AG3147&lt;AG3151,AG3149,AG3150)</f>
        <v>28.292267000043175</v>
      </c>
      <c r="AH3152" s="133"/>
      <c r="AI3152" s="155"/>
      <c r="AJ3152" s="138">
        <f>IF(AJ3147&lt;AJ3151,AJ3149,AJ3150)</f>
        <v>22.718026213004464</v>
      </c>
      <c r="AK3152" s="133"/>
      <c r="AL3152" s="155"/>
      <c r="AM3152" s="138">
        <f>IF(AM3147&lt;AM3151,AM3149,AM3150)</f>
        <v>21.058008454380847</v>
      </c>
      <c r="AN3152" s="133"/>
      <c r="AO3152" s="155"/>
      <c r="AP3152" s="138">
        <f>IF(AP3147&lt;AP3151,AP3149,AP3150)</f>
        <v>19.285056989619477</v>
      </c>
      <c r="AQ3152" s="133"/>
      <c r="AR3152" s="155"/>
      <c r="AS3152" s="138">
        <f>IF(AS3147&lt;AS3151,AS3149,AS3150)</f>
        <v>27.74944442164659</v>
      </c>
      <c r="AT3152" s="133"/>
      <c r="AU3152" s="155"/>
    </row>
    <row r="3153" spans="13:47" ht="13" x14ac:dyDescent="0.3">
      <c r="M3153" s="28"/>
      <c r="N3153" s="28"/>
      <c r="O3153" s="9" t="s">
        <v>194</v>
      </c>
      <c r="P3153" s="1"/>
      <c r="Q3153" s="1"/>
      <c r="R3153" s="135"/>
      <c r="S3153" s="132">
        <f>IF(R3146&lt;=0,W_max,ABS(R$23-R3152))</f>
        <v>2.032999524296077</v>
      </c>
      <c r="T3153" s="151">
        <f>R3141</f>
        <v>929.05969103927316</v>
      </c>
      <c r="U3153" s="135"/>
      <c r="V3153" s="132">
        <f>IF(U3146&lt;=0,W_max,ABS(U$23-U3152))</f>
        <v>14.955639251204325</v>
      </c>
      <c r="W3153" s="151">
        <f>U3141</f>
        <v>4230.4112256853059</v>
      </c>
      <c r="X3153" s="135"/>
      <c r="Y3153" s="132">
        <f>IF(X3146&lt;=0,W_max,ABS(X$23-X3152))</f>
        <v>118.94543213676977</v>
      </c>
      <c r="Z3153" s="151">
        <f>X3141</f>
        <v>10462.310385956898</v>
      </c>
      <c r="AA3153" s="135"/>
      <c r="AB3153" s="132">
        <f>IF(AA3146&lt;=0,W_max,ABS(AA$23-AA3152))</f>
        <v>7174</v>
      </c>
      <c r="AC3153" s="151">
        <f>AA3141</f>
        <v>20377.910175105018</v>
      </c>
      <c r="AD3153" s="135"/>
      <c r="AE3153" s="132">
        <f>IF(AD3146&lt;=0,W_max,ABS(AD$23-AD3152))</f>
        <v>7174</v>
      </c>
      <c r="AF3153" s="151">
        <f>AD3141</f>
        <v>33514.159536653955</v>
      </c>
      <c r="AG3153" s="135"/>
      <c r="AH3153" s="132">
        <f>IF(AG3146&lt;=0,W_max,ABS(AG$23-AG3152))</f>
        <v>7174</v>
      </c>
      <c r="AI3153" s="151">
        <f>AG3141</f>
        <v>47006.188876926353</v>
      </c>
      <c r="AJ3153" s="135"/>
      <c r="AK3153" s="132">
        <f>IF(AJ3146&lt;=0,W_max,ABS(AJ$23-AJ3152))</f>
        <v>7174</v>
      </c>
      <c r="AL3153" s="151">
        <f>AJ3141</f>
        <v>59685.386712468884</v>
      </c>
      <c r="AM3153" s="135"/>
      <c r="AN3153" s="132">
        <f>IF(AM3146&lt;=0,W_max,ABS(AM$23-AM3152))</f>
        <v>7174</v>
      </c>
      <c r="AO3153" s="151">
        <f>AM3141</f>
        <v>69985.809873053673</v>
      </c>
      <c r="AP3153" s="135"/>
      <c r="AQ3153" s="132">
        <f>IF(AP3146&lt;=0,W_max,ABS(AP$23-AP3152))</f>
        <v>7174</v>
      </c>
      <c r="AR3153" s="151">
        <f>AP3141</f>
        <v>78080.952791102973</v>
      </c>
      <c r="AS3153" s="135"/>
      <c r="AT3153" s="132">
        <f>IF(AS3146&lt;=0,W_max,ABS(AS$23-AS3152))</f>
        <v>7174</v>
      </c>
      <c r="AU3153" s="151">
        <f>AS3141</f>
        <v>87112.447506502489</v>
      </c>
    </row>
    <row r="3154" spans="13:47" ht="13" x14ac:dyDescent="0.25">
      <c r="M3154" s="12"/>
      <c r="N3154" s="12"/>
      <c r="O3154" s="12"/>
      <c r="P3154" s="12"/>
      <c r="Q3154" s="12"/>
      <c r="R3154" s="182"/>
      <c r="S3154" s="22"/>
      <c r="T3154" s="152"/>
      <c r="U3154" s="157"/>
      <c r="V3154" s="1"/>
      <c r="W3154" s="147"/>
      <c r="X3154" s="157"/>
      <c r="Y3154" s="1"/>
      <c r="Z3154" s="147"/>
      <c r="AA3154" s="157"/>
      <c r="AB3154" s="1"/>
      <c r="AC3154" s="147"/>
      <c r="AD3154" s="157"/>
      <c r="AE3154" s="1"/>
      <c r="AF3154" s="147"/>
      <c r="AG3154" s="157"/>
      <c r="AH3154" s="1"/>
      <c r="AI3154" s="147"/>
      <c r="AJ3154" s="157"/>
      <c r="AK3154" s="1"/>
      <c r="AL3154" s="147"/>
      <c r="AM3154" s="157"/>
      <c r="AN3154" s="1"/>
      <c r="AO3154" s="147"/>
      <c r="AP3154" s="157"/>
      <c r="AQ3154" s="1"/>
      <c r="AR3154" s="147"/>
      <c r="AS3154" s="157"/>
      <c r="AT3154" s="1"/>
      <c r="AU3154" s="147"/>
    </row>
    <row r="3155" spans="13:47" ht="14" x14ac:dyDescent="0.3">
      <c r="M3155" s="23"/>
      <c r="N3155" s="23"/>
      <c r="O3155" s="23" t="s">
        <v>238</v>
      </c>
      <c r="P3155" s="20"/>
      <c r="Q3155" s="20"/>
      <c r="R3155" s="18">
        <f>R3141*1.02</f>
        <v>947.64088486005869</v>
      </c>
      <c r="S3155" s="128" t="s">
        <v>185</v>
      </c>
      <c r="T3155" s="153" t="s">
        <v>186</v>
      </c>
      <c r="U3155" s="143">
        <f>U3141*1.01</f>
        <v>4272.7153379421588</v>
      </c>
      <c r="V3155" s="128" t="s">
        <v>185</v>
      </c>
      <c r="W3155" s="153" t="s">
        <v>186</v>
      </c>
      <c r="X3155" s="143">
        <f>X3141*1.01</f>
        <v>10566.933489816467</v>
      </c>
      <c r="Y3155" s="128" t="s">
        <v>185</v>
      </c>
      <c r="Z3155" s="153" t="s">
        <v>186</v>
      </c>
      <c r="AA3155" s="143">
        <f>AA3141*1.01</f>
        <v>20581.689276856068</v>
      </c>
      <c r="AB3155" s="128" t="s">
        <v>185</v>
      </c>
      <c r="AC3155" s="153" t="s">
        <v>186</v>
      </c>
      <c r="AD3155" s="143">
        <f>AD3141*1.01</f>
        <v>33849.301132020497</v>
      </c>
      <c r="AE3155" s="128" t="s">
        <v>185</v>
      </c>
      <c r="AF3155" s="153" t="s">
        <v>186</v>
      </c>
      <c r="AG3155" s="143">
        <f>AG3141*1.01</f>
        <v>47476.250765695615</v>
      </c>
      <c r="AH3155" s="128" t="s">
        <v>185</v>
      </c>
      <c r="AI3155" s="153" t="s">
        <v>186</v>
      </c>
      <c r="AJ3155" s="143">
        <f>AJ3141*1.01</f>
        <v>60282.24057959357</v>
      </c>
      <c r="AK3155" s="128" t="s">
        <v>185</v>
      </c>
      <c r="AL3155" s="153" t="s">
        <v>186</v>
      </c>
      <c r="AM3155" s="143">
        <f>AM3141*1.01</f>
        <v>70685.667971784205</v>
      </c>
      <c r="AN3155" s="128" t="s">
        <v>185</v>
      </c>
      <c r="AO3155" s="153" t="s">
        <v>186</v>
      </c>
      <c r="AP3155" s="143">
        <f>AP3141*1.01</f>
        <v>78861.762319014</v>
      </c>
      <c r="AQ3155" s="128" t="s">
        <v>185</v>
      </c>
      <c r="AR3155" s="153" t="s">
        <v>186</v>
      </c>
      <c r="AS3155" s="143">
        <f>AS3141*1.01</f>
        <v>87983.571981567511</v>
      </c>
      <c r="AT3155" s="128" t="s">
        <v>185</v>
      </c>
      <c r="AU3155" s="153" t="s">
        <v>186</v>
      </c>
    </row>
    <row r="3156" spans="13:47" ht="14" x14ac:dyDescent="0.3">
      <c r="M3156" s="12"/>
      <c r="N3156" s="12"/>
      <c r="O3156" s="20"/>
      <c r="P3156" s="20"/>
      <c r="Q3156" s="23"/>
      <c r="R3156" s="139"/>
      <c r="S3156" s="130" t="s">
        <v>228</v>
      </c>
      <c r="T3156" s="154" t="s">
        <v>187</v>
      </c>
      <c r="U3156" s="144"/>
      <c r="V3156" s="130" t="s">
        <v>228</v>
      </c>
      <c r="W3156" s="154" t="s">
        <v>187</v>
      </c>
      <c r="X3156" s="144"/>
      <c r="Y3156" s="130" t="s">
        <v>228</v>
      </c>
      <c r="Z3156" s="154" t="s">
        <v>187</v>
      </c>
      <c r="AA3156" s="144"/>
      <c r="AB3156" s="130" t="s">
        <v>228</v>
      </c>
      <c r="AC3156" s="154" t="s">
        <v>187</v>
      </c>
      <c r="AD3156" s="144"/>
      <c r="AE3156" s="130" t="s">
        <v>228</v>
      </c>
      <c r="AF3156" s="154" t="s">
        <v>187</v>
      </c>
      <c r="AG3156" s="144"/>
      <c r="AH3156" s="130" t="s">
        <v>228</v>
      </c>
      <c r="AI3156" s="154" t="s">
        <v>187</v>
      </c>
      <c r="AJ3156" s="144"/>
      <c r="AK3156" s="130" t="s">
        <v>228</v>
      </c>
      <c r="AL3156" s="154" t="s">
        <v>187</v>
      </c>
      <c r="AM3156" s="144"/>
      <c r="AN3156" s="130" t="s">
        <v>228</v>
      </c>
      <c r="AO3156" s="154" t="s">
        <v>187</v>
      </c>
      <c r="AP3156" s="144"/>
      <c r="AQ3156" s="130" t="s">
        <v>228</v>
      </c>
      <c r="AR3156" s="154" t="s">
        <v>187</v>
      </c>
      <c r="AS3156" s="144"/>
      <c r="AT3156" s="130" t="s">
        <v>228</v>
      </c>
      <c r="AU3156" s="154" t="s">
        <v>187</v>
      </c>
    </row>
    <row r="3157" spans="13:47" x14ac:dyDescent="0.25">
      <c r="M3157" s="20"/>
      <c r="N3157" s="20"/>
      <c r="O3157" s="7" t="s">
        <v>188</v>
      </c>
      <c r="P3157" s="7"/>
      <c r="Q3157" s="7"/>
      <c r="R3157" s="181">
        <f>P_1_minW-(R3155^2*R_up)+dpup_minQ</f>
        <v>100.16468933764948</v>
      </c>
      <c r="S3157" s="132"/>
      <c r="T3157" s="145"/>
      <c r="U3157" s="138">
        <f>P_1_minW-(U3155^2*R_up)+dpup_minQ</f>
        <v>93.242952224848338</v>
      </c>
      <c r="V3157" s="132"/>
      <c r="W3157" s="145"/>
      <c r="X3157" s="138">
        <f>P_1_minW-(X3155^2*R_up)+dpup_minQ</f>
        <v>55.997006822593782</v>
      </c>
      <c r="Y3157" s="132"/>
      <c r="Z3157" s="145"/>
      <c r="AA3157" s="138">
        <f>P_1_minW-(AA3155^2*R_up)+dpup_minQ</f>
        <v>-68.395093263136928</v>
      </c>
      <c r="AB3157" s="132"/>
      <c r="AC3157" s="145"/>
      <c r="AD3157" s="138">
        <f>P_1_minW-(AD3155^2*R_up)+dpup_minQ</f>
        <v>-356.36863112347061</v>
      </c>
      <c r="AE3157" s="132"/>
      <c r="AF3157" s="145"/>
      <c r="AG3157" s="138">
        <f>P_1_minW-(AG3155^2*R_up)+dpup_minQ</f>
        <v>-798.28415444166092</v>
      </c>
      <c r="AH3157" s="132"/>
      <c r="AI3157" s="145"/>
      <c r="AJ3157" s="138">
        <f>P_1_minW-(AJ3155^2*R_up)+dpup_minQ</f>
        <v>-1348.5572026330794</v>
      </c>
      <c r="AK3157" s="132"/>
      <c r="AL3157" s="145"/>
      <c r="AM3157" s="138">
        <f>P_1_minW-(AM3155^2*R_up)+dpup_minQ</f>
        <v>-1891.8762370932286</v>
      </c>
      <c r="AN3157" s="132"/>
      <c r="AO3157" s="145"/>
      <c r="AP3157" s="138">
        <f>P_1_minW-(AP3155^2*R_up)+dpup_minQ</f>
        <v>-2379.4478771766717</v>
      </c>
      <c r="AQ3157" s="132"/>
      <c r="AR3157" s="145"/>
      <c r="AS3157" s="138">
        <f>P_1_minW-(AS3155^2*R_up)+dpup_minQ</f>
        <v>-2986.3360303533013</v>
      </c>
      <c r="AT3157" s="132"/>
      <c r="AU3157" s="145"/>
    </row>
    <row r="3158" spans="13:47" x14ac:dyDescent="0.25">
      <c r="M3158" s="20"/>
      <c r="N3158" s="20"/>
      <c r="O3158" s="7" t="s">
        <v>189</v>
      </c>
      <c r="P3158" s="1"/>
      <c r="Q3158" s="7"/>
      <c r="R3158" s="181">
        <f>P_2_minW+(R3155^2*R_dn)-dpdn_minQ</f>
        <v>50</v>
      </c>
      <c r="S3158" s="132"/>
      <c r="T3158" s="146"/>
      <c r="U3158" s="138">
        <f>P_2_minW+(U3155^2*R_dn)-dpdn_minQ</f>
        <v>50</v>
      </c>
      <c r="V3158" s="132"/>
      <c r="W3158" s="146"/>
      <c r="X3158" s="138">
        <f>P_2_minW+(X3155^2*R_dn)-dpdn_minQ</f>
        <v>50</v>
      </c>
      <c r="Y3158" s="132"/>
      <c r="Z3158" s="146"/>
      <c r="AA3158" s="138">
        <f>P_2_minW+(AA3155^2*R_dn)-dpdn_minQ</f>
        <v>50</v>
      </c>
      <c r="AB3158" s="132"/>
      <c r="AC3158" s="146"/>
      <c r="AD3158" s="138">
        <f>P_2_minW+(AD3155^2*R_dn)-dpdn_minQ</f>
        <v>50</v>
      </c>
      <c r="AE3158" s="132"/>
      <c r="AF3158" s="146"/>
      <c r="AG3158" s="138">
        <f>P_2_minW+(AG3155^2*R_dn)-dpdn_minQ</f>
        <v>50</v>
      </c>
      <c r="AH3158" s="132"/>
      <c r="AI3158" s="146"/>
      <c r="AJ3158" s="138">
        <f>P_2_minW+(AJ3155^2*R_dn)-dpdn_minQ</f>
        <v>50</v>
      </c>
      <c r="AK3158" s="132"/>
      <c r="AL3158" s="146"/>
      <c r="AM3158" s="138">
        <f>P_2_minW+(AM3155^2*R_dn)-dpdn_minQ</f>
        <v>50</v>
      </c>
      <c r="AN3158" s="132"/>
      <c r="AO3158" s="146"/>
      <c r="AP3158" s="138">
        <f>P_2_minW+(AP3155^2*R_dn)-dpdn_minQ</f>
        <v>50</v>
      </c>
      <c r="AQ3158" s="132"/>
      <c r="AR3158" s="146"/>
      <c r="AS3158" s="138">
        <f>P_2_minW+(AS3155^2*R_dn)-dpdn_minQ</f>
        <v>50</v>
      </c>
      <c r="AT3158" s="132"/>
      <c r="AU3158" s="146"/>
    </row>
    <row r="3159" spans="13:47" x14ac:dyDescent="0.25">
      <c r="M3159" s="20"/>
      <c r="N3159" s="20"/>
      <c r="O3159" s="7" t="s">
        <v>234</v>
      </c>
      <c r="P3159" s="1"/>
      <c r="Q3159" s="7"/>
      <c r="R3159" s="179">
        <f>'Valve Sizing'!G$8*R3157/P_1_maxW</f>
        <v>0.48317662814105466</v>
      </c>
      <c r="S3159" s="132"/>
      <c r="T3159" s="146"/>
      <c r="U3159" s="143">
        <f>'Valve Sizing'!$G$8*U3157/P_1_maxW</f>
        <v>0.4497874006482383</v>
      </c>
      <c r="V3159" s="132"/>
      <c r="W3159" s="146"/>
      <c r="X3159" s="143">
        <f>'Valve Sizing'!$G$8*X3157/P_1_maxW</f>
        <v>0.27011959125961804</v>
      </c>
      <c r="Y3159" s="132"/>
      <c r="Z3159" s="146"/>
      <c r="AA3159" s="143">
        <f>'Valve Sizing'!$G$8*AA3157/P_1_maxW</f>
        <v>-0.32992575290555937</v>
      </c>
      <c r="AB3159" s="132"/>
      <c r="AC3159" s="146"/>
      <c r="AD3159" s="143">
        <f>'Valve Sizing'!$G$8*AD3157/P_1_maxW</f>
        <v>-1.7190588290155078</v>
      </c>
      <c r="AE3159" s="132"/>
      <c r="AF3159" s="146"/>
      <c r="AG3159" s="143">
        <f>'Valve Sizing'!$G$8*AG3157/P_1_maxW</f>
        <v>-3.8507806352929479</v>
      </c>
      <c r="AH3159" s="132"/>
      <c r="AI3159" s="146"/>
      <c r="AJ3159" s="143">
        <f>'Valve Sizing'!$G$8*AJ3157/P_1_maxW</f>
        <v>-6.5051998496906123</v>
      </c>
      <c r="AK3159" s="132"/>
      <c r="AL3159" s="146"/>
      <c r="AM3159" s="143">
        <f>'Valve Sizing'!$G$8*AM3157/P_1_maxW</f>
        <v>-9.1260741399344685</v>
      </c>
      <c r="AN3159" s="132"/>
      <c r="AO3159" s="146"/>
      <c r="AP3159" s="143">
        <f>'Valve Sizing'!$G$8*AP3157/P_1_maxW</f>
        <v>-11.47803292491691</v>
      </c>
      <c r="AQ3159" s="132"/>
      <c r="AR3159" s="146"/>
      <c r="AS3159" s="143">
        <f>'Valve Sizing'!$G$8*AS3157/P_1_maxW</f>
        <v>-14.405553326065064</v>
      </c>
      <c r="AT3159" s="132"/>
      <c r="AU3159" s="146"/>
    </row>
    <row r="3160" spans="13:47" x14ac:dyDescent="0.25">
      <c r="M3160" s="20"/>
      <c r="N3160" s="20"/>
      <c r="O3160" s="7" t="s">
        <v>190</v>
      </c>
      <c r="P3160" s="1"/>
      <c r="Q3160" s="7"/>
      <c r="R3160" s="181">
        <f>R3157-R3158</f>
        <v>50.164689337649477</v>
      </c>
      <c r="S3160" s="132"/>
      <c r="T3160" s="146"/>
      <c r="U3160" s="138">
        <f>U3157-U3158</f>
        <v>43.242952224848338</v>
      </c>
      <c r="V3160" s="132"/>
      <c r="W3160" s="146"/>
      <c r="X3160" s="138">
        <f>X3157-X3158</f>
        <v>5.9970068225937823</v>
      </c>
      <c r="Y3160" s="132"/>
      <c r="Z3160" s="146"/>
      <c r="AA3160" s="138">
        <f>AA3157-AA3158</f>
        <v>-118.39509326313693</v>
      </c>
      <c r="AB3160" s="132"/>
      <c r="AC3160" s="146"/>
      <c r="AD3160" s="138">
        <f>AD3157-AD3158</f>
        <v>-406.36863112347061</v>
      </c>
      <c r="AE3160" s="132"/>
      <c r="AF3160" s="146"/>
      <c r="AG3160" s="138">
        <f>AG3157-AG3158</f>
        <v>-848.28415444166092</v>
      </c>
      <c r="AH3160" s="132"/>
      <c r="AI3160" s="146"/>
      <c r="AJ3160" s="138">
        <f>AJ3157-AJ3158</f>
        <v>-1398.5572026330794</v>
      </c>
      <c r="AK3160" s="132"/>
      <c r="AL3160" s="146"/>
      <c r="AM3160" s="138">
        <f>AM3157-AM3158</f>
        <v>-1941.8762370932286</v>
      </c>
      <c r="AN3160" s="132"/>
      <c r="AO3160" s="146"/>
      <c r="AP3160" s="138">
        <f>AP3157-AP3158</f>
        <v>-2429.4478771766717</v>
      </c>
      <c r="AQ3160" s="132"/>
      <c r="AR3160" s="146"/>
      <c r="AS3160" s="138">
        <f>AS3157-AS3158</f>
        <v>-3036.3360303533013</v>
      </c>
      <c r="AT3160" s="132"/>
      <c r="AU3160" s="146"/>
    </row>
    <row r="3161" spans="13:47" ht="14.5" x14ac:dyDescent="0.35">
      <c r="M3161" s="27"/>
      <c r="N3161" s="27"/>
      <c r="O3161" s="2" t="s">
        <v>191</v>
      </c>
      <c r="P3161" s="10"/>
      <c r="Q3161" s="2"/>
      <c r="R3161" s="181">
        <f>R3160/R3157</f>
        <v>0.50082209278907819</v>
      </c>
      <c r="S3161" s="132"/>
      <c r="T3161" s="146"/>
      <c r="U3161" s="138">
        <f>U3160/U3157</f>
        <v>0.46376644232125153</v>
      </c>
      <c r="V3161" s="132"/>
      <c r="W3161" s="146"/>
      <c r="X3161" s="138">
        <f>X3160/X3157</f>
        <v>0.10709513173790029</v>
      </c>
      <c r="Y3161" s="132"/>
      <c r="Z3161" s="146"/>
      <c r="AA3161" s="138">
        <f>AA3160/AA3157</f>
        <v>1.731046594346098</v>
      </c>
      <c r="AB3161" s="132"/>
      <c r="AC3161" s="146"/>
      <c r="AD3161" s="138">
        <f>AD3160/AD3157</f>
        <v>1.14030415595888</v>
      </c>
      <c r="AE3161" s="132"/>
      <c r="AF3161" s="146"/>
      <c r="AG3161" s="138">
        <f>AG3160/AG3157</f>
        <v>1.0626343385645318</v>
      </c>
      <c r="AH3161" s="132"/>
      <c r="AI3161" s="146"/>
      <c r="AJ3161" s="138">
        <f>AJ3160/AJ3157</f>
        <v>1.0370766623042569</v>
      </c>
      <c r="AK3161" s="132"/>
      <c r="AL3161" s="146"/>
      <c r="AM3161" s="138">
        <f>AM3160/AM3157</f>
        <v>1.0264287901183338</v>
      </c>
      <c r="AN3161" s="132"/>
      <c r="AO3161" s="146"/>
      <c r="AP3161" s="138">
        <f>AP3160/AP3157</f>
        <v>1.0210132781136301</v>
      </c>
      <c r="AQ3161" s="132"/>
      <c r="AR3161" s="146"/>
      <c r="AS3161" s="138">
        <f>AS3160/AS3157</f>
        <v>1.0167429249393896</v>
      </c>
      <c r="AT3161" s="132"/>
      <c r="AU3161" s="146"/>
    </row>
    <row r="3162" spans="13:47" x14ac:dyDescent="0.25">
      <c r="M3162" s="27"/>
      <c r="N3162" s="27"/>
      <c r="O3162" s="2" t="s">
        <v>26</v>
      </c>
      <c r="P3162" s="7">
        <v>12</v>
      </c>
      <c r="Q3162" s="2"/>
      <c r="R3162" s="181">
        <f>1-R3161/(3*F_GAMMA*R$29)</f>
        <v>0.73916611509065144</v>
      </c>
      <c r="S3162" s="133"/>
      <c r="T3162" s="146"/>
      <c r="U3162" s="138">
        <f>1-U3161/(3*F_GAMMA*U$29)</f>
        <v>0.75851830244505902</v>
      </c>
      <c r="V3162" s="133"/>
      <c r="W3162" s="146"/>
      <c r="X3162" s="138">
        <f>1-X3161/(3*F_GAMMA*X$29)</f>
        <v>0.94339935862489777</v>
      </c>
      <c r="Y3162" s="133"/>
      <c r="Z3162" s="146"/>
      <c r="AA3162" s="138">
        <f>1-AA3161/(3*F_GAMMA*AA$29)</f>
        <v>7.2583735856492582E-2</v>
      </c>
      <c r="AB3162" s="133"/>
      <c r="AC3162" s="146"/>
      <c r="AD3162" s="138">
        <f>1-AD3161/(3*F_GAMMA*AD$29)</f>
        <v>0.37232652820092516</v>
      </c>
      <c r="AE3162" s="133"/>
      <c r="AF3162" s="146"/>
      <c r="AG3162" s="138">
        <f>1-AG3161/(3*F_GAMMA*AG$29)</f>
        <v>0.38171461143334606</v>
      </c>
      <c r="AH3162" s="133"/>
      <c r="AI3162" s="146"/>
      <c r="AJ3162" s="138">
        <f>1-AJ3161/(3*F_GAMMA*AJ$29)</f>
        <v>0.35494133795660932</v>
      </c>
      <c r="AK3162" s="133"/>
      <c r="AL3162" s="146"/>
      <c r="AM3162" s="138">
        <f>1-AM3161/(3*F_GAMMA*AM$29)</f>
        <v>0.30244405787551665</v>
      </c>
      <c r="AN3162" s="133"/>
      <c r="AO3162" s="146"/>
      <c r="AP3162" s="138">
        <f>1-AP3161/(3*F_GAMMA*AP$29)</f>
        <v>0.42658689586944276</v>
      </c>
      <c r="AQ3162" s="133"/>
      <c r="AR3162" s="146"/>
      <c r="AS3162" s="138">
        <f>1-AS3161/(3*F_GAMMA*AS$29)</f>
        <v>0.13314988060939381</v>
      </c>
      <c r="AT3162" s="133"/>
      <c r="AU3162" s="146"/>
    </row>
    <row r="3163" spans="13:47" x14ac:dyDescent="0.25">
      <c r="M3163" s="27"/>
      <c r="N3163" s="27"/>
      <c r="O3163" s="2" t="s">
        <v>71</v>
      </c>
      <c r="P3163" s="85">
        <v>5</v>
      </c>
      <c r="Q3163" s="2"/>
      <c r="R3163" s="179">
        <f>R3155/((N_6*R$27*R3162)*SQRT(R3161*R3157*R3159))</f>
        <v>4.1143143132488307</v>
      </c>
      <c r="S3163" s="133"/>
      <c r="T3163" s="146"/>
      <c r="U3163" s="143">
        <f>U3155/((N_6*U$27*U3162)*SQRT(U3161*U3157*U3159))</f>
        <v>20.192695539324383</v>
      </c>
      <c r="V3163" s="133"/>
      <c r="W3163" s="146"/>
      <c r="X3163" s="143">
        <f>X3155/((N_6*X$27*X3162)*SQRT(X3161*X3157*X3159))</f>
        <v>139.43995057293816</v>
      </c>
      <c r="Y3163" s="133"/>
      <c r="Z3163" s="146"/>
      <c r="AA3163" s="143">
        <f>AA3155/((N_6*AA$27*AA3162)*SQRT(AA3161*AA3157*AA3159))</f>
        <v>722.99693818006267</v>
      </c>
      <c r="AB3163" s="133"/>
      <c r="AC3163" s="146"/>
      <c r="AD3163" s="143">
        <f>AD3155/((N_6*AD$27*AD3162)*SQRT(AD3161*AD3157*AD3159))</f>
        <v>55.466998662107223</v>
      </c>
      <c r="AE3163" s="133"/>
      <c r="AF3163" s="146"/>
      <c r="AG3163" s="143">
        <f>AG3155/((N_6*AG$27*AG3162)*SQRT(AG3161*AG3157*AG3159))</f>
        <v>35.849052717407147</v>
      </c>
      <c r="AH3163" s="133"/>
      <c r="AI3163" s="146"/>
      <c r="AJ3163" s="143">
        <f>AJ3155/((N_6*AJ$27*AJ3162)*SQRT(AJ3161*AJ3157*AJ3159))</f>
        <v>30.339405133681627</v>
      </c>
      <c r="AK3163" s="133"/>
      <c r="AL3163" s="146"/>
      <c r="AM3163" s="143">
        <f>AM3155/((N_6*AM$27*AM3162)*SQRT(AM3161*AM3157*AM3159))</f>
        <v>31.751370822992186</v>
      </c>
      <c r="AN3163" s="133"/>
      <c r="AO3163" s="146"/>
      <c r="AP3163" s="143">
        <f>AP3155/((N_6*AP$27*AP3162)*SQRT(AP3161*AP3157*AP3159))</f>
        <v>22.743353641510893</v>
      </c>
      <c r="AQ3163" s="133"/>
      <c r="AR3163" s="146"/>
      <c r="AS3163" s="143">
        <f>AS3155/((N_6*AS$27*AS3162)*SQRT(AS3161*AS3157*AS3159))</f>
        <v>85.288681562799255</v>
      </c>
      <c r="AT3163" s="133"/>
      <c r="AU3163" s="146"/>
    </row>
    <row r="3164" spans="13:47" x14ac:dyDescent="0.25">
      <c r="M3164" s="27"/>
      <c r="N3164" s="27"/>
      <c r="O3164" s="2" t="s">
        <v>73</v>
      </c>
      <c r="P3164" s="85">
        <v>5</v>
      </c>
      <c r="Q3164" s="2"/>
      <c r="R3164" s="179">
        <f>R3155/((N_6*R$27*0.667)*SQRT(R3165*R3157*R3159))</f>
        <v>4.0332608860418393</v>
      </c>
      <c r="S3164" s="133"/>
      <c r="T3164" s="155"/>
      <c r="U3164" s="143">
        <f>U3155/((N_6*U$27*0.667)*SQRT(U3165*U3157*U3159))</f>
        <v>19.545071571299154</v>
      </c>
      <c r="V3164" s="133"/>
      <c r="W3164" s="155"/>
      <c r="X3164" s="143">
        <f>X3155/((N_6*X$27*0.667)*SQRT(X3165*X3157*X3159))</f>
        <v>81.269626998451386</v>
      </c>
      <c r="Y3164" s="133"/>
      <c r="Z3164" s="155"/>
      <c r="AA3164" s="143">
        <f>AA3155/((N_6*AA$27*0.667)*SQRT(AA3165*AA3157*AA3159))</f>
        <v>131.23447037156893</v>
      </c>
      <c r="AB3164" s="133"/>
      <c r="AC3164" s="155"/>
      <c r="AD3164" s="143">
        <f>AD3155/((N_6*AD$27*0.667)*SQRT(AD3165*AD3157*AD3159))</f>
        <v>42.487416864242171</v>
      </c>
      <c r="AE3164" s="133"/>
      <c r="AF3164" s="155"/>
      <c r="AG3164" s="143">
        <f>AG3155/((N_6*AG$27*0.667)*SQRT(AG3165*AG3157*AG3159))</f>
        <v>27.941245020979519</v>
      </c>
      <c r="AH3164" s="133"/>
      <c r="AI3164" s="155"/>
      <c r="AJ3164" s="143">
        <f>AJ3155/((N_6*AJ$27*0.667)*SQRT(AJ3165*AJ3157*AJ3159))</f>
        <v>22.459394443608073</v>
      </c>
      <c r="AK3164" s="133"/>
      <c r="AL3164" s="155"/>
      <c r="AM3164" s="143">
        <f>AM3155/((N_6*AM$27*0.667)*SQRT(AM3165*AM3157*AM3159))</f>
        <v>20.827246215152851</v>
      </c>
      <c r="AN3164" s="133"/>
      <c r="AO3164" s="155"/>
      <c r="AP3164" s="143">
        <f>AP3155/((N_6*AP$27*0.667)*SQRT(AP3165*AP3157*AP3159))</f>
        <v>19.077902064063952</v>
      </c>
      <c r="AQ3164" s="133"/>
      <c r="AR3164" s="155"/>
      <c r="AS3164" s="143">
        <f>AS3155/((N_6*AS$27*0.667)*SQRT(AS3165*AS3157*AS3159))</f>
        <v>27.456108498779976</v>
      </c>
      <c r="AT3164" s="133"/>
      <c r="AU3164" s="155"/>
    </row>
    <row r="3165" spans="13:47" ht="15.5" x14ac:dyDescent="0.4">
      <c r="M3165" s="27"/>
      <c r="N3165" s="27"/>
      <c r="O3165" s="2" t="s">
        <v>192</v>
      </c>
      <c r="P3165" s="85">
        <v>10</v>
      </c>
      <c r="Q3165" s="2"/>
      <c r="R3165" s="181">
        <f>F_GAMMA*R$29</f>
        <v>0.64002688015162901</v>
      </c>
      <c r="S3165" s="133"/>
      <c r="T3165" s="155"/>
      <c r="U3165" s="138">
        <f>F_GAMMA*U$29</f>
        <v>0.64016782916606918</v>
      </c>
      <c r="V3165" s="133"/>
      <c r="W3165" s="155"/>
      <c r="X3165" s="138">
        <f>F_GAMMA*X$29</f>
        <v>0.6307062319203669</v>
      </c>
      <c r="Y3165" s="133"/>
      <c r="Z3165" s="155"/>
      <c r="AA3165" s="138">
        <f>F_GAMMA*AA$29</f>
        <v>0.62217534213893466</v>
      </c>
      <c r="AB3165" s="133"/>
      <c r="AC3165" s="155"/>
      <c r="AD3165" s="138">
        <f>F_GAMMA*AD$29</f>
        <v>0.60557184969146072</v>
      </c>
      <c r="AE3165" s="133"/>
      <c r="AF3165" s="155"/>
      <c r="AG3165" s="138">
        <f>F_GAMMA*AG$29</f>
        <v>0.57289312142622573</v>
      </c>
      <c r="AH3165" s="133"/>
      <c r="AI3165" s="155"/>
      <c r="AJ3165" s="138">
        <f>F_GAMMA*AJ$29</f>
        <v>0.53590819116049981</v>
      </c>
      <c r="AK3165" s="133"/>
      <c r="AL3165" s="155"/>
      <c r="AM3165" s="138">
        <f>F_GAMMA*AM$29</f>
        <v>0.49048815926850342</v>
      </c>
      <c r="AN3165" s="133"/>
      <c r="AO3165" s="155"/>
      <c r="AP3165" s="138">
        <f>F_GAMMA*AP$29</f>
        <v>0.59352979016280105</v>
      </c>
      <c r="AQ3165" s="133"/>
      <c r="AR3165" s="155"/>
      <c r="AS3165" s="138">
        <f>F_GAMMA*AS$29</f>
        <v>0.39097221161068291</v>
      </c>
      <c r="AT3165" s="133"/>
      <c r="AU3165" s="155"/>
    </row>
    <row r="3166" spans="13:47" x14ac:dyDescent="0.25">
      <c r="M3166" s="27"/>
      <c r="N3166" s="27"/>
      <c r="O3166" s="2" t="s">
        <v>193</v>
      </c>
      <c r="P3166" s="134"/>
      <c r="Q3166" s="2"/>
      <c r="R3166" s="181">
        <f>IF(R3161&lt;R3165,R3163,R3164)</f>
        <v>4.1143143132488307</v>
      </c>
      <c r="S3166" s="133"/>
      <c r="T3166" s="155"/>
      <c r="U3166" s="138">
        <f>IF(U3161&lt;U3165,U3163,U3164)</f>
        <v>20.192695539324383</v>
      </c>
      <c r="V3166" s="133"/>
      <c r="W3166" s="155"/>
      <c r="X3166" s="138">
        <f>IF(X3161&lt;X3165,X3163,X3164)</f>
        <v>139.43995057293816</v>
      </c>
      <c r="Y3166" s="133"/>
      <c r="Z3166" s="155"/>
      <c r="AA3166" s="138">
        <f>IF(AA3161&lt;AA3165,AA3163,AA3164)</f>
        <v>131.23447037156893</v>
      </c>
      <c r="AB3166" s="133"/>
      <c r="AC3166" s="155"/>
      <c r="AD3166" s="138">
        <f>IF(AD3161&lt;AD3165,AD3163,AD3164)</f>
        <v>42.487416864242171</v>
      </c>
      <c r="AE3166" s="133"/>
      <c r="AF3166" s="155"/>
      <c r="AG3166" s="138">
        <f>IF(AG3161&lt;AG3165,AG3163,AG3164)</f>
        <v>27.941245020979519</v>
      </c>
      <c r="AH3166" s="133"/>
      <c r="AI3166" s="155"/>
      <c r="AJ3166" s="138">
        <f>IF(AJ3161&lt;AJ3165,AJ3163,AJ3164)</f>
        <v>22.459394443608073</v>
      </c>
      <c r="AK3166" s="133"/>
      <c r="AL3166" s="155"/>
      <c r="AM3166" s="138">
        <f>IF(AM3161&lt;AM3165,AM3163,AM3164)</f>
        <v>20.827246215152851</v>
      </c>
      <c r="AN3166" s="133"/>
      <c r="AO3166" s="155"/>
      <c r="AP3166" s="138">
        <f>IF(AP3161&lt;AP3165,AP3163,AP3164)</f>
        <v>19.077902064063952</v>
      </c>
      <c r="AQ3166" s="133"/>
      <c r="AR3166" s="155"/>
      <c r="AS3166" s="138">
        <f>IF(AS3161&lt;AS3165,AS3163,AS3164)</f>
        <v>27.456108498779976</v>
      </c>
      <c r="AT3166" s="133"/>
      <c r="AU3166" s="155"/>
    </row>
    <row r="3167" spans="13:47" ht="13" x14ac:dyDescent="0.3">
      <c r="M3167" s="28"/>
      <c r="N3167" s="28"/>
      <c r="O3167" s="9" t="s">
        <v>194</v>
      </c>
      <c r="P3167" s="1"/>
      <c r="Q3167" s="1"/>
      <c r="R3167" s="135"/>
      <c r="S3167" s="132">
        <f>IF(R3160&lt;=0,W_max,ABS(R$23-R3166))</f>
        <v>2.1143143132488307</v>
      </c>
      <c r="T3167" s="151">
        <f>R3155</f>
        <v>947.64088486005869</v>
      </c>
      <c r="U3167" s="135"/>
      <c r="V3167" s="132">
        <f>IF(U3160&lt;=0,W_max,ABS(U$23-U3166))</f>
        <v>15.192695539324383</v>
      </c>
      <c r="W3167" s="151">
        <f>U3155</f>
        <v>4272.7153379421588</v>
      </c>
      <c r="X3167" s="135"/>
      <c r="Y3167" s="132">
        <f>IF(X3160&lt;=0,W_max,ABS(X$23-X3166))</f>
        <v>129.43995057293816</v>
      </c>
      <c r="Z3167" s="151">
        <f>X3155</f>
        <v>10566.933489816467</v>
      </c>
      <c r="AA3167" s="135"/>
      <c r="AB3167" s="132">
        <f>IF(AA3160&lt;=0,W_max,ABS(AA$23-AA3166))</f>
        <v>7174</v>
      </c>
      <c r="AC3167" s="151">
        <f>AA3155</f>
        <v>20581.689276856068</v>
      </c>
      <c r="AD3167" s="135"/>
      <c r="AE3167" s="132">
        <f>IF(AD3160&lt;=0,W_max,ABS(AD$23-AD3166))</f>
        <v>7174</v>
      </c>
      <c r="AF3167" s="151">
        <f>AD3155</f>
        <v>33849.301132020497</v>
      </c>
      <c r="AG3167" s="135"/>
      <c r="AH3167" s="132">
        <f>IF(AG3160&lt;=0,W_max,ABS(AG$23-AG3166))</f>
        <v>7174</v>
      </c>
      <c r="AI3167" s="151">
        <f>AG3155</f>
        <v>47476.250765695615</v>
      </c>
      <c r="AJ3167" s="135"/>
      <c r="AK3167" s="132">
        <f>IF(AJ3160&lt;=0,W_max,ABS(AJ$23-AJ3166))</f>
        <v>7174</v>
      </c>
      <c r="AL3167" s="151">
        <f>AJ3155</f>
        <v>60282.24057959357</v>
      </c>
      <c r="AM3167" s="135"/>
      <c r="AN3167" s="132">
        <f>IF(AM3160&lt;=0,W_max,ABS(AM$23-AM3166))</f>
        <v>7174</v>
      </c>
      <c r="AO3167" s="151">
        <f>AM3155</f>
        <v>70685.667971784205</v>
      </c>
      <c r="AP3167" s="135"/>
      <c r="AQ3167" s="132">
        <f>IF(AP3160&lt;=0,W_max,ABS(AP$23-AP3166))</f>
        <v>7174</v>
      </c>
      <c r="AR3167" s="151">
        <f>AP3155</f>
        <v>78861.762319014</v>
      </c>
      <c r="AS3167" s="135"/>
      <c r="AT3167" s="132">
        <f>IF(AS3160&lt;=0,W_max,ABS(AS$23-AS3166))</f>
        <v>7174</v>
      </c>
      <c r="AU3167" s="151">
        <f>AS3155</f>
        <v>87983.571981567511</v>
      </c>
    </row>
    <row r="3168" spans="13:47" ht="13" x14ac:dyDescent="0.25">
      <c r="M3168" s="12"/>
      <c r="N3168" s="12"/>
      <c r="O3168" s="2"/>
      <c r="P3168" s="85"/>
      <c r="Q3168" s="2"/>
      <c r="R3168" s="18"/>
      <c r="S3168" s="150"/>
      <c r="T3168" s="152"/>
      <c r="U3168" s="157"/>
      <c r="V3168" s="1"/>
      <c r="W3168" s="147"/>
      <c r="X3168" s="157"/>
      <c r="Y3168" s="1"/>
      <c r="Z3168" s="147"/>
      <c r="AA3168" s="157"/>
      <c r="AB3168" s="1"/>
      <c r="AC3168" s="147"/>
      <c r="AD3168" s="157"/>
      <c r="AE3168" s="1"/>
      <c r="AF3168" s="147"/>
      <c r="AG3168" s="157"/>
      <c r="AH3168" s="1"/>
      <c r="AI3168" s="147"/>
      <c r="AJ3168" s="157"/>
      <c r="AK3168" s="1"/>
      <c r="AL3168" s="147"/>
      <c r="AM3168" s="157"/>
      <c r="AN3168" s="1"/>
      <c r="AO3168" s="147"/>
      <c r="AP3168" s="157"/>
      <c r="AQ3168" s="1"/>
      <c r="AR3168" s="147"/>
      <c r="AS3168" s="157"/>
      <c r="AT3168" s="1"/>
      <c r="AU3168" s="147"/>
    </row>
    <row r="3169" spans="13:47" ht="14" x14ac:dyDescent="0.3">
      <c r="M3169" s="23"/>
      <c r="N3169" s="23"/>
      <c r="O3169" s="23" t="s">
        <v>238</v>
      </c>
      <c r="P3169" s="20"/>
      <c r="Q3169" s="20"/>
      <c r="R3169" s="181">
        <f>R3155*1.02</f>
        <v>966.59370255725992</v>
      </c>
      <c r="S3169" s="128" t="s">
        <v>185</v>
      </c>
      <c r="T3169" s="153" t="s">
        <v>186</v>
      </c>
      <c r="U3169" s="143">
        <f>U3155*1.01</f>
        <v>4315.4424913215807</v>
      </c>
      <c r="V3169" s="128" t="s">
        <v>185</v>
      </c>
      <c r="W3169" s="153" t="s">
        <v>186</v>
      </c>
      <c r="X3169" s="143">
        <f>X3155*1.01</f>
        <v>10672.602824714631</v>
      </c>
      <c r="Y3169" s="128" t="s">
        <v>185</v>
      </c>
      <c r="Z3169" s="153" t="s">
        <v>186</v>
      </c>
      <c r="AA3169" s="143">
        <f>AA3155*1.01</f>
        <v>20787.50616962463</v>
      </c>
      <c r="AB3169" s="128" t="s">
        <v>185</v>
      </c>
      <c r="AC3169" s="153" t="s">
        <v>186</v>
      </c>
      <c r="AD3169" s="143">
        <f>AD3155*1.01</f>
        <v>34187.794143340703</v>
      </c>
      <c r="AE3169" s="128" t="s">
        <v>185</v>
      </c>
      <c r="AF3169" s="153" t="s">
        <v>186</v>
      </c>
      <c r="AG3169" s="143">
        <f>AG3155*1.01</f>
        <v>47951.013273352568</v>
      </c>
      <c r="AH3169" s="128" t="s">
        <v>185</v>
      </c>
      <c r="AI3169" s="153" t="s">
        <v>186</v>
      </c>
      <c r="AJ3169" s="143">
        <f>AJ3155*1.01</f>
        <v>60885.062985389508</v>
      </c>
      <c r="AK3169" s="128" t="s">
        <v>185</v>
      </c>
      <c r="AL3169" s="153" t="s">
        <v>186</v>
      </c>
      <c r="AM3169" s="143">
        <f>AM3155*1.01</f>
        <v>71392.524651502041</v>
      </c>
      <c r="AN3169" s="128" t="s">
        <v>185</v>
      </c>
      <c r="AO3169" s="153" t="s">
        <v>186</v>
      </c>
      <c r="AP3169" s="143">
        <f>AP3155*1.01</f>
        <v>79650.379942204134</v>
      </c>
      <c r="AQ3169" s="128" t="s">
        <v>185</v>
      </c>
      <c r="AR3169" s="153" t="s">
        <v>186</v>
      </c>
      <c r="AS3169" s="143">
        <f>AS3155*1.01</f>
        <v>88863.407701383185</v>
      </c>
      <c r="AT3169" s="128" t="s">
        <v>185</v>
      </c>
      <c r="AU3169" s="153" t="s">
        <v>186</v>
      </c>
    </row>
    <row r="3170" spans="13:47" ht="14" x14ac:dyDescent="0.3">
      <c r="M3170" s="12"/>
      <c r="N3170" s="12"/>
      <c r="O3170" s="20"/>
      <c r="P3170" s="20"/>
      <c r="Q3170" s="23"/>
      <c r="R3170" s="139"/>
      <c r="S3170" s="130" t="s">
        <v>228</v>
      </c>
      <c r="T3170" s="154" t="s">
        <v>187</v>
      </c>
      <c r="U3170" s="144"/>
      <c r="V3170" s="130" t="s">
        <v>228</v>
      </c>
      <c r="W3170" s="154" t="s">
        <v>187</v>
      </c>
      <c r="X3170" s="144"/>
      <c r="Y3170" s="130" t="s">
        <v>228</v>
      </c>
      <c r="Z3170" s="154" t="s">
        <v>187</v>
      </c>
      <c r="AA3170" s="144"/>
      <c r="AB3170" s="130" t="s">
        <v>228</v>
      </c>
      <c r="AC3170" s="154" t="s">
        <v>187</v>
      </c>
      <c r="AD3170" s="144"/>
      <c r="AE3170" s="130" t="s">
        <v>228</v>
      </c>
      <c r="AF3170" s="154" t="s">
        <v>187</v>
      </c>
      <c r="AG3170" s="144"/>
      <c r="AH3170" s="130" t="s">
        <v>228</v>
      </c>
      <c r="AI3170" s="154" t="s">
        <v>187</v>
      </c>
      <c r="AJ3170" s="144"/>
      <c r="AK3170" s="130" t="s">
        <v>228</v>
      </c>
      <c r="AL3170" s="154" t="s">
        <v>187</v>
      </c>
      <c r="AM3170" s="144"/>
      <c r="AN3170" s="130" t="s">
        <v>228</v>
      </c>
      <c r="AO3170" s="154" t="s">
        <v>187</v>
      </c>
      <c r="AP3170" s="144"/>
      <c r="AQ3170" s="130" t="s">
        <v>228</v>
      </c>
      <c r="AR3170" s="154" t="s">
        <v>187</v>
      </c>
      <c r="AS3170" s="144"/>
      <c r="AT3170" s="130" t="s">
        <v>228</v>
      </c>
      <c r="AU3170" s="154" t="s">
        <v>187</v>
      </c>
    </row>
    <row r="3171" spans="13:47" x14ac:dyDescent="0.25">
      <c r="M3171" s="20"/>
      <c r="N3171" s="20"/>
      <c r="O3171" s="7" t="s">
        <v>188</v>
      </c>
      <c r="P3171" s="7"/>
      <c r="Q3171" s="7"/>
      <c r="R3171" s="181">
        <f>P_1_minW-(R3169^2*R_up)+dpup_minQ</f>
        <v>100.15022220272675</v>
      </c>
      <c r="S3171" s="132"/>
      <c r="T3171" s="145"/>
      <c r="U3171" s="138">
        <f>P_1_minW-(U3169^2*R_up)+dpup_minQ</f>
        <v>93.096627551159571</v>
      </c>
      <c r="V3171" s="132"/>
      <c r="W3171" s="145"/>
      <c r="X3171" s="138">
        <f>P_1_minW-(X3169^2*R_up)+dpup_minQ</f>
        <v>55.102038646319713</v>
      </c>
      <c r="Y3171" s="132"/>
      <c r="Z3171" s="145"/>
      <c r="AA3171" s="138">
        <f>P_1_minW-(AA3169^2*R_up)+dpup_minQ</f>
        <v>-71.790342651134196</v>
      </c>
      <c r="AB3171" s="132"/>
      <c r="AC3171" s="145"/>
      <c r="AD3171" s="138">
        <f>P_1_minW-(AD3169^2*R_up)+dpup_minQ</f>
        <v>-365.55214862246066</v>
      </c>
      <c r="AE3171" s="132"/>
      <c r="AF3171" s="145"/>
      <c r="AG3171" s="138">
        <f>P_1_minW-(AG3169^2*R_up)+dpup_minQ</f>
        <v>-816.35017395934642</v>
      </c>
      <c r="AH3171" s="132"/>
      <c r="AI3171" s="145"/>
      <c r="AJ3171" s="138">
        <f>P_1_minW-(AJ3169^2*R_up)+dpup_minQ</f>
        <v>-1377.6837104194126</v>
      </c>
      <c r="AK3171" s="132"/>
      <c r="AL3171" s="145"/>
      <c r="AM3171" s="138">
        <f>P_1_minW-(AM3169^2*R_up)+dpup_minQ</f>
        <v>-1931.9234574722107</v>
      </c>
      <c r="AN3171" s="132"/>
      <c r="AO3171" s="145"/>
      <c r="AP3171" s="138">
        <f>P_1_minW-(AP3169^2*R_up)+dpup_minQ</f>
        <v>-2429.2952875213305</v>
      </c>
      <c r="AQ3171" s="132"/>
      <c r="AR3171" s="145"/>
      <c r="AS3171" s="138">
        <f>P_1_minW-(AS3169^2*R_up)+dpup_minQ</f>
        <v>-3048.3818925768105</v>
      </c>
      <c r="AT3171" s="132"/>
      <c r="AU3171" s="145"/>
    </row>
    <row r="3172" spans="13:47" x14ac:dyDescent="0.25">
      <c r="M3172" s="20"/>
      <c r="N3172" s="20"/>
      <c r="O3172" s="7" t="s">
        <v>189</v>
      </c>
      <c r="P3172" s="1"/>
      <c r="Q3172" s="7"/>
      <c r="R3172" s="181">
        <f>P_2_minW+(R3169^2*R_dn)-dpdn_minQ</f>
        <v>50</v>
      </c>
      <c r="S3172" s="132"/>
      <c r="T3172" s="146"/>
      <c r="U3172" s="138">
        <f>P_2_minW+(U3169^2*R_dn)-dpdn_minQ</f>
        <v>50</v>
      </c>
      <c r="V3172" s="132"/>
      <c r="W3172" s="146"/>
      <c r="X3172" s="138">
        <f>P_2_minW+(X3169^2*R_dn)-dpdn_minQ</f>
        <v>50</v>
      </c>
      <c r="Y3172" s="132"/>
      <c r="Z3172" s="146"/>
      <c r="AA3172" s="138">
        <f>P_2_minW+(AA3169^2*R_dn)-dpdn_minQ</f>
        <v>50</v>
      </c>
      <c r="AB3172" s="132"/>
      <c r="AC3172" s="146"/>
      <c r="AD3172" s="138">
        <f>P_2_minW+(AD3169^2*R_dn)-dpdn_minQ</f>
        <v>50</v>
      </c>
      <c r="AE3172" s="132"/>
      <c r="AF3172" s="146"/>
      <c r="AG3172" s="138">
        <f>P_2_minW+(AG3169^2*R_dn)-dpdn_minQ</f>
        <v>50</v>
      </c>
      <c r="AH3172" s="132"/>
      <c r="AI3172" s="146"/>
      <c r="AJ3172" s="138">
        <f>P_2_minW+(AJ3169^2*R_dn)-dpdn_minQ</f>
        <v>50</v>
      </c>
      <c r="AK3172" s="132"/>
      <c r="AL3172" s="146"/>
      <c r="AM3172" s="138">
        <f>P_2_minW+(AM3169^2*R_dn)-dpdn_minQ</f>
        <v>50</v>
      </c>
      <c r="AN3172" s="132"/>
      <c r="AO3172" s="146"/>
      <c r="AP3172" s="138">
        <f>P_2_minW+(AP3169^2*R_dn)-dpdn_minQ</f>
        <v>50</v>
      </c>
      <c r="AQ3172" s="132"/>
      <c r="AR3172" s="146"/>
      <c r="AS3172" s="138">
        <f>P_2_minW+(AS3169^2*R_dn)-dpdn_minQ</f>
        <v>50</v>
      </c>
      <c r="AT3172" s="132"/>
      <c r="AU3172" s="146"/>
    </row>
    <row r="3173" spans="13:47" x14ac:dyDescent="0.25">
      <c r="M3173" s="20"/>
      <c r="N3173" s="20"/>
      <c r="O3173" s="7" t="s">
        <v>234</v>
      </c>
      <c r="P3173" s="1"/>
      <c r="Q3173" s="7"/>
      <c r="R3173" s="179">
        <f>'Valve Sizing'!G$8*R3171/P_1_maxW</f>
        <v>0.48310684125790199</v>
      </c>
      <c r="S3173" s="132"/>
      <c r="T3173" s="146"/>
      <c r="U3173" s="143">
        <f>'Valve Sizing'!$G$8*U3171/P_1_maxW</f>
        <v>0.44908155647386616</v>
      </c>
      <c r="V3173" s="132"/>
      <c r="W3173" s="146"/>
      <c r="X3173" s="143">
        <f>'Valve Sizing'!$G$8*X3171/P_1_maxW</f>
        <v>0.26580242411653465</v>
      </c>
      <c r="Y3173" s="132"/>
      <c r="Z3173" s="146"/>
      <c r="AA3173" s="143">
        <f>'Valve Sizing'!$G$8*AA3171/P_1_maxW</f>
        <v>-0.3463038314663629</v>
      </c>
      <c r="AB3173" s="132"/>
      <c r="AC3173" s="146"/>
      <c r="AD3173" s="143">
        <f>'Valve Sizing'!$G$8*AD3171/P_1_maxW</f>
        <v>-1.7633584824061217</v>
      </c>
      <c r="AE3173" s="132"/>
      <c r="AF3173" s="146"/>
      <c r="AG3173" s="143">
        <f>'Valve Sizing'!$G$8*AG3171/P_1_maxW</f>
        <v>-3.9379278969897378</v>
      </c>
      <c r="AH3173" s="132"/>
      <c r="AI3173" s="146"/>
      <c r="AJ3173" s="143">
        <f>'Valve Sizing'!$G$8*AJ3171/P_1_maxW</f>
        <v>-6.6457009375967955</v>
      </c>
      <c r="AK3173" s="132"/>
      <c r="AL3173" s="146"/>
      <c r="AM3173" s="143">
        <f>'Valve Sizing'!$G$8*AM3171/P_1_maxW</f>
        <v>-9.3192548010745533</v>
      </c>
      <c r="AN3173" s="132"/>
      <c r="AO3173" s="146"/>
      <c r="AP3173" s="143">
        <f>'Valve Sizing'!$G$8*AP3171/P_1_maxW</f>
        <v>-11.718487957635139</v>
      </c>
      <c r="AQ3173" s="132"/>
      <c r="AR3173" s="146"/>
      <c r="AS3173" s="143">
        <f>'Valve Sizing'!$G$8*AS3171/P_1_maxW</f>
        <v>-14.704851518846372</v>
      </c>
      <c r="AT3173" s="132"/>
      <c r="AU3173" s="146"/>
    </row>
    <row r="3174" spans="13:47" x14ac:dyDescent="0.25">
      <c r="M3174" s="20"/>
      <c r="N3174" s="20"/>
      <c r="O3174" s="7" t="s">
        <v>190</v>
      </c>
      <c r="P3174" s="1"/>
      <c r="Q3174" s="7"/>
      <c r="R3174" s="181">
        <f>R3171-R3172</f>
        <v>50.150222202726752</v>
      </c>
      <c r="S3174" s="132"/>
      <c r="T3174" s="146"/>
      <c r="U3174" s="138">
        <f>U3171-U3172</f>
        <v>43.096627551159571</v>
      </c>
      <c r="V3174" s="132"/>
      <c r="W3174" s="146"/>
      <c r="X3174" s="138">
        <f>X3171-X3172</f>
        <v>5.1020386463197127</v>
      </c>
      <c r="Y3174" s="132"/>
      <c r="Z3174" s="146"/>
      <c r="AA3174" s="138">
        <f>AA3171-AA3172</f>
        <v>-121.7903426511342</v>
      </c>
      <c r="AB3174" s="132"/>
      <c r="AC3174" s="146"/>
      <c r="AD3174" s="138">
        <f>AD3171-AD3172</f>
        <v>-415.55214862246066</v>
      </c>
      <c r="AE3174" s="132"/>
      <c r="AF3174" s="146"/>
      <c r="AG3174" s="138">
        <f>AG3171-AG3172</f>
        <v>-866.35017395934642</v>
      </c>
      <c r="AH3174" s="132"/>
      <c r="AI3174" s="146"/>
      <c r="AJ3174" s="138">
        <f>AJ3171-AJ3172</f>
        <v>-1427.6837104194126</v>
      </c>
      <c r="AK3174" s="132"/>
      <c r="AL3174" s="146"/>
      <c r="AM3174" s="138">
        <f>AM3171-AM3172</f>
        <v>-1981.9234574722107</v>
      </c>
      <c r="AN3174" s="132"/>
      <c r="AO3174" s="146"/>
      <c r="AP3174" s="138">
        <f>AP3171-AP3172</f>
        <v>-2479.2952875213305</v>
      </c>
      <c r="AQ3174" s="132"/>
      <c r="AR3174" s="146"/>
      <c r="AS3174" s="138">
        <f>AS3171-AS3172</f>
        <v>-3098.3818925768105</v>
      </c>
      <c r="AT3174" s="132"/>
      <c r="AU3174" s="146"/>
    </row>
    <row r="3175" spans="13:47" ht="14.5" x14ac:dyDescent="0.35">
      <c r="M3175" s="27"/>
      <c r="N3175" s="27"/>
      <c r="O3175" s="2" t="s">
        <v>191</v>
      </c>
      <c r="P3175" s="10"/>
      <c r="Q3175" s="2"/>
      <c r="R3175" s="181">
        <f>R3174/R3171</f>
        <v>0.50074998437059215</v>
      </c>
      <c r="S3175" s="132"/>
      <c r="T3175" s="146"/>
      <c r="U3175" s="138">
        <f>U3174/U3171</f>
        <v>0.4629236169428006</v>
      </c>
      <c r="V3175" s="132"/>
      <c r="W3175" s="146"/>
      <c r="X3175" s="138">
        <f>X3174/X3171</f>
        <v>9.2592556857430897E-2</v>
      </c>
      <c r="Y3175" s="132"/>
      <c r="Z3175" s="146"/>
      <c r="AA3175" s="138">
        <f>AA3174/AA3171</f>
        <v>1.6964725080499399</v>
      </c>
      <c r="AB3175" s="132"/>
      <c r="AC3175" s="146"/>
      <c r="AD3175" s="138">
        <f>AD3174/AD3171</f>
        <v>1.1367793902687182</v>
      </c>
      <c r="AE3175" s="132"/>
      <c r="AF3175" s="146"/>
      <c r="AG3175" s="138">
        <f>AG3174/AG3171</f>
        <v>1.0612482260614915</v>
      </c>
      <c r="AH3175" s="132"/>
      <c r="AI3175" s="146"/>
      <c r="AJ3175" s="138">
        <f>AJ3174/AJ3171</f>
        <v>1.0362928004605487</v>
      </c>
      <c r="AK3175" s="132"/>
      <c r="AL3175" s="146"/>
      <c r="AM3175" s="138">
        <f>AM3174/AM3171</f>
        <v>1.0258809425428383</v>
      </c>
      <c r="AN3175" s="132"/>
      <c r="AO3175" s="146"/>
      <c r="AP3175" s="138">
        <f>AP3174/AP3171</f>
        <v>1.0205821006021119</v>
      </c>
      <c r="AQ3175" s="132"/>
      <c r="AR3175" s="146"/>
      <c r="AS3175" s="138">
        <f>AS3174/AS3171</f>
        <v>1.0164021444038085</v>
      </c>
      <c r="AT3175" s="132"/>
      <c r="AU3175" s="146"/>
    </row>
    <row r="3176" spans="13:47" x14ac:dyDescent="0.25">
      <c r="M3176" s="27"/>
      <c r="N3176" s="27"/>
      <c r="O3176" s="2" t="s">
        <v>26</v>
      </c>
      <c r="P3176" s="7">
        <v>12</v>
      </c>
      <c r="Q3176" s="2"/>
      <c r="R3176" s="181">
        <f>1-R3175/(3*F_GAMMA*R$29)</f>
        <v>0.73920366998129872</v>
      </c>
      <c r="S3176" s="133"/>
      <c r="T3176" s="146"/>
      <c r="U3176" s="138">
        <f>1-U3175/(3*F_GAMMA*U$29)</f>
        <v>0.75895715891365567</v>
      </c>
      <c r="V3176" s="133"/>
      <c r="W3176" s="146"/>
      <c r="X3176" s="138">
        <f>1-X3175/(3*F_GAMMA*X$29)</f>
        <v>0.95106408648418028</v>
      </c>
      <c r="Y3176" s="133"/>
      <c r="Z3176" s="146"/>
      <c r="AA3176" s="138">
        <f>1-AA3175/(3*F_GAMMA*AA$29)</f>
        <v>9.1106963396228813E-2</v>
      </c>
      <c r="AB3176" s="133"/>
      <c r="AC3176" s="146"/>
      <c r="AD3176" s="138">
        <f>1-AD3175/(3*F_GAMMA*AD$29)</f>
        <v>0.37426671398948064</v>
      </c>
      <c r="AE3176" s="133"/>
      <c r="AF3176" s="146"/>
      <c r="AG3176" s="138">
        <f>1-AG3175/(3*F_GAMMA*AG$29)</f>
        <v>0.38252111003445188</v>
      </c>
      <c r="AH3176" s="133"/>
      <c r="AI3176" s="146"/>
      <c r="AJ3176" s="138">
        <f>1-AJ3175/(3*F_GAMMA*AJ$29)</f>
        <v>0.35542889773932185</v>
      </c>
      <c r="AK3176" s="133"/>
      <c r="AL3176" s="146"/>
      <c r="AM3176" s="138">
        <f>1-AM3175/(3*F_GAMMA*AM$29)</f>
        <v>0.3028163723851488</v>
      </c>
      <c r="AN3176" s="133"/>
      <c r="AO3176" s="146"/>
      <c r="AP3176" s="138">
        <f>1-AP3175/(3*F_GAMMA*AP$29)</f>
        <v>0.42682905024746198</v>
      </c>
      <c r="AQ3176" s="133"/>
      <c r="AR3176" s="146"/>
      <c r="AS3176" s="138">
        <f>1-AS3175/(3*F_GAMMA*AS$29)</f>
        <v>0.1334404217488584</v>
      </c>
      <c r="AT3176" s="133"/>
      <c r="AU3176" s="146"/>
    </row>
    <row r="3177" spans="13:47" x14ac:dyDescent="0.25">
      <c r="M3177" s="27"/>
      <c r="N3177" s="27"/>
      <c r="O3177" s="2" t="s">
        <v>71</v>
      </c>
      <c r="P3177" s="85">
        <v>5</v>
      </c>
      <c r="Q3177" s="2"/>
      <c r="R3177" s="179">
        <f>R3169/((N_6*R$27*R3176)*SQRT(R3175*R3171*R3173))</f>
        <v>4.1972957540400824</v>
      </c>
      <c r="S3177" s="133"/>
      <c r="T3177" s="146"/>
      <c r="U3177" s="143">
        <f>U3169/((N_6*U$27*U3176)*SQRT(U3175*U3171*U3173))</f>
        <v>20.433442098900176</v>
      </c>
      <c r="V3177" s="133"/>
      <c r="W3177" s="146"/>
      <c r="X3177" s="143">
        <f>X3169/((N_6*X$27*X3176)*SQRT(X3175*X3171*X3173))</f>
        <v>152.68218307006143</v>
      </c>
      <c r="Y3177" s="133"/>
      <c r="Z3177" s="146"/>
      <c r="AA3177" s="143">
        <f>AA3169/((N_6*AA$27*AA3176)*SQRT(AA3175*AA3171*AA3173))</f>
        <v>559.86776501977056</v>
      </c>
      <c r="AB3177" s="133"/>
      <c r="AC3177" s="146"/>
      <c r="AD3177" s="143">
        <f>AD3169/((N_6*AD$27*AD3176)*SQRT(AD3175*AD3171*AD3173))</f>
        <v>54.41532193682476</v>
      </c>
      <c r="AE3177" s="133"/>
      <c r="AF3177" s="146"/>
      <c r="AG3177" s="143">
        <f>AG3169/((N_6*AG$27*AG3176)*SQRT(AG3175*AG3171*AG3173))</f>
        <v>35.354678189606531</v>
      </c>
      <c r="AH3177" s="133"/>
      <c r="AI3177" s="146"/>
      <c r="AJ3177" s="143">
        <f>AJ3169/((N_6*AJ$27*AJ3176)*SQRT(AJ3175*AJ3171*AJ3173))</f>
        <v>29.965140760839642</v>
      </c>
      <c r="AK3177" s="133"/>
      <c r="AL3177" s="146"/>
      <c r="AM3177" s="143">
        <f>AM3169/((N_6*AM$27*AM3176)*SQRT(AM3175*AM3171*AM3173))</f>
        <v>31.373884667750254</v>
      </c>
      <c r="AN3177" s="133"/>
      <c r="AO3177" s="146"/>
      <c r="AP3177" s="143">
        <f>AP3169/((N_6*AP$27*AP3176)*SQRT(AP3175*AP3171*AP3173))</f>
        <v>22.491427894211181</v>
      </c>
      <c r="AQ3177" s="133"/>
      <c r="AR3177" s="146"/>
      <c r="AS3177" s="143">
        <f>AS3169/((N_6*AS$27*AS3176)*SQRT(AS3175*AS3171*AS3173))</f>
        <v>84.218643917810041</v>
      </c>
      <c r="AT3177" s="133"/>
      <c r="AU3177" s="146"/>
    </row>
    <row r="3178" spans="13:47" x14ac:dyDescent="0.25">
      <c r="M3178" s="27"/>
      <c r="N3178" s="27"/>
      <c r="O3178" s="2" t="s">
        <v>73</v>
      </c>
      <c r="P3178" s="85">
        <v>5</v>
      </c>
      <c r="Q3178" s="2"/>
      <c r="R3178" s="179">
        <f>R3169/((N_6*R$27*0.667)*SQRT(R3179*R3171*R3173))</f>
        <v>4.1145203782704733</v>
      </c>
      <c r="S3178" s="133"/>
      <c r="T3178" s="155"/>
      <c r="U3178" s="143">
        <f>U3169/((N_6*U$27*0.667)*SQRT(U3179*U3171*U3173))</f>
        <v>19.771549463377966</v>
      </c>
      <c r="V3178" s="133"/>
      <c r="W3178" s="155"/>
      <c r="X3178" s="143">
        <f>X3169/((N_6*X$27*0.667)*SQRT(X3179*X3171*X3173))</f>
        <v>83.415505650877506</v>
      </c>
      <c r="Y3178" s="133"/>
      <c r="Z3178" s="155"/>
      <c r="AA3178" s="143">
        <f>AA3169/((N_6*AA$27*0.667)*SQRT(AA3179*AA3171*AA3173))</f>
        <v>126.27815168483016</v>
      </c>
      <c r="AB3178" s="133"/>
      <c r="AC3178" s="155"/>
      <c r="AD3178" s="143">
        <f>AD3169/((N_6*AD$27*0.667)*SQRT(AD3179*AD3171*AD3173))</f>
        <v>41.834234790820865</v>
      </c>
      <c r="AE3178" s="133"/>
      <c r="AF3178" s="155"/>
      <c r="AG3178" s="143">
        <f>AG3169/((N_6*AG$27*0.667)*SQRT(AG3179*AG3171*AG3173))</f>
        <v>27.596127747377665</v>
      </c>
      <c r="AH3178" s="133"/>
      <c r="AI3178" s="155"/>
      <c r="AJ3178" s="143">
        <f>AJ3169/((N_6*AJ$27*0.667)*SQRT(AJ3179*AJ3171*AJ3173))</f>
        <v>22.204411428969621</v>
      </c>
      <c r="AK3178" s="133"/>
      <c r="AL3178" s="155"/>
      <c r="AM3178" s="143">
        <f>AM3169/((N_6*AM$27*0.667)*SQRT(AM3179*AM3171*AM3173))</f>
        <v>20.599469283629929</v>
      </c>
      <c r="AN3178" s="133"/>
      <c r="AO3178" s="155"/>
      <c r="AP3178" s="143">
        <f>AP3169/((N_6*AP$27*0.667)*SQRT(AP3179*AP3171*AP3173))</f>
        <v>18.873301462571604</v>
      </c>
      <c r="AQ3178" s="133"/>
      <c r="AR3178" s="155"/>
      <c r="AS3178" s="143">
        <f>AS3169/((N_6*AS$27*0.667)*SQRT(AS3179*AS3171*AS3173))</f>
        <v>27.166247747858716</v>
      </c>
      <c r="AT3178" s="133"/>
      <c r="AU3178" s="155"/>
    </row>
    <row r="3179" spans="13:47" ht="15.5" x14ac:dyDescent="0.4">
      <c r="M3179" s="27"/>
      <c r="N3179" s="27"/>
      <c r="O3179" s="2" t="s">
        <v>192</v>
      </c>
      <c r="P3179" s="85">
        <v>10</v>
      </c>
      <c r="Q3179" s="2"/>
      <c r="R3179" s="181">
        <f>F_GAMMA*R$29</f>
        <v>0.64002688015162901</v>
      </c>
      <c r="S3179" s="133"/>
      <c r="T3179" s="155"/>
      <c r="U3179" s="138">
        <f>F_GAMMA*U$29</f>
        <v>0.64016782916606918</v>
      </c>
      <c r="V3179" s="133"/>
      <c r="W3179" s="155"/>
      <c r="X3179" s="138">
        <f>F_GAMMA*X$29</f>
        <v>0.6307062319203669</v>
      </c>
      <c r="Y3179" s="133"/>
      <c r="Z3179" s="155"/>
      <c r="AA3179" s="138">
        <f>F_GAMMA*AA$29</f>
        <v>0.62217534213893466</v>
      </c>
      <c r="AB3179" s="133"/>
      <c r="AC3179" s="155"/>
      <c r="AD3179" s="138">
        <f>F_GAMMA*AD$29</f>
        <v>0.60557184969146072</v>
      </c>
      <c r="AE3179" s="133"/>
      <c r="AF3179" s="155"/>
      <c r="AG3179" s="138">
        <f>F_GAMMA*AG$29</f>
        <v>0.57289312142622573</v>
      </c>
      <c r="AH3179" s="133"/>
      <c r="AI3179" s="155"/>
      <c r="AJ3179" s="138">
        <f>F_GAMMA*AJ$29</f>
        <v>0.53590819116049981</v>
      </c>
      <c r="AK3179" s="133"/>
      <c r="AL3179" s="155"/>
      <c r="AM3179" s="138">
        <f>F_GAMMA*AM$29</f>
        <v>0.49048815926850342</v>
      </c>
      <c r="AN3179" s="133"/>
      <c r="AO3179" s="155"/>
      <c r="AP3179" s="138">
        <f>F_GAMMA*AP$29</f>
        <v>0.59352979016280105</v>
      </c>
      <c r="AQ3179" s="133"/>
      <c r="AR3179" s="155"/>
      <c r="AS3179" s="138">
        <f>F_GAMMA*AS$29</f>
        <v>0.39097221161068291</v>
      </c>
      <c r="AT3179" s="133"/>
      <c r="AU3179" s="155"/>
    </row>
    <row r="3180" spans="13:47" x14ac:dyDescent="0.25">
      <c r="M3180" s="27"/>
      <c r="N3180" s="27"/>
      <c r="O3180" s="2" t="s">
        <v>193</v>
      </c>
      <c r="P3180" s="134"/>
      <c r="Q3180" s="2"/>
      <c r="R3180" s="181">
        <f>IF(R3175&lt;R3179,R3177,R3178)</f>
        <v>4.1972957540400824</v>
      </c>
      <c r="S3180" s="133"/>
      <c r="T3180" s="155"/>
      <c r="U3180" s="138">
        <f>IF(U3175&lt;U3179,U3177,U3178)</f>
        <v>20.433442098900176</v>
      </c>
      <c r="V3180" s="133"/>
      <c r="W3180" s="155"/>
      <c r="X3180" s="138">
        <f>IF(X3175&lt;X3179,X3177,X3178)</f>
        <v>152.68218307006143</v>
      </c>
      <c r="Y3180" s="133"/>
      <c r="Z3180" s="155"/>
      <c r="AA3180" s="138">
        <f>IF(AA3175&lt;AA3179,AA3177,AA3178)</f>
        <v>126.27815168483016</v>
      </c>
      <c r="AB3180" s="133"/>
      <c r="AC3180" s="155"/>
      <c r="AD3180" s="138">
        <f>IF(AD3175&lt;AD3179,AD3177,AD3178)</f>
        <v>41.834234790820865</v>
      </c>
      <c r="AE3180" s="133"/>
      <c r="AF3180" s="155"/>
      <c r="AG3180" s="138">
        <f>IF(AG3175&lt;AG3179,AG3177,AG3178)</f>
        <v>27.596127747377665</v>
      </c>
      <c r="AH3180" s="133"/>
      <c r="AI3180" s="155"/>
      <c r="AJ3180" s="138">
        <f>IF(AJ3175&lt;AJ3179,AJ3177,AJ3178)</f>
        <v>22.204411428969621</v>
      </c>
      <c r="AK3180" s="133"/>
      <c r="AL3180" s="155"/>
      <c r="AM3180" s="138">
        <f>IF(AM3175&lt;AM3179,AM3177,AM3178)</f>
        <v>20.599469283629929</v>
      </c>
      <c r="AN3180" s="133"/>
      <c r="AO3180" s="155"/>
      <c r="AP3180" s="138">
        <f>IF(AP3175&lt;AP3179,AP3177,AP3178)</f>
        <v>18.873301462571604</v>
      </c>
      <c r="AQ3180" s="133"/>
      <c r="AR3180" s="155"/>
      <c r="AS3180" s="138">
        <f>IF(AS3175&lt;AS3179,AS3177,AS3178)</f>
        <v>27.166247747858716</v>
      </c>
      <c r="AT3180" s="133"/>
      <c r="AU3180" s="155"/>
    </row>
    <row r="3181" spans="13:47" ht="13" x14ac:dyDescent="0.3">
      <c r="M3181" s="28"/>
      <c r="N3181" s="28"/>
      <c r="O3181" s="9" t="s">
        <v>194</v>
      </c>
      <c r="P3181" s="1"/>
      <c r="Q3181" s="1"/>
      <c r="R3181" s="135"/>
      <c r="S3181" s="132">
        <f>IF(R3174&lt;=0,W_max,ABS(R$23-R3180))</f>
        <v>2.1972957540400824</v>
      </c>
      <c r="T3181" s="151">
        <f>R3169</f>
        <v>966.59370255725992</v>
      </c>
      <c r="U3181" s="135"/>
      <c r="V3181" s="132">
        <f>IF(U3174&lt;=0,W_max,ABS(U$23-U3180))</f>
        <v>15.433442098900176</v>
      </c>
      <c r="W3181" s="151">
        <f>U3169</f>
        <v>4315.4424913215807</v>
      </c>
      <c r="X3181" s="135"/>
      <c r="Y3181" s="132">
        <f>IF(X3174&lt;=0,W_max,ABS(X$23-X3180))</f>
        <v>142.68218307006143</v>
      </c>
      <c r="Z3181" s="151">
        <f>X3169</f>
        <v>10672.602824714631</v>
      </c>
      <c r="AA3181" s="135"/>
      <c r="AB3181" s="132">
        <f>IF(AA3174&lt;=0,W_max,ABS(AA$23-AA3180))</f>
        <v>7174</v>
      </c>
      <c r="AC3181" s="151">
        <f>AA3169</f>
        <v>20787.50616962463</v>
      </c>
      <c r="AD3181" s="135"/>
      <c r="AE3181" s="132">
        <f>IF(AD3174&lt;=0,W_max,ABS(AD$23-AD3180))</f>
        <v>7174</v>
      </c>
      <c r="AF3181" s="151">
        <f>AD3169</f>
        <v>34187.794143340703</v>
      </c>
      <c r="AG3181" s="135"/>
      <c r="AH3181" s="132">
        <f>IF(AG3174&lt;=0,W_max,ABS(AG$23-AG3180))</f>
        <v>7174</v>
      </c>
      <c r="AI3181" s="151">
        <f>AG3169</f>
        <v>47951.013273352568</v>
      </c>
      <c r="AJ3181" s="135"/>
      <c r="AK3181" s="132">
        <f>IF(AJ3174&lt;=0,W_max,ABS(AJ$23-AJ3180))</f>
        <v>7174</v>
      </c>
      <c r="AL3181" s="151">
        <f>AJ3169</f>
        <v>60885.062985389508</v>
      </c>
      <c r="AM3181" s="135"/>
      <c r="AN3181" s="132">
        <f>IF(AM3174&lt;=0,W_max,ABS(AM$23-AM3180))</f>
        <v>7174</v>
      </c>
      <c r="AO3181" s="151">
        <f>AM3169</f>
        <v>71392.524651502041</v>
      </c>
      <c r="AP3181" s="135"/>
      <c r="AQ3181" s="132">
        <f>IF(AP3174&lt;=0,W_max,ABS(AP$23-AP3180))</f>
        <v>7174</v>
      </c>
      <c r="AR3181" s="151">
        <f>AP3169</f>
        <v>79650.379942204134</v>
      </c>
      <c r="AS3181" s="135"/>
      <c r="AT3181" s="132">
        <f>IF(AS3174&lt;=0,W_max,ABS(AS$23-AS3180))</f>
        <v>7174</v>
      </c>
      <c r="AU3181" s="151">
        <f>AS3169</f>
        <v>88863.407701383185</v>
      </c>
    </row>
    <row r="3182" spans="13:47" ht="13" x14ac:dyDescent="0.25">
      <c r="M3182" s="12"/>
      <c r="N3182" s="12"/>
      <c r="O3182" s="2"/>
      <c r="P3182" s="85"/>
      <c r="Q3182" s="2"/>
      <c r="R3182" s="18"/>
      <c r="S3182" s="150"/>
      <c r="T3182" s="148"/>
      <c r="U3182" s="157"/>
      <c r="V3182" s="1"/>
      <c r="W3182" s="147"/>
      <c r="X3182" s="157"/>
      <c r="Y3182" s="1"/>
      <c r="Z3182" s="147"/>
      <c r="AA3182" s="157"/>
      <c r="AB3182" s="1"/>
      <c r="AC3182" s="147"/>
      <c r="AD3182" s="157"/>
      <c r="AE3182" s="1"/>
      <c r="AF3182" s="147"/>
      <c r="AG3182" s="157"/>
      <c r="AH3182" s="1"/>
      <c r="AI3182" s="147"/>
      <c r="AJ3182" s="157"/>
      <c r="AK3182" s="1"/>
      <c r="AL3182" s="147"/>
      <c r="AM3182" s="157"/>
      <c r="AN3182" s="1"/>
      <c r="AO3182" s="147"/>
      <c r="AP3182" s="157"/>
      <c r="AQ3182" s="1"/>
      <c r="AR3182" s="147"/>
      <c r="AS3182" s="157"/>
      <c r="AT3182" s="1"/>
      <c r="AU3182" s="147"/>
    </row>
    <row r="3183" spans="13:47" ht="14" x14ac:dyDescent="0.3">
      <c r="M3183" s="23"/>
      <c r="N3183" s="23"/>
      <c r="O3183" s="23" t="s">
        <v>238</v>
      </c>
      <c r="P3183" s="20"/>
      <c r="Q3183" s="20"/>
      <c r="R3183" s="181">
        <f>R3169*1.02</f>
        <v>985.92557660840509</v>
      </c>
      <c r="S3183" s="128" t="s">
        <v>185</v>
      </c>
      <c r="T3183" s="149" t="s">
        <v>186</v>
      </c>
      <c r="U3183" s="143">
        <f>U3169*1.01</f>
        <v>4358.5969162347965</v>
      </c>
      <c r="V3183" s="128" t="s">
        <v>185</v>
      </c>
      <c r="W3183" s="153" t="s">
        <v>186</v>
      </c>
      <c r="X3183" s="143">
        <f>X3169*1.01</f>
        <v>10779.328852961778</v>
      </c>
      <c r="Y3183" s="128" t="s">
        <v>185</v>
      </c>
      <c r="Z3183" s="153" t="s">
        <v>186</v>
      </c>
      <c r="AA3183" s="143">
        <f>AA3169*1.01</f>
        <v>20995.381231320876</v>
      </c>
      <c r="AB3183" s="128" t="s">
        <v>185</v>
      </c>
      <c r="AC3183" s="153" t="s">
        <v>186</v>
      </c>
      <c r="AD3183" s="143">
        <f>AD3169*1.01</f>
        <v>34529.672084774109</v>
      </c>
      <c r="AE3183" s="128" t="s">
        <v>185</v>
      </c>
      <c r="AF3183" s="153" t="s">
        <v>186</v>
      </c>
      <c r="AG3183" s="143">
        <f>AG3169*1.01</f>
        <v>48430.523406086097</v>
      </c>
      <c r="AH3183" s="128" t="s">
        <v>185</v>
      </c>
      <c r="AI3183" s="153" t="s">
        <v>186</v>
      </c>
      <c r="AJ3183" s="143">
        <f>AJ3169*1.01</f>
        <v>61493.9136152434</v>
      </c>
      <c r="AK3183" s="128" t="s">
        <v>185</v>
      </c>
      <c r="AL3183" s="153" t="s">
        <v>186</v>
      </c>
      <c r="AM3183" s="143">
        <f>AM3169*1.01</f>
        <v>72106.449898017061</v>
      </c>
      <c r="AN3183" s="128" t="s">
        <v>185</v>
      </c>
      <c r="AO3183" s="153" t="s">
        <v>186</v>
      </c>
      <c r="AP3183" s="143">
        <f>AP3169*1.01</f>
        <v>80446.883741626181</v>
      </c>
      <c r="AQ3183" s="128" t="s">
        <v>185</v>
      </c>
      <c r="AR3183" s="153" t="s">
        <v>186</v>
      </c>
      <c r="AS3183" s="143">
        <f>AS3169*1.01</f>
        <v>89752.041778397019</v>
      </c>
      <c r="AT3183" s="128" t="s">
        <v>185</v>
      </c>
      <c r="AU3183" s="153" t="s">
        <v>186</v>
      </c>
    </row>
    <row r="3184" spans="13:47" ht="14" x14ac:dyDescent="0.3">
      <c r="M3184" s="12"/>
      <c r="N3184" s="12"/>
      <c r="O3184" s="20"/>
      <c r="P3184" s="20"/>
      <c r="Q3184" s="23"/>
      <c r="R3184" s="139"/>
      <c r="S3184" s="130" t="s">
        <v>228</v>
      </c>
      <c r="T3184" s="131" t="s">
        <v>187</v>
      </c>
      <c r="U3184" s="144"/>
      <c r="V3184" s="130" t="s">
        <v>228</v>
      </c>
      <c r="W3184" s="154" t="s">
        <v>187</v>
      </c>
      <c r="X3184" s="144"/>
      <c r="Y3184" s="130" t="s">
        <v>228</v>
      </c>
      <c r="Z3184" s="154" t="s">
        <v>187</v>
      </c>
      <c r="AA3184" s="144"/>
      <c r="AB3184" s="130" t="s">
        <v>228</v>
      </c>
      <c r="AC3184" s="154" t="s">
        <v>187</v>
      </c>
      <c r="AD3184" s="144"/>
      <c r="AE3184" s="130" t="s">
        <v>228</v>
      </c>
      <c r="AF3184" s="154" t="s">
        <v>187</v>
      </c>
      <c r="AG3184" s="144"/>
      <c r="AH3184" s="130" t="s">
        <v>228</v>
      </c>
      <c r="AI3184" s="154" t="s">
        <v>187</v>
      </c>
      <c r="AJ3184" s="144"/>
      <c r="AK3184" s="130" t="s">
        <v>228</v>
      </c>
      <c r="AL3184" s="154" t="s">
        <v>187</v>
      </c>
      <c r="AM3184" s="144"/>
      <c r="AN3184" s="130" t="s">
        <v>228</v>
      </c>
      <c r="AO3184" s="154" t="s">
        <v>187</v>
      </c>
      <c r="AP3184" s="144"/>
      <c r="AQ3184" s="130" t="s">
        <v>228</v>
      </c>
      <c r="AR3184" s="154" t="s">
        <v>187</v>
      </c>
      <c r="AS3184" s="144"/>
      <c r="AT3184" s="130" t="s">
        <v>228</v>
      </c>
      <c r="AU3184" s="154" t="s">
        <v>187</v>
      </c>
    </row>
    <row r="3185" spans="13:47" x14ac:dyDescent="0.25">
      <c r="M3185" s="20"/>
      <c r="N3185" s="20"/>
      <c r="O3185" s="7" t="s">
        <v>188</v>
      </c>
      <c r="P3185" s="7"/>
      <c r="Q3185" s="7"/>
      <c r="R3185" s="181">
        <f>P_1_minW-(R3183^2*R_up)+dpup_minQ</f>
        <v>100.13517059555315</v>
      </c>
      <c r="S3185" s="132"/>
      <c r="T3185" s="145"/>
      <c r="U3185" s="138">
        <f>P_1_minW-(U3183^2*R_up)+dpup_minQ</f>
        <v>92.94736175152967</v>
      </c>
      <c r="V3185" s="132"/>
      <c r="W3185" s="145"/>
      <c r="X3185" s="138">
        <f>P_1_minW-(X3183^2*R_up)+dpup_minQ</f>
        <v>54.189081609702527</v>
      </c>
      <c r="Y3185" s="132"/>
      <c r="Z3185" s="145"/>
      <c r="AA3185" s="138">
        <f>P_1_minW-(AA3183^2*R_up)+dpup_minQ</f>
        <v>-75.25383655183019</v>
      </c>
      <c r="AB3185" s="132"/>
      <c r="AC3185" s="145"/>
      <c r="AD3185" s="138">
        <f>P_1_minW-(AD3183^2*R_up)+dpup_minQ</f>
        <v>-374.9202548231803</v>
      </c>
      <c r="AE3185" s="132"/>
      <c r="AF3185" s="145"/>
      <c r="AG3185" s="138">
        <f>P_1_minW-(AG3183^2*R_up)+dpup_minQ</f>
        <v>-834.77932046933756</v>
      </c>
      <c r="AH3185" s="132"/>
      <c r="AI3185" s="145"/>
      <c r="AJ3185" s="138">
        <f>P_1_minW-(AJ3183^2*R_up)+dpup_minQ</f>
        <v>-1407.3956610122509</v>
      </c>
      <c r="AK3185" s="132"/>
      <c r="AL3185" s="145"/>
      <c r="AM3185" s="138">
        <f>P_1_minW-(AM3183^2*R_up)+dpup_minQ</f>
        <v>-1972.7756269808101</v>
      </c>
      <c r="AN3185" s="132"/>
      <c r="AO3185" s="145"/>
      <c r="AP3185" s="138">
        <f>P_1_minW-(AP3183^2*R_up)+dpup_minQ</f>
        <v>-2480.144630813918</v>
      </c>
      <c r="AQ3185" s="132"/>
      <c r="AR3185" s="145"/>
      <c r="AS3185" s="138">
        <f>P_1_minW-(AS3183^2*R_up)+dpup_minQ</f>
        <v>-3111.6748766310129</v>
      </c>
      <c r="AT3185" s="132"/>
      <c r="AU3185" s="145"/>
    </row>
    <row r="3186" spans="13:47" x14ac:dyDescent="0.25">
      <c r="M3186" s="20"/>
      <c r="N3186" s="20"/>
      <c r="O3186" s="7" t="s">
        <v>189</v>
      </c>
      <c r="P3186" s="1"/>
      <c r="Q3186" s="7"/>
      <c r="R3186" s="181">
        <f>P_2_minW+(R3183^2*R_dn)-dpdn_minQ</f>
        <v>50</v>
      </c>
      <c r="S3186" s="132"/>
      <c r="T3186" s="146"/>
      <c r="U3186" s="138">
        <f>P_2_minW+(U3183^2*R_dn)-dpdn_minQ</f>
        <v>50</v>
      </c>
      <c r="V3186" s="132"/>
      <c r="W3186" s="146"/>
      <c r="X3186" s="138">
        <f>P_2_minW+(X3183^2*R_dn)-dpdn_minQ</f>
        <v>50</v>
      </c>
      <c r="Y3186" s="132"/>
      <c r="Z3186" s="146"/>
      <c r="AA3186" s="138">
        <f>P_2_minW+(AA3183^2*R_dn)-dpdn_minQ</f>
        <v>50</v>
      </c>
      <c r="AB3186" s="132"/>
      <c r="AC3186" s="146"/>
      <c r="AD3186" s="138">
        <f>P_2_minW+(AD3183^2*R_dn)-dpdn_minQ</f>
        <v>50</v>
      </c>
      <c r="AE3186" s="132"/>
      <c r="AF3186" s="146"/>
      <c r="AG3186" s="138">
        <f>P_2_minW+(AG3183^2*R_dn)-dpdn_minQ</f>
        <v>50</v>
      </c>
      <c r="AH3186" s="132"/>
      <c r="AI3186" s="146"/>
      <c r="AJ3186" s="138">
        <f>P_2_minW+(AJ3183^2*R_dn)-dpdn_minQ</f>
        <v>50</v>
      </c>
      <c r="AK3186" s="132"/>
      <c r="AL3186" s="146"/>
      <c r="AM3186" s="138">
        <f>P_2_minW+(AM3183^2*R_dn)-dpdn_minQ</f>
        <v>50</v>
      </c>
      <c r="AN3186" s="132"/>
      <c r="AO3186" s="146"/>
      <c r="AP3186" s="138">
        <f>P_2_minW+(AP3183^2*R_dn)-dpdn_minQ</f>
        <v>50</v>
      </c>
      <c r="AQ3186" s="132"/>
      <c r="AR3186" s="146"/>
      <c r="AS3186" s="138">
        <f>P_2_minW+(AS3183^2*R_dn)-dpdn_minQ</f>
        <v>50</v>
      </c>
      <c r="AT3186" s="132"/>
      <c r="AU3186" s="146"/>
    </row>
    <row r="3187" spans="13:47" x14ac:dyDescent="0.25">
      <c r="M3187" s="20"/>
      <c r="N3187" s="20"/>
      <c r="O3187" s="7" t="s">
        <v>234</v>
      </c>
      <c r="P3187" s="1"/>
      <c r="Q3187" s="7"/>
      <c r="R3187" s="179">
        <f>'Valve Sizing'!G$8*R3185/P_1_maxW</f>
        <v>0.48303423498467007</v>
      </c>
      <c r="S3187" s="132"/>
      <c r="T3187" s="146"/>
      <c r="U3187" s="143">
        <f>'Valve Sizing'!$G$8*U3185/P_1_maxW</f>
        <v>0.44836152483158909</v>
      </c>
      <c r="V3187" s="132"/>
      <c r="W3187" s="146"/>
      <c r="X3187" s="143">
        <f>'Valve Sizing'!$G$8*X3185/P_1_maxW</f>
        <v>0.26139848191387527</v>
      </c>
      <c r="Y3187" s="132"/>
      <c r="Z3187" s="146"/>
      <c r="AA3187" s="143">
        <f>'Valve Sizing'!$G$8*AA3185/P_1_maxW</f>
        <v>-0.36301110940623843</v>
      </c>
      <c r="AB3187" s="132"/>
      <c r="AC3187" s="146"/>
      <c r="AD3187" s="143">
        <f>'Valve Sizing'!$G$8*AD3185/P_1_maxW</f>
        <v>-1.8085485588298862</v>
      </c>
      <c r="AE3187" s="132"/>
      <c r="AF3187" s="146"/>
      <c r="AG3187" s="143">
        <f>'Valve Sizing'!$G$8*AG3185/P_1_maxW</f>
        <v>-4.0268268186466329</v>
      </c>
      <c r="AH3187" s="132"/>
      <c r="AI3187" s="146"/>
      <c r="AJ3187" s="143">
        <f>'Valve Sizing'!$G$8*AJ3185/P_1_maxW</f>
        <v>-6.7890260973698933</v>
      </c>
      <c r="AK3187" s="132"/>
      <c r="AL3187" s="146"/>
      <c r="AM3187" s="143">
        <f>'Valve Sizing'!$G$8*AM3185/P_1_maxW</f>
        <v>-9.5163183935035516</v>
      </c>
      <c r="AN3187" s="132"/>
      <c r="AO3187" s="146"/>
      <c r="AP3187" s="143">
        <f>'Valve Sizing'!$G$8*AP3185/P_1_maxW</f>
        <v>-11.963776136511012</v>
      </c>
      <c r="AQ3187" s="132"/>
      <c r="AR3187" s="146"/>
      <c r="AS3187" s="143">
        <f>'Valve Sizing'!$G$8*AS3185/P_1_maxW</f>
        <v>-15.010165605302586</v>
      </c>
      <c r="AT3187" s="132"/>
      <c r="AU3187" s="146"/>
    </row>
    <row r="3188" spans="13:47" x14ac:dyDescent="0.25">
      <c r="M3188" s="20"/>
      <c r="N3188" s="20"/>
      <c r="O3188" s="7" t="s">
        <v>190</v>
      </c>
      <c r="P3188" s="1"/>
      <c r="Q3188" s="7"/>
      <c r="R3188" s="181">
        <f>R3185-R3186</f>
        <v>50.135170595553149</v>
      </c>
      <c r="S3188" s="132"/>
      <c r="T3188" s="146"/>
      <c r="U3188" s="138">
        <f>U3185-U3186</f>
        <v>42.94736175152967</v>
      </c>
      <c r="V3188" s="132"/>
      <c r="W3188" s="146"/>
      <c r="X3188" s="138">
        <f>X3185-X3186</f>
        <v>4.1890816097025265</v>
      </c>
      <c r="Y3188" s="132"/>
      <c r="Z3188" s="146"/>
      <c r="AA3188" s="138">
        <f>AA3185-AA3186</f>
        <v>-125.25383655183019</v>
      </c>
      <c r="AB3188" s="132"/>
      <c r="AC3188" s="146"/>
      <c r="AD3188" s="138">
        <f>AD3185-AD3186</f>
        <v>-424.9202548231803</v>
      </c>
      <c r="AE3188" s="132"/>
      <c r="AF3188" s="146"/>
      <c r="AG3188" s="138">
        <f>AG3185-AG3186</f>
        <v>-884.77932046933756</v>
      </c>
      <c r="AH3188" s="132"/>
      <c r="AI3188" s="146"/>
      <c r="AJ3188" s="138">
        <f>AJ3185-AJ3186</f>
        <v>-1457.3956610122509</v>
      </c>
      <c r="AK3188" s="132"/>
      <c r="AL3188" s="146"/>
      <c r="AM3188" s="138">
        <f>AM3185-AM3186</f>
        <v>-2022.7756269808101</v>
      </c>
      <c r="AN3188" s="132"/>
      <c r="AO3188" s="146"/>
      <c r="AP3188" s="138">
        <f>AP3185-AP3186</f>
        <v>-2530.144630813918</v>
      </c>
      <c r="AQ3188" s="132"/>
      <c r="AR3188" s="146"/>
      <c r="AS3188" s="138">
        <f>AS3185-AS3186</f>
        <v>-3161.6748766310129</v>
      </c>
      <c r="AT3188" s="132"/>
      <c r="AU3188" s="146"/>
    </row>
    <row r="3189" spans="13:47" ht="14.5" x14ac:dyDescent="0.35">
      <c r="M3189" s="27"/>
      <c r="N3189" s="27"/>
      <c r="O3189" s="2" t="s">
        <v>191</v>
      </c>
      <c r="P3189" s="10"/>
      <c r="Q3189" s="2"/>
      <c r="R3189" s="181">
        <f>R3188/R3185</f>
        <v>0.50067494065646079</v>
      </c>
      <c r="S3189" s="132"/>
      <c r="T3189" s="146"/>
      <c r="U3189" s="138">
        <f>U3188/U3185</f>
        <v>0.46206111655259402</v>
      </c>
      <c r="V3189" s="132"/>
      <c r="W3189" s="146"/>
      <c r="X3189" s="138">
        <f>X3188/X3185</f>
        <v>7.7304901379846858E-2</v>
      </c>
      <c r="Y3189" s="132"/>
      <c r="Z3189" s="146"/>
      <c r="AA3189" s="138">
        <f>AA3188/AA3185</f>
        <v>1.6644179525061569</v>
      </c>
      <c r="AB3189" s="132"/>
      <c r="AC3189" s="146"/>
      <c r="AD3189" s="138">
        <f>AD3188/AD3185</f>
        <v>1.1333616932048149</v>
      </c>
      <c r="AE3189" s="132"/>
      <c r="AF3189" s="146"/>
      <c r="AG3189" s="138">
        <f>AG3188/AG3185</f>
        <v>1.0598960692652144</v>
      </c>
      <c r="AH3189" s="132"/>
      <c r="AI3189" s="146"/>
      <c r="AJ3189" s="138">
        <f>AJ3188/AJ3185</f>
        <v>1.0355266122989453</v>
      </c>
      <c r="AK3189" s="132"/>
      <c r="AL3189" s="146"/>
      <c r="AM3189" s="138">
        <f>AM3188/AM3185</f>
        <v>1.0253450008790514</v>
      </c>
      <c r="AN3189" s="132"/>
      <c r="AO3189" s="146"/>
      <c r="AP3189" s="138">
        <f>AP3188/AP3185</f>
        <v>1.0201601146073451</v>
      </c>
      <c r="AQ3189" s="132"/>
      <c r="AR3189" s="146"/>
      <c r="AS3189" s="138">
        <f>AS3188/AS3185</f>
        <v>1.0160685167899464</v>
      </c>
      <c r="AT3189" s="132"/>
      <c r="AU3189" s="146"/>
    </row>
    <row r="3190" spans="13:47" x14ac:dyDescent="0.25">
      <c r="M3190" s="27"/>
      <c r="N3190" s="27"/>
      <c r="O3190" s="2" t="s">
        <v>26</v>
      </c>
      <c r="P3190" s="7">
        <v>12</v>
      </c>
      <c r="Q3190" s="2"/>
      <c r="R3190" s="181">
        <f>1-R3189/(3*F_GAMMA*R$29)</f>
        <v>0.73924275360755387</v>
      </c>
      <c r="S3190" s="133"/>
      <c r="T3190" s="146"/>
      <c r="U3190" s="138">
        <f>1-U3189/(3*F_GAMMA*U$29)</f>
        <v>0.75940626009770518</v>
      </c>
      <c r="V3190" s="133"/>
      <c r="W3190" s="146"/>
      <c r="X3190" s="138">
        <f>1-X3189/(3*F_GAMMA*X$29)</f>
        <v>0.95914373577459355</v>
      </c>
      <c r="Y3190" s="133"/>
      <c r="Z3190" s="146"/>
      <c r="AA3190" s="138">
        <f>1-AA3189/(3*F_GAMMA*AA$29)</f>
        <v>0.10828034061686076</v>
      </c>
      <c r="AB3190" s="133"/>
      <c r="AC3190" s="146"/>
      <c r="AD3190" s="138">
        <f>1-AD3189/(3*F_GAMMA*AD$29)</f>
        <v>0.37614796450536059</v>
      </c>
      <c r="AE3190" s="133"/>
      <c r="AF3190" s="146"/>
      <c r="AG3190" s="138">
        <f>1-AG3189/(3*F_GAMMA*AG$29)</f>
        <v>0.38330785177603588</v>
      </c>
      <c r="AH3190" s="133"/>
      <c r="AI3190" s="146"/>
      <c r="AJ3190" s="138">
        <f>1-AJ3189/(3*F_GAMMA*AJ$29)</f>
        <v>0.35590546454326399</v>
      </c>
      <c r="AK3190" s="133"/>
      <c r="AL3190" s="146"/>
      <c r="AM3190" s="138">
        <f>1-AM3189/(3*F_GAMMA*AM$29)</f>
        <v>0.30318059569591893</v>
      </c>
      <c r="AN3190" s="133"/>
      <c r="AO3190" s="146"/>
      <c r="AP3190" s="138">
        <f>1-AP3189/(3*F_GAMMA*AP$29)</f>
        <v>0.42706604256122094</v>
      </c>
      <c r="AQ3190" s="133"/>
      <c r="AR3190" s="146"/>
      <c r="AS3190" s="138">
        <f>1-AS3189/(3*F_GAMMA*AS$29)</f>
        <v>0.13372486448242904</v>
      </c>
      <c r="AT3190" s="133"/>
      <c r="AU3190" s="146"/>
    </row>
    <row r="3191" spans="13:47" x14ac:dyDescent="0.25">
      <c r="M3191" s="27"/>
      <c r="N3191" s="27"/>
      <c r="O3191" s="2" t="s">
        <v>71</v>
      </c>
      <c r="P3191" s="85">
        <v>5</v>
      </c>
      <c r="Q3191" s="2"/>
      <c r="R3191" s="179">
        <f>R3183/((N_6*R$27*R3190)*SQRT(R3189*R3185*R3187))</f>
        <v>4.2819796788805133</v>
      </c>
      <c r="S3191" s="133"/>
      <c r="T3191" s="146"/>
      <c r="U3191" s="143">
        <f>U3183/((N_6*U$27*U3190)*SQRT(U3189*U3185*U3187))</f>
        <v>20.677966776613118</v>
      </c>
      <c r="V3191" s="133"/>
      <c r="W3191" s="146"/>
      <c r="X3191" s="143">
        <f>X3183/((N_6*X$27*X3190)*SQRT(X3189*X3185*X3187))</f>
        <v>170.16734460989238</v>
      </c>
      <c r="Y3191" s="133"/>
      <c r="Z3191" s="146"/>
      <c r="AA3191" s="143">
        <f>AA3183/((N_6*AA$27*AA3190)*SQRT(AA3189*AA3185*AA3187))</f>
        <v>458.23514324700346</v>
      </c>
      <c r="AB3191" s="133"/>
      <c r="AC3191" s="146"/>
      <c r="AD3191" s="143">
        <f>AD3183/((N_6*AD$27*AD3190)*SQRT(AD3189*AD3185*AD3187))</f>
        <v>53.398533866634956</v>
      </c>
      <c r="AE3191" s="133"/>
      <c r="AF3191" s="146"/>
      <c r="AG3191" s="143">
        <f>AG3183/((N_6*AG$27*AG3190)*SQRT(AG3189*AG3185*AG3187))</f>
        <v>34.870454633471049</v>
      </c>
      <c r="AH3191" s="133"/>
      <c r="AI3191" s="146"/>
      <c r="AJ3191" s="143">
        <f>AJ3183/((N_6*AJ$27*AJ3190)*SQRT(AJ3189*AJ3185*AJ3187))</f>
        <v>29.597136697328732</v>
      </c>
      <c r="AK3191" s="133"/>
      <c r="AL3191" s="146"/>
      <c r="AM3191" s="143">
        <f>AM3183/((N_6*AM$27*AM3190)*SQRT(AM3189*AM3185*AM3187))</f>
        <v>31.002257132428525</v>
      </c>
      <c r="AN3191" s="133"/>
      <c r="AO3191" s="146"/>
      <c r="AP3191" s="143">
        <f>AP3183/((N_6*AP$27*AP3190)*SQRT(AP3189*AP3185*AP3187))</f>
        <v>22.242850099232513</v>
      </c>
      <c r="AQ3191" s="133"/>
      <c r="AR3191" s="146"/>
      <c r="AS3191" s="143">
        <f>AS3183/((N_6*AS$27*AS3190)*SQRT(AS3189*AS3185*AS3187))</f>
        <v>83.167051753944648</v>
      </c>
      <c r="AT3191" s="133"/>
      <c r="AU3191" s="146"/>
    </row>
    <row r="3192" spans="13:47" x14ac:dyDescent="0.25">
      <c r="M3192" s="27"/>
      <c r="N3192" s="27"/>
      <c r="O3192" s="2" t="s">
        <v>73</v>
      </c>
      <c r="P3192" s="85">
        <v>5</v>
      </c>
      <c r="Q3192" s="2"/>
      <c r="R3192" s="179">
        <f>R3183/((N_6*R$27*0.667)*SQRT(R3193*R3185*R3187))</f>
        <v>4.1974416206060692</v>
      </c>
      <c r="S3192" s="133"/>
      <c r="T3192" s="147"/>
      <c r="U3192" s="143">
        <f>U3183/((N_6*U$27*0.667)*SQRT(U3193*U3185*U3187))</f>
        <v>20.001333951104279</v>
      </c>
      <c r="V3192" s="133"/>
      <c r="W3192" s="155"/>
      <c r="X3192" s="143">
        <f>X3183/((N_6*X$27*0.667)*SQRT(X3193*X3185*X3187))</f>
        <v>85.669066947362992</v>
      </c>
      <c r="Y3192" s="133"/>
      <c r="Z3192" s="155"/>
      <c r="AA3192" s="143">
        <f>AA3183/((N_6*AA$27*0.667)*SQRT(AA3193*AA3185*AA3187))</f>
        <v>121.67097009449724</v>
      </c>
      <c r="AB3192" s="133"/>
      <c r="AC3192" s="155"/>
      <c r="AD3192" s="143">
        <f>AD3183/((N_6*AD$27*0.667)*SQRT(AD3193*AD3185*AD3187))</f>
        <v>41.196814947176122</v>
      </c>
      <c r="AE3192" s="133"/>
      <c r="AF3192" s="155"/>
      <c r="AG3192" s="143">
        <f>AG3183/((N_6*AG$27*0.667)*SQRT(AG3193*AG3185*AG3187))</f>
        <v>27.256766148992813</v>
      </c>
      <c r="AH3192" s="133"/>
      <c r="AI3192" s="155"/>
      <c r="AJ3192" s="143">
        <f>AJ3183/((N_6*AJ$27*0.667)*SQRT(AJ3193*AJ3185*AJ3187))</f>
        <v>21.953003935063681</v>
      </c>
      <c r="AK3192" s="133"/>
      <c r="AL3192" s="155"/>
      <c r="AM3192" s="143">
        <f>AM3183/((N_6*AM$27*0.667)*SQRT(AM3193*AM3185*AM3187))</f>
        <v>20.374625147434042</v>
      </c>
      <c r="AN3192" s="133"/>
      <c r="AO3192" s="155"/>
      <c r="AP3192" s="143">
        <f>AP3183/((N_6*AP$27*0.667)*SQRT(AP3193*AP3185*AP3187))</f>
        <v>18.6712137472514</v>
      </c>
      <c r="AQ3192" s="133"/>
      <c r="AR3192" s="155"/>
      <c r="AS3192" s="143">
        <f>AS3183/((N_6*AS$27*0.667)*SQRT(AS3193*AS3185*AS3187))</f>
        <v>26.879809754296726</v>
      </c>
      <c r="AT3192" s="133"/>
      <c r="AU3192" s="155"/>
    </row>
    <row r="3193" spans="13:47" ht="15.5" x14ac:dyDescent="0.4">
      <c r="M3193" s="27"/>
      <c r="N3193" s="27"/>
      <c r="O3193" s="2" t="s">
        <v>192</v>
      </c>
      <c r="P3193" s="85">
        <v>10</v>
      </c>
      <c r="Q3193" s="2"/>
      <c r="R3193" s="181">
        <f>F_GAMMA*R$29</f>
        <v>0.64002688015162901</v>
      </c>
      <c r="S3193" s="133"/>
      <c r="T3193" s="147"/>
      <c r="U3193" s="138">
        <f>F_GAMMA*U$29</f>
        <v>0.64016782916606918</v>
      </c>
      <c r="V3193" s="133"/>
      <c r="W3193" s="155"/>
      <c r="X3193" s="138">
        <f>F_GAMMA*X$29</f>
        <v>0.6307062319203669</v>
      </c>
      <c r="Y3193" s="133"/>
      <c r="Z3193" s="155"/>
      <c r="AA3193" s="138">
        <f>F_GAMMA*AA$29</f>
        <v>0.62217534213893466</v>
      </c>
      <c r="AB3193" s="133"/>
      <c r="AC3193" s="155"/>
      <c r="AD3193" s="138">
        <f>F_GAMMA*AD$29</f>
        <v>0.60557184969146072</v>
      </c>
      <c r="AE3193" s="133"/>
      <c r="AF3193" s="155"/>
      <c r="AG3193" s="138">
        <f>F_GAMMA*AG$29</f>
        <v>0.57289312142622573</v>
      </c>
      <c r="AH3193" s="133"/>
      <c r="AI3193" s="155"/>
      <c r="AJ3193" s="138">
        <f>F_GAMMA*AJ$29</f>
        <v>0.53590819116049981</v>
      </c>
      <c r="AK3193" s="133"/>
      <c r="AL3193" s="155"/>
      <c r="AM3193" s="138">
        <f>F_GAMMA*AM$29</f>
        <v>0.49048815926850342</v>
      </c>
      <c r="AN3193" s="133"/>
      <c r="AO3193" s="155"/>
      <c r="AP3193" s="138">
        <f>F_GAMMA*AP$29</f>
        <v>0.59352979016280105</v>
      </c>
      <c r="AQ3193" s="133"/>
      <c r="AR3193" s="155"/>
      <c r="AS3193" s="138">
        <f>F_GAMMA*AS$29</f>
        <v>0.39097221161068291</v>
      </c>
      <c r="AT3193" s="133"/>
      <c r="AU3193" s="155"/>
    </row>
    <row r="3194" spans="13:47" x14ac:dyDescent="0.25">
      <c r="M3194" s="27"/>
      <c r="N3194" s="27"/>
      <c r="O3194" s="2" t="s">
        <v>193</v>
      </c>
      <c r="P3194" s="134"/>
      <c r="Q3194" s="2"/>
      <c r="R3194" s="181">
        <f>IF(R3189&lt;R3193,R3191,R3192)</f>
        <v>4.2819796788805133</v>
      </c>
      <c r="S3194" s="133"/>
      <c r="T3194" s="147"/>
      <c r="U3194" s="138">
        <f>IF(U3189&lt;U3193,U3191,U3192)</f>
        <v>20.677966776613118</v>
      </c>
      <c r="V3194" s="133"/>
      <c r="W3194" s="155"/>
      <c r="X3194" s="138">
        <f>IF(X3189&lt;X3193,X3191,X3192)</f>
        <v>170.16734460989238</v>
      </c>
      <c r="Y3194" s="133"/>
      <c r="Z3194" s="155"/>
      <c r="AA3194" s="138">
        <f>IF(AA3189&lt;AA3193,AA3191,AA3192)</f>
        <v>121.67097009449724</v>
      </c>
      <c r="AB3194" s="133"/>
      <c r="AC3194" s="155"/>
      <c r="AD3194" s="138">
        <f>IF(AD3189&lt;AD3193,AD3191,AD3192)</f>
        <v>41.196814947176122</v>
      </c>
      <c r="AE3194" s="133"/>
      <c r="AF3194" s="155"/>
      <c r="AG3194" s="138">
        <f>IF(AG3189&lt;AG3193,AG3191,AG3192)</f>
        <v>27.256766148992813</v>
      </c>
      <c r="AH3194" s="133"/>
      <c r="AI3194" s="155"/>
      <c r="AJ3194" s="138">
        <f>IF(AJ3189&lt;AJ3193,AJ3191,AJ3192)</f>
        <v>21.953003935063681</v>
      </c>
      <c r="AK3194" s="133"/>
      <c r="AL3194" s="155"/>
      <c r="AM3194" s="138">
        <f>IF(AM3189&lt;AM3193,AM3191,AM3192)</f>
        <v>20.374625147434042</v>
      </c>
      <c r="AN3194" s="133"/>
      <c r="AO3194" s="155"/>
      <c r="AP3194" s="138">
        <f>IF(AP3189&lt;AP3193,AP3191,AP3192)</f>
        <v>18.6712137472514</v>
      </c>
      <c r="AQ3194" s="133"/>
      <c r="AR3194" s="155"/>
      <c r="AS3194" s="138">
        <f>IF(AS3189&lt;AS3193,AS3191,AS3192)</f>
        <v>26.879809754296726</v>
      </c>
      <c r="AT3194" s="133"/>
      <c r="AU3194" s="155"/>
    </row>
    <row r="3195" spans="13:47" ht="13" x14ac:dyDescent="0.3">
      <c r="M3195" s="28"/>
      <c r="N3195" s="28"/>
      <c r="O3195" s="9" t="s">
        <v>194</v>
      </c>
      <c r="P3195" s="1"/>
      <c r="Q3195" s="1"/>
      <c r="R3195" s="135"/>
      <c r="S3195" s="132">
        <f>IF(R3188&lt;=0,W_max,ABS(R$23-R3194))</f>
        <v>2.2819796788805133</v>
      </c>
      <c r="T3195" s="151">
        <f>R3183</f>
        <v>985.92557660840509</v>
      </c>
      <c r="U3195" s="135"/>
      <c r="V3195" s="132">
        <f>IF(U3188&lt;=0,W_max,ABS(U$23-U3194))</f>
        <v>15.677966776613118</v>
      </c>
      <c r="W3195" s="151">
        <f>U3183</f>
        <v>4358.5969162347965</v>
      </c>
      <c r="X3195" s="135"/>
      <c r="Y3195" s="132">
        <f>IF(X3188&lt;=0,W_max,ABS(X$23-X3194))</f>
        <v>160.16734460989238</v>
      </c>
      <c r="Z3195" s="151">
        <f>X3183</f>
        <v>10779.328852961778</v>
      </c>
      <c r="AA3195" s="135"/>
      <c r="AB3195" s="132">
        <f>IF(AA3188&lt;=0,W_max,ABS(AA$23-AA3194))</f>
        <v>7174</v>
      </c>
      <c r="AC3195" s="151">
        <f>AA3183</f>
        <v>20995.381231320876</v>
      </c>
      <c r="AD3195" s="135"/>
      <c r="AE3195" s="132">
        <f>IF(AD3188&lt;=0,W_max,ABS(AD$23-AD3194))</f>
        <v>7174</v>
      </c>
      <c r="AF3195" s="151">
        <f>AD3183</f>
        <v>34529.672084774109</v>
      </c>
      <c r="AG3195" s="135"/>
      <c r="AH3195" s="132">
        <f>IF(AG3188&lt;=0,W_max,ABS(AG$23-AG3194))</f>
        <v>7174</v>
      </c>
      <c r="AI3195" s="151">
        <f>AG3183</f>
        <v>48430.523406086097</v>
      </c>
      <c r="AJ3195" s="135"/>
      <c r="AK3195" s="132">
        <f>IF(AJ3188&lt;=0,W_max,ABS(AJ$23-AJ3194))</f>
        <v>7174</v>
      </c>
      <c r="AL3195" s="151">
        <f>AJ3183</f>
        <v>61493.9136152434</v>
      </c>
      <c r="AM3195" s="135"/>
      <c r="AN3195" s="132">
        <f>IF(AM3188&lt;=0,W_max,ABS(AM$23-AM3194))</f>
        <v>7174</v>
      </c>
      <c r="AO3195" s="151">
        <f>AM3183</f>
        <v>72106.449898017061</v>
      </c>
      <c r="AP3195" s="135"/>
      <c r="AQ3195" s="132">
        <f>IF(AP3188&lt;=0,W_max,ABS(AP$23-AP3194))</f>
        <v>7174</v>
      </c>
      <c r="AR3195" s="151">
        <f>AP3183</f>
        <v>80446.883741626181</v>
      </c>
      <c r="AS3195" s="135"/>
      <c r="AT3195" s="132">
        <f>IF(AS3188&lt;=0,W_max,ABS(AS$23-AS3194))</f>
        <v>7174</v>
      </c>
      <c r="AU3195" s="151">
        <f>AS3183</f>
        <v>89752.041778397019</v>
      </c>
    </row>
    <row r="3196" spans="13:47" ht="13" x14ac:dyDescent="0.25">
      <c r="M3196" s="12"/>
      <c r="N3196" s="12"/>
      <c r="O3196" s="12"/>
      <c r="P3196" s="12"/>
      <c r="Q3196" s="12"/>
      <c r="R3196" s="182"/>
      <c r="S3196" s="22"/>
      <c r="T3196" s="152"/>
      <c r="U3196" s="157"/>
      <c r="V3196" s="1"/>
      <c r="W3196" s="147"/>
      <c r="X3196" s="157"/>
      <c r="Y3196" s="1"/>
      <c r="Z3196" s="147"/>
      <c r="AA3196" s="157"/>
      <c r="AB3196" s="1"/>
      <c r="AC3196" s="147"/>
      <c r="AD3196" s="157"/>
      <c r="AE3196" s="1"/>
      <c r="AF3196" s="147"/>
      <c r="AG3196" s="157"/>
      <c r="AH3196" s="1"/>
      <c r="AI3196" s="147"/>
      <c r="AJ3196" s="157"/>
      <c r="AK3196" s="1"/>
      <c r="AL3196" s="147"/>
      <c r="AM3196" s="157"/>
      <c r="AN3196" s="1"/>
      <c r="AO3196" s="147"/>
      <c r="AP3196" s="157"/>
      <c r="AQ3196" s="1"/>
      <c r="AR3196" s="147"/>
      <c r="AS3196" s="157"/>
      <c r="AT3196" s="1"/>
      <c r="AU3196" s="147"/>
    </row>
    <row r="3197" spans="13:47" ht="14" x14ac:dyDescent="0.3">
      <c r="M3197" s="23"/>
      <c r="N3197" s="23"/>
      <c r="O3197" s="23" t="s">
        <v>238</v>
      </c>
      <c r="P3197" s="20"/>
      <c r="Q3197" s="20"/>
      <c r="R3197" s="18">
        <f>R3183*1.02</f>
        <v>1005.6440881405732</v>
      </c>
      <c r="S3197" s="128" t="s">
        <v>185</v>
      </c>
      <c r="T3197" s="153" t="s">
        <v>186</v>
      </c>
      <c r="U3197" s="143">
        <f>U3183*1.01</f>
        <v>4402.1828853971447</v>
      </c>
      <c r="V3197" s="128" t="s">
        <v>185</v>
      </c>
      <c r="W3197" s="153" t="s">
        <v>186</v>
      </c>
      <c r="X3197" s="143">
        <f>X3183*1.01</f>
        <v>10887.122141491396</v>
      </c>
      <c r="Y3197" s="128" t="s">
        <v>185</v>
      </c>
      <c r="Z3197" s="153" t="s">
        <v>186</v>
      </c>
      <c r="AA3197" s="143">
        <f>AA3183*1.01</f>
        <v>21205.335043634084</v>
      </c>
      <c r="AB3197" s="128" t="s">
        <v>185</v>
      </c>
      <c r="AC3197" s="153" t="s">
        <v>186</v>
      </c>
      <c r="AD3197" s="143">
        <f>AD3183*1.01</f>
        <v>34874.968805621851</v>
      </c>
      <c r="AE3197" s="128" t="s">
        <v>185</v>
      </c>
      <c r="AF3197" s="153" t="s">
        <v>186</v>
      </c>
      <c r="AG3197" s="143">
        <f>AG3183*1.01</f>
        <v>48914.82864014696</v>
      </c>
      <c r="AH3197" s="128" t="s">
        <v>185</v>
      </c>
      <c r="AI3197" s="153" t="s">
        <v>186</v>
      </c>
      <c r="AJ3197" s="143">
        <f>AJ3183*1.01</f>
        <v>62108.852751395832</v>
      </c>
      <c r="AK3197" s="128" t="s">
        <v>185</v>
      </c>
      <c r="AL3197" s="153" t="s">
        <v>186</v>
      </c>
      <c r="AM3197" s="143">
        <f>AM3183*1.01</f>
        <v>72827.514396997227</v>
      </c>
      <c r="AN3197" s="128" t="s">
        <v>185</v>
      </c>
      <c r="AO3197" s="153" t="s">
        <v>186</v>
      </c>
      <c r="AP3197" s="143">
        <f>AP3183*1.01</f>
        <v>81251.352579042446</v>
      </c>
      <c r="AQ3197" s="128" t="s">
        <v>185</v>
      </c>
      <c r="AR3197" s="153" t="s">
        <v>186</v>
      </c>
      <c r="AS3197" s="143">
        <f>AS3183*1.01</f>
        <v>90649.562196180996</v>
      </c>
      <c r="AT3197" s="128" t="s">
        <v>185</v>
      </c>
      <c r="AU3197" s="153" t="s">
        <v>186</v>
      </c>
    </row>
    <row r="3198" spans="13:47" ht="14" x14ac:dyDescent="0.3">
      <c r="M3198" s="12"/>
      <c r="N3198" s="12"/>
      <c r="O3198" s="20"/>
      <c r="P3198" s="20"/>
      <c r="Q3198" s="23"/>
      <c r="R3198" s="139"/>
      <c r="S3198" s="130" t="s">
        <v>228</v>
      </c>
      <c r="T3198" s="154" t="s">
        <v>187</v>
      </c>
      <c r="U3198" s="144"/>
      <c r="V3198" s="130" t="s">
        <v>228</v>
      </c>
      <c r="W3198" s="154" t="s">
        <v>187</v>
      </c>
      <c r="X3198" s="144"/>
      <c r="Y3198" s="130" t="s">
        <v>228</v>
      </c>
      <c r="Z3198" s="154" t="s">
        <v>187</v>
      </c>
      <c r="AA3198" s="144"/>
      <c r="AB3198" s="130" t="s">
        <v>228</v>
      </c>
      <c r="AC3198" s="154" t="s">
        <v>187</v>
      </c>
      <c r="AD3198" s="144"/>
      <c r="AE3198" s="130" t="s">
        <v>228</v>
      </c>
      <c r="AF3198" s="154" t="s">
        <v>187</v>
      </c>
      <c r="AG3198" s="144"/>
      <c r="AH3198" s="130" t="s">
        <v>228</v>
      </c>
      <c r="AI3198" s="154" t="s">
        <v>187</v>
      </c>
      <c r="AJ3198" s="144"/>
      <c r="AK3198" s="130" t="s">
        <v>228</v>
      </c>
      <c r="AL3198" s="154" t="s">
        <v>187</v>
      </c>
      <c r="AM3198" s="144"/>
      <c r="AN3198" s="130" t="s">
        <v>228</v>
      </c>
      <c r="AO3198" s="154" t="s">
        <v>187</v>
      </c>
      <c r="AP3198" s="144"/>
      <c r="AQ3198" s="130" t="s">
        <v>228</v>
      </c>
      <c r="AR3198" s="154" t="s">
        <v>187</v>
      </c>
      <c r="AS3198" s="144"/>
      <c r="AT3198" s="130" t="s">
        <v>228</v>
      </c>
      <c r="AU3198" s="154" t="s">
        <v>187</v>
      </c>
    </row>
    <row r="3199" spans="13:47" x14ac:dyDescent="0.25">
      <c r="M3199" s="20"/>
      <c r="N3199" s="20"/>
      <c r="O3199" s="7" t="s">
        <v>188</v>
      </c>
      <c r="P3199" s="7"/>
      <c r="Q3199" s="7"/>
      <c r="R3199" s="181">
        <f>P_1_minW-(R3197^2*R_up)+dpup_minQ</f>
        <v>100.11951090344974</v>
      </c>
      <c r="S3199" s="132"/>
      <c r="T3199" s="145"/>
      <c r="U3199" s="138">
        <f>P_1_minW-(U3197^2*R_up)+dpup_minQ</f>
        <v>92.795095709327214</v>
      </c>
      <c r="V3199" s="132"/>
      <c r="W3199" s="145"/>
      <c r="X3199" s="138">
        <f>P_1_minW-(X3197^2*R_up)+dpup_minQ</f>
        <v>53.257774136649338</v>
      </c>
      <c r="Y3199" s="132"/>
      <c r="Z3199" s="145"/>
      <c r="AA3199" s="138">
        <f>P_1_minW-(AA3197^2*R_up)+dpup_minQ</f>
        <v>-78.786946679930182</v>
      </c>
      <c r="AB3199" s="132"/>
      <c r="AC3199" s="145"/>
      <c r="AD3199" s="138">
        <f>P_1_minW-(AD3197^2*R_up)+dpup_minQ</f>
        <v>-384.47665995853441</v>
      </c>
      <c r="AE3199" s="132"/>
      <c r="AF3199" s="145"/>
      <c r="AG3199" s="138">
        <f>P_1_minW-(AG3197^2*R_up)+dpup_minQ</f>
        <v>-853.57889282417966</v>
      </c>
      <c r="AH3199" s="132"/>
      <c r="AI3199" s="145"/>
      <c r="AJ3199" s="138">
        <f>P_1_minW-(AJ3197^2*R_up)+dpup_minQ</f>
        <v>-1437.7048218120053</v>
      </c>
      <c r="AK3199" s="132"/>
      <c r="AL3199" s="145"/>
      <c r="AM3199" s="138">
        <f>P_1_minW-(AM3197^2*R_up)+dpup_minQ</f>
        <v>-2014.4489250965325</v>
      </c>
      <c r="AN3199" s="132"/>
      <c r="AO3199" s="145"/>
      <c r="AP3199" s="138">
        <f>P_1_minW-(AP3197^2*R_up)+dpup_minQ</f>
        <v>-2532.016045906686</v>
      </c>
      <c r="AQ3199" s="132"/>
      <c r="AR3199" s="145"/>
      <c r="AS3199" s="138">
        <f>P_1_minW-(AS3197^2*R_up)+dpup_minQ</f>
        <v>-3176.2400496647047</v>
      </c>
      <c r="AT3199" s="132"/>
      <c r="AU3199" s="145"/>
    </row>
    <row r="3200" spans="13:47" x14ac:dyDescent="0.25">
      <c r="M3200" s="20"/>
      <c r="N3200" s="20"/>
      <c r="O3200" s="7" t="s">
        <v>189</v>
      </c>
      <c r="P3200" s="1"/>
      <c r="Q3200" s="7"/>
      <c r="R3200" s="181">
        <f>P_2_minW+(R3197^2*R_dn)-dpdn_minQ</f>
        <v>50</v>
      </c>
      <c r="S3200" s="132"/>
      <c r="T3200" s="146"/>
      <c r="U3200" s="138">
        <f>P_2_minW+(U3197^2*R_dn)-dpdn_minQ</f>
        <v>50</v>
      </c>
      <c r="V3200" s="132"/>
      <c r="W3200" s="146"/>
      <c r="X3200" s="138">
        <f>P_2_minW+(X3197^2*R_dn)-dpdn_minQ</f>
        <v>50</v>
      </c>
      <c r="Y3200" s="132"/>
      <c r="Z3200" s="146"/>
      <c r="AA3200" s="138">
        <f>P_2_minW+(AA3197^2*R_dn)-dpdn_minQ</f>
        <v>50</v>
      </c>
      <c r="AB3200" s="132"/>
      <c r="AC3200" s="146"/>
      <c r="AD3200" s="138">
        <f>P_2_minW+(AD3197^2*R_dn)-dpdn_minQ</f>
        <v>50</v>
      </c>
      <c r="AE3200" s="132"/>
      <c r="AF3200" s="146"/>
      <c r="AG3200" s="138">
        <f>P_2_minW+(AG3197^2*R_dn)-dpdn_minQ</f>
        <v>50</v>
      </c>
      <c r="AH3200" s="132"/>
      <c r="AI3200" s="146"/>
      <c r="AJ3200" s="138">
        <f>P_2_minW+(AJ3197^2*R_dn)-dpdn_minQ</f>
        <v>50</v>
      </c>
      <c r="AK3200" s="132"/>
      <c r="AL3200" s="146"/>
      <c r="AM3200" s="138">
        <f>P_2_minW+(AM3197^2*R_dn)-dpdn_minQ</f>
        <v>50</v>
      </c>
      <c r="AN3200" s="132"/>
      <c r="AO3200" s="146"/>
      <c r="AP3200" s="138">
        <f>P_2_minW+(AP3197^2*R_dn)-dpdn_minQ</f>
        <v>50</v>
      </c>
      <c r="AQ3200" s="132"/>
      <c r="AR3200" s="146"/>
      <c r="AS3200" s="138">
        <f>P_2_minW+(AS3197^2*R_dn)-dpdn_minQ</f>
        <v>50</v>
      </c>
      <c r="AT3200" s="132"/>
      <c r="AU3200" s="146"/>
    </row>
    <row r="3201" spans="13:47" x14ac:dyDescent="0.25">
      <c r="M3201" s="20"/>
      <c r="N3201" s="20"/>
      <c r="O3201" s="7" t="s">
        <v>234</v>
      </c>
      <c r="P3201" s="1"/>
      <c r="Q3201" s="7"/>
      <c r="R3201" s="179">
        <f>'Valve Sizing'!G$8*R3199/P_1_maxW</f>
        <v>0.48295869541799952</v>
      </c>
      <c r="S3201" s="132"/>
      <c r="T3201" s="146"/>
      <c r="U3201" s="143">
        <f>'Valve Sizing'!$G$8*U3199/P_1_maxW</f>
        <v>0.44762702055330239</v>
      </c>
      <c r="V3201" s="132"/>
      <c r="W3201" s="146"/>
      <c r="X3201" s="143">
        <f>'Valve Sizing'!$G$8*X3199/P_1_maxW</f>
        <v>0.25690602047294242</v>
      </c>
      <c r="Y3201" s="132"/>
      <c r="Z3201" s="146"/>
      <c r="AA3201" s="143">
        <f>'Valve Sizing'!$G$8*AA3199/P_1_maxW</f>
        <v>-0.38005420363270553</v>
      </c>
      <c r="AB3201" s="132"/>
      <c r="AC3201" s="146"/>
      <c r="AD3201" s="143">
        <f>'Valve Sizing'!$G$8*AD3199/P_1_maxW</f>
        <v>-1.8546469557897685</v>
      </c>
      <c r="AE3201" s="132"/>
      <c r="AF3201" s="146"/>
      <c r="AG3201" s="143">
        <f>'Valve Sizing'!$G$8*AG3199/P_1_maxW</f>
        <v>-4.1175126086288332</v>
      </c>
      <c r="AH3201" s="132"/>
      <c r="AI3201" s="146"/>
      <c r="AJ3201" s="143">
        <f>'Valve Sizing'!$G$8*AJ3199/P_1_maxW</f>
        <v>-6.9352320928544291</v>
      </c>
      <c r="AK3201" s="132"/>
      <c r="AL3201" s="146"/>
      <c r="AM3201" s="143">
        <f>'Valve Sizing'!$G$8*AM3199/P_1_maxW</f>
        <v>-9.717342964140375</v>
      </c>
      <c r="AN3201" s="132"/>
      <c r="AO3201" s="146"/>
      <c r="AP3201" s="143">
        <f>'Valve Sizing'!$G$8*AP3199/P_1_maxW</f>
        <v>-12.213994607782285</v>
      </c>
      <c r="AQ3201" s="132"/>
      <c r="AR3201" s="146"/>
      <c r="AS3201" s="143">
        <f>'Valve Sizing'!$G$8*AS3199/P_1_maxW</f>
        <v>-15.321616504896571</v>
      </c>
      <c r="AT3201" s="132"/>
      <c r="AU3201" s="146"/>
    </row>
    <row r="3202" spans="13:47" x14ac:dyDescent="0.25">
      <c r="M3202" s="20"/>
      <c r="N3202" s="20"/>
      <c r="O3202" s="7" t="s">
        <v>190</v>
      </c>
      <c r="P3202" s="1"/>
      <c r="Q3202" s="7"/>
      <c r="R3202" s="181">
        <f>R3199-R3200</f>
        <v>50.119510903449736</v>
      </c>
      <c r="S3202" s="132"/>
      <c r="T3202" s="146"/>
      <c r="U3202" s="138">
        <f>U3199-U3200</f>
        <v>42.795095709327214</v>
      </c>
      <c r="V3202" s="132"/>
      <c r="W3202" s="146"/>
      <c r="X3202" s="138">
        <f>X3199-X3200</f>
        <v>3.2577741366493385</v>
      </c>
      <c r="Y3202" s="132"/>
      <c r="Z3202" s="146"/>
      <c r="AA3202" s="138">
        <f>AA3199-AA3200</f>
        <v>-128.78694667993017</v>
      </c>
      <c r="AB3202" s="132"/>
      <c r="AC3202" s="146"/>
      <c r="AD3202" s="138">
        <f>AD3199-AD3200</f>
        <v>-434.47665995853441</v>
      </c>
      <c r="AE3202" s="132"/>
      <c r="AF3202" s="146"/>
      <c r="AG3202" s="138">
        <f>AG3199-AG3200</f>
        <v>-903.57889282417966</v>
      </c>
      <c r="AH3202" s="132"/>
      <c r="AI3202" s="146"/>
      <c r="AJ3202" s="138">
        <f>AJ3199-AJ3200</f>
        <v>-1487.7048218120053</v>
      </c>
      <c r="AK3202" s="132"/>
      <c r="AL3202" s="146"/>
      <c r="AM3202" s="138">
        <f>AM3199-AM3200</f>
        <v>-2064.4489250965325</v>
      </c>
      <c r="AN3202" s="132"/>
      <c r="AO3202" s="146"/>
      <c r="AP3202" s="138">
        <f>AP3199-AP3200</f>
        <v>-2582.016045906686</v>
      </c>
      <c r="AQ3202" s="132"/>
      <c r="AR3202" s="146"/>
      <c r="AS3202" s="138">
        <f>AS3199-AS3200</f>
        <v>-3226.2400496647047</v>
      </c>
      <c r="AT3202" s="132"/>
      <c r="AU3202" s="146"/>
    </row>
    <row r="3203" spans="13:47" ht="14.5" x14ac:dyDescent="0.35">
      <c r="M3203" s="27"/>
      <c r="N3203" s="27"/>
      <c r="O3203" s="2" t="s">
        <v>191</v>
      </c>
      <c r="P3203" s="10"/>
      <c r="Q3203" s="2"/>
      <c r="R3203" s="181">
        <f>R3202/R3199</f>
        <v>0.50059684122690629</v>
      </c>
      <c r="S3203" s="132"/>
      <c r="T3203" s="146"/>
      <c r="U3203" s="138">
        <f>U3202/U3199</f>
        <v>0.46117842093055467</v>
      </c>
      <c r="V3203" s="132"/>
      <c r="W3203" s="146"/>
      <c r="X3203" s="138">
        <f>X3202/X3199</f>
        <v>6.1169926634382213E-2</v>
      </c>
      <c r="Y3203" s="132"/>
      <c r="Z3203" s="146"/>
      <c r="AA3203" s="138">
        <f>AA3202/AA3199</f>
        <v>1.6346228925855397</v>
      </c>
      <c r="AB3203" s="132"/>
      <c r="AC3203" s="146"/>
      <c r="AD3203" s="138">
        <f>AD3202/AD3199</f>
        <v>1.1300469058522109</v>
      </c>
      <c r="AE3203" s="132"/>
      <c r="AF3203" s="146"/>
      <c r="AG3203" s="138">
        <f>AG3202/AG3199</f>
        <v>1.058576893618548</v>
      </c>
      <c r="AH3203" s="132"/>
      <c r="AI3203" s="146"/>
      <c r="AJ3203" s="138">
        <f>AJ3202/AJ3199</f>
        <v>1.0347776534107904</v>
      </c>
      <c r="AK3203" s="132"/>
      <c r="AL3203" s="146"/>
      <c r="AM3203" s="138">
        <f>AM3202/AM3199</f>
        <v>1.024820683898751</v>
      </c>
      <c r="AN3203" s="132"/>
      <c r="AO3203" s="146"/>
      <c r="AP3203" s="138">
        <f>AP3202/AP3199</f>
        <v>1.019747110244752</v>
      </c>
      <c r="AQ3203" s="132"/>
      <c r="AR3203" s="146"/>
      <c r="AS3203" s="138">
        <f>AS3202/AS3199</f>
        <v>1.0157418832387302</v>
      </c>
      <c r="AT3203" s="132"/>
      <c r="AU3203" s="146"/>
    </row>
    <row r="3204" spans="13:47" x14ac:dyDescent="0.25">
      <c r="M3204" s="27"/>
      <c r="N3204" s="27"/>
      <c r="O3204" s="2" t="s">
        <v>26</v>
      </c>
      <c r="P3204" s="7">
        <v>12</v>
      </c>
      <c r="Q3204" s="2"/>
      <c r="R3204" s="181">
        <f>1-R3203/(3*F_GAMMA*R$29)</f>
        <v>0.7392834286854173</v>
      </c>
      <c r="S3204" s="133"/>
      <c r="T3204" s="146"/>
      <c r="U3204" s="138">
        <f>1-U3203/(3*F_GAMMA*U$29)</f>
        <v>0.75986587687413143</v>
      </c>
      <c r="V3204" s="133"/>
      <c r="W3204" s="146"/>
      <c r="X3204" s="138">
        <f>1-X3203/(3*F_GAMMA*X$29)</f>
        <v>0.96767120013590013</v>
      </c>
      <c r="Y3204" s="133"/>
      <c r="Z3204" s="146"/>
      <c r="AA3204" s="138">
        <f>1-AA3203/(3*F_GAMMA*AA$29)</f>
        <v>0.12424318254830446</v>
      </c>
      <c r="AB3204" s="133"/>
      <c r="AC3204" s="146"/>
      <c r="AD3204" s="138">
        <f>1-AD3203/(3*F_GAMMA*AD$29)</f>
        <v>0.37797256899795317</v>
      </c>
      <c r="AE3204" s="133"/>
      <c r="AF3204" s="146"/>
      <c r="AG3204" s="138">
        <f>1-AG3203/(3*F_GAMMA*AG$29)</f>
        <v>0.38407540369647231</v>
      </c>
      <c r="AH3204" s="133"/>
      <c r="AI3204" s="146"/>
      <c r="AJ3204" s="138">
        <f>1-AJ3203/(3*F_GAMMA*AJ$29)</f>
        <v>0.35637131478932516</v>
      </c>
      <c r="AK3204" s="133"/>
      <c r="AL3204" s="146"/>
      <c r="AM3204" s="138">
        <f>1-AM3203/(3*F_GAMMA*AM$29)</f>
        <v>0.30353691892913914</v>
      </c>
      <c r="AN3204" s="133"/>
      <c r="AO3204" s="146"/>
      <c r="AP3204" s="138">
        <f>1-AP3203/(3*F_GAMMA*AP$29)</f>
        <v>0.42729799068437513</v>
      </c>
      <c r="AQ3204" s="133"/>
      <c r="AR3204" s="146"/>
      <c r="AS3204" s="138">
        <f>1-AS3203/(3*F_GAMMA*AS$29)</f>
        <v>0.13400334424946125</v>
      </c>
      <c r="AT3204" s="133"/>
      <c r="AU3204" s="146"/>
    </row>
    <row r="3205" spans="13:47" x14ac:dyDescent="0.25">
      <c r="M3205" s="27"/>
      <c r="N3205" s="27"/>
      <c r="O3205" s="2" t="s">
        <v>71</v>
      </c>
      <c r="P3205" s="85">
        <v>5</v>
      </c>
      <c r="Q3205" s="2"/>
      <c r="R3205" s="179">
        <f>R3197/((N_6*R$27*R3204)*SQRT(R3203*R3199*R3201))</f>
        <v>4.3684027926511035</v>
      </c>
      <c r="S3205" s="133"/>
      <c r="T3205" s="146"/>
      <c r="U3205" s="143">
        <f>U3197/((N_6*U$27*U3204)*SQRT(U3203*U3199*U3201))</f>
        <v>20.926360536048936</v>
      </c>
      <c r="V3205" s="133"/>
      <c r="W3205" s="146"/>
      <c r="X3205" s="143">
        <f>X3197/((N_6*X$27*X3204)*SQRT(X3203*X3199*X3201))</f>
        <v>194.85734879733025</v>
      </c>
      <c r="Y3205" s="133"/>
      <c r="Z3205" s="146"/>
      <c r="AA3205" s="143">
        <f>AA3197/((N_6*AA$27*AA3204)*SQRT(AA3203*AA3199*AA3201))</f>
        <v>388.76181035643293</v>
      </c>
      <c r="AB3205" s="133"/>
      <c r="AC3205" s="146"/>
      <c r="AD3205" s="143">
        <f>AD3197/((N_6*AD$27*AD3204)*SQRT(AD3203*AD3199*AD3201))</f>
        <v>52.414819290261718</v>
      </c>
      <c r="AE3205" s="133"/>
      <c r="AF3205" s="146"/>
      <c r="AG3205" s="143">
        <f>AG3197/((N_6*AG$27*AG3204)*SQRT(AG3203*AG3199*AG3201))</f>
        <v>34.396056495688583</v>
      </c>
      <c r="AH3205" s="133"/>
      <c r="AI3205" s="146"/>
      <c r="AJ3205" s="143">
        <f>AJ3197/((N_6*AJ$27*AJ3204)*SQRT(AJ3203*AJ3199*AJ3201))</f>
        <v>29.235234316203826</v>
      </c>
      <c r="AK3205" s="133"/>
      <c r="AL3205" s="146"/>
      <c r="AM3205" s="143">
        <f>AM3197/((N_6*AM$27*AM3204)*SQRT(AM3203*AM3199*AM3201))</f>
        <v>30.636353313149314</v>
      </c>
      <c r="AN3205" s="133"/>
      <c r="AO3205" s="146"/>
      <c r="AP3205" s="143">
        <f>AP3197/((N_6*AP$27*AP3204)*SQRT(AP3203*AP3199*AP3201))</f>
        <v>21.997558491624925</v>
      </c>
      <c r="AQ3205" s="133"/>
      <c r="AR3205" s="146"/>
      <c r="AS3205" s="143">
        <f>AS3197/((N_6*AS$27*AS3204)*SQRT(AS3203*AS3199*AS3201))</f>
        <v>82.133422914567987</v>
      </c>
      <c r="AT3205" s="133"/>
      <c r="AU3205" s="146"/>
    </row>
    <row r="3206" spans="13:47" x14ac:dyDescent="0.25">
      <c r="M3206" s="27"/>
      <c r="N3206" s="27"/>
      <c r="O3206" s="2" t="s">
        <v>73</v>
      </c>
      <c r="P3206" s="85">
        <v>5</v>
      </c>
      <c r="Q3206" s="2"/>
      <c r="R3206" s="179">
        <f>R3197/((N_6*R$27*0.667)*SQRT(R3207*R3199*R3201))</f>
        <v>4.282060105273418</v>
      </c>
      <c r="S3206" s="133"/>
      <c r="T3206" s="155"/>
      <c r="U3206" s="143">
        <f>U3197/((N_6*U$27*0.667)*SQRT(U3207*U3199*U3201))</f>
        <v>20.234495370000193</v>
      </c>
      <c r="V3206" s="133"/>
      <c r="W3206" s="155"/>
      <c r="X3206" s="143">
        <f>X3197/((N_6*X$27*0.667)*SQRT(X3207*X3199*X3201))</f>
        <v>88.038815306280995</v>
      </c>
      <c r="Y3206" s="133"/>
      <c r="Z3206" s="155"/>
      <c r="AA3206" s="143">
        <f>AA3197/((N_6*AA$27*0.667)*SQRT(AA3207*AA3199*AA3201))</f>
        <v>117.3769229454806</v>
      </c>
      <c r="AB3206" s="133"/>
      <c r="AC3206" s="155"/>
      <c r="AD3206" s="143">
        <f>AD3197/((N_6*AD$27*0.667)*SQRT(AD3207*AD3199*AD3201))</f>
        <v>40.574571062805504</v>
      </c>
      <c r="AE3206" s="133"/>
      <c r="AF3206" s="155"/>
      <c r="AG3206" s="143">
        <f>AG3197/((N_6*AG$27*0.667)*SQRT(AG3207*AG3199*AG3201))</f>
        <v>26.923016448137453</v>
      </c>
      <c r="AH3206" s="133"/>
      <c r="AI3206" s="155"/>
      <c r="AJ3206" s="143">
        <f>AJ3197/((N_6*AJ$27*0.667)*SQRT(AJ3207*AJ3199*AJ3201))</f>
        <v>21.705100821674698</v>
      </c>
      <c r="AK3206" s="133"/>
      <c r="AL3206" s="155"/>
      <c r="AM3206" s="143">
        <f>AM3197/((N_6*AM$27*0.667)*SQRT(AM3207*AM3199*AM3201))</f>
        <v>20.152662613066774</v>
      </c>
      <c r="AN3206" s="133"/>
      <c r="AO3206" s="155"/>
      <c r="AP3206" s="143">
        <f>AP3197/((N_6*AP$27*0.667)*SQRT(AP3207*AP3199*AP3201))</f>
        <v>18.471598435126378</v>
      </c>
      <c r="AQ3206" s="133"/>
      <c r="AR3206" s="155"/>
      <c r="AS3206" s="143">
        <f>AS3197/((N_6*AS$27*0.667)*SQRT(AS3207*AS3199*AS3201))</f>
        <v>26.596743214353335</v>
      </c>
      <c r="AT3206" s="133"/>
      <c r="AU3206" s="155"/>
    </row>
    <row r="3207" spans="13:47" ht="15.5" x14ac:dyDescent="0.4">
      <c r="M3207" s="27"/>
      <c r="N3207" s="27"/>
      <c r="O3207" s="2" t="s">
        <v>192</v>
      </c>
      <c r="P3207" s="85">
        <v>10</v>
      </c>
      <c r="Q3207" s="2"/>
      <c r="R3207" s="181">
        <f>F_GAMMA*R$29</f>
        <v>0.64002688015162901</v>
      </c>
      <c r="S3207" s="133"/>
      <c r="T3207" s="155"/>
      <c r="U3207" s="138">
        <f>F_GAMMA*U$29</f>
        <v>0.64016782916606918</v>
      </c>
      <c r="V3207" s="133"/>
      <c r="W3207" s="155"/>
      <c r="X3207" s="138">
        <f>F_GAMMA*X$29</f>
        <v>0.6307062319203669</v>
      </c>
      <c r="Y3207" s="133"/>
      <c r="Z3207" s="155"/>
      <c r="AA3207" s="138">
        <f>F_GAMMA*AA$29</f>
        <v>0.62217534213893466</v>
      </c>
      <c r="AB3207" s="133"/>
      <c r="AC3207" s="155"/>
      <c r="AD3207" s="138">
        <f>F_GAMMA*AD$29</f>
        <v>0.60557184969146072</v>
      </c>
      <c r="AE3207" s="133"/>
      <c r="AF3207" s="155"/>
      <c r="AG3207" s="138">
        <f>F_GAMMA*AG$29</f>
        <v>0.57289312142622573</v>
      </c>
      <c r="AH3207" s="133"/>
      <c r="AI3207" s="155"/>
      <c r="AJ3207" s="138">
        <f>F_GAMMA*AJ$29</f>
        <v>0.53590819116049981</v>
      </c>
      <c r="AK3207" s="133"/>
      <c r="AL3207" s="155"/>
      <c r="AM3207" s="138">
        <f>F_GAMMA*AM$29</f>
        <v>0.49048815926850342</v>
      </c>
      <c r="AN3207" s="133"/>
      <c r="AO3207" s="155"/>
      <c r="AP3207" s="138">
        <f>F_GAMMA*AP$29</f>
        <v>0.59352979016280105</v>
      </c>
      <c r="AQ3207" s="133"/>
      <c r="AR3207" s="155"/>
      <c r="AS3207" s="138">
        <f>F_GAMMA*AS$29</f>
        <v>0.39097221161068291</v>
      </c>
      <c r="AT3207" s="133"/>
      <c r="AU3207" s="155"/>
    </row>
    <row r="3208" spans="13:47" x14ac:dyDescent="0.25">
      <c r="M3208" s="27"/>
      <c r="N3208" s="27"/>
      <c r="O3208" s="2" t="s">
        <v>193</v>
      </c>
      <c r="P3208" s="134"/>
      <c r="Q3208" s="2"/>
      <c r="R3208" s="181">
        <f>IF(R3203&lt;R3207,R3205,R3206)</f>
        <v>4.3684027926511035</v>
      </c>
      <c r="S3208" s="133"/>
      <c r="T3208" s="155"/>
      <c r="U3208" s="138">
        <f>IF(U3203&lt;U3207,U3205,U3206)</f>
        <v>20.926360536048936</v>
      </c>
      <c r="V3208" s="133"/>
      <c r="W3208" s="155"/>
      <c r="X3208" s="138">
        <f>IF(X3203&lt;X3207,X3205,X3206)</f>
        <v>194.85734879733025</v>
      </c>
      <c r="Y3208" s="133"/>
      <c r="Z3208" s="155"/>
      <c r="AA3208" s="138">
        <f>IF(AA3203&lt;AA3207,AA3205,AA3206)</f>
        <v>117.3769229454806</v>
      </c>
      <c r="AB3208" s="133"/>
      <c r="AC3208" s="155"/>
      <c r="AD3208" s="138">
        <f>IF(AD3203&lt;AD3207,AD3205,AD3206)</f>
        <v>40.574571062805504</v>
      </c>
      <c r="AE3208" s="133"/>
      <c r="AF3208" s="155"/>
      <c r="AG3208" s="138">
        <f>IF(AG3203&lt;AG3207,AG3205,AG3206)</f>
        <v>26.923016448137453</v>
      </c>
      <c r="AH3208" s="133"/>
      <c r="AI3208" s="155"/>
      <c r="AJ3208" s="138">
        <f>IF(AJ3203&lt;AJ3207,AJ3205,AJ3206)</f>
        <v>21.705100821674698</v>
      </c>
      <c r="AK3208" s="133"/>
      <c r="AL3208" s="155"/>
      <c r="AM3208" s="138">
        <f>IF(AM3203&lt;AM3207,AM3205,AM3206)</f>
        <v>20.152662613066774</v>
      </c>
      <c r="AN3208" s="133"/>
      <c r="AO3208" s="155"/>
      <c r="AP3208" s="138">
        <f>IF(AP3203&lt;AP3207,AP3205,AP3206)</f>
        <v>18.471598435126378</v>
      </c>
      <c r="AQ3208" s="133"/>
      <c r="AR3208" s="155"/>
      <c r="AS3208" s="138">
        <f>IF(AS3203&lt;AS3207,AS3205,AS3206)</f>
        <v>26.596743214353335</v>
      </c>
      <c r="AT3208" s="133"/>
      <c r="AU3208" s="155"/>
    </row>
    <row r="3209" spans="13:47" ht="13" x14ac:dyDescent="0.3">
      <c r="M3209" s="28"/>
      <c r="N3209" s="28"/>
      <c r="O3209" s="9" t="s">
        <v>194</v>
      </c>
      <c r="P3209" s="1"/>
      <c r="Q3209" s="1"/>
      <c r="R3209" s="135"/>
      <c r="S3209" s="132">
        <f>IF(R3202&lt;=0,W_max,ABS(R$23-R3208))</f>
        <v>2.3684027926511035</v>
      </c>
      <c r="T3209" s="151">
        <f>R3197</f>
        <v>1005.6440881405732</v>
      </c>
      <c r="U3209" s="135"/>
      <c r="V3209" s="132">
        <f>IF(U3202&lt;=0,W_max,ABS(U$23-U3208))</f>
        <v>15.926360536048936</v>
      </c>
      <c r="W3209" s="151">
        <f>U3197</f>
        <v>4402.1828853971447</v>
      </c>
      <c r="X3209" s="135"/>
      <c r="Y3209" s="132">
        <f>IF(X3202&lt;=0,W_max,ABS(X$23-X3208))</f>
        <v>184.85734879733025</v>
      </c>
      <c r="Z3209" s="151">
        <f>X3197</f>
        <v>10887.122141491396</v>
      </c>
      <c r="AA3209" s="135"/>
      <c r="AB3209" s="132">
        <f>IF(AA3202&lt;=0,W_max,ABS(AA$23-AA3208))</f>
        <v>7174</v>
      </c>
      <c r="AC3209" s="151">
        <f>AA3197</f>
        <v>21205.335043634084</v>
      </c>
      <c r="AD3209" s="135"/>
      <c r="AE3209" s="132">
        <f>IF(AD3202&lt;=0,W_max,ABS(AD$23-AD3208))</f>
        <v>7174</v>
      </c>
      <c r="AF3209" s="151">
        <f>AD3197</f>
        <v>34874.968805621851</v>
      </c>
      <c r="AG3209" s="135"/>
      <c r="AH3209" s="132">
        <f>IF(AG3202&lt;=0,W_max,ABS(AG$23-AG3208))</f>
        <v>7174</v>
      </c>
      <c r="AI3209" s="151">
        <f>AG3197</f>
        <v>48914.82864014696</v>
      </c>
      <c r="AJ3209" s="135"/>
      <c r="AK3209" s="132">
        <f>IF(AJ3202&lt;=0,W_max,ABS(AJ$23-AJ3208))</f>
        <v>7174</v>
      </c>
      <c r="AL3209" s="151">
        <f>AJ3197</f>
        <v>62108.852751395832</v>
      </c>
      <c r="AM3209" s="135"/>
      <c r="AN3209" s="132">
        <f>IF(AM3202&lt;=0,W_max,ABS(AM$23-AM3208))</f>
        <v>7174</v>
      </c>
      <c r="AO3209" s="151">
        <f>AM3197</f>
        <v>72827.514396997227</v>
      </c>
      <c r="AP3209" s="135"/>
      <c r="AQ3209" s="132">
        <f>IF(AP3202&lt;=0,W_max,ABS(AP$23-AP3208))</f>
        <v>7174</v>
      </c>
      <c r="AR3209" s="151">
        <f>AP3197</f>
        <v>81251.352579042446</v>
      </c>
      <c r="AS3209" s="135"/>
      <c r="AT3209" s="132">
        <f>IF(AS3202&lt;=0,W_max,ABS(AS$23-AS3208))</f>
        <v>7174</v>
      </c>
      <c r="AU3209" s="151">
        <f>AS3197</f>
        <v>90649.562196180996</v>
      </c>
    </row>
    <row r="3210" spans="13:47" ht="13" x14ac:dyDescent="0.25">
      <c r="M3210" s="12"/>
      <c r="N3210" s="12"/>
      <c r="O3210" s="2"/>
      <c r="P3210" s="85"/>
      <c r="Q3210" s="2"/>
      <c r="R3210" s="18"/>
      <c r="S3210" s="150"/>
      <c r="T3210" s="152"/>
      <c r="U3210" s="157"/>
      <c r="V3210" s="1"/>
      <c r="W3210" s="147"/>
      <c r="X3210" s="157"/>
      <c r="Y3210" s="1"/>
      <c r="Z3210" s="147"/>
      <c r="AA3210" s="157"/>
      <c r="AB3210" s="1"/>
      <c r="AC3210" s="147"/>
      <c r="AD3210" s="157"/>
      <c r="AE3210" s="1"/>
      <c r="AF3210" s="147"/>
      <c r="AG3210" s="157"/>
      <c r="AH3210" s="1"/>
      <c r="AI3210" s="147"/>
      <c r="AJ3210" s="157"/>
      <c r="AK3210" s="1"/>
      <c r="AL3210" s="147"/>
      <c r="AM3210" s="157"/>
      <c r="AN3210" s="1"/>
      <c r="AO3210" s="147"/>
      <c r="AP3210" s="157"/>
      <c r="AQ3210" s="1"/>
      <c r="AR3210" s="147"/>
      <c r="AS3210" s="157"/>
      <c r="AT3210" s="1"/>
      <c r="AU3210" s="147"/>
    </row>
    <row r="3211" spans="13:47" ht="14" x14ac:dyDescent="0.3">
      <c r="M3211" s="23"/>
      <c r="N3211" s="23"/>
      <c r="O3211" s="23" t="s">
        <v>238</v>
      </c>
      <c r="P3211" s="20"/>
      <c r="Q3211" s="20"/>
      <c r="R3211" s="181">
        <f>R3197*1.02</f>
        <v>1025.7569699033847</v>
      </c>
      <c r="S3211" s="128" t="s">
        <v>185</v>
      </c>
      <c r="T3211" s="153" t="s">
        <v>186</v>
      </c>
      <c r="U3211" s="143">
        <f>U3197*1.01</f>
        <v>4446.2047142511165</v>
      </c>
      <c r="V3211" s="128" t="s">
        <v>185</v>
      </c>
      <c r="W3211" s="153" t="s">
        <v>186</v>
      </c>
      <c r="X3211" s="143">
        <f>X3197*1.01</f>
        <v>10995.993362906311</v>
      </c>
      <c r="Y3211" s="128" t="s">
        <v>185</v>
      </c>
      <c r="Z3211" s="153" t="s">
        <v>186</v>
      </c>
      <c r="AA3211" s="143">
        <f>AA3197*1.01</f>
        <v>21417.388394070425</v>
      </c>
      <c r="AB3211" s="128" t="s">
        <v>185</v>
      </c>
      <c r="AC3211" s="153" t="s">
        <v>186</v>
      </c>
      <c r="AD3211" s="143">
        <f>AD3197*1.01</f>
        <v>35223.718493678069</v>
      </c>
      <c r="AE3211" s="128" t="s">
        <v>185</v>
      </c>
      <c r="AF3211" s="153" t="s">
        <v>186</v>
      </c>
      <c r="AG3211" s="143">
        <f>AG3197*1.01</f>
        <v>49403.976926548428</v>
      </c>
      <c r="AH3211" s="128" t="s">
        <v>185</v>
      </c>
      <c r="AI3211" s="153" t="s">
        <v>186</v>
      </c>
      <c r="AJ3211" s="143">
        <f>AJ3197*1.01</f>
        <v>62729.941278909791</v>
      </c>
      <c r="AK3211" s="128" t="s">
        <v>185</v>
      </c>
      <c r="AL3211" s="153" t="s">
        <v>186</v>
      </c>
      <c r="AM3211" s="143">
        <f>AM3197*1.01</f>
        <v>73555.789540967206</v>
      </c>
      <c r="AN3211" s="128" t="s">
        <v>185</v>
      </c>
      <c r="AO3211" s="153" t="s">
        <v>186</v>
      </c>
      <c r="AP3211" s="143">
        <f>AP3197*1.01</f>
        <v>82063.866104832865</v>
      </c>
      <c r="AQ3211" s="128" t="s">
        <v>185</v>
      </c>
      <c r="AR3211" s="153" t="s">
        <v>186</v>
      </c>
      <c r="AS3211" s="143">
        <f>AS3197*1.01</f>
        <v>91556.057818142814</v>
      </c>
      <c r="AT3211" s="128" t="s">
        <v>185</v>
      </c>
      <c r="AU3211" s="153" t="s">
        <v>186</v>
      </c>
    </row>
    <row r="3212" spans="13:47" ht="14" x14ac:dyDescent="0.3">
      <c r="M3212" s="12"/>
      <c r="N3212" s="12"/>
      <c r="O3212" s="20"/>
      <c r="P3212" s="20"/>
      <c r="Q3212" s="23"/>
      <c r="R3212" s="139"/>
      <c r="S3212" s="130" t="s">
        <v>228</v>
      </c>
      <c r="T3212" s="154" t="s">
        <v>187</v>
      </c>
      <c r="U3212" s="144"/>
      <c r="V3212" s="130" t="s">
        <v>228</v>
      </c>
      <c r="W3212" s="154" t="s">
        <v>187</v>
      </c>
      <c r="X3212" s="144"/>
      <c r="Y3212" s="130" t="s">
        <v>228</v>
      </c>
      <c r="Z3212" s="154" t="s">
        <v>187</v>
      </c>
      <c r="AA3212" s="144"/>
      <c r="AB3212" s="130" t="s">
        <v>228</v>
      </c>
      <c r="AC3212" s="154" t="s">
        <v>187</v>
      </c>
      <c r="AD3212" s="144"/>
      <c r="AE3212" s="130" t="s">
        <v>228</v>
      </c>
      <c r="AF3212" s="154" t="s">
        <v>187</v>
      </c>
      <c r="AG3212" s="144"/>
      <c r="AH3212" s="130" t="s">
        <v>228</v>
      </c>
      <c r="AI3212" s="154" t="s">
        <v>187</v>
      </c>
      <c r="AJ3212" s="144"/>
      <c r="AK3212" s="130" t="s">
        <v>228</v>
      </c>
      <c r="AL3212" s="154" t="s">
        <v>187</v>
      </c>
      <c r="AM3212" s="144"/>
      <c r="AN3212" s="130" t="s">
        <v>228</v>
      </c>
      <c r="AO3212" s="154" t="s">
        <v>187</v>
      </c>
      <c r="AP3212" s="144"/>
      <c r="AQ3212" s="130" t="s">
        <v>228</v>
      </c>
      <c r="AR3212" s="154" t="s">
        <v>187</v>
      </c>
      <c r="AS3212" s="144"/>
      <c r="AT3212" s="130" t="s">
        <v>228</v>
      </c>
      <c r="AU3212" s="154" t="s">
        <v>187</v>
      </c>
    </row>
    <row r="3213" spans="13:47" x14ac:dyDescent="0.25">
      <c r="M3213" s="20"/>
      <c r="N3213" s="20"/>
      <c r="O3213" s="7" t="s">
        <v>188</v>
      </c>
      <c r="P3213" s="7"/>
      <c r="Q3213" s="7"/>
      <c r="R3213" s="181">
        <f>P_1_minW-(R3211^2*R_up)+dpup_minQ</f>
        <v>100.10321855978535</v>
      </c>
      <c r="S3213" s="132"/>
      <c r="T3213" s="145"/>
      <c r="U3213" s="138">
        <f>P_1_minW-(U3211^2*R_up)+dpup_minQ</f>
        <v>92.639769119676487</v>
      </c>
      <c r="V3213" s="132"/>
      <c r="W3213" s="145"/>
      <c r="X3213" s="138">
        <f>P_1_minW-(X3211^2*R_up)+dpup_minQ</f>
        <v>52.307747383387778</v>
      </c>
      <c r="Y3213" s="132"/>
      <c r="Z3213" s="145"/>
      <c r="AA3213" s="138">
        <f>P_1_minW-(AA3211^2*R_up)+dpup_minQ</f>
        <v>-82.391072321604994</v>
      </c>
      <c r="AB3213" s="132"/>
      <c r="AC3213" s="145"/>
      <c r="AD3213" s="138">
        <f>P_1_minW-(AD3211^2*R_up)+dpup_minQ</f>
        <v>-394.2251488371092</v>
      </c>
      <c r="AE3213" s="132"/>
      <c r="AF3213" s="145"/>
      <c r="AG3213" s="138">
        <f>P_1_minW-(AG3211^2*R_up)+dpup_minQ</f>
        <v>-872.75633658335369</v>
      </c>
      <c r="AH3213" s="132"/>
      <c r="AI3213" s="145"/>
      <c r="AJ3213" s="138">
        <f>P_1_minW-(AJ3211^2*R_up)+dpup_minQ</f>
        <v>-1468.6231967438348</v>
      </c>
      <c r="AK3213" s="132"/>
      <c r="AL3213" s="145"/>
      <c r="AM3213" s="138">
        <f>P_1_minW-(AM3211^2*R_up)+dpup_minQ</f>
        <v>-2056.9598565043812</v>
      </c>
      <c r="AN3213" s="132"/>
      <c r="AO3213" s="145"/>
      <c r="AP3213" s="138">
        <f>P_1_minW-(AP3211^2*R_up)+dpup_minQ</f>
        <v>-2584.9300764428185</v>
      </c>
      <c r="AQ3213" s="132"/>
      <c r="AR3213" s="145"/>
      <c r="AS3213" s="138">
        <f>P_1_minW-(AS3211^2*R_up)+dpup_minQ</f>
        <v>-3242.1029826763743</v>
      </c>
      <c r="AT3213" s="132"/>
      <c r="AU3213" s="145"/>
    </row>
    <row r="3214" spans="13:47" x14ac:dyDescent="0.25">
      <c r="M3214" s="20"/>
      <c r="N3214" s="20"/>
      <c r="O3214" s="7" t="s">
        <v>189</v>
      </c>
      <c r="P3214" s="1"/>
      <c r="Q3214" s="7"/>
      <c r="R3214" s="181">
        <f>P_2_minW+(R3211^2*R_dn)-dpdn_minQ</f>
        <v>50</v>
      </c>
      <c r="S3214" s="132"/>
      <c r="T3214" s="146"/>
      <c r="U3214" s="138">
        <f>P_2_minW+(U3211^2*R_dn)-dpdn_minQ</f>
        <v>50</v>
      </c>
      <c r="V3214" s="132"/>
      <c r="W3214" s="146"/>
      <c r="X3214" s="138">
        <f>P_2_minW+(X3211^2*R_dn)-dpdn_minQ</f>
        <v>50</v>
      </c>
      <c r="Y3214" s="132"/>
      <c r="Z3214" s="146"/>
      <c r="AA3214" s="138">
        <f>P_2_minW+(AA3211^2*R_dn)-dpdn_minQ</f>
        <v>50</v>
      </c>
      <c r="AB3214" s="132"/>
      <c r="AC3214" s="146"/>
      <c r="AD3214" s="138">
        <f>P_2_minW+(AD3211^2*R_dn)-dpdn_minQ</f>
        <v>50</v>
      </c>
      <c r="AE3214" s="132"/>
      <c r="AF3214" s="146"/>
      <c r="AG3214" s="138">
        <f>P_2_minW+(AG3211^2*R_dn)-dpdn_minQ</f>
        <v>50</v>
      </c>
      <c r="AH3214" s="132"/>
      <c r="AI3214" s="146"/>
      <c r="AJ3214" s="138">
        <f>P_2_minW+(AJ3211^2*R_dn)-dpdn_minQ</f>
        <v>50</v>
      </c>
      <c r="AK3214" s="132"/>
      <c r="AL3214" s="146"/>
      <c r="AM3214" s="138">
        <f>P_2_minW+(AM3211^2*R_dn)-dpdn_minQ</f>
        <v>50</v>
      </c>
      <c r="AN3214" s="132"/>
      <c r="AO3214" s="146"/>
      <c r="AP3214" s="138">
        <f>P_2_minW+(AP3211^2*R_dn)-dpdn_minQ</f>
        <v>50</v>
      </c>
      <c r="AQ3214" s="132"/>
      <c r="AR3214" s="146"/>
      <c r="AS3214" s="138">
        <f>P_2_minW+(AS3211^2*R_dn)-dpdn_minQ</f>
        <v>50</v>
      </c>
      <c r="AT3214" s="132"/>
      <c r="AU3214" s="146"/>
    </row>
    <row r="3215" spans="13:47" x14ac:dyDescent="0.25">
      <c r="M3215" s="20"/>
      <c r="N3215" s="20"/>
      <c r="O3215" s="7" t="s">
        <v>234</v>
      </c>
      <c r="P3215" s="1"/>
      <c r="Q3215" s="7"/>
      <c r="R3215" s="179">
        <f>'Valve Sizing'!G$8*R3213/P_1_maxW</f>
        <v>0.48288010405283555</v>
      </c>
      <c r="S3215" s="132"/>
      <c r="T3215" s="146"/>
      <c r="U3215" s="143">
        <f>'Valve Sizing'!$G$8*U3213/P_1_maxW</f>
        <v>0.44687775273902208</v>
      </c>
      <c r="V3215" s="132"/>
      <c r="W3215" s="146"/>
      <c r="X3215" s="143">
        <f>'Valve Sizing'!$G$8*X3213/P_1_maxW</f>
        <v>0.25232326055704679</v>
      </c>
      <c r="Y3215" s="132"/>
      <c r="Z3215" s="146"/>
      <c r="AA3215" s="143">
        <f>'Valve Sizing'!$G$8*AA3213/P_1_maxW</f>
        <v>-0.39743986405312465</v>
      </c>
      <c r="AB3215" s="132"/>
      <c r="AC3215" s="146"/>
      <c r="AD3215" s="143">
        <f>'Valve Sizing'!$G$8*AD3213/P_1_maxW</f>
        <v>-1.9016719305285448</v>
      </c>
      <c r="AE3215" s="132"/>
      <c r="AF3215" s="146"/>
      <c r="AG3215" s="143">
        <f>'Valve Sizing'!$G$8*AG3213/P_1_maxW</f>
        <v>-4.2100211829896734</v>
      </c>
      <c r="AH3215" s="132"/>
      <c r="AI3215" s="146"/>
      <c r="AJ3215" s="143">
        <f>'Valve Sizing'!$G$8*AJ3213/P_1_maxW</f>
        <v>-7.084376828848205</v>
      </c>
      <c r="AK3215" s="132"/>
      <c r="AL3215" s="146"/>
      <c r="AM3215" s="143">
        <f>'Valve Sizing'!$G$8*AM3213/P_1_maxW</f>
        <v>-9.9224081286469978</v>
      </c>
      <c r="AN3215" s="132"/>
      <c r="AO3215" s="146"/>
      <c r="AP3215" s="143">
        <f>'Valve Sizing'!$G$8*AP3213/P_1_maxW</f>
        <v>-12.46924247032611</v>
      </c>
      <c r="AQ3215" s="132"/>
      <c r="AR3215" s="146"/>
      <c r="AS3215" s="143">
        <f>'Valve Sizing'!$G$8*AS3213/P_1_maxW</f>
        <v>-15.6393275675724</v>
      </c>
      <c r="AT3215" s="132"/>
      <c r="AU3215" s="146"/>
    </row>
    <row r="3216" spans="13:47" x14ac:dyDescent="0.25">
      <c r="M3216" s="20"/>
      <c r="N3216" s="20"/>
      <c r="O3216" s="7" t="s">
        <v>190</v>
      </c>
      <c r="P3216" s="1"/>
      <c r="Q3216" s="7"/>
      <c r="R3216" s="181">
        <f>R3213-R3214</f>
        <v>50.103218559785347</v>
      </c>
      <c r="S3216" s="132"/>
      <c r="T3216" s="146"/>
      <c r="U3216" s="138">
        <f>U3213-U3214</f>
        <v>42.639769119676487</v>
      </c>
      <c r="V3216" s="132"/>
      <c r="W3216" s="146"/>
      <c r="X3216" s="138">
        <f>X3213-X3214</f>
        <v>2.3077473833877775</v>
      </c>
      <c r="Y3216" s="132"/>
      <c r="Z3216" s="146"/>
      <c r="AA3216" s="138">
        <f>AA3213-AA3214</f>
        <v>-132.39107232160501</v>
      </c>
      <c r="AB3216" s="132"/>
      <c r="AC3216" s="146"/>
      <c r="AD3216" s="138">
        <f>AD3213-AD3214</f>
        <v>-444.2251488371092</v>
      </c>
      <c r="AE3216" s="132"/>
      <c r="AF3216" s="146"/>
      <c r="AG3216" s="138">
        <f>AG3213-AG3214</f>
        <v>-922.75633658335369</v>
      </c>
      <c r="AH3216" s="132"/>
      <c r="AI3216" s="146"/>
      <c r="AJ3216" s="138">
        <f>AJ3213-AJ3214</f>
        <v>-1518.6231967438348</v>
      </c>
      <c r="AK3216" s="132"/>
      <c r="AL3216" s="146"/>
      <c r="AM3216" s="138">
        <f>AM3213-AM3214</f>
        <v>-2106.9598565043812</v>
      </c>
      <c r="AN3216" s="132"/>
      <c r="AO3216" s="146"/>
      <c r="AP3216" s="138">
        <f>AP3213-AP3214</f>
        <v>-2634.9300764428185</v>
      </c>
      <c r="AQ3216" s="132"/>
      <c r="AR3216" s="146"/>
      <c r="AS3216" s="138">
        <f>AS3213-AS3214</f>
        <v>-3292.1029826763743</v>
      </c>
      <c r="AT3216" s="132"/>
      <c r="AU3216" s="146"/>
    </row>
    <row r="3217" spans="13:47" ht="14.5" x14ac:dyDescent="0.35">
      <c r="M3217" s="27"/>
      <c r="N3217" s="27"/>
      <c r="O3217" s="2" t="s">
        <v>191</v>
      </c>
      <c r="P3217" s="10"/>
      <c r="Q3217" s="2"/>
      <c r="R3217" s="181">
        <f>R3216/R3213</f>
        <v>0.50051556064465452</v>
      </c>
      <c r="S3217" s="132"/>
      <c r="T3217" s="146"/>
      <c r="U3217" s="138">
        <f>U3216/U3213</f>
        <v>0.46027499339503308</v>
      </c>
      <c r="V3217" s="132"/>
      <c r="W3217" s="146"/>
      <c r="X3217" s="138">
        <f>X3216/X3213</f>
        <v>4.4118653523219517E-2</v>
      </c>
      <c r="Y3217" s="132"/>
      <c r="Z3217" s="146"/>
      <c r="AA3217" s="138">
        <f>AA3216/AA3213</f>
        <v>1.6068618673250203</v>
      </c>
      <c r="AB3217" s="132"/>
      <c r="AC3217" s="146"/>
      <c r="AD3217" s="138">
        <f>AD3216/AD3213</f>
        <v>1.1268310764736615</v>
      </c>
      <c r="AE3217" s="132"/>
      <c r="AF3217" s="146"/>
      <c r="AG3217" s="138">
        <f>AG3216/AG3213</f>
        <v>1.0572897587839223</v>
      </c>
      <c r="AH3217" s="132"/>
      <c r="AI3217" s="146"/>
      <c r="AJ3217" s="138">
        <f>AJ3216/AJ3213</f>
        <v>1.0340454924795262</v>
      </c>
      <c r="AK3217" s="132"/>
      <c r="AL3217" s="146"/>
      <c r="AM3217" s="138">
        <f>AM3216/AM3213</f>
        <v>1.0243077179371747</v>
      </c>
      <c r="AN3217" s="132"/>
      <c r="AO3217" s="146"/>
      <c r="AP3217" s="138">
        <f>AP3216/AP3213</f>
        <v>1.0193428829876923</v>
      </c>
      <c r="AQ3217" s="132"/>
      <c r="AR3217" s="146"/>
      <c r="AS3217" s="138">
        <f>AS3216/AS3213</f>
        <v>1.0154220887699024</v>
      </c>
      <c r="AT3217" s="132"/>
      <c r="AU3217" s="146"/>
    </row>
    <row r="3218" spans="13:47" x14ac:dyDescent="0.25">
      <c r="M3218" s="27"/>
      <c r="N3218" s="27"/>
      <c r="O3218" s="2" t="s">
        <v>26</v>
      </c>
      <c r="P3218" s="7">
        <v>12</v>
      </c>
      <c r="Q3218" s="2"/>
      <c r="R3218" s="181">
        <f>1-R3217/(3*F_GAMMA*R$29)</f>
        <v>0.73932576054405863</v>
      </c>
      <c r="S3218" s="133"/>
      <c r="T3218" s="146"/>
      <c r="U3218" s="138">
        <f>1-U3217/(3*F_GAMMA*U$29)</f>
        <v>0.76033628869134628</v>
      </c>
      <c r="V3218" s="133"/>
      <c r="W3218" s="146"/>
      <c r="X3218" s="138">
        <f>1-X3217/(3*F_GAMMA*X$29)</f>
        <v>0.97668293557795383</v>
      </c>
      <c r="Y3218" s="133"/>
      <c r="Z3218" s="146"/>
      <c r="AA3218" s="138">
        <f>1-AA3217/(3*F_GAMMA*AA$29)</f>
        <v>0.13911628095015882</v>
      </c>
      <c r="AB3218" s="133"/>
      <c r="AC3218" s="146"/>
      <c r="AD3218" s="138">
        <f>1-AD3217/(3*F_GAMMA*AD$29)</f>
        <v>0.37974270267693655</v>
      </c>
      <c r="AE3218" s="133"/>
      <c r="AF3218" s="146"/>
      <c r="AG3218" s="138">
        <f>1-AG3217/(3*F_GAMMA*AG$29)</f>
        <v>0.38482431292374164</v>
      </c>
      <c r="AH3218" s="133"/>
      <c r="AI3218" s="146"/>
      <c r="AJ3218" s="138">
        <f>1-AJ3217/(3*F_GAMMA*AJ$29)</f>
        <v>0.35682671675514743</v>
      </c>
      <c r="AK3218" s="133"/>
      <c r="AL3218" s="146"/>
      <c r="AM3218" s="138">
        <f>1-AM3217/(3*F_GAMMA*AM$29)</f>
        <v>0.30388552806603208</v>
      </c>
      <c r="AN3218" s="133"/>
      <c r="AO3218" s="146"/>
      <c r="AP3218" s="138">
        <f>1-AP3217/(3*F_GAMMA*AP$29)</f>
        <v>0.42752500948149896</v>
      </c>
      <c r="AQ3218" s="133"/>
      <c r="AR3218" s="146"/>
      <c r="AS3218" s="138">
        <f>1-AS3217/(3*F_GAMMA*AS$29)</f>
        <v>0.1342759931823273</v>
      </c>
      <c r="AT3218" s="133"/>
      <c r="AU3218" s="146"/>
    </row>
    <row r="3219" spans="13:47" x14ac:dyDescent="0.25">
      <c r="M3219" s="27"/>
      <c r="N3219" s="27"/>
      <c r="O3219" s="2" t="s">
        <v>71</v>
      </c>
      <c r="P3219" s="85">
        <v>5</v>
      </c>
      <c r="Q3219" s="2"/>
      <c r="R3219" s="179">
        <f>R3211/((N_6*R$27*R3218)*SQRT(R3217*R3213*R3215))</f>
        <v>4.4566027002295208</v>
      </c>
      <c r="S3219" s="133"/>
      <c r="T3219" s="146"/>
      <c r="U3219" s="143">
        <f>U3211/((N_6*U$27*U3218)*SQRT(U3217*U3213*U3215))</f>
        <v>21.178717604226154</v>
      </c>
      <c r="V3219" s="133"/>
      <c r="W3219" s="146"/>
      <c r="X3219" s="143">
        <f>X3211/((N_6*X$27*X3218)*SQRT(X3217*X3213*X3215))</f>
        <v>233.76916621314325</v>
      </c>
      <c r="Y3219" s="133"/>
      <c r="Z3219" s="146"/>
      <c r="AA3219" s="143">
        <f>AA3211/((N_6*AA$27*AA3218)*SQRT(AA3217*AA3213*AA3215))</f>
        <v>338.21526812436878</v>
      </c>
      <c r="AB3219" s="133"/>
      <c r="AC3219" s="146"/>
      <c r="AD3219" s="143">
        <f>AD3211/((N_6*AD$27*AD3218)*SQRT(AD3217*AD3213*AD3215))</f>
        <v>51.462489845136488</v>
      </c>
      <c r="AE3219" s="133"/>
      <c r="AF3219" s="146"/>
      <c r="AG3219" s="143">
        <f>AG3211/((N_6*AG$27*AG3218)*SQRT(AG3217*AG3213*AG3215))</f>
        <v>33.931172686542148</v>
      </c>
      <c r="AH3219" s="133"/>
      <c r="AI3219" s="146"/>
      <c r="AJ3219" s="143">
        <f>AJ3211/((N_6*AJ$27*AJ3218)*SQRT(AJ3217*AJ3213*AJ3215))</f>
        <v>28.879280676853991</v>
      </c>
      <c r="AK3219" s="133"/>
      <c r="AL3219" s="146"/>
      <c r="AM3219" s="143">
        <f>AM3211/((N_6*AM$27*AM3218)*SQRT(AM3217*AM3213*AM3215))</f>
        <v>30.276042732912195</v>
      </c>
      <c r="AN3219" s="133"/>
      <c r="AO3219" s="146"/>
      <c r="AP3219" s="143">
        <f>AP3211/((N_6*AP$27*AP3218)*SQRT(AP3217*AP3213*AP3215))</f>
        <v>21.755492948442608</v>
      </c>
      <c r="AQ3219" s="133"/>
      <c r="AR3219" s="146"/>
      <c r="AS3219" s="143">
        <f>AS3211/((N_6*AS$27*AS3218)*SQRT(AS3217*AS3213*AS3215))</f>
        <v>81.117292900364689</v>
      </c>
      <c r="AT3219" s="133"/>
      <c r="AU3219" s="146"/>
    </row>
    <row r="3220" spans="13:47" x14ac:dyDescent="0.25">
      <c r="M3220" s="27"/>
      <c r="N3220" s="27"/>
      <c r="O3220" s="2" t="s">
        <v>73</v>
      </c>
      <c r="P3220" s="85">
        <v>5</v>
      </c>
      <c r="Q3220" s="2"/>
      <c r="R3220" s="179">
        <f>R3211/((N_6*R$27*0.667)*SQRT(R3221*R3213*R3215))</f>
        <v>4.3684121745392739</v>
      </c>
      <c r="S3220" s="133"/>
      <c r="T3220" s="155"/>
      <c r="U3220" s="143">
        <f>U3211/((N_6*U$27*0.667)*SQRT(U3221*U3213*U3215))</f>
        <v>20.47110621987936</v>
      </c>
      <c r="V3220" s="133"/>
      <c r="W3220" s="155"/>
      <c r="X3220" s="143">
        <f>X3211/((N_6*X$27*0.667)*SQRT(X3221*X3213*X3215))</f>
        <v>90.534176888536294</v>
      </c>
      <c r="Y3220" s="133"/>
      <c r="Z3220" s="155"/>
      <c r="AA3220" s="143">
        <f>AA3211/((N_6*AA$27*0.667)*SQRT(AA3221*AA3213*AA3215))</f>
        <v>113.36479548168481</v>
      </c>
      <c r="AB3220" s="133"/>
      <c r="AC3220" s="155"/>
      <c r="AD3220" s="143">
        <f>AD3211/((N_6*AD$27*0.667)*SQRT(AD3221*AD3213*AD3215))</f>
        <v>39.966946207185494</v>
      </c>
      <c r="AE3220" s="133"/>
      <c r="AF3220" s="155"/>
      <c r="AG3220" s="143">
        <f>AG3211/((N_6*AG$27*0.667)*SQRT(AG3221*AG3213*AG3215))</f>
        <v>26.594739887957786</v>
      </c>
      <c r="AH3220" s="133"/>
      <c r="AI3220" s="155"/>
      <c r="AJ3220" s="143">
        <f>AJ3211/((N_6*AJ$27*0.667)*SQRT(AJ3221*AJ3213*AJ3215))</f>
        <v>21.460632965766287</v>
      </c>
      <c r="AK3220" s="133"/>
      <c r="AL3220" s="155"/>
      <c r="AM3220" s="143">
        <f>AM3211/((N_6*AM$27*0.667)*SQRT(AM3221*AM3213*AM3215))</f>
        <v>19.933531762643504</v>
      </c>
      <c r="AN3220" s="133"/>
      <c r="AO3220" s="155"/>
      <c r="AP3220" s="143">
        <f>AP3211/((N_6*AP$27*0.667)*SQRT(AP3221*AP3213*AP3215))</f>
        <v>18.27441596896233</v>
      </c>
      <c r="AQ3220" s="133"/>
      <c r="AR3220" s="155"/>
      <c r="AS3220" s="143">
        <f>AS3211/((N_6*AS$27*0.667)*SQRT(AS3221*AS3213*AS3215))</f>
        <v>26.316997903479201</v>
      </c>
      <c r="AT3220" s="133"/>
      <c r="AU3220" s="155"/>
    </row>
    <row r="3221" spans="13:47" ht="15.5" x14ac:dyDescent="0.4">
      <c r="M3221" s="27"/>
      <c r="N3221" s="27"/>
      <c r="O3221" s="2" t="s">
        <v>192</v>
      </c>
      <c r="P3221" s="85">
        <v>10</v>
      </c>
      <c r="Q3221" s="2"/>
      <c r="R3221" s="181">
        <f>F_GAMMA*R$29</f>
        <v>0.64002688015162901</v>
      </c>
      <c r="S3221" s="133"/>
      <c r="T3221" s="155"/>
      <c r="U3221" s="138">
        <f>F_GAMMA*U$29</f>
        <v>0.64016782916606918</v>
      </c>
      <c r="V3221" s="133"/>
      <c r="W3221" s="155"/>
      <c r="X3221" s="138">
        <f>F_GAMMA*X$29</f>
        <v>0.6307062319203669</v>
      </c>
      <c r="Y3221" s="133"/>
      <c r="Z3221" s="155"/>
      <c r="AA3221" s="138">
        <f>F_GAMMA*AA$29</f>
        <v>0.62217534213893466</v>
      </c>
      <c r="AB3221" s="133"/>
      <c r="AC3221" s="155"/>
      <c r="AD3221" s="138">
        <f>F_GAMMA*AD$29</f>
        <v>0.60557184969146072</v>
      </c>
      <c r="AE3221" s="133"/>
      <c r="AF3221" s="155"/>
      <c r="AG3221" s="138">
        <f>F_GAMMA*AG$29</f>
        <v>0.57289312142622573</v>
      </c>
      <c r="AH3221" s="133"/>
      <c r="AI3221" s="155"/>
      <c r="AJ3221" s="138">
        <f>F_GAMMA*AJ$29</f>
        <v>0.53590819116049981</v>
      </c>
      <c r="AK3221" s="133"/>
      <c r="AL3221" s="155"/>
      <c r="AM3221" s="138">
        <f>F_GAMMA*AM$29</f>
        <v>0.49048815926850342</v>
      </c>
      <c r="AN3221" s="133"/>
      <c r="AO3221" s="155"/>
      <c r="AP3221" s="138">
        <f>F_GAMMA*AP$29</f>
        <v>0.59352979016280105</v>
      </c>
      <c r="AQ3221" s="133"/>
      <c r="AR3221" s="155"/>
      <c r="AS3221" s="138">
        <f>F_GAMMA*AS$29</f>
        <v>0.39097221161068291</v>
      </c>
      <c r="AT3221" s="133"/>
      <c r="AU3221" s="155"/>
    </row>
    <row r="3222" spans="13:47" x14ac:dyDescent="0.25">
      <c r="M3222" s="27"/>
      <c r="N3222" s="27"/>
      <c r="O3222" s="2" t="s">
        <v>193</v>
      </c>
      <c r="P3222" s="134"/>
      <c r="Q3222" s="2"/>
      <c r="R3222" s="181">
        <f>IF(R3217&lt;R3221,R3219,R3220)</f>
        <v>4.4566027002295208</v>
      </c>
      <c r="S3222" s="133"/>
      <c r="T3222" s="155"/>
      <c r="U3222" s="138">
        <f>IF(U3217&lt;U3221,U3219,U3220)</f>
        <v>21.178717604226154</v>
      </c>
      <c r="V3222" s="133"/>
      <c r="W3222" s="155"/>
      <c r="X3222" s="138">
        <f>IF(X3217&lt;X3221,X3219,X3220)</f>
        <v>233.76916621314325</v>
      </c>
      <c r="Y3222" s="133"/>
      <c r="Z3222" s="155"/>
      <c r="AA3222" s="138">
        <f>IF(AA3217&lt;AA3221,AA3219,AA3220)</f>
        <v>113.36479548168481</v>
      </c>
      <c r="AB3222" s="133"/>
      <c r="AC3222" s="155"/>
      <c r="AD3222" s="138">
        <f>IF(AD3217&lt;AD3221,AD3219,AD3220)</f>
        <v>39.966946207185494</v>
      </c>
      <c r="AE3222" s="133"/>
      <c r="AF3222" s="155"/>
      <c r="AG3222" s="138">
        <f>IF(AG3217&lt;AG3221,AG3219,AG3220)</f>
        <v>26.594739887957786</v>
      </c>
      <c r="AH3222" s="133"/>
      <c r="AI3222" s="155"/>
      <c r="AJ3222" s="138">
        <f>IF(AJ3217&lt;AJ3221,AJ3219,AJ3220)</f>
        <v>21.460632965766287</v>
      </c>
      <c r="AK3222" s="133"/>
      <c r="AL3222" s="155"/>
      <c r="AM3222" s="138">
        <f>IF(AM3217&lt;AM3221,AM3219,AM3220)</f>
        <v>19.933531762643504</v>
      </c>
      <c r="AN3222" s="133"/>
      <c r="AO3222" s="155"/>
      <c r="AP3222" s="138">
        <f>IF(AP3217&lt;AP3221,AP3219,AP3220)</f>
        <v>18.27441596896233</v>
      </c>
      <c r="AQ3222" s="133"/>
      <c r="AR3222" s="155"/>
      <c r="AS3222" s="138">
        <f>IF(AS3217&lt;AS3221,AS3219,AS3220)</f>
        <v>26.316997903479201</v>
      </c>
      <c r="AT3222" s="133"/>
      <c r="AU3222" s="155"/>
    </row>
    <row r="3223" spans="13:47" ht="13" x14ac:dyDescent="0.3">
      <c r="M3223" s="28"/>
      <c r="N3223" s="28"/>
      <c r="O3223" s="9" t="s">
        <v>194</v>
      </c>
      <c r="P3223" s="1"/>
      <c r="Q3223" s="1"/>
      <c r="R3223" s="135"/>
      <c r="S3223" s="132">
        <f>IF(R3216&lt;=0,W_max,ABS(R$23-R3222))</f>
        <v>2.4566027002295208</v>
      </c>
      <c r="T3223" s="151">
        <f>R3211</f>
        <v>1025.7569699033847</v>
      </c>
      <c r="U3223" s="135"/>
      <c r="V3223" s="132">
        <f>IF(U3216&lt;=0,W_max,ABS(U$23-U3222))</f>
        <v>16.178717604226154</v>
      </c>
      <c r="W3223" s="151">
        <f>U3211</f>
        <v>4446.2047142511165</v>
      </c>
      <c r="X3223" s="135"/>
      <c r="Y3223" s="132">
        <f>IF(X3216&lt;=0,W_max,ABS(X$23-X3222))</f>
        <v>223.76916621314325</v>
      </c>
      <c r="Z3223" s="151">
        <f>X3211</f>
        <v>10995.993362906311</v>
      </c>
      <c r="AA3223" s="135"/>
      <c r="AB3223" s="132">
        <f>IF(AA3216&lt;=0,W_max,ABS(AA$23-AA3222))</f>
        <v>7174</v>
      </c>
      <c r="AC3223" s="151">
        <f>AA3211</f>
        <v>21417.388394070425</v>
      </c>
      <c r="AD3223" s="135"/>
      <c r="AE3223" s="132">
        <f>IF(AD3216&lt;=0,W_max,ABS(AD$23-AD3222))</f>
        <v>7174</v>
      </c>
      <c r="AF3223" s="151">
        <f>AD3211</f>
        <v>35223.718493678069</v>
      </c>
      <c r="AG3223" s="135"/>
      <c r="AH3223" s="132">
        <f>IF(AG3216&lt;=0,W_max,ABS(AG$23-AG3222))</f>
        <v>7174</v>
      </c>
      <c r="AI3223" s="151">
        <f>AG3211</f>
        <v>49403.976926548428</v>
      </c>
      <c r="AJ3223" s="135"/>
      <c r="AK3223" s="132">
        <f>IF(AJ3216&lt;=0,W_max,ABS(AJ$23-AJ3222))</f>
        <v>7174</v>
      </c>
      <c r="AL3223" s="151">
        <f>AJ3211</f>
        <v>62729.941278909791</v>
      </c>
      <c r="AM3223" s="135"/>
      <c r="AN3223" s="132">
        <f>IF(AM3216&lt;=0,W_max,ABS(AM$23-AM3222))</f>
        <v>7174</v>
      </c>
      <c r="AO3223" s="151">
        <f>AM3211</f>
        <v>73555.789540967206</v>
      </c>
      <c r="AP3223" s="135"/>
      <c r="AQ3223" s="132">
        <f>IF(AP3216&lt;=0,W_max,ABS(AP$23-AP3222))</f>
        <v>7174</v>
      </c>
      <c r="AR3223" s="151">
        <f>AP3211</f>
        <v>82063.866104832865</v>
      </c>
      <c r="AS3223" s="135"/>
      <c r="AT3223" s="132">
        <f>IF(AS3216&lt;=0,W_max,ABS(AS$23-AS3222))</f>
        <v>7174</v>
      </c>
      <c r="AU3223" s="151">
        <f>AS3211</f>
        <v>91556.057818142814</v>
      </c>
    </row>
    <row r="3224" spans="13:47" ht="13" x14ac:dyDescent="0.25">
      <c r="M3224" s="12"/>
      <c r="N3224" s="12"/>
      <c r="O3224" s="2"/>
      <c r="P3224" s="85"/>
      <c r="Q3224" s="2"/>
      <c r="R3224" s="18"/>
      <c r="S3224" s="150"/>
      <c r="T3224" s="148"/>
      <c r="U3224" s="157"/>
      <c r="V3224" s="1"/>
      <c r="W3224" s="147"/>
      <c r="X3224" s="157"/>
      <c r="Y3224" s="1"/>
      <c r="Z3224" s="147"/>
      <c r="AA3224" s="157"/>
      <c r="AB3224" s="1"/>
      <c r="AC3224" s="147"/>
      <c r="AD3224" s="157"/>
      <c r="AE3224" s="1"/>
      <c r="AF3224" s="147"/>
      <c r="AG3224" s="157"/>
      <c r="AH3224" s="1"/>
      <c r="AI3224" s="147"/>
      <c r="AJ3224" s="157"/>
      <c r="AK3224" s="1"/>
      <c r="AL3224" s="147"/>
      <c r="AM3224" s="157"/>
      <c r="AN3224" s="1"/>
      <c r="AO3224" s="147"/>
      <c r="AP3224" s="157"/>
      <c r="AQ3224" s="1"/>
      <c r="AR3224" s="147"/>
      <c r="AS3224" s="157"/>
      <c r="AT3224" s="1"/>
      <c r="AU3224" s="147"/>
    </row>
    <row r="3225" spans="13:47" ht="14" x14ac:dyDescent="0.3">
      <c r="M3225" s="23"/>
      <c r="N3225" s="23"/>
      <c r="O3225" s="23" t="s">
        <v>238</v>
      </c>
      <c r="P3225" s="20"/>
      <c r="Q3225" s="20"/>
      <c r="R3225" s="181">
        <f>R3211*1.02</f>
        <v>1046.2721093014525</v>
      </c>
      <c r="S3225" s="128" t="s">
        <v>185</v>
      </c>
      <c r="T3225" s="149" t="s">
        <v>186</v>
      </c>
      <c r="U3225" s="143">
        <f>U3211*1.01</f>
        <v>4490.6667613936279</v>
      </c>
      <c r="V3225" s="128" t="s">
        <v>185</v>
      </c>
      <c r="W3225" s="153" t="s">
        <v>186</v>
      </c>
      <c r="X3225" s="143">
        <f>X3211*1.01</f>
        <v>11105.953296535374</v>
      </c>
      <c r="Y3225" s="128" t="s">
        <v>185</v>
      </c>
      <c r="Z3225" s="153" t="s">
        <v>186</v>
      </c>
      <c r="AA3225" s="143">
        <f>AA3211*1.01</f>
        <v>21631.56227801113</v>
      </c>
      <c r="AB3225" s="128" t="s">
        <v>185</v>
      </c>
      <c r="AC3225" s="153" t="s">
        <v>186</v>
      </c>
      <c r="AD3225" s="143">
        <f>AD3211*1.01</f>
        <v>35575.955678614853</v>
      </c>
      <c r="AE3225" s="128" t="s">
        <v>185</v>
      </c>
      <c r="AF3225" s="153" t="s">
        <v>186</v>
      </c>
      <c r="AG3225" s="143">
        <f>AG3211*1.01</f>
        <v>49898.016695813916</v>
      </c>
      <c r="AH3225" s="128" t="s">
        <v>185</v>
      </c>
      <c r="AI3225" s="153" t="s">
        <v>186</v>
      </c>
      <c r="AJ3225" s="143">
        <f>AJ3211*1.01</f>
        <v>63357.240691698891</v>
      </c>
      <c r="AK3225" s="128" t="s">
        <v>185</v>
      </c>
      <c r="AL3225" s="153" t="s">
        <v>186</v>
      </c>
      <c r="AM3225" s="143">
        <f>AM3211*1.01</f>
        <v>74291.347436376876</v>
      </c>
      <c r="AN3225" s="128" t="s">
        <v>185</v>
      </c>
      <c r="AO3225" s="153" t="s">
        <v>186</v>
      </c>
      <c r="AP3225" s="143">
        <f>AP3211*1.01</f>
        <v>82884.504765881196</v>
      </c>
      <c r="AQ3225" s="128" t="s">
        <v>185</v>
      </c>
      <c r="AR3225" s="153" t="s">
        <v>186</v>
      </c>
      <c r="AS3225" s="143">
        <f>AS3211*1.01</f>
        <v>92471.618396324237</v>
      </c>
      <c r="AT3225" s="128" t="s">
        <v>185</v>
      </c>
      <c r="AU3225" s="153" t="s">
        <v>186</v>
      </c>
    </row>
    <row r="3226" spans="13:47" ht="14" x14ac:dyDescent="0.3">
      <c r="M3226" s="12"/>
      <c r="N3226" s="12"/>
      <c r="O3226" s="20"/>
      <c r="P3226" s="20"/>
      <c r="Q3226" s="23"/>
      <c r="R3226" s="139"/>
      <c r="S3226" s="130" t="s">
        <v>228</v>
      </c>
      <c r="T3226" s="131" t="s">
        <v>187</v>
      </c>
      <c r="U3226" s="144"/>
      <c r="V3226" s="130" t="s">
        <v>228</v>
      </c>
      <c r="W3226" s="154" t="s">
        <v>187</v>
      </c>
      <c r="X3226" s="144"/>
      <c r="Y3226" s="130" t="s">
        <v>228</v>
      </c>
      <c r="Z3226" s="154" t="s">
        <v>187</v>
      </c>
      <c r="AA3226" s="144"/>
      <c r="AB3226" s="130" t="s">
        <v>228</v>
      </c>
      <c r="AC3226" s="154" t="s">
        <v>187</v>
      </c>
      <c r="AD3226" s="144"/>
      <c r="AE3226" s="130" t="s">
        <v>228</v>
      </c>
      <c r="AF3226" s="154" t="s">
        <v>187</v>
      </c>
      <c r="AG3226" s="144"/>
      <c r="AH3226" s="130" t="s">
        <v>228</v>
      </c>
      <c r="AI3226" s="154" t="s">
        <v>187</v>
      </c>
      <c r="AJ3226" s="144"/>
      <c r="AK3226" s="130" t="s">
        <v>228</v>
      </c>
      <c r="AL3226" s="154" t="s">
        <v>187</v>
      </c>
      <c r="AM3226" s="144"/>
      <c r="AN3226" s="130" t="s">
        <v>228</v>
      </c>
      <c r="AO3226" s="154" t="s">
        <v>187</v>
      </c>
      <c r="AP3226" s="144"/>
      <c r="AQ3226" s="130" t="s">
        <v>228</v>
      </c>
      <c r="AR3226" s="154" t="s">
        <v>187</v>
      </c>
      <c r="AS3226" s="144"/>
      <c r="AT3226" s="130" t="s">
        <v>228</v>
      </c>
      <c r="AU3226" s="154" t="s">
        <v>187</v>
      </c>
    </row>
    <row r="3227" spans="13:47" x14ac:dyDescent="0.25">
      <c r="M3227" s="20"/>
      <c r="N3227" s="20"/>
      <c r="O3227" s="7" t="s">
        <v>188</v>
      </c>
      <c r="P3227" s="7"/>
      <c r="Q3227" s="7"/>
      <c r="R3227" s="181">
        <f>P_1_minW-(R3225^2*R_up)+dpup_minQ</f>
        <v>100.08626800543692</v>
      </c>
      <c r="S3227" s="132"/>
      <c r="T3227" s="145"/>
      <c r="U3227" s="138">
        <f>P_1_minW-(U3225^2*R_up)+dpup_minQ</f>
        <v>92.481320465573774</v>
      </c>
      <c r="V3227" s="132"/>
      <c r="W3227" s="145"/>
      <c r="X3227" s="138">
        <f>P_1_minW-(X3225^2*R_up)+dpup_minQ</f>
        <v>51.338625092385662</v>
      </c>
      <c r="Y3227" s="132"/>
      <c r="Z3227" s="145"/>
      <c r="AA3227" s="138">
        <f>P_1_minW-(AA3225^2*R_up)+dpup_minQ</f>
        <v>-86.067640888677474</v>
      </c>
      <c r="AB3227" s="132"/>
      <c r="AC3227" s="145"/>
      <c r="AD3227" s="138">
        <f>P_1_minW-(AD3225^2*R_up)+dpup_minQ</f>
        <v>-404.16958234214343</v>
      </c>
      <c r="AE3227" s="132"/>
      <c r="AF3227" s="145"/>
      <c r="AG3227" s="138">
        <f>P_1_minW-(AG3225^2*R_up)+dpup_minQ</f>
        <v>-892.31924696208762</v>
      </c>
      <c r="AH3227" s="132"/>
      <c r="AI3227" s="145"/>
      <c r="AJ3227" s="138">
        <f>P_1_minW-(AJ3225^2*R_up)+dpup_minQ</f>
        <v>-1500.1630310117944</v>
      </c>
      <c r="AK3227" s="132"/>
      <c r="AL3227" s="145"/>
      <c r="AM3227" s="138">
        <f>P_1_minW-(AM3225^2*R_up)+dpup_minQ</f>
        <v>-2100.3252576335276</v>
      </c>
      <c r="AN3227" s="132"/>
      <c r="AO3227" s="145"/>
      <c r="AP3227" s="138">
        <f>P_1_minW-(AP3225^2*R_up)+dpup_minQ</f>
        <v>-2638.9076789927276</v>
      </c>
      <c r="AQ3227" s="132"/>
      <c r="AR3227" s="145"/>
      <c r="AS3227" s="138">
        <f>P_1_minW-(AS3225^2*R_up)+dpup_minQ</f>
        <v>-3309.2897606415772</v>
      </c>
      <c r="AT3227" s="132"/>
      <c r="AU3227" s="145"/>
    </row>
    <row r="3228" spans="13:47" x14ac:dyDescent="0.25">
      <c r="M3228" s="20"/>
      <c r="N3228" s="20"/>
      <c r="O3228" s="7" t="s">
        <v>189</v>
      </c>
      <c r="P3228" s="1"/>
      <c r="Q3228" s="7"/>
      <c r="R3228" s="181">
        <f>P_2_minW+(R3225^2*R_dn)-dpdn_minQ</f>
        <v>50</v>
      </c>
      <c r="S3228" s="132"/>
      <c r="T3228" s="146"/>
      <c r="U3228" s="138">
        <f>P_2_minW+(U3225^2*R_dn)-dpdn_minQ</f>
        <v>50</v>
      </c>
      <c r="V3228" s="132"/>
      <c r="W3228" s="146"/>
      <c r="X3228" s="138">
        <f>P_2_minW+(X3225^2*R_dn)-dpdn_minQ</f>
        <v>50</v>
      </c>
      <c r="Y3228" s="132"/>
      <c r="Z3228" s="146"/>
      <c r="AA3228" s="138">
        <f>P_2_minW+(AA3225^2*R_dn)-dpdn_minQ</f>
        <v>50</v>
      </c>
      <c r="AB3228" s="132"/>
      <c r="AC3228" s="146"/>
      <c r="AD3228" s="138">
        <f>P_2_minW+(AD3225^2*R_dn)-dpdn_minQ</f>
        <v>50</v>
      </c>
      <c r="AE3228" s="132"/>
      <c r="AF3228" s="146"/>
      <c r="AG3228" s="138">
        <f>P_2_minW+(AG3225^2*R_dn)-dpdn_minQ</f>
        <v>50</v>
      </c>
      <c r="AH3228" s="132"/>
      <c r="AI3228" s="146"/>
      <c r="AJ3228" s="138">
        <f>P_2_minW+(AJ3225^2*R_dn)-dpdn_minQ</f>
        <v>50</v>
      </c>
      <c r="AK3228" s="132"/>
      <c r="AL3228" s="146"/>
      <c r="AM3228" s="138">
        <f>P_2_minW+(AM3225^2*R_dn)-dpdn_minQ</f>
        <v>50</v>
      </c>
      <c r="AN3228" s="132"/>
      <c r="AO3228" s="146"/>
      <c r="AP3228" s="138">
        <f>P_2_minW+(AP3225^2*R_dn)-dpdn_minQ</f>
        <v>50</v>
      </c>
      <c r="AQ3228" s="132"/>
      <c r="AR3228" s="146"/>
      <c r="AS3228" s="138">
        <f>P_2_minW+(AS3225^2*R_dn)-dpdn_minQ</f>
        <v>50</v>
      </c>
      <c r="AT3228" s="132"/>
      <c r="AU3228" s="146"/>
    </row>
    <row r="3229" spans="13:47" x14ac:dyDescent="0.25">
      <c r="M3229" s="20"/>
      <c r="N3229" s="20"/>
      <c r="O3229" s="7" t="s">
        <v>234</v>
      </c>
      <c r="P3229" s="1"/>
      <c r="Q3229" s="7"/>
      <c r="R3229" s="179">
        <f>'Valve Sizing'!G$8*R3227/P_1_maxW</f>
        <v>0.48279833759651891</v>
      </c>
      <c r="S3229" s="132"/>
      <c r="T3229" s="146"/>
      <c r="U3229" s="143">
        <f>'Valve Sizing'!$G$8*U3227/P_1_maxW</f>
        <v>0.44611342464167469</v>
      </c>
      <c r="V3229" s="132"/>
      <c r="W3229" s="146"/>
      <c r="X3229" s="143">
        <f>'Valve Sizing'!$G$8*X3227/P_1_maxW</f>
        <v>0.24764838716684173</v>
      </c>
      <c r="Y3229" s="132"/>
      <c r="Z3229" s="146"/>
      <c r="AA3229" s="143">
        <f>'Valve Sizing'!$G$8*AA3227/P_1_maxW</f>
        <v>-0.41517497624799427</v>
      </c>
      <c r="AB3229" s="132"/>
      <c r="AC3229" s="146"/>
      <c r="AD3229" s="143">
        <f>'Valve Sizing'!$G$8*AD3227/P_1_maxW</f>
        <v>-1.9496421072595709</v>
      </c>
      <c r="AE3229" s="132"/>
      <c r="AF3229" s="146"/>
      <c r="AG3229" s="143">
        <f>'Valve Sizing'!$G$8*AG3227/P_1_maxW</f>
        <v>-4.3043891796951694</v>
      </c>
      <c r="AH3229" s="132"/>
      <c r="AI3229" s="146"/>
      <c r="AJ3229" s="143">
        <f>'Valve Sizing'!$G$8*AJ3227/P_1_maxW</f>
        <v>-7.2365193740354572</v>
      </c>
      <c r="AK3229" s="132"/>
      <c r="AL3229" s="146"/>
      <c r="AM3229" s="143">
        <f>'Valve Sizing'!$G$8*AM3227/P_1_maxW</f>
        <v>-10.131595102960205</v>
      </c>
      <c r="AN3229" s="132"/>
      <c r="AO3229" s="146"/>
      <c r="AP3229" s="143">
        <f>'Valve Sizing'!$G$8*AP3227/P_1_maxW</f>
        <v>-12.729620814907067</v>
      </c>
      <c r="AQ3229" s="132"/>
      <c r="AR3229" s="146"/>
      <c r="AS3229" s="143">
        <f>'Valve Sizing'!$G$8*AS3227/P_1_maxW</f>
        <v>-15.963424622608006</v>
      </c>
      <c r="AT3229" s="132"/>
      <c r="AU3229" s="146"/>
    </row>
    <row r="3230" spans="13:47" x14ac:dyDescent="0.25">
      <c r="M3230" s="20"/>
      <c r="N3230" s="20"/>
      <c r="O3230" s="7" t="s">
        <v>190</v>
      </c>
      <c r="P3230" s="1"/>
      <c r="Q3230" s="7"/>
      <c r="R3230" s="181">
        <f>R3227-R3228</f>
        <v>50.086268005436921</v>
      </c>
      <c r="S3230" s="132"/>
      <c r="T3230" s="146"/>
      <c r="U3230" s="138">
        <f>U3227-U3228</f>
        <v>42.481320465573774</v>
      </c>
      <c r="V3230" s="132"/>
      <c r="W3230" s="146"/>
      <c r="X3230" s="138">
        <f>X3227-X3228</f>
        <v>1.3386250923856622</v>
      </c>
      <c r="Y3230" s="132"/>
      <c r="Z3230" s="146"/>
      <c r="AA3230" s="138">
        <f>AA3227-AA3228</f>
        <v>-136.06764088867749</v>
      </c>
      <c r="AB3230" s="132"/>
      <c r="AC3230" s="146"/>
      <c r="AD3230" s="138">
        <f>AD3227-AD3228</f>
        <v>-454.16958234214343</v>
      </c>
      <c r="AE3230" s="132"/>
      <c r="AF3230" s="146"/>
      <c r="AG3230" s="138">
        <f>AG3227-AG3228</f>
        <v>-942.31924696208762</v>
      </c>
      <c r="AH3230" s="132"/>
      <c r="AI3230" s="146"/>
      <c r="AJ3230" s="138">
        <f>AJ3227-AJ3228</f>
        <v>-1550.1630310117944</v>
      </c>
      <c r="AK3230" s="132"/>
      <c r="AL3230" s="146"/>
      <c r="AM3230" s="138">
        <f>AM3227-AM3228</f>
        <v>-2150.3252576335276</v>
      </c>
      <c r="AN3230" s="132"/>
      <c r="AO3230" s="146"/>
      <c r="AP3230" s="138">
        <f>AP3227-AP3228</f>
        <v>-2688.9076789927276</v>
      </c>
      <c r="AQ3230" s="132"/>
      <c r="AR3230" s="146"/>
      <c r="AS3230" s="138">
        <f>AS3227-AS3228</f>
        <v>-3359.2897606415772</v>
      </c>
      <c r="AT3230" s="132"/>
      <c r="AU3230" s="146"/>
    </row>
    <row r="3231" spans="13:47" ht="14.5" x14ac:dyDescent="0.35">
      <c r="M3231" s="27"/>
      <c r="N3231" s="27"/>
      <c r="O3231" s="2" t="s">
        <v>191</v>
      </c>
      <c r="P3231" s="10"/>
      <c r="Q3231" s="2"/>
      <c r="R3231" s="181">
        <f>R3230/R3227</f>
        <v>0.5004309682394803</v>
      </c>
      <c r="S3231" s="132"/>
      <c r="T3231" s="146"/>
      <c r="U3231" s="138">
        <f>U3230/U3227</f>
        <v>0.45935028016157564</v>
      </c>
      <c r="V3231" s="132"/>
      <c r="W3231" s="146"/>
      <c r="X3231" s="138">
        <f>X3230/X3227</f>
        <v>2.6074424275616247E-2</v>
      </c>
      <c r="Y3231" s="132"/>
      <c r="Z3231" s="146"/>
      <c r="AA3231" s="138">
        <f>AA3230/AA3227</f>
        <v>1.5809384280053818</v>
      </c>
      <c r="AB3231" s="132"/>
      <c r="AC3231" s="146"/>
      <c r="AD3231" s="138">
        <f>AD3230/AD3227</f>
        <v>1.123710447753768</v>
      </c>
      <c r="AE3231" s="132"/>
      <c r="AF3231" s="146"/>
      <c r="AG3231" s="138">
        <f>AG3230/AG3227</f>
        <v>1.0560337571673206</v>
      </c>
      <c r="AH3231" s="132"/>
      <c r="AI3231" s="146"/>
      <c r="AJ3231" s="138">
        <f>AJ3230/AJ3227</f>
        <v>1.033329710815682</v>
      </c>
      <c r="AK3231" s="132"/>
      <c r="AL3231" s="146"/>
      <c r="AM3231" s="138">
        <f>AM3230/AM3227</f>
        <v>1.0238058366523364</v>
      </c>
      <c r="AN3231" s="132"/>
      <c r="AO3231" s="146"/>
      <c r="AP3231" s="138">
        <f>AP3230/AP3227</f>
        <v>1.0189472335080267</v>
      </c>
      <c r="AQ3231" s="132"/>
      <c r="AR3231" s="146"/>
      <c r="AS3231" s="138">
        <f>AS3230/AS3227</f>
        <v>1.015108982173355</v>
      </c>
      <c r="AT3231" s="132"/>
      <c r="AU3231" s="146"/>
    </row>
    <row r="3232" spans="13:47" x14ac:dyDescent="0.25">
      <c r="M3232" s="27"/>
      <c r="N3232" s="27"/>
      <c r="O3232" s="2" t="s">
        <v>26</v>
      </c>
      <c r="P3232" s="7">
        <v>12</v>
      </c>
      <c r="Q3232" s="2"/>
      <c r="R3232" s="181">
        <f>1-R3231/(3*F_GAMMA*R$29)</f>
        <v>0.73936981723802853</v>
      </c>
      <c r="S3232" s="133"/>
      <c r="T3232" s="146"/>
      <c r="U3232" s="138">
        <f>1-U3231/(3*F_GAMMA*U$29)</f>
        <v>0.76081778390313681</v>
      </c>
      <c r="V3232" s="133"/>
      <c r="W3232" s="146"/>
      <c r="X3232" s="138">
        <f>1-X3231/(3*F_GAMMA*X$29)</f>
        <v>0.98621945635121588</v>
      </c>
      <c r="Y3232" s="133"/>
      <c r="Z3232" s="146"/>
      <c r="AA3232" s="138">
        <f>1-AA3231/(3*F_GAMMA*AA$29)</f>
        <v>0.15300488413744151</v>
      </c>
      <c r="AB3232" s="133"/>
      <c r="AC3232" s="146"/>
      <c r="AD3232" s="138">
        <f>1-AD3231/(3*F_GAMMA*AD$29)</f>
        <v>0.38146043373366889</v>
      </c>
      <c r="AE3232" s="133"/>
      <c r="AF3232" s="146"/>
      <c r="AG3232" s="138">
        <f>1-AG3231/(3*F_GAMMA*AG$29)</f>
        <v>0.38555510753424693</v>
      </c>
      <c r="AH3232" s="133"/>
      <c r="AI3232" s="146"/>
      <c r="AJ3232" s="138">
        <f>1-AJ3231/(3*F_GAMMA*AJ$29)</f>
        <v>0.35727193086436149</v>
      </c>
      <c r="AK3232" s="133"/>
      <c r="AL3232" s="146"/>
      <c r="AM3232" s="138">
        <f>1-AM3231/(3*F_GAMMA*AM$29)</f>
        <v>0.30422660411129743</v>
      </c>
      <c r="AN3232" s="133"/>
      <c r="AO3232" s="146"/>
      <c r="AP3232" s="138">
        <f>1-AP3231/(3*F_GAMMA*AP$29)</f>
        <v>0.42774721089762724</v>
      </c>
      <c r="AQ3232" s="133"/>
      <c r="AR3232" s="146"/>
      <c r="AS3232" s="138">
        <f>1-AS3231/(3*F_GAMMA*AS$29)</f>
        <v>0.13454294019906232</v>
      </c>
      <c r="AT3232" s="133"/>
      <c r="AU3232" s="146"/>
    </row>
    <row r="3233" spans="13:47" x14ac:dyDescent="0.25">
      <c r="M3233" s="27"/>
      <c r="N3233" s="27"/>
      <c r="O3233" s="2" t="s">
        <v>71</v>
      </c>
      <c r="P3233" s="85">
        <v>5</v>
      </c>
      <c r="Q3233" s="2"/>
      <c r="R3233" s="179">
        <f>R3225/((N_6*R$27*R3232)*SQRT(R3231*R3227*R3229))</f>
        <v>4.5466179350016951</v>
      </c>
      <c r="S3233" s="133"/>
      <c r="T3233" s="146"/>
      <c r="U3233" s="143">
        <f>U3225/((N_6*U$27*U3232)*SQRT(U3231*U3227*U3229))</f>
        <v>21.435135626645206</v>
      </c>
      <c r="V3233" s="133"/>
      <c r="W3233" s="146"/>
      <c r="X3233" s="143">
        <f>X3225/((N_6*X$27*X3232)*SQRT(X3231*X3227*X3229))</f>
        <v>309.89472247582017</v>
      </c>
      <c r="Y3233" s="133"/>
      <c r="Z3233" s="146"/>
      <c r="AA3233" s="143">
        <f>AA3225/((N_6*AA$27*AA3232)*SQRT(AA3231*AA3227*AA3229))</f>
        <v>299.75007329540978</v>
      </c>
      <c r="AB3233" s="133"/>
      <c r="AC3233" s="146"/>
      <c r="AD3233" s="143">
        <f>AD3225/((N_6*AD$27*AD3232)*SQRT(AD3231*AD3227*AD3229))</f>
        <v>50.539973000671978</v>
      </c>
      <c r="AE3233" s="133"/>
      <c r="AF3233" s="146"/>
      <c r="AG3233" s="143">
        <f>AG3225/((N_6*AG$27*AG3232)*SQRT(AG3231*AG3227*AG3229))</f>
        <v>33.475505776338949</v>
      </c>
      <c r="AH3233" s="133"/>
      <c r="AI3233" s="146"/>
      <c r="AJ3233" s="143">
        <f>AJ3225/((N_6*AJ$27*AJ3232)*SQRT(AJ3231*AJ3227*AJ3229))</f>
        <v>28.529128267463896</v>
      </c>
      <c r="AK3233" s="133"/>
      <c r="AL3233" s="146"/>
      <c r="AM3233" s="143">
        <f>AM3225/((N_6*AM$27*AM3232)*SQRT(AM3231*AM3227*AM3229))</f>
        <v>29.921199156873392</v>
      </c>
      <c r="AN3233" s="133"/>
      <c r="AO3233" s="146"/>
      <c r="AP3233" s="143">
        <f>AP3225/((N_6*AP$27*AP3232)*SQRT(AP3231*AP3227*AP3229))</f>
        <v>21.516594931658712</v>
      </c>
      <c r="AQ3233" s="133"/>
      <c r="AR3233" s="146"/>
      <c r="AS3233" s="143">
        <f>AS3225/((N_6*AS$27*AS3232)*SQRT(AS3231*AS3227*AS3229))</f>
        <v>80.118214058250302</v>
      </c>
      <c r="AT3233" s="133"/>
      <c r="AU3233" s="146"/>
    </row>
    <row r="3234" spans="13:47" x14ac:dyDescent="0.25">
      <c r="M3234" s="27"/>
      <c r="N3234" s="27"/>
      <c r="O3234" s="2" t="s">
        <v>73</v>
      </c>
      <c r="P3234" s="85">
        <v>5</v>
      </c>
      <c r="Q3234" s="2"/>
      <c r="R3234" s="179">
        <f>R3225/((N_6*R$27*0.667)*SQRT(R3235*R3227*R3229))</f>
        <v>4.4565350465085283</v>
      </c>
      <c r="S3234" s="133"/>
      <c r="T3234" s="147"/>
      <c r="U3234" s="143">
        <f>U3225/((N_6*U$27*0.667)*SQRT(U3235*U3227*U3229))</f>
        <v>20.711241250986973</v>
      </c>
      <c r="V3234" s="133"/>
      <c r="W3234" s="155"/>
      <c r="X3234" s="143">
        <f>X3225/((N_6*X$27*0.667)*SQRT(X3235*X3227*X3229))</f>
        <v>93.165627910444002</v>
      </c>
      <c r="Y3234" s="133"/>
      <c r="Z3234" s="155"/>
      <c r="AA3234" s="143">
        <f>AA3225/((N_6*AA$27*0.667)*SQRT(AA3235*AA3227*AA3229))</f>
        <v>109.60739061141199</v>
      </c>
      <c r="AB3234" s="133"/>
      <c r="AC3234" s="155"/>
      <c r="AD3234" s="143">
        <f>AD3225/((N_6*AD$27*0.667)*SQRT(AD3235*AD3227*AD3229))</f>
        <v>39.37341097775144</v>
      </c>
      <c r="AE3234" s="133"/>
      <c r="AF3234" s="155"/>
      <c r="AG3234" s="143">
        <f>AG3225/((N_6*AG$27*0.667)*SQRT(AG3235*AG3227*AG3229))</f>
        <v>26.271802512814414</v>
      </c>
      <c r="AH3234" s="133"/>
      <c r="AI3234" s="155"/>
      <c r="AJ3234" s="143">
        <f>AJ3225/((N_6*AJ$27*0.667)*SQRT(AJ3235*AJ3227*AJ3229))</f>
        <v>21.219533188178417</v>
      </c>
      <c r="AK3234" s="133"/>
      <c r="AL3234" s="155"/>
      <c r="AM3234" s="143">
        <f>AM3225/((N_6*AM$27*0.667)*SQRT(AM3235*AM3227*AM3229))</f>
        <v>19.717183912321275</v>
      </c>
      <c r="AN3234" s="133"/>
      <c r="AO3234" s="155"/>
      <c r="AP3234" s="143">
        <f>AP3225/((N_6*AP$27*0.667)*SQRT(AP3235*AP3227*AP3229))</f>
        <v>18.079627689167499</v>
      </c>
      <c r="AQ3234" s="133"/>
      <c r="AR3234" s="155"/>
      <c r="AS3234" s="143">
        <f>AS3225/((N_6*AS$27*0.667)*SQRT(AS3235*AS3227*AS3229))</f>
        <v>26.040524645756729</v>
      </c>
      <c r="AT3234" s="133"/>
      <c r="AU3234" s="155"/>
    </row>
    <row r="3235" spans="13:47" ht="15.5" x14ac:dyDescent="0.4">
      <c r="M3235" s="27"/>
      <c r="N3235" s="27"/>
      <c r="O3235" s="2" t="s">
        <v>192</v>
      </c>
      <c r="P3235" s="85">
        <v>10</v>
      </c>
      <c r="Q3235" s="2"/>
      <c r="R3235" s="181">
        <f>F_GAMMA*R$29</f>
        <v>0.64002688015162901</v>
      </c>
      <c r="S3235" s="133"/>
      <c r="T3235" s="147"/>
      <c r="U3235" s="138">
        <f>F_GAMMA*U$29</f>
        <v>0.64016782916606918</v>
      </c>
      <c r="V3235" s="133"/>
      <c r="W3235" s="155"/>
      <c r="X3235" s="138">
        <f>F_GAMMA*X$29</f>
        <v>0.6307062319203669</v>
      </c>
      <c r="Y3235" s="133"/>
      <c r="Z3235" s="155"/>
      <c r="AA3235" s="138">
        <f>F_GAMMA*AA$29</f>
        <v>0.62217534213893466</v>
      </c>
      <c r="AB3235" s="133"/>
      <c r="AC3235" s="155"/>
      <c r="AD3235" s="138">
        <f>F_GAMMA*AD$29</f>
        <v>0.60557184969146072</v>
      </c>
      <c r="AE3235" s="133"/>
      <c r="AF3235" s="155"/>
      <c r="AG3235" s="138">
        <f>F_GAMMA*AG$29</f>
        <v>0.57289312142622573</v>
      </c>
      <c r="AH3235" s="133"/>
      <c r="AI3235" s="155"/>
      <c r="AJ3235" s="138">
        <f>F_GAMMA*AJ$29</f>
        <v>0.53590819116049981</v>
      </c>
      <c r="AK3235" s="133"/>
      <c r="AL3235" s="155"/>
      <c r="AM3235" s="138">
        <f>F_GAMMA*AM$29</f>
        <v>0.49048815926850342</v>
      </c>
      <c r="AN3235" s="133"/>
      <c r="AO3235" s="155"/>
      <c r="AP3235" s="138">
        <f>F_GAMMA*AP$29</f>
        <v>0.59352979016280105</v>
      </c>
      <c r="AQ3235" s="133"/>
      <c r="AR3235" s="155"/>
      <c r="AS3235" s="138">
        <f>F_GAMMA*AS$29</f>
        <v>0.39097221161068291</v>
      </c>
      <c r="AT3235" s="133"/>
      <c r="AU3235" s="155"/>
    </row>
    <row r="3236" spans="13:47" x14ac:dyDescent="0.25">
      <c r="M3236" s="27"/>
      <c r="N3236" s="27"/>
      <c r="O3236" s="2" t="s">
        <v>193</v>
      </c>
      <c r="P3236" s="134"/>
      <c r="Q3236" s="2"/>
      <c r="R3236" s="181">
        <f>IF(R3231&lt;R3235,R3233,R3234)</f>
        <v>4.5466179350016951</v>
      </c>
      <c r="S3236" s="133"/>
      <c r="T3236" s="147"/>
      <c r="U3236" s="138">
        <f>IF(U3231&lt;U3235,U3233,U3234)</f>
        <v>21.435135626645206</v>
      </c>
      <c r="V3236" s="133"/>
      <c r="W3236" s="155"/>
      <c r="X3236" s="138">
        <f>IF(X3231&lt;X3235,X3233,X3234)</f>
        <v>309.89472247582017</v>
      </c>
      <c r="Y3236" s="133"/>
      <c r="Z3236" s="155"/>
      <c r="AA3236" s="138">
        <f>IF(AA3231&lt;AA3235,AA3233,AA3234)</f>
        <v>109.60739061141199</v>
      </c>
      <c r="AB3236" s="133"/>
      <c r="AC3236" s="155"/>
      <c r="AD3236" s="138">
        <f>IF(AD3231&lt;AD3235,AD3233,AD3234)</f>
        <v>39.37341097775144</v>
      </c>
      <c r="AE3236" s="133"/>
      <c r="AF3236" s="155"/>
      <c r="AG3236" s="138">
        <f>IF(AG3231&lt;AG3235,AG3233,AG3234)</f>
        <v>26.271802512814414</v>
      </c>
      <c r="AH3236" s="133"/>
      <c r="AI3236" s="155"/>
      <c r="AJ3236" s="138">
        <f>IF(AJ3231&lt;AJ3235,AJ3233,AJ3234)</f>
        <v>21.219533188178417</v>
      </c>
      <c r="AK3236" s="133"/>
      <c r="AL3236" s="155"/>
      <c r="AM3236" s="138">
        <f>IF(AM3231&lt;AM3235,AM3233,AM3234)</f>
        <v>19.717183912321275</v>
      </c>
      <c r="AN3236" s="133"/>
      <c r="AO3236" s="155"/>
      <c r="AP3236" s="138">
        <f>IF(AP3231&lt;AP3235,AP3233,AP3234)</f>
        <v>18.079627689167499</v>
      </c>
      <c r="AQ3236" s="133"/>
      <c r="AR3236" s="155"/>
      <c r="AS3236" s="138">
        <f>IF(AS3231&lt;AS3235,AS3233,AS3234)</f>
        <v>26.040524645756729</v>
      </c>
      <c r="AT3236" s="133"/>
      <c r="AU3236" s="155"/>
    </row>
    <row r="3237" spans="13:47" ht="13" x14ac:dyDescent="0.3">
      <c r="M3237" s="28"/>
      <c r="N3237" s="28"/>
      <c r="O3237" s="9" t="s">
        <v>194</v>
      </c>
      <c r="P3237" s="1"/>
      <c r="Q3237" s="1"/>
      <c r="R3237" s="135"/>
      <c r="S3237" s="132">
        <f>IF(R3230&lt;=0,W_max,ABS(R$23-R3236))</f>
        <v>2.5466179350016951</v>
      </c>
      <c r="T3237" s="151">
        <f>R3225</f>
        <v>1046.2721093014525</v>
      </c>
      <c r="U3237" s="135"/>
      <c r="V3237" s="132">
        <f>IF(U3230&lt;=0,W_max,ABS(U$23-U3236))</f>
        <v>16.435135626645206</v>
      </c>
      <c r="W3237" s="151">
        <f>U3225</f>
        <v>4490.6667613936279</v>
      </c>
      <c r="X3237" s="135"/>
      <c r="Y3237" s="132">
        <f>IF(X3230&lt;=0,W_max,ABS(X$23-X3236))</f>
        <v>299.89472247582017</v>
      </c>
      <c r="Z3237" s="151">
        <f>X3225</f>
        <v>11105.953296535374</v>
      </c>
      <c r="AA3237" s="135"/>
      <c r="AB3237" s="132">
        <f>IF(AA3230&lt;=0,W_max,ABS(AA$23-AA3236))</f>
        <v>7174</v>
      </c>
      <c r="AC3237" s="151">
        <f>AA3225</f>
        <v>21631.56227801113</v>
      </c>
      <c r="AD3237" s="135"/>
      <c r="AE3237" s="132">
        <f>IF(AD3230&lt;=0,W_max,ABS(AD$23-AD3236))</f>
        <v>7174</v>
      </c>
      <c r="AF3237" s="151">
        <f>AD3225</f>
        <v>35575.955678614853</v>
      </c>
      <c r="AG3237" s="135"/>
      <c r="AH3237" s="132">
        <f>IF(AG3230&lt;=0,W_max,ABS(AG$23-AG3236))</f>
        <v>7174</v>
      </c>
      <c r="AI3237" s="151">
        <f>AG3225</f>
        <v>49898.016695813916</v>
      </c>
      <c r="AJ3237" s="135"/>
      <c r="AK3237" s="132">
        <f>IF(AJ3230&lt;=0,W_max,ABS(AJ$23-AJ3236))</f>
        <v>7174</v>
      </c>
      <c r="AL3237" s="151">
        <f>AJ3225</f>
        <v>63357.240691698891</v>
      </c>
      <c r="AM3237" s="135"/>
      <c r="AN3237" s="132">
        <f>IF(AM3230&lt;=0,W_max,ABS(AM$23-AM3236))</f>
        <v>7174</v>
      </c>
      <c r="AO3237" s="151">
        <f>AM3225</f>
        <v>74291.347436376876</v>
      </c>
      <c r="AP3237" s="135"/>
      <c r="AQ3237" s="132">
        <f>IF(AP3230&lt;=0,W_max,ABS(AP$23-AP3236))</f>
        <v>7174</v>
      </c>
      <c r="AR3237" s="151">
        <f>AP3225</f>
        <v>82884.504765881196</v>
      </c>
      <c r="AS3237" s="135"/>
      <c r="AT3237" s="132">
        <f>IF(AS3230&lt;=0,W_max,ABS(AS$23-AS3236))</f>
        <v>7174</v>
      </c>
      <c r="AU3237" s="151">
        <f>AS3225</f>
        <v>92471.618396324237</v>
      </c>
    </row>
    <row r="3238" spans="13:47" ht="13" x14ac:dyDescent="0.25">
      <c r="M3238" s="12"/>
      <c r="N3238" s="12"/>
      <c r="O3238" s="12"/>
      <c r="P3238" s="12"/>
      <c r="Q3238" s="12"/>
      <c r="R3238" s="182"/>
      <c r="S3238" s="22"/>
      <c r="T3238" s="152"/>
      <c r="U3238" s="157"/>
      <c r="V3238" s="1"/>
      <c r="W3238" s="147"/>
      <c r="X3238" s="157"/>
      <c r="Y3238" s="1"/>
      <c r="Z3238" s="147"/>
      <c r="AA3238" s="157"/>
      <c r="AB3238" s="1"/>
      <c r="AC3238" s="147"/>
      <c r="AD3238" s="157"/>
      <c r="AE3238" s="1"/>
      <c r="AF3238" s="147"/>
      <c r="AG3238" s="157"/>
      <c r="AH3238" s="1"/>
      <c r="AI3238" s="147"/>
      <c r="AJ3238" s="157"/>
      <c r="AK3238" s="1"/>
      <c r="AL3238" s="147"/>
      <c r="AM3238" s="157"/>
      <c r="AN3238" s="1"/>
      <c r="AO3238" s="147"/>
      <c r="AP3238" s="157"/>
      <c r="AQ3238" s="1"/>
      <c r="AR3238" s="147"/>
      <c r="AS3238" s="157"/>
      <c r="AT3238" s="1"/>
      <c r="AU3238" s="147"/>
    </row>
    <row r="3239" spans="13:47" ht="14" x14ac:dyDescent="0.3">
      <c r="M3239" s="23"/>
      <c r="N3239" s="23"/>
      <c r="O3239" s="23" t="s">
        <v>238</v>
      </c>
      <c r="P3239" s="20"/>
      <c r="Q3239" s="20"/>
      <c r="R3239" s="18">
        <f>R3225*1.02</f>
        <v>1067.1975514874816</v>
      </c>
      <c r="S3239" s="128" t="s">
        <v>185</v>
      </c>
      <c r="T3239" s="153" t="s">
        <v>186</v>
      </c>
      <c r="U3239" s="143">
        <f>U3225*1.01</f>
        <v>4535.5734290075643</v>
      </c>
      <c r="V3239" s="128" t="s">
        <v>185</v>
      </c>
      <c r="W3239" s="153" t="s">
        <v>186</v>
      </c>
      <c r="X3239" s="143">
        <f>X3225*1.01</f>
        <v>11217.012829500727</v>
      </c>
      <c r="Y3239" s="128" t="s">
        <v>185</v>
      </c>
      <c r="Z3239" s="153" t="s">
        <v>186</v>
      </c>
      <c r="AA3239" s="143">
        <f>AA3225*1.01</f>
        <v>21847.877900791242</v>
      </c>
      <c r="AB3239" s="128" t="s">
        <v>185</v>
      </c>
      <c r="AC3239" s="153" t="s">
        <v>186</v>
      </c>
      <c r="AD3239" s="143">
        <f>AD3225*1.01</f>
        <v>35931.715235401003</v>
      </c>
      <c r="AE3239" s="128" t="s">
        <v>185</v>
      </c>
      <c r="AF3239" s="153" t="s">
        <v>186</v>
      </c>
      <c r="AG3239" s="143">
        <f>AG3225*1.01</f>
        <v>50396.996862772059</v>
      </c>
      <c r="AH3239" s="128" t="s">
        <v>185</v>
      </c>
      <c r="AI3239" s="153" t="s">
        <v>186</v>
      </c>
      <c r="AJ3239" s="143">
        <f>AJ3225*1.01</f>
        <v>63990.813098615879</v>
      </c>
      <c r="AK3239" s="128" t="s">
        <v>185</v>
      </c>
      <c r="AL3239" s="153" t="s">
        <v>186</v>
      </c>
      <c r="AM3239" s="143">
        <f>AM3225*1.01</f>
        <v>75034.260910740646</v>
      </c>
      <c r="AN3239" s="128" t="s">
        <v>185</v>
      </c>
      <c r="AO3239" s="153" t="s">
        <v>186</v>
      </c>
      <c r="AP3239" s="143">
        <f>AP3225*1.01</f>
        <v>83713.349813540015</v>
      </c>
      <c r="AQ3239" s="128" t="s">
        <v>185</v>
      </c>
      <c r="AR3239" s="153" t="s">
        <v>186</v>
      </c>
      <c r="AS3239" s="143">
        <f>AS3225*1.01</f>
        <v>93396.334580287483</v>
      </c>
      <c r="AT3239" s="128" t="s">
        <v>185</v>
      </c>
      <c r="AU3239" s="153" t="s">
        <v>186</v>
      </c>
    </row>
    <row r="3240" spans="13:47" ht="14" x14ac:dyDescent="0.3">
      <c r="M3240" s="12"/>
      <c r="N3240" s="12"/>
      <c r="O3240" s="20"/>
      <c r="P3240" s="20"/>
      <c r="Q3240" s="23"/>
      <c r="R3240" s="139"/>
      <c r="S3240" s="130" t="s">
        <v>228</v>
      </c>
      <c r="T3240" s="154" t="s">
        <v>187</v>
      </c>
      <c r="U3240" s="144"/>
      <c r="V3240" s="130" t="s">
        <v>228</v>
      </c>
      <c r="W3240" s="154" t="s">
        <v>187</v>
      </c>
      <c r="X3240" s="144"/>
      <c r="Y3240" s="130" t="s">
        <v>228</v>
      </c>
      <c r="Z3240" s="154" t="s">
        <v>187</v>
      </c>
      <c r="AA3240" s="144"/>
      <c r="AB3240" s="130" t="s">
        <v>228</v>
      </c>
      <c r="AC3240" s="154" t="s">
        <v>187</v>
      </c>
      <c r="AD3240" s="144"/>
      <c r="AE3240" s="130" t="s">
        <v>228</v>
      </c>
      <c r="AF3240" s="154" t="s">
        <v>187</v>
      </c>
      <c r="AG3240" s="144"/>
      <c r="AH3240" s="130" t="s">
        <v>228</v>
      </c>
      <c r="AI3240" s="154" t="s">
        <v>187</v>
      </c>
      <c r="AJ3240" s="144"/>
      <c r="AK3240" s="130" t="s">
        <v>228</v>
      </c>
      <c r="AL3240" s="154" t="s">
        <v>187</v>
      </c>
      <c r="AM3240" s="144"/>
      <c r="AN3240" s="130" t="s">
        <v>228</v>
      </c>
      <c r="AO3240" s="154" t="s">
        <v>187</v>
      </c>
      <c r="AP3240" s="144"/>
      <c r="AQ3240" s="130" t="s">
        <v>228</v>
      </c>
      <c r="AR3240" s="154" t="s">
        <v>187</v>
      </c>
      <c r="AS3240" s="144"/>
      <c r="AT3240" s="130" t="s">
        <v>228</v>
      </c>
      <c r="AU3240" s="154" t="s">
        <v>187</v>
      </c>
    </row>
    <row r="3241" spans="13:47" x14ac:dyDescent="0.25">
      <c r="M3241" s="20"/>
      <c r="N3241" s="20"/>
      <c r="O3241" s="7" t="s">
        <v>188</v>
      </c>
      <c r="P3241" s="7"/>
      <c r="Q3241" s="7"/>
      <c r="R3241" s="181">
        <f>P_1_minW-(R3239^2*R_up)+dpup_minQ</f>
        <v>100.06863264869281</v>
      </c>
      <c r="S3241" s="132"/>
      <c r="T3241" s="145"/>
      <c r="U3241" s="138">
        <f>P_1_minW-(U3239^2*R_up)+dpup_minQ</f>
        <v>92.31968699352359</v>
      </c>
      <c r="V3241" s="132"/>
      <c r="W3241" s="145"/>
      <c r="X3241" s="138">
        <f>P_1_minW-(X3239^2*R_up)+dpup_minQ</f>
        <v>50.350023443334415</v>
      </c>
      <c r="Y3241" s="132"/>
      <c r="Z3241" s="145"/>
      <c r="AA3241" s="138">
        <f>P_1_minW-(AA3239^2*R_up)+dpup_minQ</f>
        <v>-89.81810848394808</v>
      </c>
      <c r="AB3241" s="132"/>
      <c r="AC3241" s="145"/>
      <c r="AD3241" s="138">
        <f>P_1_minW-(AD3239^2*R_up)+dpup_minQ</f>
        <v>-414.31389896062876</v>
      </c>
      <c r="AE3241" s="132"/>
      <c r="AF3241" s="145"/>
      <c r="AG3241" s="138">
        <f>P_1_minW-(AG3239^2*R_up)+dpup_minQ</f>
        <v>-912.27537183943389</v>
      </c>
      <c r="AH3241" s="132"/>
      <c r="AI3241" s="145"/>
      <c r="AJ3241" s="138">
        <f>P_1_minW-(AJ3239^2*R_up)+dpup_minQ</f>
        <v>-1532.3368159485397</v>
      </c>
      <c r="AK3241" s="132"/>
      <c r="AL3241" s="145"/>
      <c r="AM3241" s="138">
        <f>P_1_minW-(AM3239^2*R_up)+dpup_minQ</f>
        <v>-2144.5623033253696</v>
      </c>
      <c r="AN3241" s="132"/>
      <c r="AO3241" s="145"/>
      <c r="AP3241" s="138">
        <f>P_1_minW-(AP3239^2*R_up)+dpup_minQ</f>
        <v>-2693.9702313538896</v>
      </c>
      <c r="AQ3241" s="132"/>
      <c r="AR3241" s="145"/>
      <c r="AS3241" s="138">
        <f>P_1_minW-(AS3239^2*R_up)+dpup_minQ</f>
        <v>-3377.8269928438813</v>
      </c>
      <c r="AT3241" s="132"/>
      <c r="AU3241" s="145"/>
    </row>
    <row r="3242" spans="13:47" x14ac:dyDescent="0.25">
      <c r="M3242" s="20"/>
      <c r="N3242" s="20"/>
      <c r="O3242" s="7" t="s">
        <v>189</v>
      </c>
      <c r="P3242" s="1"/>
      <c r="Q3242" s="7"/>
      <c r="R3242" s="181">
        <f>P_2_minW+(R3239^2*R_dn)-dpdn_minQ</f>
        <v>50</v>
      </c>
      <c r="S3242" s="132"/>
      <c r="T3242" s="146"/>
      <c r="U3242" s="138">
        <f>P_2_minW+(U3239^2*R_dn)-dpdn_minQ</f>
        <v>50</v>
      </c>
      <c r="V3242" s="132"/>
      <c r="W3242" s="146"/>
      <c r="X3242" s="138">
        <f>P_2_minW+(X3239^2*R_dn)-dpdn_minQ</f>
        <v>50</v>
      </c>
      <c r="Y3242" s="132"/>
      <c r="Z3242" s="146"/>
      <c r="AA3242" s="138">
        <f>P_2_minW+(AA3239^2*R_dn)-dpdn_minQ</f>
        <v>50</v>
      </c>
      <c r="AB3242" s="132"/>
      <c r="AC3242" s="146"/>
      <c r="AD3242" s="138">
        <f>P_2_minW+(AD3239^2*R_dn)-dpdn_minQ</f>
        <v>50</v>
      </c>
      <c r="AE3242" s="132"/>
      <c r="AF3242" s="146"/>
      <c r="AG3242" s="138">
        <f>P_2_minW+(AG3239^2*R_dn)-dpdn_minQ</f>
        <v>50</v>
      </c>
      <c r="AH3242" s="132"/>
      <c r="AI3242" s="146"/>
      <c r="AJ3242" s="138">
        <f>P_2_minW+(AJ3239^2*R_dn)-dpdn_minQ</f>
        <v>50</v>
      </c>
      <c r="AK3242" s="132"/>
      <c r="AL3242" s="146"/>
      <c r="AM3242" s="138">
        <f>P_2_minW+(AM3239^2*R_dn)-dpdn_minQ</f>
        <v>50</v>
      </c>
      <c r="AN3242" s="132"/>
      <c r="AO3242" s="146"/>
      <c r="AP3242" s="138">
        <f>P_2_minW+(AP3239^2*R_dn)-dpdn_minQ</f>
        <v>50</v>
      </c>
      <c r="AQ3242" s="132"/>
      <c r="AR3242" s="146"/>
      <c r="AS3242" s="138">
        <f>P_2_minW+(AS3239^2*R_dn)-dpdn_minQ</f>
        <v>50</v>
      </c>
      <c r="AT3242" s="132"/>
      <c r="AU3242" s="146"/>
    </row>
    <row r="3243" spans="13:47" x14ac:dyDescent="0.25">
      <c r="M3243" s="20"/>
      <c r="N3243" s="20"/>
      <c r="O3243" s="7" t="s">
        <v>234</v>
      </c>
      <c r="P3243" s="1"/>
      <c r="Q3243" s="7"/>
      <c r="R3243" s="179">
        <f>'Valve Sizing'!G$8*R3241/P_1_maxW</f>
        <v>0.48271326777536705</v>
      </c>
      <c r="S3243" s="132"/>
      <c r="T3243" s="146"/>
      <c r="U3243" s="143">
        <f>'Valve Sizing'!$G$8*U3241/P_1_maxW</f>
        <v>0.44533373354957051</v>
      </c>
      <c r="V3243" s="132"/>
      <c r="W3243" s="146"/>
      <c r="X3243" s="143">
        <f>'Valve Sizing'!$G$8*X3241/P_1_maxW</f>
        <v>0.2428795488214936</v>
      </c>
      <c r="Y3243" s="132"/>
      <c r="Z3243" s="146"/>
      <c r="AA3243" s="143">
        <f>'Valve Sizing'!$G$8*AA3241/P_1_maxW</f>
        <v>-0.4332665641979806</v>
      </c>
      <c r="AB3243" s="132"/>
      <c r="AC3243" s="146"/>
      <c r="AD3243" s="143">
        <f>'Valve Sizing'!$G$8*AD3241/P_1_maxW</f>
        <v>-1.9985764845428899</v>
      </c>
      <c r="AE3243" s="132"/>
      <c r="AF3243" s="146"/>
      <c r="AG3243" s="143">
        <f>'Valve Sizing'!$G$8*AG3241/P_1_maxW</f>
        <v>-4.4006539731344443</v>
      </c>
      <c r="AH3243" s="132"/>
      <c r="AI3243" s="146"/>
      <c r="AJ3243" s="143">
        <f>'Valve Sizing'!$G$8*AJ3241/P_1_maxW</f>
        <v>-7.3917199843809716</v>
      </c>
      <c r="AK3243" s="132"/>
      <c r="AL3243" s="146"/>
      <c r="AM3243" s="143">
        <f>'Valve Sizing'!$G$8*AM3241/P_1_maxW</f>
        <v>-10.344986735457107</v>
      </c>
      <c r="AN3243" s="132"/>
      <c r="AO3243" s="146"/>
      <c r="AP3243" s="143">
        <f>'Valve Sizing'!$G$8*AP3241/P_1_maxW</f>
        <v>-12.9952327642141</v>
      </c>
      <c r="AQ3243" s="132"/>
      <c r="AR3243" s="146"/>
      <c r="AS3243" s="143">
        <f>'Valve Sizing'!$G$8*AS3241/P_1_maxW</f>
        <v>-16.294036028449828</v>
      </c>
      <c r="AT3243" s="132"/>
      <c r="AU3243" s="146"/>
    </row>
    <row r="3244" spans="13:47" x14ac:dyDescent="0.25">
      <c r="M3244" s="20"/>
      <c r="N3244" s="20"/>
      <c r="O3244" s="7" t="s">
        <v>190</v>
      </c>
      <c r="P3244" s="1"/>
      <c r="Q3244" s="7"/>
      <c r="R3244" s="181">
        <f>R3241-R3242</f>
        <v>50.068632648692812</v>
      </c>
      <c r="S3244" s="132"/>
      <c r="T3244" s="146"/>
      <c r="U3244" s="138">
        <f>U3241-U3242</f>
        <v>42.31968699352359</v>
      </c>
      <c r="V3244" s="132"/>
      <c r="W3244" s="146"/>
      <c r="X3244" s="138">
        <f>X3241-X3242</f>
        <v>0.35002344333441471</v>
      </c>
      <c r="Y3244" s="132"/>
      <c r="Z3244" s="146"/>
      <c r="AA3244" s="138">
        <f>AA3241-AA3242</f>
        <v>-139.81810848394809</v>
      </c>
      <c r="AB3244" s="132"/>
      <c r="AC3244" s="146"/>
      <c r="AD3244" s="138">
        <f>AD3241-AD3242</f>
        <v>-464.31389896062876</v>
      </c>
      <c r="AE3244" s="132"/>
      <c r="AF3244" s="146"/>
      <c r="AG3244" s="138">
        <f>AG3241-AG3242</f>
        <v>-962.27537183943389</v>
      </c>
      <c r="AH3244" s="132"/>
      <c r="AI3244" s="146"/>
      <c r="AJ3244" s="138">
        <f>AJ3241-AJ3242</f>
        <v>-1582.3368159485397</v>
      </c>
      <c r="AK3244" s="132"/>
      <c r="AL3244" s="146"/>
      <c r="AM3244" s="138">
        <f>AM3241-AM3242</f>
        <v>-2194.5623033253696</v>
      </c>
      <c r="AN3244" s="132"/>
      <c r="AO3244" s="146"/>
      <c r="AP3244" s="138">
        <f>AP3241-AP3242</f>
        <v>-2743.9702313538896</v>
      </c>
      <c r="AQ3244" s="132"/>
      <c r="AR3244" s="146"/>
      <c r="AS3244" s="138">
        <f>AS3241-AS3242</f>
        <v>-3427.8269928438813</v>
      </c>
      <c r="AT3244" s="132"/>
      <c r="AU3244" s="146"/>
    </row>
    <row r="3245" spans="13:47" ht="14.5" x14ac:dyDescent="0.35">
      <c r="M3245" s="27"/>
      <c r="N3245" s="27"/>
      <c r="O3245" s="2" t="s">
        <v>191</v>
      </c>
      <c r="P3245" s="10"/>
      <c r="Q3245" s="2"/>
      <c r="R3245" s="181">
        <f>R3244/R3241</f>
        <v>0.50034292788297485</v>
      </c>
      <c r="S3245" s="132"/>
      <c r="T3245" s="146"/>
      <c r="U3245" s="138">
        <f>U3244/U3241</f>
        <v>0.45840370967129035</v>
      </c>
      <c r="V3245" s="132"/>
      <c r="W3245" s="146"/>
      <c r="X3245" s="138">
        <f>X3244/X3241</f>
        <v>6.9518029863152439E-3</v>
      </c>
      <c r="Y3245" s="132"/>
      <c r="Z3245" s="146"/>
      <c r="AA3245" s="138">
        <f>AA3244/AA3241</f>
        <v>1.5566806164587157</v>
      </c>
      <c r="AB3245" s="132"/>
      <c r="AC3245" s="146"/>
      <c r="AD3245" s="138">
        <f>AD3244/AD3241</f>
        <v>1.1206814449754952</v>
      </c>
      <c r="AE3245" s="132"/>
      <c r="AF3245" s="146"/>
      <c r="AG3245" s="138">
        <f>AG3244/AG3241</f>
        <v>1.0548080125183958</v>
      </c>
      <c r="AH3245" s="132"/>
      <c r="AI3245" s="146"/>
      <c r="AJ3245" s="138">
        <f>AJ3244/AJ3241</f>
        <v>1.0326299019116429</v>
      </c>
      <c r="AK3245" s="132"/>
      <c r="AL3245" s="146"/>
      <c r="AM3245" s="138">
        <f>AM3244/AM3241</f>
        <v>1.0233147807934839</v>
      </c>
      <c r="AN3245" s="132"/>
      <c r="AO3245" s="146"/>
      <c r="AP3245" s="138">
        <f>AP3244/AP3241</f>
        <v>1.0185599675223107</v>
      </c>
      <c r="AQ3245" s="132"/>
      <c r="AR3245" s="146"/>
      <c r="AS3245" s="138">
        <f>AS3244/AS3241</f>
        <v>1.0148024159040494</v>
      </c>
      <c r="AT3245" s="132"/>
      <c r="AU3245" s="146"/>
    </row>
    <row r="3246" spans="13:47" x14ac:dyDescent="0.25">
      <c r="M3246" s="27"/>
      <c r="N3246" s="27"/>
      <c r="O3246" s="2" t="s">
        <v>26</v>
      </c>
      <c r="P3246" s="7">
        <v>12</v>
      </c>
      <c r="Q3246" s="2"/>
      <c r="R3246" s="181">
        <f>1-R3245/(3*F_GAMMA*R$29)</f>
        <v>0.7394156696645624</v>
      </c>
      <c r="S3246" s="133"/>
      <c r="T3246" s="146"/>
      <c r="U3246" s="138">
        <f>1-U3245/(3*F_GAMMA*U$29)</f>
        <v>0.761310660118383</v>
      </c>
      <c r="V3246" s="133"/>
      <c r="W3246" s="146"/>
      <c r="X3246" s="138">
        <f>1-X3245/(3*F_GAMMA*X$29)</f>
        <v>0.99632591602107767</v>
      </c>
      <c r="Y3246" s="133"/>
      <c r="Z3246" s="146"/>
      <c r="AA3246" s="138">
        <f>1-AA3245/(3*F_GAMMA*AA$29)</f>
        <v>0.16600111949839935</v>
      </c>
      <c r="AB3246" s="133"/>
      <c r="AC3246" s="146"/>
      <c r="AD3246" s="138">
        <f>1-AD3245/(3*F_GAMMA*AD$29)</f>
        <v>0.38312772984935195</v>
      </c>
      <c r="AE3246" s="133"/>
      <c r="AF3246" s="146"/>
      <c r="AG3246" s="138">
        <f>1-AG3245/(3*F_GAMMA*AG$29)</f>
        <v>0.38626829736732515</v>
      </c>
      <c r="AH3246" s="133"/>
      <c r="AI3246" s="146"/>
      <c r="AJ3246" s="138">
        <f>1-AJ3245/(3*F_GAMMA*AJ$29)</f>
        <v>0.35770720996351946</v>
      </c>
      <c r="AK3246" s="133"/>
      <c r="AL3246" s="146"/>
      <c r="AM3246" s="138">
        <f>1-AM3245/(3*F_GAMMA*AM$29)</f>
        <v>0.30456032325046745</v>
      </c>
      <c r="AN3246" s="133"/>
      <c r="AO3246" s="146"/>
      <c r="AP3246" s="138">
        <f>1-AP3245/(3*F_GAMMA*AP$29)</f>
        <v>0.42796470404463505</v>
      </c>
      <c r="AQ3246" s="133"/>
      <c r="AR3246" s="146"/>
      <c r="AS3246" s="138">
        <f>1-AS3245/(3*F_GAMMA*AS$29)</f>
        <v>0.13480431109295332</v>
      </c>
      <c r="AT3246" s="133"/>
      <c r="AU3246" s="146"/>
    </row>
    <row r="3247" spans="13:47" x14ac:dyDescent="0.25">
      <c r="M3247" s="27"/>
      <c r="N3247" s="27"/>
      <c r="O3247" s="2" t="s">
        <v>71</v>
      </c>
      <c r="P3247" s="85">
        <v>5</v>
      </c>
      <c r="Q3247" s="2"/>
      <c r="R3247" s="179">
        <f>R3239/((N_6*R$27*R3246)*SQRT(R3245*R3241*R3243))</f>
        <v>4.6384879886250392</v>
      </c>
      <c r="S3247" s="133"/>
      <c r="T3247" s="146"/>
      <c r="U3247" s="143">
        <f>U3239/((N_6*U$27*U3246)*SQRT(U3245*U3241*U3243))</f>
        <v>21.695715831452109</v>
      </c>
      <c r="V3247" s="133"/>
      <c r="W3247" s="146"/>
      <c r="X3247" s="143">
        <f>X3239/((N_6*X$27*X3246)*SQRT(X3245*X3241*X3243))</f>
        <v>611.80199046438565</v>
      </c>
      <c r="Y3247" s="133"/>
      <c r="Z3247" s="146"/>
      <c r="AA3247" s="143">
        <f>AA3239/((N_6*AA$27*AA3246)*SQRT(AA3245*AA3241*AA3243))</f>
        <v>269.46890814487233</v>
      </c>
      <c r="AB3247" s="133"/>
      <c r="AC3247" s="146"/>
      <c r="AD3247" s="143">
        <f>AD3239/((N_6*AD$27*AD3246)*SQRT(AD3245*AD3241*AD3243))</f>
        <v>49.645802215229466</v>
      </c>
      <c r="AE3247" s="133"/>
      <c r="AF3247" s="146"/>
      <c r="AG3247" s="143">
        <f>AG3239/((N_6*AG$27*AG3246)*SQRT(AG3245*AG3241*AG3243))</f>
        <v>33.02877124501444</v>
      </c>
      <c r="AH3247" s="133"/>
      <c r="AI3247" s="146"/>
      <c r="AJ3247" s="143">
        <f>AJ3239/((N_6*AJ$27*AJ3246)*SQRT(AJ3245*AJ3241*AJ3243))</f>
        <v>28.184634761368383</v>
      </c>
      <c r="AK3247" s="133"/>
      <c r="AL3247" s="146"/>
      <c r="AM3247" s="143">
        <f>AM3239/((N_6*AM$27*AM3246)*SQRT(AM3245*AM3241*AM3243))</f>
        <v>29.571700416802862</v>
      </c>
      <c r="AN3247" s="133"/>
      <c r="AO3247" s="146"/>
      <c r="AP3247" s="143">
        <f>AP3239/((N_6*AP$27*AP3246)*SQRT(AP3245*AP3241*AP3243))</f>
        <v>21.280807433458708</v>
      </c>
      <c r="AQ3247" s="133"/>
      <c r="AR3247" s="146"/>
      <c r="AS3247" s="143">
        <f>AS3239/((N_6*AS$27*AS3246)*SQRT(AS3245*AS3241*AS3243))</f>
        <v>79.135754814490426</v>
      </c>
      <c r="AT3247" s="133"/>
      <c r="AU3247" s="146"/>
    </row>
    <row r="3248" spans="13:47" x14ac:dyDescent="0.25">
      <c r="M3248" s="27"/>
      <c r="N3248" s="27"/>
      <c r="O3248" s="2" t="s">
        <v>73</v>
      </c>
      <c r="P3248" s="85">
        <v>5</v>
      </c>
      <c r="Q3248" s="2"/>
      <c r="R3248" s="179">
        <f>R3239/((N_6*R$27*0.667)*SQRT(R3249*R3241*R3243))</f>
        <v>4.5464668419972405</v>
      </c>
      <c r="S3248" s="133"/>
      <c r="T3248" s="155"/>
      <c r="U3248" s="143">
        <f>U3239/((N_6*U$27*0.667)*SQRT(U3249*U3241*U3243))</f>
        <v>20.954977554265042</v>
      </c>
      <c r="V3248" s="133"/>
      <c r="W3248" s="155"/>
      <c r="X3248" s="143">
        <f>X3239/((N_6*X$27*0.667)*SQRT(X3249*X3241*X3243))</f>
        <v>95.944845004008116</v>
      </c>
      <c r="Y3248" s="133"/>
      <c r="Z3248" s="155"/>
      <c r="AA3248" s="143">
        <f>AA3239/((N_6*AA$27*0.667)*SQRT(AA3249*AA3241*AA3243))</f>
        <v>106.08090272720104</v>
      </c>
      <c r="AB3248" s="133"/>
      <c r="AC3248" s="155"/>
      <c r="AD3248" s="143">
        <f>AD3239/((N_6*AD$27*0.667)*SQRT(AD3249*AD3241*AD3243))</f>
        <v>38.793461820341555</v>
      </c>
      <c r="AE3248" s="133"/>
      <c r="AF3248" s="155"/>
      <c r="AG3248" s="143">
        <f>AG3239/((N_6*AG$27*0.667)*SQRT(AG3249*AG3241*AG3243))</f>
        <v>25.954074960037723</v>
      </c>
      <c r="AH3248" s="133"/>
      <c r="AI3248" s="155"/>
      <c r="AJ3248" s="143">
        <f>AJ3239/((N_6*AJ$27*0.667)*SQRT(AJ3249*AJ3241*AJ3243))</f>
        <v>20.981736183486152</v>
      </c>
      <c r="AK3248" s="133"/>
      <c r="AL3248" s="155"/>
      <c r="AM3248" s="143">
        <f>AM3239/((N_6*AM$27*0.667)*SQRT(AM3249*AM3241*AM3243))</f>
        <v>19.503571572344523</v>
      </c>
      <c r="AN3248" s="133"/>
      <c r="AO3248" s="155"/>
      <c r="AP3248" s="143">
        <f>AP3239/((N_6*AP$27*0.667)*SQRT(AP3249*AP3241*AP3243))</f>
        <v>17.88719580671799</v>
      </c>
      <c r="AQ3248" s="133"/>
      <c r="AR3248" s="155"/>
      <c r="AS3248" s="143">
        <f>AS3239/((N_6*AS$27*0.667)*SQRT(AS3249*AS3241*AS3243))</f>
        <v>25.767275284391545</v>
      </c>
      <c r="AT3248" s="133"/>
      <c r="AU3248" s="155"/>
    </row>
    <row r="3249" spans="13:47" ht="15.5" x14ac:dyDescent="0.4">
      <c r="M3249" s="27"/>
      <c r="N3249" s="27"/>
      <c r="O3249" s="2" t="s">
        <v>192</v>
      </c>
      <c r="P3249" s="85">
        <v>10</v>
      </c>
      <c r="Q3249" s="2"/>
      <c r="R3249" s="181">
        <f>F_GAMMA*R$29</f>
        <v>0.64002688015162901</v>
      </c>
      <c r="S3249" s="133"/>
      <c r="T3249" s="155"/>
      <c r="U3249" s="138">
        <f>F_GAMMA*U$29</f>
        <v>0.64016782916606918</v>
      </c>
      <c r="V3249" s="133"/>
      <c r="W3249" s="155"/>
      <c r="X3249" s="138">
        <f>F_GAMMA*X$29</f>
        <v>0.6307062319203669</v>
      </c>
      <c r="Y3249" s="133"/>
      <c r="Z3249" s="155"/>
      <c r="AA3249" s="138">
        <f>F_GAMMA*AA$29</f>
        <v>0.62217534213893466</v>
      </c>
      <c r="AB3249" s="133"/>
      <c r="AC3249" s="155"/>
      <c r="AD3249" s="138">
        <f>F_GAMMA*AD$29</f>
        <v>0.60557184969146072</v>
      </c>
      <c r="AE3249" s="133"/>
      <c r="AF3249" s="155"/>
      <c r="AG3249" s="138">
        <f>F_GAMMA*AG$29</f>
        <v>0.57289312142622573</v>
      </c>
      <c r="AH3249" s="133"/>
      <c r="AI3249" s="155"/>
      <c r="AJ3249" s="138">
        <f>F_GAMMA*AJ$29</f>
        <v>0.53590819116049981</v>
      </c>
      <c r="AK3249" s="133"/>
      <c r="AL3249" s="155"/>
      <c r="AM3249" s="138">
        <f>F_GAMMA*AM$29</f>
        <v>0.49048815926850342</v>
      </c>
      <c r="AN3249" s="133"/>
      <c r="AO3249" s="155"/>
      <c r="AP3249" s="138">
        <f>F_GAMMA*AP$29</f>
        <v>0.59352979016280105</v>
      </c>
      <c r="AQ3249" s="133"/>
      <c r="AR3249" s="155"/>
      <c r="AS3249" s="138">
        <f>F_GAMMA*AS$29</f>
        <v>0.39097221161068291</v>
      </c>
      <c r="AT3249" s="133"/>
      <c r="AU3249" s="155"/>
    </row>
    <row r="3250" spans="13:47" x14ac:dyDescent="0.25">
      <c r="M3250" s="27"/>
      <c r="N3250" s="27"/>
      <c r="O3250" s="2" t="s">
        <v>193</v>
      </c>
      <c r="P3250" s="134"/>
      <c r="Q3250" s="2"/>
      <c r="R3250" s="181">
        <f>IF(R3245&lt;R3249,R3247,R3248)</f>
        <v>4.6384879886250392</v>
      </c>
      <c r="S3250" s="133"/>
      <c r="T3250" s="155"/>
      <c r="U3250" s="138">
        <f>IF(U3245&lt;U3249,U3247,U3248)</f>
        <v>21.695715831452109</v>
      </c>
      <c r="V3250" s="133"/>
      <c r="W3250" s="155"/>
      <c r="X3250" s="138">
        <f>IF(X3245&lt;X3249,X3247,X3248)</f>
        <v>611.80199046438565</v>
      </c>
      <c r="Y3250" s="133"/>
      <c r="Z3250" s="155"/>
      <c r="AA3250" s="138">
        <f>IF(AA3245&lt;AA3249,AA3247,AA3248)</f>
        <v>106.08090272720104</v>
      </c>
      <c r="AB3250" s="133"/>
      <c r="AC3250" s="155"/>
      <c r="AD3250" s="138">
        <f>IF(AD3245&lt;AD3249,AD3247,AD3248)</f>
        <v>38.793461820341555</v>
      </c>
      <c r="AE3250" s="133"/>
      <c r="AF3250" s="155"/>
      <c r="AG3250" s="138">
        <f>IF(AG3245&lt;AG3249,AG3247,AG3248)</f>
        <v>25.954074960037723</v>
      </c>
      <c r="AH3250" s="133"/>
      <c r="AI3250" s="155"/>
      <c r="AJ3250" s="138">
        <f>IF(AJ3245&lt;AJ3249,AJ3247,AJ3248)</f>
        <v>20.981736183486152</v>
      </c>
      <c r="AK3250" s="133"/>
      <c r="AL3250" s="155"/>
      <c r="AM3250" s="138">
        <f>IF(AM3245&lt;AM3249,AM3247,AM3248)</f>
        <v>19.503571572344523</v>
      </c>
      <c r="AN3250" s="133"/>
      <c r="AO3250" s="155"/>
      <c r="AP3250" s="138">
        <f>IF(AP3245&lt;AP3249,AP3247,AP3248)</f>
        <v>17.88719580671799</v>
      </c>
      <c r="AQ3250" s="133"/>
      <c r="AR3250" s="155"/>
      <c r="AS3250" s="138">
        <f>IF(AS3245&lt;AS3249,AS3247,AS3248)</f>
        <v>25.767275284391545</v>
      </c>
      <c r="AT3250" s="133"/>
      <c r="AU3250" s="155"/>
    </row>
    <row r="3251" spans="13:47" ht="13" x14ac:dyDescent="0.3">
      <c r="M3251" s="28"/>
      <c r="N3251" s="28"/>
      <c r="O3251" s="9" t="s">
        <v>194</v>
      </c>
      <c r="P3251" s="1"/>
      <c r="Q3251" s="1"/>
      <c r="R3251" s="135"/>
      <c r="S3251" s="132">
        <f>IF(R3244&lt;=0,W_max,ABS(R$23-R3250))</f>
        <v>2.6384879886250392</v>
      </c>
      <c r="T3251" s="151">
        <f>R3239</f>
        <v>1067.1975514874816</v>
      </c>
      <c r="U3251" s="135"/>
      <c r="V3251" s="132">
        <f>IF(U3244&lt;=0,W_max,ABS(U$23-U3250))</f>
        <v>16.695715831452109</v>
      </c>
      <c r="W3251" s="151">
        <f>U3239</f>
        <v>4535.5734290075643</v>
      </c>
      <c r="X3251" s="135"/>
      <c r="Y3251" s="132">
        <f>IF(X3244&lt;=0,W_max,ABS(X$23-X3250))</f>
        <v>601.80199046438565</v>
      </c>
      <c r="Z3251" s="151">
        <f>X3239</f>
        <v>11217.012829500727</v>
      </c>
      <c r="AA3251" s="135"/>
      <c r="AB3251" s="132">
        <f>IF(AA3244&lt;=0,W_max,ABS(AA$23-AA3250))</f>
        <v>7174</v>
      </c>
      <c r="AC3251" s="151">
        <f>AA3239</f>
        <v>21847.877900791242</v>
      </c>
      <c r="AD3251" s="135"/>
      <c r="AE3251" s="132">
        <f>IF(AD3244&lt;=0,W_max,ABS(AD$23-AD3250))</f>
        <v>7174</v>
      </c>
      <c r="AF3251" s="151">
        <f>AD3239</f>
        <v>35931.715235401003</v>
      </c>
      <c r="AG3251" s="135"/>
      <c r="AH3251" s="132">
        <f>IF(AG3244&lt;=0,W_max,ABS(AG$23-AG3250))</f>
        <v>7174</v>
      </c>
      <c r="AI3251" s="151">
        <f>AG3239</f>
        <v>50396.996862772059</v>
      </c>
      <c r="AJ3251" s="135"/>
      <c r="AK3251" s="132">
        <f>IF(AJ3244&lt;=0,W_max,ABS(AJ$23-AJ3250))</f>
        <v>7174</v>
      </c>
      <c r="AL3251" s="151">
        <f>AJ3239</f>
        <v>63990.813098615879</v>
      </c>
      <c r="AM3251" s="135"/>
      <c r="AN3251" s="132">
        <f>IF(AM3244&lt;=0,W_max,ABS(AM$23-AM3250))</f>
        <v>7174</v>
      </c>
      <c r="AO3251" s="151">
        <f>AM3239</f>
        <v>75034.260910740646</v>
      </c>
      <c r="AP3251" s="135"/>
      <c r="AQ3251" s="132">
        <f>IF(AP3244&lt;=0,W_max,ABS(AP$23-AP3250))</f>
        <v>7174</v>
      </c>
      <c r="AR3251" s="151">
        <f>AP3239</f>
        <v>83713.349813540015</v>
      </c>
      <c r="AS3251" s="135"/>
      <c r="AT3251" s="132">
        <f>IF(AS3244&lt;=0,W_max,ABS(AS$23-AS3250))</f>
        <v>7174</v>
      </c>
      <c r="AU3251" s="151">
        <f>AS3239</f>
        <v>93396.334580287483</v>
      </c>
    </row>
    <row r="3252" spans="13:47" ht="13" x14ac:dyDescent="0.25">
      <c r="M3252" s="12"/>
      <c r="N3252" s="12"/>
      <c r="O3252" s="2"/>
      <c r="P3252" s="85"/>
      <c r="Q3252" s="2"/>
      <c r="R3252" s="18"/>
      <c r="S3252" s="150"/>
      <c r="T3252" s="152"/>
      <c r="U3252" s="157"/>
      <c r="V3252" s="1"/>
      <c r="W3252" s="147"/>
      <c r="X3252" s="157"/>
      <c r="Y3252" s="1"/>
      <c r="Z3252" s="147"/>
      <c r="AA3252" s="157"/>
      <c r="AB3252" s="1"/>
      <c r="AC3252" s="147"/>
      <c r="AD3252" s="157"/>
      <c r="AE3252" s="1"/>
      <c r="AF3252" s="147"/>
      <c r="AG3252" s="157"/>
      <c r="AH3252" s="1"/>
      <c r="AI3252" s="147"/>
      <c r="AJ3252" s="157"/>
      <c r="AK3252" s="1"/>
      <c r="AL3252" s="147"/>
      <c r="AM3252" s="157"/>
      <c r="AN3252" s="1"/>
      <c r="AO3252" s="147"/>
      <c r="AP3252" s="157"/>
      <c r="AQ3252" s="1"/>
      <c r="AR3252" s="147"/>
      <c r="AS3252" s="157"/>
      <c r="AT3252" s="1"/>
      <c r="AU3252" s="147"/>
    </row>
    <row r="3253" spans="13:47" ht="14" x14ac:dyDescent="0.3">
      <c r="M3253" s="23"/>
      <c r="N3253" s="23"/>
      <c r="O3253" s="23" t="s">
        <v>238</v>
      </c>
      <c r="P3253" s="20"/>
      <c r="Q3253" s="20"/>
      <c r="R3253" s="181">
        <f>R3239*1.02</f>
        <v>1088.5415025172313</v>
      </c>
      <c r="S3253" s="128" t="s">
        <v>185</v>
      </c>
      <c r="T3253" s="153" t="s">
        <v>186</v>
      </c>
      <c r="U3253" s="143">
        <f>U3239*1.01</f>
        <v>4580.9291632976401</v>
      </c>
      <c r="V3253" s="128" t="s">
        <v>185</v>
      </c>
      <c r="W3253" s="153" t="s">
        <v>186</v>
      </c>
      <c r="X3253" s="143">
        <f>X3239*1.01</f>
        <v>11329.182957795734</v>
      </c>
      <c r="Y3253" s="128" t="s">
        <v>185</v>
      </c>
      <c r="Z3253" s="153" t="s">
        <v>186</v>
      </c>
      <c r="AA3253" s="143">
        <f>AA3239*1.01</f>
        <v>22066.356679799155</v>
      </c>
      <c r="AB3253" s="128" t="s">
        <v>185</v>
      </c>
      <c r="AC3253" s="153" t="s">
        <v>186</v>
      </c>
      <c r="AD3253" s="143">
        <f>AD3239*1.01</f>
        <v>36291.032387755011</v>
      </c>
      <c r="AE3253" s="128" t="s">
        <v>185</v>
      </c>
      <c r="AF3253" s="153" t="s">
        <v>186</v>
      </c>
      <c r="AG3253" s="143">
        <f>AG3239*1.01</f>
        <v>50900.966831399783</v>
      </c>
      <c r="AH3253" s="128" t="s">
        <v>185</v>
      </c>
      <c r="AI3253" s="153" t="s">
        <v>186</v>
      </c>
      <c r="AJ3253" s="143">
        <f>AJ3239*1.01</f>
        <v>64630.721229602037</v>
      </c>
      <c r="AK3253" s="128" t="s">
        <v>185</v>
      </c>
      <c r="AL3253" s="153" t="s">
        <v>186</v>
      </c>
      <c r="AM3253" s="143">
        <f>AM3239*1.01</f>
        <v>75784.603519848053</v>
      </c>
      <c r="AN3253" s="128" t="s">
        <v>185</v>
      </c>
      <c r="AO3253" s="153" t="s">
        <v>186</v>
      </c>
      <c r="AP3253" s="143">
        <f>AP3239*1.01</f>
        <v>84550.483311675416</v>
      </c>
      <c r="AQ3253" s="128" t="s">
        <v>185</v>
      </c>
      <c r="AR3253" s="153" t="s">
        <v>186</v>
      </c>
      <c r="AS3253" s="143">
        <f>AS3239*1.01</f>
        <v>94330.297926090352</v>
      </c>
      <c r="AT3253" s="128" t="s">
        <v>185</v>
      </c>
      <c r="AU3253" s="153" t="s">
        <v>186</v>
      </c>
    </row>
    <row r="3254" spans="13:47" ht="14" x14ac:dyDescent="0.3">
      <c r="M3254" s="12"/>
      <c r="N3254" s="12"/>
      <c r="O3254" s="20"/>
      <c r="P3254" s="20"/>
      <c r="Q3254" s="23"/>
      <c r="R3254" s="139"/>
      <c r="S3254" s="130" t="s">
        <v>228</v>
      </c>
      <c r="T3254" s="154" t="s">
        <v>187</v>
      </c>
      <c r="U3254" s="144"/>
      <c r="V3254" s="130" t="s">
        <v>228</v>
      </c>
      <c r="W3254" s="154" t="s">
        <v>187</v>
      </c>
      <c r="X3254" s="144"/>
      <c r="Y3254" s="130" t="s">
        <v>228</v>
      </c>
      <c r="Z3254" s="154" t="s">
        <v>187</v>
      </c>
      <c r="AA3254" s="144"/>
      <c r="AB3254" s="130" t="s">
        <v>228</v>
      </c>
      <c r="AC3254" s="154" t="s">
        <v>187</v>
      </c>
      <c r="AD3254" s="144"/>
      <c r="AE3254" s="130" t="s">
        <v>228</v>
      </c>
      <c r="AF3254" s="154" t="s">
        <v>187</v>
      </c>
      <c r="AG3254" s="144"/>
      <c r="AH3254" s="130" t="s">
        <v>228</v>
      </c>
      <c r="AI3254" s="154" t="s">
        <v>187</v>
      </c>
      <c r="AJ3254" s="144"/>
      <c r="AK3254" s="130" t="s">
        <v>228</v>
      </c>
      <c r="AL3254" s="154" t="s">
        <v>187</v>
      </c>
      <c r="AM3254" s="144"/>
      <c r="AN3254" s="130" t="s">
        <v>228</v>
      </c>
      <c r="AO3254" s="154" t="s">
        <v>187</v>
      </c>
      <c r="AP3254" s="144"/>
      <c r="AQ3254" s="130" t="s">
        <v>228</v>
      </c>
      <c r="AR3254" s="154" t="s">
        <v>187</v>
      </c>
      <c r="AS3254" s="144"/>
      <c r="AT3254" s="130" t="s">
        <v>228</v>
      </c>
      <c r="AU3254" s="154" t="s">
        <v>187</v>
      </c>
    </row>
    <row r="3255" spans="13:47" x14ac:dyDescent="0.25">
      <c r="M3255" s="20"/>
      <c r="N3255" s="20"/>
      <c r="O3255" s="7" t="s">
        <v>188</v>
      </c>
      <c r="P3255" s="7"/>
      <c r="Q3255" s="7"/>
      <c r="R3255" s="181">
        <f>P_1_minW-(R3253^2*R_up)+dpup_minQ</f>
        <v>100.05028482353623</v>
      </c>
      <c r="S3255" s="132"/>
      <c r="T3255" s="145"/>
      <c r="U3255" s="138">
        <f>P_1_minW-(U3253^2*R_up)+dpup_minQ</f>
        <v>92.154804688685218</v>
      </c>
      <c r="V3255" s="132"/>
      <c r="W3255" s="145"/>
      <c r="X3255" s="138">
        <f>P_1_minW-(X3253^2*R_up)+dpup_minQ</f>
        <v>49.341550901137232</v>
      </c>
      <c r="Y3255" s="132"/>
      <c r="Z3255" s="145"/>
      <c r="AA3255" s="138">
        <f>P_1_minW-(AA3253^2*R_up)+dpup_minQ</f>
        <v>-93.643960477883681</v>
      </c>
      <c r="AB3255" s="132"/>
      <c r="AC3255" s="145"/>
      <c r="AD3255" s="138">
        <f>P_1_minW-(AD3253^2*R_up)+dpup_minQ</f>
        <v>-424.6621163431455</v>
      </c>
      <c r="AE3255" s="132"/>
      <c r="AF3255" s="145"/>
      <c r="AG3255" s="138">
        <f>P_1_minW-(AG3253^2*R_up)+dpup_minQ</f>
        <v>-932.6326148268148</v>
      </c>
      <c r="AH3255" s="132"/>
      <c r="AI3255" s="145"/>
      <c r="AJ3255" s="138">
        <f>P_1_minW-(AJ3253^2*R_up)+dpup_minQ</f>
        <v>-1565.1572939625132</v>
      </c>
      <c r="AK3255" s="132"/>
      <c r="AL3255" s="145"/>
      <c r="AM3255" s="138">
        <f>P_1_minW-(AM3253^2*R_up)+dpup_minQ</f>
        <v>-2189.6885136356177</v>
      </c>
      <c r="AN3255" s="132"/>
      <c r="AO3255" s="145"/>
      <c r="AP3255" s="138">
        <f>P_1_minW-(AP3253^2*R_up)+dpup_minQ</f>
        <v>-2750.139541017511</v>
      </c>
      <c r="AQ3255" s="132"/>
      <c r="AR3255" s="145"/>
      <c r="AS3255" s="138">
        <f>P_1_minW-(AS3253^2*R_up)+dpup_minQ</f>
        <v>-3447.7418234134516</v>
      </c>
      <c r="AT3255" s="132"/>
      <c r="AU3255" s="145"/>
    </row>
    <row r="3256" spans="13:47" x14ac:dyDescent="0.25">
      <c r="M3256" s="20"/>
      <c r="N3256" s="20"/>
      <c r="O3256" s="7" t="s">
        <v>189</v>
      </c>
      <c r="P3256" s="1"/>
      <c r="Q3256" s="7"/>
      <c r="R3256" s="181">
        <f>P_2_minW+(R3253^2*R_dn)-dpdn_minQ</f>
        <v>50</v>
      </c>
      <c r="S3256" s="132"/>
      <c r="T3256" s="146"/>
      <c r="U3256" s="138">
        <f>P_2_minW+(U3253^2*R_dn)-dpdn_minQ</f>
        <v>50</v>
      </c>
      <c r="V3256" s="132"/>
      <c r="W3256" s="146"/>
      <c r="X3256" s="138">
        <f>P_2_minW+(X3253^2*R_dn)-dpdn_minQ</f>
        <v>50</v>
      </c>
      <c r="Y3256" s="132"/>
      <c r="Z3256" s="146"/>
      <c r="AA3256" s="138">
        <f>P_2_minW+(AA3253^2*R_dn)-dpdn_minQ</f>
        <v>50</v>
      </c>
      <c r="AB3256" s="132"/>
      <c r="AC3256" s="146"/>
      <c r="AD3256" s="138">
        <f>P_2_minW+(AD3253^2*R_dn)-dpdn_minQ</f>
        <v>50</v>
      </c>
      <c r="AE3256" s="132"/>
      <c r="AF3256" s="146"/>
      <c r="AG3256" s="138">
        <f>P_2_minW+(AG3253^2*R_dn)-dpdn_minQ</f>
        <v>50</v>
      </c>
      <c r="AH3256" s="132"/>
      <c r="AI3256" s="146"/>
      <c r="AJ3256" s="138">
        <f>P_2_minW+(AJ3253^2*R_dn)-dpdn_minQ</f>
        <v>50</v>
      </c>
      <c r="AK3256" s="132"/>
      <c r="AL3256" s="146"/>
      <c r="AM3256" s="138">
        <f>P_2_minW+(AM3253^2*R_dn)-dpdn_minQ</f>
        <v>50</v>
      </c>
      <c r="AN3256" s="132"/>
      <c r="AO3256" s="146"/>
      <c r="AP3256" s="138">
        <f>P_2_minW+(AP3253^2*R_dn)-dpdn_minQ</f>
        <v>50</v>
      </c>
      <c r="AQ3256" s="132"/>
      <c r="AR3256" s="146"/>
      <c r="AS3256" s="138">
        <f>P_2_minW+(AS3253^2*R_dn)-dpdn_minQ</f>
        <v>50</v>
      </c>
      <c r="AT3256" s="132"/>
      <c r="AU3256" s="146"/>
    </row>
    <row r="3257" spans="13:47" x14ac:dyDescent="0.25">
      <c r="M3257" s="20"/>
      <c r="N3257" s="20"/>
      <c r="O3257" s="7" t="s">
        <v>234</v>
      </c>
      <c r="P3257" s="1"/>
      <c r="Q3257" s="7"/>
      <c r="R3257" s="179">
        <f>'Valve Sizing'!G$8*R3255/P_1_maxW</f>
        <v>0.48262476113344066</v>
      </c>
      <c r="S3257" s="132"/>
      <c r="T3257" s="146"/>
      <c r="U3257" s="143">
        <f>'Valve Sizing'!$G$8*U3255/P_1_maxW</f>
        <v>0.44453837066651525</v>
      </c>
      <c r="V3257" s="132"/>
      <c r="W3257" s="146"/>
      <c r="X3257" s="143">
        <f>'Valve Sizing'!$G$8*X3255/P_1_maxW</f>
        <v>0.23801485682540391</v>
      </c>
      <c r="Y3257" s="132"/>
      <c r="Z3257" s="146"/>
      <c r="AA3257" s="143">
        <f>'Valve Sizing'!$G$8*AA3255/P_1_maxW</f>
        <v>-0.45172179306576182</v>
      </c>
      <c r="AB3257" s="132"/>
      <c r="AC3257" s="146"/>
      <c r="AD3257" s="143">
        <f>'Valve Sizing'!$G$8*AD3255/P_1_maxW</f>
        <v>-2.0484944428096035</v>
      </c>
      <c r="AE3257" s="132"/>
      <c r="AF3257" s="146"/>
      <c r="AG3257" s="143">
        <f>'Valve Sizing'!$G$8*AG3255/P_1_maxW</f>
        <v>-4.4988536889218489</v>
      </c>
      <c r="AH3257" s="132"/>
      <c r="AI3257" s="146"/>
      <c r="AJ3257" s="143">
        <f>'Valve Sizing'!$G$8*AJ3255/P_1_maxW</f>
        <v>-7.5500401269944293</v>
      </c>
      <c r="AK3257" s="132"/>
      <c r="AL3257" s="146"/>
      <c r="AM3257" s="143">
        <f>'Valve Sizing'!$G$8*AM3255/P_1_maxW</f>
        <v>-10.562667539767196</v>
      </c>
      <c r="AN3257" s="132"/>
      <c r="AO3257" s="146"/>
      <c r="AP3257" s="143">
        <f>'Valve Sizing'!$G$8*AP3255/P_1_maxW</f>
        <v>-13.266183513702206</v>
      </c>
      <c r="AQ3257" s="132"/>
      <c r="AR3257" s="146"/>
      <c r="AS3257" s="143">
        <f>'Valve Sizing'!$G$8*AS3255/P_1_maxW</f>
        <v>-16.631292723549073</v>
      </c>
      <c r="AT3257" s="132"/>
      <c r="AU3257" s="146"/>
    </row>
    <row r="3258" spans="13:47" x14ac:dyDescent="0.25">
      <c r="M3258" s="20"/>
      <c r="N3258" s="20"/>
      <c r="O3258" s="7" t="s">
        <v>190</v>
      </c>
      <c r="P3258" s="1"/>
      <c r="Q3258" s="7"/>
      <c r="R3258" s="181">
        <f>R3255-R3256</f>
        <v>50.050284823536231</v>
      </c>
      <c r="S3258" s="132"/>
      <c r="T3258" s="146"/>
      <c r="U3258" s="138">
        <f>U3255-U3256</f>
        <v>42.154804688685218</v>
      </c>
      <c r="V3258" s="132"/>
      <c r="W3258" s="146"/>
      <c r="X3258" s="138">
        <f>X3255-X3256</f>
        <v>-0.65844909886276781</v>
      </c>
      <c r="Y3258" s="132"/>
      <c r="Z3258" s="146"/>
      <c r="AA3258" s="138">
        <f>AA3255-AA3256</f>
        <v>-143.6439604778837</v>
      </c>
      <c r="AB3258" s="132"/>
      <c r="AC3258" s="146"/>
      <c r="AD3258" s="138">
        <f>AD3255-AD3256</f>
        <v>-474.6621163431455</v>
      </c>
      <c r="AE3258" s="132"/>
      <c r="AF3258" s="146"/>
      <c r="AG3258" s="138">
        <f>AG3255-AG3256</f>
        <v>-982.6326148268148</v>
      </c>
      <c r="AH3258" s="132"/>
      <c r="AI3258" s="146"/>
      <c r="AJ3258" s="138">
        <f>AJ3255-AJ3256</f>
        <v>-1615.1572939625132</v>
      </c>
      <c r="AK3258" s="132"/>
      <c r="AL3258" s="146"/>
      <c r="AM3258" s="138">
        <f>AM3255-AM3256</f>
        <v>-2239.6885136356177</v>
      </c>
      <c r="AN3258" s="132"/>
      <c r="AO3258" s="146"/>
      <c r="AP3258" s="138">
        <f>AP3255-AP3256</f>
        <v>-2800.139541017511</v>
      </c>
      <c r="AQ3258" s="132"/>
      <c r="AR3258" s="146"/>
      <c r="AS3258" s="138">
        <f>AS3255-AS3256</f>
        <v>-3497.7418234134516</v>
      </c>
      <c r="AT3258" s="132"/>
      <c r="AU3258" s="146"/>
    </row>
    <row r="3259" spans="13:47" ht="14.5" x14ac:dyDescent="0.35">
      <c r="M3259" s="27"/>
      <c r="N3259" s="27"/>
      <c r="O3259" s="2" t="s">
        <v>191</v>
      </c>
      <c r="P3259" s="10"/>
      <c r="Q3259" s="2"/>
      <c r="R3259" s="181">
        <f>R3258/R3255</f>
        <v>0.50025129775304944</v>
      </c>
      <c r="S3259" s="132"/>
      <c r="T3259" s="146"/>
      <c r="U3259" s="138">
        <f>U3258/U3255</f>
        <v>0.45743469188710667</v>
      </c>
      <c r="V3259" s="132"/>
      <c r="W3259" s="146"/>
      <c r="X3259" s="138">
        <f>X3258/X3255</f>
        <v>-1.3344718332467165E-2</v>
      </c>
      <c r="Y3259" s="132"/>
      <c r="Z3259" s="146"/>
      <c r="AA3259" s="138">
        <f>AA3258/AA3255</f>
        <v>1.5339372634907804</v>
      </c>
      <c r="AB3259" s="132"/>
      <c r="AC3259" s="146"/>
      <c r="AD3259" s="138">
        <f>AD3258/AD3255</f>
        <v>1.1177406650505124</v>
      </c>
      <c r="AE3259" s="132"/>
      <c r="AF3259" s="146"/>
      <c r="AG3259" s="138">
        <f>AG3258/AG3255</f>
        <v>1.0536116786021736</v>
      </c>
      <c r="AH3259" s="132"/>
      <c r="AI3259" s="146"/>
      <c r="AJ3259" s="138">
        <f>AJ3258/AJ3255</f>
        <v>1.0319456710152211</v>
      </c>
      <c r="AK3259" s="132"/>
      <c r="AL3259" s="146"/>
      <c r="AM3259" s="138">
        <f>AM3258/AM3255</f>
        <v>1.0228342979782925</v>
      </c>
      <c r="AN3259" s="132"/>
      <c r="AO3259" s="146"/>
      <c r="AP3259" s="138">
        <f>AP3258/AP3255</f>
        <v>1.01818089564339</v>
      </c>
      <c r="AQ3259" s="132"/>
      <c r="AR3259" s="146"/>
      <c r="AS3259" s="138">
        <f>AS3258/AS3255</f>
        <v>1.0145022459803841</v>
      </c>
      <c r="AT3259" s="132"/>
      <c r="AU3259" s="146"/>
    </row>
    <row r="3260" spans="13:47" x14ac:dyDescent="0.25">
      <c r="M3260" s="27"/>
      <c r="N3260" s="27"/>
      <c r="O3260" s="2" t="s">
        <v>26</v>
      </c>
      <c r="P3260" s="7">
        <v>12</v>
      </c>
      <c r="Q3260" s="2"/>
      <c r="R3260" s="181">
        <f>1-R3259/(3*F_GAMMA*R$29)</f>
        <v>0.73946339168622899</v>
      </c>
      <c r="S3260" s="133"/>
      <c r="T3260" s="146"/>
      <c r="U3260" s="138">
        <f>1-U3259/(3*F_GAMMA*U$29)</f>
        <v>0.76181522456749318</v>
      </c>
      <c r="V3260" s="133"/>
      <c r="W3260" s="146"/>
      <c r="X3260" s="138">
        <f>1-X3259/(3*F_GAMMA*X$29)</f>
        <v>1.0070527913298268</v>
      </c>
      <c r="Y3260" s="133"/>
      <c r="Z3260" s="146"/>
      <c r="AA3260" s="138">
        <f>1-AA3259/(3*F_GAMMA*AA$29)</f>
        <v>0.17818597663194591</v>
      </c>
      <c r="AB3260" s="133"/>
      <c r="AC3260" s="146"/>
      <c r="AD3260" s="138">
        <f>1-AD3259/(3*F_GAMMA*AD$29)</f>
        <v>0.38474646423321368</v>
      </c>
      <c r="AE3260" s="133"/>
      <c r="AF3260" s="146"/>
      <c r="AG3260" s="138">
        <f>1-AG3259/(3*F_GAMMA*AG$29)</f>
        <v>0.38696437479810541</v>
      </c>
      <c r="AH3260" s="133"/>
      <c r="AI3260" s="146"/>
      <c r="AJ3260" s="138">
        <f>1-AJ3259/(3*F_GAMMA*AJ$29)</f>
        <v>0.3581327995873318</v>
      </c>
      <c r="AK3260" s="133"/>
      <c r="AL3260" s="146"/>
      <c r="AM3260" s="138">
        <f>1-AM3259/(3*F_GAMMA*AM$29)</f>
        <v>0.3048868570013249</v>
      </c>
      <c r="AN3260" s="133"/>
      <c r="AO3260" s="146"/>
      <c r="AP3260" s="138">
        <f>1-AP3259/(3*F_GAMMA*AP$29)</f>
        <v>0.42817759528458255</v>
      </c>
      <c r="AQ3260" s="133"/>
      <c r="AR3260" s="146"/>
      <c r="AS3260" s="138">
        <f>1-AS3259/(3*F_GAMMA*AS$29)</f>
        <v>0.13506022861918765</v>
      </c>
      <c r="AT3260" s="133"/>
      <c r="AU3260" s="146"/>
    </row>
    <row r="3261" spans="13:47" x14ac:dyDescent="0.25">
      <c r="M3261" s="27"/>
      <c r="N3261" s="27"/>
      <c r="O3261" s="2" t="s">
        <v>71</v>
      </c>
      <c r="P3261" s="85">
        <v>5</v>
      </c>
      <c r="Q3261" s="2"/>
      <c r="R3261" s="179">
        <f>R3253/((N_6*R$27*R3260)*SQRT(R3259*R3255*R3257))</f>
        <v>4.7322533421141451</v>
      </c>
      <c r="S3261" s="133"/>
      <c r="T3261" s="146"/>
      <c r="U3261" s="143">
        <f>U3253/((N_6*U$27*U3260)*SQRT(U3259*U3255*U3257))</f>
        <v>21.960563203359289</v>
      </c>
      <c r="V3261" s="133"/>
      <c r="W3261" s="146"/>
      <c r="X3261" s="143" t="e">
        <f>X3253/((N_6*X$27*X3260)*SQRT(X3259*X3255*X3257))</f>
        <v>#NUM!</v>
      </c>
      <c r="Y3261" s="133"/>
      <c r="Z3261" s="146"/>
      <c r="AA3261" s="143">
        <f>AA3253/((N_6*AA$27*AA3260)*SQRT(AA3259*AA3255*AA3257))</f>
        <v>244.98958576775996</v>
      </c>
      <c r="AB3261" s="133"/>
      <c r="AC3261" s="146"/>
      <c r="AD3261" s="143">
        <f>AD3253/((N_6*AD$27*AD3260)*SQRT(AD3259*AD3255*AD3257))</f>
        <v>48.778608084363746</v>
      </c>
      <c r="AE3261" s="133"/>
      <c r="AF3261" s="146"/>
      <c r="AG3261" s="143">
        <f>AG3253/((N_6*AG$27*AG3260)*SQRT(AG3259*AG3255*AG3257))</f>
        <v>32.590696780836375</v>
      </c>
      <c r="AH3261" s="133"/>
      <c r="AI3261" s="146"/>
      <c r="AJ3261" s="143">
        <f>AJ3253/((N_6*AJ$27*AJ3260)*SQRT(AJ3259*AJ3255*AJ3257))</f>
        <v>27.845662786432008</v>
      </c>
      <c r="AK3261" s="133"/>
      <c r="AL3261" s="146"/>
      <c r="AM3261" s="143">
        <f>AM3253/((N_6*AM$27*AM3260)*SQRT(AM3259*AM3255*AM3257))</f>
        <v>29.227428244191564</v>
      </c>
      <c r="AN3261" s="133"/>
      <c r="AO3261" s="146"/>
      <c r="AP3261" s="143">
        <f>AP3253/((N_6*AP$27*AP3260)*SQRT(AP3259*AP3255*AP3257))</f>
        <v>21.048074923798065</v>
      </c>
      <c r="AQ3261" s="133"/>
      <c r="AR3261" s="146"/>
      <c r="AS3261" s="143">
        <f>AS3253/((N_6*AS$27*AS3260)*SQRT(AS3259*AS3255*AS3257))</f>
        <v>78.169498949245551</v>
      </c>
      <c r="AT3261" s="133"/>
      <c r="AU3261" s="146"/>
    </row>
    <row r="3262" spans="13:47" x14ac:dyDescent="0.25">
      <c r="M3262" s="27"/>
      <c r="N3262" s="27"/>
      <c r="O3262" s="2" t="s">
        <v>73</v>
      </c>
      <c r="P3262" s="85">
        <v>5</v>
      </c>
      <c r="Q3262" s="2"/>
      <c r="R3262" s="179">
        <f>R3253/((N_6*R$27*0.667)*SQRT(R3263*R3255*R3257))</f>
        <v>4.6382466125408088</v>
      </c>
      <c r="S3262" s="133"/>
      <c r="T3262" s="155"/>
      <c r="U3262" s="143">
        <f>U3253/((N_6*U$27*0.667)*SQRT(U3263*U3255*U3257))</f>
        <v>21.202394655974157</v>
      </c>
      <c r="V3262" s="133"/>
      <c r="W3262" s="155"/>
      <c r="X3262" s="143">
        <f>X3253/((N_6*X$27*0.667)*SQRT(X3263*X3255*X3257))</f>
        <v>98.884882174602055</v>
      </c>
      <c r="Y3262" s="133"/>
      <c r="Z3262" s="155"/>
      <c r="AA3262" s="143">
        <f>AA3253/((N_6*AA$27*0.667)*SQRT(AA3263*AA3255*AA3257))</f>
        <v>102.76440509788057</v>
      </c>
      <c r="AB3262" s="133"/>
      <c r="AC3262" s="155"/>
      <c r="AD3262" s="143">
        <f>AD3253/((N_6*AD$27*0.667)*SQRT(AD3263*AD3255*AD3257))</f>
        <v>38.226619470945145</v>
      </c>
      <c r="AE3262" s="133"/>
      <c r="AF3262" s="155"/>
      <c r="AG3262" s="143">
        <f>AG3253/((N_6*AG$27*0.667)*SQRT(AG3263*AG3255*AG3257))</f>
        <v>25.641432262377872</v>
      </c>
      <c r="AH3262" s="133"/>
      <c r="AI3262" s="155"/>
      <c r="AJ3262" s="143">
        <f>AJ3253/((N_6*AJ$27*0.667)*SQRT(AJ3263*AJ3255*AJ3257))</f>
        <v>20.747178452862855</v>
      </c>
      <c r="AK3262" s="133"/>
      <c r="AL3262" s="155"/>
      <c r="AM3262" s="143">
        <f>AM3253/((N_6*AM$27*0.667)*SQRT(AM3263*AM3255*AM3257))</f>
        <v>19.292648408636104</v>
      </c>
      <c r="AN3262" s="133"/>
      <c r="AO3262" s="155"/>
      <c r="AP3262" s="143">
        <f>AP3253/((N_6*AP$27*0.667)*SQRT(AP3263*AP3255*AP3257))</f>
        <v>17.697083377066161</v>
      </c>
      <c r="AQ3262" s="133"/>
      <c r="AR3262" s="155"/>
      <c r="AS3262" s="143">
        <f>AS3253/((N_6*AS$27*0.667)*SQRT(AS3263*AS3255*AS3257))</f>
        <v>25.497202653213705</v>
      </c>
      <c r="AT3262" s="133"/>
      <c r="AU3262" s="155"/>
    </row>
    <row r="3263" spans="13:47" ht="15.5" x14ac:dyDescent="0.4">
      <c r="M3263" s="27"/>
      <c r="N3263" s="27"/>
      <c r="O3263" s="2" t="s">
        <v>192</v>
      </c>
      <c r="P3263" s="85">
        <v>10</v>
      </c>
      <c r="Q3263" s="2"/>
      <c r="R3263" s="181">
        <f>F_GAMMA*R$29</f>
        <v>0.64002688015162901</v>
      </c>
      <c r="S3263" s="133"/>
      <c r="T3263" s="155"/>
      <c r="U3263" s="138">
        <f>F_GAMMA*U$29</f>
        <v>0.64016782916606918</v>
      </c>
      <c r="V3263" s="133"/>
      <c r="W3263" s="155"/>
      <c r="X3263" s="138">
        <f>F_GAMMA*X$29</f>
        <v>0.6307062319203669</v>
      </c>
      <c r="Y3263" s="133"/>
      <c r="Z3263" s="155"/>
      <c r="AA3263" s="138">
        <f>F_GAMMA*AA$29</f>
        <v>0.62217534213893466</v>
      </c>
      <c r="AB3263" s="133"/>
      <c r="AC3263" s="155"/>
      <c r="AD3263" s="138">
        <f>F_GAMMA*AD$29</f>
        <v>0.60557184969146072</v>
      </c>
      <c r="AE3263" s="133"/>
      <c r="AF3263" s="155"/>
      <c r="AG3263" s="138">
        <f>F_GAMMA*AG$29</f>
        <v>0.57289312142622573</v>
      </c>
      <c r="AH3263" s="133"/>
      <c r="AI3263" s="155"/>
      <c r="AJ3263" s="138">
        <f>F_GAMMA*AJ$29</f>
        <v>0.53590819116049981</v>
      </c>
      <c r="AK3263" s="133"/>
      <c r="AL3263" s="155"/>
      <c r="AM3263" s="138">
        <f>F_GAMMA*AM$29</f>
        <v>0.49048815926850342</v>
      </c>
      <c r="AN3263" s="133"/>
      <c r="AO3263" s="155"/>
      <c r="AP3263" s="138">
        <f>F_GAMMA*AP$29</f>
        <v>0.59352979016280105</v>
      </c>
      <c r="AQ3263" s="133"/>
      <c r="AR3263" s="155"/>
      <c r="AS3263" s="138">
        <f>F_GAMMA*AS$29</f>
        <v>0.39097221161068291</v>
      </c>
      <c r="AT3263" s="133"/>
      <c r="AU3263" s="155"/>
    </row>
    <row r="3264" spans="13:47" x14ac:dyDescent="0.25">
      <c r="M3264" s="27"/>
      <c r="N3264" s="27"/>
      <c r="O3264" s="2" t="s">
        <v>193</v>
      </c>
      <c r="P3264" s="134"/>
      <c r="Q3264" s="2"/>
      <c r="R3264" s="181">
        <f>IF(R3259&lt;R3263,R3261,R3262)</f>
        <v>4.7322533421141451</v>
      </c>
      <c r="S3264" s="133"/>
      <c r="T3264" s="155"/>
      <c r="U3264" s="138">
        <f>IF(U3259&lt;U3263,U3261,U3262)</f>
        <v>21.960563203359289</v>
      </c>
      <c r="V3264" s="133"/>
      <c r="W3264" s="155"/>
      <c r="X3264" s="138" t="e">
        <f>IF(X3259&lt;X3263,X3261,X3262)</f>
        <v>#NUM!</v>
      </c>
      <c r="Y3264" s="133"/>
      <c r="Z3264" s="155"/>
      <c r="AA3264" s="138">
        <f>IF(AA3259&lt;AA3263,AA3261,AA3262)</f>
        <v>102.76440509788057</v>
      </c>
      <c r="AB3264" s="133"/>
      <c r="AC3264" s="155"/>
      <c r="AD3264" s="138">
        <f>IF(AD3259&lt;AD3263,AD3261,AD3262)</f>
        <v>38.226619470945145</v>
      </c>
      <c r="AE3264" s="133"/>
      <c r="AF3264" s="155"/>
      <c r="AG3264" s="138">
        <f>IF(AG3259&lt;AG3263,AG3261,AG3262)</f>
        <v>25.641432262377872</v>
      </c>
      <c r="AH3264" s="133"/>
      <c r="AI3264" s="155"/>
      <c r="AJ3264" s="138">
        <f>IF(AJ3259&lt;AJ3263,AJ3261,AJ3262)</f>
        <v>20.747178452862855</v>
      </c>
      <c r="AK3264" s="133"/>
      <c r="AL3264" s="155"/>
      <c r="AM3264" s="138">
        <f>IF(AM3259&lt;AM3263,AM3261,AM3262)</f>
        <v>19.292648408636104</v>
      </c>
      <c r="AN3264" s="133"/>
      <c r="AO3264" s="155"/>
      <c r="AP3264" s="138">
        <f>IF(AP3259&lt;AP3263,AP3261,AP3262)</f>
        <v>17.697083377066161</v>
      </c>
      <c r="AQ3264" s="133"/>
      <c r="AR3264" s="155"/>
      <c r="AS3264" s="138">
        <f>IF(AS3259&lt;AS3263,AS3261,AS3262)</f>
        <v>25.497202653213705</v>
      </c>
      <c r="AT3264" s="133"/>
      <c r="AU3264" s="155"/>
    </row>
    <row r="3265" spans="13:47" ht="13" x14ac:dyDescent="0.3">
      <c r="M3265" s="28"/>
      <c r="N3265" s="28"/>
      <c r="O3265" s="9" t="s">
        <v>194</v>
      </c>
      <c r="P3265" s="1"/>
      <c r="Q3265" s="1"/>
      <c r="R3265" s="135"/>
      <c r="S3265" s="132">
        <f>IF(R3258&lt;=0,W_max,ABS(R$23-R3264))</f>
        <v>2.7322533421141451</v>
      </c>
      <c r="T3265" s="151">
        <f>R3253</f>
        <v>1088.5415025172313</v>
      </c>
      <c r="U3265" s="135"/>
      <c r="V3265" s="132">
        <f>IF(U3258&lt;=0,W_max,ABS(U$23-U3264))</f>
        <v>16.960563203359289</v>
      </c>
      <c r="W3265" s="151">
        <f>U3253</f>
        <v>4580.9291632976401</v>
      </c>
      <c r="X3265" s="135"/>
      <c r="Y3265" s="132">
        <f>IF(X3258&lt;=0,W_max,ABS(X$23-X3264))</f>
        <v>7174</v>
      </c>
      <c r="Z3265" s="151">
        <f>X3253</f>
        <v>11329.182957795734</v>
      </c>
      <c r="AA3265" s="135"/>
      <c r="AB3265" s="132">
        <f>IF(AA3258&lt;=0,W_max,ABS(AA$23-AA3264))</f>
        <v>7174</v>
      </c>
      <c r="AC3265" s="151">
        <f>AA3253</f>
        <v>22066.356679799155</v>
      </c>
      <c r="AD3265" s="135"/>
      <c r="AE3265" s="132">
        <f>IF(AD3258&lt;=0,W_max,ABS(AD$23-AD3264))</f>
        <v>7174</v>
      </c>
      <c r="AF3265" s="151">
        <f>AD3253</f>
        <v>36291.032387755011</v>
      </c>
      <c r="AG3265" s="135"/>
      <c r="AH3265" s="132">
        <f>IF(AG3258&lt;=0,W_max,ABS(AG$23-AG3264))</f>
        <v>7174</v>
      </c>
      <c r="AI3265" s="151">
        <f>AG3253</f>
        <v>50900.966831399783</v>
      </c>
      <c r="AJ3265" s="135"/>
      <c r="AK3265" s="132">
        <f>IF(AJ3258&lt;=0,W_max,ABS(AJ$23-AJ3264))</f>
        <v>7174</v>
      </c>
      <c r="AL3265" s="151">
        <f>AJ3253</f>
        <v>64630.721229602037</v>
      </c>
      <c r="AM3265" s="135"/>
      <c r="AN3265" s="132">
        <f>IF(AM3258&lt;=0,W_max,ABS(AM$23-AM3264))</f>
        <v>7174</v>
      </c>
      <c r="AO3265" s="151">
        <f>AM3253</f>
        <v>75784.603519848053</v>
      </c>
      <c r="AP3265" s="135"/>
      <c r="AQ3265" s="132">
        <f>IF(AP3258&lt;=0,W_max,ABS(AP$23-AP3264))</f>
        <v>7174</v>
      </c>
      <c r="AR3265" s="151">
        <f>AP3253</f>
        <v>84550.483311675416</v>
      </c>
      <c r="AS3265" s="135"/>
      <c r="AT3265" s="132">
        <f>IF(AS3258&lt;=0,W_max,ABS(AS$23-AS3264))</f>
        <v>7174</v>
      </c>
      <c r="AU3265" s="151">
        <f>AS3253</f>
        <v>94330.297926090352</v>
      </c>
    </row>
    <row r="3266" spans="13:47" ht="13" x14ac:dyDescent="0.25">
      <c r="M3266" s="12"/>
      <c r="N3266" s="12"/>
      <c r="O3266" s="2"/>
      <c r="P3266" s="85"/>
      <c r="Q3266" s="2"/>
      <c r="R3266" s="18"/>
      <c r="S3266" s="150"/>
      <c r="T3266" s="148"/>
      <c r="U3266" s="157"/>
      <c r="V3266" s="1"/>
      <c r="W3266" s="147"/>
      <c r="X3266" s="157"/>
      <c r="Y3266" s="1"/>
      <c r="Z3266" s="147"/>
      <c r="AA3266" s="157"/>
      <c r="AB3266" s="1"/>
      <c r="AC3266" s="147"/>
      <c r="AD3266" s="157"/>
      <c r="AE3266" s="1"/>
      <c r="AF3266" s="147"/>
      <c r="AG3266" s="157"/>
      <c r="AH3266" s="1"/>
      <c r="AI3266" s="147"/>
      <c r="AJ3266" s="157"/>
      <c r="AK3266" s="1"/>
      <c r="AL3266" s="147"/>
      <c r="AM3266" s="157"/>
      <c r="AN3266" s="1"/>
      <c r="AO3266" s="147"/>
      <c r="AP3266" s="157"/>
      <c r="AQ3266" s="1"/>
      <c r="AR3266" s="147"/>
      <c r="AS3266" s="157"/>
      <c r="AT3266" s="1"/>
      <c r="AU3266" s="147"/>
    </row>
    <row r="3267" spans="13:47" ht="14" x14ac:dyDescent="0.3">
      <c r="M3267" s="23"/>
      <c r="N3267" s="23"/>
      <c r="O3267" s="23" t="s">
        <v>238</v>
      </c>
      <c r="P3267" s="20"/>
      <c r="Q3267" s="20"/>
      <c r="R3267" s="181">
        <f>R3253*1.02</f>
        <v>1110.3123325675758</v>
      </c>
      <c r="S3267" s="128" t="s">
        <v>185</v>
      </c>
      <c r="T3267" s="149" t="s">
        <v>186</v>
      </c>
      <c r="U3267" s="143">
        <f>U3253*1.01</f>
        <v>4626.7384549306162</v>
      </c>
      <c r="V3267" s="128" t="s">
        <v>185</v>
      </c>
      <c r="W3267" s="153" t="s">
        <v>186</v>
      </c>
      <c r="X3267" s="143">
        <f>X3253*1.01</f>
        <v>11442.474787373692</v>
      </c>
      <c r="Y3267" s="128" t="s">
        <v>185</v>
      </c>
      <c r="Z3267" s="153" t="s">
        <v>186</v>
      </c>
      <c r="AA3267" s="143">
        <f>AA3253*1.01</f>
        <v>22287.020246597149</v>
      </c>
      <c r="AB3267" s="128" t="s">
        <v>185</v>
      </c>
      <c r="AC3267" s="153" t="s">
        <v>186</v>
      </c>
      <c r="AD3267" s="143">
        <f>AD3253*1.01</f>
        <v>36653.942711632561</v>
      </c>
      <c r="AE3267" s="128" t="s">
        <v>185</v>
      </c>
      <c r="AF3267" s="153" t="s">
        <v>186</v>
      </c>
      <c r="AG3267" s="143">
        <f>AG3253*1.01</f>
        <v>51409.976499713783</v>
      </c>
      <c r="AH3267" s="128" t="s">
        <v>185</v>
      </c>
      <c r="AI3267" s="153" t="s">
        <v>186</v>
      </c>
      <c r="AJ3267" s="143">
        <f>AJ3253*1.01</f>
        <v>65277.028441898059</v>
      </c>
      <c r="AK3267" s="128" t="s">
        <v>185</v>
      </c>
      <c r="AL3267" s="153" t="s">
        <v>186</v>
      </c>
      <c r="AM3267" s="143">
        <f>AM3253*1.01</f>
        <v>76542.449555046536</v>
      </c>
      <c r="AN3267" s="128" t="s">
        <v>185</v>
      </c>
      <c r="AO3267" s="153" t="s">
        <v>186</v>
      </c>
      <c r="AP3267" s="143">
        <f>AP3253*1.01</f>
        <v>85395.988144792165</v>
      </c>
      <c r="AQ3267" s="128" t="s">
        <v>185</v>
      </c>
      <c r="AR3267" s="153" t="s">
        <v>186</v>
      </c>
      <c r="AS3267" s="143">
        <f>AS3253*1.01</f>
        <v>95273.600905351253</v>
      </c>
      <c r="AT3267" s="128" t="s">
        <v>185</v>
      </c>
      <c r="AU3267" s="153" t="s">
        <v>186</v>
      </c>
    </row>
    <row r="3268" spans="13:47" ht="14" x14ac:dyDescent="0.3">
      <c r="M3268" s="12"/>
      <c r="N3268" s="12"/>
      <c r="O3268" s="20"/>
      <c r="P3268" s="20"/>
      <c r="Q3268" s="23"/>
      <c r="R3268" s="139"/>
      <c r="S3268" s="130" t="s">
        <v>228</v>
      </c>
      <c r="T3268" s="131" t="s">
        <v>187</v>
      </c>
      <c r="U3268" s="144"/>
      <c r="V3268" s="130" t="s">
        <v>228</v>
      </c>
      <c r="W3268" s="154" t="s">
        <v>187</v>
      </c>
      <c r="X3268" s="144"/>
      <c r="Y3268" s="130" t="s">
        <v>228</v>
      </c>
      <c r="Z3268" s="154" t="s">
        <v>187</v>
      </c>
      <c r="AA3268" s="144"/>
      <c r="AB3268" s="130" t="s">
        <v>228</v>
      </c>
      <c r="AC3268" s="154" t="s">
        <v>187</v>
      </c>
      <c r="AD3268" s="144"/>
      <c r="AE3268" s="130" t="s">
        <v>228</v>
      </c>
      <c r="AF3268" s="154" t="s">
        <v>187</v>
      </c>
      <c r="AG3268" s="144"/>
      <c r="AH3268" s="130" t="s">
        <v>228</v>
      </c>
      <c r="AI3268" s="154" t="s">
        <v>187</v>
      </c>
      <c r="AJ3268" s="144"/>
      <c r="AK3268" s="130" t="s">
        <v>228</v>
      </c>
      <c r="AL3268" s="154" t="s">
        <v>187</v>
      </c>
      <c r="AM3268" s="144"/>
      <c r="AN3268" s="130" t="s">
        <v>228</v>
      </c>
      <c r="AO3268" s="154" t="s">
        <v>187</v>
      </c>
      <c r="AP3268" s="144"/>
      <c r="AQ3268" s="130" t="s">
        <v>228</v>
      </c>
      <c r="AR3268" s="154" t="s">
        <v>187</v>
      </c>
      <c r="AS3268" s="144"/>
      <c r="AT3268" s="130" t="s">
        <v>228</v>
      </c>
      <c r="AU3268" s="154" t="s">
        <v>187</v>
      </c>
    </row>
    <row r="3269" spans="13:47" x14ac:dyDescent="0.25">
      <c r="M3269" s="20"/>
      <c r="N3269" s="20"/>
      <c r="O3269" s="7" t="s">
        <v>188</v>
      </c>
      <c r="P3269" s="7"/>
      <c r="Q3269" s="7"/>
      <c r="R3269" s="181">
        <f>P_1_minW-(R3267^2*R_up)+dpup_minQ</f>
        <v>100.03119574624334</v>
      </c>
      <c r="S3269" s="132"/>
      <c r="T3269" s="145"/>
      <c r="U3269" s="138">
        <f>P_1_minW-(U3267^2*R_up)+dpup_minQ</f>
        <v>91.986608249519577</v>
      </c>
      <c r="V3269" s="132"/>
      <c r="W3269" s="145"/>
      <c r="X3269" s="138">
        <f>P_1_minW-(X3267^2*R_up)+dpup_minQ</f>
        <v>48.312808060841874</v>
      </c>
      <c r="Y3269" s="132"/>
      <c r="Z3269" s="145"/>
      <c r="AA3269" s="138">
        <f>P_1_minW-(AA3267^2*R_up)+dpup_minQ</f>
        <v>-97.546712096897394</v>
      </c>
      <c r="AB3269" s="132"/>
      <c r="AC3269" s="145"/>
      <c r="AD3269" s="138">
        <f>P_1_minW-(AD3267^2*R_up)+dpup_minQ</f>
        <v>-435.21833289505093</v>
      </c>
      <c r="AE3269" s="132"/>
      <c r="AF3269" s="145"/>
      <c r="AG3269" s="138">
        <f>P_1_minW-(AG3267^2*R_up)+dpup_minQ</f>
        <v>-953.39903839824194</v>
      </c>
      <c r="AH3269" s="132"/>
      <c r="AI3269" s="145"/>
      <c r="AJ3269" s="138">
        <f>P_1_minW-(AJ3267^2*R_up)+dpup_minQ</f>
        <v>-1598.637463584568</v>
      </c>
      <c r="AK3269" s="132"/>
      <c r="AL3269" s="145"/>
      <c r="AM3269" s="138">
        <f>P_1_minW-(AM3267^2*R_up)+dpup_minQ</f>
        <v>-2235.7217607731018</v>
      </c>
      <c r="AN3269" s="132"/>
      <c r="AO3269" s="145"/>
      <c r="AP3269" s="138">
        <f>P_1_minW-(AP3267^2*R_up)+dpup_minQ</f>
        <v>-2807.4378538053711</v>
      </c>
      <c r="AQ3269" s="132"/>
      <c r="AR3269" s="145"/>
      <c r="AS3269" s="138">
        <f>P_1_minW-(AS3267^2*R_up)+dpup_minQ</f>
        <v>-3519.0619420774697</v>
      </c>
      <c r="AT3269" s="132"/>
      <c r="AU3269" s="145"/>
    </row>
    <row r="3270" spans="13:47" x14ac:dyDescent="0.25">
      <c r="M3270" s="20"/>
      <c r="N3270" s="20"/>
      <c r="O3270" s="7" t="s">
        <v>189</v>
      </c>
      <c r="P3270" s="1"/>
      <c r="Q3270" s="7"/>
      <c r="R3270" s="181">
        <f>P_2_minW+(R3267^2*R_dn)-dpdn_minQ</f>
        <v>50</v>
      </c>
      <c r="S3270" s="132"/>
      <c r="T3270" s="146"/>
      <c r="U3270" s="138">
        <f>P_2_minW+(U3267^2*R_dn)-dpdn_minQ</f>
        <v>50</v>
      </c>
      <c r="V3270" s="132"/>
      <c r="W3270" s="146"/>
      <c r="X3270" s="138">
        <f>P_2_minW+(X3267^2*R_dn)-dpdn_minQ</f>
        <v>50</v>
      </c>
      <c r="Y3270" s="132"/>
      <c r="Z3270" s="146"/>
      <c r="AA3270" s="138">
        <f>P_2_minW+(AA3267^2*R_dn)-dpdn_minQ</f>
        <v>50</v>
      </c>
      <c r="AB3270" s="132"/>
      <c r="AC3270" s="146"/>
      <c r="AD3270" s="138">
        <f>P_2_minW+(AD3267^2*R_dn)-dpdn_minQ</f>
        <v>50</v>
      </c>
      <c r="AE3270" s="132"/>
      <c r="AF3270" s="146"/>
      <c r="AG3270" s="138">
        <f>P_2_minW+(AG3267^2*R_dn)-dpdn_minQ</f>
        <v>50</v>
      </c>
      <c r="AH3270" s="132"/>
      <c r="AI3270" s="146"/>
      <c r="AJ3270" s="138">
        <f>P_2_minW+(AJ3267^2*R_dn)-dpdn_minQ</f>
        <v>50</v>
      </c>
      <c r="AK3270" s="132"/>
      <c r="AL3270" s="146"/>
      <c r="AM3270" s="138">
        <f>P_2_minW+(AM3267^2*R_dn)-dpdn_minQ</f>
        <v>50</v>
      </c>
      <c r="AN3270" s="132"/>
      <c r="AO3270" s="146"/>
      <c r="AP3270" s="138">
        <f>P_2_minW+(AP3267^2*R_dn)-dpdn_minQ</f>
        <v>50</v>
      </c>
      <c r="AQ3270" s="132"/>
      <c r="AR3270" s="146"/>
      <c r="AS3270" s="138">
        <f>P_2_minW+(AS3267^2*R_dn)-dpdn_minQ</f>
        <v>50</v>
      </c>
      <c r="AT3270" s="132"/>
      <c r="AU3270" s="146"/>
    </row>
    <row r="3271" spans="13:47" x14ac:dyDescent="0.25">
      <c r="M3271" s="20"/>
      <c r="N3271" s="20"/>
      <c r="O3271" s="7" t="s">
        <v>234</v>
      </c>
      <c r="P3271" s="1"/>
      <c r="Q3271" s="7"/>
      <c r="R3271" s="179">
        <f>'Valve Sizing'!G$8*R3269/P_1_maxW</f>
        <v>0.48253267882318046</v>
      </c>
      <c r="S3271" s="132"/>
      <c r="T3271" s="146"/>
      <c r="U3271" s="143">
        <f>'Valve Sizing'!$G$8*U3269/P_1_maxW</f>
        <v>0.44372702098951045</v>
      </c>
      <c r="V3271" s="132"/>
      <c r="W3271" s="146"/>
      <c r="X3271" s="143">
        <f>'Valve Sizing'!$G$8*X3269/P_1_maxW</f>
        <v>0.23305238452019278</v>
      </c>
      <c r="Y3271" s="132"/>
      <c r="Z3271" s="146"/>
      <c r="AA3271" s="143">
        <f>'Valve Sizing'!$G$8*AA3269/P_1_maxW</f>
        <v>-0.47054797203378557</v>
      </c>
      <c r="AB3271" s="132"/>
      <c r="AC3271" s="146"/>
      <c r="AD3271" s="143">
        <f>'Valve Sizing'!$G$8*AD3269/P_1_maxW</f>
        <v>-2.0994157520374781</v>
      </c>
      <c r="AE3271" s="132"/>
      <c r="AF3271" s="146"/>
      <c r="AG3271" s="143">
        <f>'Valve Sizing'!$G$8*AG3269/P_1_maxW</f>
        <v>-4.5990272189965795</v>
      </c>
      <c r="AH3271" s="132"/>
      <c r="AI3271" s="146"/>
      <c r="AJ3271" s="143">
        <f>'Valve Sizing'!$G$8*AJ3269/P_1_maxW</f>
        <v>-7.7115425044744184</v>
      </c>
      <c r="AK3271" s="132"/>
      <c r="AL3271" s="146"/>
      <c r="AM3271" s="143">
        <f>'Valve Sizing'!$G$8*AM3269/P_1_maxW</f>
        <v>-10.784723728243918</v>
      </c>
      <c r="AN3271" s="132"/>
      <c r="AO3271" s="146"/>
      <c r="AP3271" s="143">
        <f>'Valve Sizing'!$G$8*AP3269/P_1_maxW</f>
        <v>-13.542580373255021</v>
      </c>
      <c r="AQ3271" s="132"/>
      <c r="AR3271" s="146"/>
      <c r="AS3271" s="143">
        <f>'Valve Sizing'!$G$8*AS3269/P_1_maxW</f>
        <v>-16.975328278219806</v>
      </c>
      <c r="AT3271" s="132"/>
      <c r="AU3271" s="146"/>
    </row>
    <row r="3272" spans="13:47" x14ac:dyDescent="0.25">
      <c r="M3272" s="20"/>
      <c r="N3272" s="20"/>
      <c r="O3272" s="7" t="s">
        <v>190</v>
      </c>
      <c r="P3272" s="1"/>
      <c r="Q3272" s="7"/>
      <c r="R3272" s="181">
        <f>R3269-R3270</f>
        <v>50.031195746243341</v>
      </c>
      <c r="S3272" s="132"/>
      <c r="T3272" s="146"/>
      <c r="U3272" s="138">
        <f>U3269-U3270</f>
        <v>41.986608249519577</v>
      </c>
      <c r="V3272" s="132"/>
      <c r="W3272" s="146"/>
      <c r="X3272" s="138">
        <f>X3269-X3270</f>
        <v>-1.6871919391581258</v>
      </c>
      <c r="Y3272" s="132"/>
      <c r="Z3272" s="146"/>
      <c r="AA3272" s="138">
        <f>AA3269-AA3270</f>
        <v>-147.54671209689741</v>
      </c>
      <c r="AB3272" s="132"/>
      <c r="AC3272" s="146"/>
      <c r="AD3272" s="138">
        <f>AD3269-AD3270</f>
        <v>-485.21833289505093</v>
      </c>
      <c r="AE3272" s="132"/>
      <c r="AF3272" s="146"/>
      <c r="AG3272" s="138">
        <f>AG3269-AG3270</f>
        <v>-1003.3990383982419</v>
      </c>
      <c r="AH3272" s="132"/>
      <c r="AI3272" s="146"/>
      <c r="AJ3272" s="138">
        <f>AJ3269-AJ3270</f>
        <v>-1648.637463584568</v>
      </c>
      <c r="AK3272" s="132"/>
      <c r="AL3272" s="146"/>
      <c r="AM3272" s="138">
        <f>AM3269-AM3270</f>
        <v>-2285.7217607731018</v>
      </c>
      <c r="AN3272" s="132"/>
      <c r="AO3272" s="146"/>
      <c r="AP3272" s="138">
        <f>AP3269-AP3270</f>
        <v>-2857.4378538053711</v>
      </c>
      <c r="AQ3272" s="132"/>
      <c r="AR3272" s="146"/>
      <c r="AS3272" s="138">
        <f>AS3269-AS3270</f>
        <v>-3569.0619420774697</v>
      </c>
      <c r="AT3272" s="132"/>
      <c r="AU3272" s="146"/>
    </row>
    <row r="3273" spans="13:47" ht="14.5" x14ac:dyDescent="0.35">
      <c r="M3273" s="27"/>
      <c r="N3273" s="27"/>
      <c r="O3273" s="2" t="s">
        <v>191</v>
      </c>
      <c r="P3273" s="10"/>
      <c r="Q3273" s="2"/>
      <c r="R3273" s="181">
        <f>R3272/R3269</f>
        <v>0.50015593008766224</v>
      </c>
      <c r="S3273" s="132"/>
      <c r="T3273" s="146"/>
      <c r="U3273" s="138">
        <f>U3272/U3269</f>
        <v>0.45644261755611432</v>
      </c>
      <c r="V3273" s="132"/>
      <c r="W3273" s="146"/>
      <c r="X3273" s="138">
        <f>X3272/X3269</f>
        <v>-3.4922249541641019E-2</v>
      </c>
      <c r="Y3273" s="132"/>
      <c r="Z3273" s="146"/>
      <c r="AA3273" s="138">
        <f>AA3272/AA3269</f>
        <v>1.5125749389721392</v>
      </c>
      <c r="AB3273" s="132"/>
      <c r="AC3273" s="146"/>
      <c r="AD3273" s="138">
        <f>AD3272/AD3269</f>
        <v>1.114884866332267</v>
      </c>
      <c r="AE3273" s="132"/>
      <c r="AF3273" s="146"/>
      <c r="AG3273" s="138">
        <f>AG3272/AG3269</f>
        <v>1.0524439379380983</v>
      </c>
      <c r="AH3273" s="132"/>
      <c r="AI3273" s="146"/>
      <c r="AJ3273" s="138">
        <f>AJ3272/AJ3269</f>
        <v>1.0312766347210998</v>
      </c>
      <c r="AK3273" s="132"/>
      <c r="AL3273" s="146"/>
      <c r="AM3273" s="138">
        <f>AM3272/AM3269</f>
        <v>1.0223641424784049</v>
      </c>
      <c r="AN3273" s="132"/>
      <c r="AO3273" s="146"/>
      <c r="AP3273" s="138">
        <f>AP3272/AP3269</f>
        <v>1.0178098332371728</v>
      </c>
      <c r="AQ3273" s="132"/>
      <c r="AR3273" s="146"/>
      <c r="AS3273" s="138">
        <f>AS3272/AS3269</f>
        <v>1.0142083318858783</v>
      </c>
      <c r="AT3273" s="132"/>
      <c r="AU3273" s="146"/>
    </row>
    <row r="3274" spans="13:47" x14ac:dyDescent="0.25">
      <c r="M3274" s="27"/>
      <c r="N3274" s="27"/>
      <c r="O3274" s="2" t="s">
        <v>26</v>
      </c>
      <c r="P3274" s="7">
        <v>12</v>
      </c>
      <c r="Q3274" s="2"/>
      <c r="R3274" s="181">
        <f>1-R3273/(3*F_GAMMA*R$29)</f>
        <v>0.73951306025919306</v>
      </c>
      <c r="S3274" s="133"/>
      <c r="T3274" s="146"/>
      <c r="U3274" s="138">
        <f>1-U3273/(3*F_GAMMA*U$29)</f>
        <v>0.76233179448650168</v>
      </c>
      <c r="V3274" s="133"/>
      <c r="W3274" s="146"/>
      <c r="X3274" s="138">
        <f>1-X3273/(3*F_GAMMA*X$29)</f>
        <v>1.0184566907033248</v>
      </c>
      <c r="Y3274" s="133"/>
      <c r="Z3274" s="146"/>
      <c r="AA3274" s="138">
        <f>1-AA3273/(3*F_GAMMA*AA$29)</f>
        <v>0.18963094135052039</v>
      </c>
      <c r="AB3274" s="133"/>
      <c r="AC3274" s="146"/>
      <c r="AD3274" s="138">
        <f>1-AD3273/(3*F_GAMMA*AD$29)</f>
        <v>0.38631842122983884</v>
      </c>
      <c r="AE3274" s="133"/>
      <c r="AF3274" s="146"/>
      <c r="AG3274" s="138">
        <f>1-AG3273/(3*F_GAMMA*AG$29)</f>
        <v>0.38764381547118609</v>
      </c>
      <c r="AH3274" s="133"/>
      <c r="AI3274" s="146"/>
      <c r="AJ3274" s="138">
        <f>1-AJ3273/(3*F_GAMMA*AJ$29)</f>
        <v>0.35854893821278833</v>
      </c>
      <c r="AK3274" s="133"/>
      <c r="AL3274" s="146"/>
      <c r="AM3274" s="138">
        <f>1-AM3273/(3*F_GAMMA*AM$29)</f>
        <v>0.30520637235964931</v>
      </c>
      <c r="AN3274" s="133"/>
      <c r="AO3274" s="146"/>
      <c r="AP3274" s="138">
        <f>1-AP3273/(3*F_GAMMA*AP$29)</f>
        <v>0.4283859883101544</v>
      </c>
      <c r="AQ3274" s="133"/>
      <c r="AR3274" s="146"/>
      <c r="AS3274" s="138">
        <f>1-AS3273/(3*F_GAMMA*AS$29)</f>
        <v>0.13531081257867572</v>
      </c>
      <c r="AT3274" s="133"/>
      <c r="AU3274" s="146"/>
    </row>
    <row r="3275" spans="13:47" x14ac:dyDescent="0.25">
      <c r="M3275" s="27"/>
      <c r="N3275" s="27"/>
      <c r="O3275" s="2" t="s">
        <v>71</v>
      </c>
      <c r="P3275" s="85">
        <v>5</v>
      </c>
      <c r="Q3275" s="2"/>
      <c r="R3275" s="179">
        <f>R3267/((N_6*R$27*R3274)*SQRT(R3273*R3269*R3271))</f>
        <v>4.8279554983244388</v>
      </c>
      <c r="S3275" s="133"/>
      <c r="T3275" s="146"/>
      <c r="U3275" s="143">
        <f>U3267/((N_6*U$27*U3274)*SQRT(U3273*U3269*U3271))</f>
        <v>22.229786668019369</v>
      </c>
      <c r="V3275" s="133"/>
      <c r="W3275" s="146"/>
      <c r="X3275" s="143" t="e">
        <f>X3267/((N_6*X$27*X3274)*SQRT(X3273*X3269*X3271))</f>
        <v>#NUM!</v>
      </c>
      <c r="Y3275" s="133"/>
      <c r="Z3275" s="146"/>
      <c r="AA3275" s="143">
        <f>AA3267/((N_6*AA$27*AA3274)*SQRT(AA3273*AA3269*AA3271))</f>
        <v>224.77386011026459</v>
      </c>
      <c r="AB3275" s="133"/>
      <c r="AC3275" s="146"/>
      <c r="AD3275" s="143">
        <f>AD3267/((N_6*AD$27*AD3274)*SQRT(AD3273*AD3269*AD3271))</f>
        <v>47.937110365493467</v>
      </c>
      <c r="AE3275" s="133"/>
      <c r="AF3275" s="146"/>
      <c r="AG3275" s="143">
        <f>AG3267/((N_6*AG$27*AG3274)*SQRT(AG3273*AG3269*AG3271))</f>
        <v>32.161021624489337</v>
      </c>
      <c r="AH3275" s="133"/>
      <c r="AI3275" s="146"/>
      <c r="AJ3275" s="143">
        <f>AJ3267/((N_6*AJ$27*AJ3274)*SQRT(AJ3273*AJ3269*AJ3271))</f>
        <v>27.512079706647004</v>
      </c>
      <c r="AK3275" s="133"/>
      <c r="AL3275" s="146"/>
      <c r="AM3275" s="143">
        <f>AM3267/((N_6*AM$27*AM3274)*SQRT(AM3273*AM3269*AM3271))</f>
        <v>28.888268111515551</v>
      </c>
      <c r="AN3275" s="133"/>
      <c r="AO3275" s="146"/>
      <c r="AP3275" s="143">
        <f>AP3267/((N_6*AP$27*AP3274)*SQRT(AP3273*AP3269*AP3271))</f>
        <v>20.818343300115778</v>
      </c>
      <c r="AQ3275" s="133"/>
      <c r="AR3275" s="146"/>
      <c r="AS3275" s="143">
        <f>AS3267/((N_6*AS$27*AS3274)*SQRT(AS3273*AS3269*AS3271))</f>
        <v>77.219044909955102</v>
      </c>
      <c r="AT3275" s="133"/>
      <c r="AU3275" s="146"/>
    </row>
    <row r="3276" spans="13:47" x14ac:dyDescent="0.25">
      <c r="M3276" s="27"/>
      <c r="N3276" s="27"/>
      <c r="O3276" s="2" t="s">
        <v>73</v>
      </c>
      <c r="P3276" s="85">
        <v>5</v>
      </c>
      <c r="Q3276" s="2"/>
      <c r="R3276" s="179">
        <f>R3267/((N_6*R$27*0.667)*SQRT(R3277*R3269*R3271))</f>
        <v>4.7319143695992096</v>
      </c>
      <c r="S3276" s="133"/>
      <c r="T3276" s="147"/>
      <c r="U3276" s="143">
        <f>U3267/((N_6*U$27*0.667)*SQRT(U3277*U3269*U3271))</f>
        <v>21.453574616917845</v>
      </c>
      <c r="V3276" s="133"/>
      <c r="W3276" s="155"/>
      <c r="X3276" s="143">
        <f>X3267/((N_6*X$27*0.667)*SQRT(X3277*X3269*X3271))</f>
        <v>102.00038001179524</v>
      </c>
      <c r="Y3276" s="133"/>
      <c r="Z3276" s="155"/>
      <c r="AA3276" s="143">
        <f>AA3267/((N_6*AA$27*0.667)*SQRT(AA3277*AA3269*AA3271))</f>
        <v>99.639427505865569</v>
      </c>
      <c r="AB3276" s="133"/>
      <c r="AC3276" s="155"/>
      <c r="AD3276" s="143">
        <f>AD3267/((N_6*AD$27*0.667)*SQRT(AD3277*AD3269*AD3271))</f>
        <v>37.67242750865713</v>
      </c>
      <c r="AE3276" s="133"/>
      <c r="AF3276" s="155"/>
      <c r="AG3276" s="143">
        <f>AG3267/((N_6*AG$27*0.667)*SQRT(AG3277*AG3269*AG3271))</f>
        <v>25.333753660515885</v>
      </c>
      <c r="AH3276" s="133"/>
      <c r="AI3276" s="155"/>
      <c r="AJ3276" s="143">
        <f>AJ3267/((N_6*AJ$27*0.667)*SQRT(AJ3277*AJ3269*AJ3271))</f>
        <v>20.515798239799988</v>
      </c>
      <c r="AK3276" s="133"/>
      <c r="AL3276" s="155"/>
      <c r="AM3276" s="143">
        <f>AM3267/((N_6*AM$27*0.667)*SQRT(AM3277*AM3269*AM3271))</f>
        <v>19.084369205865229</v>
      </c>
      <c r="AN3276" s="133"/>
      <c r="AO3276" s="155"/>
      <c r="AP3276" s="143">
        <f>AP3267/((N_6*AP$27*0.667)*SQRT(AP3277*AP3269*AP3271))</f>
        <v>17.50925427499087</v>
      </c>
      <c r="AQ3276" s="133"/>
      <c r="AR3276" s="155"/>
      <c r="AS3276" s="143">
        <f>AS3267/((N_6*AS$27*0.667)*SQRT(AS3277*AS3269*AS3271))</f>
        <v>25.230260549148944</v>
      </c>
      <c r="AT3276" s="133"/>
      <c r="AU3276" s="155"/>
    </row>
    <row r="3277" spans="13:47" ht="15.5" x14ac:dyDescent="0.4">
      <c r="M3277" s="27"/>
      <c r="N3277" s="27"/>
      <c r="O3277" s="2" t="s">
        <v>192</v>
      </c>
      <c r="P3277" s="85">
        <v>10</v>
      </c>
      <c r="Q3277" s="2"/>
      <c r="R3277" s="181">
        <f>F_GAMMA*R$29</f>
        <v>0.64002688015162901</v>
      </c>
      <c r="S3277" s="133"/>
      <c r="T3277" s="147"/>
      <c r="U3277" s="138">
        <f>F_GAMMA*U$29</f>
        <v>0.64016782916606918</v>
      </c>
      <c r="V3277" s="133"/>
      <c r="W3277" s="155"/>
      <c r="X3277" s="138">
        <f>F_GAMMA*X$29</f>
        <v>0.6307062319203669</v>
      </c>
      <c r="Y3277" s="133"/>
      <c r="Z3277" s="155"/>
      <c r="AA3277" s="138">
        <f>F_GAMMA*AA$29</f>
        <v>0.62217534213893466</v>
      </c>
      <c r="AB3277" s="133"/>
      <c r="AC3277" s="155"/>
      <c r="AD3277" s="138">
        <f>F_GAMMA*AD$29</f>
        <v>0.60557184969146072</v>
      </c>
      <c r="AE3277" s="133"/>
      <c r="AF3277" s="155"/>
      <c r="AG3277" s="138">
        <f>F_GAMMA*AG$29</f>
        <v>0.57289312142622573</v>
      </c>
      <c r="AH3277" s="133"/>
      <c r="AI3277" s="155"/>
      <c r="AJ3277" s="138">
        <f>F_GAMMA*AJ$29</f>
        <v>0.53590819116049981</v>
      </c>
      <c r="AK3277" s="133"/>
      <c r="AL3277" s="155"/>
      <c r="AM3277" s="138">
        <f>F_GAMMA*AM$29</f>
        <v>0.49048815926850342</v>
      </c>
      <c r="AN3277" s="133"/>
      <c r="AO3277" s="155"/>
      <c r="AP3277" s="138">
        <f>F_GAMMA*AP$29</f>
        <v>0.59352979016280105</v>
      </c>
      <c r="AQ3277" s="133"/>
      <c r="AR3277" s="155"/>
      <c r="AS3277" s="138">
        <f>F_GAMMA*AS$29</f>
        <v>0.39097221161068291</v>
      </c>
      <c r="AT3277" s="133"/>
      <c r="AU3277" s="155"/>
    </row>
    <row r="3278" spans="13:47" x14ac:dyDescent="0.25">
      <c r="M3278" s="27"/>
      <c r="N3278" s="27"/>
      <c r="O3278" s="2" t="s">
        <v>193</v>
      </c>
      <c r="P3278" s="134"/>
      <c r="Q3278" s="2"/>
      <c r="R3278" s="181">
        <f>IF(R3273&lt;R3277,R3275,R3276)</f>
        <v>4.8279554983244388</v>
      </c>
      <c r="S3278" s="133"/>
      <c r="T3278" s="147"/>
      <c r="U3278" s="138">
        <f>IF(U3273&lt;U3277,U3275,U3276)</f>
        <v>22.229786668019369</v>
      </c>
      <c r="V3278" s="133"/>
      <c r="W3278" s="155"/>
      <c r="X3278" s="138" t="e">
        <f>IF(X3273&lt;X3277,X3275,X3276)</f>
        <v>#NUM!</v>
      </c>
      <c r="Y3278" s="133"/>
      <c r="Z3278" s="155"/>
      <c r="AA3278" s="138">
        <f>IF(AA3273&lt;AA3277,AA3275,AA3276)</f>
        <v>99.639427505865569</v>
      </c>
      <c r="AB3278" s="133"/>
      <c r="AC3278" s="155"/>
      <c r="AD3278" s="138">
        <f>IF(AD3273&lt;AD3277,AD3275,AD3276)</f>
        <v>37.67242750865713</v>
      </c>
      <c r="AE3278" s="133"/>
      <c r="AF3278" s="155"/>
      <c r="AG3278" s="138">
        <f>IF(AG3273&lt;AG3277,AG3275,AG3276)</f>
        <v>25.333753660515885</v>
      </c>
      <c r="AH3278" s="133"/>
      <c r="AI3278" s="155"/>
      <c r="AJ3278" s="138">
        <f>IF(AJ3273&lt;AJ3277,AJ3275,AJ3276)</f>
        <v>20.515798239799988</v>
      </c>
      <c r="AK3278" s="133"/>
      <c r="AL3278" s="155"/>
      <c r="AM3278" s="138">
        <f>IF(AM3273&lt;AM3277,AM3275,AM3276)</f>
        <v>19.084369205865229</v>
      </c>
      <c r="AN3278" s="133"/>
      <c r="AO3278" s="155"/>
      <c r="AP3278" s="138">
        <f>IF(AP3273&lt;AP3277,AP3275,AP3276)</f>
        <v>17.50925427499087</v>
      </c>
      <c r="AQ3278" s="133"/>
      <c r="AR3278" s="155"/>
      <c r="AS3278" s="138">
        <f>IF(AS3273&lt;AS3277,AS3275,AS3276)</f>
        <v>25.230260549148944</v>
      </c>
      <c r="AT3278" s="133"/>
      <c r="AU3278" s="155"/>
    </row>
    <row r="3279" spans="13:47" ht="13" x14ac:dyDescent="0.3">
      <c r="M3279" s="28"/>
      <c r="N3279" s="28"/>
      <c r="O3279" s="9" t="s">
        <v>194</v>
      </c>
      <c r="P3279" s="1"/>
      <c r="Q3279" s="1"/>
      <c r="R3279" s="135"/>
      <c r="S3279" s="132">
        <f>IF(R3272&lt;=0,W_max,ABS(R$23-R3278))</f>
        <v>2.8279554983244388</v>
      </c>
      <c r="T3279" s="151">
        <f>R3267</f>
        <v>1110.3123325675758</v>
      </c>
      <c r="U3279" s="135"/>
      <c r="V3279" s="132">
        <f>IF(U3272&lt;=0,W_max,ABS(U$23-U3278))</f>
        <v>17.229786668019369</v>
      </c>
      <c r="W3279" s="151">
        <f>U3267</f>
        <v>4626.7384549306162</v>
      </c>
      <c r="X3279" s="135"/>
      <c r="Y3279" s="132">
        <f>IF(X3272&lt;=0,W_max,ABS(X$23-X3278))</f>
        <v>7174</v>
      </c>
      <c r="Z3279" s="151">
        <f>X3267</f>
        <v>11442.474787373692</v>
      </c>
      <c r="AA3279" s="135"/>
      <c r="AB3279" s="132">
        <f>IF(AA3272&lt;=0,W_max,ABS(AA$23-AA3278))</f>
        <v>7174</v>
      </c>
      <c r="AC3279" s="151">
        <f>AA3267</f>
        <v>22287.020246597149</v>
      </c>
      <c r="AD3279" s="135"/>
      <c r="AE3279" s="132">
        <f>IF(AD3272&lt;=0,W_max,ABS(AD$23-AD3278))</f>
        <v>7174</v>
      </c>
      <c r="AF3279" s="151">
        <f>AD3267</f>
        <v>36653.942711632561</v>
      </c>
      <c r="AG3279" s="135"/>
      <c r="AH3279" s="132">
        <f>IF(AG3272&lt;=0,W_max,ABS(AG$23-AG3278))</f>
        <v>7174</v>
      </c>
      <c r="AI3279" s="151">
        <f>AG3267</f>
        <v>51409.976499713783</v>
      </c>
      <c r="AJ3279" s="135"/>
      <c r="AK3279" s="132">
        <f>IF(AJ3272&lt;=0,W_max,ABS(AJ$23-AJ3278))</f>
        <v>7174</v>
      </c>
      <c r="AL3279" s="151">
        <f>AJ3267</f>
        <v>65277.028441898059</v>
      </c>
      <c r="AM3279" s="135"/>
      <c r="AN3279" s="132">
        <f>IF(AM3272&lt;=0,W_max,ABS(AM$23-AM3278))</f>
        <v>7174</v>
      </c>
      <c r="AO3279" s="151">
        <f>AM3267</f>
        <v>76542.449555046536</v>
      </c>
      <c r="AP3279" s="135"/>
      <c r="AQ3279" s="132">
        <f>IF(AP3272&lt;=0,W_max,ABS(AP$23-AP3278))</f>
        <v>7174</v>
      </c>
      <c r="AR3279" s="151">
        <f>AP3267</f>
        <v>85395.988144792165</v>
      </c>
      <c r="AS3279" s="135"/>
      <c r="AT3279" s="132">
        <f>IF(AS3272&lt;=0,W_max,ABS(AS$23-AS3278))</f>
        <v>7174</v>
      </c>
      <c r="AU3279" s="151">
        <f>AS3267</f>
        <v>95273.600905351253</v>
      </c>
    </row>
    <row r="3280" spans="13:47" ht="13" x14ac:dyDescent="0.25">
      <c r="M3280" s="12"/>
      <c r="N3280" s="12"/>
      <c r="O3280" s="12"/>
      <c r="P3280" s="12"/>
      <c r="Q3280" s="12"/>
      <c r="R3280" s="182"/>
      <c r="S3280" s="22"/>
      <c r="T3280" s="152"/>
      <c r="U3280" s="157"/>
      <c r="V3280" s="1"/>
      <c r="W3280" s="147"/>
      <c r="X3280" s="157"/>
      <c r="Y3280" s="1"/>
      <c r="Z3280" s="147"/>
      <c r="AA3280" s="157"/>
      <c r="AB3280" s="1"/>
      <c r="AC3280" s="147"/>
      <c r="AD3280" s="157"/>
      <c r="AE3280" s="1"/>
      <c r="AF3280" s="147"/>
      <c r="AG3280" s="157"/>
      <c r="AH3280" s="1"/>
      <c r="AI3280" s="147"/>
      <c r="AJ3280" s="157"/>
      <c r="AK3280" s="1"/>
      <c r="AL3280" s="147"/>
      <c r="AM3280" s="157"/>
      <c r="AN3280" s="1"/>
      <c r="AO3280" s="147"/>
      <c r="AP3280" s="157"/>
      <c r="AQ3280" s="1"/>
      <c r="AR3280" s="147"/>
      <c r="AS3280" s="157"/>
      <c r="AT3280" s="1"/>
      <c r="AU3280" s="147"/>
    </row>
    <row r="3281" spans="13:47" ht="14" x14ac:dyDescent="0.3">
      <c r="M3281" s="23"/>
      <c r="N3281" s="23"/>
      <c r="O3281" s="23" t="s">
        <v>238</v>
      </c>
      <c r="P3281" s="20"/>
      <c r="Q3281" s="20"/>
      <c r="R3281" s="18">
        <f>R3267*1.02</f>
        <v>1132.5185792189275</v>
      </c>
      <c r="S3281" s="128" t="s">
        <v>185</v>
      </c>
      <c r="T3281" s="153" t="s">
        <v>186</v>
      </c>
      <c r="U3281" s="143">
        <f>U3267*1.01</f>
        <v>4673.0058394799225</v>
      </c>
      <c r="V3281" s="128" t="s">
        <v>185</v>
      </c>
      <c r="W3281" s="153" t="s">
        <v>186</v>
      </c>
      <c r="X3281" s="143">
        <f>X3267*1.01</f>
        <v>11556.899535247429</v>
      </c>
      <c r="Y3281" s="128" t="s">
        <v>185</v>
      </c>
      <c r="Z3281" s="153" t="s">
        <v>186</v>
      </c>
      <c r="AA3281" s="143">
        <f>AA3267*1.01</f>
        <v>22509.890449063121</v>
      </c>
      <c r="AB3281" s="128" t="s">
        <v>185</v>
      </c>
      <c r="AC3281" s="153" t="s">
        <v>186</v>
      </c>
      <c r="AD3281" s="143">
        <f>AD3267*1.01</f>
        <v>37020.482138748885</v>
      </c>
      <c r="AE3281" s="128" t="s">
        <v>185</v>
      </c>
      <c r="AF3281" s="153" t="s">
        <v>186</v>
      </c>
      <c r="AG3281" s="143">
        <f>AG3267*1.01</f>
        <v>51924.076264710922</v>
      </c>
      <c r="AH3281" s="128" t="s">
        <v>185</v>
      </c>
      <c r="AI3281" s="153" t="s">
        <v>186</v>
      </c>
      <c r="AJ3281" s="143">
        <f>AJ3267*1.01</f>
        <v>65929.798726317036</v>
      </c>
      <c r="AK3281" s="128" t="s">
        <v>185</v>
      </c>
      <c r="AL3281" s="153" t="s">
        <v>186</v>
      </c>
      <c r="AM3281" s="143">
        <f>AM3267*1.01</f>
        <v>77307.874050597005</v>
      </c>
      <c r="AN3281" s="128" t="s">
        <v>185</v>
      </c>
      <c r="AO3281" s="153" t="s">
        <v>186</v>
      </c>
      <c r="AP3281" s="143">
        <f>AP3267*1.01</f>
        <v>86249.94802624009</v>
      </c>
      <c r="AQ3281" s="128" t="s">
        <v>185</v>
      </c>
      <c r="AR3281" s="153" t="s">
        <v>186</v>
      </c>
      <c r="AS3281" s="143">
        <f>AS3267*1.01</f>
        <v>96226.336914404761</v>
      </c>
      <c r="AT3281" s="128" t="s">
        <v>185</v>
      </c>
      <c r="AU3281" s="153" t="s">
        <v>186</v>
      </c>
    </row>
    <row r="3282" spans="13:47" ht="14" x14ac:dyDescent="0.3">
      <c r="M3282" s="12"/>
      <c r="N3282" s="12"/>
      <c r="O3282" s="20"/>
      <c r="P3282" s="20"/>
      <c r="Q3282" s="23"/>
      <c r="R3282" s="139"/>
      <c r="S3282" s="130" t="s">
        <v>228</v>
      </c>
      <c r="T3282" s="154" t="s">
        <v>187</v>
      </c>
      <c r="U3282" s="144"/>
      <c r="V3282" s="130" t="s">
        <v>228</v>
      </c>
      <c r="W3282" s="154" t="s">
        <v>187</v>
      </c>
      <c r="X3282" s="144"/>
      <c r="Y3282" s="130" t="s">
        <v>228</v>
      </c>
      <c r="Z3282" s="154" t="s">
        <v>187</v>
      </c>
      <c r="AA3282" s="144"/>
      <c r="AB3282" s="130" t="s">
        <v>228</v>
      </c>
      <c r="AC3282" s="154" t="s">
        <v>187</v>
      </c>
      <c r="AD3282" s="144"/>
      <c r="AE3282" s="130" t="s">
        <v>228</v>
      </c>
      <c r="AF3282" s="154" t="s">
        <v>187</v>
      </c>
      <c r="AG3282" s="144"/>
      <c r="AH3282" s="130" t="s">
        <v>228</v>
      </c>
      <c r="AI3282" s="154" t="s">
        <v>187</v>
      </c>
      <c r="AJ3282" s="144"/>
      <c r="AK3282" s="130" t="s">
        <v>228</v>
      </c>
      <c r="AL3282" s="154" t="s">
        <v>187</v>
      </c>
      <c r="AM3282" s="144"/>
      <c r="AN3282" s="130" t="s">
        <v>228</v>
      </c>
      <c r="AO3282" s="154" t="s">
        <v>187</v>
      </c>
      <c r="AP3282" s="144"/>
      <c r="AQ3282" s="130" t="s">
        <v>228</v>
      </c>
      <c r="AR3282" s="154" t="s">
        <v>187</v>
      </c>
      <c r="AS3282" s="144"/>
      <c r="AT3282" s="130" t="s">
        <v>228</v>
      </c>
      <c r="AU3282" s="154" t="s">
        <v>187</v>
      </c>
    </row>
    <row r="3283" spans="13:47" x14ac:dyDescent="0.25">
      <c r="M3283" s="20"/>
      <c r="N3283" s="20"/>
      <c r="O3283" s="7" t="s">
        <v>188</v>
      </c>
      <c r="P3283" s="7"/>
      <c r="Q3283" s="7"/>
      <c r="R3283" s="181">
        <f>P_1_minW-(R3281^2*R_up)+dpup_minQ</f>
        <v>100.01133547022781</v>
      </c>
      <c r="S3283" s="132"/>
      <c r="T3283" s="145"/>
      <c r="U3283" s="138">
        <f>P_1_minW-(U3281^2*R_up)+dpup_minQ</f>
        <v>91.815031061926717</v>
      </c>
      <c r="V3283" s="132"/>
      <c r="W3283" s="145"/>
      <c r="X3283" s="138">
        <f>P_1_minW-(X3281^2*R_up)+dpup_minQ</f>
        <v>47.263387489456591</v>
      </c>
      <c r="Y3283" s="132"/>
      <c r="Z3283" s="145"/>
      <c r="AA3283" s="138">
        <f>P_1_minW-(AA3281^2*R_up)+dpup_minQ</f>
        <v>-101.52790902345326</v>
      </c>
      <c r="AB3283" s="132"/>
      <c r="AC3283" s="145"/>
      <c r="AD3283" s="138">
        <f>P_1_minW-(AD3281^2*R_up)+dpup_minQ</f>
        <v>-445.98672939964956</v>
      </c>
      <c r="AE3283" s="132"/>
      <c r="AF3283" s="145"/>
      <c r="AG3283" s="138">
        <f>P_1_minW-(AG3281^2*R_up)+dpup_minQ</f>
        <v>-974.58286708345497</v>
      </c>
      <c r="AH3283" s="132"/>
      <c r="AI3283" s="145"/>
      <c r="AJ3283" s="138">
        <f>P_1_minW-(AJ3281^2*R_up)+dpup_minQ</f>
        <v>-1632.7905846160259</v>
      </c>
      <c r="AK3283" s="132"/>
      <c r="AL3283" s="145"/>
      <c r="AM3283" s="138">
        <f>P_1_minW-(AM3281^2*R_up)+dpup_minQ</f>
        <v>-2282.68027617805</v>
      </c>
      <c r="AN3283" s="132"/>
      <c r="AO3283" s="145"/>
      <c r="AP3283" s="138">
        <f>P_1_minW-(AP3281^2*R_up)+dpup_minQ</f>
        <v>-2865.8878626802675</v>
      </c>
      <c r="AQ3283" s="132"/>
      <c r="AR3283" s="145"/>
      <c r="AS3283" s="138">
        <f>P_1_minW-(AS3281^2*R_up)+dpup_minQ</f>
        <v>-3591.8155951266349</v>
      </c>
      <c r="AT3283" s="132"/>
      <c r="AU3283" s="145"/>
    </row>
    <row r="3284" spans="13:47" x14ac:dyDescent="0.25">
      <c r="M3284" s="20"/>
      <c r="N3284" s="20"/>
      <c r="O3284" s="7" t="s">
        <v>189</v>
      </c>
      <c r="P3284" s="1"/>
      <c r="Q3284" s="7"/>
      <c r="R3284" s="181">
        <f>P_2_minW+(R3281^2*R_dn)-dpdn_minQ</f>
        <v>50</v>
      </c>
      <c r="S3284" s="132"/>
      <c r="T3284" s="146"/>
      <c r="U3284" s="138">
        <f>P_2_minW+(U3281^2*R_dn)-dpdn_minQ</f>
        <v>50</v>
      </c>
      <c r="V3284" s="132"/>
      <c r="W3284" s="146"/>
      <c r="X3284" s="138">
        <f>P_2_minW+(X3281^2*R_dn)-dpdn_minQ</f>
        <v>50</v>
      </c>
      <c r="Y3284" s="132"/>
      <c r="Z3284" s="146"/>
      <c r="AA3284" s="138">
        <f>P_2_minW+(AA3281^2*R_dn)-dpdn_minQ</f>
        <v>50</v>
      </c>
      <c r="AB3284" s="132"/>
      <c r="AC3284" s="146"/>
      <c r="AD3284" s="138">
        <f>P_2_minW+(AD3281^2*R_dn)-dpdn_minQ</f>
        <v>50</v>
      </c>
      <c r="AE3284" s="132"/>
      <c r="AF3284" s="146"/>
      <c r="AG3284" s="138">
        <f>P_2_minW+(AG3281^2*R_dn)-dpdn_minQ</f>
        <v>50</v>
      </c>
      <c r="AH3284" s="132"/>
      <c r="AI3284" s="146"/>
      <c r="AJ3284" s="138">
        <f>P_2_minW+(AJ3281^2*R_dn)-dpdn_minQ</f>
        <v>50</v>
      </c>
      <c r="AK3284" s="132"/>
      <c r="AL3284" s="146"/>
      <c r="AM3284" s="138">
        <f>P_2_minW+(AM3281^2*R_dn)-dpdn_minQ</f>
        <v>50</v>
      </c>
      <c r="AN3284" s="132"/>
      <c r="AO3284" s="146"/>
      <c r="AP3284" s="138">
        <f>P_2_minW+(AP3281^2*R_dn)-dpdn_minQ</f>
        <v>50</v>
      </c>
      <c r="AQ3284" s="132"/>
      <c r="AR3284" s="146"/>
      <c r="AS3284" s="138">
        <f>P_2_minW+(AS3281^2*R_dn)-dpdn_minQ</f>
        <v>50</v>
      </c>
      <c r="AT3284" s="132"/>
      <c r="AU3284" s="146"/>
    </row>
    <row r="3285" spans="13:47" x14ac:dyDescent="0.25">
      <c r="M3285" s="20"/>
      <c r="N3285" s="20"/>
      <c r="O3285" s="7" t="s">
        <v>234</v>
      </c>
      <c r="P3285" s="1"/>
      <c r="Q3285" s="7"/>
      <c r="R3285" s="179">
        <f>'Valve Sizing'!G$8*R3283/P_1_maxW</f>
        <v>0.48243687638758576</v>
      </c>
      <c r="S3285" s="132"/>
      <c r="T3285" s="146"/>
      <c r="U3285" s="143">
        <f>'Valve Sizing'!$G$8*U3283/P_1_maxW</f>
        <v>0.44289936318399797</v>
      </c>
      <c r="V3285" s="132"/>
      <c r="W3285" s="146"/>
      <c r="X3285" s="143">
        <f>'Valve Sizing'!$G$8*X3283/P_1_maxW</f>
        <v>0.22799016652164697</v>
      </c>
      <c r="Y3285" s="132"/>
      <c r="Z3285" s="146"/>
      <c r="AA3285" s="143">
        <f>'Valve Sizing'!$G$8*AA3283/P_1_maxW</f>
        <v>-0.48975255719906646</v>
      </c>
      <c r="AB3285" s="132"/>
      <c r="AC3285" s="146"/>
      <c r="AD3285" s="143">
        <f>'Valve Sizing'!$G$8*AD3283/P_1_maxW</f>
        <v>-2.1513605795808326</v>
      </c>
      <c r="AE3285" s="132"/>
      <c r="AF3285" s="146"/>
      <c r="AG3285" s="143">
        <f>'Valve Sizing'!$G$8*AG3283/P_1_maxW</f>
        <v>-4.7012142370258134</v>
      </c>
      <c r="AH3285" s="132"/>
      <c r="AI3285" s="146"/>
      <c r="AJ3285" s="143">
        <f>'Valve Sizing'!$G$8*AJ3283/P_1_maxW</f>
        <v>-7.8762910797417565</v>
      </c>
      <c r="AK3285" s="132"/>
      <c r="AL3285" s="146"/>
      <c r="AM3285" s="143">
        <f>'Valve Sizing'!$G$8*AM3283/P_1_maxW</f>
        <v>-11.011243246109027</v>
      </c>
      <c r="AN3285" s="132"/>
      <c r="AO3285" s="146"/>
      <c r="AP3285" s="143">
        <f>'Valve Sizing'!$G$8*AP3283/P_1_maxW</f>
        <v>-13.82453280968485</v>
      </c>
      <c r="AQ3285" s="132"/>
      <c r="AR3285" s="146"/>
      <c r="AS3285" s="143">
        <f>'Valve Sizing'!$G$8*AS3283/P_1_maxW</f>
        <v>-17.326278947539425</v>
      </c>
      <c r="AT3285" s="132"/>
      <c r="AU3285" s="146"/>
    </row>
    <row r="3286" spans="13:47" x14ac:dyDescent="0.25">
      <c r="M3286" s="20"/>
      <c r="N3286" s="20"/>
      <c r="O3286" s="7" t="s">
        <v>190</v>
      </c>
      <c r="P3286" s="1"/>
      <c r="Q3286" s="7"/>
      <c r="R3286" s="181">
        <f>R3283-R3284</f>
        <v>50.011335470227806</v>
      </c>
      <c r="S3286" s="132"/>
      <c r="T3286" s="146"/>
      <c r="U3286" s="138">
        <f>U3283-U3284</f>
        <v>41.815031061926717</v>
      </c>
      <c r="V3286" s="132"/>
      <c r="W3286" s="146"/>
      <c r="X3286" s="138">
        <f>X3283-X3284</f>
        <v>-2.7366125105434094</v>
      </c>
      <c r="Y3286" s="132"/>
      <c r="Z3286" s="146"/>
      <c r="AA3286" s="138">
        <f>AA3283-AA3284</f>
        <v>-151.52790902345328</v>
      </c>
      <c r="AB3286" s="132"/>
      <c r="AC3286" s="146"/>
      <c r="AD3286" s="138">
        <f>AD3283-AD3284</f>
        <v>-495.98672939964956</v>
      </c>
      <c r="AE3286" s="132"/>
      <c r="AF3286" s="146"/>
      <c r="AG3286" s="138">
        <f>AG3283-AG3284</f>
        <v>-1024.5828670834549</v>
      </c>
      <c r="AH3286" s="132"/>
      <c r="AI3286" s="146"/>
      <c r="AJ3286" s="138">
        <f>AJ3283-AJ3284</f>
        <v>-1682.7905846160259</v>
      </c>
      <c r="AK3286" s="132"/>
      <c r="AL3286" s="146"/>
      <c r="AM3286" s="138">
        <f>AM3283-AM3284</f>
        <v>-2332.68027617805</v>
      </c>
      <c r="AN3286" s="132"/>
      <c r="AO3286" s="146"/>
      <c r="AP3286" s="138">
        <f>AP3283-AP3284</f>
        <v>-2915.8878626802675</v>
      </c>
      <c r="AQ3286" s="132"/>
      <c r="AR3286" s="146"/>
      <c r="AS3286" s="138">
        <f>AS3283-AS3284</f>
        <v>-3641.8155951266349</v>
      </c>
      <c r="AT3286" s="132"/>
      <c r="AU3286" s="146"/>
    </row>
    <row r="3287" spans="13:47" ht="14.5" x14ac:dyDescent="0.35">
      <c r="M3287" s="27"/>
      <c r="N3287" s="27"/>
      <c r="O3287" s="2" t="s">
        <v>191</v>
      </c>
      <c r="P3287" s="10"/>
      <c r="Q3287" s="2"/>
      <c r="R3287" s="181">
        <f>R3286/R3283</f>
        <v>0.50005667092722295</v>
      </c>
      <c r="S3287" s="132"/>
      <c r="T3287" s="146"/>
      <c r="U3287" s="138">
        <f>U3286/U3283</f>
        <v>0.45542685743605127</v>
      </c>
      <c r="V3287" s="132"/>
      <c r="W3287" s="146"/>
      <c r="X3287" s="138">
        <f>X3286/X3283</f>
        <v>-5.7901319729862503E-2</v>
      </c>
      <c r="Y3287" s="132"/>
      <c r="Z3287" s="146"/>
      <c r="AA3287" s="138">
        <f>AA3286/AA3283</f>
        <v>1.4924754235650599</v>
      </c>
      <c r="AB3287" s="132"/>
      <c r="AC3287" s="146"/>
      <c r="AD3287" s="138">
        <f>AD3286/AD3283</f>
        <v>1.112110959147385</v>
      </c>
      <c r="AE3287" s="132"/>
      <c r="AF3287" s="146"/>
      <c r="AG3287" s="138">
        <f>AG3286/AG3283</f>
        <v>1.0513040006024632</v>
      </c>
      <c r="AH3287" s="132"/>
      <c r="AI3287" s="146"/>
      <c r="AJ3287" s="138">
        <f>AJ3286/AJ3283</f>
        <v>1.0306224205792798</v>
      </c>
      <c r="AK3287" s="132"/>
      <c r="AL3287" s="146"/>
      <c r="AM3287" s="138">
        <f>AM3286/AM3283</f>
        <v>1.0219040750129564</v>
      </c>
      <c r="AN3287" s="132"/>
      <c r="AO3287" s="146"/>
      <c r="AP3287" s="138">
        <f>AP3286/AP3283</f>
        <v>1.0174466002843665</v>
      </c>
      <c r="AQ3287" s="132"/>
      <c r="AR3287" s="146"/>
      <c r="AS3287" s="138">
        <f>AS3286/AS3283</f>
        <v>1.0139205364740438</v>
      </c>
      <c r="AT3287" s="132"/>
      <c r="AU3287" s="146"/>
    </row>
    <row r="3288" spans="13:47" x14ac:dyDescent="0.25">
      <c r="M3288" s="27"/>
      <c r="N3288" s="27"/>
      <c r="O3288" s="2" t="s">
        <v>26</v>
      </c>
      <c r="P3288" s="7">
        <v>12</v>
      </c>
      <c r="Q3288" s="2"/>
      <c r="R3288" s="181">
        <f>1-R3287/(3*F_GAMMA*R$29)</f>
        <v>0.73956475556737322</v>
      </c>
      <c r="S3288" s="133"/>
      <c r="T3288" s="146"/>
      <c r="U3288" s="138">
        <f>1-U3287/(3*F_GAMMA*U$29)</f>
        <v>0.76286069751983399</v>
      </c>
      <c r="V3288" s="133"/>
      <c r="W3288" s="146"/>
      <c r="X3288" s="138">
        <f>1-X3287/(3*F_GAMMA*X$29)</f>
        <v>1.0306013147375894</v>
      </c>
      <c r="Y3288" s="133"/>
      <c r="Z3288" s="146"/>
      <c r="AA3288" s="138">
        <f>1-AA3287/(3*F_GAMMA*AA$29)</f>
        <v>0.20039935021415922</v>
      </c>
      <c r="AB3288" s="133"/>
      <c r="AC3288" s="146"/>
      <c r="AD3288" s="138">
        <f>1-AD3287/(3*F_GAMMA*AD$29)</f>
        <v>0.38784530153110308</v>
      </c>
      <c r="AE3288" s="133"/>
      <c r="AF3288" s="146"/>
      <c r="AG3288" s="138">
        <f>1-AG3287/(3*F_GAMMA*AG$29)</f>
        <v>0.38830707899743055</v>
      </c>
      <c r="AH3288" s="133"/>
      <c r="AI3288" s="146"/>
      <c r="AJ3288" s="138">
        <f>1-AJ3287/(3*F_GAMMA*AJ$29)</f>
        <v>0.35895585750270331</v>
      </c>
      <c r="AK3288" s="133"/>
      <c r="AL3288" s="146"/>
      <c r="AM3288" s="138">
        <f>1-AM3287/(3*F_GAMMA*AM$29)</f>
        <v>0.30551903193953567</v>
      </c>
      <c r="AN3288" s="133"/>
      <c r="AO3288" s="146"/>
      <c r="AP3288" s="138">
        <f>1-AP3287/(3*F_GAMMA*AP$29)</f>
        <v>0.42858998422230943</v>
      </c>
      <c r="AQ3288" s="133"/>
      <c r="AR3288" s="146"/>
      <c r="AS3288" s="138">
        <f>1-AS3287/(3*F_GAMMA*AS$29)</f>
        <v>0.13555617989915525</v>
      </c>
      <c r="AT3288" s="133"/>
      <c r="AU3288" s="146"/>
    </row>
    <row r="3289" spans="13:47" x14ac:dyDescent="0.25">
      <c r="M3289" s="27"/>
      <c r="N3289" s="27"/>
      <c r="O3289" s="2" t="s">
        <v>71</v>
      </c>
      <c r="P3289" s="85">
        <v>5</v>
      </c>
      <c r="Q3289" s="2"/>
      <c r="R3289" s="179">
        <f>R3281/((N_6*R$27*R3288)*SQRT(R3287*R3283*R3285))</f>
        <v>4.9256370159143019</v>
      </c>
      <c r="S3289" s="133"/>
      <c r="T3289" s="146"/>
      <c r="U3289" s="143">
        <f>U3281/((N_6*U$27*U3288)*SQRT(U3287*U3283*U3285))</f>
        <v>22.503499287605631</v>
      </c>
      <c r="V3289" s="133"/>
      <c r="W3289" s="146"/>
      <c r="X3289" s="143" t="e">
        <f>X3281/((N_6*X$27*X3288)*SQRT(X3287*X3283*X3285))</f>
        <v>#NUM!</v>
      </c>
      <c r="Y3289" s="133"/>
      <c r="Z3289" s="146"/>
      <c r="AA3289" s="143">
        <f>AA3281/((N_6*AA$27*AA3288)*SQRT(AA3287*AA3283*AA3285))</f>
        <v>207.78400809624154</v>
      </c>
      <c r="AB3289" s="133"/>
      <c r="AC3289" s="146"/>
      <c r="AD3289" s="143">
        <f>AD3281/((N_6*AD$27*AD3288)*SQRT(AD3287*AD3283*AD3285))</f>
        <v>47.12011077912787</v>
      </c>
      <c r="AE3289" s="133"/>
      <c r="AF3289" s="146"/>
      <c r="AG3289" s="143">
        <f>AG3281/((N_6*AG$27*AG3288)*SQRT(AG3287*AG3283*AG3285))</f>
        <v>31.739495955138871</v>
      </c>
      <c r="AH3289" s="133"/>
      <c r="AI3289" s="146"/>
      <c r="AJ3289" s="143">
        <f>AJ3281/((N_6*AJ$27*AJ3288)*SQRT(AJ3287*AJ3283*AJ3285))</f>
        <v>27.183757415199914</v>
      </c>
      <c r="AK3289" s="133"/>
      <c r="AL3289" s="146"/>
      <c r="AM3289" s="143">
        <f>AM3281/((N_6*AM$27*AM3288)*SQRT(AM3287*AM3283*AM3285))</f>
        <v>28.55410908119601</v>
      </c>
      <c r="AN3289" s="133"/>
      <c r="AO3289" s="146"/>
      <c r="AP3289" s="143">
        <f>AP3281/((N_6*AP$27*AP3288)*SQRT(AP3287*AP3283*AP3285))</f>
        <v>20.591559839101443</v>
      </c>
      <c r="AQ3289" s="133"/>
      <c r="AR3289" s="146"/>
      <c r="AS3289" s="143">
        <f>AS3281/((N_6*AS$27*AS3288)*SQRT(AS3287*AS3283*AS3285))</f>
        <v>76.284005161158959</v>
      </c>
      <c r="AT3289" s="133"/>
      <c r="AU3289" s="146"/>
    </row>
    <row r="3290" spans="13:47" x14ac:dyDescent="0.25">
      <c r="M3290" s="27"/>
      <c r="N3290" s="27"/>
      <c r="O3290" s="2" t="s">
        <v>73</v>
      </c>
      <c r="P3290" s="85">
        <v>5</v>
      </c>
      <c r="Q3290" s="2"/>
      <c r="R3290" s="179">
        <f>R3281/((N_6*R$27*0.667)*SQRT(R3291*R3283*R3285))</f>
        <v>4.8275111150251835</v>
      </c>
      <c r="S3290" s="133"/>
      <c r="T3290" s="155"/>
      <c r="U3290" s="143">
        <f>U3281/((N_6*U$27*0.667)*SQRT(U3291*U3283*U3285))</f>
        <v>21.708602136531422</v>
      </c>
      <c r="V3290" s="133"/>
      <c r="W3290" s="155"/>
      <c r="X3290" s="143">
        <f>X3281/((N_6*X$27*0.667)*SQRT(X3291*X3283*X3285))</f>
        <v>105.30781422659403</v>
      </c>
      <c r="Y3290" s="133"/>
      <c r="Z3290" s="155"/>
      <c r="AA3290" s="143">
        <f>AA3281/((N_6*AA$27*0.667)*SQRT(AA3291*AA3283*AA3285))</f>
        <v>96.689606122300873</v>
      </c>
      <c r="AB3290" s="133"/>
      <c r="AC3290" s="155"/>
      <c r="AD3290" s="143">
        <f>AD3281/((N_6*AD$27*0.667)*SQRT(AD3291*AD3283*AD3285))</f>
        <v>37.130451010690315</v>
      </c>
      <c r="AE3290" s="133"/>
      <c r="AF3290" s="155"/>
      <c r="AG3290" s="143">
        <f>AG3281/((N_6*AG$27*0.667)*SQRT(AG3291*AG3283*AG3285))</f>
        <v>25.030922425044412</v>
      </c>
      <c r="AH3290" s="133"/>
      <c r="AI3290" s="155"/>
      <c r="AJ3290" s="143">
        <f>AJ3281/((N_6*AJ$27*0.667)*SQRT(AJ3291*AJ3283*AJ3285))</f>
        <v>20.287535468543474</v>
      </c>
      <c r="AK3290" s="133"/>
      <c r="AL3290" s="155"/>
      <c r="AM3290" s="143">
        <f>AM3281/((N_6*AM$27*0.667)*SQRT(AM3291*AM3283*AM3285))</f>
        <v>18.878689831926955</v>
      </c>
      <c r="AN3290" s="133"/>
      <c r="AO3290" s="155"/>
      <c r="AP3290" s="143">
        <f>AP3281/((N_6*AP$27*0.667)*SQRT(AP3291*AP3283*AP3285))</f>
        <v>17.323673170350752</v>
      </c>
      <c r="AQ3290" s="133"/>
      <c r="AR3290" s="155"/>
      <c r="AS3290" s="143">
        <f>AS3281/((N_6*AS$27*0.667)*SQRT(AS3291*AS3283*AS3285))</f>
        <v>24.966403705622064</v>
      </c>
      <c r="AT3290" s="133"/>
      <c r="AU3290" s="155"/>
    </row>
    <row r="3291" spans="13:47" ht="15.5" x14ac:dyDescent="0.4">
      <c r="M3291" s="27"/>
      <c r="N3291" s="27"/>
      <c r="O3291" s="2" t="s">
        <v>192</v>
      </c>
      <c r="P3291" s="85">
        <v>10</v>
      </c>
      <c r="Q3291" s="2"/>
      <c r="R3291" s="181">
        <f>F_GAMMA*R$29</f>
        <v>0.64002688015162901</v>
      </c>
      <c r="S3291" s="133"/>
      <c r="T3291" s="155"/>
      <c r="U3291" s="138">
        <f>F_GAMMA*U$29</f>
        <v>0.64016782916606918</v>
      </c>
      <c r="V3291" s="133"/>
      <c r="W3291" s="155"/>
      <c r="X3291" s="138">
        <f>F_GAMMA*X$29</f>
        <v>0.6307062319203669</v>
      </c>
      <c r="Y3291" s="133"/>
      <c r="Z3291" s="155"/>
      <c r="AA3291" s="138">
        <f>F_GAMMA*AA$29</f>
        <v>0.62217534213893466</v>
      </c>
      <c r="AB3291" s="133"/>
      <c r="AC3291" s="155"/>
      <c r="AD3291" s="138">
        <f>F_GAMMA*AD$29</f>
        <v>0.60557184969146072</v>
      </c>
      <c r="AE3291" s="133"/>
      <c r="AF3291" s="155"/>
      <c r="AG3291" s="138">
        <f>F_GAMMA*AG$29</f>
        <v>0.57289312142622573</v>
      </c>
      <c r="AH3291" s="133"/>
      <c r="AI3291" s="155"/>
      <c r="AJ3291" s="138">
        <f>F_GAMMA*AJ$29</f>
        <v>0.53590819116049981</v>
      </c>
      <c r="AK3291" s="133"/>
      <c r="AL3291" s="155"/>
      <c r="AM3291" s="138">
        <f>F_GAMMA*AM$29</f>
        <v>0.49048815926850342</v>
      </c>
      <c r="AN3291" s="133"/>
      <c r="AO3291" s="155"/>
      <c r="AP3291" s="138">
        <f>F_GAMMA*AP$29</f>
        <v>0.59352979016280105</v>
      </c>
      <c r="AQ3291" s="133"/>
      <c r="AR3291" s="155"/>
      <c r="AS3291" s="138">
        <f>F_GAMMA*AS$29</f>
        <v>0.39097221161068291</v>
      </c>
      <c r="AT3291" s="133"/>
      <c r="AU3291" s="155"/>
    </row>
    <row r="3292" spans="13:47" x14ac:dyDescent="0.25">
      <c r="M3292" s="27"/>
      <c r="N3292" s="27"/>
      <c r="O3292" s="2" t="s">
        <v>193</v>
      </c>
      <c r="P3292" s="134"/>
      <c r="Q3292" s="2"/>
      <c r="R3292" s="181">
        <f>IF(R3287&lt;R3291,R3289,R3290)</f>
        <v>4.9256370159143019</v>
      </c>
      <c r="S3292" s="133"/>
      <c r="T3292" s="155"/>
      <c r="U3292" s="138">
        <f>IF(U3287&lt;U3291,U3289,U3290)</f>
        <v>22.503499287605631</v>
      </c>
      <c r="V3292" s="133"/>
      <c r="W3292" s="155"/>
      <c r="X3292" s="138" t="e">
        <f>IF(X3287&lt;X3291,X3289,X3290)</f>
        <v>#NUM!</v>
      </c>
      <c r="Y3292" s="133"/>
      <c r="Z3292" s="155"/>
      <c r="AA3292" s="138">
        <f>IF(AA3287&lt;AA3291,AA3289,AA3290)</f>
        <v>96.689606122300873</v>
      </c>
      <c r="AB3292" s="133"/>
      <c r="AC3292" s="155"/>
      <c r="AD3292" s="138">
        <f>IF(AD3287&lt;AD3291,AD3289,AD3290)</f>
        <v>37.130451010690315</v>
      </c>
      <c r="AE3292" s="133"/>
      <c r="AF3292" s="155"/>
      <c r="AG3292" s="138">
        <f>IF(AG3287&lt;AG3291,AG3289,AG3290)</f>
        <v>25.030922425044412</v>
      </c>
      <c r="AH3292" s="133"/>
      <c r="AI3292" s="155"/>
      <c r="AJ3292" s="138">
        <f>IF(AJ3287&lt;AJ3291,AJ3289,AJ3290)</f>
        <v>20.287535468543474</v>
      </c>
      <c r="AK3292" s="133"/>
      <c r="AL3292" s="155"/>
      <c r="AM3292" s="138">
        <f>IF(AM3287&lt;AM3291,AM3289,AM3290)</f>
        <v>18.878689831926955</v>
      </c>
      <c r="AN3292" s="133"/>
      <c r="AO3292" s="155"/>
      <c r="AP3292" s="138">
        <f>IF(AP3287&lt;AP3291,AP3289,AP3290)</f>
        <v>17.323673170350752</v>
      </c>
      <c r="AQ3292" s="133"/>
      <c r="AR3292" s="155"/>
      <c r="AS3292" s="138">
        <f>IF(AS3287&lt;AS3291,AS3289,AS3290)</f>
        <v>24.966403705622064</v>
      </c>
      <c r="AT3292" s="133"/>
      <c r="AU3292" s="155"/>
    </row>
    <row r="3293" spans="13:47" ht="13" x14ac:dyDescent="0.3">
      <c r="M3293" s="28"/>
      <c r="N3293" s="28"/>
      <c r="O3293" s="9" t="s">
        <v>194</v>
      </c>
      <c r="P3293" s="1"/>
      <c r="Q3293" s="1"/>
      <c r="R3293" s="135"/>
      <c r="S3293" s="132">
        <f>IF(R3286&lt;=0,W_max,ABS(R$23-R3292))</f>
        <v>2.9256370159143019</v>
      </c>
      <c r="T3293" s="151">
        <f>R3281</f>
        <v>1132.5185792189275</v>
      </c>
      <c r="U3293" s="135"/>
      <c r="V3293" s="132">
        <f>IF(U3286&lt;=0,W_max,ABS(U$23-U3292))</f>
        <v>17.503499287605631</v>
      </c>
      <c r="W3293" s="151">
        <f>U3281</f>
        <v>4673.0058394799225</v>
      </c>
      <c r="X3293" s="135"/>
      <c r="Y3293" s="132">
        <f>IF(X3286&lt;=0,W_max,ABS(X$23-X3292))</f>
        <v>7174</v>
      </c>
      <c r="Z3293" s="151">
        <f>X3281</f>
        <v>11556.899535247429</v>
      </c>
      <c r="AA3293" s="135"/>
      <c r="AB3293" s="132">
        <f>IF(AA3286&lt;=0,W_max,ABS(AA$23-AA3292))</f>
        <v>7174</v>
      </c>
      <c r="AC3293" s="151">
        <f>AA3281</f>
        <v>22509.890449063121</v>
      </c>
      <c r="AD3293" s="135"/>
      <c r="AE3293" s="132">
        <f>IF(AD3286&lt;=0,W_max,ABS(AD$23-AD3292))</f>
        <v>7174</v>
      </c>
      <c r="AF3293" s="151">
        <f>AD3281</f>
        <v>37020.482138748885</v>
      </c>
      <c r="AG3293" s="135"/>
      <c r="AH3293" s="132">
        <f>IF(AG3286&lt;=0,W_max,ABS(AG$23-AG3292))</f>
        <v>7174</v>
      </c>
      <c r="AI3293" s="151">
        <f>AG3281</f>
        <v>51924.076264710922</v>
      </c>
      <c r="AJ3293" s="135"/>
      <c r="AK3293" s="132">
        <f>IF(AJ3286&lt;=0,W_max,ABS(AJ$23-AJ3292))</f>
        <v>7174</v>
      </c>
      <c r="AL3293" s="151">
        <f>AJ3281</f>
        <v>65929.798726317036</v>
      </c>
      <c r="AM3293" s="135"/>
      <c r="AN3293" s="132">
        <f>IF(AM3286&lt;=0,W_max,ABS(AM$23-AM3292))</f>
        <v>7174</v>
      </c>
      <c r="AO3293" s="151">
        <f>AM3281</f>
        <v>77307.874050597005</v>
      </c>
      <c r="AP3293" s="135"/>
      <c r="AQ3293" s="132">
        <f>IF(AP3286&lt;=0,W_max,ABS(AP$23-AP3292))</f>
        <v>7174</v>
      </c>
      <c r="AR3293" s="151">
        <f>AP3281</f>
        <v>86249.94802624009</v>
      </c>
      <c r="AS3293" s="135"/>
      <c r="AT3293" s="132">
        <f>IF(AS3286&lt;=0,W_max,ABS(AS$23-AS3292))</f>
        <v>7174</v>
      </c>
      <c r="AU3293" s="151">
        <f>AS3281</f>
        <v>96226.336914404761</v>
      </c>
    </row>
    <row r="3294" spans="13:47" ht="13" x14ac:dyDescent="0.25">
      <c r="M3294" s="12"/>
      <c r="N3294" s="12"/>
      <c r="O3294" s="2"/>
      <c r="P3294" s="85"/>
      <c r="Q3294" s="2"/>
      <c r="R3294" s="18"/>
      <c r="S3294" s="150"/>
      <c r="T3294" s="152"/>
      <c r="U3294" s="157"/>
      <c r="V3294" s="1"/>
      <c r="W3294" s="147"/>
      <c r="X3294" s="157"/>
      <c r="Y3294" s="1"/>
      <c r="Z3294" s="147"/>
      <c r="AA3294" s="157"/>
      <c r="AB3294" s="1"/>
      <c r="AC3294" s="147"/>
      <c r="AD3294" s="157"/>
      <c r="AE3294" s="1"/>
      <c r="AF3294" s="147"/>
      <c r="AG3294" s="157"/>
      <c r="AH3294" s="1"/>
      <c r="AI3294" s="147"/>
      <c r="AJ3294" s="157"/>
      <c r="AK3294" s="1"/>
      <c r="AL3294" s="147"/>
      <c r="AM3294" s="157"/>
      <c r="AN3294" s="1"/>
      <c r="AO3294" s="147"/>
      <c r="AP3294" s="157"/>
      <c r="AQ3294" s="1"/>
      <c r="AR3294" s="147"/>
      <c r="AS3294" s="157"/>
      <c r="AT3294" s="1"/>
      <c r="AU3294" s="147"/>
    </row>
    <row r="3295" spans="13:47" ht="14" x14ac:dyDescent="0.3">
      <c r="M3295" s="23"/>
      <c r="N3295" s="23"/>
      <c r="O3295" s="23" t="s">
        <v>238</v>
      </c>
      <c r="P3295" s="20"/>
      <c r="Q3295" s="20"/>
      <c r="R3295" s="181">
        <f>R3281*1.02</f>
        <v>1155.168950803306</v>
      </c>
      <c r="S3295" s="128" t="s">
        <v>185</v>
      </c>
      <c r="T3295" s="153" t="s">
        <v>186</v>
      </c>
      <c r="U3295" s="143">
        <f>U3281*1.01</f>
        <v>4719.7358978747216</v>
      </c>
      <c r="V3295" s="128" t="s">
        <v>185</v>
      </c>
      <c r="W3295" s="153" t="s">
        <v>186</v>
      </c>
      <c r="X3295" s="143">
        <f>X3281*1.01</f>
        <v>11672.468530599903</v>
      </c>
      <c r="Y3295" s="128" t="s">
        <v>185</v>
      </c>
      <c r="Z3295" s="153" t="s">
        <v>186</v>
      </c>
      <c r="AA3295" s="143">
        <f>AA3281*1.01</f>
        <v>22734.989353553752</v>
      </c>
      <c r="AB3295" s="128" t="s">
        <v>185</v>
      </c>
      <c r="AC3295" s="153" t="s">
        <v>186</v>
      </c>
      <c r="AD3295" s="143">
        <f>AD3281*1.01</f>
        <v>37390.686960136372</v>
      </c>
      <c r="AE3295" s="128" t="s">
        <v>185</v>
      </c>
      <c r="AF3295" s="153" t="s">
        <v>186</v>
      </c>
      <c r="AG3295" s="143">
        <f>AG3281*1.01</f>
        <v>52443.317027358033</v>
      </c>
      <c r="AH3295" s="128" t="s">
        <v>185</v>
      </c>
      <c r="AI3295" s="153" t="s">
        <v>186</v>
      </c>
      <c r="AJ3295" s="143">
        <f>AJ3281*1.01</f>
        <v>66589.096713580206</v>
      </c>
      <c r="AK3295" s="128" t="s">
        <v>185</v>
      </c>
      <c r="AL3295" s="153" t="s">
        <v>186</v>
      </c>
      <c r="AM3295" s="143">
        <f>AM3281*1.01</f>
        <v>78080.952791102973</v>
      </c>
      <c r="AN3295" s="128" t="s">
        <v>185</v>
      </c>
      <c r="AO3295" s="153" t="s">
        <v>186</v>
      </c>
      <c r="AP3295" s="143">
        <f>AP3281*1.01</f>
        <v>87112.447506502489</v>
      </c>
      <c r="AQ3295" s="128" t="s">
        <v>185</v>
      </c>
      <c r="AR3295" s="153" t="s">
        <v>186</v>
      </c>
      <c r="AS3295" s="143">
        <f>AS3281*1.01</f>
        <v>97188.600283548803</v>
      </c>
      <c r="AT3295" s="128" t="s">
        <v>185</v>
      </c>
      <c r="AU3295" s="153" t="s">
        <v>186</v>
      </c>
    </row>
    <row r="3296" spans="13:47" ht="14" x14ac:dyDescent="0.3">
      <c r="M3296" s="12"/>
      <c r="N3296" s="12"/>
      <c r="O3296" s="20"/>
      <c r="P3296" s="20"/>
      <c r="Q3296" s="23"/>
      <c r="R3296" s="139"/>
      <c r="S3296" s="130" t="s">
        <v>228</v>
      </c>
      <c r="T3296" s="154" t="s">
        <v>187</v>
      </c>
      <c r="U3296" s="144"/>
      <c r="V3296" s="130" t="s">
        <v>228</v>
      </c>
      <c r="W3296" s="154" t="s">
        <v>187</v>
      </c>
      <c r="X3296" s="144"/>
      <c r="Y3296" s="130" t="s">
        <v>228</v>
      </c>
      <c r="Z3296" s="154" t="s">
        <v>187</v>
      </c>
      <c r="AA3296" s="144"/>
      <c r="AB3296" s="130" t="s">
        <v>228</v>
      </c>
      <c r="AC3296" s="154" t="s">
        <v>187</v>
      </c>
      <c r="AD3296" s="144"/>
      <c r="AE3296" s="130" t="s">
        <v>228</v>
      </c>
      <c r="AF3296" s="154" t="s">
        <v>187</v>
      </c>
      <c r="AG3296" s="144"/>
      <c r="AH3296" s="130" t="s">
        <v>228</v>
      </c>
      <c r="AI3296" s="154" t="s">
        <v>187</v>
      </c>
      <c r="AJ3296" s="144"/>
      <c r="AK3296" s="130" t="s">
        <v>228</v>
      </c>
      <c r="AL3296" s="154" t="s">
        <v>187</v>
      </c>
      <c r="AM3296" s="144"/>
      <c r="AN3296" s="130" t="s">
        <v>228</v>
      </c>
      <c r="AO3296" s="154" t="s">
        <v>187</v>
      </c>
      <c r="AP3296" s="144"/>
      <c r="AQ3296" s="130" t="s">
        <v>228</v>
      </c>
      <c r="AR3296" s="154" t="s">
        <v>187</v>
      </c>
      <c r="AS3296" s="144"/>
      <c r="AT3296" s="130" t="s">
        <v>228</v>
      </c>
      <c r="AU3296" s="154" t="s">
        <v>187</v>
      </c>
    </row>
    <row r="3297" spans="13:47" x14ac:dyDescent="0.25">
      <c r="M3297" s="20"/>
      <c r="N3297" s="20"/>
      <c r="O3297" s="7" t="s">
        <v>188</v>
      </c>
      <c r="P3297" s="7"/>
      <c r="Q3297" s="7"/>
      <c r="R3297" s="181">
        <f>P_1_minW-(R3295^2*R_up)+dpup_minQ</f>
        <v>99.990672839061247</v>
      </c>
      <c r="S3297" s="132"/>
      <c r="T3297" s="145"/>
      <c r="U3297" s="138">
        <f>P_1_minW-(U3295^2*R_up)+dpup_minQ</f>
        <v>91.640005172863241</v>
      </c>
      <c r="V3297" s="132"/>
      <c r="W3297" s="145"/>
      <c r="X3297" s="138">
        <f>P_1_minW-(X3295^2*R_up)+dpup_minQ</f>
        <v>46.192873564586471</v>
      </c>
      <c r="Y3297" s="132"/>
      <c r="Z3297" s="145"/>
      <c r="AA3297" s="138">
        <f>P_1_minW-(AA3295^2*R_up)+dpup_minQ</f>
        <v>-105.58912800823286</v>
      </c>
      <c r="AB3297" s="132"/>
      <c r="AC3297" s="145"/>
      <c r="AD3297" s="138">
        <f>P_1_minW-(AD3295^2*R_up)+dpup_minQ</f>
        <v>-456.97157067399064</v>
      </c>
      <c r="AE3297" s="132"/>
      <c r="AF3297" s="145"/>
      <c r="AG3297" s="138">
        <f>P_1_minW-(AG3295^2*R_up)+dpup_minQ</f>
        <v>-996.19249072524087</v>
      </c>
      <c r="AH3297" s="132"/>
      <c r="AI3297" s="145"/>
      <c r="AJ3297" s="138">
        <f>P_1_minW-(AJ3295^2*R_up)+dpup_minQ</f>
        <v>-1667.6301833802161</v>
      </c>
      <c r="AK3297" s="132"/>
      <c r="AL3297" s="145"/>
      <c r="AM3297" s="138">
        <f>P_1_minW-(AM3295^2*R_up)+dpup_minQ</f>
        <v>-2330.5826577426365</v>
      </c>
      <c r="AN3297" s="132"/>
      <c r="AO3297" s="145"/>
      <c r="AP3297" s="138">
        <f>P_1_minW-(AP3295^2*R_up)+dpup_minQ</f>
        <v>-2925.512716733549</v>
      </c>
      <c r="AQ3297" s="132"/>
      <c r="AR3297" s="145"/>
      <c r="AS3297" s="138">
        <f>P_1_minW-(AS3295^2*R_up)+dpup_minQ</f>
        <v>-3666.0315966020876</v>
      </c>
      <c r="AT3297" s="132"/>
      <c r="AU3297" s="145"/>
    </row>
    <row r="3298" spans="13:47" x14ac:dyDescent="0.25">
      <c r="M3298" s="20"/>
      <c r="N3298" s="20"/>
      <c r="O3298" s="7" t="s">
        <v>189</v>
      </c>
      <c r="P3298" s="1"/>
      <c r="Q3298" s="7"/>
      <c r="R3298" s="181">
        <f>P_2_minW+(R3295^2*R_dn)-dpdn_minQ</f>
        <v>50</v>
      </c>
      <c r="S3298" s="132"/>
      <c r="T3298" s="146"/>
      <c r="U3298" s="138">
        <f>P_2_minW+(U3295^2*R_dn)-dpdn_minQ</f>
        <v>50</v>
      </c>
      <c r="V3298" s="132"/>
      <c r="W3298" s="146"/>
      <c r="X3298" s="138">
        <f>P_2_minW+(X3295^2*R_dn)-dpdn_minQ</f>
        <v>50</v>
      </c>
      <c r="Y3298" s="132"/>
      <c r="Z3298" s="146"/>
      <c r="AA3298" s="138">
        <f>P_2_minW+(AA3295^2*R_dn)-dpdn_minQ</f>
        <v>50</v>
      </c>
      <c r="AB3298" s="132"/>
      <c r="AC3298" s="146"/>
      <c r="AD3298" s="138">
        <f>P_2_minW+(AD3295^2*R_dn)-dpdn_minQ</f>
        <v>50</v>
      </c>
      <c r="AE3298" s="132"/>
      <c r="AF3298" s="146"/>
      <c r="AG3298" s="138">
        <f>P_2_minW+(AG3295^2*R_dn)-dpdn_minQ</f>
        <v>50</v>
      </c>
      <c r="AH3298" s="132"/>
      <c r="AI3298" s="146"/>
      <c r="AJ3298" s="138">
        <f>P_2_minW+(AJ3295^2*R_dn)-dpdn_minQ</f>
        <v>50</v>
      </c>
      <c r="AK3298" s="132"/>
      <c r="AL3298" s="146"/>
      <c r="AM3298" s="138">
        <f>P_2_minW+(AM3295^2*R_dn)-dpdn_minQ</f>
        <v>50</v>
      </c>
      <c r="AN3298" s="132"/>
      <c r="AO3298" s="146"/>
      <c r="AP3298" s="138">
        <f>P_2_minW+(AP3295^2*R_dn)-dpdn_minQ</f>
        <v>50</v>
      </c>
      <c r="AQ3298" s="132"/>
      <c r="AR3298" s="146"/>
      <c r="AS3298" s="138">
        <f>P_2_minW+(AS3295^2*R_dn)-dpdn_minQ</f>
        <v>50</v>
      </c>
      <c r="AT3298" s="132"/>
      <c r="AU3298" s="146"/>
    </row>
    <row r="3299" spans="13:47" x14ac:dyDescent="0.25">
      <c r="M3299" s="20"/>
      <c r="N3299" s="20"/>
      <c r="O3299" s="7" t="s">
        <v>234</v>
      </c>
      <c r="P3299" s="1"/>
      <c r="Q3299" s="7"/>
      <c r="R3299" s="179">
        <f>'Valve Sizing'!G$8*R3297/P_1_maxW</f>
        <v>0.482337203533593</v>
      </c>
      <c r="S3299" s="132"/>
      <c r="T3299" s="146"/>
      <c r="U3299" s="143">
        <f>'Valve Sizing'!$G$8*U3297/P_1_maxW</f>
        <v>0.44205506945659467</v>
      </c>
      <c r="V3299" s="132"/>
      <c r="W3299" s="146"/>
      <c r="X3299" s="143">
        <f>'Valve Sizing'!$G$8*X3297/P_1_maxW</f>
        <v>0.22282619794133041</v>
      </c>
      <c r="Y3299" s="132"/>
      <c r="Z3299" s="146"/>
      <c r="AA3299" s="143">
        <f>'Valve Sizing'!$G$8*AA3297/P_1_maxW</f>
        <v>-0.50934315452616929</v>
      </c>
      <c r="AB3299" s="132"/>
      <c r="AC3299" s="146"/>
      <c r="AD3299" s="143">
        <f>'Valve Sizing'!$G$8*AD3297/P_1_maxW</f>
        <v>-2.2043494981578089</v>
      </c>
      <c r="AE3299" s="132"/>
      <c r="AF3299" s="146"/>
      <c r="AG3299" s="143">
        <f>'Valve Sizing'!$G$8*AG3297/P_1_maxW</f>
        <v>-4.8054552141174351</v>
      </c>
      <c r="AH3299" s="132"/>
      <c r="AI3299" s="146"/>
      <c r="AJ3299" s="143">
        <f>'Valve Sizing'!$G$8*AJ3297/P_1_maxW</f>
        <v>-8.0443511013719657</v>
      </c>
      <c r="AK3299" s="132"/>
      <c r="AL3299" s="146"/>
      <c r="AM3299" s="143">
        <f>'Valve Sizing'!$G$8*AM3297/P_1_maxW</f>
        <v>-11.242315806283216</v>
      </c>
      <c r="AN3299" s="132"/>
      <c r="AO3299" s="146"/>
      <c r="AP3299" s="143">
        <f>'Valve Sizing'!$G$8*AP3297/P_1_maxW</f>
        <v>-14.112152490086917</v>
      </c>
      <c r="AQ3299" s="132"/>
      <c r="AR3299" s="146"/>
      <c r="AS3299" s="143">
        <f>'Valve Sizing'!$G$8*AS3297/P_1_maxW</f>
        <v>-17.684283725312365</v>
      </c>
      <c r="AT3299" s="132"/>
      <c r="AU3299" s="146"/>
    </row>
    <row r="3300" spans="13:47" x14ac:dyDescent="0.25">
      <c r="M3300" s="20"/>
      <c r="N3300" s="20"/>
      <c r="O3300" s="7" t="s">
        <v>190</v>
      </c>
      <c r="P3300" s="1"/>
      <c r="Q3300" s="7"/>
      <c r="R3300" s="181">
        <f>R3297-R3298</f>
        <v>49.990672839061247</v>
      </c>
      <c r="S3300" s="132"/>
      <c r="T3300" s="146"/>
      <c r="U3300" s="138">
        <f>U3297-U3298</f>
        <v>41.640005172863241</v>
      </c>
      <c r="V3300" s="132"/>
      <c r="W3300" s="146"/>
      <c r="X3300" s="138">
        <f>X3297-X3298</f>
        <v>-3.8071264354135295</v>
      </c>
      <c r="Y3300" s="132"/>
      <c r="Z3300" s="146"/>
      <c r="AA3300" s="138">
        <f>AA3297-AA3298</f>
        <v>-155.58912800823288</v>
      </c>
      <c r="AB3300" s="132"/>
      <c r="AC3300" s="146"/>
      <c r="AD3300" s="138">
        <f>AD3297-AD3298</f>
        <v>-506.97157067399064</v>
      </c>
      <c r="AE3300" s="132"/>
      <c r="AF3300" s="146"/>
      <c r="AG3300" s="138">
        <f>AG3297-AG3298</f>
        <v>-1046.192490725241</v>
      </c>
      <c r="AH3300" s="132"/>
      <c r="AI3300" s="146"/>
      <c r="AJ3300" s="138">
        <f>AJ3297-AJ3298</f>
        <v>-1717.6301833802161</v>
      </c>
      <c r="AK3300" s="132"/>
      <c r="AL3300" s="146"/>
      <c r="AM3300" s="138">
        <f>AM3297-AM3298</f>
        <v>-2380.5826577426365</v>
      </c>
      <c r="AN3300" s="132"/>
      <c r="AO3300" s="146"/>
      <c r="AP3300" s="138">
        <f>AP3297-AP3298</f>
        <v>-2975.512716733549</v>
      </c>
      <c r="AQ3300" s="132"/>
      <c r="AR3300" s="146"/>
      <c r="AS3300" s="138">
        <f>AS3297-AS3298</f>
        <v>-3716.0315966020876</v>
      </c>
      <c r="AT3300" s="132"/>
      <c r="AU3300" s="146"/>
    </row>
    <row r="3301" spans="13:47" ht="14.5" x14ac:dyDescent="0.35">
      <c r="M3301" s="27"/>
      <c r="N3301" s="27"/>
      <c r="O3301" s="2" t="s">
        <v>191</v>
      </c>
      <c r="P3301" s="10"/>
      <c r="Q3301" s="2"/>
      <c r="R3301" s="181">
        <f>R3300/R3297</f>
        <v>0.49995335984510392</v>
      </c>
      <c r="S3301" s="132"/>
      <c r="T3301" s="146"/>
      <c r="U3301" s="138">
        <f>U3300/U3297</f>
        <v>0.45438676148387891</v>
      </c>
      <c r="V3301" s="132"/>
      <c r="W3301" s="146"/>
      <c r="X3301" s="138">
        <f>X3300/X3297</f>
        <v>-8.2418047236018754E-2</v>
      </c>
      <c r="Y3301" s="132"/>
      <c r="Z3301" s="146"/>
      <c r="AA3301" s="138">
        <f>AA3300/AA3297</f>
        <v>1.4735336008845672</v>
      </c>
      <c r="AB3301" s="132"/>
      <c r="AC3301" s="146"/>
      <c r="AD3301" s="138">
        <f>AD3300/AD3297</f>
        <v>1.1094159969869781</v>
      </c>
      <c r="AE3301" s="132"/>
      <c r="AF3301" s="146"/>
      <c r="AG3301" s="138">
        <f>AG3300/AG3297</f>
        <v>1.0501911030905278</v>
      </c>
      <c r="AH3301" s="132"/>
      <c r="AI3301" s="146"/>
      <c r="AJ3301" s="138">
        <f>AJ3300/AJ3297</f>
        <v>1.0299826667196992</v>
      </c>
      <c r="AK3301" s="132"/>
      <c r="AL3301" s="146"/>
      <c r="AM3301" s="138">
        <f>AM3300/AM3297</f>
        <v>1.0214538625497322</v>
      </c>
      <c r="AN3301" s="132"/>
      <c r="AO3301" s="146"/>
      <c r="AP3301" s="138">
        <f>AP3300/AP3297</f>
        <v>1.0170910212469788</v>
      </c>
      <c r="AQ3301" s="132"/>
      <c r="AR3301" s="146"/>
      <c r="AS3301" s="138">
        <f>AS3300/AS3297</f>
        <v>1.0136387258763244</v>
      </c>
      <c r="AT3301" s="132"/>
      <c r="AU3301" s="146"/>
    </row>
    <row r="3302" spans="13:47" x14ac:dyDescent="0.25">
      <c r="M3302" s="27"/>
      <c r="N3302" s="27"/>
      <c r="O3302" s="2" t="s">
        <v>26</v>
      </c>
      <c r="P3302" s="7">
        <v>12</v>
      </c>
      <c r="Q3302" s="2"/>
      <c r="R3302" s="181">
        <f>1-R3301/(3*F_GAMMA*R$29)</f>
        <v>0.7396185611627959</v>
      </c>
      <c r="S3302" s="133"/>
      <c r="T3302" s="146"/>
      <c r="U3302" s="138">
        <f>1-U3301/(3*F_GAMMA*U$29)</f>
        <v>0.76340227214281331</v>
      </c>
      <c r="V3302" s="133"/>
      <c r="W3302" s="146"/>
      <c r="X3302" s="138">
        <f>1-X3301/(3*F_GAMMA*X$29)</f>
        <v>1.0435586030731896</v>
      </c>
      <c r="Y3302" s="133"/>
      <c r="Z3302" s="146"/>
      <c r="AA3302" s="138">
        <f>1-AA3301/(3*F_GAMMA*AA$29)</f>
        <v>0.21054751981501685</v>
      </c>
      <c r="AB3302" s="133"/>
      <c r="AC3302" s="146"/>
      <c r="AD3302" s="138">
        <f>1-AD3301/(3*F_GAMMA*AD$29)</f>
        <v>0.38932872702486288</v>
      </c>
      <c r="AE3302" s="133"/>
      <c r="AF3302" s="146"/>
      <c r="AG3302" s="138">
        <f>1-AG3301/(3*F_GAMMA*AG$29)</f>
        <v>0.38895460961603578</v>
      </c>
      <c r="AH3302" s="133"/>
      <c r="AI3302" s="146"/>
      <c r="AJ3302" s="138">
        <f>1-AJ3301/(3*F_GAMMA*AJ$29)</f>
        <v>0.35935378253920081</v>
      </c>
      <c r="AK3302" s="133"/>
      <c r="AL3302" s="146"/>
      <c r="AM3302" s="138">
        <f>1-AM3301/(3*F_GAMMA*AM$29)</f>
        <v>0.30582499410852781</v>
      </c>
      <c r="AN3302" s="133"/>
      <c r="AO3302" s="146"/>
      <c r="AP3302" s="138">
        <f>1-AP3301/(3*F_GAMMA*AP$29)</f>
        <v>0.42878968160525521</v>
      </c>
      <c r="AQ3302" s="133"/>
      <c r="AR3302" s="146"/>
      <c r="AS3302" s="138">
        <f>1-AS3301/(3*F_GAMMA*AS$29)</f>
        <v>0.13579644471367869</v>
      </c>
      <c r="AT3302" s="133"/>
      <c r="AU3302" s="146"/>
    </row>
    <row r="3303" spans="13:47" x14ac:dyDescent="0.25">
      <c r="M3303" s="27"/>
      <c r="N3303" s="27"/>
      <c r="O3303" s="2" t="s">
        <v>71</v>
      </c>
      <c r="P3303" s="85">
        <v>5</v>
      </c>
      <c r="Q3303" s="2"/>
      <c r="R3303" s="179">
        <f>R3295/((N_6*R$27*R3302)*SQRT(R3301*R3297*R3299))</f>
        <v>5.0253415448714946</v>
      </c>
      <c r="S3303" s="133"/>
      <c r="T3303" s="146"/>
      <c r="U3303" s="143">
        <f>U3295/((N_6*U$27*U3302)*SQRT(U3301*U3297*U3299))</f>
        <v>22.781818468417033</v>
      </c>
      <c r="V3303" s="133"/>
      <c r="W3303" s="146"/>
      <c r="X3303" s="143" t="e">
        <f>X3295/((N_6*X$27*X3302)*SQRT(X3301*X3297*X3299))</f>
        <v>#NUM!</v>
      </c>
      <c r="Y3303" s="133"/>
      <c r="Z3303" s="146"/>
      <c r="AA3303" s="143">
        <f>AA3295/((N_6*AA$27*AA3302)*SQRT(AA3301*AA3297*AA3299))</f>
        <v>193.29449401820165</v>
      </c>
      <c r="AB3303" s="133"/>
      <c r="AC3303" s="146"/>
      <c r="AD3303" s="143">
        <f>AD3295/((N_6*AD$27*AD3302)*SQRT(AD3301*AD3297*AD3299))</f>
        <v>46.32648649959939</v>
      </c>
      <c r="AE3303" s="133"/>
      <c r="AF3303" s="146"/>
      <c r="AG3303" s="143">
        <f>AG3295/((N_6*AG$27*AG3302)*SQRT(AG3301*AG3297*AG3299))</f>
        <v>31.325880315363698</v>
      </c>
      <c r="AH3303" s="133"/>
      <c r="AI3303" s="146"/>
      <c r="AJ3303" s="143">
        <f>AJ3295/((N_6*AJ$27*AJ3302)*SQRT(AJ3301*AJ3297*AJ3299))</f>
        <v>26.860572138309227</v>
      </c>
      <c r="AK3303" s="133"/>
      <c r="AL3303" s="146"/>
      <c r="AM3303" s="143">
        <f>AM3295/((N_6*AM$27*AM3302)*SQRT(AM3301*AM3297*AM3299))</f>
        <v>28.224843661823133</v>
      </c>
      <c r="AN3303" s="133"/>
      <c r="AO3303" s="146"/>
      <c r="AP3303" s="143">
        <f>AP3295/((N_6*AP$27*AP3302)*SQRT(AP3301*AP3297*AP3299))</f>
        <v>20.367673150419115</v>
      </c>
      <c r="AQ3303" s="133"/>
      <c r="AR3303" s="146"/>
      <c r="AS3303" s="143">
        <f>AS3295/((N_6*AS$27*AS3302)*SQRT(AS3301*AS3297*AS3299))</f>
        <v>75.364005568523964</v>
      </c>
      <c r="AT3303" s="133"/>
      <c r="AU3303" s="146"/>
    </row>
    <row r="3304" spans="13:47" x14ac:dyDescent="0.25">
      <c r="M3304" s="27"/>
      <c r="N3304" s="27"/>
      <c r="O3304" s="2" t="s">
        <v>73</v>
      </c>
      <c r="P3304" s="85">
        <v>5</v>
      </c>
      <c r="Q3304" s="2"/>
      <c r="R3304" s="179">
        <f>R3295/((N_6*R$27*0.667)*SQRT(R3305*R3297*R3299))</f>
        <v>4.9250788728654111</v>
      </c>
      <c r="S3304" s="133"/>
      <c r="T3304" s="155"/>
      <c r="U3304" s="143">
        <f>U3295/((N_6*U$27*0.667)*SQRT(U3305*U3297*U3299))</f>
        <v>21.967564662114796</v>
      </c>
      <c r="V3304" s="133"/>
      <c r="W3304" s="155"/>
      <c r="X3304" s="143">
        <f>X3295/((N_6*X$27*0.667)*SQRT(X3305*X3297*X3299))</f>
        <v>108.82579241850243</v>
      </c>
      <c r="Y3304" s="133"/>
      <c r="Z3304" s="155"/>
      <c r="AA3304" s="143">
        <f>AA3295/((N_6*AA$27*0.667)*SQRT(AA3305*AA3297*AA3299))</f>
        <v>93.900391605321417</v>
      </c>
      <c r="AB3304" s="133"/>
      <c r="AC3304" s="155"/>
      <c r="AD3304" s="143">
        <f>AD3295/((N_6*AD$27*0.667)*SQRT(AD3305*AD3297*AD3299))</f>
        <v>36.600275301146986</v>
      </c>
      <c r="AE3304" s="133"/>
      <c r="AF3304" s="155"/>
      <c r="AG3304" s="143">
        <f>AG3295/((N_6*AG$27*0.667)*SQRT(AG3305*AG3297*AG3299))</f>
        <v>24.732825687366407</v>
      </c>
      <c r="AH3304" s="133"/>
      <c r="AI3304" s="155"/>
      <c r="AJ3304" s="143">
        <f>AJ3295/((N_6*AJ$27*0.667)*SQRT(AJ3305*AJ3297*AJ3299))</f>
        <v>20.062331685114657</v>
      </c>
      <c r="AK3304" s="133"/>
      <c r="AL3304" s="155"/>
      <c r="AM3304" s="143">
        <f>AM3295/((N_6*AM$27*0.667)*SQRT(AM3305*AM3297*AM3299))</f>
        <v>18.675567203771504</v>
      </c>
      <c r="AN3304" s="133"/>
      <c r="AO3304" s="155"/>
      <c r="AP3304" s="143">
        <f>AP3295/((N_6*AP$27*0.667)*SQRT(AP3305*AP3297*AP3299))</f>
        <v>17.140305504703278</v>
      </c>
      <c r="AQ3304" s="133"/>
      <c r="AR3304" s="155"/>
      <c r="AS3304" s="143">
        <f>AS3295/((N_6*AS$27*0.667)*SQRT(AS3305*AS3297*AS3299))</f>
        <v>24.705587766856389</v>
      </c>
      <c r="AT3304" s="133"/>
      <c r="AU3304" s="155"/>
    </row>
    <row r="3305" spans="13:47" ht="15.5" x14ac:dyDescent="0.4">
      <c r="M3305" s="27"/>
      <c r="N3305" s="27"/>
      <c r="O3305" s="2" t="s">
        <v>192</v>
      </c>
      <c r="P3305" s="85">
        <v>10</v>
      </c>
      <c r="Q3305" s="2"/>
      <c r="R3305" s="181">
        <f>F_GAMMA*R$29</f>
        <v>0.64002688015162901</v>
      </c>
      <c r="S3305" s="133"/>
      <c r="T3305" s="155"/>
      <c r="U3305" s="138">
        <f>F_GAMMA*U$29</f>
        <v>0.64016782916606918</v>
      </c>
      <c r="V3305" s="133"/>
      <c r="W3305" s="155"/>
      <c r="X3305" s="138">
        <f>F_GAMMA*X$29</f>
        <v>0.6307062319203669</v>
      </c>
      <c r="Y3305" s="133"/>
      <c r="Z3305" s="155"/>
      <c r="AA3305" s="138">
        <f>F_GAMMA*AA$29</f>
        <v>0.62217534213893466</v>
      </c>
      <c r="AB3305" s="133"/>
      <c r="AC3305" s="155"/>
      <c r="AD3305" s="138">
        <f>F_GAMMA*AD$29</f>
        <v>0.60557184969146072</v>
      </c>
      <c r="AE3305" s="133"/>
      <c r="AF3305" s="155"/>
      <c r="AG3305" s="138">
        <f>F_GAMMA*AG$29</f>
        <v>0.57289312142622573</v>
      </c>
      <c r="AH3305" s="133"/>
      <c r="AI3305" s="155"/>
      <c r="AJ3305" s="138">
        <f>F_GAMMA*AJ$29</f>
        <v>0.53590819116049981</v>
      </c>
      <c r="AK3305" s="133"/>
      <c r="AL3305" s="155"/>
      <c r="AM3305" s="138">
        <f>F_GAMMA*AM$29</f>
        <v>0.49048815926850342</v>
      </c>
      <c r="AN3305" s="133"/>
      <c r="AO3305" s="155"/>
      <c r="AP3305" s="138">
        <f>F_GAMMA*AP$29</f>
        <v>0.59352979016280105</v>
      </c>
      <c r="AQ3305" s="133"/>
      <c r="AR3305" s="155"/>
      <c r="AS3305" s="138">
        <f>F_GAMMA*AS$29</f>
        <v>0.39097221161068291</v>
      </c>
      <c r="AT3305" s="133"/>
      <c r="AU3305" s="155"/>
    </row>
    <row r="3306" spans="13:47" x14ac:dyDescent="0.25">
      <c r="M3306" s="27"/>
      <c r="N3306" s="27"/>
      <c r="O3306" s="2" t="s">
        <v>193</v>
      </c>
      <c r="P3306" s="134"/>
      <c r="Q3306" s="2"/>
      <c r="R3306" s="181">
        <f>IF(R3301&lt;R3305,R3303,R3304)</f>
        <v>5.0253415448714946</v>
      </c>
      <c r="S3306" s="133"/>
      <c r="T3306" s="155"/>
      <c r="U3306" s="138">
        <f>IF(U3301&lt;U3305,U3303,U3304)</f>
        <v>22.781818468417033</v>
      </c>
      <c r="V3306" s="133"/>
      <c r="W3306" s="155"/>
      <c r="X3306" s="138" t="e">
        <f>IF(X3301&lt;X3305,X3303,X3304)</f>
        <v>#NUM!</v>
      </c>
      <c r="Y3306" s="133"/>
      <c r="Z3306" s="155"/>
      <c r="AA3306" s="138">
        <f>IF(AA3301&lt;AA3305,AA3303,AA3304)</f>
        <v>93.900391605321417</v>
      </c>
      <c r="AB3306" s="133"/>
      <c r="AC3306" s="155"/>
      <c r="AD3306" s="138">
        <f>IF(AD3301&lt;AD3305,AD3303,AD3304)</f>
        <v>36.600275301146986</v>
      </c>
      <c r="AE3306" s="133"/>
      <c r="AF3306" s="155"/>
      <c r="AG3306" s="138">
        <f>IF(AG3301&lt;AG3305,AG3303,AG3304)</f>
        <v>24.732825687366407</v>
      </c>
      <c r="AH3306" s="133"/>
      <c r="AI3306" s="155"/>
      <c r="AJ3306" s="138">
        <f>IF(AJ3301&lt;AJ3305,AJ3303,AJ3304)</f>
        <v>20.062331685114657</v>
      </c>
      <c r="AK3306" s="133"/>
      <c r="AL3306" s="155"/>
      <c r="AM3306" s="138">
        <f>IF(AM3301&lt;AM3305,AM3303,AM3304)</f>
        <v>18.675567203771504</v>
      </c>
      <c r="AN3306" s="133"/>
      <c r="AO3306" s="155"/>
      <c r="AP3306" s="138">
        <f>IF(AP3301&lt;AP3305,AP3303,AP3304)</f>
        <v>17.140305504703278</v>
      </c>
      <c r="AQ3306" s="133"/>
      <c r="AR3306" s="155"/>
      <c r="AS3306" s="138">
        <f>IF(AS3301&lt;AS3305,AS3303,AS3304)</f>
        <v>24.705587766856389</v>
      </c>
      <c r="AT3306" s="133"/>
      <c r="AU3306" s="155"/>
    </row>
    <row r="3307" spans="13:47" ht="13" x14ac:dyDescent="0.3">
      <c r="M3307" s="28"/>
      <c r="N3307" s="28"/>
      <c r="O3307" s="9" t="s">
        <v>194</v>
      </c>
      <c r="P3307" s="1"/>
      <c r="Q3307" s="1"/>
      <c r="R3307" s="135"/>
      <c r="S3307" s="132">
        <f>IF(R3300&lt;=0,W_max,ABS(R$23-R3306))</f>
        <v>3.0253415448714946</v>
      </c>
      <c r="T3307" s="151">
        <f>R3295</f>
        <v>1155.168950803306</v>
      </c>
      <c r="U3307" s="135"/>
      <c r="V3307" s="132">
        <f>IF(U3300&lt;=0,W_max,ABS(U$23-U3306))</f>
        <v>17.781818468417033</v>
      </c>
      <c r="W3307" s="151">
        <f>U3295</f>
        <v>4719.7358978747216</v>
      </c>
      <c r="X3307" s="135"/>
      <c r="Y3307" s="132">
        <f>IF(X3300&lt;=0,W_max,ABS(X$23-X3306))</f>
        <v>7174</v>
      </c>
      <c r="Z3307" s="151">
        <f>X3295</f>
        <v>11672.468530599903</v>
      </c>
      <c r="AA3307" s="135"/>
      <c r="AB3307" s="132">
        <f>IF(AA3300&lt;=0,W_max,ABS(AA$23-AA3306))</f>
        <v>7174</v>
      </c>
      <c r="AC3307" s="151">
        <f>AA3295</f>
        <v>22734.989353553752</v>
      </c>
      <c r="AD3307" s="135"/>
      <c r="AE3307" s="132">
        <f>IF(AD3300&lt;=0,W_max,ABS(AD$23-AD3306))</f>
        <v>7174</v>
      </c>
      <c r="AF3307" s="151">
        <f>AD3295</f>
        <v>37390.686960136372</v>
      </c>
      <c r="AG3307" s="135"/>
      <c r="AH3307" s="132">
        <f>IF(AG3300&lt;=0,W_max,ABS(AG$23-AG3306))</f>
        <v>7174</v>
      </c>
      <c r="AI3307" s="151">
        <f>AG3295</f>
        <v>52443.317027358033</v>
      </c>
      <c r="AJ3307" s="135"/>
      <c r="AK3307" s="132">
        <f>IF(AJ3300&lt;=0,W_max,ABS(AJ$23-AJ3306))</f>
        <v>7174</v>
      </c>
      <c r="AL3307" s="151">
        <f>AJ3295</f>
        <v>66589.096713580206</v>
      </c>
      <c r="AM3307" s="135"/>
      <c r="AN3307" s="132">
        <f>IF(AM3300&lt;=0,W_max,ABS(AM$23-AM3306))</f>
        <v>7174</v>
      </c>
      <c r="AO3307" s="151">
        <f>AM3295</f>
        <v>78080.952791102973</v>
      </c>
      <c r="AP3307" s="135"/>
      <c r="AQ3307" s="132">
        <f>IF(AP3300&lt;=0,W_max,ABS(AP$23-AP3306))</f>
        <v>7174</v>
      </c>
      <c r="AR3307" s="151">
        <f>AP3295</f>
        <v>87112.447506502489</v>
      </c>
      <c r="AS3307" s="135"/>
      <c r="AT3307" s="132">
        <f>IF(AS3300&lt;=0,W_max,ABS(AS$23-AS3306))</f>
        <v>7174</v>
      </c>
      <c r="AU3307" s="151">
        <f>AS3295</f>
        <v>97188.600283548803</v>
      </c>
    </row>
    <row r="3308" spans="13:47" ht="13" x14ac:dyDescent="0.25">
      <c r="M3308" s="12"/>
      <c r="N3308" s="12"/>
      <c r="O3308" s="2"/>
      <c r="P3308" s="85"/>
      <c r="Q3308" s="2"/>
      <c r="R3308" s="18"/>
      <c r="S3308" s="150"/>
      <c r="T3308" s="148"/>
      <c r="U3308" s="157"/>
      <c r="V3308" s="1"/>
      <c r="W3308" s="147"/>
      <c r="X3308" s="157"/>
      <c r="Y3308" s="1"/>
      <c r="Z3308" s="147"/>
      <c r="AA3308" s="157"/>
      <c r="AB3308" s="1"/>
      <c r="AC3308" s="147"/>
      <c r="AD3308" s="157"/>
      <c r="AE3308" s="1"/>
      <c r="AF3308" s="147"/>
      <c r="AG3308" s="157"/>
      <c r="AH3308" s="1"/>
      <c r="AI3308" s="147"/>
      <c r="AJ3308" s="157"/>
      <c r="AK3308" s="1"/>
      <c r="AL3308" s="147"/>
      <c r="AM3308" s="157"/>
      <c r="AN3308" s="1"/>
      <c r="AO3308" s="147"/>
      <c r="AP3308" s="157"/>
      <c r="AQ3308" s="1"/>
      <c r="AR3308" s="147"/>
      <c r="AS3308" s="157"/>
      <c r="AT3308" s="1"/>
      <c r="AU3308" s="147"/>
    </row>
    <row r="3309" spans="13:47" ht="14" x14ac:dyDescent="0.3">
      <c r="M3309" s="23"/>
      <c r="N3309" s="23"/>
      <c r="O3309" s="23" t="s">
        <v>238</v>
      </c>
      <c r="P3309" s="20"/>
      <c r="Q3309" s="20"/>
      <c r="R3309" s="181">
        <f>R3295*1.02</f>
        <v>1178.2723298193721</v>
      </c>
      <c r="S3309" s="128" t="s">
        <v>185</v>
      </c>
      <c r="T3309" s="149" t="s">
        <v>186</v>
      </c>
      <c r="U3309" s="143">
        <f>U3295*1.01</f>
        <v>4766.9332568534692</v>
      </c>
      <c r="V3309" s="128" t="s">
        <v>185</v>
      </c>
      <c r="W3309" s="153" t="s">
        <v>186</v>
      </c>
      <c r="X3309" s="143">
        <f>X3295*1.01</f>
        <v>11789.193215905902</v>
      </c>
      <c r="Y3309" s="128" t="s">
        <v>185</v>
      </c>
      <c r="Z3309" s="153" t="s">
        <v>186</v>
      </c>
      <c r="AA3309" s="143">
        <f>AA3295*1.01</f>
        <v>22962.33924708929</v>
      </c>
      <c r="AB3309" s="128" t="s">
        <v>185</v>
      </c>
      <c r="AC3309" s="153" t="s">
        <v>186</v>
      </c>
      <c r="AD3309" s="143">
        <f>AD3295*1.01</f>
        <v>37764.593829737736</v>
      </c>
      <c r="AE3309" s="128" t="s">
        <v>185</v>
      </c>
      <c r="AF3309" s="153" t="s">
        <v>186</v>
      </c>
      <c r="AG3309" s="143">
        <f>AG3295*1.01</f>
        <v>52967.750197631613</v>
      </c>
      <c r="AH3309" s="128" t="s">
        <v>185</v>
      </c>
      <c r="AI3309" s="153" t="s">
        <v>186</v>
      </c>
      <c r="AJ3309" s="143">
        <f>AJ3295*1.01</f>
        <v>67254.987680716004</v>
      </c>
      <c r="AK3309" s="128" t="s">
        <v>185</v>
      </c>
      <c r="AL3309" s="153" t="s">
        <v>186</v>
      </c>
      <c r="AM3309" s="143">
        <f>AM3295*1.01</f>
        <v>78861.762319014</v>
      </c>
      <c r="AN3309" s="128" t="s">
        <v>185</v>
      </c>
      <c r="AO3309" s="153" t="s">
        <v>186</v>
      </c>
      <c r="AP3309" s="143">
        <f>AP3295*1.01</f>
        <v>87983.571981567511</v>
      </c>
      <c r="AQ3309" s="128" t="s">
        <v>185</v>
      </c>
      <c r="AR3309" s="153" t="s">
        <v>186</v>
      </c>
      <c r="AS3309" s="143">
        <f>AS3295*1.01</f>
        <v>98160.486286384286</v>
      </c>
      <c r="AT3309" s="128" t="s">
        <v>185</v>
      </c>
      <c r="AU3309" s="153" t="s">
        <v>186</v>
      </c>
    </row>
    <row r="3310" spans="13:47" ht="14" x14ac:dyDescent="0.3">
      <c r="M3310" s="12"/>
      <c r="N3310" s="12"/>
      <c r="O3310" s="20"/>
      <c r="P3310" s="20"/>
      <c r="Q3310" s="23"/>
      <c r="R3310" s="139"/>
      <c r="S3310" s="130" t="s">
        <v>228</v>
      </c>
      <c r="T3310" s="131" t="s">
        <v>187</v>
      </c>
      <c r="U3310" s="144"/>
      <c r="V3310" s="130" t="s">
        <v>228</v>
      </c>
      <c r="W3310" s="154" t="s">
        <v>187</v>
      </c>
      <c r="X3310" s="144"/>
      <c r="Y3310" s="130" t="s">
        <v>228</v>
      </c>
      <c r="Z3310" s="154" t="s">
        <v>187</v>
      </c>
      <c r="AA3310" s="144"/>
      <c r="AB3310" s="130" t="s">
        <v>228</v>
      </c>
      <c r="AC3310" s="154" t="s">
        <v>187</v>
      </c>
      <c r="AD3310" s="144"/>
      <c r="AE3310" s="130" t="s">
        <v>228</v>
      </c>
      <c r="AF3310" s="154" t="s">
        <v>187</v>
      </c>
      <c r="AG3310" s="144"/>
      <c r="AH3310" s="130" t="s">
        <v>228</v>
      </c>
      <c r="AI3310" s="154" t="s">
        <v>187</v>
      </c>
      <c r="AJ3310" s="144"/>
      <c r="AK3310" s="130" t="s">
        <v>228</v>
      </c>
      <c r="AL3310" s="154" t="s">
        <v>187</v>
      </c>
      <c r="AM3310" s="144"/>
      <c r="AN3310" s="130" t="s">
        <v>228</v>
      </c>
      <c r="AO3310" s="154" t="s">
        <v>187</v>
      </c>
      <c r="AP3310" s="144"/>
      <c r="AQ3310" s="130" t="s">
        <v>228</v>
      </c>
      <c r="AR3310" s="154" t="s">
        <v>187</v>
      </c>
      <c r="AS3310" s="144"/>
      <c r="AT3310" s="130" t="s">
        <v>228</v>
      </c>
      <c r="AU3310" s="154" t="s">
        <v>187</v>
      </c>
    </row>
    <row r="3311" spans="13:47" x14ac:dyDescent="0.25">
      <c r="M3311" s="20"/>
      <c r="N3311" s="20"/>
      <c r="O3311" s="7" t="s">
        <v>188</v>
      </c>
      <c r="P3311" s="7"/>
      <c r="Q3311" s="7"/>
      <c r="R3311" s="181">
        <f>P_1_minW-(R3309^2*R_up)+dpup_minQ</f>
        <v>99.969175437595567</v>
      </c>
      <c r="S3311" s="132"/>
      <c r="T3311" s="145"/>
      <c r="U3311" s="138">
        <f>P_1_minW-(U3309^2*R_up)+dpup_minQ</f>
        <v>91.461461263429584</v>
      </c>
      <c r="V3311" s="132"/>
      <c r="W3311" s="145"/>
      <c r="X3311" s="138">
        <f>P_1_minW-(X3309^2*R_up)+dpup_minQ</f>
        <v>45.100842309826447</v>
      </c>
      <c r="Y3311" s="132"/>
      <c r="Z3311" s="145"/>
      <c r="AA3311" s="138">
        <f>P_1_minW-(AA3309^2*R_up)+dpup_minQ</f>
        <v>-109.73197749460657</v>
      </c>
      <c r="AB3311" s="132"/>
      <c r="AC3311" s="145"/>
      <c r="AD3311" s="138">
        <f>P_1_minW-(AD3309^2*R_up)+dpup_minQ</f>
        <v>-468.17720725794618</v>
      </c>
      <c r="AE3311" s="132"/>
      <c r="AF3311" s="145"/>
      <c r="AG3311" s="138">
        <f>P_1_minW-(AG3309^2*R_up)+dpup_minQ</f>
        <v>-1018.2364678022262</v>
      </c>
      <c r="AH3311" s="132"/>
      <c r="AI3311" s="145"/>
      <c r="AJ3311" s="138">
        <f>P_1_minW-(AJ3309^2*R_up)+dpup_minQ</f>
        <v>-1703.1700580795666</v>
      </c>
      <c r="AK3311" s="132"/>
      <c r="AL3311" s="145"/>
      <c r="AM3311" s="138">
        <f>P_1_minW-(AM3309^2*R_up)+dpup_minQ</f>
        <v>-2379.4478771766717</v>
      </c>
      <c r="AN3311" s="132"/>
      <c r="AO3311" s="145"/>
      <c r="AP3311" s="138">
        <f>P_1_minW-(AP3309^2*R_up)+dpup_minQ</f>
        <v>-2986.3360303533013</v>
      </c>
      <c r="AQ3311" s="132"/>
      <c r="AR3311" s="145"/>
      <c r="AS3311" s="138">
        <f>P_1_minW-(AS3309^2*R_up)+dpup_minQ</f>
        <v>-3741.7393397071974</v>
      </c>
      <c r="AT3311" s="132"/>
      <c r="AU3311" s="145"/>
    </row>
    <row r="3312" spans="13:47" x14ac:dyDescent="0.25">
      <c r="M3312" s="20"/>
      <c r="N3312" s="20"/>
      <c r="O3312" s="7" t="s">
        <v>189</v>
      </c>
      <c r="P3312" s="1"/>
      <c r="Q3312" s="7"/>
      <c r="R3312" s="181">
        <f>P_2_minW+(R3309^2*R_dn)-dpdn_minQ</f>
        <v>50</v>
      </c>
      <c r="S3312" s="132"/>
      <c r="T3312" s="146"/>
      <c r="U3312" s="138">
        <f>P_2_minW+(U3309^2*R_dn)-dpdn_minQ</f>
        <v>50</v>
      </c>
      <c r="V3312" s="132"/>
      <c r="W3312" s="146"/>
      <c r="X3312" s="138">
        <f>P_2_minW+(X3309^2*R_dn)-dpdn_minQ</f>
        <v>50</v>
      </c>
      <c r="Y3312" s="132"/>
      <c r="Z3312" s="146"/>
      <c r="AA3312" s="138">
        <f>P_2_minW+(AA3309^2*R_dn)-dpdn_minQ</f>
        <v>50</v>
      </c>
      <c r="AB3312" s="132"/>
      <c r="AC3312" s="146"/>
      <c r="AD3312" s="138">
        <f>P_2_minW+(AD3309^2*R_dn)-dpdn_minQ</f>
        <v>50</v>
      </c>
      <c r="AE3312" s="132"/>
      <c r="AF3312" s="146"/>
      <c r="AG3312" s="138">
        <f>P_2_minW+(AG3309^2*R_dn)-dpdn_minQ</f>
        <v>50</v>
      </c>
      <c r="AH3312" s="132"/>
      <c r="AI3312" s="146"/>
      <c r="AJ3312" s="138">
        <f>P_2_minW+(AJ3309^2*R_dn)-dpdn_minQ</f>
        <v>50</v>
      </c>
      <c r="AK3312" s="132"/>
      <c r="AL3312" s="146"/>
      <c r="AM3312" s="138">
        <f>P_2_minW+(AM3309^2*R_dn)-dpdn_minQ</f>
        <v>50</v>
      </c>
      <c r="AN3312" s="132"/>
      <c r="AO3312" s="146"/>
      <c r="AP3312" s="138">
        <f>P_2_minW+(AP3309^2*R_dn)-dpdn_minQ</f>
        <v>50</v>
      </c>
      <c r="AQ3312" s="132"/>
      <c r="AR3312" s="146"/>
      <c r="AS3312" s="138">
        <f>P_2_minW+(AS3309^2*R_dn)-dpdn_minQ</f>
        <v>50</v>
      </c>
      <c r="AT3312" s="132"/>
      <c r="AU3312" s="146"/>
    </row>
    <row r="3313" spans="13:47" x14ac:dyDescent="0.25">
      <c r="M3313" s="20"/>
      <c r="N3313" s="20"/>
      <c r="O3313" s="7" t="s">
        <v>234</v>
      </c>
      <c r="P3313" s="1"/>
      <c r="Q3313" s="7"/>
      <c r="R3313" s="179">
        <f>'Valve Sizing'!G$8*R3311/P_1_maxW</f>
        <v>0.48223350389629899</v>
      </c>
      <c r="S3313" s="132"/>
      <c r="T3313" s="146"/>
      <c r="U3313" s="143">
        <f>'Valve Sizing'!$G$8*U3311/P_1_maxW</f>
        <v>0.44119380542527048</v>
      </c>
      <c r="V3313" s="132"/>
      <c r="W3313" s="146"/>
      <c r="X3313" s="143">
        <f>'Valve Sizing'!$G$8*X3311/P_1_maxW</f>
        <v>0.21755843359254942</v>
      </c>
      <c r="Y3313" s="132"/>
      <c r="Z3313" s="146"/>
      <c r="AA3313" s="143">
        <f>'Valve Sizing'!$G$8*AA3311/P_1_maxW</f>
        <v>-0.52932752285954721</v>
      </c>
      <c r="AB3313" s="132"/>
      <c r="AC3313" s="146"/>
      <c r="AD3313" s="143">
        <f>'Valve Sizing'!$G$8*AD3311/P_1_maxW</f>
        <v>-2.2584034939981832</v>
      </c>
      <c r="AE3313" s="132"/>
      <c r="AF3313" s="146"/>
      <c r="AG3313" s="143">
        <f>'Valve Sizing'!$G$8*AG3311/P_1_maxW</f>
        <v>-4.9117914348485963</v>
      </c>
      <c r="AH3313" s="132"/>
      <c r="AI3313" s="146"/>
      <c r="AJ3313" s="143">
        <f>'Valve Sizing'!$G$8*AJ3311/P_1_maxW</f>
        <v>-8.2157891294369456</v>
      </c>
      <c r="AK3313" s="132"/>
      <c r="AL3313" s="146"/>
      <c r="AM3313" s="143">
        <f>'Valve Sizing'!$G$8*AM3311/P_1_maxW</f>
        <v>-11.47803292491691</v>
      </c>
      <c r="AN3313" s="132"/>
      <c r="AO3313" s="146"/>
      <c r="AP3313" s="143">
        <f>'Valve Sizing'!$G$8*AP3311/P_1_maxW</f>
        <v>-14.405553326065064</v>
      </c>
      <c r="AQ3313" s="132"/>
      <c r="AR3313" s="146"/>
      <c r="AS3313" s="143">
        <f>'Valve Sizing'!$G$8*AS3311/P_1_maxW</f>
        <v>-18.049484399118544</v>
      </c>
      <c r="AT3313" s="132"/>
      <c r="AU3313" s="146"/>
    </row>
    <row r="3314" spans="13:47" x14ac:dyDescent="0.25">
      <c r="M3314" s="20"/>
      <c r="N3314" s="20"/>
      <c r="O3314" s="7" t="s">
        <v>190</v>
      </c>
      <c r="P3314" s="1"/>
      <c r="Q3314" s="7"/>
      <c r="R3314" s="181">
        <f>R3311-R3312</f>
        <v>49.969175437595567</v>
      </c>
      <c r="S3314" s="132"/>
      <c r="T3314" s="146"/>
      <c r="U3314" s="138">
        <f>U3311-U3312</f>
        <v>41.461461263429584</v>
      </c>
      <c r="V3314" s="132"/>
      <c r="W3314" s="146"/>
      <c r="X3314" s="138">
        <f>X3311-X3312</f>
        <v>-4.8991576901735527</v>
      </c>
      <c r="Y3314" s="132"/>
      <c r="Z3314" s="146"/>
      <c r="AA3314" s="138">
        <f>AA3311-AA3312</f>
        <v>-159.73197749460655</v>
      </c>
      <c r="AB3314" s="132"/>
      <c r="AC3314" s="146"/>
      <c r="AD3314" s="138">
        <f>AD3311-AD3312</f>
        <v>-518.17720725794618</v>
      </c>
      <c r="AE3314" s="132"/>
      <c r="AF3314" s="146"/>
      <c r="AG3314" s="138">
        <f>AG3311-AG3312</f>
        <v>-1068.2364678022263</v>
      </c>
      <c r="AH3314" s="132"/>
      <c r="AI3314" s="146"/>
      <c r="AJ3314" s="138">
        <f>AJ3311-AJ3312</f>
        <v>-1753.1700580795666</v>
      </c>
      <c r="AK3314" s="132"/>
      <c r="AL3314" s="146"/>
      <c r="AM3314" s="138">
        <f>AM3311-AM3312</f>
        <v>-2429.4478771766717</v>
      </c>
      <c r="AN3314" s="132"/>
      <c r="AO3314" s="146"/>
      <c r="AP3314" s="138">
        <f>AP3311-AP3312</f>
        <v>-3036.3360303533013</v>
      </c>
      <c r="AQ3314" s="132"/>
      <c r="AR3314" s="146"/>
      <c r="AS3314" s="138">
        <f>AS3311-AS3312</f>
        <v>-3791.7393397071974</v>
      </c>
      <c r="AT3314" s="132"/>
      <c r="AU3314" s="146"/>
    </row>
    <row r="3315" spans="13:47" ht="14.5" x14ac:dyDescent="0.35">
      <c r="M3315" s="27"/>
      <c r="N3315" s="27"/>
      <c r="O3315" s="2" t="s">
        <v>191</v>
      </c>
      <c r="P3315" s="10"/>
      <c r="Q3315" s="2"/>
      <c r="R3315" s="181">
        <f>R3314/R3311</f>
        <v>0.49984582966564689</v>
      </c>
      <c r="S3315" s="132"/>
      <c r="T3315" s="146"/>
      <c r="U3315" s="138">
        <f>U3314/U3311</f>
        <v>0.45332165800425217</v>
      </c>
      <c r="V3315" s="132"/>
      <c r="W3315" s="146"/>
      <c r="X3315" s="138">
        <f>X3314/X3311</f>
        <v>-0.10862674485141795</v>
      </c>
      <c r="Y3315" s="132"/>
      <c r="Z3315" s="146"/>
      <c r="AA3315" s="138">
        <f>AA3314/AA3311</f>
        <v>1.4556556907256823</v>
      </c>
      <c r="AB3315" s="132"/>
      <c r="AC3315" s="146"/>
      <c r="AD3315" s="138">
        <f>AD3314/AD3311</f>
        <v>1.1067971683048041</v>
      </c>
      <c r="AE3315" s="132"/>
      <c r="AF3315" s="146"/>
      <c r="AG3315" s="138">
        <f>AG3314/AG3311</f>
        <v>1.0491045072348673</v>
      </c>
      <c r="AH3315" s="132"/>
      <c r="AI3315" s="146"/>
      <c r="AJ3315" s="138">
        <f>AJ3314/AJ3311</f>
        <v>1.0293570214922509</v>
      </c>
      <c r="AK3315" s="132"/>
      <c r="AL3315" s="146"/>
      <c r="AM3315" s="138">
        <f>AM3314/AM3311</f>
        <v>1.0210132781136301</v>
      </c>
      <c r="AN3315" s="132"/>
      <c r="AO3315" s="146"/>
      <c r="AP3315" s="138">
        <f>AP3314/AP3311</f>
        <v>1.0167429249393896</v>
      </c>
      <c r="AQ3315" s="132"/>
      <c r="AR3315" s="146"/>
      <c r="AS3315" s="138">
        <f>AS3314/AS3311</f>
        <v>1.0133627694129845</v>
      </c>
      <c r="AT3315" s="132"/>
      <c r="AU3315" s="146"/>
    </row>
    <row r="3316" spans="13:47" x14ac:dyDescent="0.25">
      <c r="M3316" s="27"/>
      <c r="N3316" s="27"/>
      <c r="O3316" s="2" t="s">
        <v>26</v>
      </c>
      <c r="P3316" s="7">
        <v>12</v>
      </c>
      <c r="Q3316" s="2"/>
      <c r="R3316" s="181">
        <f>1-R3315/(3*F_GAMMA*R$29)</f>
        <v>0.73967456411245924</v>
      </c>
      <c r="S3316" s="133"/>
      <c r="T3316" s="146"/>
      <c r="U3316" s="138">
        <f>1-U3315/(3*F_GAMMA*U$29)</f>
        <v>0.76395686810504937</v>
      </c>
      <c r="V3316" s="133"/>
      <c r="W3316" s="146"/>
      <c r="X3316" s="138">
        <f>1-X3315/(3*F_GAMMA*X$29)</f>
        <v>1.0574101112656271</v>
      </c>
      <c r="Y3316" s="133"/>
      <c r="Z3316" s="146"/>
      <c r="AA3316" s="138">
        <f>1-AA3315/(3*F_GAMMA*AA$29)</f>
        <v>0.22012569333408927</v>
      </c>
      <c r="AB3316" s="133"/>
      <c r="AC3316" s="146"/>
      <c r="AD3316" s="138">
        <f>1-AD3315/(3*F_GAMMA*AD$29)</f>
        <v>0.39077024530960947</v>
      </c>
      <c r="AE3316" s="133"/>
      <c r="AF3316" s="146"/>
      <c r="AG3316" s="138">
        <f>1-AG3315/(3*F_GAMMA*AG$29)</f>
        <v>0.38958683682388184</v>
      </c>
      <c r="AH3316" s="133"/>
      <c r="AI3316" s="146"/>
      <c r="AJ3316" s="138">
        <f>1-AJ3315/(3*F_GAMMA*AJ$29)</f>
        <v>0.35974293204762287</v>
      </c>
      <c r="AK3316" s="133"/>
      <c r="AL3316" s="146"/>
      <c r="AM3316" s="138">
        <f>1-AM3315/(3*F_GAMMA*AM$29)</f>
        <v>0.30612441311778527</v>
      </c>
      <c r="AN3316" s="133"/>
      <c r="AO3316" s="146"/>
      <c r="AP3316" s="138">
        <f>1-AP3315/(3*F_GAMMA*AP$29)</f>
        <v>0.42898517659885604</v>
      </c>
      <c r="AQ3316" s="133"/>
      <c r="AR3316" s="146"/>
      <c r="AS3316" s="138">
        <f>1-AS3315/(3*F_GAMMA*AS$29)</f>
        <v>0.13603171843658857</v>
      </c>
      <c r="AT3316" s="133"/>
      <c r="AU3316" s="146"/>
    </row>
    <row r="3317" spans="13:47" x14ac:dyDescent="0.25">
      <c r="M3317" s="27"/>
      <c r="N3317" s="27"/>
      <c r="O3317" s="2" t="s">
        <v>71</v>
      </c>
      <c r="P3317" s="85">
        <v>5</v>
      </c>
      <c r="Q3317" s="2"/>
      <c r="R3317" s="179">
        <f>R3309/((N_6*R$27*R3316)*SQRT(R3315*R3311*R3313))</f>
        <v>5.1271138636955786</v>
      </c>
      <c r="S3317" s="133"/>
      <c r="T3317" s="146"/>
      <c r="U3317" s="143">
        <f>U3309/((N_6*U$27*U3316)*SQRT(U3315*U3311*U3313))</f>
        <v>23.064866181395335</v>
      </c>
      <c r="V3317" s="133"/>
      <c r="W3317" s="146"/>
      <c r="X3317" s="143" t="e">
        <f>X3309/((N_6*X$27*X3316)*SQRT(X3315*X3311*X3313))</f>
        <v>#NUM!</v>
      </c>
      <c r="Y3317" s="133"/>
      <c r="Z3317" s="146"/>
      <c r="AA3317" s="143">
        <f>AA3309/((N_6*AA$27*AA3316)*SQRT(AA3315*AA3311*AA3313))</f>
        <v>180.78272910770622</v>
      </c>
      <c r="AB3317" s="133"/>
      <c r="AC3317" s="146"/>
      <c r="AD3317" s="143">
        <f>AD3309/((N_6*AD$27*AD3316)*SQRT(AD3315*AD3311*AD3313))</f>
        <v>45.555184259245095</v>
      </c>
      <c r="AE3317" s="133"/>
      <c r="AF3317" s="146"/>
      <c r="AG3317" s="143">
        <f>AG3309/((N_6*AG$27*AG3316)*SQRT(AG3315*AG3311*AG3313))</f>
        <v>30.919945072105545</v>
      </c>
      <c r="AH3317" s="133"/>
      <c r="AI3317" s="146"/>
      <c r="AJ3317" s="143">
        <f>AJ3309/((N_6*AJ$27*AJ3316)*SQRT(AJ3315*AJ3311*AJ3313))</f>
        <v>26.542404249184827</v>
      </c>
      <c r="AK3317" s="133"/>
      <c r="AL3317" s="146"/>
      <c r="AM3317" s="143">
        <f>AM3309/((N_6*AM$27*AM3316)*SQRT(AM3315*AM3311*AM3313))</f>
        <v>27.90036767124014</v>
      </c>
      <c r="AN3317" s="133"/>
      <c r="AO3317" s="146"/>
      <c r="AP3317" s="143">
        <f>AP3309/((N_6*AP$27*AP3316)*SQRT(AP3315*AP3311*AP3313))</f>
        <v>20.146633132296078</v>
      </c>
      <c r="AQ3317" s="133"/>
      <c r="AR3317" s="146"/>
      <c r="AS3317" s="143">
        <f>AS3309/((N_6*AS$27*AS3316)*SQRT(AS3315*AS3311*AS3313))</f>
        <v>74.458684814993035</v>
      </c>
      <c r="AT3317" s="133"/>
      <c r="AU3317" s="146"/>
    </row>
    <row r="3318" spans="13:47" x14ac:dyDescent="0.25">
      <c r="M3318" s="27"/>
      <c r="N3318" s="27"/>
      <c r="O3318" s="2" t="s">
        <v>73</v>
      </c>
      <c r="P3318" s="85">
        <v>5</v>
      </c>
      <c r="Q3318" s="2"/>
      <c r="R3318" s="179">
        <f>R3309/((N_6*R$27*0.667)*SQRT(R3319*R3311*R3313))</f>
        <v>5.0246607225692683</v>
      </c>
      <c r="S3318" s="133"/>
      <c r="T3318" s="147"/>
      <c r="U3318" s="143">
        <f>U3309/((N_6*U$27*0.667)*SQRT(U3319*U3311*U3313))</f>
        <v>22.230552503506772</v>
      </c>
      <c r="V3318" s="133"/>
      <c r="W3318" s="155"/>
      <c r="X3318" s="143">
        <f>X3309/((N_6*X$27*0.667)*SQRT(X3319*X3311*X3313))</f>
        <v>112.57541035647436</v>
      </c>
      <c r="Y3318" s="133"/>
      <c r="Z3318" s="155"/>
      <c r="AA3318" s="143">
        <f>AA3309/((N_6*AA$27*0.667)*SQRT(AA3319*AA3311*AA3313))</f>
        <v>91.258804430295172</v>
      </c>
      <c r="AB3318" s="133"/>
      <c r="AC3318" s="155"/>
      <c r="AD3318" s="143">
        <f>AD3309/((N_6*AD$27*0.667)*SQRT(AD3319*AD3311*AD3313))</f>
        <v>36.081504786014008</v>
      </c>
      <c r="AE3318" s="133"/>
      <c r="AF3318" s="155"/>
      <c r="AG3318" s="143">
        <f>AG3309/((N_6*AG$27*0.667)*SQRT(AG3319*AG3311*AG3313))</f>
        <v>24.439354278996351</v>
      </c>
      <c r="AH3318" s="133"/>
      <c r="AI3318" s="155"/>
      <c r="AJ3318" s="143">
        <f>AJ3309/((N_6*AJ$27*0.667)*SQRT(AJ3319*AJ3311*AJ3313))</f>
        <v>19.84013000079096</v>
      </c>
      <c r="AK3318" s="133"/>
      <c r="AL3318" s="155"/>
      <c r="AM3318" s="143">
        <f>AM3309/((N_6*AM$27*0.667)*SQRT(AM3319*AM3311*AM3313))</f>
        <v>18.474959254524226</v>
      </c>
      <c r="AN3318" s="133"/>
      <c r="AO3318" s="155"/>
      <c r="AP3318" s="143">
        <f>AP3309/((N_6*AP$27*0.667)*SQRT(AP3319*AP3311*AP3313))</f>
        <v>16.959117468754137</v>
      </c>
      <c r="AQ3318" s="133"/>
      <c r="AR3318" s="155"/>
      <c r="AS3318" s="143">
        <f>AS3309/((N_6*AS$27*0.667)*SQRT(AS3319*AS3311*AS3313))</f>
        <v>24.447769263034534</v>
      </c>
      <c r="AT3318" s="133"/>
      <c r="AU3318" s="155"/>
    </row>
    <row r="3319" spans="13:47" ht="15.5" x14ac:dyDescent="0.4">
      <c r="M3319" s="27"/>
      <c r="N3319" s="27"/>
      <c r="O3319" s="2" t="s">
        <v>192</v>
      </c>
      <c r="P3319" s="85">
        <v>10</v>
      </c>
      <c r="Q3319" s="2"/>
      <c r="R3319" s="181">
        <f>F_GAMMA*R$29</f>
        <v>0.64002688015162901</v>
      </c>
      <c r="S3319" s="133"/>
      <c r="T3319" s="147"/>
      <c r="U3319" s="138">
        <f>F_GAMMA*U$29</f>
        <v>0.64016782916606918</v>
      </c>
      <c r="V3319" s="133"/>
      <c r="W3319" s="155"/>
      <c r="X3319" s="138">
        <f>F_GAMMA*X$29</f>
        <v>0.6307062319203669</v>
      </c>
      <c r="Y3319" s="133"/>
      <c r="Z3319" s="155"/>
      <c r="AA3319" s="138">
        <f>F_GAMMA*AA$29</f>
        <v>0.62217534213893466</v>
      </c>
      <c r="AB3319" s="133"/>
      <c r="AC3319" s="155"/>
      <c r="AD3319" s="138">
        <f>F_GAMMA*AD$29</f>
        <v>0.60557184969146072</v>
      </c>
      <c r="AE3319" s="133"/>
      <c r="AF3319" s="155"/>
      <c r="AG3319" s="138">
        <f>F_GAMMA*AG$29</f>
        <v>0.57289312142622573</v>
      </c>
      <c r="AH3319" s="133"/>
      <c r="AI3319" s="155"/>
      <c r="AJ3319" s="138">
        <f>F_GAMMA*AJ$29</f>
        <v>0.53590819116049981</v>
      </c>
      <c r="AK3319" s="133"/>
      <c r="AL3319" s="155"/>
      <c r="AM3319" s="138">
        <f>F_GAMMA*AM$29</f>
        <v>0.49048815926850342</v>
      </c>
      <c r="AN3319" s="133"/>
      <c r="AO3319" s="155"/>
      <c r="AP3319" s="138">
        <f>F_GAMMA*AP$29</f>
        <v>0.59352979016280105</v>
      </c>
      <c r="AQ3319" s="133"/>
      <c r="AR3319" s="155"/>
      <c r="AS3319" s="138">
        <f>F_GAMMA*AS$29</f>
        <v>0.39097221161068291</v>
      </c>
      <c r="AT3319" s="133"/>
      <c r="AU3319" s="155"/>
    </row>
    <row r="3320" spans="13:47" x14ac:dyDescent="0.25">
      <c r="M3320" s="27"/>
      <c r="N3320" s="27"/>
      <c r="O3320" s="2" t="s">
        <v>193</v>
      </c>
      <c r="P3320" s="134"/>
      <c r="Q3320" s="2"/>
      <c r="R3320" s="181">
        <f>IF(R3315&lt;R3319,R3317,R3318)</f>
        <v>5.1271138636955786</v>
      </c>
      <c r="S3320" s="133"/>
      <c r="T3320" s="147"/>
      <c r="U3320" s="138">
        <f>IF(U3315&lt;U3319,U3317,U3318)</f>
        <v>23.064866181395335</v>
      </c>
      <c r="V3320" s="133"/>
      <c r="W3320" s="155"/>
      <c r="X3320" s="138" t="e">
        <f>IF(X3315&lt;X3319,X3317,X3318)</f>
        <v>#NUM!</v>
      </c>
      <c r="Y3320" s="133"/>
      <c r="Z3320" s="155"/>
      <c r="AA3320" s="138">
        <f>IF(AA3315&lt;AA3319,AA3317,AA3318)</f>
        <v>91.258804430295172</v>
      </c>
      <c r="AB3320" s="133"/>
      <c r="AC3320" s="155"/>
      <c r="AD3320" s="138">
        <f>IF(AD3315&lt;AD3319,AD3317,AD3318)</f>
        <v>36.081504786014008</v>
      </c>
      <c r="AE3320" s="133"/>
      <c r="AF3320" s="155"/>
      <c r="AG3320" s="138">
        <f>IF(AG3315&lt;AG3319,AG3317,AG3318)</f>
        <v>24.439354278996351</v>
      </c>
      <c r="AH3320" s="133"/>
      <c r="AI3320" s="155"/>
      <c r="AJ3320" s="138">
        <f>IF(AJ3315&lt;AJ3319,AJ3317,AJ3318)</f>
        <v>19.84013000079096</v>
      </c>
      <c r="AK3320" s="133"/>
      <c r="AL3320" s="155"/>
      <c r="AM3320" s="138">
        <f>IF(AM3315&lt;AM3319,AM3317,AM3318)</f>
        <v>18.474959254524226</v>
      </c>
      <c r="AN3320" s="133"/>
      <c r="AO3320" s="155"/>
      <c r="AP3320" s="138">
        <f>IF(AP3315&lt;AP3319,AP3317,AP3318)</f>
        <v>16.959117468754137</v>
      </c>
      <c r="AQ3320" s="133"/>
      <c r="AR3320" s="155"/>
      <c r="AS3320" s="138">
        <f>IF(AS3315&lt;AS3319,AS3317,AS3318)</f>
        <v>24.447769263034534</v>
      </c>
      <c r="AT3320" s="133"/>
      <c r="AU3320" s="155"/>
    </row>
    <row r="3321" spans="13:47" ht="13" x14ac:dyDescent="0.3">
      <c r="M3321" s="28"/>
      <c r="N3321" s="28"/>
      <c r="O3321" s="9" t="s">
        <v>194</v>
      </c>
      <c r="P3321" s="1"/>
      <c r="Q3321" s="1"/>
      <c r="R3321" s="135"/>
      <c r="S3321" s="132">
        <f>IF(R3314&lt;=0,W_max,ABS(R$23-R3320))</f>
        <v>3.1271138636955786</v>
      </c>
      <c r="T3321" s="151">
        <f>R3309</f>
        <v>1178.2723298193721</v>
      </c>
      <c r="U3321" s="135"/>
      <c r="V3321" s="132">
        <f>IF(U3314&lt;=0,W_max,ABS(U$23-U3320))</f>
        <v>18.064866181395335</v>
      </c>
      <c r="W3321" s="151">
        <f>U3309</f>
        <v>4766.9332568534692</v>
      </c>
      <c r="X3321" s="135"/>
      <c r="Y3321" s="132">
        <f>IF(X3314&lt;=0,W_max,ABS(X$23-X3320))</f>
        <v>7174</v>
      </c>
      <c r="Z3321" s="151">
        <f>X3309</f>
        <v>11789.193215905902</v>
      </c>
      <c r="AA3321" s="135"/>
      <c r="AB3321" s="132">
        <f>IF(AA3314&lt;=0,W_max,ABS(AA$23-AA3320))</f>
        <v>7174</v>
      </c>
      <c r="AC3321" s="151">
        <f>AA3309</f>
        <v>22962.33924708929</v>
      </c>
      <c r="AD3321" s="135"/>
      <c r="AE3321" s="132">
        <f>IF(AD3314&lt;=0,W_max,ABS(AD$23-AD3320))</f>
        <v>7174</v>
      </c>
      <c r="AF3321" s="151">
        <f>AD3309</f>
        <v>37764.593829737736</v>
      </c>
      <c r="AG3321" s="135"/>
      <c r="AH3321" s="132">
        <f>IF(AG3314&lt;=0,W_max,ABS(AG$23-AG3320))</f>
        <v>7174</v>
      </c>
      <c r="AI3321" s="151">
        <f>AG3309</f>
        <v>52967.750197631613</v>
      </c>
      <c r="AJ3321" s="135"/>
      <c r="AK3321" s="132">
        <f>IF(AJ3314&lt;=0,W_max,ABS(AJ$23-AJ3320))</f>
        <v>7174</v>
      </c>
      <c r="AL3321" s="151">
        <f>AJ3309</f>
        <v>67254.987680716004</v>
      </c>
      <c r="AM3321" s="135"/>
      <c r="AN3321" s="132">
        <f>IF(AM3314&lt;=0,W_max,ABS(AM$23-AM3320))</f>
        <v>7174</v>
      </c>
      <c r="AO3321" s="151">
        <f>AM3309</f>
        <v>78861.762319014</v>
      </c>
      <c r="AP3321" s="135"/>
      <c r="AQ3321" s="132">
        <f>IF(AP3314&lt;=0,W_max,ABS(AP$23-AP3320))</f>
        <v>7174</v>
      </c>
      <c r="AR3321" s="151">
        <f>AP3309</f>
        <v>87983.571981567511</v>
      </c>
      <c r="AS3321" s="135"/>
      <c r="AT3321" s="132">
        <f>IF(AS3314&lt;=0,W_max,ABS(AS$23-AS3320))</f>
        <v>7174</v>
      </c>
      <c r="AU3321" s="151">
        <f>AS3309</f>
        <v>98160.486286384286</v>
      </c>
    </row>
    <row r="3322" spans="13:47" ht="13" x14ac:dyDescent="0.25">
      <c r="M3322" s="12"/>
      <c r="N3322" s="12"/>
      <c r="O3322" s="12"/>
      <c r="P3322" s="12"/>
      <c r="Q3322" s="12"/>
      <c r="R3322" s="182"/>
      <c r="S3322" s="22"/>
      <c r="T3322" s="152"/>
      <c r="U3322" s="157"/>
      <c r="V3322" s="1"/>
      <c r="W3322" s="147"/>
      <c r="X3322" s="157"/>
      <c r="Y3322" s="1"/>
      <c r="Z3322" s="147"/>
      <c r="AA3322" s="157"/>
      <c r="AB3322" s="1"/>
      <c r="AC3322" s="147"/>
      <c r="AD3322" s="157"/>
      <c r="AE3322" s="1"/>
      <c r="AF3322" s="147"/>
      <c r="AG3322" s="157"/>
      <c r="AH3322" s="1"/>
      <c r="AI3322" s="147"/>
      <c r="AJ3322" s="157"/>
      <c r="AK3322" s="1"/>
      <c r="AL3322" s="147"/>
      <c r="AM3322" s="157"/>
      <c r="AN3322" s="1"/>
      <c r="AO3322" s="147"/>
      <c r="AP3322" s="157"/>
      <c r="AQ3322" s="1"/>
      <c r="AR3322" s="147"/>
      <c r="AS3322" s="157"/>
      <c r="AT3322" s="1"/>
      <c r="AU3322" s="147"/>
    </row>
    <row r="3323" spans="13:47" ht="14" x14ac:dyDescent="0.3">
      <c r="M3323" s="23"/>
      <c r="N3323" s="23"/>
      <c r="O3323" s="23" t="s">
        <v>238</v>
      </c>
      <c r="P3323" s="20"/>
      <c r="Q3323" s="20"/>
      <c r="R3323" s="18">
        <f>R3309*1.02</f>
        <v>1201.8377764157597</v>
      </c>
      <c r="S3323" s="128" t="s">
        <v>185</v>
      </c>
      <c r="T3323" s="153" t="s">
        <v>186</v>
      </c>
      <c r="U3323" s="143">
        <f>U3309*1.01</f>
        <v>4814.6025894220038</v>
      </c>
      <c r="V3323" s="128" t="s">
        <v>185</v>
      </c>
      <c r="W3323" s="153" t="s">
        <v>186</v>
      </c>
      <c r="X3323" s="143">
        <f>X3309*1.01</f>
        <v>11907.08514806496</v>
      </c>
      <c r="Y3323" s="128" t="s">
        <v>185</v>
      </c>
      <c r="Z3323" s="153" t="s">
        <v>186</v>
      </c>
      <c r="AA3323" s="143">
        <f>AA3309*1.01</f>
        <v>23191.962639560184</v>
      </c>
      <c r="AB3323" s="128" t="s">
        <v>185</v>
      </c>
      <c r="AC3323" s="153" t="s">
        <v>186</v>
      </c>
      <c r="AD3323" s="143">
        <f>AD3309*1.01</f>
        <v>38142.239768035113</v>
      </c>
      <c r="AE3323" s="128" t="s">
        <v>185</v>
      </c>
      <c r="AF3323" s="153" t="s">
        <v>186</v>
      </c>
      <c r="AG3323" s="143">
        <f>AG3309*1.01</f>
        <v>53497.427699607928</v>
      </c>
      <c r="AH3323" s="128" t="s">
        <v>185</v>
      </c>
      <c r="AI3323" s="153" t="s">
        <v>186</v>
      </c>
      <c r="AJ3323" s="143">
        <f>AJ3309*1.01</f>
        <v>67927.537557523159</v>
      </c>
      <c r="AK3323" s="128" t="s">
        <v>185</v>
      </c>
      <c r="AL3323" s="153" t="s">
        <v>186</v>
      </c>
      <c r="AM3323" s="143">
        <f>AM3309*1.01</f>
        <v>79650.379942204134</v>
      </c>
      <c r="AN3323" s="128" t="s">
        <v>185</v>
      </c>
      <c r="AO3323" s="153" t="s">
        <v>186</v>
      </c>
      <c r="AP3323" s="143">
        <f>AP3309*1.01</f>
        <v>88863.407701383185</v>
      </c>
      <c r="AQ3323" s="128" t="s">
        <v>185</v>
      </c>
      <c r="AR3323" s="153" t="s">
        <v>186</v>
      </c>
      <c r="AS3323" s="143">
        <f>AS3309*1.01</f>
        <v>99142.091149248125</v>
      </c>
      <c r="AT3323" s="128" t="s">
        <v>185</v>
      </c>
      <c r="AU3323" s="153" t="s">
        <v>186</v>
      </c>
    </row>
    <row r="3324" spans="13:47" ht="14" x14ac:dyDescent="0.3">
      <c r="M3324" s="12"/>
      <c r="N3324" s="12"/>
      <c r="O3324" s="20"/>
      <c r="P3324" s="20"/>
      <c r="Q3324" s="23"/>
      <c r="R3324" s="139"/>
      <c r="S3324" s="130" t="s">
        <v>228</v>
      </c>
      <c r="T3324" s="154" t="s">
        <v>187</v>
      </c>
      <c r="U3324" s="144"/>
      <c r="V3324" s="130" t="s">
        <v>228</v>
      </c>
      <c r="W3324" s="154" t="s">
        <v>187</v>
      </c>
      <c r="X3324" s="144"/>
      <c r="Y3324" s="130" t="s">
        <v>228</v>
      </c>
      <c r="Z3324" s="154" t="s">
        <v>187</v>
      </c>
      <c r="AA3324" s="144"/>
      <c r="AB3324" s="130" t="s">
        <v>228</v>
      </c>
      <c r="AC3324" s="154" t="s">
        <v>187</v>
      </c>
      <c r="AD3324" s="144"/>
      <c r="AE3324" s="130" t="s">
        <v>228</v>
      </c>
      <c r="AF3324" s="154" t="s">
        <v>187</v>
      </c>
      <c r="AG3324" s="144"/>
      <c r="AH3324" s="130" t="s">
        <v>228</v>
      </c>
      <c r="AI3324" s="154" t="s">
        <v>187</v>
      </c>
      <c r="AJ3324" s="144"/>
      <c r="AK3324" s="130" t="s">
        <v>228</v>
      </c>
      <c r="AL3324" s="154" t="s">
        <v>187</v>
      </c>
      <c r="AM3324" s="144"/>
      <c r="AN3324" s="130" t="s">
        <v>228</v>
      </c>
      <c r="AO3324" s="154" t="s">
        <v>187</v>
      </c>
      <c r="AP3324" s="144"/>
      <c r="AQ3324" s="130" t="s">
        <v>228</v>
      </c>
      <c r="AR3324" s="154" t="s">
        <v>187</v>
      </c>
      <c r="AS3324" s="144"/>
      <c r="AT3324" s="130" t="s">
        <v>228</v>
      </c>
      <c r="AU3324" s="154" t="s">
        <v>187</v>
      </c>
    </row>
    <row r="3325" spans="13:47" x14ac:dyDescent="0.25">
      <c r="M3325" s="20"/>
      <c r="N3325" s="20"/>
      <c r="O3325" s="7" t="s">
        <v>188</v>
      </c>
      <c r="P3325" s="7"/>
      <c r="Q3325" s="7"/>
      <c r="R3325" s="181">
        <f>P_1_minW-(R3323^2*R_up)+dpup_minQ</f>
        <v>99.946809541110667</v>
      </c>
      <c r="S3325" s="132"/>
      <c r="T3325" s="145"/>
      <c r="U3325" s="138">
        <f>P_1_minW-(U3323^2*R_up)+dpup_minQ</f>
        <v>91.279328621416298</v>
      </c>
      <c r="V3325" s="132"/>
      <c r="W3325" s="145"/>
      <c r="X3325" s="138">
        <f>P_1_minW-(X3323^2*R_up)+dpup_minQ</f>
        <v>43.986861226845761</v>
      </c>
      <c r="Y3325" s="132"/>
      <c r="Z3325" s="145"/>
      <c r="AA3325" s="138">
        <f>P_1_minW-(AA3323^2*R_up)+dpup_minQ</f>
        <v>-113.9580982556564</v>
      </c>
      <c r="AB3325" s="132"/>
      <c r="AC3325" s="145"/>
      <c r="AD3325" s="138">
        <f>P_1_minW-(AD3323^2*R_up)+dpup_minQ</f>
        <v>-479.60807713723909</v>
      </c>
      <c r="AE3325" s="132"/>
      <c r="AF3325" s="145"/>
      <c r="AG3325" s="138">
        <f>P_1_minW-(AG3323^2*R_up)+dpup_minQ</f>
        <v>-1040.7235288184593</v>
      </c>
      <c r="AH3325" s="132"/>
      <c r="AI3325" s="145"/>
      <c r="AJ3325" s="138">
        <f>P_1_minW-(AJ3323^2*R_up)+dpup_minQ</f>
        <v>-1739.4242842603737</v>
      </c>
      <c r="AK3325" s="132"/>
      <c r="AL3325" s="145"/>
      <c r="AM3325" s="138">
        <f>P_1_minW-(AM3323^2*R_up)+dpup_minQ</f>
        <v>-2429.2952875213305</v>
      </c>
      <c r="AN3325" s="132"/>
      <c r="AO3325" s="145"/>
      <c r="AP3325" s="138">
        <f>P_1_minW-(AP3323^2*R_up)+dpup_minQ</f>
        <v>-3048.3818925768105</v>
      </c>
      <c r="AQ3325" s="132"/>
      <c r="AR3325" s="145"/>
      <c r="AS3325" s="138">
        <f>P_1_minW-(AS3323^2*R_up)+dpup_minQ</f>
        <v>-3818.9688084487202</v>
      </c>
      <c r="AT3325" s="132"/>
      <c r="AU3325" s="145"/>
    </row>
    <row r="3326" spans="13:47" x14ac:dyDescent="0.25">
      <c r="M3326" s="20"/>
      <c r="N3326" s="20"/>
      <c r="O3326" s="7" t="s">
        <v>189</v>
      </c>
      <c r="P3326" s="1"/>
      <c r="Q3326" s="7"/>
      <c r="R3326" s="181">
        <f>P_2_minW+(R3323^2*R_dn)-dpdn_minQ</f>
        <v>50</v>
      </c>
      <c r="S3326" s="132"/>
      <c r="T3326" s="146"/>
      <c r="U3326" s="138">
        <f>P_2_minW+(U3323^2*R_dn)-dpdn_minQ</f>
        <v>50</v>
      </c>
      <c r="V3326" s="132"/>
      <c r="W3326" s="146"/>
      <c r="X3326" s="138">
        <f>P_2_minW+(X3323^2*R_dn)-dpdn_minQ</f>
        <v>50</v>
      </c>
      <c r="Y3326" s="132"/>
      <c r="Z3326" s="146"/>
      <c r="AA3326" s="138">
        <f>P_2_minW+(AA3323^2*R_dn)-dpdn_minQ</f>
        <v>50</v>
      </c>
      <c r="AB3326" s="132"/>
      <c r="AC3326" s="146"/>
      <c r="AD3326" s="138">
        <f>P_2_minW+(AD3323^2*R_dn)-dpdn_minQ</f>
        <v>50</v>
      </c>
      <c r="AE3326" s="132"/>
      <c r="AF3326" s="146"/>
      <c r="AG3326" s="138">
        <f>P_2_minW+(AG3323^2*R_dn)-dpdn_minQ</f>
        <v>50</v>
      </c>
      <c r="AH3326" s="132"/>
      <c r="AI3326" s="146"/>
      <c r="AJ3326" s="138">
        <f>P_2_minW+(AJ3323^2*R_dn)-dpdn_minQ</f>
        <v>50</v>
      </c>
      <c r="AK3326" s="132"/>
      <c r="AL3326" s="146"/>
      <c r="AM3326" s="138">
        <f>P_2_minW+(AM3323^2*R_dn)-dpdn_minQ</f>
        <v>50</v>
      </c>
      <c r="AN3326" s="132"/>
      <c r="AO3326" s="146"/>
      <c r="AP3326" s="138">
        <f>P_2_minW+(AP3323^2*R_dn)-dpdn_minQ</f>
        <v>50</v>
      </c>
      <c r="AQ3326" s="132"/>
      <c r="AR3326" s="146"/>
      <c r="AS3326" s="138">
        <f>P_2_minW+(AS3323^2*R_dn)-dpdn_minQ</f>
        <v>50</v>
      </c>
      <c r="AT3326" s="132"/>
      <c r="AU3326" s="146"/>
    </row>
    <row r="3327" spans="13:47" x14ac:dyDescent="0.25">
      <c r="M3327" s="20"/>
      <c r="N3327" s="20"/>
      <c r="O3327" s="7" t="s">
        <v>234</v>
      </c>
      <c r="P3327" s="1"/>
      <c r="Q3327" s="7"/>
      <c r="R3327" s="179">
        <f>'Valve Sizing'!G$8*R3325/P_1_maxW</f>
        <v>0.48212561479365829</v>
      </c>
      <c r="S3327" s="132"/>
      <c r="T3327" s="146"/>
      <c r="U3327" s="143">
        <f>'Valve Sizing'!$G$8*U3325/P_1_maxW</f>
        <v>0.44031522998691663</v>
      </c>
      <c r="V3327" s="132"/>
      <c r="W3327" s="146"/>
      <c r="X3327" s="143">
        <f>'Valve Sizing'!$G$8*X3325/P_1_maxW</f>
        <v>0.21218478718035799</v>
      </c>
      <c r="Y3327" s="132"/>
      <c r="Z3327" s="146"/>
      <c r="AA3327" s="143">
        <f>'Valve Sizing'!$G$8*AA3325/P_1_maxW</f>
        <v>-0.54971357699642587</v>
      </c>
      <c r="AB3327" s="132"/>
      <c r="AC3327" s="146"/>
      <c r="AD3327" s="143">
        <f>'Valve Sizing'!$G$8*AD3325/P_1_maxW</f>
        <v>-2.313543975154948</v>
      </c>
      <c r="AE3327" s="132"/>
      <c r="AF3327" s="146"/>
      <c r="AG3327" s="143">
        <f>'Valve Sizing'!$G$8*AG3325/P_1_maxW</f>
        <v>-5.0202650136164548</v>
      </c>
      <c r="AH3327" s="132"/>
      <c r="AI3327" s="146"/>
      <c r="AJ3327" s="143">
        <f>'Valve Sizing'!$G$8*AJ3325/P_1_maxW</f>
        <v>-8.3906730618660266</v>
      </c>
      <c r="AK3327" s="132"/>
      <c r="AL3327" s="146"/>
      <c r="AM3327" s="143">
        <f>'Valve Sizing'!$G$8*AM3325/P_1_maxW</f>
        <v>-11.718487957635139</v>
      </c>
      <c r="AN3327" s="132"/>
      <c r="AO3327" s="146"/>
      <c r="AP3327" s="143">
        <f>'Valve Sizing'!$G$8*AP3325/P_1_maxW</f>
        <v>-14.704851518846372</v>
      </c>
      <c r="AQ3327" s="132"/>
      <c r="AR3327" s="146"/>
      <c r="AS3327" s="143">
        <f>'Valve Sizing'!$G$8*AS3325/P_1_maxW</f>
        <v>-18.422025606468228</v>
      </c>
      <c r="AT3327" s="132"/>
      <c r="AU3327" s="146"/>
    </row>
    <row r="3328" spans="13:47" x14ac:dyDescent="0.25">
      <c r="M3328" s="20"/>
      <c r="N3328" s="20"/>
      <c r="O3328" s="7" t="s">
        <v>190</v>
      </c>
      <c r="P3328" s="1"/>
      <c r="Q3328" s="7"/>
      <c r="R3328" s="181">
        <f>R3325-R3326</f>
        <v>49.946809541110667</v>
      </c>
      <c r="S3328" s="132"/>
      <c r="T3328" s="146"/>
      <c r="U3328" s="138">
        <f>U3325-U3326</f>
        <v>41.279328621416298</v>
      </c>
      <c r="V3328" s="132"/>
      <c r="W3328" s="146"/>
      <c r="X3328" s="138">
        <f>X3325-X3326</f>
        <v>-6.0131387731542389</v>
      </c>
      <c r="Y3328" s="132"/>
      <c r="Z3328" s="146"/>
      <c r="AA3328" s="138">
        <f>AA3325-AA3326</f>
        <v>-163.95809825565641</v>
      </c>
      <c r="AB3328" s="132"/>
      <c r="AC3328" s="146"/>
      <c r="AD3328" s="138">
        <f>AD3325-AD3326</f>
        <v>-529.60807713723909</v>
      </c>
      <c r="AE3328" s="132"/>
      <c r="AF3328" s="146"/>
      <c r="AG3328" s="138">
        <f>AG3325-AG3326</f>
        <v>-1090.7235288184593</v>
      </c>
      <c r="AH3328" s="132"/>
      <c r="AI3328" s="146"/>
      <c r="AJ3328" s="138">
        <f>AJ3325-AJ3326</f>
        <v>-1789.4242842603737</v>
      </c>
      <c r="AK3328" s="132"/>
      <c r="AL3328" s="146"/>
      <c r="AM3328" s="138">
        <f>AM3325-AM3326</f>
        <v>-2479.2952875213305</v>
      </c>
      <c r="AN3328" s="132"/>
      <c r="AO3328" s="146"/>
      <c r="AP3328" s="138">
        <f>AP3325-AP3326</f>
        <v>-3098.3818925768105</v>
      </c>
      <c r="AQ3328" s="132"/>
      <c r="AR3328" s="146"/>
      <c r="AS3328" s="138">
        <f>AS3325-AS3326</f>
        <v>-3868.9688084487202</v>
      </c>
      <c r="AT3328" s="132"/>
      <c r="AU3328" s="146"/>
    </row>
    <row r="3329" spans="13:47" ht="14.5" x14ac:dyDescent="0.35">
      <c r="M3329" s="27"/>
      <c r="N3329" s="27"/>
      <c r="O3329" s="2" t="s">
        <v>191</v>
      </c>
      <c r="P3329" s="10"/>
      <c r="Q3329" s="2"/>
      <c r="R3329" s="181">
        <f>R3328/R3325</f>
        <v>0.49973390616902358</v>
      </c>
      <c r="S3329" s="132"/>
      <c r="T3329" s="146"/>
      <c r="U3329" s="138">
        <f>U3328/U3325</f>
        <v>0.45223085275554037</v>
      </c>
      <c r="V3329" s="132"/>
      <c r="W3329" s="146"/>
      <c r="X3329" s="138">
        <f>X3328/X3325</f>
        <v>-0.13670306553913289</v>
      </c>
      <c r="Y3329" s="132"/>
      <c r="Z3329" s="146"/>
      <c r="AA3329" s="138">
        <f>AA3328/AA3325</f>
        <v>1.4387577606624216</v>
      </c>
      <c r="AB3329" s="132"/>
      <c r="AC3329" s="146"/>
      <c r="AD3329" s="138">
        <f>AD3328/AD3325</f>
        <v>1.1042517888740488</v>
      </c>
      <c r="AE3329" s="132"/>
      <c r="AF3329" s="146"/>
      <c r="AG3329" s="138">
        <f>AG3328/AG3325</f>
        <v>1.0480434991767364</v>
      </c>
      <c r="AH3329" s="132"/>
      <c r="AI3329" s="146"/>
      <c r="AJ3329" s="138">
        <f>AJ3328/AJ3325</f>
        <v>1.0287451431214556</v>
      </c>
      <c r="AK3329" s="132"/>
      <c r="AL3329" s="146"/>
      <c r="AM3329" s="138">
        <f>AM3328/AM3325</f>
        <v>1.0205821006021119</v>
      </c>
      <c r="AN3329" s="132"/>
      <c r="AO3329" s="146"/>
      <c r="AP3329" s="138">
        <f>AP3328/AP3325</f>
        <v>1.0164021444038085</v>
      </c>
      <c r="AQ3329" s="132"/>
      <c r="AR3329" s="146"/>
      <c r="AS3329" s="138">
        <f>AS3328/AS3325</f>
        <v>1.0130925395068389</v>
      </c>
      <c r="AT3329" s="132"/>
      <c r="AU3329" s="146"/>
    </row>
    <row r="3330" spans="13:47" x14ac:dyDescent="0.25">
      <c r="M3330" s="27"/>
      <c r="N3330" s="27"/>
      <c r="O3330" s="2" t="s">
        <v>26</v>
      </c>
      <c r="P3330" s="7">
        <v>12</v>
      </c>
      <c r="Q3330" s="2"/>
      <c r="R3330" s="181">
        <f>1-R3329/(3*F_GAMMA*R$29)</f>
        <v>0.73973285515204634</v>
      </c>
      <c r="S3330" s="133"/>
      <c r="T3330" s="146"/>
      <c r="U3330" s="138">
        <f>1-U3329/(3*F_GAMMA*U$29)</f>
        <v>0.76452484689593025</v>
      </c>
      <c r="V3330" s="133"/>
      <c r="W3330" s="146"/>
      <c r="X3330" s="138">
        <f>1-X3329/(3*F_GAMMA*X$29)</f>
        <v>1.0722486733233956</v>
      </c>
      <c r="Y3330" s="133"/>
      <c r="Z3330" s="146"/>
      <c r="AA3330" s="138">
        <f>1-AA3329/(3*F_GAMMA*AA$29)</f>
        <v>0.22917883795897298</v>
      </c>
      <c r="AB3330" s="133"/>
      <c r="AC3330" s="146"/>
      <c r="AD3330" s="138">
        <f>1-AD3329/(3*F_GAMMA*AD$29)</f>
        <v>0.39217133390163039</v>
      </c>
      <c r="AE3330" s="133"/>
      <c r="AF3330" s="146"/>
      <c r="AG3330" s="138">
        <f>1-AG3329/(3*F_GAMMA*AG$29)</f>
        <v>0.39020417597403567</v>
      </c>
      <c r="AH3330" s="133"/>
      <c r="AI3330" s="146"/>
      <c r="AJ3330" s="138">
        <f>1-AJ3329/(3*F_GAMMA*AJ$29)</f>
        <v>0.36012351861132152</v>
      </c>
      <c r="AK3330" s="133"/>
      <c r="AL3330" s="146"/>
      <c r="AM3330" s="138">
        <f>1-AM3329/(3*F_GAMMA*AM$29)</f>
        <v>0.30641743922750242</v>
      </c>
      <c r="AN3330" s="133"/>
      <c r="AO3330" s="146"/>
      <c r="AP3330" s="138">
        <f>1-AP3329/(3*F_GAMMA*AP$29)</f>
        <v>0.42917656296857676</v>
      </c>
      <c r="AQ3330" s="133"/>
      <c r="AR3330" s="146"/>
      <c r="AS3330" s="138">
        <f>1-AS3329/(3*F_GAMMA*AS$29)</f>
        <v>0.13626210983706899</v>
      </c>
      <c r="AT3330" s="133"/>
      <c r="AU3330" s="146"/>
    </row>
    <row r="3331" spans="13:47" x14ac:dyDescent="0.25">
      <c r="M3331" s="27"/>
      <c r="N3331" s="27"/>
      <c r="O3331" s="2" t="s">
        <v>71</v>
      </c>
      <c r="P3331" s="85">
        <v>5</v>
      </c>
      <c r="Q3331" s="2"/>
      <c r="R3331" s="179">
        <f>R3323/((N_6*R$27*R3330)*SQRT(R3329*R3325*R3327))</f>
        <v>5.2309999183341054</v>
      </c>
      <c r="S3331" s="133"/>
      <c r="T3331" s="146"/>
      <c r="U3331" s="143">
        <f>U3323/((N_6*U$27*U3330)*SQRT(U3329*U3325*U3327))</f>
        <v>23.352769196519084</v>
      </c>
      <c r="V3331" s="133"/>
      <c r="W3331" s="146"/>
      <c r="X3331" s="143" t="e">
        <f>X3323/((N_6*X$27*X3330)*SQRT(X3329*X3325*X3327))</f>
        <v>#NUM!</v>
      </c>
      <c r="Y3331" s="133"/>
      <c r="Z3331" s="146"/>
      <c r="AA3331" s="143">
        <f>AA3323/((N_6*AA$27*AA3330)*SQRT(AA3329*AA3325*AA3327))</f>
        <v>169.86270673388847</v>
      </c>
      <c r="AB3331" s="133"/>
      <c r="AC3331" s="146"/>
      <c r="AD3331" s="143">
        <f>AD3323/((N_6*AD$27*AD3330)*SQRT(AD3329*AD3325*AD3327))</f>
        <v>44.805214999436949</v>
      </c>
      <c r="AE3331" s="133"/>
      <c r="AF3331" s="146"/>
      <c r="AG3331" s="143">
        <f>AG3323/((N_6*AG$27*AG3330)*SQRT(AG3329*AG3325*AG3327))</f>
        <v>30.521469911023868</v>
      </c>
      <c r="AH3331" s="133"/>
      <c r="AI3331" s="146"/>
      <c r="AJ3331" s="143">
        <f>AJ3323/((N_6*AJ$27*AJ3330)*SQRT(AJ3329*AJ3325*AJ3327))</f>
        <v>26.229138091504257</v>
      </c>
      <c r="AK3331" s="133"/>
      <c r="AL3331" s="146"/>
      <c r="AM3331" s="143">
        <f>AM3323/((N_6*AM$27*AM3330)*SQRT(AM3329*AM3325*AM3327))</f>
        <v>27.580580106108631</v>
      </c>
      <c r="AN3331" s="133"/>
      <c r="AO3331" s="146"/>
      <c r="AP3331" s="143">
        <f>AP3323/((N_6*AP$27*AP3330)*SQRT(AP3329*AP3325*AP3327))</f>
        <v>19.928390928889975</v>
      </c>
      <c r="AQ3331" s="133"/>
      <c r="AR3331" s="146"/>
      <c r="AS3331" s="143">
        <f>AS3323/((N_6*AS$27*AS3330)*SQRT(AS3329*AS3325*AS3327))</f>
        <v>73.567693847125582</v>
      </c>
      <c r="AT3331" s="133"/>
      <c r="AU3331" s="146"/>
    </row>
    <row r="3332" spans="13:47" x14ac:dyDescent="0.25">
      <c r="M3332" s="27"/>
      <c r="N3332" s="27"/>
      <c r="O3332" s="2" t="s">
        <v>73</v>
      </c>
      <c r="P3332" s="85">
        <v>5</v>
      </c>
      <c r="Q3332" s="2"/>
      <c r="R3332" s="179">
        <f>R3323/((N_6*R$27*0.667)*SQRT(R3333*R3325*R3327))</f>
        <v>5.1263008336844997</v>
      </c>
      <c r="S3332" s="133"/>
      <c r="T3332" s="155"/>
      <c r="U3332" s="143">
        <f>U3323/((N_6*U$27*0.667)*SQRT(U3333*U3325*U3327))</f>
        <v>22.497658953518492</v>
      </c>
      <c r="V3332" s="133"/>
      <c r="W3332" s="155"/>
      <c r="X3332" s="143">
        <f>X3323/((N_6*X$27*0.667)*SQRT(X3333*X3325*X3327))</f>
        <v>116.58068217939066</v>
      </c>
      <c r="Y3332" s="133"/>
      <c r="Z3332" s="155"/>
      <c r="AA3332" s="143">
        <f>AA3323/((N_6*AA$27*0.667)*SQRT(AA3333*AA3325*AA3327))</f>
        <v>88.753228769918749</v>
      </c>
      <c r="AB3332" s="133"/>
      <c r="AC3332" s="155"/>
      <c r="AD3332" s="143">
        <f>AD3323/((N_6*AD$27*0.667)*SQRT(AD3333*AD3325*AD3327))</f>
        <v>35.57376186752991</v>
      </c>
      <c r="AE3332" s="133"/>
      <c r="AF3332" s="155"/>
      <c r="AG3332" s="143">
        <f>AG3323/((N_6*AG$27*0.667)*SQRT(AG3333*AG3325*AG3327))</f>
        <v>24.15040257878216</v>
      </c>
      <c r="AH3332" s="133"/>
      <c r="AI3332" s="155"/>
      <c r="AJ3332" s="143">
        <f>AJ3323/((N_6*AJ$27*0.667)*SQRT(AJ3333*AJ3325*AJ3327))</f>
        <v>19.620875037928389</v>
      </c>
      <c r="AK3332" s="133"/>
      <c r="AL3332" s="155"/>
      <c r="AM3332" s="143">
        <f>AM3323/((N_6*AM$27*0.667)*SQRT(AM3333*AM3325*AM3327))</f>
        <v>18.276824901840737</v>
      </c>
      <c r="AN3332" s="133"/>
      <c r="AO3332" s="155"/>
      <c r="AP3332" s="143">
        <f>AP3323/((N_6*AP$27*0.667)*SQRT(AP3333*AP3325*AP3327))</f>
        <v>16.780075980603218</v>
      </c>
      <c r="AQ3332" s="133"/>
      <c r="AR3332" s="155"/>
      <c r="AS3332" s="143">
        <f>AS3323/((N_6*AS$27*0.667)*SQRT(AS3333*AS3325*AS3327))</f>
        <v>24.192905586287445</v>
      </c>
      <c r="AT3332" s="133"/>
      <c r="AU3332" s="155"/>
    </row>
    <row r="3333" spans="13:47" ht="15.5" x14ac:dyDescent="0.4">
      <c r="M3333" s="27"/>
      <c r="N3333" s="27"/>
      <c r="O3333" s="2" t="s">
        <v>192</v>
      </c>
      <c r="P3333" s="85">
        <v>10</v>
      </c>
      <c r="Q3333" s="2"/>
      <c r="R3333" s="181">
        <f>F_GAMMA*R$29</f>
        <v>0.64002688015162901</v>
      </c>
      <c r="S3333" s="133"/>
      <c r="T3333" s="155"/>
      <c r="U3333" s="138">
        <f>F_GAMMA*U$29</f>
        <v>0.64016782916606918</v>
      </c>
      <c r="V3333" s="133"/>
      <c r="W3333" s="155"/>
      <c r="X3333" s="138">
        <f>F_GAMMA*X$29</f>
        <v>0.6307062319203669</v>
      </c>
      <c r="Y3333" s="133"/>
      <c r="Z3333" s="155"/>
      <c r="AA3333" s="138">
        <f>F_GAMMA*AA$29</f>
        <v>0.62217534213893466</v>
      </c>
      <c r="AB3333" s="133"/>
      <c r="AC3333" s="155"/>
      <c r="AD3333" s="138">
        <f>F_GAMMA*AD$29</f>
        <v>0.60557184969146072</v>
      </c>
      <c r="AE3333" s="133"/>
      <c r="AF3333" s="155"/>
      <c r="AG3333" s="138">
        <f>F_GAMMA*AG$29</f>
        <v>0.57289312142622573</v>
      </c>
      <c r="AH3333" s="133"/>
      <c r="AI3333" s="155"/>
      <c r="AJ3333" s="138">
        <f>F_GAMMA*AJ$29</f>
        <v>0.53590819116049981</v>
      </c>
      <c r="AK3333" s="133"/>
      <c r="AL3333" s="155"/>
      <c r="AM3333" s="138">
        <f>F_GAMMA*AM$29</f>
        <v>0.49048815926850342</v>
      </c>
      <c r="AN3333" s="133"/>
      <c r="AO3333" s="155"/>
      <c r="AP3333" s="138">
        <f>F_GAMMA*AP$29</f>
        <v>0.59352979016280105</v>
      </c>
      <c r="AQ3333" s="133"/>
      <c r="AR3333" s="155"/>
      <c r="AS3333" s="138">
        <f>F_GAMMA*AS$29</f>
        <v>0.39097221161068291</v>
      </c>
      <c r="AT3333" s="133"/>
      <c r="AU3333" s="155"/>
    </row>
    <row r="3334" spans="13:47" x14ac:dyDescent="0.25">
      <c r="M3334" s="27"/>
      <c r="N3334" s="27"/>
      <c r="O3334" s="2" t="s">
        <v>193</v>
      </c>
      <c r="P3334" s="134"/>
      <c r="Q3334" s="2"/>
      <c r="R3334" s="181">
        <f>IF(R3329&lt;R3333,R3331,R3332)</f>
        <v>5.2309999183341054</v>
      </c>
      <c r="S3334" s="133"/>
      <c r="T3334" s="155"/>
      <c r="U3334" s="138">
        <f>IF(U3329&lt;U3333,U3331,U3332)</f>
        <v>23.352769196519084</v>
      </c>
      <c r="V3334" s="133"/>
      <c r="W3334" s="155"/>
      <c r="X3334" s="138" t="e">
        <f>IF(X3329&lt;X3333,X3331,X3332)</f>
        <v>#NUM!</v>
      </c>
      <c r="Y3334" s="133"/>
      <c r="Z3334" s="155"/>
      <c r="AA3334" s="138">
        <f>IF(AA3329&lt;AA3333,AA3331,AA3332)</f>
        <v>88.753228769918749</v>
      </c>
      <c r="AB3334" s="133"/>
      <c r="AC3334" s="155"/>
      <c r="AD3334" s="138">
        <f>IF(AD3329&lt;AD3333,AD3331,AD3332)</f>
        <v>35.57376186752991</v>
      </c>
      <c r="AE3334" s="133"/>
      <c r="AF3334" s="155"/>
      <c r="AG3334" s="138">
        <f>IF(AG3329&lt;AG3333,AG3331,AG3332)</f>
        <v>24.15040257878216</v>
      </c>
      <c r="AH3334" s="133"/>
      <c r="AI3334" s="155"/>
      <c r="AJ3334" s="138">
        <f>IF(AJ3329&lt;AJ3333,AJ3331,AJ3332)</f>
        <v>19.620875037928389</v>
      </c>
      <c r="AK3334" s="133"/>
      <c r="AL3334" s="155"/>
      <c r="AM3334" s="138">
        <f>IF(AM3329&lt;AM3333,AM3331,AM3332)</f>
        <v>18.276824901840737</v>
      </c>
      <c r="AN3334" s="133"/>
      <c r="AO3334" s="155"/>
      <c r="AP3334" s="138">
        <f>IF(AP3329&lt;AP3333,AP3331,AP3332)</f>
        <v>16.780075980603218</v>
      </c>
      <c r="AQ3334" s="133"/>
      <c r="AR3334" s="155"/>
      <c r="AS3334" s="138">
        <f>IF(AS3329&lt;AS3333,AS3331,AS3332)</f>
        <v>24.192905586287445</v>
      </c>
      <c r="AT3334" s="133"/>
      <c r="AU3334" s="155"/>
    </row>
    <row r="3335" spans="13:47" ht="13" x14ac:dyDescent="0.3">
      <c r="M3335" s="28"/>
      <c r="N3335" s="28"/>
      <c r="O3335" s="9" t="s">
        <v>194</v>
      </c>
      <c r="P3335" s="1"/>
      <c r="Q3335" s="1"/>
      <c r="R3335" s="135"/>
      <c r="S3335" s="132">
        <f>IF(R3328&lt;=0,W_max,ABS(R$23-R3334))</f>
        <v>3.2309999183341054</v>
      </c>
      <c r="T3335" s="151">
        <f>R3323</f>
        <v>1201.8377764157597</v>
      </c>
      <c r="U3335" s="135"/>
      <c r="V3335" s="132">
        <f>IF(U3328&lt;=0,W_max,ABS(U$23-U3334))</f>
        <v>18.352769196519084</v>
      </c>
      <c r="W3335" s="151">
        <f>U3323</f>
        <v>4814.6025894220038</v>
      </c>
      <c r="X3335" s="135"/>
      <c r="Y3335" s="132">
        <f>IF(X3328&lt;=0,W_max,ABS(X$23-X3334))</f>
        <v>7174</v>
      </c>
      <c r="Z3335" s="151">
        <f>X3323</f>
        <v>11907.08514806496</v>
      </c>
      <c r="AA3335" s="135"/>
      <c r="AB3335" s="132">
        <f>IF(AA3328&lt;=0,W_max,ABS(AA$23-AA3334))</f>
        <v>7174</v>
      </c>
      <c r="AC3335" s="151">
        <f>AA3323</f>
        <v>23191.962639560184</v>
      </c>
      <c r="AD3335" s="135"/>
      <c r="AE3335" s="132">
        <f>IF(AD3328&lt;=0,W_max,ABS(AD$23-AD3334))</f>
        <v>7174</v>
      </c>
      <c r="AF3335" s="151">
        <f>AD3323</f>
        <v>38142.239768035113</v>
      </c>
      <c r="AG3335" s="135"/>
      <c r="AH3335" s="132">
        <f>IF(AG3328&lt;=0,W_max,ABS(AG$23-AG3334))</f>
        <v>7174</v>
      </c>
      <c r="AI3335" s="151">
        <f>AG3323</f>
        <v>53497.427699607928</v>
      </c>
      <c r="AJ3335" s="135"/>
      <c r="AK3335" s="132">
        <f>IF(AJ3328&lt;=0,W_max,ABS(AJ$23-AJ3334))</f>
        <v>7174</v>
      </c>
      <c r="AL3335" s="151">
        <f>AJ3323</f>
        <v>67927.537557523159</v>
      </c>
      <c r="AM3335" s="135"/>
      <c r="AN3335" s="132">
        <f>IF(AM3328&lt;=0,W_max,ABS(AM$23-AM3334))</f>
        <v>7174</v>
      </c>
      <c r="AO3335" s="151">
        <f>AM3323</f>
        <v>79650.379942204134</v>
      </c>
      <c r="AP3335" s="135"/>
      <c r="AQ3335" s="132">
        <f>IF(AP3328&lt;=0,W_max,ABS(AP$23-AP3334))</f>
        <v>7174</v>
      </c>
      <c r="AR3335" s="151">
        <f>AP3323</f>
        <v>88863.407701383185</v>
      </c>
      <c r="AS3335" s="135"/>
      <c r="AT3335" s="132">
        <f>IF(AS3328&lt;=0,W_max,ABS(AS$23-AS3334))</f>
        <v>7174</v>
      </c>
      <c r="AU3335" s="151">
        <f>AS3323</f>
        <v>99142.091149248125</v>
      </c>
    </row>
    <row r="3336" spans="13:47" ht="13" x14ac:dyDescent="0.25">
      <c r="M3336" s="12"/>
      <c r="N3336" s="12"/>
      <c r="O3336" s="2"/>
      <c r="P3336" s="85"/>
      <c r="Q3336" s="2"/>
      <c r="R3336" s="18"/>
      <c r="S3336" s="150"/>
      <c r="T3336" s="152"/>
      <c r="U3336" s="157"/>
      <c r="V3336" s="1"/>
      <c r="W3336" s="147"/>
      <c r="X3336" s="157"/>
      <c r="Y3336" s="1"/>
      <c r="Z3336" s="147"/>
      <c r="AA3336" s="157"/>
      <c r="AB3336" s="1"/>
      <c r="AC3336" s="147"/>
      <c r="AD3336" s="157"/>
      <c r="AE3336" s="1"/>
      <c r="AF3336" s="147"/>
      <c r="AG3336" s="157"/>
      <c r="AH3336" s="1"/>
      <c r="AI3336" s="147"/>
      <c r="AJ3336" s="157"/>
      <c r="AK3336" s="1"/>
      <c r="AL3336" s="147"/>
      <c r="AM3336" s="157"/>
      <c r="AN3336" s="1"/>
      <c r="AO3336" s="147"/>
      <c r="AP3336" s="157"/>
      <c r="AQ3336" s="1"/>
      <c r="AR3336" s="147"/>
      <c r="AS3336" s="157"/>
      <c r="AT3336" s="1"/>
      <c r="AU3336" s="147"/>
    </row>
    <row r="3337" spans="13:47" ht="14" x14ac:dyDescent="0.3">
      <c r="M3337" s="23"/>
      <c r="N3337" s="23"/>
      <c r="O3337" s="23" t="s">
        <v>238</v>
      </c>
      <c r="P3337" s="20"/>
      <c r="Q3337" s="20"/>
      <c r="R3337" s="181">
        <f>R3323*1.02</f>
        <v>1225.874531944075</v>
      </c>
      <c r="S3337" s="128" t="s">
        <v>185</v>
      </c>
      <c r="T3337" s="153" t="s">
        <v>186</v>
      </c>
      <c r="U3337" s="143">
        <f>U3323*1.01</f>
        <v>4862.7486153162235</v>
      </c>
      <c r="V3337" s="128" t="s">
        <v>185</v>
      </c>
      <c r="W3337" s="153" t="s">
        <v>186</v>
      </c>
      <c r="X3337" s="143">
        <f>X3323*1.01</f>
        <v>12026.15599954561</v>
      </c>
      <c r="Y3337" s="128" t="s">
        <v>185</v>
      </c>
      <c r="Z3337" s="153" t="s">
        <v>186</v>
      </c>
      <c r="AA3337" s="143">
        <f>AA3323*1.01</f>
        <v>23423.882265955788</v>
      </c>
      <c r="AB3337" s="128" t="s">
        <v>185</v>
      </c>
      <c r="AC3337" s="153" t="s">
        <v>186</v>
      </c>
      <c r="AD3337" s="143">
        <f>AD3323*1.01</f>
        <v>38523.662165715468</v>
      </c>
      <c r="AE3337" s="128" t="s">
        <v>185</v>
      </c>
      <c r="AF3337" s="153" t="s">
        <v>186</v>
      </c>
      <c r="AG3337" s="143">
        <f>AG3323*1.01</f>
        <v>54032.401976604007</v>
      </c>
      <c r="AH3337" s="128" t="s">
        <v>185</v>
      </c>
      <c r="AI3337" s="153" t="s">
        <v>186</v>
      </c>
      <c r="AJ3337" s="143">
        <f>AJ3323*1.01</f>
        <v>68606.812933098394</v>
      </c>
      <c r="AK3337" s="128" t="s">
        <v>185</v>
      </c>
      <c r="AL3337" s="153" t="s">
        <v>186</v>
      </c>
      <c r="AM3337" s="143">
        <f>AM3323*1.01</f>
        <v>80446.883741626181</v>
      </c>
      <c r="AN3337" s="128" t="s">
        <v>185</v>
      </c>
      <c r="AO3337" s="153" t="s">
        <v>186</v>
      </c>
      <c r="AP3337" s="143">
        <f>AP3323*1.01</f>
        <v>89752.041778397019</v>
      </c>
      <c r="AQ3337" s="128" t="s">
        <v>185</v>
      </c>
      <c r="AR3337" s="153" t="s">
        <v>186</v>
      </c>
      <c r="AS3337" s="143">
        <f>AS3323*1.01</f>
        <v>100133.51206074061</v>
      </c>
      <c r="AT3337" s="128" t="s">
        <v>185</v>
      </c>
      <c r="AU3337" s="153" t="s">
        <v>186</v>
      </c>
    </row>
    <row r="3338" spans="13:47" ht="14" x14ac:dyDescent="0.3">
      <c r="M3338" s="12"/>
      <c r="N3338" s="12"/>
      <c r="O3338" s="20"/>
      <c r="P3338" s="20"/>
      <c r="Q3338" s="23"/>
      <c r="R3338" s="139"/>
      <c r="S3338" s="130" t="s">
        <v>228</v>
      </c>
      <c r="T3338" s="154" t="s">
        <v>187</v>
      </c>
      <c r="U3338" s="144"/>
      <c r="V3338" s="130" t="s">
        <v>228</v>
      </c>
      <c r="W3338" s="154" t="s">
        <v>187</v>
      </c>
      <c r="X3338" s="144"/>
      <c r="Y3338" s="130" t="s">
        <v>228</v>
      </c>
      <c r="Z3338" s="154" t="s">
        <v>187</v>
      </c>
      <c r="AA3338" s="144"/>
      <c r="AB3338" s="130" t="s">
        <v>228</v>
      </c>
      <c r="AC3338" s="154" t="s">
        <v>187</v>
      </c>
      <c r="AD3338" s="144"/>
      <c r="AE3338" s="130" t="s">
        <v>228</v>
      </c>
      <c r="AF3338" s="154" t="s">
        <v>187</v>
      </c>
      <c r="AG3338" s="144"/>
      <c r="AH3338" s="130" t="s">
        <v>228</v>
      </c>
      <c r="AI3338" s="154" t="s">
        <v>187</v>
      </c>
      <c r="AJ3338" s="144"/>
      <c r="AK3338" s="130" t="s">
        <v>228</v>
      </c>
      <c r="AL3338" s="154" t="s">
        <v>187</v>
      </c>
      <c r="AM3338" s="144"/>
      <c r="AN3338" s="130" t="s">
        <v>228</v>
      </c>
      <c r="AO3338" s="154" t="s">
        <v>187</v>
      </c>
      <c r="AP3338" s="144"/>
      <c r="AQ3338" s="130" t="s">
        <v>228</v>
      </c>
      <c r="AR3338" s="154" t="s">
        <v>187</v>
      </c>
      <c r="AS3338" s="144"/>
      <c r="AT3338" s="130" t="s">
        <v>228</v>
      </c>
      <c r="AU3338" s="154" t="s">
        <v>187</v>
      </c>
    </row>
    <row r="3339" spans="13:47" x14ac:dyDescent="0.25">
      <c r="M3339" s="20"/>
      <c r="N3339" s="20"/>
      <c r="O3339" s="7" t="s">
        <v>188</v>
      </c>
      <c r="P3339" s="7"/>
      <c r="Q3339" s="7"/>
      <c r="R3339" s="181">
        <f>P_1_minW-(R3337^2*R_up)+dpup_minQ</f>
        <v>99.923540062407781</v>
      </c>
      <c r="S3339" s="132"/>
      <c r="T3339" s="145"/>
      <c r="U3339" s="138">
        <f>P_1_minW-(U3337^2*R_up)+dpup_minQ</f>
        <v>91.093535113298572</v>
      </c>
      <c r="V3339" s="132"/>
      <c r="W3339" s="145"/>
      <c r="X3339" s="138">
        <f>P_1_minW-(X3337^2*R_up)+dpup_minQ</f>
        <v>42.850489124097152</v>
      </c>
      <c r="Y3339" s="132"/>
      <c r="Z3339" s="145"/>
      <c r="AA3339" s="138">
        <f>P_1_minW-(AA3337^2*R_up)+dpup_minQ</f>
        <v>-118.26916404400332</v>
      </c>
      <c r="AB3339" s="132"/>
      <c r="AC3339" s="145"/>
      <c r="AD3339" s="138">
        <f>P_1_minW-(AD3337^2*R_up)+dpup_minQ</f>
        <v>-491.26870750110584</v>
      </c>
      <c r="AE3339" s="132"/>
      <c r="AF3339" s="145"/>
      <c r="AG3339" s="138">
        <f>P_1_minW-(AG3337^2*R_up)+dpup_minQ</f>
        <v>-1063.6625797611184</v>
      </c>
      <c r="AH3339" s="132"/>
      <c r="AI3339" s="145"/>
      <c r="AJ3339" s="138">
        <f>P_1_minW-(AJ3337^2*R_up)+dpup_minQ</f>
        <v>-1776.4072203874157</v>
      </c>
      <c r="AK3339" s="132"/>
      <c r="AL3339" s="145"/>
      <c r="AM3339" s="138">
        <f>P_1_minW-(AM3337^2*R_up)+dpup_minQ</f>
        <v>-2480.144630813918</v>
      </c>
      <c r="AN3339" s="132"/>
      <c r="AO3339" s="145"/>
      <c r="AP3339" s="138">
        <f>P_1_minW-(AP3337^2*R_up)+dpup_minQ</f>
        <v>-3111.6748766310129</v>
      </c>
      <c r="AQ3339" s="132"/>
      <c r="AR3339" s="145"/>
      <c r="AS3339" s="138">
        <f>P_1_minW-(AS3337^2*R_up)+dpup_minQ</f>
        <v>-3897.7505895119484</v>
      </c>
      <c r="AT3339" s="132"/>
      <c r="AU3339" s="145"/>
    </row>
    <row r="3340" spans="13:47" x14ac:dyDescent="0.25">
      <c r="M3340" s="20"/>
      <c r="N3340" s="20"/>
      <c r="O3340" s="7" t="s">
        <v>189</v>
      </c>
      <c r="P3340" s="1"/>
      <c r="Q3340" s="7"/>
      <c r="R3340" s="181">
        <f>P_2_minW+(R3337^2*R_dn)-dpdn_minQ</f>
        <v>50</v>
      </c>
      <c r="S3340" s="132"/>
      <c r="T3340" s="146"/>
      <c r="U3340" s="138">
        <f>P_2_minW+(U3337^2*R_dn)-dpdn_minQ</f>
        <v>50</v>
      </c>
      <c r="V3340" s="132"/>
      <c r="W3340" s="146"/>
      <c r="X3340" s="138">
        <f>P_2_minW+(X3337^2*R_dn)-dpdn_minQ</f>
        <v>50</v>
      </c>
      <c r="Y3340" s="132"/>
      <c r="Z3340" s="146"/>
      <c r="AA3340" s="138">
        <f>P_2_minW+(AA3337^2*R_dn)-dpdn_minQ</f>
        <v>50</v>
      </c>
      <c r="AB3340" s="132"/>
      <c r="AC3340" s="146"/>
      <c r="AD3340" s="138">
        <f>P_2_minW+(AD3337^2*R_dn)-dpdn_minQ</f>
        <v>50</v>
      </c>
      <c r="AE3340" s="132"/>
      <c r="AF3340" s="146"/>
      <c r="AG3340" s="138">
        <f>P_2_minW+(AG3337^2*R_dn)-dpdn_minQ</f>
        <v>50</v>
      </c>
      <c r="AH3340" s="132"/>
      <c r="AI3340" s="146"/>
      <c r="AJ3340" s="138">
        <f>P_2_minW+(AJ3337^2*R_dn)-dpdn_minQ</f>
        <v>50</v>
      </c>
      <c r="AK3340" s="132"/>
      <c r="AL3340" s="146"/>
      <c r="AM3340" s="138">
        <f>P_2_minW+(AM3337^2*R_dn)-dpdn_minQ</f>
        <v>50</v>
      </c>
      <c r="AN3340" s="132"/>
      <c r="AO3340" s="146"/>
      <c r="AP3340" s="138">
        <f>P_2_minW+(AP3337^2*R_dn)-dpdn_minQ</f>
        <v>50</v>
      </c>
      <c r="AQ3340" s="132"/>
      <c r="AR3340" s="146"/>
      <c r="AS3340" s="138">
        <f>P_2_minW+(AS3337^2*R_dn)-dpdn_minQ</f>
        <v>50</v>
      </c>
      <c r="AT3340" s="132"/>
      <c r="AU3340" s="146"/>
    </row>
    <row r="3341" spans="13:47" x14ac:dyDescent="0.25">
      <c r="M3341" s="20"/>
      <c r="N3341" s="20"/>
      <c r="O3341" s="7" t="s">
        <v>234</v>
      </c>
      <c r="P3341" s="1"/>
      <c r="Q3341" s="7"/>
      <c r="R3341" s="179">
        <f>'Valve Sizing'!G$8*R3339/P_1_maxW</f>
        <v>0.48201336697127084</v>
      </c>
      <c r="S3341" s="132"/>
      <c r="T3341" s="146"/>
      <c r="U3341" s="143">
        <f>'Valve Sizing'!$G$8*U3339/P_1_maxW</f>
        <v>0.43941899518225203</v>
      </c>
      <c r="V3341" s="132"/>
      <c r="W3341" s="146"/>
      <c r="X3341" s="143">
        <f>'Valve Sizing'!$G$8*X3339/P_1_maxW</f>
        <v>0.20670313047528147</v>
      </c>
      <c r="Y3341" s="132"/>
      <c r="Z3341" s="146"/>
      <c r="AA3341" s="143">
        <f>'Valve Sizing'!$G$8*AA3339/P_1_maxW</f>
        <v>-0.5705093908214558</v>
      </c>
      <c r="AB3341" s="132"/>
      <c r="AC3341" s="146"/>
      <c r="AD3341" s="143">
        <f>'Valve Sizing'!$G$8*AD3339/P_1_maxW</f>
        <v>-2.3697927799829648</v>
      </c>
      <c r="AE3341" s="132"/>
      <c r="AF3341" s="146"/>
      <c r="AG3341" s="143">
        <f>'Valve Sizing'!$G$8*AG3339/P_1_maxW</f>
        <v>-5.1309189113175471</v>
      </c>
      <c r="AH3341" s="132"/>
      <c r="AI3341" s="146"/>
      <c r="AJ3341" s="143">
        <f>'Valve Sizing'!$G$8*AJ3339/P_1_maxW</f>
        <v>-8.5690721613369369</v>
      </c>
      <c r="AK3341" s="132"/>
      <c r="AL3341" s="146"/>
      <c r="AM3341" s="143">
        <f>'Valve Sizing'!$G$8*AM3339/P_1_maxW</f>
        <v>-11.963776136511012</v>
      </c>
      <c r="AN3341" s="132"/>
      <c r="AO3341" s="146"/>
      <c r="AP3341" s="143">
        <f>'Valve Sizing'!$G$8*AP3339/P_1_maxW</f>
        <v>-15.010165605302586</v>
      </c>
      <c r="AQ3341" s="132"/>
      <c r="AR3341" s="146"/>
      <c r="AS3341" s="143">
        <f>'Valve Sizing'!$G$8*AS3339/P_1_maxW</f>
        <v>-18.802054892085643</v>
      </c>
      <c r="AT3341" s="132"/>
      <c r="AU3341" s="146"/>
    </row>
    <row r="3342" spans="13:47" x14ac:dyDescent="0.25">
      <c r="M3342" s="20"/>
      <c r="N3342" s="20"/>
      <c r="O3342" s="7" t="s">
        <v>190</v>
      </c>
      <c r="P3342" s="1"/>
      <c r="Q3342" s="7"/>
      <c r="R3342" s="181">
        <f>R3339-R3340</f>
        <v>49.923540062407781</v>
      </c>
      <c r="S3342" s="132"/>
      <c r="T3342" s="146"/>
      <c r="U3342" s="138">
        <f>U3339-U3340</f>
        <v>41.093535113298572</v>
      </c>
      <c r="V3342" s="132"/>
      <c r="W3342" s="146"/>
      <c r="X3342" s="138">
        <f>X3339-X3340</f>
        <v>-7.1495108759028483</v>
      </c>
      <c r="Y3342" s="132"/>
      <c r="Z3342" s="146"/>
      <c r="AA3342" s="138">
        <f>AA3339-AA3340</f>
        <v>-168.26916404400333</v>
      </c>
      <c r="AB3342" s="132"/>
      <c r="AC3342" s="146"/>
      <c r="AD3342" s="138">
        <f>AD3339-AD3340</f>
        <v>-541.26870750110584</v>
      </c>
      <c r="AE3342" s="132"/>
      <c r="AF3342" s="146"/>
      <c r="AG3342" s="138">
        <f>AG3339-AG3340</f>
        <v>-1113.6625797611184</v>
      </c>
      <c r="AH3342" s="132"/>
      <c r="AI3342" s="146"/>
      <c r="AJ3342" s="138">
        <f>AJ3339-AJ3340</f>
        <v>-1826.4072203874157</v>
      </c>
      <c r="AK3342" s="132"/>
      <c r="AL3342" s="146"/>
      <c r="AM3342" s="138">
        <f>AM3339-AM3340</f>
        <v>-2530.144630813918</v>
      </c>
      <c r="AN3342" s="132"/>
      <c r="AO3342" s="146"/>
      <c r="AP3342" s="138">
        <f>AP3339-AP3340</f>
        <v>-3161.6748766310129</v>
      </c>
      <c r="AQ3342" s="132"/>
      <c r="AR3342" s="146"/>
      <c r="AS3342" s="138">
        <f>AS3339-AS3340</f>
        <v>-3947.7505895119484</v>
      </c>
      <c r="AT3342" s="132"/>
      <c r="AU3342" s="146"/>
    </row>
    <row r="3343" spans="13:47" ht="14.5" x14ac:dyDescent="0.35">
      <c r="M3343" s="27"/>
      <c r="N3343" s="27"/>
      <c r="O3343" s="2" t="s">
        <v>191</v>
      </c>
      <c r="P3343" s="10"/>
      <c r="Q3343" s="2"/>
      <c r="R3343" s="181">
        <f>R3342/R3339</f>
        <v>0.49961740778226799</v>
      </c>
      <c r="S3343" s="132"/>
      <c r="T3343" s="146"/>
      <c r="U3343" s="138">
        <f>U3342/U3339</f>
        <v>0.45111362801090155</v>
      </c>
      <c r="V3343" s="132"/>
      <c r="W3343" s="146"/>
      <c r="X3343" s="138">
        <f>X3342/X3339</f>
        <v>-0.1668478241916331</v>
      </c>
      <c r="Y3343" s="132"/>
      <c r="Z3343" s="146"/>
      <c r="AA3343" s="138">
        <f>AA3342/AA3339</f>
        <v>1.4227644661578649</v>
      </c>
      <c r="AB3343" s="132"/>
      <c r="AC3343" s="146"/>
      <c r="AD3343" s="138">
        <f>AD3342/AD3339</f>
        <v>1.1017772946588247</v>
      </c>
      <c r="AE3343" s="132"/>
      <c r="AF3343" s="146"/>
      <c r="AG3343" s="138">
        <f>AG3342/AG3339</f>
        <v>1.0470073883874238</v>
      </c>
      <c r="AH3343" s="132"/>
      <c r="AI3343" s="146"/>
      <c r="AJ3343" s="138">
        <f>AJ3342/AJ3339</f>
        <v>1.0281466993750992</v>
      </c>
      <c r="AK3343" s="132"/>
      <c r="AL3343" s="146"/>
      <c r="AM3343" s="138">
        <f>AM3342/AM3339</f>
        <v>1.0201601146073451</v>
      </c>
      <c r="AN3343" s="132"/>
      <c r="AO3343" s="146"/>
      <c r="AP3343" s="138">
        <f>AP3342/AP3339</f>
        <v>1.0160685167899464</v>
      </c>
      <c r="AQ3343" s="132"/>
      <c r="AR3343" s="146"/>
      <c r="AS3343" s="138">
        <f>AS3342/AS3339</f>
        <v>1.0128279115997159</v>
      </c>
      <c r="AT3343" s="132"/>
      <c r="AU3343" s="146"/>
    </row>
    <row r="3344" spans="13:47" x14ac:dyDescent="0.25">
      <c r="M3344" s="27"/>
      <c r="N3344" s="27"/>
      <c r="O3344" s="2" t="s">
        <v>26</v>
      </c>
      <c r="P3344" s="7">
        <v>12</v>
      </c>
      <c r="Q3344" s="2"/>
      <c r="R3344" s="181">
        <f>1-R3343/(3*F_GAMMA*R$29)</f>
        <v>0.73979352884683869</v>
      </c>
      <c r="S3344" s="133"/>
      <c r="T3344" s="146"/>
      <c r="U3344" s="138">
        <f>1-U3343/(3*F_GAMMA*U$29)</f>
        <v>0.76510658223351835</v>
      </c>
      <c r="V3344" s="133"/>
      <c r="W3344" s="146"/>
      <c r="X3344" s="138">
        <f>1-X3343/(3*F_GAMMA*X$29)</f>
        <v>1.0881804215377295</v>
      </c>
      <c r="Y3344" s="133"/>
      <c r="Z3344" s="146"/>
      <c r="AA3344" s="138">
        <f>1-AA3343/(3*F_GAMMA*AA$29)</f>
        <v>0.2377473198757557</v>
      </c>
      <c r="AB3344" s="133"/>
      <c r="AC3344" s="146"/>
      <c r="AD3344" s="138">
        <f>1-AD3343/(3*F_GAMMA*AD$29)</f>
        <v>0.39353340415885085</v>
      </c>
      <c r="AE3344" s="133"/>
      <c r="AF3344" s="146"/>
      <c r="AG3344" s="138">
        <f>1-AG3343/(3*F_GAMMA*AG$29)</f>
        <v>0.39080702884516882</v>
      </c>
      <c r="AH3344" s="133"/>
      <c r="AI3344" s="146"/>
      <c r="AJ3344" s="138">
        <f>1-AJ3343/(3*F_GAMMA*AJ$29)</f>
        <v>0.36049574887776603</v>
      </c>
      <c r="AK3344" s="133"/>
      <c r="AL3344" s="146"/>
      <c r="AM3344" s="138">
        <f>1-AM3343/(3*F_GAMMA*AM$29)</f>
        <v>0.30670421882777932</v>
      </c>
      <c r="AN3344" s="133"/>
      <c r="AO3344" s="146"/>
      <c r="AP3344" s="138">
        <f>1-AP3343/(3*F_GAMMA*AP$29)</f>
        <v>0.42936393217306135</v>
      </c>
      <c r="AQ3344" s="133"/>
      <c r="AR3344" s="146"/>
      <c r="AS3344" s="138">
        <f>1-AS3343/(3*F_GAMMA*AS$29)</f>
        <v>0.13648772511036655</v>
      </c>
      <c r="AT3344" s="133"/>
      <c r="AU3344" s="146"/>
    </row>
    <row r="3345" spans="13:47" x14ac:dyDescent="0.25">
      <c r="M3345" s="27"/>
      <c r="N3345" s="27"/>
      <c r="O3345" s="2" t="s">
        <v>71</v>
      </c>
      <c r="P3345" s="85">
        <v>5</v>
      </c>
      <c r="Q3345" s="2"/>
      <c r="R3345" s="179">
        <f>R3337/((N_6*R$27*R3344)*SQRT(R3343*R3339*R3341))</f>
        <v>5.3370468629771537</v>
      </c>
      <c r="S3345" s="133"/>
      <c r="T3345" s="146"/>
      <c r="U3345" s="143">
        <f>U3337/((N_6*U$27*U3344)*SQRT(U3343*U3339*U3341))</f>
        <v>23.645659332123444</v>
      </c>
      <c r="V3345" s="133"/>
      <c r="W3345" s="146"/>
      <c r="X3345" s="143" t="e">
        <f>X3337/((N_6*X$27*X3344)*SQRT(X3343*X3339*X3341))</f>
        <v>#NUM!</v>
      </c>
      <c r="Y3345" s="133"/>
      <c r="Z3345" s="146"/>
      <c r="AA3345" s="143">
        <f>AA3337/((N_6*AA$27*AA3344)*SQRT(AA3343*AA3339*AA3341))</f>
        <v>160.24308512026204</v>
      </c>
      <c r="AB3345" s="133"/>
      <c r="AC3345" s="146"/>
      <c r="AD3345" s="143">
        <f>AD3337/((N_6*AD$27*AD3344)*SQRT(AD3343*AD3339*AD3341))</f>
        <v>44.075649010010245</v>
      </c>
      <c r="AE3345" s="133"/>
      <c r="AF3345" s="146"/>
      <c r="AG3345" s="143">
        <f>AG3337/((N_6*AG$27*AG3344)*SQRT(AG3343*AG3339*AG3341))</f>
        <v>30.130243361857058</v>
      </c>
      <c r="AH3345" s="133"/>
      <c r="AI3345" s="146"/>
      <c r="AJ3345" s="143">
        <f>AJ3337/((N_6*AJ$27*AJ3344)*SQRT(AJ3343*AJ3339*AJ3341))</f>
        <v>25.920661811841963</v>
      </c>
      <c r="AK3345" s="133"/>
      <c r="AL3345" s="146"/>
      <c r="AM3345" s="143">
        <f>AM3337/((N_6*AM$27*AM3344)*SQRT(AM3343*AM3339*AM3341))</f>
        <v>27.265383017600509</v>
      </c>
      <c r="AN3345" s="133"/>
      <c r="AO3345" s="146"/>
      <c r="AP3345" s="143">
        <f>AP3337/((N_6*AP$27*AP3344)*SQRT(AP3343*AP3339*AP3341))</f>
        <v>19.712898889351948</v>
      </c>
      <c r="AQ3345" s="133"/>
      <c r="AR3345" s="146"/>
      <c r="AS3345" s="143">
        <f>AS3337/((N_6*AS$27*AS3344)*SQRT(AS3343*AS3339*AS3341))</f>
        <v>72.69069534982394</v>
      </c>
      <c r="AT3345" s="133"/>
      <c r="AU3345" s="146"/>
    </row>
    <row r="3346" spans="13:47" x14ac:dyDescent="0.25">
      <c r="M3346" s="27"/>
      <c r="N3346" s="27"/>
      <c r="O3346" s="2" t="s">
        <v>73</v>
      </c>
      <c r="P3346" s="85">
        <v>5</v>
      </c>
      <c r="Q3346" s="2"/>
      <c r="R3346" s="179">
        <f>R3337/((N_6*R$27*0.667)*SQRT(R3347*R3339*R3341))</f>
        <v>5.2300445021243247</v>
      </c>
      <c r="S3346" s="133"/>
      <c r="T3346" s="155"/>
      <c r="U3346" s="143">
        <f>U3337/((N_6*U$27*0.667)*SQRT(U3347*U3339*U3341))</f>
        <v>22.768980414464952</v>
      </c>
      <c r="V3346" s="133"/>
      <c r="W3346" s="155"/>
      <c r="X3346" s="143">
        <f>X3337/((N_6*X$27*0.667)*SQRT(X3347*X3339*X3341))</f>
        <v>120.86906304952365</v>
      </c>
      <c r="Y3346" s="133"/>
      <c r="Z3346" s="155"/>
      <c r="AA3346" s="143">
        <f>AA3337/((N_6*AA$27*0.667)*SQRT(AA3347*AA3339*AA3341))</f>
        <v>86.37323801929584</v>
      </c>
      <c r="AB3346" s="133"/>
      <c r="AC3346" s="155"/>
      <c r="AD3346" s="143">
        <f>AD3337/((N_6*AD$27*0.667)*SQRT(AD3347*AD3339*AD3341))</f>
        <v>35.076685931687429</v>
      </c>
      <c r="AE3346" s="133"/>
      <c r="AF3346" s="155"/>
      <c r="AG3346" s="143">
        <f>AG3337/((N_6*AG$27*0.667)*SQRT(AG3347*AG3339*AG3341))</f>
        <v>23.865868367597809</v>
      </c>
      <c r="AH3346" s="133"/>
      <c r="AI3346" s="155"/>
      <c r="AJ3346" s="143">
        <f>AJ3337/((N_6*AJ$27*0.667)*SQRT(AJ3347*AJ3339*AJ3341))</f>
        <v>19.404512878014156</v>
      </c>
      <c r="AK3346" s="133"/>
      <c r="AL3346" s="155"/>
      <c r="AM3346" s="143">
        <f>AM3337/((N_6*AM$27*0.667)*SQRT(AM3347*AM3339*AM3341))</f>
        <v>18.081124017443525</v>
      </c>
      <c r="AN3346" s="133"/>
      <c r="AO3346" s="155"/>
      <c r="AP3346" s="143">
        <f>AP3337/((N_6*AP$27*0.667)*SQRT(AP3347*AP3339*AP3341))</f>
        <v>16.603148664754798</v>
      </c>
      <c r="AQ3346" s="133"/>
      <c r="AR3346" s="155"/>
      <c r="AS3346" s="143">
        <f>AS3337/((N_6*AS$27*0.667)*SQRT(AS3347*AS3339*AS3341))</f>
        <v>23.940954967480035</v>
      </c>
      <c r="AT3346" s="133"/>
      <c r="AU3346" s="155"/>
    </row>
    <row r="3347" spans="13:47" ht="15.5" x14ac:dyDescent="0.4">
      <c r="M3347" s="27"/>
      <c r="N3347" s="27"/>
      <c r="O3347" s="2" t="s">
        <v>192</v>
      </c>
      <c r="P3347" s="85">
        <v>10</v>
      </c>
      <c r="Q3347" s="2"/>
      <c r="R3347" s="181">
        <f>F_GAMMA*R$29</f>
        <v>0.64002688015162901</v>
      </c>
      <c r="S3347" s="133"/>
      <c r="T3347" s="155"/>
      <c r="U3347" s="138">
        <f>F_GAMMA*U$29</f>
        <v>0.64016782916606918</v>
      </c>
      <c r="V3347" s="133"/>
      <c r="W3347" s="155"/>
      <c r="X3347" s="138">
        <f>F_GAMMA*X$29</f>
        <v>0.6307062319203669</v>
      </c>
      <c r="Y3347" s="133"/>
      <c r="Z3347" s="155"/>
      <c r="AA3347" s="138">
        <f>F_GAMMA*AA$29</f>
        <v>0.62217534213893466</v>
      </c>
      <c r="AB3347" s="133"/>
      <c r="AC3347" s="155"/>
      <c r="AD3347" s="138">
        <f>F_GAMMA*AD$29</f>
        <v>0.60557184969146072</v>
      </c>
      <c r="AE3347" s="133"/>
      <c r="AF3347" s="155"/>
      <c r="AG3347" s="138">
        <f>F_GAMMA*AG$29</f>
        <v>0.57289312142622573</v>
      </c>
      <c r="AH3347" s="133"/>
      <c r="AI3347" s="155"/>
      <c r="AJ3347" s="138">
        <f>F_GAMMA*AJ$29</f>
        <v>0.53590819116049981</v>
      </c>
      <c r="AK3347" s="133"/>
      <c r="AL3347" s="155"/>
      <c r="AM3347" s="138">
        <f>F_GAMMA*AM$29</f>
        <v>0.49048815926850342</v>
      </c>
      <c r="AN3347" s="133"/>
      <c r="AO3347" s="155"/>
      <c r="AP3347" s="138">
        <f>F_GAMMA*AP$29</f>
        <v>0.59352979016280105</v>
      </c>
      <c r="AQ3347" s="133"/>
      <c r="AR3347" s="155"/>
      <c r="AS3347" s="138">
        <f>F_GAMMA*AS$29</f>
        <v>0.39097221161068291</v>
      </c>
      <c r="AT3347" s="133"/>
      <c r="AU3347" s="155"/>
    </row>
    <row r="3348" spans="13:47" x14ac:dyDescent="0.25">
      <c r="M3348" s="27"/>
      <c r="N3348" s="27"/>
      <c r="O3348" s="2" t="s">
        <v>193</v>
      </c>
      <c r="P3348" s="134"/>
      <c r="Q3348" s="2"/>
      <c r="R3348" s="181">
        <f>IF(R3343&lt;R3347,R3345,R3346)</f>
        <v>5.3370468629771537</v>
      </c>
      <c r="S3348" s="133"/>
      <c r="T3348" s="155"/>
      <c r="U3348" s="138">
        <f>IF(U3343&lt;U3347,U3345,U3346)</f>
        <v>23.645659332123444</v>
      </c>
      <c r="V3348" s="133"/>
      <c r="W3348" s="155"/>
      <c r="X3348" s="138" t="e">
        <f>IF(X3343&lt;X3347,X3345,X3346)</f>
        <v>#NUM!</v>
      </c>
      <c r="Y3348" s="133"/>
      <c r="Z3348" s="155"/>
      <c r="AA3348" s="138">
        <f>IF(AA3343&lt;AA3347,AA3345,AA3346)</f>
        <v>86.37323801929584</v>
      </c>
      <c r="AB3348" s="133"/>
      <c r="AC3348" s="155"/>
      <c r="AD3348" s="138">
        <f>IF(AD3343&lt;AD3347,AD3345,AD3346)</f>
        <v>35.076685931687429</v>
      </c>
      <c r="AE3348" s="133"/>
      <c r="AF3348" s="155"/>
      <c r="AG3348" s="138">
        <f>IF(AG3343&lt;AG3347,AG3345,AG3346)</f>
        <v>23.865868367597809</v>
      </c>
      <c r="AH3348" s="133"/>
      <c r="AI3348" s="155"/>
      <c r="AJ3348" s="138">
        <f>IF(AJ3343&lt;AJ3347,AJ3345,AJ3346)</f>
        <v>19.404512878014156</v>
      </c>
      <c r="AK3348" s="133"/>
      <c r="AL3348" s="155"/>
      <c r="AM3348" s="138">
        <f>IF(AM3343&lt;AM3347,AM3345,AM3346)</f>
        <v>18.081124017443525</v>
      </c>
      <c r="AN3348" s="133"/>
      <c r="AO3348" s="155"/>
      <c r="AP3348" s="138">
        <f>IF(AP3343&lt;AP3347,AP3345,AP3346)</f>
        <v>16.603148664754798</v>
      </c>
      <c r="AQ3348" s="133"/>
      <c r="AR3348" s="155"/>
      <c r="AS3348" s="138">
        <f>IF(AS3343&lt;AS3347,AS3345,AS3346)</f>
        <v>23.940954967480035</v>
      </c>
      <c r="AT3348" s="133"/>
      <c r="AU3348" s="155"/>
    </row>
    <row r="3349" spans="13:47" ht="13" x14ac:dyDescent="0.3">
      <c r="M3349" s="28"/>
      <c r="N3349" s="28"/>
      <c r="O3349" s="9" t="s">
        <v>194</v>
      </c>
      <c r="P3349" s="1"/>
      <c r="Q3349" s="1"/>
      <c r="R3349" s="135"/>
      <c r="S3349" s="132">
        <f>IF(R3342&lt;=0,W_max,ABS(R$23-R3348))</f>
        <v>3.3370468629771537</v>
      </c>
      <c r="T3349" s="151">
        <f>R3337</f>
        <v>1225.874531944075</v>
      </c>
      <c r="U3349" s="135"/>
      <c r="V3349" s="132">
        <f>IF(U3342&lt;=0,W_max,ABS(U$23-U3348))</f>
        <v>18.645659332123444</v>
      </c>
      <c r="W3349" s="151">
        <f>U3337</f>
        <v>4862.7486153162235</v>
      </c>
      <c r="X3349" s="135"/>
      <c r="Y3349" s="132">
        <f>IF(X3342&lt;=0,W_max,ABS(X$23-X3348))</f>
        <v>7174</v>
      </c>
      <c r="Z3349" s="151">
        <f>X3337</f>
        <v>12026.15599954561</v>
      </c>
      <c r="AA3349" s="135"/>
      <c r="AB3349" s="132">
        <f>IF(AA3342&lt;=0,W_max,ABS(AA$23-AA3348))</f>
        <v>7174</v>
      </c>
      <c r="AC3349" s="151">
        <f>AA3337</f>
        <v>23423.882265955788</v>
      </c>
      <c r="AD3349" s="135"/>
      <c r="AE3349" s="132">
        <f>IF(AD3342&lt;=0,W_max,ABS(AD$23-AD3348))</f>
        <v>7174</v>
      </c>
      <c r="AF3349" s="151">
        <f>AD3337</f>
        <v>38523.662165715468</v>
      </c>
      <c r="AG3349" s="135"/>
      <c r="AH3349" s="132">
        <f>IF(AG3342&lt;=0,W_max,ABS(AG$23-AG3348))</f>
        <v>7174</v>
      </c>
      <c r="AI3349" s="151">
        <f>AG3337</f>
        <v>54032.401976604007</v>
      </c>
      <c r="AJ3349" s="135"/>
      <c r="AK3349" s="132">
        <f>IF(AJ3342&lt;=0,W_max,ABS(AJ$23-AJ3348))</f>
        <v>7174</v>
      </c>
      <c r="AL3349" s="151">
        <f>AJ3337</f>
        <v>68606.812933098394</v>
      </c>
      <c r="AM3349" s="135"/>
      <c r="AN3349" s="132">
        <f>IF(AM3342&lt;=0,W_max,ABS(AM$23-AM3348))</f>
        <v>7174</v>
      </c>
      <c r="AO3349" s="151">
        <f>AM3337</f>
        <v>80446.883741626181</v>
      </c>
      <c r="AP3349" s="135"/>
      <c r="AQ3349" s="132">
        <f>IF(AP3342&lt;=0,W_max,ABS(AP$23-AP3348))</f>
        <v>7174</v>
      </c>
      <c r="AR3349" s="151">
        <f>AP3337</f>
        <v>89752.041778397019</v>
      </c>
      <c r="AS3349" s="135"/>
      <c r="AT3349" s="132">
        <f>IF(AS3342&lt;=0,W_max,ABS(AS$23-AS3348))</f>
        <v>7174</v>
      </c>
      <c r="AU3349" s="151">
        <f>AS3337</f>
        <v>100133.51206074061</v>
      </c>
    </row>
    <row r="3350" spans="13:47" ht="13" x14ac:dyDescent="0.25">
      <c r="M3350" s="12"/>
      <c r="N3350" s="12"/>
      <c r="O3350" s="2"/>
      <c r="P3350" s="85"/>
      <c r="Q3350" s="2"/>
      <c r="R3350" s="18"/>
      <c r="S3350" s="150"/>
      <c r="T3350" s="148"/>
      <c r="U3350" s="157"/>
      <c r="V3350" s="1"/>
      <c r="W3350" s="147"/>
      <c r="X3350" s="157"/>
      <c r="Y3350" s="1"/>
      <c r="Z3350" s="147"/>
      <c r="AA3350" s="157"/>
      <c r="AB3350" s="1"/>
      <c r="AC3350" s="147"/>
      <c r="AD3350" s="157"/>
      <c r="AE3350" s="1"/>
      <c r="AF3350" s="147"/>
      <c r="AG3350" s="157"/>
      <c r="AH3350" s="1"/>
      <c r="AI3350" s="147"/>
      <c r="AJ3350" s="157"/>
      <c r="AK3350" s="1"/>
      <c r="AL3350" s="147"/>
      <c r="AM3350" s="157"/>
      <c r="AN3350" s="1"/>
      <c r="AO3350" s="147"/>
      <c r="AP3350" s="157"/>
      <c r="AQ3350" s="1"/>
      <c r="AR3350" s="147"/>
      <c r="AS3350" s="157"/>
      <c r="AT3350" s="1"/>
      <c r="AU3350" s="147"/>
    </row>
    <row r="3351" spans="13:47" ht="14" x14ac:dyDescent="0.3">
      <c r="M3351" s="23"/>
      <c r="N3351" s="23"/>
      <c r="O3351" s="23" t="s">
        <v>238</v>
      </c>
      <c r="P3351" s="20"/>
      <c r="Q3351" s="20"/>
      <c r="R3351" s="181">
        <f>R3337*1.02</f>
        <v>1250.3920225829565</v>
      </c>
      <c r="S3351" s="128" t="s">
        <v>185</v>
      </c>
      <c r="T3351" s="149" t="s">
        <v>186</v>
      </c>
      <c r="U3351" s="143">
        <f>U3337*1.01</f>
        <v>4911.3761014693855</v>
      </c>
      <c r="V3351" s="128" t="s">
        <v>185</v>
      </c>
      <c r="W3351" s="153" t="s">
        <v>186</v>
      </c>
      <c r="X3351" s="143">
        <f>X3337*1.01</f>
        <v>12146.417559541067</v>
      </c>
      <c r="Y3351" s="128" t="s">
        <v>185</v>
      </c>
      <c r="Z3351" s="153" t="s">
        <v>186</v>
      </c>
      <c r="AA3351" s="143">
        <f>AA3337*1.01</f>
        <v>23658.121088615346</v>
      </c>
      <c r="AB3351" s="128" t="s">
        <v>185</v>
      </c>
      <c r="AC3351" s="153" t="s">
        <v>186</v>
      </c>
      <c r="AD3351" s="143">
        <f>AD3337*1.01</f>
        <v>38908.898787372622</v>
      </c>
      <c r="AE3351" s="128" t="s">
        <v>185</v>
      </c>
      <c r="AF3351" s="153" t="s">
        <v>186</v>
      </c>
      <c r="AG3351" s="143">
        <f>AG3337*1.01</f>
        <v>54572.725996370049</v>
      </c>
      <c r="AH3351" s="128" t="s">
        <v>185</v>
      </c>
      <c r="AI3351" s="153" t="s">
        <v>186</v>
      </c>
      <c r="AJ3351" s="143">
        <f>AJ3337*1.01</f>
        <v>69292.881062429384</v>
      </c>
      <c r="AK3351" s="128" t="s">
        <v>185</v>
      </c>
      <c r="AL3351" s="153" t="s">
        <v>186</v>
      </c>
      <c r="AM3351" s="143">
        <f>AM3337*1.01</f>
        <v>81251.352579042446</v>
      </c>
      <c r="AN3351" s="128" t="s">
        <v>185</v>
      </c>
      <c r="AO3351" s="153" t="s">
        <v>186</v>
      </c>
      <c r="AP3351" s="143">
        <f>AP3337*1.01</f>
        <v>90649.562196180996</v>
      </c>
      <c r="AQ3351" s="128" t="s">
        <v>185</v>
      </c>
      <c r="AR3351" s="153" t="s">
        <v>186</v>
      </c>
      <c r="AS3351" s="143">
        <f>AS3337*1.01</f>
        <v>101134.84718134801</v>
      </c>
      <c r="AT3351" s="128" t="s">
        <v>185</v>
      </c>
      <c r="AU3351" s="153" t="s">
        <v>186</v>
      </c>
    </row>
    <row r="3352" spans="13:47" ht="14" x14ac:dyDescent="0.3">
      <c r="M3352" s="12"/>
      <c r="N3352" s="12"/>
      <c r="O3352" s="20"/>
      <c r="P3352" s="20"/>
      <c r="Q3352" s="23"/>
      <c r="R3352" s="139"/>
      <c r="S3352" s="130" t="s">
        <v>228</v>
      </c>
      <c r="T3352" s="131" t="s">
        <v>187</v>
      </c>
      <c r="U3352" s="144"/>
      <c r="V3352" s="130" t="s">
        <v>228</v>
      </c>
      <c r="W3352" s="154" t="s">
        <v>187</v>
      </c>
      <c r="X3352" s="144"/>
      <c r="Y3352" s="130" t="s">
        <v>228</v>
      </c>
      <c r="Z3352" s="154" t="s">
        <v>187</v>
      </c>
      <c r="AA3352" s="144"/>
      <c r="AB3352" s="130" t="s">
        <v>228</v>
      </c>
      <c r="AC3352" s="154" t="s">
        <v>187</v>
      </c>
      <c r="AD3352" s="144"/>
      <c r="AE3352" s="130" t="s">
        <v>228</v>
      </c>
      <c r="AF3352" s="154" t="s">
        <v>187</v>
      </c>
      <c r="AG3352" s="144"/>
      <c r="AH3352" s="130" t="s">
        <v>228</v>
      </c>
      <c r="AI3352" s="154" t="s">
        <v>187</v>
      </c>
      <c r="AJ3352" s="144"/>
      <c r="AK3352" s="130" t="s">
        <v>228</v>
      </c>
      <c r="AL3352" s="154" t="s">
        <v>187</v>
      </c>
      <c r="AM3352" s="144"/>
      <c r="AN3352" s="130" t="s">
        <v>228</v>
      </c>
      <c r="AO3352" s="154" t="s">
        <v>187</v>
      </c>
      <c r="AP3352" s="144"/>
      <c r="AQ3352" s="130" t="s">
        <v>228</v>
      </c>
      <c r="AR3352" s="154" t="s">
        <v>187</v>
      </c>
      <c r="AS3352" s="144"/>
      <c r="AT3352" s="130" t="s">
        <v>228</v>
      </c>
      <c r="AU3352" s="154" t="s">
        <v>187</v>
      </c>
    </row>
    <row r="3353" spans="13:47" x14ac:dyDescent="0.25">
      <c r="M3353" s="20"/>
      <c r="N3353" s="20"/>
      <c r="O3353" s="7" t="s">
        <v>188</v>
      </c>
      <c r="P3353" s="7"/>
      <c r="Q3353" s="7"/>
      <c r="R3353" s="181">
        <f>P_1_minW-(R3351^2*R_up)+dpup_minQ</f>
        <v>99.899330496765302</v>
      </c>
      <c r="S3353" s="132"/>
      <c r="T3353" s="145"/>
      <c r="U3353" s="138">
        <f>P_1_minW-(U3351^2*R_up)+dpup_minQ</f>
        <v>90.904007155667657</v>
      </c>
      <c r="V3353" s="132"/>
      <c r="W3353" s="145"/>
      <c r="X3353" s="138">
        <f>P_1_minW-(X3351^2*R_up)+dpup_minQ</f>
        <v>41.691275942083287</v>
      </c>
      <c r="Y3353" s="132"/>
      <c r="Z3353" s="145"/>
      <c r="AA3353" s="138">
        <f>P_1_minW-(AA3351^2*R_up)+dpup_minQ</f>
        <v>-122.66688225469598</v>
      </c>
      <c r="AB3353" s="132"/>
      <c r="AC3353" s="145"/>
      <c r="AD3353" s="138">
        <f>P_1_minW-(AD3351^2*R_up)+dpup_minQ</f>
        <v>-503.16371653528631</v>
      </c>
      <c r="AE3353" s="132"/>
      <c r="AF3353" s="145"/>
      <c r="AG3353" s="138">
        <f>P_1_minW-(AG3351^2*R_up)+dpup_minQ</f>
        <v>-1087.0627056277253</v>
      </c>
      <c r="AH3353" s="132"/>
      <c r="AI3353" s="145"/>
      <c r="AJ3353" s="138">
        <f>P_1_minW-(AJ3351^2*R_up)+dpup_minQ</f>
        <v>-1814.1335135306113</v>
      </c>
      <c r="AK3353" s="132"/>
      <c r="AL3353" s="145"/>
      <c r="AM3353" s="138">
        <f>P_1_minW-(AM3351^2*R_up)+dpup_minQ</f>
        <v>-2532.016045906686</v>
      </c>
      <c r="AN3353" s="132"/>
      <c r="AO3353" s="145"/>
      <c r="AP3353" s="138">
        <f>P_1_minW-(AP3351^2*R_up)+dpup_minQ</f>
        <v>-3176.2400496647047</v>
      </c>
      <c r="AQ3353" s="132"/>
      <c r="AR3353" s="145"/>
      <c r="AS3353" s="138">
        <f>P_1_minW-(AS3351^2*R_up)+dpup_minQ</f>
        <v>-3978.1158843745466</v>
      </c>
      <c r="AT3353" s="132"/>
      <c r="AU3353" s="145"/>
    </row>
    <row r="3354" spans="13:47" x14ac:dyDescent="0.25">
      <c r="M3354" s="20"/>
      <c r="N3354" s="20"/>
      <c r="O3354" s="7" t="s">
        <v>189</v>
      </c>
      <c r="P3354" s="1"/>
      <c r="Q3354" s="7"/>
      <c r="R3354" s="181">
        <f>P_2_minW+(R3351^2*R_dn)-dpdn_minQ</f>
        <v>50</v>
      </c>
      <c r="S3354" s="132"/>
      <c r="T3354" s="146"/>
      <c r="U3354" s="138">
        <f>P_2_minW+(U3351^2*R_dn)-dpdn_minQ</f>
        <v>50</v>
      </c>
      <c r="V3354" s="132"/>
      <c r="W3354" s="146"/>
      <c r="X3354" s="138">
        <f>P_2_minW+(X3351^2*R_dn)-dpdn_minQ</f>
        <v>50</v>
      </c>
      <c r="Y3354" s="132"/>
      <c r="Z3354" s="146"/>
      <c r="AA3354" s="138">
        <f>P_2_minW+(AA3351^2*R_dn)-dpdn_minQ</f>
        <v>50</v>
      </c>
      <c r="AB3354" s="132"/>
      <c r="AC3354" s="146"/>
      <c r="AD3354" s="138">
        <f>P_2_minW+(AD3351^2*R_dn)-dpdn_minQ</f>
        <v>50</v>
      </c>
      <c r="AE3354" s="132"/>
      <c r="AF3354" s="146"/>
      <c r="AG3354" s="138">
        <f>P_2_minW+(AG3351^2*R_dn)-dpdn_minQ</f>
        <v>50</v>
      </c>
      <c r="AH3354" s="132"/>
      <c r="AI3354" s="146"/>
      <c r="AJ3354" s="138">
        <f>P_2_minW+(AJ3351^2*R_dn)-dpdn_minQ</f>
        <v>50</v>
      </c>
      <c r="AK3354" s="132"/>
      <c r="AL3354" s="146"/>
      <c r="AM3354" s="138">
        <f>P_2_minW+(AM3351^2*R_dn)-dpdn_minQ</f>
        <v>50</v>
      </c>
      <c r="AN3354" s="132"/>
      <c r="AO3354" s="146"/>
      <c r="AP3354" s="138">
        <f>P_2_minW+(AP3351^2*R_dn)-dpdn_minQ</f>
        <v>50</v>
      </c>
      <c r="AQ3354" s="132"/>
      <c r="AR3354" s="146"/>
      <c r="AS3354" s="138">
        <f>P_2_minW+(AS3351^2*R_dn)-dpdn_minQ</f>
        <v>50</v>
      </c>
      <c r="AT3354" s="132"/>
      <c r="AU3354" s="146"/>
    </row>
    <row r="3355" spans="13:47" x14ac:dyDescent="0.25">
      <c r="M3355" s="20"/>
      <c r="N3355" s="20"/>
      <c r="O3355" s="7" t="s">
        <v>234</v>
      </c>
      <c r="P3355" s="1"/>
      <c r="Q3355" s="7"/>
      <c r="R3355" s="179">
        <f>'Valve Sizing'!G$8*R3353/P_1_maxW</f>
        <v>0.48189658433685906</v>
      </c>
      <c r="S3355" s="132"/>
      <c r="T3355" s="146"/>
      <c r="U3355" s="143">
        <f>'Valve Sizing'!$G$8*U3353/P_1_maxW</f>
        <v>0.43850474605801348</v>
      </c>
      <c r="V3355" s="132"/>
      <c r="W3355" s="146"/>
      <c r="X3355" s="143">
        <f>'Valve Sizing'!$G$8*X3353/P_1_maxW</f>
        <v>0.20111129247043288</v>
      </c>
      <c r="Y3355" s="132"/>
      <c r="Z3355" s="146"/>
      <c r="AA3355" s="143">
        <f>'Valve Sizing'!$G$8*AA3353/P_1_maxW</f>
        <v>-0.59172320050436877</v>
      </c>
      <c r="AB3355" s="132"/>
      <c r="AC3355" s="146"/>
      <c r="AD3355" s="143">
        <f>'Valve Sizing'!$G$8*AD3353/P_1_maxW</f>
        <v>-2.4271721857880242</v>
      </c>
      <c r="AE3355" s="132"/>
      <c r="AF3355" s="146"/>
      <c r="AG3355" s="143">
        <f>'Valve Sizing'!$G$8*AG3353/P_1_maxW</f>
        <v>-5.2437969523624322</v>
      </c>
      <c r="AH3355" s="132"/>
      <c r="AI3355" s="146"/>
      <c r="AJ3355" s="143">
        <f>'Valve Sizing'!$G$8*AJ3353/P_1_maxW</f>
        <v>-8.7510570827072129</v>
      </c>
      <c r="AK3355" s="132"/>
      <c r="AL3355" s="146"/>
      <c r="AM3355" s="143">
        <f>'Valve Sizing'!$G$8*AM3353/P_1_maxW</f>
        <v>-12.213994607782285</v>
      </c>
      <c r="AN3355" s="132"/>
      <c r="AO3355" s="146"/>
      <c r="AP3355" s="143">
        <f>'Valve Sizing'!$G$8*AP3353/P_1_maxW</f>
        <v>-15.321616504896571</v>
      </c>
      <c r="AQ3355" s="132"/>
      <c r="AR3355" s="146"/>
      <c r="AS3355" s="143">
        <f>'Valve Sizing'!$G$8*AS3353/P_1_maxW</f>
        <v>-19.189722766343969</v>
      </c>
      <c r="AT3355" s="132"/>
      <c r="AU3355" s="146"/>
    </row>
    <row r="3356" spans="13:47" x14ac:dyDescent="0.25">
      <c r="M3356" s="20"/>
      <c r="N3356" s="20"/>
      <c r="O3356" s="7" t="s">
        <v>190</v>
      </c>
      <c r="P3356" s="1"/>
      <c r="Q3356" s="7"/>
      <c r="R3356" s="181">
        <f>R3353-R3354</f>
        <v>49.899330496765302</v>
      </c>
      <c r="S3356" s="132"/>
      <c r="T3356" s="146"/>
      <c r="U3356" s="138">
        <f>U3353-U3354</f>
        <v>40.904007155667657</v>
      </c>
      <c r="V3356" s="132"/>
      <c r="W3356" s="146"/>
      <c r="X3356" s="138">
        <f>X3353-X3354</f>
        <v>-8.308724057916713</v>
      </c>
      <c r="Y3356" s="132"/>
      <c r="Z3356" s="146"/>
      <c r="AA3356" s="138">
        <f>AA3353-AA3354</f>
        <v>-172.66688225469596</v>
      </c>
      <c r="AB3356" s="132"/>
      <c r="AC3356" s="146"/>
      <c r="AD3356" s="138">
        <f>AD3353-AD3354</f>
        <v>-553.16371653528631</v>
      </c>
      <c r="AE3356" s="132"/>
      <c r="AF3356" s="146"/>
      <c r="AG3356" s="138">
        <f>AG3353-AG3354</f>
        <v>-1137.0627056277253</v>
      </c>
      <c r="AH3356" s="132"/>
      <c r="AI3356" s="146"/>
      <c r="AJ3356" s="138">
        <f>AJ3353-AJ3354</f>
        <v>-1864.1335135306113</v>
      </c>
      <c r="AK3356" s="132"/>
      <c r="AL3356" s="146"/>
      <c r="AM3356" s="138">
        <f>AM3353-AM3354</f>
        <v>-2582.016045906686</v>
      </c>
      <c r="AN3356" s="132"/>
      <c r="AO3356" s="146"/>
      <c r="AP3356" s="138">
        <f>AP3353-AP3354</f>
        <v>-3226.2400496647047</v>
      </c>
      <c r="AQ3356" s="132"/>
      <c r="AR3356" s="146"/>
      <c r="AS3356" s="138">
        <f>AS3353-AS3354</f>
        <v>-4028.1158843745466</v>
      </c>
      <c r="AT3356" s="132"/>
      <c r="AU3356" s="146"/>
    </row>
    <row r="3357" spans="13:47" ht="14.5" x14ac:dyDescent="0.35">
      <c r="M3357" s="27"/>
      <c r="N3357" s="27"/>
      <c r="O3357" s="2" t="s">
        <v>191</v>
      </c>
      <c r="P3357" s="10"/>
      <c r="Q3357" s="2"/>
      <c r="R3357" s="181">
        <f>R3356/R3353</f>
        <v>0.49949614525575847</v>
      </c>
      <c r="S3357" s="132"/>
      <c r="T3357" s="146"/>
      <c r="U3357" s="138">
        <f>U3356/U3353</f>
        <v>0.4499692415717384</v>
      </c>
      <c r="V3357" s="132"/>
      <c r="W3357" s="146"/>
      <c r="X3357" s="138">
        <f>X3356/X3353</f>
        <v>-0.19929167122299235</v>
      </c>
      <c r="Y3357" s="132"/>
      <c r="Z3357" s="146"/>
      <c r="AA3357" s="138">
        <f>AA3356/AA3353</f>
        <v>1.4076079792766223</v>
      </c>
      <c r="AB3357" s="132"/>
      <c r="AC3357" s="146"/>
      <c r="AD3357" s="138">
        <f>AD3356/AD3353</f>
        <v>1.0993712351603826</v>
      </c>
      <c r="AE3357" s="132"/>
      <c r="AF3357" s="146"/>
      <c r="AG3357" s="138">
        <f>AG3356/AG3353</f>
        <v>1.0459955067367779</v>
      </c>
      <c r="AH3357" s="132"/>
      <c r="AI3357" s="146"/>
      <c r="AJ3357" s="138">
        <f>AJ3356/AJ3353</f>
        <v>1.027561367246169</v>
      </c>
      <c r="AK3357" s="132"/>
      <c r="AL3357" s="146"/>
      <c r="AM3357" s="138">
        <f>AM3356/AM3353</f>
        <v>1.019747110244752</v>
      </c>
      <c r="AN3357" s="132"/>
      <c r="AO3357" s="146"/>
      <c r="AP3357" s="138">
        <f>AP3356/AP3353</f>
        <v>1.0157418832387302</v>
      </c>
      <c r="AQ3357" s="132"/>
      <c r="AR3357" s="146"/>
      <c r="AS3357" s="138">
        <f>AS3356/AS3353</f>
        <v>1.0125687640715528</v>
      </c>
      <c r="AT3357" s="132"/>
      <c r="AU3357" s="146"/>
    </row>
    <row r="3358" spans="13:47" x14ac:dyDescent="0.25">
      <c r="M3358" s="27"/>
      <c r="N3358" s="27"/>
      <c r="O3358" s="2" t="s">
        <v>26</v>
      </c>
      <c r="P3358" s="7">
        <v>12</v>
      </c>
      <c r="Q3358" s="2"/>
      <c r="R3358" s="181">
        <f>1-R3357/(3*F_GAMMA*R$29)</f>
        <v>0.73985668376020775</v>
      </c>
      <c r="S3358" s="133"/>
      <c r="T3358" s="146"/>
      <c r="U3358" s="138">
        <f>1-U3357/(3*F_GAMMA*U$29)</f>
        <v>0.76570246057824021</v>
      </c>
      <c r="V3358" s="133"/>
      <c r="W3358" s="146"/>
      <c r="X3358" s="138">
        <f>1-X3357/(3*F_GAMMA*X$29)</f>
        <v>1.1053272565138033</v>
      </c>
      <c r="Y3358" s="133"/>
      <c r="Z3358" s="146"/>
      <c r="AA3358" s="138">
        <f>1-AA3357/(3*F_GAMMA*AA$29)</f>
        <v>0.24586747821629529</v>
      </c>
      <c r="AB3358" s="133"/>
      <c r="AC3358" s="146"/>
      <c r="AD3358" s="138">
        <f>1-AD3357/(3*F_GAMMA*AD$29)</f>
        <v>0.39485780494336997</v>
      </c>
      <c r="AE3358" s="133"/>
      <c r="AF3358" s="146"/>
      <c r="AG3358" s="138">
        <f>1-AG3357/(3*F_GAMMA*AG$29)</f>
        <v>0.3913957841835275</v>
      </c>
      <c r="AH3358" s="133"/>
      <c r="AI3358" s="146"/>
      <c r="AJ3358" s="138">
        <f>1-AJ3357/(3*F_GAMMA*AJ$29)</f>
        <v>0.36085982375637704</v>
      </c>
      <c r="AK3358" s="133"/>
      <c r="AL3358" s="146"/>
      <c r="AM3358" s="138">
        <f>1-AM3357/(3*F_GAMMA*AM$29)</f>
        <v>0.30698489455513978</v>
      </c>
      <c r="AN3358" s="133"/>
      <c r="AO3358" s="146"/>
      <c r="AP3358" s="138">
        <f>1-AP3357/(3*F_GAMMA*AP$29)</f>
        <v>0.42954737342943961</v>
      </c>
      <c r="AQ3358" s="133"/>
      <c r="AR3358" s="146"/>
      <c r="AS3358" s="138">
        <f>1-AS3357/(3*F_GAMMA*AS$29)</f>
        <v>0.13670866794676872</v>
      </c>
      <c r="AT3358" s="133"/>
      <c r="AU3358" s="146"/>
    </row>
    <row r="3359" spans="13:47" x14ac:dyDescent="0.25">
      <c r="M3359" s="27"/>
      <c r="N3359" s="27"/>
      <c r="O3359" s="2" t="s">
        <v>71</v>
      </c>
      <c r="P3359" s="85">
        <v>5</v>
      </c>
      <c r="Q3359" s="2"/>
      <c r="R3359" s="179">
        <f>R3351/((N_6*R$27*R3358)*SQRT(R3357*R3353*R3355))</f>
        <v>5.4453031028218764</v>
      </c>
      <c r="S3359" s="133"/>
      <c r="T3359" s="146"/>
      <c r="U3359" s="143">
        <f>U3351/((N_6*U$27*U3358)*SQRT(U3357*U3353*U3355))</f>
        <v>23.943673720288434</v>
      </c>
      <c r="V3359" s="133"/>
      <c r="W3359" s="146"/>
      <c r="X3359" s="143" t="e">
        <f>X3351/((N_6*X$27*X3358)*SQRT(X3357*X3353*X3355))</f>
        <v>#NUM!</v>
      </c>
      <c r="Y3359" s="133"/>
      <c r="Z3359" s="146"/>
      <c r="AA3359" s="143">
        <f>AA3351/((N_6*AA$27*AA3358)*SQRT(AA3357*AA3353*AA3355))</f>
        <v>151.69981788304872</v>
      </c>
      <c r="AB3359" s="133"/>
      <c r="AC3359" s="146"/>
      <c r="AD3359" s="143">
        <f>AD3351/((N_6*AD$27*AD3358)*SQRT(AD3357*AD3353*AD3355))</f>
        <v>43.365611505687106</v>
      </c>
      <c r="AE3359" s="133"/>
      <c r="AF3359" s="146"/>
      <c r="AG3359" s="143">
        <f>AG3351/((N_6*AG$27*AG3358)*SQRT(AG3357*AG3353*AG3355))</f>
        <v>29.746062352587433</v>
      </c>
      <c r="AH3359" s="133"/>
      <c r="AI3359" s="146"/>
      <c r="AJ3359" s="143">
        <f>AJ3351/((N_6*AJ$27*AJ3358)*SQRT(AJ3357*AJ3353*AJ3355))</f>
        <v>25.616867200525824</v>
      </c>
      <c r="AK3359" s="133"/>
      <c r="AL3359" s="146"/>
      <c r="AM3359" s="143">
        <f>AM3351/((N_6*AM$27*AM3358)*SQRT(AM3357*AM3353*AM3355))</f>
        <v>26.9546813928836</v>
      </c>
      <c r="AN3359" s="133"/>
      <c r="AO3359" s="146"/>
      <c r="AP3359" s="143">
        <f>AP3351/((N_6*AP$27*AP3358)*SQRT(AP3357*AP3353*AP3355))</f>
        <v>19.500110528507982</v>
      </c>
      <c r="AQ3359" s="133"/>
      <c r="AR3359" s="146"/>
      <c r="AS3359" s="143">
        <f>AS3351/((N_6*AS$27*AS3358)*SQRT(AS3357*AS3353*AS3355))</f>
        <v>71.827363247764495</v>
      </c>
      <c r="AT3359" s="133"/>
      <c r="AU3359" s="146"/>
    </row>
    <row r="3360" spans="13:47" x14ac:dyDescent="0.25">
      <c r="M3360" s="27"/>
      <c r="N3360" s="27"/>
      <c r="O3360" s="2" t="s">
        <v>73</v>
      </c>
      <c r="P3360" s="85">
        <v>5</v>
      </c>
      <c r="Q3360" s="2"/>
      <c r="R3360" s="179">
        <f>R3351/((N_6*R$27*0.667)*SQRT(R3361*R3353*R3355))</f>
        <v>5.3359381880960619</v>
      </c>
      <c r="S3360" s="133"/>
      <c r="T3360" s="147"/>
      <c r="U3360" s="143">
        <f>U3351/((N_6*U$27*0.667)*SQRT(U3361*U3353*U3355))</f>
        <v>23.044616531156432</v>
      </c>
      <c r="V3360" s="133"/>
      <c r="W3360" s="155"/>
      <c r="X3360" s="143">
        <f>X3351/((N_6*X$27*0.667)*SQRT(X3361*X3353*X3355))</f>
        <v>125.47208830036269</v>
      </c>
      <c r="Y3360" s="133"/>
      <c r="Z3360" s="155"/>
      <c r="AA3360" s="143">
        <f>AA3351/((N_6*AA$27*0.667)*SQRT(AA3361*AA3353*AA3355))</f>
        <v>84.109446439314098</v>
      </c>
      <c r="AB3360" s="133"/>
      <c r="AC3360" s="155"/>
      <c r="AD3360" s="143">
        <f>AD3351/((N_6*AD$27*0.667)*SQRT(AD3361*AD3353*AD3355))</f>
        <v>34.589932403189444</v>
      </c>
      <c r="AE3360" s="133"/>
      <c r="AF3360" s="155"/>
      <c r="AG3360" s="143">
        <f>AG3351/((N_6*AG$27*0.667)*SQRT(AG3361*AG3353*AG3355))</f>
        <v>23.585652690084913</v>
      </c>
      <c r="AH3360" s="133"/>
      <c r="AI3360" s="155"/>
      <c r="AJ3360" s="143">
        <f>AJ3351/((N_6*AJ$27*0.667)*SQRT(AJ3361*AJ3353*AJ3355))</f>
        <v>19.190991011844027</v>
      </c>
      <c r="AK3360" s="133"/>
      <c r="AL3360" s="155"/>
      <c r="AM3360" s="143">
        <f>AM3351/((N_6*AM$27*0.667)*SQRT(AM3361*AM3353*AM3355))</f>
        <v>17.88781739778981</v>
      </c>
      <c r="AN3360" s="133"/>
      <c r="AO3360" s="155"/>
      <c r="AP3360" s="143">
        <f>AP3351/((N_6*AP$27*0.667)*SQRT(AP3361*AP3353*AP3355))</f>
        <v>16.428303831861346</v>
      </c>
      <c r="AQ3360" s="133"/>
      <c r="AR3360" s="155"/>
      <c r="AS3360" s="143">
        <f>AS3351/((N_6*AS$27*0.667)*SQRT(AS3361*AS3353*AS3355))</f>
        <v>23.69187645376304</v>
      </c>
      <c r="AT3360" s="133"/>
      <c r="AU3360" s="155"/>
    </row>
    <row r="3361" spans="13:47" ht="15.5" x14ac:dyDescent="0.4">
      <c r="M3361" s="27"/>
      <c r="N3361" s="27"/>
      <c r="O3361" s="2" t="s">
        <v>192</v>
      </c>
      <c r="P3361" s="85">
        <v>10</v>
      </c>
      <c r="Q3361" s="2"/>
      <c r="R3361" s="181">
        <f>F_GAMMA*R$29</f>
        <v>0.64002688015162901</v>
      </c>
      <c r="S3361" s="133"/>
      <c r="T3361" s="147"/>
      <c r="U3361" s="138">
        <f>F_GAMMA*U$29</f>
        <v>0.64016782916606918</v>
      </c>
      <c r="V3361" s="133"/>
      <c r="W3361" s="155"/>
      <c r="X3361" s="138">
        <f>F_GAMMA*X$29</f>
        <v>0.6307062319203669</v>
      </c>
      <c r="Y3361" s="133"/>
      <c r="Z3361" s="155"/>
      <c r="AA3361" s="138">
        <f>F_GAMMA*AA$29</f>
        <v>0.62217534213893466</v>
      </c>
      <c r="AB3361" s="133"/>
      <c r="AC3361" s="155"/>
      <c r="AD3361" s="138">
        <f>F_GAMMA*AD$29</f>
        <v>0.60557184969146072</v>
      </c>
      <c r="AE3361" s="133"/>
      <c r="AF3361" s="155"/>
      <c r="AG3361" s="138">
        <f>F_GAMMA*AG$29</f>
        <v>0.57289312142622573</v>
      </c>
      <c r="AH3361" s="133"/>
      <c r="AI3361" s="155"/>
      <c r="AJ3361" s="138">
        <f>F_GAMMA*AJ$29</f>
        <v>0.53590819116049981</v>
      </c>
      <c r="AK3361" s="133"/>
      <c r="AL3361" s="155"/>
      <c r="AM3361" s="138">
        <f>F_GAMMA*AM$29</f>
        <v>0.49048815926850342</v>
      </c>
      <c r="AN3361" s="133"/>
      <c r="AO3361" s="155"/>
      <c r="AP3361" s="138">
        <f>F_GAMMA*AP$29</f>
        <v>0.59352979016280105</v>
      </c>
      <c r="AQ3361" s="133"/>
      <c r="AR3361" s="155"/>
      <c r="AS3361" s="138">
        <f>F_GAMMA*AS$29</f>
        <v>0.39097221161068291</v>
      </c>
      <c r="AT3361" s="133"/>
      <c r="AU3361" s="155"/>
    </row>
    <row r="3362" spans="13:47" x14ac:dyDescent="0.25">
      <c r="M3362" s="27"/>
      <c r="N3362" s="27"/>
      <c r="O3362" s="2" t="s">
        <v>193</v>
      </c>
      <c r="P3362" s="134"/>
      <c r="Q3362" s="2"/>
      <c r="R3362" s="181">
        <f>IF(R3357&lt;R3361,R3359,R3360)</f>
        <v>5.4453031028218764</v>
      </c>
      <c r="S3362" s="133"/>
      <c r="T3362" s="147"/>
      <c r="U3362" s="138">
        <f>IF(U3357&lt;U3361,U3359,U3360)</f>
        <v>23.943673720288434</v>
      </c>
      <c r="V3362" s="133"/>
      <c r="W3362" s="155"/>
      <c r="X3362" s="138" t="e">
        <f>IF(X3357&lt;X3361,X3359,X3360)</f>
        <v>#NUM!</v>
      </c>
      <c r="Y3362" s="133"/>
      <c r="Z3362" s="155"/>
      <c r="AA3362" s="138">
        <f>IF(AA3357&lt;AA3361,AA3359,AA3360)</f>
        <v>84.109446439314098</v>
      </c>
      <c r="AB3362" s="133"/>
      <c r="AC3362" s="155"/>
      <c r="AD3362" s="138">
        <f>IF(AD3357&lt;AD3361,AD3359,AD3360)</f>
        <v>34.589932403189444</v>
      </c>
      <c r="AE3362" s="133"/>
      <c r="AF3362" s="155"/>
      <c r="AG3362" s="138">
        <f>IF(AG3357&lt;AG3361,AG3359,AG3360)</f>
        <v>23.585652690084913</v>
      </c>
      <c r="AH3362" s="133"/>
      <c r="AI3362" s="155"/>
      <c r="AJ3362" s="138">
        <f>IF(AJ3357&lt;AJ3361,AJ3359,AJ3360)</f>
        <v>19.190991011844027</v>
      </c>
      <c r="AK3362" s="133"/>
      <c r="AL3362" s="155"/>
      <c r="AM3362" s="138">
        <f>IF(AM3357&lt;AM3361,AM3359,AM3360)</f>
        <v>17.88781739778981</v>
      </c>
      <c r="AN3362" s="133"/>
      <c r="AO3362" s="155"/>
      <c r="AP3362" s="138">
        <f>IF(AP3357&lt;AP3361,AP3359,AP3360)</f>
        <v>16.428303831861346</v>
      </c>
      <c r="AQ3362" s="133"/>
      <c r="AR3362" s="155"/>
      <c r="AS3362" s="138">
        <f>IF(AS3357&lt;AS3361,AS3359,AS3360)</f>
        <v>23.69187645376304</v>
      </c>
      <c r="AT3362" s="133"/>
      <c r="AU3362" s="155"/>
    </row>
    <row r="3363" spans="13:47" ht="13" x14ac:dyDescent="0.3">
      <c r="M3363" s="28"/>
      <c r="N3363" s="28"/>
      <c r="O3363" s="9" t="s">
        <v>194</v>
      </c>
      <c r="P3363" s="1"/>
      <c r="Q3363" s="1"/>
      <c r="R3363" s="135"/>
      <c r="S3363" s="132">
        <f>IF(R3356&lt;=0,W_max,ABS(R$23-R3362))</f>
        <v>3.4453031028218764</v>
      </c>
      <c r="T3363" s="151">
        <f>R3351</f>
        <v>1250.3920225829565</v>
      </c>
      <c r="U3363" s="135"/>
      <c r="V3363" s="132">
        <f>IF(U3356&lt;=0,W_max,ABS(U$23-U3362))</f>
        <v>18.943673720288434</v>
      </c>
      <c r="W3363" s="151">
        <f>U3351</f>
        <v>4911.3761014693855</v>
      </c>
      <c r="X3363" s="135"/>
      <c r="Y3363" s="132">
        <f>IF(X3356&lt;=0,W_max,ABS(X$23-X3362))</f>
        <v>7174</v>
      </c>
      <c r="Z3363" s="151">
        <f>X3351</f>
        <v>12146.417559541067</v>
      </c>
      <c r="AA3363" s="135"/>
      <c r="AB3363" s="132">
        <f>IF(AA3356&lt;=0,W_max,ABS(AA$23-AA3362))</f>
        <v>7174</v>
      </c>
      <c r="AC3363" s="151">
        <f>AA3351</f>
        <v>23658.121088615346</v>
      </c>
      <c r="AD3363" s="135"/>
      <c r="AE3363" s="132">
        <f>IF(AD3356&lt;=0,W_max,ABS(AD$23-AD3362))</f>
        <v>7174</v>
      </c>
      <c r="AF3363" s="151">
        <f>AD3351</f>
        <v>38908.898787372622</v>
      </c>
      <c r="AG3363" s="135"/>
      <c r="AH3363" s="132">
        <f>IF(AG3356&lt;=0,W_max,ABS(AG$23-AG3362))</f>
        <v>7174</v>
      </c>
      <c r="AI3363" s="151">
        <f>AG3351</f>
        <v>54572.725996370049</v>
      </c>
      <c r="AJ3363" s="135"/>
      <c r="AK3363" s="132">
        <f>IF(AJ3356&lt;=0,W_max,ABS(AJ$23-AJ3362))</f>
        <v>7174</v>
      </c>
      <c r="AL3363" s="151">
        <f>AJ3351</f>
        <v>69292.881062429384</v>
      </c>
      <c r="AM3363" s="135"/>
      <c r="AN3363" s="132">
        <f>IF(AM3356&lt;=0,W_max,ABS(AM$23-AM3362))</f>
        <v>7174</v>
      </c>
      <c r="AO3363" s="151">
        <f>AM3351</f>
        <v>81251.352579042446</v>
      </c>
      <c r="AP3363" s="135"/>
      <c r="AQ3363" s="132">
        <f>IF(AP3356&lt;=0,W_max,ABS(AP$23-AP3362))</f>
        <v>7174</v>
      </c>
      <c r="AR3363" s="151">
        <f>AP3351</f>
        <v>90649.562196180996</v>
      </c>
      <c r="AS3363" s="135"/>
      <c r="AT3363" s="132">
        <f>IF(AS3356&lt;=0,W_max,ABS(AS$23-AS3362))</f>
        <v>7174</v>
      </c>
      <c r="AU3363" s="151">
        <f>AS3351</f>
        <v>101134.84718134801</v>
      </c>
    </row>
    <row r="3364" spans="13:47" ht="13" x14ac:dyDescent="0.25">
      <c r="M3364" s="12"/>
      <c r="N3364" s="12"/>
      <c r="O3364" s="12"/>
      <c r="P3364" s="12"/>
      <c r="Q3364" s="12"/>
      <c r="R3364" s="182"/>
      <c r="S3364" s="22"/>
      <c r="T3364" s="152"/>
      <c r="U3364" s="157"/>
      <c r="V3364" s="1"/>
      <c r="W3364" s="147"/>
      <c r="X3364" s="157"/>
      <c r="Y3364" s="1"/>
      <c r="Z3364" s="147"/>
      <c r="AA3364" s="157"/>
      <c r="AB3364" s="1"/>
      <c r="AC3364" s="147"/>
      <c r="AD3364" s="157"/>
      <c r="AE3364" s="1"/>
      <c r="AF3364" s="147"/>
      <c r="AG3364" s="157"/>
      <c r="AH3364" s="1"/>
      <c r="AI3364" s="147"/>
      <c r="AJ3364" s="157"/>
      <c r="AK3364" s="1"/>
      <c r="AL3364" s="147"/>
      <c r="AM3364" s="157"/>
      <c r="AN3364" s="1"/>
      <c r="AO3364" s="147"/>
      <c r="AP3364" s="157"/>
      <c r="AQ3364" s="1"/>
      <c r="AR3364" s="147"/>
      <c r="AS3364" s="157"/>
      <c r="AT3364" s="1"/>
      <c r="AU3364" s="147"/>
    </row>
    <row r="3365" spans="13:47" ht="14" x14ac:dyDescent="0.3">
      <c r="M3365" s="23"/>
      <c r="N3365" s="23"/>
      <c r="O3365" s="23" t="s">
        <v>238</v>
      </c>
      <c r="P3365" s="20"/>
      <c r="Q3365" s="20"/>
      <c r="R3365" s="18">
        <f>R3351*1.02</f>
        <v>1275.3998630346157</v>
      </c>
      <c r="S3365" s="128" t="s">
        <v>185</v>
      </c>
      <c r="T3365" s="153" t="s">
        <v>186</v>
      </c>
      <c r="U3365" s="143">
        <f>U3351*1.01</f>
        <v>4960.4898624840798</v>
      </c>
      <c r="V3365" s="128" t="s">
        <v>185</v>
      </c>
      <c r="W3365" s="153" t="s">
        <v>186</v>
      </c>
      <c r="X3365" s="143">
        <f>X3351*1.01</f>
        <v>12267.881735136478</v>
      </c>
      <c r="Y3365" s="128" t="s">
        <v>185</v>
      </c>
      <c r="Z3365" s="153" t="s">
        <v>186</v>
      </c>
      <c r="AA3365" s="143">
        <f>AA3351*1.01</f>
        <v>23894.7022995015</v>
      </c>
      <c r="AB3365" s="128" t="s">
        <v>185</v>
      </c>
      <c r="AC3365" s="153" t="s">
        <v>186</v>
      </c>
      <c r="AD3365" s="143">
        <f>AD3351*1.01</f>
        <v>39297.987775246351</v>
      </c>
      <c r="AE3365" s="128" t="s">
        <v>185</v>
      </c>
      <c r="AF3365" s="153" t="s">
        <v>186</v>
      </c>
      <c r="AG3365" s="143">
        <f>AG3351*1.01</f>
        <v>55118.453256333749</v>
      </c>
      <c r="AH3365" s="128" t="s">
        <v>185</v>
      </c>
      <c r="AI3365" s="153" t="s">
        <v>186</v>
      </c>
      <c r="AJ3365" s="143">
        <f>AJ3351*1.01</f>
        <v>69985.809873053673</v>
      </c>
      <c r="AK3365" s="128" t="s">
        <v>185</v>
      </c>
      <c r="AL3365" s="153" t="s">
        <v>186</v>
      </c>
      <c r="AM3365" s="143">
        <f>AM3351*1.01</f>
        <v>82063.866104832865</v>
      </c>
      <c r="AN3365" s="128" t="s">
        <v>185</v>
      </c>
      <c r="AO3365" s="153" t="s">
        <v>186</v>
      </c>
      <c r="AP3365" s="143">
        <f>AP3351*1.01</f>
        <v>91556.057818142814</v>
      </c>
      <c r="AQ3365" s="128" t="s">
        <v>185</v>
      </c>
      <c r="AR3365" s="153" t="s">
        <v>186</v>
      </c>
      <c r="AS3365" s="143">
        <f>AS3351*1.01</f>
        <v>102146.1956531615</v>
      </c>
      <c r="AT3365" s="128" t="s">
        <v>185</v>
      </c>
      <c r="AU3365" s="153" t="s">
        <v>186</v>
      </c>
    </row>
    <row r="3366" spans="13:47" ht="14" x14ac:dyDescent="0.3">
      <c r="M3366" s="12"/>
      <c r="N3366" s="12"/>
      <c r="O3366" s="20"/>
      <c r="P3366" s="20"/>
      <c r="Q3366" s="23"/>
      <c r="R3366" s="139"/>
      <c r="S3366" s="130" t="s">
        <v>228</v>
      </c>
      <c r="T3366" s="154" t="s">
        <v>187</v>
      </c>
      <c r="U3366" s="144"/>
      <c r="V3366" s="130" t="s">
        <v>228</v>
      </c>
      <c r="W3366" s="154" t="s">
        <v>187</v>
      </c>
      <c r="X3366" s="144"/>
      <c r="Y3366" s="130" t="s">
        <v>228</v>
      </c>
      <c r="Z3366" s="154" t="s">
        <v>187</v>
      </c>
      <c r="AA3366" s="144"/>
      <c r="AB3366" s="130" t="s">
        <v>228</v>
      </c>
      <c r="AC3366" s="154" t="s">
        <v>187</v>
      </c>
      <c r="AD3366" s="144"/>
      <c r="AE3366" s="130" t="s">
        <v>228</v>
      </c>
      <c r="AF3366" s="154" t="s">
        <v>187</v>
      </c>
      <c r="AG3366" s="144"/>
      <c r="AH3366" s="130" t="s">
        <v>228</v>
      </c>
      <c r="AI3366" s="154" t="s">
        <v>187</v>
      </c>
      <c r="AJ3366" s="144"/>
      <c r="AK3366" s="130" t="s">
        <v>228</v>
      </c>
      <c r="AL3366" s="154" t="s">
        <v>187</v>
      </c>
      <c r="AM3366" s="144"/>
      <c r="AN3366" s="130" t="s">
        <v>228</v>
      </c>
      <c r="AO3366" s="154" t="s">
        <v>187</v>
      </c>
      <c r="AP3366" s="144"/>
      <c r="AQ3366" s="130" t="s">
        <v>228</v>
      </c>
      <c r="AR3366" s="154" t="s">
        <v>187</v>
      </c>
      <c r="AS3366" s="144"/>
      <c r="AT3366" s="130" t="s">
        <v>228</v>
      </c>
      <c r="AU3366" s="154" t="s">
        <v>187</v>
      </c>
    </row>
    <row r="3367" spans="13:47" x14ac:dyDescent="0.25">
      <c r="M3367" s="20"/>
      <c r="N3367" s="20"/>
      <c r="O3367" s="7" t="s">
        <v>188</v>
      </c>
      <c r="P3367" s="7"/>
      <c r="Q3367" s="7"/>
      <c r="R3367" s="181">
        <f>P_1_minW-(R3365^2*R_up)+dpup_minQ</f>
        <v>99.874142864670858</v>
      </c>
      <c r="S3367" s="132"/>
      <c r="T3367" s="145"/>
      <c r="U3367" s="138">
        <f>P_1_minW-(U3365^2*R_up)+dpup_minQ</f>
        <v>90.710669686088366</v>
      </c>
      <c r="V3367" s="132"/>
      <c r="W3367" s="145"/>
      <c r="X3367" s="138">
        <f>P_1_minW-(X3365^2*R_up)+dpup_minQ</f>
        <v>40.508762575110943</v>
      </c>
      <c r="Y3367" s="132"/>
      <c r="Z3367" s="145"/>
      <c r="AA3367" s="138">
        <f>P_1_minW-(AA3365^2*R_up)+dpup_minQ</f>
        <v>-127.15299460142357</v>
      </c>
      <c r="AB3367" s="132"/>
      <c r="AC3367" s="145"/>
      <c r="AD3367" s="138">
        <f>P_1_minW-(AD3365^2*R_up)+dpup_minQ</f>
        <v>-515.29781525105386</v>
      </c>
      <c r="AE3367" s="132"/>
      <c r="AF3367" s="145"/>
      <c r="AG3367" s="138">
        <f>P_1_minW-(AG3365^2*R_up)+dpup_minQ</f>
        <v>-1110.9331740242508</v>
      </c>
      <c r="AH3367" s="132"/>
      <c r="AI3367" s="145"/>
      <c r="AJ3367" s="138">
        <f>P_1_minW-(AJ3365^2*R_up)+dpup_minQ</f>
        <v>-1852.6181051659846</v>
      </c>
      <c r="AK3367" s="132"/>
      <c r="AL3367" s="145"/>
      <c r="AM3367" s="138">
        <f>P_1_minW-(AM3365^2*R_up)+dpup_minQ</f>
        <v>-2584.9300764428185</v>
      </c>
      <c r="AN3367" s="132"/>
      <c r="AO3367" s="145"/>
      <c r="AP3367" s="138">
        <f>P_1_minW-(AP3365^2*R_up)+dpup_minQ</f>
        <v>-3242.1029826763743</v>
      </c>
      <c r="AQ3367" s="132"/>
      <c r="AR3367" s="145"/>
      <c r="AS3367" s="138">
        <f>P_1_minW-(AS3365^2*R_up)+dpup_minQ</f>
        <v>-4060.0965216638833</v>
      </c>
      <c r="AT3367" s="132"/>
      <c r="AU3367" s="145"/>
    </row>
    <row r="3368" spans="13:47" x14ac:dyDescent="0.25">
      <c r="M3368" s="20"/>
      <c r="N3368" s="20"/>
      <c r="O3368" s="7" t="s">
        <v>189</v>
      </c>
      <c r="P3368" s="1"/>
      <c r="Q3368" s="7"/>
      <c r="R3368" s="181">
        <f>P_2_minW+(R3365^2*R_dn)-dpdn_minQ</f>
        <v>50</v>
      </c>
      <c r="S3368" s="132"/>
      <c r="T3368" s="146"/>
      <c r="U3368" s="138">
        <f>P_2_minW+(U3365^2*R_dn)-dpdn_minQ</f>
        <v>50</v>
      </c>
      <c r="V3368" s="132"/>
      <c r="W3368" s="146"/>
      <c r="X3368" s="138">
        <f>P_2_minW+(X3365^2*R_dn)-dpdn_minQ</f>
        <v>50</v>
      </c>
      <c r="Y3368" s="132"/>
      <c r="Z3368" s="146"/>
      <c r="AA3368" s="138">
        <f>P_2_minW+(AA3365^2*R_dn)-dpdn_minQ</f>
        <v>50</v>
      </c>
      <c r="AB3368" s="132"/>
      <c r="AC3368" s="146"/>
      <c r="AD3368" s="138">
        <f>P_2_minW+(AD3365^2*R_dn)-dpdn_minQ</f>
        <v>50</v>
      </c>
      <c r="AE3368" s="132"/>
      <c r="AF3368" s="146"/>
      <c r="AG3368" s="138">
        <f>P_2_minW+(AG3365^2*R_dn)-dpdn_minQ</f>
        <v>50</v>
      </c>
      <c r="AH3368" s="132"/>
      <c r="AI3368" s="146"/>
      <c r="AJ3368" s="138">
        <f>P_2_minW+(AJ3365^2*R_dn)-dpdn_minQ</f>
        <v>50</v>
      </c>
      <c r="AK3368" s="132"/>
      <c r="AL3368" s="146"/>
      <c r="AM3368" s="138">
        <f>P_2_minW+(AM3365^2*R_dn)-dpdn_minQ</f>
        <v>50</v>
      </c>
      <c r="AN3368" s="132"/>
      <c r="AO3368" s="146"/>
      <c r="AP3368" s="138">
        <f>P_2_minW+(AP3365^2*R_dn)-dpdn_minQ</f>
        <v>50</v>
      </c>
      <c r="AQ3368" s="132"/>
      <c r="AR3368" s="146"/>
      <c r="AS3368" s="138">
        <f>P_2_minW+(AS3365^2*R_dn)-dpdn_minQ</f>
        <v>50</v>
      </c>
      <c r="AT3368" s="132"/>
      <c r="AU3368" s="146"/>
    </row>
    <row r="3369" spans="13:47" x14ac:dyDescent="0.25">
      <c r="M3369" s="20"/>
      <c r="N3369" s="20"/>
      <c r="O3369" s="7" t="s">
        <v>234</v>
      </c>
      <c r="P3369" s="1"/>
      <c r="Q3369" s="7"/>
      <c r="R3369" s="179">
        <f>'Valve Sizing'!G$8*R3367/P_1_maxW</f>
        <v>0.481775083684017</v>
      </c>
      <c r="S3369" s="132"/>
      <c r="T3369" s="146"/>
      <c r="U3369" s="143">
        <f>'Valve Sizing'!$G$8*U3367/P_1_maxW</f>
        <v>0.43757212052637789</v>
      </c>
      <c r="V3369" s="132"/>
      <c r="W3369" s="146"/>
      <c r="X3369" s="143">
        <f>'Valve Sizing'!$G$8*X3367/P_1_maxW</f>
        <v>0.1954070585216868</v>
      </c>
      <c r="Y3369" s="132"/>
      <c r="Z3369" s="146"/>
      <c r="AA3369" s="143">
        <f>'Valve Sizing'!$G$8*AA3367/P_1_maxW</f>
        <v>-0.61336340776190823</v>
      </c>
      <c r="AB3369" s="132"/>
      <c r="AC3369" s="146"/>
      <c r="AD3369" s="143">
        <f>'Valve Sizing'!$G$8*AD3367/P_1_maxW</f>
        <v>-2.4857049176497652</v>
      </c>
      <c r="AE3369" s="132"/>
      <c r="AF3369" s="146"/>
      <c r="AG3369" s="143">
        <f>'Valve Sizing'!$G$8*AG3367/P_1_maxW</f>
        <v>-5.3589438420323194</v>
      </c>
      <c r="AH3369" s="132"/>
      <c r="AI3369" s="146"/>
      <c r="AJ3369" s="143">
        <f>'Valve Sizing'!$G$8*AJ3367/P_1_maxW</f>
        <v>-8.9366999009970289</v>
      </c>
      <c r="AK3369" s="132"/>
      <c r="AL3369" s="146"/>
      <c r="AM3369" s="143">
        <f>'Valve Sizing'!$G$8*AM3367/P_1_maxW</f>
        <v>-12.46924247032611</v>
      </c>
      <c r="AN3369" s="132"/>
      <c r="AO3369" s="146"/>
      <c r="AP3369" s="143">
        <f>'Valve Sizing'!$G$8*AP3367/P_1_maxW</f>
        <v>-15.6393275675724</v>
      </c>
      <c r="AQ3369" s="132"/>
      <c r="AR3369" s="146"/>
      <c r="AS3369" s="143">
        <f>'Valve Sizing'!$G$8*AS3367/P_1_maxW</f>
        <v>-19.585182764874883</v>
      </c>
      <c r="AT3369" s="132"/>
      <c r="AU3369" s="146"/>
    </row>
    <row r="3370" spans="13:47" x14ac:dyDescent="0.25">
      <c r="M3370" s="20"/>
      <c r="N3370" s="20"/>
      <c r="O3370" s="7" t="s">
        <v>190</v>
      </c>
      <c r="P3370" s="1"/>
      <c r="Q3370" s="7"/>
      <c r="R3370" s="181">
        <f>R3367-R3368</f>
        <v>49.874142864670858</v>
      </c>
      <c r="S3370" s="132"/>
      <c r="T3370" s="146"/>
      <c r="U3370" s="138">
        <f>U3367-U3368</f>
        <v>40.710669686088366</v>
      </c>
      <c r="V3370" s="132"/>
      <c r="W3370" s="146"/>
      <c r="X3370" s="138">
        <f>X3367-X3368</f>
        <v>-9.4912374248890572</v>
      </c>
      <c r="Y3370" s="132"/>
      <c r="Z3370" s="146"/>
      <c r="AA3370" s="138">
        <f>AA3367-AA3368</f>
        <v>-177.15299460142359</v>
      </c>
      <c r="AB3370" s="132"/>
      <c r="AC3370" s="146"/>
      <c r="AD3370" s="138">
        <f>AD3367-AD3368</f>
        <v>-565.29781525105386</v>
      </c>
      <c r="AE3370" s="132"/>
      <c r="AF3370" s="146"/>
      <c r="AG3370" s="138">
        <f>AG3367-AG3368</f>
        <v>-1160.9331740242508</v>
      </c>
      <c r="AH3370" s="132"/>
      <c r="AI3370" s="146"/>
      <c r="AJ3370" s="138">
        <f>AJ3367-AJ3368</f>
        <v>-1902.6181051659846</v>
      </c>
      <c r="AK3370" s="132"/>
      <c r="AL3370" s="146"/>
      <c r="AM3370" s="138">
        <f>AM3367-AM3368</f>
        <v>-2634.9300764428185</v>
      </c>
      <c r="AN3370" s="132"/>
      <c r="AO3370" s="146"/>
      <c r="AP3370" s="138">
        <f>AP3367-AP3368</f>
        <v>-3292.1029826763743</v>
      </c>
      <c r="AQ3370" s="132"/>
      <c r="AR3370" s="146"/>
      <c r="AS3370" s="138">
        <f>AS3367-AS3368</f>
        <v>-4110.0965216638833</v>
      </c>
      <c r="AT3370" s="132"/>
      <c r="AU3370" s="146"/>
    </row>
    <row r="3371" spans="13:47" ht="14.5" x14ac:dyDescent="0.35">
      <c r="M3371" s="27"/>
      <c r="N3371" s="27"/>
      <c r="O3371" s="2" t="s">
        <v>191</v>
      </c>
      <c r="P3371" s="10"/>
      <c r="Q3371" s="2"/>
      <c r="R3371" s="181">
        <f>R3370/R3367</f>
        <v>0.49936992132438285</v>
      </c>
      <c r="S3371" s="132"/>
      <c r="T3371" s="146"/>
      <c r="U3371" s="138">
        <f>U3370/U3367</f>
        <v>0.44879692573068791</v>
      </c>
      <c r="V3371" s="132"/>
      <c r="W3371" s="146"/>
      <c r="X3371" s="138">
        <f>X3370/X3367</f>
        <v>-0.23430084805208501</v>
      </c>
      <c r="Y3371" s="132"/>
      <c r="Z3371" s="146"/>
      <c r="AA3371" s="138">
        <f>AA3370/AA3367</f>
        <v>1.3932270738627199</v>
      </c>
      <c r="AB3371" s="132"/>
      <c r="AC3371" s="146"/>
      <c r="AD3371" s="138">
        <f>AD3370/AD3367</f>
        <v>1.0970312672015501</v>
      </c>
      <c r="AE3371" s="132"/>
      <c r="AF3371" s="146"/>
      <c r="AG3371" s="138">
        <f>AG3370/AG3367</f>
        <v>1.0450072076062682</v>
      </c>
      <c r="AH3371" s="132"/>
      <c r="AI3371" s="146"/>
      <c r="AJ3371" s="138">
        <f>AJ3370/AJ3367</f>
        <v>1.0269888326474712</v>
      </c>
      <c r="AK3371" s="132"/>
      <c r="AL3371" s="146"/>
      <c r="AM3371" s="138">
        <f>AM3370/AM3367</f>
        <v>1.0193428829876923</v>
      </c>
      <c r="AN3371" s="132"/>
      <c r="AO3371" s="146"/>
      <c r="AP3371" s="138">
        <f>AP3370/AP3367</f>
        <v>1.0154220887699024</v>
      </c>
      <c r="AQ3371" s="132"/>
      <c r="AR3371" s="146"/>
      <c r="AS3371" s="138">
        <f>AS3370/AS3367</f>
        <v>1.012314978162024</v>
      </c>
      <c r="AT3371" s="132"/>
      <c r="AU3371" s="146"/>
    </row>
    <row r="3372" spans="13:47" x14ac:dyDescent="0.25">
      <c r="M3372" s="27"/>
      <c r="N3372" s="27"/>
      <c r="O3372" s="2" t="s">
        <v>26</v>
      </c>
      <c r="P3372" s="7">
        <v>12</v>
      </c>
      <c r="Q3372" s="2"/>
      <c r="R3372" s="181">
        <f>1-R3371/(3*F_GAMMA*R$29)</f>
        <v>0.73992242263008445</v>
      </c>
      <c r="S3372" s="133"/>
      <c r="T3372" s="146"/>
      <c r="U3372" s="138">
        <f>1-U3371/(3*F_GAMMA*U$29)</f>
        <v>0.76631288167285516</v>
      </c>
      <c r="V3372" s="133"/>
      <c r="W3372" s="146"/>
      <c r="X3372" s="138">
        <f>1-X3371/(3*F_GAMMA*X$29)</f>
        <v>1.1238298889900447</v>
      </c>
      <c r="Y3372" s="133"/>
      <c r="Z3372" s="146"/>
      <c r="AA3372" s="138">
        <f>1-AA3371/(3*F_GAMMA*AA$29)</f>
        <v>0.25357211517842193</v>
      </c>
      <c r="AB3372" s="133"/>
      <c r="AC3372" s="146"/>
      <c r="AD3372" s="138">
        <f>1-AD3371/(3*F_GAMMA*AD$29)</f>
        <v>0.39614582604277915</v>
      </c>
      <c r="AE3372" s="133"/>
      <c r="AF3372" s="146"/>
      <c r="AG3372" s="138">
        <f>1-AG3371/(3*F_GAMMA*AG$29)</f>
        <v>0.39197081821899138</v>
      </c>
      <c r="AH3372" s="133"/>
      <c r="AI3372" s="146"/>
      <c r="AJ3372" s="138">
        <f>1-AJ3371/(3*F_GAMMA*AJ$29)</f>
        <v>0.3612159386084739</v>
      </c>
      <c r="AK3372" s="133"/>
      <c r="AL3372" s="146"/>
      <c r="AM3372" s="138">
        <f>1-AM3371/(3*F_GAMMA*AM$29)</f>
        <v>0.3072596054048794</v>
      </c>
      <c r="AN3372" s="133"/>
      <c r="AO3372" s="146"/>
      <c r="AP3372" s="138">
        <f>1-AP3371/(3*F_GAMMA*AP$29)</f>
        <v>0.42972697377645286</v>
      </c>
      <c r="AQ3372" s="133"/>
      <c r="AR3372" s="146"/>
      <c r="AS3372" s="138">
        <f>1-AS3371/(3*F_GAMMA*AS$29)</f>
        <v>0.13692503959842084</v>
      </c>
      <c r="AT3372" s="133"/>
      <c r="AU3372" s="146"/>
    </row>
    <row r="3373" spans="13:47" x14ac:dyDescent="0.25">
      <c r="M3373" s="27"/>
      <c r="N3373" s="27"/>
      <c r="O3373" s="2" t="s">
        <v>71</v>
      </c>
      <c r="P3373" s="85">
        <v>5</v>
      </c>
      <c r="Q3373" s="2"/>
      <c r="R3373" s="179">
        <f>R3365/((N_6*R$27*R3372)*SQRT(R3371*R3367*R3369))</f>
        <v>5.5558183389264855</v>
      </c>
      <c r="S3373" s="133"/>
      <c r="T3373" s="146"/>
      <c r="U3373" s="143">
        <f>U3365/((N_6*U$27*U3372)*SQRT(U3371*U3367*U3369))</f>
        <v>24.246955089540212</v>
      </c>
      <c r="V3373" s="133"/>
      <c r="W3373" s="146"/>
      <c r="X3373" s="143" t="e">
        <f>X3365/((N_6*X$27*X3372)*SQRT(X3371*X3367*X3369))</f>
        <v>#NUM!</v>
      </c>
      <c r="Y3373" s="133"/>
      <c r="Z3373" s="146"/>
      <c r="AA3373" s="143">
        <f>AA3365/((N_6*AA$27*AA3372)*SQRT(AA3371*AA3367*AA3369))</f>
        <v>144.05776365419018</v>
      </c>
      <c r="AB3373" s="133"/>
      <c r="AC3373" s="146"/>
      <c r="AD3373" s="143">
        <f>AD3365/((N_6*AD$27*AD3372)*SQRT(AD3371*AD3367*AD3369))</f>
        <v>42.674278594193076</v>
      </c>
      <c r="AE3373" s="133"/>
      <c r="AF3373" s="146"/>
      <c r="AG3373" s="143">
        <f>AG3365/((N_6*AG$27*AG3372)*SQRT(AG3371*AG3367*AG3369))</f>
        <v>29.368731790384931</v>
      </c>
      <c r="AH3373" s="133"/>
      <c r="AI3373" s="146"/>
      <c r="AJ3373" s="143">
        <f>AJ3365/((N_6*AJ$27*AJ3372)*SQRT(AJ3371*AJ3367*AJ3369))</f>
        <v>25.3176495404301</v>
      </c>
      <c r="AK3373" s="133"/>
      <c r="AL3373" s="146"/>
      <c r="AM3373" s="143">
        <f>AM3365/((N_6*AM$27*AM3372)*SQRT(AM3371*AM3367*AM3369))</f>
        <v>26.648383042088838</v>
      </c>
      <c r="AN3373" s="133"/>
      <c r="AO3373" s="146"/>
      <c r="AP3373" s="143">
        <f>AP3365/((N_6*AP$27*AP3372)*SQRT(AP3371*AP3367*AP3369))</f>
        <v>19.28998048908457</v>
      </c>
      <c r="AQ3373" s="133"/>
      <c r="AR3373" s="146"/>
      <c r="AS3373" s="143">
        <f>AS3365/((N_6*AS$27*AS3372)*SQRT(AS3371*AS3367*AS3369))</f>
        <v>70.977382231966075</v>
      </c>
      <c r="AT3373" s="133"/>
      <c r="AU3373" s="146"/>
    </row>
    <row r="3374" spans="13:47" x14ac:dyDescent="0.25">
      <c r="M3374" s="27"/>
      <c r="N3374" s="27"/>
      <c r="O3374" s="2" t="s">
        <v>73</v>
      </c>
      <c r="P3374" s="85">
        <v>5</v>
      </c>
      <c r="Q3374" s="2"/>
      <c r="R3374" s="179">
        <f>R3365/((N_6*R$27*0.667)*SQRT(R3375*R3367*R3369))</f>
        <v>5.4440295557871643</v>
      </c>
      <c r="S3374" s="133"/>
      <c r="T3374" s="155"/>
      <c r="U3374" s="143">
        <f>U3365/((N_6*U$27*0.667)*SQRT(U3375*U3367*U3369))</f>
        <v>23.324670330736453</v>
      </c>
      <c r="V3374" s="133"/>
      <c r="W3374" s="155"/>
      <c r="X3374" s="143">
        <f>X3365/((N_6*X$27*0.667)*SQRT(X3375*X3367*X3369))</f>
        <v>130.42616054062444</v>
      </c>
      <c r="Y3374" s="133"/>
      <c r="Z3374" s="155"/>
      <c r="AA3374" s="143">
        <f>AA3365/((N_6*AA$27*0.667)*SQRT(AA3375*AA3367*AA3369))</f>
        <v>81.953382467888233</v>
      </c>
      <c r="AB3374" s="133"/>
      <c r="AC3374" s="155"/>
      <c r="AD3374" s="143">
        <f>AD3365/((N_6*AD$27*0.667)*SQRT(AD3375*AD3367*AD3369))</f>
        <v>34.113171862674818</v>
      </c>
      <c r="AE3374" s="133"/>
      <c r="AF3374" s="155"/>
      <c r="AG3374" s="143">
        <f>AG3365/((N_6*AG$27*0.667)*SQRT(AG3375*AG3367*AG3369))</f>
        <v>23.309659723049247</v>
      </c>
      <c r="AH3374" s="133"/>
      <c r="AI3374" s="155"/>
      <c r="AJ3374" s="143">
        <f>AJ3365/((N_6*AJ$27*0.667)*SQRT(AJ3375*AJ3367*AJ3369))</f>
        <v>18.980258291724436</v>
      </c>
      <c r="AK3374" s="133"/>
      <c r="AL3374" s="155"/>
      <c r="AM3374" s="143">
        <f>AM3365/((N_6*AM$27*0.667)*SQRT(AM3375*AM3367*AM3369))</f>
        <v>17.696866735822141</v>
      </c>
      <c r="AN3374" s="133"/>
      <c r="AO3374" s="155"/>
      <c r="AP3374" s="143">
        <f>AP3365/((N_6*AP$27*0.667)*SQRT(AP3375*AP3367*AP3369))</f>
        <v>16.255510459171312</v>
      </c>
      <c r="AQ3374" s="133"/>
      <c r="AR3374" s="155"/>
      <c r="AS3374" s="143">
        <f>AS3365/((N_6*AS$27*0.667)*SQRT(AS3375*AS3367*AS3369))</f>
        <v>23.4456298868621</v>
      </c>
      <c r="AT3374" s="133"/>
      <c r="AU3374" s="155"/>
    </row>
    <row r="3375" spans="13:47" ht="15.5" x14ac:dyDescent="0.4">
      <c r="M3375" s="27"/>
      <c r="N3375" s="27"/>
      <c r="O3375" s="2" t="s">
        <v>192</v>
      </c>
      <c r="P3375" s="85">
        <v>10</v>
      </c>
      <c r="Q3375" s="2"/>
      <c r="R3375" s="181">
        <f>F_GAMMA*R$29</f>
        <v>0.64002688015162901</v>
      </c>
      <c r="S3375" s="133"/>
      <c r="T3375" s="155"/>
      <c r="U3375" s="138">
        <f>F_GAMMA*U$29</f>
        <v>0.64016782916606918</v>
      </c>
      <c r="V3375" s="133"/>
      <c r="W3375" s="155"/>
      <c r="X3375" s="138">
        <f>F_GAMMA*X$29</f>
        <v>0.6307062319203669</v>
      </c>
      <c r="Y3375" s="133"/>
      <c r="Z3375" s="155"/>
      <c r="AA3375" s="138">
        <f>F_GAMMA*AA$29</f>
        <v>0.62217534213893466</v>
      </c>
      <c r="AB3375" s="133"/>
      <c r="AC3375" s="155"/>
      <c r="AD3375" s="138">
        <f>F_GAMMA*AD$29</f>
        <v>0.60557184969146072</v>
      </c>
      <c r="AE3375" s="133"/>
      <c r="AF3375" s="155"/>
      <c r="AG3375" s="138">
        <f>F_GAMMA*AG$29</f>
        <v>0.57289312142622573</v>
      </c>
      <c r="AH3375" s="133"/>
      <c r="AI3375" s="155"/>
      <c r="AJ3375" s="138">
        <f>F_GAMMA*AJ$29</f>
        <v>0.53590819116049981</v>
      </c>
      <c r="AK3375" s="133"/>
      <c r="AL3375" s="155"/>
      <c r="AM3375" s="138">
        <f>F_GAMMA*AM$29</f>
        <v>0.49048815926850342</v>
      </c>
      <c r="AN3375" s="133"/>
      <c r="AO3375" s="155"/>
      <c r="AP3375" s="138">
        <f>F_GAMMA*AP$29</f>
        <v>0.59352979016280105</v>
      </c>
      <c r="AQ3375" s="133"/>
      <c r="AR3375" s="155"/>
      <c r="AS3375" s="138">
        <f>F_GAMMA*AS$29</f>
        <v>0.39097221161068291</v>
      </c>
      <c r="AT3375" s="133"/>
      <c r="AU3375" s="155"/>
    </row>
    <row r="3376" spans="13:47" x14ac:dyDescent="0.25">
      <c r="M3376" s="27"/>
      <c r="N3376" s="27"/>
      <c r="O3376" s="2" t="s">
        <v>193</v>
      </c>
      <c r="P3376" s="134"/>
      <c r="Q3376" s="2"/>
      <c r="R3376" s="181">
        <f>IF(R3371&lt;R3375,R3373,R3374)</f>
        <v>5.5558183389264855</v>
      </c>
      <c r="S3376" s="133"/>
      <c r="T3376" s="155"/>
      <c r="U3376" s="138">
        <f>IF(U3371&lt;U3375,U3373,U3374)</f>
        <v>24.246955089540212</v>
      </c>
      <c r="V3376" s="133"/>
      <c r="W3376" s="155"/>
      <c r="X3376" s="138" t="e">
        <f>IF(X3371&lt;X3375,X3373,X3374)</f>
        <v>#NUM!</v>
      </c>
      <c r="Y3376" s="133"/>
      <c r="Z3376" s="155"/>
      <c r="AA3376" s="138">
        <f>IF(AA3371&lt;AA3375,AA3373,AA3374)</f>
        <v>81.953382467888233</v>
      </c>
      <c r="AB3376" s="133"/>
      <c r="AC3376" s="155"/>
      <c r="AD3376" s="138">
        <f>IF(AD3371&lt;AD3375,AD3373,AD3374)</f>
        <v>34.113171862674818</v>
      </c>
      <c r="AE3376" s="133"/>
      <c r="AF3376" s="155"/>
      <c r="AG3376" s="138">
        <f>IF(AG3371&lt;AG3375,AG3373,AG3374)</f>
        <v>23.309659723049247</v>
      </c>
      <c r="AH3376" s="133"/>
      <c r="AI3376" s="155"/>
      <c r="AJ3376" s="138">
        <f>IF(AJ3371&lt;AJ3375,AJ3373,AJ3374)</f>
        <v>18.980258291724436</v>
      </c>
      <c r="AK3376" s="133"/>
      <c r="AL3376" s="155"/>
      <c r="AM3376" s="138">
        <f>IF(AM3371&lt;AM3375,AM3373,AM3374)</f>
        <v>17.696866735822141</v>
      </c>
      <c r="AN3376" s="133"/>
      <c r="AO3376" s="155"/>
      <c r="AP3376" s="138">
        <f>IF(AP3371&lt;AP3375,AP3373,AP3374)</f>
        <v>16.255510459171312</v>
      </c>
      <c r="AQ3376" s="133"/>
      <c r="AR3376" s="155"/>
      <c r="AS3376" s="138">
        <f>IF(AS3371&lt;AS3375,AS3373,AS3374)</f>
        <v>23.4456298868621</v>
      </c>
      <c r="AT3376" s="133"/>
      <c r="AU3376" s="155"/>
    </row>
    <row r="3377" spans="13:47" ht="13" x14ac:dyDescent="0.3">
      <c r="M3377" s="28"/>
      <c r="N3377" s="28"/>
      <c r="O3377" s="9" t="s">
        <v>194</v>
      </c>
      <c r="P3377" s="1"/>
      <c r="Q3377" s="1"/>
      <c r="R3377" s="135"/>
      <c r="S3377" s="132">
        <f>IF(R3370&lt;=0,W_max,ABS(R$23-R3376))</f>
        <v>3.5558183389264855</v>
      </c>
      <c r="T3377" s="151">
        <f>R3365</f>
        <v>1275.3998630346157</v>
      </c>
      <c r="U3377" s="135"/>
      <c r="V3377" s="132">
        <f>IF(U3370&lt;=0,W_max,ABS(U$23-U3376))</f>
        <v>19.246955089540212</v>
      </c>
      <c r="W3377" s="151">
        <f>U3365</f>
        <v>4960.4898624840798</v>
      </c>
      <c r="X3377" s="135"/>
      <c r="Y3377" s="132">
        <f>IF(X3370&lt;=0,W_max,ABS(X$23-X3376))</f>
        <v>7174</v>
      </c>
      <c r="Z3377" s="151">
        <f>X3365</f>
        <v>12267.881735136478</v>
      </c>
      <c r="AA3377" s="135"/>
      <c r="AB3377" s="132">
        <f>IF(AA3370&lt;=0,W_max,ABS(AA$23-AA3376))</f>
        <v>7174</v>
      </c>
      <c r="AC3377" s="151">
        <f>AA3365</f>
        <v>23894.7022995015</v>
      </c>
      <c r="AD3377" s="135"/>
      <c r="AE3377" s="132">
        <f>IF(AD3370&lt;=0,W_max,ABS(AD$23-AD3376))</f>
        <v>7174</v>
      </c>
      <c r="AF3377" s="151">
        <f>AD3365</f>
        <v>39297.987775246351</v>
      </c>
      <c r="AG3377" s="135"/>
      <c r="AH3377" s="132">
        <f>IF(AG3370&lt;=0,W_max,ABS(AG$23-AG3376))</f>
        <v>7174</v>
      </c>
      <c r="AI3377" s="151">
        <f>AG3365</f>
        <v>55118.453256333749</v>
      </c>
      <c r="AJ3377" s="135"/>
      <c r="AK3377" s="132">
        <f>IF(AJ3370&lt;=0,W_max,ABS(AJ$23-AJ3376))</f>
        <v>7174</v>
      </c>
      <c r="AL3377" s="151">
        <f>AJ3365</f>
        <v>69985.809873053673</v>
      </c>
      <c r="AM3377" s="135"/>
      <c r="AN3377" s="132">
        <f>IF(AM3370&lt;=0,W_max,ABS(AM$23-AM3376))</f>
        <v>7174</v>
      </c>
      <c r="AO3377" s="151">
        <f>AM3365</f>
        <v>82063.866104832865</v>
      </c>
      <c r="AP3377" s="135"/>
      <c r="AQ3377" s="132">
        <f>IF(AP3370&lt;=0,W_max,ABS(AP$23-AP3376))</f>
        <v>7174</v>
      </c>
      <c r="AR3377" s="151">
        <f>AP3365</f>
        <v>91556.057818142814</v>
      </c>
      <c r="AS3377" s="135"/>
      <c r="AT3377" s="132">
        <f>IF(AS3370&lt;=0,W_max,ABS(AS$23-AS3376))</f>
        <v>7174</v>
      </c>
      <c r="AU3377" s="151">
        <f>AS3365</f>
        <v>102146.1956531615</v>
      </c>
    </row>
    <row r="3378" spans="13:47" ht="13" x14ac:dyDescent="0.25">
      <c r="M3378" s="12"/>
      <c r="N3378" s="12"/>
      <c r="O3378" s="2"/>
      <c r="P3378" s="85"/>
      <c r="Q3378" s="2"/>
      <c r="R3378" s="18"/>
      <c r="S3378" s="150"/>
      <c r="T3378" s="152"/>
      <c r="U3378" s="157"/>
      <c r="V3378" s="1"/>
      <c r="W3378" s="147"/>
      <c r="X3378" s="157"/>
      <c r="Y3378" s="1"/>
      <c r="Z3378" s="147"/>
      <c r="AA3378" s="157"/>
      <c r="AB3378" s="1"/>
      <c r="AC3378" s="147"/>
      <c r="AD3378" s="157"/>
      <c r="AE3378" s="1"/>
      <c r="AF3378" s="147"/>
      <c r="AG3378" s="157"/>
      <c r="AH3378" s="1"/>
      <c r="AI3378" s="147"/>
      <c r="AJ3378" s="157"/>
      <c r="AK3378" s="1"/>
      <c r="AL3378" s="147"/>
      <c r="AM3378" s="157"/>
      <c r="AN3378" s="1"/>
      <c r="AO3378" s="147"/>
      <c r="AP3378" s="157"/>
      <c r="AQ3378" s="1"/>
      <c r="AR3378" s="147"/>
      <c r="AS3378" s="157"/>
      <c r="AT3378" s="1"/>
      <c r="AU3378" s="147"/>
    </row>
    <row r="3379" spans="13:47" ht="14" x14ac:dyDescent="0.3">
      <c r="M3379" s="23"/>
      <c r="N3379" s="23"/>
      <c r="O3379" s="23" t="s">
        <v>238</v>
      </c>
      <c r="P3379" s="20"/>
      <c r="Q3379" s="20"/>
      <c r="R3379" s="181">
        <f>R3365*1.02</f>
        <v>1300.907860295308</v>
      </c>
      <c r="S3379" s="128" t="s">
        <v>185</v>
      </c>
      <c r="T3379" s="153" t="s">
        <v>186</v>
      </c>
      <c r="U3379" s="143">
        <f>U3365*1.01</f>
        <v>5010.0947611089205</v>
      </c>
      <c r="V3379" s="128" t="s">
        <v>185</v>
      </c>
      <c r="W3379" s="153" t="s">
        <v>186</v>
      </c>
      <c r="X3379" s="143">
        <f>X3365*1.01</f>
        <v>12390.560552487843</v>
      </c>
      <c r="Y3379" s="128" t="s">
        <v>185</v>
      </c>
      <c r="Z3379" s="153" t="s">
        <v>186</v>
      </c>
      <c r="AA3379" s="143">
        <f>AA3365*1.01</f>
        <v>24133.649322496516</v>
      </c>
      <c r="AB3379" s="128" t="s">
        <v>185</v>
      </c>
      <c r="AC3379" s="153" t="s">
        <v>186</v>
      </c>
      <c r="AD3379" s="143">
        <f>AD3365*1.01</f>
        <v>39690.967652998814</v>
      </c>
      <c r="AE3379" s="128" t="s">
        <v>185</v>
      </c>
      <c r="AF3379" s="153" t="s">
        <v>186</v>
      </c>
      <c r="AG3379" s="143">
        <f>AG3365*1.01</f>
        <v>55669.637788897089</v>
      </c>
      <c r="AH3379" s="128" t="s">
        <v>185</v>
      </c>
      <c r="AI3379" s="153" t="s">
        <v>186</v>
      </c>
      <c r="AJ3379" s="143">
        <f>AJ3365*1.01</f>
        <v>70685.667971784205</v>
      </c>
      <c r="AK3379" s="128" t="s">
        <v>185</v>
      </c>
      <c r="AL3379" s="153" t="s">
        <v>186</v>
      </c>
      <c r="AM3379" s="143">
        <f>AM3365*1.01</f>
        <v>82884.504765881196</v>
      </c>
      <c r="AN3379" s="128" t="s">
        <v>185</v>
      </c>
      <c r="AO3379" s="153" t="s">
        <v>186</v>
      </c>
      <c r="AP3379" s="143">
        <f>AP3365*1.01</f>
        <v>92471.618396324237</v>
      </c>
      <c r="AQ3379" s="128" t="s">
        <v>185</v>
      </c>
      <c r="AR3379" s="153" t="s">
        <v>186</v>
      </c>
      <c r="AS3379" s="143">
        <f>AS3365*1.01</f>
        <v>103167.65760969311</v>
      </c>
      <c r="AT3379" s="128" t="s">
        <v>185</v>
      </c>
      <c r="AU3379" s="153" t="s">
        <v>186</v>
      </c>
    </row>
    <row r="3380" spans="13:47" ht="14" x14ac:dyDescent="0.3">
      <c r="M3380" s="12"/>
      <c r="N3380" s="12"/>
      <c r="O3380" s="20"/>
      <c r="P3380" s="20"/>
      <c r="Q3380" s="23"/>
      <c r="R3380" s="139"/>
      <c r="S3380" s="130" t="s">
        <v>228</v>
      </c>
      <c r="T3380" s="154" t="s">
        <v>187</v>
      </c>
      <c r="U3380" s="144"/>
      <c r="V3380" s="130" t="s">
        <v>228</v>
      </c>
      <c r="W3380" s="154" t="s">
        <v>187</v>
      </c>
      <c r="X3380" s="144"/>
      <c r="Y3380" s="130" t="s">
        <v>228</v>
      </c>
      <c r="Z3380" s="154" t="s">
        <v>187</v>
      </c>
      <c r="AA3380" s="144"/>
      <c r="AB3380" s="130" t="s">
        <v>228</v>
      </c>
      <c r="AC3380" s="154" t="s">
        <v>187</v>
      </c>
      <c r="AD3380" s="144"/>
      <c r="AE3380" s="130" t="s">
        <v>228</v>
      </c>
      <c r="AF3380" s="154" t="s">
        <v>187</v>
      </c>
      <c r="AG3380" s="144"/>
      <c r="AH3380" s="130" t="s">
        <v>228</v>
      </c>
      <c r="AI3380" s="154" t="s">
        <v>187</v>
      </c>
      <c r="AJ3380" s="144"/>
      <c r="AK3380" s="130" t="s">
        <v>228</v>
      </c>
      <c r="AL3380" s="154" t="s">
        <v>187</v>
      </c>
      <c r="AM3380" s="144"/>
      <c r="AN3380" s="130" t="s">
        <v>228</v>
      </c>
      <c r="AO3380" s="154" t="s">
        <v>187</v>
      </c>
      <c r="AP3380" s="144"/>
      <c r="AQ3380" s="130" t="s">
        <v>228</v>
      </c>
      <c r="AR3380" s="154" t="s">
        <v>187</v>
      </c>
      <c r="AS3380" s="144"/>
      <c r="AT3380" s="130" t="s">
        <v>228</v>
      </c>
      <c r="AU3380" s="154" t="s">
        <v>187</v>
      </c>
    </row>
    <row r="3381" spans="13:47" x14ac:dyDescent="0.25">
      <c r="M3381" s="20"/>
      <c r="N3381" s="20"/>
      <c r="O3381" s="7" t="s">
        <v>188</v>
      </c>
      <c r="P3381" s="7"/>
      <c r="Q3381" s="7"/>
      <c r="R3381" s="181">
        <f>P_1_minW-(R3379^2*R_up)+dpup_minQ</f>
        <v>99.847937652239793</v>
      </c>
      <c r="S3381" s="132"/>
      <c r="T3381" s="145"/>
      <c r="U3381" s="138">
        <f>P_1_minW-(U3379^2*R_up)+dpup_minQ</f>
        <v>90.513446133370536</v>
      </c>
      <c r="V3381" s="132"/>
      <c r="W3381" s="145"/>
      <c r="X3381" s="138">
        <f>P_1_minW-(X3379^2*R_up)+dpup_minQ</f>
        <v>39.30248068946247</v>
      </c>
      <c r="Y3381" s="132"/>
      <c r="Z3381" s="145"/>
      <c r="AA3381" s="138">
        <f>P_1_minW-(AA3379^2*R_up)+dpup_minQ</f>
        <v>-131.72927780632045</v>
      </c>
      <c r="AB3381" s="132"/>
      <c r="AC3381" s="145"/>
      <c r="AD3381" s="138">
        <f>P_1_minW-(AD3379^2*R_up)+dpup_minQ</f>
        <v>-527.67580935100818</v>
      </c>
      <c r="AE3381" s="132"/>
      <c r="AF3381" s="145"/>
      <c r="AG3381" s="138">
        <f>P_1_minW-(AG3379^2*R_up)+dpup_minQ</f>
        <v>-1135.2834388355466</v>
      </c>
      <c r="AH3381" s="132"/>
      <c r="AI3381" s="145"/>
      <c r="AJ3381" s="138">
        <f>P_1_minW-(AJ3379^2*R_up)+dpup_minQ</f>
        <v>-1891.8762370932286</v>
      </c>
      <c r="AK3381" s="132"/>
      <c r="AL3381" s="145"/>
      <c r="AM3381" s="138">
        <f>P_1_minW-(AM3379^2*R_up)+dpup_minQ</f>
        <v>-2638.9076789927276</v>
      </c>
      <c r="AN3381" s="132"/>
      <c r="AO3381" s="145"/>
      <c r="AP3381" s="138">
        <f>P_1_minW-(AP3379^2*R_up)+dpup_minQ</f>
        <v>-3309.2897606415772</v>
      </c>
      <c r="AQ3381" s="132"/>
      <c r="AR3381" s="145"/>
      <c r="AS3381" s="138">
        <f>P_1_minW-(AS3379^2*R_up)+dpup_minQ</f>
        <v>-4143.7249697627349</v>
      </c>
      <c r="AT3381" s="132"/>
      <c r="AU3381" s="145"/>
    </row>
    <row r="3382" spans="13:47" x14ac:dyDescent="0.25">
      <c r="M3382" s="20"/>
      <c r="N3382" s="20"/>
      <c r="O3382" s="7" t="s">
        <v>189</v>
      </c>
      <c r="P3382" s="1"/>
      <c r="Q3382" s="7"/>
      <c r="R3382" s="181">
        <f>P_2_minW+(R3379^2*R_dn)-dpdn_minQ</f>
        <v>50</v>
      </c>
      <c r="S3382" s="132"/>
      <c r="T3382" s="146"/>
      <c r="U3382" s="138">
        <f>P_2_minW+(U3379^2*R_dn)-dpdn_minQ</f>
        <v>50</v>
      </c>
      <c r="V3382" s="132"/>
      <c r="W3382" s="146"/>
      <c r="X3382" s="138">
        <f>P_2_minW+(X3379^2*R_dn)-dpdn_minQ</f>
        <v>50</v>
      </c>
      <c r="Y3382" s="132"/>
      <c r="Z3382" s="146"/>
      <c r="AA3382" s="138">
        <f>P_2_minW+(AA3379^2*R_dn)-dpdn_minQ</f>
        <v>50</v>
      </c>
      <c r="AB3382" s="132"/>
      <c r="AC3382" s="146"/>
      <c r="AD3382" s="138">
        <f>P_2_minW+(AD3379^2*R_dn)-dpdn_minQ</f>
        <v>50</v>
      </c>
      <c r="AE3382" s="132"/>
      <c r="AF3382" s="146"/>
      <c r="AG3382" s="138">
        <f>P_2_minW+(AG3379^2*R_dn)-dpdn_minQ</f>
        <v>50</v>
      </c>
      <c r="AH3382" s="132"/>
      <c r="AI3382" s="146"/>
      <c r="AJ3382" s="138">
        <f>P_2_minW+(AJ3379^2*R_dn)-dpdn_minQ</f>
        <v>50</v>
      </c>
      <c r="AK3382" s="132"/>
      <c r="AL3382" s="146"/>
      <c r="AM3382" s="138">
        <f>P_2_minW+(AM3379^2*R_dn)-dpdn_minQ</f>
        <v>50</v>
      </c>
      <c r="AN3382" s="132"/>
      <c r="AO3382" s="146"/>
      <c r="AP3382" s="138">
        <f>P_2_minW+(AP3379^2*R_dn)-dpdn_minQ</f>
        <v>50</v>
      </c>
      <c r="AQ3382" s="132"/>
      <c r="AR3382" s="146"/>
      <c r="AS3382" s="138">
        <f>P_2_minW+(AS3379^2*R_dn)-dpdn_minQ</f>
        <v>50</v>
      </c>
      <c r="AT3382" s="132"/>
      <c r="AU3382" s="146"/>
    </row>
    <row r="3383" spans="13:47" x14ac:dyDescent="0.25">
      <c r="M3383" s="20"/>
      <c r="N3383" s="20"/>
      <c r="O3383" s="7" t="s">
        <v>234</v>
      </c>
      <c r="P3383" s="1"/>
      <c r="Q3383" s="7"/>
      <c r="R3383" s="179">
        <f>'Valve Sizing'!G$8*R3381/P_1_maxW</f>
        <v>0.48164867440479997</v>
      </c>
      <c r="S3383" s="132"/>
      <c r="T3383" s="146"/>
      <c r="U3383" s="143">
        <f>'Valve Sizing'!$G$8*U3381/P_1_maxW</f>
        <v>0.43662074922155636</v>
      </c>
      <c r="V3383" s="132"/>
      <c r="W3383" s="146"/>
      <c r="X3383" s="143">
        <f>'Valve Sizing'!$G$8*X3381/P_1_maxW</f>
        <v>0.18958816947057103</v>
      </c>
      <c r="Y3383" s="132"/>
      <c r="Z3383" s="146"/>
      <c r="AA3383" s="143">
        <f>'Valve Sizing'!$G$8*AA3381/P_1_maxW</f>
        <v>-0.63543858318532465</v>
      </c>
      <c r="AB3383" s="132"/>
      <c r="AC3383" s="146"/>
      <c r="AD3383" s="143">
        <f>'Valve Sizing'!$G$8*AD3381/P_1_maxW</f>
        <v>-2.5454141574219271</v>
      </c>
      <c r="AE3383" s="132"/>
      <c r="AF3383" s="146"/>
      <c r="AG3383" s="143">
        <f>'Valve Sizing'!$G$8*AG3381/P_1_maxW</f>
        <v>-5.4764051841845713</v>
      </c>
      <c r="AH3383" s="132"/>
      <c r="AI3383" s="146"/>
      <c r="AJ3383" s="143">
        <f>'Valve Sizing'!$G$8*AJ3381/P_1_maxW</f>
        <v>-9.1260741399344685</v>
      </c>
      <c r="AK3383" s="132"/>
      <c r="AL3383" s="146"/>
      <c r="AM3383" s="143">
        <f>'Valve Sizing'!$G$8*AM3381/P_1_maxW</f>
        <v>-12.729620814907067</v>
      </c>
      <c r="AN3383" s="132"/>
      <c r="AO3383" s="146"/>
      <c r="AP3383" s="143">
        <f>'Valve Sizing'!$G$8*AP3381/P_1_maxW</f>
        <v>-15.963424622608006</v>
      </c>
      <c r="AQ3383" s="132"/>
      <c r="AR3383" s="146"/>
      <c r="AS3383" s="143">
        <f>'Valve Sizing'!$G$8*AS3381/P_1_maxW</f>
        <v>-19.988591509376267</v>
      </c>
      <c r="AT3383" s="132"/>
      <c r="AU3383" s="146"/>
    </row>
    <row r="3384" spans="13:47" x14ac:dyDescent="0.25">
      <c r="M3384" s="20"/>
      <c r="N3384" s="20"/>
      <c r="O3384" s="7" t="s">
        <v>190</v>
      </c>
      <c r="P3384" s="1"/>
      <c r="Q3384" s="7"/>
      <c r="R3384" s="181">
        <f>R3381-R3382</f>
        <v>49.847937652239793</v>
      </c>
      <c r="S3384" s="132"/>
      <c r="T3384" s="146"/>
      <c r="U3384" s="138">
        <f>U3381-U3382</f>
        <v>40.513446133370536</v>
      </c>
      <c r="V3384" s="132"/>
      <c r="W3384" s="146"/>
      <c r="X3384" s="138">
        <f>X3381-X3382</f>
        <v>-10.69751931053753</v>
      </c>
      <c r="Y3384" s="132"/>
      <c r="Z3384" s="146"/>
      <c r="AA3384" s="138">
        <f>AA3381-AA3382</f>
        <v>-181.72927780632045</v>
      </c>
      <c r="AB3384" s="132"/>
      <c r="AC3384" s="146"/>
      <c r="AD3384" s="138">
        <f>AD3381-AD3382</f>
        <v>-577.67580935100818</v>
      </c>
      <c r="AE3384" s="132"/>
      <c r="AF3384" s="146"/>
      <c r="AG3384" s="138">
        <f>AG3381-AG3382</f>
        <v>-1185.2834388355466</v>
      </c>
      <c r="AH3384" s="132"/>
      <c r="AI3384" s="146"/>
      <c r="AJ3384" s="138">
        <f>AJ3381-AJ3382</f>
        <v>-1941.8762370932286</v>
      </c>
      <c r="AK3384" s="132"/>
      <c r="AL3384" s="146"/>
      <c r="AM3384" s="138">
        <f>AM3381-AM3382</f>
        <v>-2688.9076789927276</v>
      </c>
      <c r="AN3384" s="132"/>
      <c r="AO3384" s="146"/>
      <c r="AP3384" s="138">
        <f>AP3381-AP3382</f>
        <v>-3359.2897606415772</v>
      </c>
      <c r="AQ3384" s="132"/>
      <c r="AR3384" s="146"/>
      <c r="AS3384" s="138">
        <f>AS3381-AS3382</f>
        <v>-4193.7249697627349</v>
      </c>
      <c r="AT3384" s="132"/>
      <c r="AU3384" s="146"/>
    </row>
    <row r="3385" spans="13:47" ht="14.5" x14ac:dyDescent="0.35">
      <c r="M3385" s="27"/>
      <c r="N3385" s="27"/>
      <c r="O3385" s="2" t="s">
        <v>191</v>
      </c>
      <c r="P3385" s="10"/>
      <c r="Q3385" s="2"/>
      <c r="R3385" s="181">
        <f>R3384/R3381</f>
        <v>0.49923853035257559</v>
      </c>
      <c r="S3385" s="132"/>
      <c r="T3385" s="146"/>
      <c r="U3385" s="138">
        <f>U3384/U3381</f>
        <v>0.4475958861810922</v>
      </c>
      <c r="V3385" s="132"/>
      <c r="W3385" s="146"/>
      <c r="X3385" s="138">
        <f>X3384/X3381</f>
        <v>-0.27218432839038786</v>
      </c>
      <c r="Y3385" s="132"/>
      <c r="Z3385" s="146"/>
      <c r="AA3385" s="138">
        <f>AA3384/AA3381</f>
        <v>1.3795663411554888</v>
      </c>
      <c r="AB3385" s="132"/>
      <c r="AC3385" s="146"/>
      <c r="AD3385" s="138">
        <f>AD3384/AD3381</f>
        <v>1.0947551491160743</v>
      </c>
      <c r="AE3385" s="132"/>
      <c r="AF3385" s="146"/>
      <c r="AG3385" s="138">
        <f>AG3384/AG3381</f>
        <v>1.0440418650441028</v>
      </c>
      <c r="AH3385" s="132"/>
      <c r="AI3385" s="146"/>
      <c r="AJ3385" s="138">
        <f>AJ3384/AJ3381</f>
        <v>1.0264287901183338</v>
      </c>
      <c r="AK3385" s="132"/>
      <c r="AL3385" s="146"/>
      <c r="AM3385" s="138">
        <f>AM3384/AM3381</f>
        <v>1.0189472335080267</v>
      </c>
      <c r="AN3385" s="132"/>
      <c r="AO3385" s="146"/>
      <c r="AP3385" s="138">
        <f>AP3384/AP3381</f>
        <v>1.015108982173355</v>
      </c>
      <c r="AQ3385" s="132"/>
      <c r="AR3385" s="146"/>
      <c r="AS3385" s="138">
        <f>AS3384/AS3381</f>
        <v>1.0120664378946131</v>
      </c>
      <c r="AT3385" s="132"/>
      <c r="AU3385" s="146"/>
    </row>
    <row r="3386" spans="13:47" x14ac:dyDescent="0.25">
      <c r="M3386" s="27"/>
      <c r="N3386" s="27"/>
      <c r="O3386" s="2" t="s">
        <v>26</v>
      </c>
      <c r="P3386" s="7">
        <v>12</v>
      </c>
      <c r="Q3386" s="2"/>
      <c r="R3386" s="181">
        <f>1-R3385/(3*F_GAMMA*R$29)</f>
        <v>0.73999085255382768</v>
      </c>
      <c r="S3386" s="133"/>
      <c r="T3386" s="146"/>
      <c r="U3386" s="138">
        <f>1-U3385/(3*F_GAMMA*U$29)</f>
        <v>0.76693825911028979</v>
      </c>
      <c r="V3386" s="133"/>
      <c r="W3386" s="146"/>
      <c r="X3386" s="138">
        <f>1-X3385/(3*F_GAMMA*X$29)</f>
        <v>1.1438516140663693</v>
      </c>
      <c r="Y3386" s="133"/>
      <c r="Z3386" s="146"/>
      <c r="AA3386" s="138">
        <f>1-AA3385/(3*F_GAMMA*AA$29)</f>
        <v>0.26089091626337435</v>
      </c>
      <c r="AB3386" s="133"/>
      <c r="AC3386" s="146"/>
      <c r="AD3386" s="138">
        <f>1-AD3385/(3*F_GAMMA*AD$29)</f>
        <v>0.39739870136860289</v>
      </c>
      <c r="AE3386" s="133"/>
      <c r="AF3386" s="146"/>
      <c r="AG3386" s="138">
        <f>1-AG3385/(3*F_GAMMA*AG$29)</f>
        <v>0.39253249515666178</v>
      </c>
      <c r="AH3386" s="133"/>
      <c r="AI3386" s="146"/>
      <c r="AJ3386" s="138">
        <f>1-AJ3385/(3*F_GAMMA*AJ$29)</f>
        <v>0.36156428342970448</v>
      </c>
      <c r="AK3386" s="133"/>
      <c r="AL3386" s="146"/>
      <c r="AM3386" s="138">
        <f>1-AM3385/(3*F_GAMMA*AM$29)</f>
        <v>0.30752848683941847</v>
      </c>
      <c r="AN3386" s="133"/>
      <c r="AO3386" s="146"/>
      <c r="AP3386" s="138">
        <f>1-AP3385/(3*F_GAMMA*AP$29)</f>
        <v>0.42990281813548181</v>
      </c>
      <c r="AQ3386" s="133"/>
      <c r="AR3386" s="146"/>
      <c r="AS3386" s="138">
        <f>1-AS3385/(3*F_GAMMA*AS$29)</f>
        <v>0.13713693894406054</v>
      </c>
      <c r="AT3386" s="133"/>
      <c r="AU3386" s="146"/>
    </row>
    <row r="3387" spans="13:47" x14ac:dyDescent="0.25">
      <c r="M3387" s="27"/>
      <c r="N3387" s="27"/>
      <c r="O3387" s="2" t="s">
        <v>71</v>
      </c>
      <c r="P3387" s="85">
        <v>5</v>
      </c>
      <c r="Q3387" s="2"/>
      <c r="R3387" s="179">
        <f>R3379/((N_6*R$27*R3386)*SQRT(R3385*R3381*R3383))</f>
        <v>5.6686436152814013</v>
      </c>
      <c r="S3387" s="133"/>
      <c r="T3387" s="146"/>
      <c r="U3387" s="143">
        <f>U3379/((N_6*U$27*U3386)*SQRT(U3385*U3381*U3383))</f>
        <v>24.555652066223896</v>
      </c>
      <c r="V3387" s="133"/>
      <c r="W3387" s="146"/>
      <c r="X3387" s="143" t="e">
        <f>X3379/((N_6*X$27*X3386)*SQRT(X3385*X3381*X3383))</f>
        <v>#NUM!</v>
      </c>
      <c r="Y3387" s="133"/>
      <c r="Z3387" s="146"/>
      <c r="AA3387" s="143">
        <f>AA3379/((N_6*AA$27*AA3386)*SQRT(AA3385*AA3381*AA3383))</f>
        <v>137.17801595712515</v>
      </c>
      <c r="AB3387" s="133"/>
      <c r="AC3387" s="146"/>
      <c r="AD3387" s="143">
        <f>AD3379/((N_6*AD$27*AD3386)*SQRT(AD3385*AD3381*AD3383))</f>
        <v>42.000873596064544</v>
      </c>
      <c r="AE3387" s="133"/>
      <c r="AF3387" s="146"/>
      <c r="AG3387" s="143">
        <f>AG3379/((N_6*AG$27*AG3386)*SQRT(AG3385*AG3381*AG3383))</f>
        <v>28.998064167465618</v>
      </c>
      <c r="AH3387" s="133"/>
      <c r="AI3387" s="146"/>
      <c r="AJ3387" s="143">
        <f>AJ3379/((N_6*AJ$27*AJ3386)*SQRT(AJ3385*AJ3381*AJ3383))</f>
        <v>25.022907463246398</v>
      </c>
      <c r="AK3387" s="133"/>
      <c r="AL3387" s="146"/>
      <c r="AM3387" s="143">
        <f>AM3379/((N_6*AM$27*AM3386)*SQRT(AM3385*AM3381*AM3383))</f>
        <v>26.346398490465827</v>
      </c>
      <c r="AN3387" s="133"/>
      <c r="AO3387" s="146"/>
      <c r="AP3387" s="143">
        <f>AP3379/((N_6*AP$27*AP3386)*SQRT(AP3385*AP3381*AP3383))</f>
        <v>19.08246450540879</v>
      </c>
      <c r="AQ3387" s="133"/>
      <c r="AR3387" s="146"/>
      <c r="AS3387" s="143">
        <f>AS3379/((N_6*AS$27*AS3386)*SQRT(AS3385*AS3381*AS3383))</f>
        <v>70.140447310031661</v>
      </c>
      <c r="AT3387" s="133"/>
      <c r="AU3387" s="146"/>
    </row>
    <row r="3388" spans="13:47" x14ac:dyDescent="0.25">
      <c r="M3388" s="27"/>
      <c r="N3388" s="27"/>
      <c r="O3388" s="2" t="s">
        <v>73</v>
      </c>
      <c r="P3388" s="85">
        <v>5</v>
      </c>
      <c r="Q3388" s="2"/>
      <c r="R3388" s="179">
        <f>R3379/((N_6*R$27*0.667)*SQRT(R3389*R3381*R3383))</f>
        <v>5.5543675149110179</v>
      </c>
      <c r="S3388" s="133"/>
      <c r="T3388" s="155"/>
      <c r="U3388" s="143">
        <f>U3379/((N_6*U$27*0.667)*SQRT(U3389*U3381*U3383))</f>
        <v>23.609248369779728</v>
      </c>
      <c r="V3388" s="133"/>
      <c r="W3388" s="155"/>
      <c r="X3388" s="143">
        <f>X3379/((N_6*X$27*0.667)*SQRT(X3389*X3381*X3383))</f>
        <v>135.77352627676277</v>
      </c>
      <c r="Y3388" s="133"/>
      <c r="Z3388" s="155"/>
      <c r="AA3388" s="143">
        <f>AA3379/((N_6*AA$27*0.667)*SQRT(AA3389*AA3381*AA3383))</f>
        <v>79.897380094707259</v>
      </c>
      <c r="AB3388" s="133"/>
      <c r="AC3388" s="155"/>
      <c r="AD3388" s="143">
        <f>AD3379/((N_6*AD$27*0.667)*SQRT(AD3389*AD3381*AD3383))</f>
        <v>33.646089221481077</v>
      </c>
      <c r="AE3388" s="133"/>
      <c r="AF3388" s="155"/>
      <c r="AG3388" s="143">
        <f>AG3379/((N_6*AG$27*0.667)*SQRT(AG3389*AG3381*AG3383))</f>
        <v>23.037796650142543</v>
      </c>
      <c r="AH3388" s="133"/>
      <c r="AI3388" s="155"/>
      <c r="AJ3388" s="143">
        <f>AJ3379/((N_6*AJ$27*0.667)*SQRT(AJ3389*AJ3381*AJ3383))</f>
        <v>18.772264885604741</v>
      </c>
      <c r="AK3388" s="133"/>
      <c r="AL3388" s="155"/>
      <c r="AM3388" s="143">
        <f>AM3379/((N_6*AM$27*0.667)*SQRT(AM3389*AM3381*AM3383))</f>
        <v>17.508234593756207</v>
      </c>
      <c r="AN3388" s="133"/>
      <c r="AO3388" s="155"/>
      <c r="AP3388" s="143">
        <f>AP3379/((N_6*AP$27*0.667)*SQRT(AP3389*AP3381*AP3383))</f>
        <v>16.084738171653111</v>
      </c>
      <c r="AQ3388" s="133"/>
      <c r="AR3388" s="155"/>
      <c r="AS3388" s="143">
        <f>AS3379/((N_6*AS$27*0.667)*SQRT(AS3389*AS3381*AS3383))</f>
        <v>23.202175882076297</v>
      </c>
      <c r="AT3388" s="133"/>
      <c r="AU3388" s="155"/>
    </row>
    <row r="3389" spans="13:47" ht="15.5" x14ac:dyDescent="0.4">
      <c r="M3389" s="27"/>
      <c r="N3389" s="27"/>
      <c r="O3389" s="2" t="s">
        <v>192</v>
      </c>
      <c r="P3389" s="85">
        <v>10</v>
      </c>
      <c r="Q3389" s="2"/>
      <c r="R3389" s="181">
        <f>F_GAMMA*R$29</f>
        <v>0.64002688015162901</v>
      </c>
      <c r="S3389" s="133"/>
      <c r="T3389" s="155"/>
      <c r="U3389" s="138">
        <f>F_GAMMA*U$29</f>
        <v>0.64016782916606918</v>
      </c>
      <c r="V3389" s="133"/>
      <c r="W3389" s="155"/>
      <c r="X3389" s="138">
        <f>F_GAMMA*X$29</f>
        <v>0.6307062319203669</v>
      </c>
      <c r="Y3389" s="133"/>
      <c r="Z3389" s="155"/>
      <c r="AA3389" s="138">
        <f>F_GAMMA*AA$29</f>
        <v>0.62217534213893466</v>
      </c>
      <c r="AB3389" s="133"/>
      <c r="AC3389" s="155"/>
      <c r="AD3389" s="138">
        <f>F_GAMMA*AD$29</f>
        <v>0.60557184969146072</v>
      </c>
      <c r="AE3389" s="133"/>
      <c r="AF3389" s="155"/>
      <c r="AG3389" s="138">
        <f>F_GAMMA*AG$29</f>
        <v>0.57289312142622573</v>
      </c>
      <c r="AH3389" s="133"/>
      <c r="AI3389" s="155"/>
      <c r="AJ3389" s="138">
        <f>F_GAMMA*AJ$29</f>
        <v>0.53590819116049981</v>
      </c>
      <c r="AK3389" s="133"/>
      <c r="AL3389" s="155"/>
      <c r="AM3389" s="138">
        <f>F_GAMMA*AM$29</f>
        <v>0.49048815926850342</v>
      </c>
      <c r="AN3389" s="133"/>
      <c r="AO3389" s="155"/>
      <c r="AP3389" s="138">
        <f>F_GAMMA*AP$29</f>
        <v>0.59352979016280105</v>
      </c>
      <c r="AQ3389" s="133"/>
      <c r="AR3389" s="155"/>
      <c r="AS3389" s="138">
        <f>F_GAMMA*AS$29</f>
        <v>0.39097221161068291</v>
      </c>
      <c r="AT3389" s="133"/>
      <c r="AU3389" s="155"/>
    </row>
    <row r="3390" spans="13:47" x14ac:dyDescent="0.25">
      <c r="M3390" s="27"/>
      <c r="N3390" s="27"/>
      <c r="O3390" s="2" t="s">
        <v>193</v>
      </c>
      <c r="P3390" s="134"/>
      <c r="Q3390" s="2"/>
      <c r="R3390" s="181">
        <f>IF(R3385&lt;R3389,R3387,R3388)</f>
        <v>5.6686436152814013</v>
      </c>
      <c r="S3390" s="133"/>
      <c r="T3390" s="155"/>
      <c r="U3390" s="138">
        <f>IF(U3385&lt;U3389,U3387,U3388)</f>
        <v>24.555652066223896</v>
      </c>
      <c r="V3390" s="133"/>
      <c r="W3390" s="155"/>
      <c r="X3390" s="138" t="e">
        <f>IF(X3385&lt;X3389,X3387,X3388)</f>
        <v>#NUM!</v>
      </c>
      <c r="Y3390" s="133"/>
      <c r="Z3390" s="155"/>
      <c r="AA3390" s="138">
        <f>IF(AA3385&lt;AA3389,AA3387,AA3388)</f>
        <v>79.897380094707259</v>
      </c>
      <c r="AB3390" s="133"/>
      <c r="AC3390" s="155"/>
      <c r="AD3390" s="138">
        <f>IF(AD3385&lt;AD3389,AD3387,AD3388)</f>
        <v>33.646089221481077</v>
      </c>
      <c r="AE3390" s="133"/>
      <c r="AF3390" s="155"/>
      <c r="AG3390" s="138">
        <f>IF(AG3385&lt;AG3389,AG3387,AG3388)</f>
        <v>23.037796650142543</v>
      </c>
      <c r="AH3390" s="133"/>
      <c r="AI3390" s="155"/>
      <c r="AJ3390" s="138">
        <f>IF(AJ3385&lt;AJ3389,AJ3387,AJ3388)</f>
        <v>18.772264885604741</v>
      </c>
      <c r="AK3390" s="133"/>
      <c r="AL3390" s="155"/>
      <c r="AM3390" s="138">
        <f>IF(AM3385&lt;AM3389,AM3387,AM3388)</f>
        <v>17.508234593756207</v>
      </c>
      <c r="AN3390" s="133"/>
      <c r="AO3390" s="155"/>
      <c r="AP3390" s="138">
        <f>IF(AP3385&lt;AP3389,AP3387,AP3388)</f>
        <v>16.084738171653111</v>
      </c>
      <c r="AQ3390" s="133"/>
      <c r="AR3390" s="155"/>
      <c r="AS3390" s="138">
        <f>IF(AS3385&lt;AS3389,AS3387,AS3388)</f>
        <v>23.202175882076297</v>
      </c>
      <c r="AT3390" s="133"/>
      <c r="AU3390" s="155"/>
    </row>
    <row r="3391" spans="13:47" ht="13" x14ac:dyDescent="0.3">
      <c r="M3391" s="28"/>
      <c r="N3391" s="28"/>
      <c r="O3391" s="9" t="s">
        <v>194</v>
      </c>
      <c r="P3391" s="1"/>
      <c r="Q3391" s="1"/>
      <c r="R3391" s="135"/>
      <c r="S3391" s="132">
        <f>IF(R3384&lt;=0,W_max,ABS(R$23-R3390))</f>
        <v>3.6686436152814013</v>
      </c>
      <c r="T3391" s="151">
        <f>R3379</f>
        <v>1300.907860295308</v>
      </c>
      <c r="U3391" s="135"/>
      <c r="V3391" s="132">
        <f>IF(U3384&lt;=0,W_max,ABS(U$23-U3390))</f>
        <v>19.555652066223896</v>
      </c>
      <c r="W3391" s="151">
        <f>U3379</f>
        <v>5010.0947611089205</v>
      </c>
      <c r="X3391" s="135"/>
      <c r="Y3391" s="132">
        <f>IF(X3384&lt;=0,W_max,ABS(X$23-X3390))</f>
        <v>7174</v>
      </c>
      <c r="Z3391" s="151">
        <f>X3379</f>
        <v>12390.560552487843</v>
      </c>
      <c r="AA3391" s="135"/>
      <c r="AB3391" s="132">
        <f>IF(AA3384&lt;=0,W_max,ABS(AA$23-AA3390))</f>
        <v>7174</v>
      </c>
      <c r="AC3391" s="151">
        <f>AA3379</f>
        <v>24133.649322496516</v>
      </c>
      <c r="AD3391" s="135"/>
      <c r="AE3391" s="132">
        <f>IF(AD3384&lt;=0,W_max,ABS(AD$23-AD3390))</f>
        <v>7174</v>
      </c>
      <c r="AF3391" s="151">
        <f>AD3379</f>
        <v>39690.967652998814</v>
      </c>
      <c r="AG3391" s="135"/>
      <c r="AH3391" s="132">
        <f>IF(AG3384&lt;=0,W_max,ABS(AG$23-AG3390))</f>
        <v>7174</v>
      </c>
      <c r="AI3391" s="151">
        <f>AG3379</f>
        <v>55669.637788897089</v>
      </c>
      <c r="AJ3391" s="135"/>
      <c r="AK3391" s="132">
        <f>IF(AJ3384&lt;=0,W_max,ABS(AJ$23-AJ3390))</f>
        <v>7174</v>
      </c>
      <c r="AL3391" s="151">
        <f>AJ3379</f>
        <v>70685.667971784205</v>
      </c>
      <c r="AM3391" s="135"/>
      <c r="AN3391" s="132">
        <f>IF(AM3384&lt;=0,W_max,ABS(AM$23-AM3390))</f>
        <v>7174</v>
      </c>
      <c r="AO3391" s="151">
        <f>AM3379</f>
        <v>82884.504765881196</v>
      </c>
      <c r="AP3391" s="135"/>
      <c r="AQ3391" s="132">
        <f>IF(AP3384&lt;=0,W_max,ABS(AP$23-AP3390))</f>
        <v>7174</v>
      </c>
      <c r="AR3391" s="151">
        <f>AP3379</f>
        <v>92471.618396324237</v>
      </c>
      <c r="AS3391" s="135"/>
      <c r="AT3391" s="132">
        <f>IF(AS3384&lt;=0,W_max,ABS(AS$23-AS3390))</f>
        <v>7174</v>
      </c>
      <c r="AU3391" s="151">
        <f>AS3379</f>
        <v>103167.65760969311</v>
      </c>
    </row>
    <row r="3392" spans="13:47" ht="13" x14ac:dyDescent="0.25">
      <c r="M3392" s="12"/>
      <c r="N3392" s="12"/>
      <c r="O3392" s="2"/>
      <c r="P3392" s="85"/>
      <c r="Q3392" s="2"/>
      <c r="R3392" s="18"/>
      <c r="S3392" s="150"/>
      <c r="T3392" s="148"/>
      <c r="U3392" s="157"/>
      <c r="V3392" s="1"/>
      <c r="W3392" s="147"/>
      <c r="X3392" s="157"/>
      <c r="Y3392" s="1"/>
      <c r="Z3392" s="147"/>
      <c r="AA3392" s="157"/>
      <c r="AB3392" s="1"/>
      <c r="AC3392" s="147"/>
      <c r="AD3392" s="157"/>
      <c r="AE3392" s="1"/>
      <c r="AF3392" s="147"/>
      <c r="AG3392" s="157"/>
      <c r="AH3392" s="1"/>
      <c r="AI3392" s="147"/>
      <c r="AJ3392" s="157"/>
      <c r="AK3392" s="1"/>
      <c r="AL3392" s="147"/>
      <c r="AM3392" s="157"/>
      <c r="AN3392" s="1"/>
      <c r="AO3392" s="147"/>
      <c r="AP3392" s="157"/>
      <c r="AQ3392" s="1"/>
      <c r="AR3392" s="147"/>
      <c r="AS3392" s="157"/>
      <c r="AT3392" s="1"/>
      <c r="AU3392" s="147"/>
    </row>
    <row r="3393" spans="13:47" ht="14" x14ac:dyDescent="0.3">
      <c r="M3393" s="23"/>
      <c r="N3393" s="23"/>
      <c r="O3393" s="23" t="s">
        <v>238</v>
      </c>
      <c r="P3393" s="20"/>
      <c r="Q3393" s="20"/>
      <c r="R3393" s="181">
        <f>R3379*1.02</f>
        <v>1326.9260175012141</v>
      </c>
      <c r="S3393" s="128" t="s">
        <v>185</v>
      </c>
      <c r="T3393" s="149" t="s">
        <v>186</v>
      </c>
      <c r="U3393" s="143">
        <f>U3379*1.01</f>
        <v>5060.1957087200099</v>
      </c>
      <c r="V3393" s="128" t="s">
        <v>185</v>
      </c>
      <c r="W3393" s="153" t="s">
        <v>186</v>
      </c>
      <c r="X3393" s="143">
        <f>X3379*1.01</f>
        <v>12514.466158012721</v>
      </c>
      <c r="Y3393" s="128" t="s">
        <v>185</v>
      </c>
      <c r="Z3393" s="153" t="s">
        <v>186</v>
      </c>
      <c r="AA3393" s="143">
        <f>AA3379*1.01</f>
        <v>24374.98581572148</v>
      </c>
      <c r="AB3393" s="128" t="s">
        <v>185</v>
      </c>
      <c r="AC3393" s="153" t="s">
        <v>186</v>
      </c>
      <c r="AD3393" s="143">
        <f>AD3379*1.01</f>
        <v>40087.877329528805</v>
      </c>
      <c r="AE3393" s="128" t="s">
        <v>185</v>
      </c>
      <c r="AF3393" s="153" t="s">
        <v>186</v>
      </c>
      <c r="AG3393" s="143">
        <f>AG3379*1.01</f>
        <v>56226.334166786059</v>
      </c>
      <c r="AH3393" s="128" t="s">
        <v>185</v>
      </c>
      <c r="AI3393" s="153" t="s">
        <v>186</v>
      </c>
      <c r="AJ3393" s="143">
        <f>AJ3379*1.01</f>
        <v>71392.524651502041</v>
      </c>
      <c r="AK3393" s="128" t="s">
        <v>185</v>
      </c>
      <c r="AL3393" s="153" t="s">
        <v>186</v>
      </c>
      <c r="AM3393" s="143">
        <f>AM3379*1.01</f>
        <v>83713.349813540015</v>
      </c>
      <c r="AN3393" s="128" t="s">
        <v>185</v>
      </c>
      <c r="AO3393" s="153" t="s">
        <v>186</v>
      </c>
      <c r="AP3393" s="143">
        <f>AP3379*1.01</f>
        <v>93396.334580287483</v>
      </c>
      <c r="AQ3393" s="128" t="s">
        <v>185</v>
      </c>
      <c r="AR3393" s="153" t="s">
        <v>186</v>
      </c>
      <c r="AS3393" s="143">
        <f>AS3379*1.01</f>
        <v>104199.33418579004</v>
      </c>
      <c r="AT3393" s="128" t="s">
        <v>185</v>
      </c>
      <c r="AU3393" s="153" t="s">
        <v>186</v>
      </c>
    </row>
    <row r="3394" spans="13:47" ht="14" x14ac:dyDescent="0.3">
      <c r="M3394" s="12"/>
      <c r="N3394" s="12"/>
      <c r="O3394" s="20"/>
      <c r="P3394" s="20"/>
      <c r="Q3394" s="23"/>
      <c r="R3394" s="139"/>
      <c r="S3394" s="130" t="s">
        <v>228</v>
      </c>
      <c r="T3394" s="131" t="s">
        <v>187</v>
      </c>
      <c r="U3394" s="144"/>
      <c r="V3394" s="130" t="s">
        <v>228</v>
      </c>
      <c r="W3394" s="154" t="s">
        <v>187</v>
      </c>
      <c r="X3394" s="144"/>
      <c r="Y3394" s="130" t="s">
        <v>228</v>
      </c>
      <c r="Z3394" s="154" t="s">
        <v>187</v>
      </c>
      <c r="AA3394" s="144"/>
      <c r="AB3394" s="130" t="s">
        <v>228</v>
      </c>
      <c r="AC3394" s="154" t="s">
        <v>187</v>
      </c>
      <c r="AD3394" s="144"/>
      <c r="AE3394" s="130" t="s">
        <v>228</v>
      </c>
      <c r="AF3394" s="154" t="s">
        <v>187</v>
      </c>
      <c r="AG3394" s="144"/>
      <c r="AH3394" s="130" t="s">
        <v>228</v>
      </c>
      <c r="AI3394" s="154" t="s">
        <v>187</v>
      </c>
      <c r="AJ3394" s="144"/>
      <c r="AK3394" s="130" t="s">
        <v>228</v>
      </c>
      <c r="AL3394" s="154" t="s">
        <v>187</v>
      </c>
      <c r="AM3394" s="144"/>
      <c r="AN3394" s="130" t="s">
        <v>228</v>
      </c>
      <c r="AO3394" s="154" t="s">
        <v>187</v>
      </c>
      <c r="AP3394" s="144"/>
      <c r="AQ3394" s="130" t="s">
        <v>228</v>
      </c>
      <c r="AR3394" s="154" t="s">
        <v>187</v>
      </c>
      <c r="AS3394" s="144"/>
      <c r="AT3394" s="130" t="s">
        <v>228</v>
      </c>
      <c r="AU3394" s="154" t="s">
        <v>187</v>
      </c>
    </row>
    <row r="3395" spans="13:47" x14ac:dyDescent="0.25">
      <c r="M3395" s="20"/>
      <c r="N3395" s="20"/>
      <c r="O3395" s="7" t="s">
        <v>188</v>
      </c>
      <c r="P3395" s="7"/>
      <c r="Q3395" s="7"/>
      <c r="R3395" s="181">
        <f>P_1_minW-(R3393^2*R_up)+dpup_minQ</f>
        <v>99.820673749226529</v>
      </c>
      <c r="S3395" s="132"/>
      <c r="T3395" s="145"/>
      <c r="U3395" s="138">
        <f>P_1_minW-(U3393^2*R_up)+dpup_minQ</f>
        <v>90.312258387243077</v>
      </c>
      <c r="V3395" s="132"/>
      <c r="W3395" s="145"/>
      <c r="X3395" s="138">
        <f>P_1_minW-(X3393^2*R_up)+dpup_minQ</f>
        <v>38.071952537912459</v>
      </c>
      <c r="Y3395" s="132"/>
      <c r="Z3395" s="145"/>
      <c r="AA3395" s="138">
        <f>P_1_minW-(AA3393^2*R_up)+dpup_minQ</f>
        <v>-136.3975443036357</v>
      </c>
      <c r="AB3395" s="132"/>
      <c r="AC3395" s="145"/>
      <c r="AD3395" s="138">
        <f>P_1_minW-(AD3393^2*R_up)+dpup_minQ</f>
        <v>-540.30260113237171</v>
      </c>
      <c r="AE3395" s="132"/>
      <c r="AF3395" s="145"/>
      <c r="AG3395" s="138">
        <f>P_1_minW-(AG3393^2*R_up)+dpup_minQ</f>
        <v>-1160.1231439695491</v>
      </c>
      <c r="AH3395" s="132"/>
      <c r="AI3395" s="145"/>
      <c r="AJ3395" s="138">
        <f>P_1_minW-(AJ3393^2*R_up)+dpup_minQ</f>
        <v>-1931.9234574722107</v>
      </c>
      <c r="AK3395" s="132"/>
      <c r="AL3395" s="145"/>
      <c r="AM3395" s="138">
        <f>P_1_minW-(AM3393^2*R_up)+dpup_minQ</f>
        <v>-2693.9702313538896</v>
      </c>
      <c r="AN3395" s="132"/>
      <c r="AO3395" s="145"/>
      <c r="AP3395" s="138">
        <f>P_1_minW-(AP3393^2*R_up)+dpup_minQ</f>
        <v>-3377.8269928438813</v>
      </c>
      <c r="AQ3395" s="132"/>
      <c r="AR3395" s="145"/>
      <c r="AS3395" s="138">
        <f>P_1_minW-(AS3393^2*R_up)+dpup_minQ</f>
        <v>-4229.0343496683745</v>
      </c>
      <c r="AT3395" s="132"/>
      <c r="AU3395" s="145"/>
    </row>
    <row r="3396" spans="13:47" x14ac:dyDescent="0.25">
      <c r="M3396" s="20"/>
      <c r="N3396" s="20"/>
      <c r="O3396" s="7" t="s">
        <v>189</v>
      </c>
      <c r="P3396" s="1"/>
      <c r="Q3396" s="7"/>
      <c r="R3396" s="181">
        <f>P_2_minW+(R3393^2*R_dn)-dpdn_minQ</f>
        <v>50</v>
      </c>
      <c r="S3396" s="132"/>
      <c r="T3396" s="146"/>
      <c r="U3396" s="138">
        <f>P_2_minW+(U3393^2*R_dn)-dpdn_minQ</f>
        <v>50</v>
      </c>
      <c r="V3396" s="132"/>
      <c r="W3396" s="146"/>
      <c r="X3396" s="138">
        <f>P_2_minW+(X3393^2*R_dn)-dpdn_minQ</f>
        <v>50</v>
      </c>
      <c r="Y3396" s="132"/>
      <c r="Z3396" s="146"/>
      <c r="AA3396" s="138">
        <f>P_2_minW+(AA3393^2*R_dn)-dpdn_minQ</f>
        <v>50</v>
      </c>
      <c r="AB3396" s="132"/>
      <c r="AC3396" s="146"/>
      <c r="AD3396" s="138">
        <f>P_2_minW+(AD3393^2*R_dn)-dpdn_minQ</f>
        <v>50</v>
      </c>
      <c r="AE3396" s="132"/>
      <c r="AF3396" s="146"/>
      <c r="AG3396" s="138">
        <f>P_2_minW+(AG3393^2*R_dn)-dpdn_minQ</f>
        <v>50</v>
      </c>
      <c r="AH3396" s="132"/>
      <c r="AI3396" s="146"/>
      <c r="AJ3396" s="138">
        <f>P_2_minW+(AJ3393^2*R_dn)-dpdn_minQ</f>
        <v>50</v>
      </c>
      <c r="AK3396" s="132"/>
      <c r="AL3396" s="146"/>
      <c r="AM3396" s="138">
        <f>P_2_minW+(AM3393^2*R_dn)-dpdn_minQ</f>
        <v>50</v>
      </c>
      <c r="AN3396" s="132"/>
      <c r="AO3396" s="146"/>
      <c r="AP3396" s="138">
        <f>P_2_minW+(AP3393^2*R_dn)-dpdn_minQ</f>
        <v>50</v>
      </c>
      <c r="AQ3396" s="132"/>
      <c r="AR3396" s="146"/>
      <c r="AS3396" s="138">
        <f>P_2_minW+(AS3393^2*R_dn)-dpdn_minQ</f>
        <v>50</v>
      </c>
      <c r="AT3396" s="132"/>
      <c r="AU3396" s="146"/>
    </row>
    <row r="3397" spans="13:47" x14ac:dyDescent="0.25">
      <c r="M3397" s="20"/>
      <c r="N3397" s="20"/>
      <c r="O3397" s="7" t="s">
        <v>234</v>
      </c>
      <c r="P3397" s="1"/>
      <c r="Q3397" s="7"/>
      <c r="R3397" s="179">
        <f>'Valve Sizing'!G$8*R3395/P_1_maxW</f>
        <v>0.48151715819070279</v>
      </c>
      <c r="S3397" s="132"/>
      <c r="T3397" s="146"/>
      <c r="U3397" s="143">
        <f>'Valve Sizing'!$G$8*U3395/P_1_maxW</f>
        <v>0.43565025535350799</v>
      </c>
      <c r="V3397" s="132"/>
      <c r="W3397" s="146"/>
      <c r="X3397" s="143">
        <f>'Valve Sizing'!$G$8*X3395/P_1_maxW</f>
        <v>0.18365232074952781</v>
      </c>
      <c r="Y3397" s="132"/>
      <c r="Z3397" s="146"/>
      <c r="AA3397" s="143">
        <f>'Valve Sizing'!$G$8*AA3395/P_1_maxW</f>
        <v>-0.65795746963475144</v>
      </c>
      <c r="AB3397" s="132"/>
      <c r="AC3397" s="146"/>
      <c r="AD3397" s="143">
        <f>'Valve Sizing'!$G$8*AD3395/P_1_maxW</f>
        <v>-2.6063235529135094</v>
      </c>
      <c r="AE3397" s="132"/>
      <c r="AF3397" s="146"/>
      <c r="AG3397" s="143">
        <f>'Valve Sizing'!$G$8*AG3395/P_1_maxW</f>
        <v>-5.5962274993140815</v>
      </c>
      <c r="AH3397" s="132"/>
      <c r="AI3397" s="146"/>
      <c r="AJ3397" s="143">
        <f>'Valve Sizing'!$G$8*AJ3395/P_1_maxW</f>
        <v>-9.3192548010745533</v>
      </c>
      <c r="AK3397" s="132"/>
      <c r="AL3397" s="146"/>
      <c r="AM3397" s="143">
        <f>'Valve Sizing'!$G$8*AM3395/P_1_maxW</f>
        <v>-12.9952327642141</v>
      </c>
      <c r="AN3397" s="132"/>
      <c r="AO3397" s="146"/>
      <c r="AP3397" s="143">
        <f>'Valve Sizing'!$G$8*AP3395/P_1_maxW</f>
        <v>-16.294036028449828</v>
      </c>
      <c r="AQ3397" s="132"/>
      <c r="AR3397" s="146"/>
      <c r="AS3397" s="143">
        <f>'Valve Sizing'!$G$8*AS3395/P_1_maxW</f>
        <v>-20.400108769642134</v>
      </c>
      <c r="AT3397" s="132"/>
      <c r="AU3397" s="146"/>
    </row>
    <row r="3398" spans="13:47" x14ac:dyDescent="0.25">
      <c r="M3398" s="20"/>
      <c r="N3398" s="20"/>
      <c r="O3398" s="7" t="s">
        <v>190</v>
      </c>
      <c r="P3398" s="1"/>
      <c r="Q3398" s="7"/>
      <c r="R3398" s="181">
        <f>R3395-R3396</f>
        <v>49.820673749226529</v>
      </c>
      <c r="S3398" s="132"/>
      <c r="T3398" s="146"/>
      <c r="U3398" s="138">
        <f>U3395-U3396</f>
        <v>40.312258387243077</v>
      </c>
      <c r="V3398" s="132"/>
      <c r="W3398" s="146"/>
      <c r="X3398" s="138">
        <f>X3395-X3396</f>
        <v>-11.928047462087541</v>
      </c>
      <c r="Y3398" s="132"/>
      <c r="Z3398" s="146"/>
      <c r="AA3398" s="138">
        <f>AA3395-AA3396</f>
        <v>-186.3975443036357</v>
      </c>
      <c r="AB3398" s="132"/>
      <c r="AC3398" s="146"/>
      <c r="AD3398" s="138">
        <f>AD3395-AD3396</f>
        <v>-590.30260113237171</v>
      </c>
      <c r="AE3398" s="132"/>
      <c r="AF3398" s="146"/>
      <c r="AG3398" s="138">
        <f>AG3395-AG3396</f>
        <v>-1210.1231439695491</v>
      </c>
      <c r="AH3398" s="132"/>
      <c r="AI3398" s="146"/>
      <c r="AJ3398" s="138">
        <f>AJ3395-AJ3396</f>
        <v>-1981.9234574722107</v>
      </c>
      <c r="AK3398" s="132"/>
      <c r="AL3398" s="146"/>
      <c r="AM3398" s="138">
        <f>AM3395-AM3396</f>
        <v>-2743.9702313538896</v>
      </c>
      <c r="AN3398" s="132"/>
      <c r="AO3398" s="146"/>
      <c r="AP3398" s="138">
        <f>AP3395-AP3396</f>
        <v>-3427.8269928438813</v>
      </c>
      <c r="AQ3398" s="132"/>
      <c r="AR3398" s="146"/>
      <c r="AS3398" s="138">
        <f>AS3395-AS3396</f>
        <v>-4279.0343496683745</v>
      </c>
      <c r="AT3398" s="132"/>
      <c r="AU3398" s="146"/>
    </row>
    <row r="3399" spans="13:47" ht="14.5" x14ac:dyDescent="0.35">
      <c r="M3399" s="27"/>
      <c r="N3399" s="27"/>
      <c r="O3399" s="2" t="s">
        <v>191</v>
      </c>
      <c r="P3399" s="10"/>
      <c r="Q3399" s="2"/>
      <c r="R3399" s="181">
        <f>R3398/R3395</f>
        <v>0.49910175796236367</v>
      </c>
      <c r="S3399" s="132"/>
      <c r="T3399" s="146"/>
      <c r="U3399" s="138">
        <f>U3398/U3395</f>
        <v>0.44636530086969151</v>
      </c>
      <c r="V3399" s="132"/>
      <c r="W3399" s="146"/>
      <c r="X3399" s="138">
        <f>X3398/X3395</f>
        <v>-0.31330275089541215</v>
      </c>
      <c r="Y3399" s="132"/>
      <c r="Z3399" s="146"/>
      <c r="AA3399" s="138">
        <f>AA3398/AA3395</f>
        <v>1.3665755146492564</v>
      </c>
      <c r="AB3399" s="132"/>
      <c r="AC3399" s="146"/>
      <c r="AD3399" s="138">
        <f>AD3398/AD3395</f>
        <v>1.0925407353124148</v>
      </c>
      <c r="AE3399" s="132"/>
      <c r="AF3399" s="146"/>
      <c r="AG3399" s="138">
        <f>AG3398/AG3395</f>
        <v>1.0430988729600867</v>
      </c>
      <c r="AH3399" s="132"/>
      <c r="AI3399" s="146"/>
      <c r="AJ3399" s="138">
        <f>AJ3398/AJ3395</f>
        <v>1.0258809425428383</v>
      </c>
      <c r="AK3399" s="132"/>
      <c r="AL3399" s="146"/>
      <c r="AM3399" s="138">
        <f>AM3398/AM3395</f>
        <v>1.0185599675223107</v>
      </c>
      <c r="AN3399" s="132"/>
      <c r="AO3399" s="146"/>
      <c r="AP3399" s="138">
        <f>AP3398/AP3395</f>
        <v>1.0148024159040494</v>
      </c>
      <c r="AQ3399" s="132"/>
      <c r="AR3399" s="146"/>
      <c r="AS3399" s="138">
        <f>AS3398/AS3395</f>
        <v>1.0118230300030362</v>
      </c>
      <c r="AT3399" s="132"/>
      <c r="AU3399" s="146"/>
    </row>
    <row r="3400" spans="13:47" x14ac:dyDescent="0.25">
      <c r="M3400" s="27"/>
      <c r="N3400" s="27"/>
      <c r="O3400" s="2" t="s">
        <v>26</v>
      </c>
      <c r="P3400" s="7">
        <v>12</v>
      </c>
      <c r="Q3400" s="2"/>
      <c r="R3400" s="181">
        <f>1-R3399/(3*F_GAMMA*R$29)</f>
        <v>0.7400620851819425</v>
      </c>
      <c r="S3400" s="133"/>
      <c r="T3400" s="146"/>
      <c r="U3400" s="138">
        <f>1-U3399/(3*F_GAMMA*U$29)</f>
        <v>0.76757902093103691</v>
      </c>
      <c r="V3400" s="133"/>
      <c r="W3400" s="146"/>
      <c r="X3400" s="138">
        <f>1-X3399/(3*F_GAMMA*X$29)</f>
        <v>1.1655830321836056</v>
      </c>
      <c r="Y3400" s="133"/>
      <c r="Z3400" s="146"/>
      <c r="AA3400" s="138">
        <f>1-AA3399/(3*F_GAMMA*AA$29)</f>
        <v>0.26785081198535954</v>
      </c>
      <c r="AB3400" s="133"/>
      <c r="AC3400" s="146"/>
      <c r="AD3400" s="138">
        <f>1-AD3399/(3*F_GAMMA*AD$29)</f>
        <v>0.39861761194862622</v>
      </c>
      <c r="AE3400" s="133"/>
      <c r="AF3400" s="146"/>
      <c r="AG3400" s="138">
        <f>1-AG3399/(3*F_GAMMA*AG$29)</f>
        <v>0.39308116764532686</v>
      </c>
      <c r="AH3400" s="133"/>
      <c r="AI3400" s="146"/>
      <c r="AJ3400" s="138">
        <f>1-AJ3399/(3*F_GAMMA*AJ$29)</f>
        <v>0.36190504302530424</v>
      </c>
      <c r="AK3400" s="133"/>
      <c r="AL3400" s="146"/>
      <c r="AM3400" s="138">
        <f>1-AM3399/(3*F_GAMMA*AM$29)</f>
        <v>0.30779167089282733</v>
      </c>
      <c r="AN3400" s="133"/>
      <c r="AO3400" s="146"/>
      <c r="AP3400" s="138">
        <f>1-AP3399/(3*F_GAMMA*AP$29)</f>
        <v>0.43007498936956123</v>
      </c>
      <c r="AQ3400" s="133"/>
      <c r="AR3400" s="146"/>
      <c r="AS3400" s="138">
        <f>1-AS3399/(3*F_GAMMA*AS$29)</f>
        <v>0.13734446255174793</v>
      </c>
      <c r="AT3400" s="133"/>
      <c r="AU3400" s="146"/>
    </row>
    <row r="3401" spans="13:47" x14ac:dyDescent="0.25">
      <c r="M3401" s="27"/>
      <c r="N3401" s="27"/>
      <c r="O3401" s="2" t="s">
        <v>71</v>
      </c>
      <c r="P3401" s="85">
        <v>5</v>
      </c>
      <c r="Q3401" s="2"/>
      <c r="R3401" s="179">
        <f>R3393/((N_6*R$27*R3400)*SQRT(R3399*R3395*R3397))</f>
        <v>5.7838313682343108</v>
      </c>
      <c r="S3401" s="133"/>
      <c r="T3401" s="146"/>
      <c r="U3401" s="143">
        <f>U3393/((N_6*U$27*U3400)*SQRT(U3399*U3395*U3397))</f>
        <v>24.869919496031009</v>
      </c>
      <c r="V3401" s="133"/>
      <c r="W3401" s="146"/>
      <c r="X3401" s="143" t="e">
        <f>X3393/((N_6*X$27*X3400)*SQRT(X3399*X3395*X3397))</f>
        <v>#NUM!</v>
      </c>
      <c r="Y3401" s="133"/>
      <c r="Z3401" s="146"/>
      <c r="AA3401" s="143">
        <f>AA3393/((N_6*AA$27*AA3400)*SQRT(AA3399*AA3395*AA3397))</f>
        <v>130.94897962182617</v>
      </c>
      <c r="AB3401" s="133"/>
      <c r="AC3401" s="146"/>
      <c r="AD3401" s="143">
        <f>AD3393/((N_6*AD$27*AD3400)*SQRT(AD3399*AD3395*AD3397))</f>
        <v>41.344663680755218</v>
      </c>
      <c r="AE3401" s="133"/>
      <c r="AF3401" s="146"/>
      <c r="AG3401" s="143">
        <f>AG3393/((N_6*AG$27*AG3400)*SQRT(AG3399*AG3395*AG3397))</f>
        <v>28.633879190148686</v>
      </c>
      <c r="AH3401" s="133"/>
      <c r="AI3401" s="146"/>
      <c r="AJ3401" s="143">
        <f>AJ3393/((N_6*AJ$27*AJ3400)*SQRT(AJ3399*AJ3395*AJ3397))</f>
        <v>24.732542812804663</v>
      </c>
      <c r="AK3401" s="133"/>
      <c r="AL3401" s="146"/>
      <c r="AM3401" s="143">
        <f>AM3393/((N_6*AM$27*AM3400)*SQRT(AM3399*AM3395*AM3397))</f>
        <v>26.048640875451426</v>
      </c>
      <c r="AN3401" s="133"/>
      <c r="AO3401" s="146"/>
      <c r="AP3401" s="143">
        <f>AP3393/((N_6*AP$27*AP3400)*SQRT(AP3399*AP3395*AP3397))</f>
        <v>18.877519368516253</v>
      </c>
      <c r="AQ3401" s="133"/>
      <c r="AR3401" s="146"/>
      <c r="AS3401" s="143">
        <f>AS3393/((N_6*AS$27*AS3400)*SQRT(AS3399*AS3395*AS3397))</f>
        <v>69.316263378696178</v>
      </c>
      <c r="AT3401" s="133"/>
      <c r="AU3401" s="146"/>
    </row>
    <row r="3402" spans="13:47" x14ac:dyDescent="0.25">
      <c r="M3402" s="27"/>
      <c r="N3402" s="27"/>
      <c r="O3402" s="2" t="s">
        <v>73</v>
      </c>
      <c r="P3402" s="85">
        <v>5</v>
      </c>
      <c r="Q3402" s="2"/>
      <c r="R3402" s="179">
        <f>R3393/((N_6*R$27*0.667)*SQRT(R3403*R3395*R3397))</f>
        <v>5.6670022642215825</v>
      </c>
      <c r="S3402" s="133"/>
      <c r="T3402" s="147"/>
      <c r="U3402" s="143">
        <f>U3393/((N_6*U$27*0.667)*SQRT(U3403*U3395*U3397))</f>
        <v>23.898460889091979</v>
      </c>
      <c r="V3402" s="133"/>
      <c r="W3402" s="155"/>
      <c r="X3402" s="143">
        <f>X3393/((N_6*X$27*0.667)*SQRT(X3403*X3395*X3397))</f>
        <v>141.56349751728649</v>
      </c>
      <c r="Y3402" s="133"/>
      <c r="Z3402" s="155"/>
      <c r="AA3402" s="143">
        <f>AA3393/((N_6*AA$27*0.667)*SQRT(AA3403*AA3395*AA3397))</f>
        <v>77.934485364444001</v>
      </c>
      <c r="AB3402" s="133"/>
      <c r="AC3402" s="155"/>
      <c r="AD3402" s="143">
        <f>AD3393/((N_6*AD$27*0.667)*SQRT(AD3403*AD3395*AD3397))</f>
        <v>33.188382949617655</v>
      </c>
      <c r="AE3402" s="133"/>
      <c r="AF3402" s="155"/>
      <c r="AG3402" s="143">
        <f>AG3393/((N_6*AG$27*0.667)*SQRT(AG3403*AG3395*AG3397))</f>
        <v>22.769973542483616</v>
      </c>
      <c r="AH3402" s="133"/>
      <c r="AI3402" s="155"/>
      <c r="AJ3402" s="143">
        <f>AJ3393/((N_6*AJ$27*0.667)*SQRT(AJ3403*AJ3395*AJ3397))</f>
        <v>18.566962233050148</v>
      </c>
      <c r="AK3402" s="133"/>
      <c r="AL3402" s="155"/>
      <c r="AM3402" s="143">
        <f>AM3393/((N_6*AM$27*0.667)*SQRT(AM3403*AM3395*AM3397))</f>
        <v>17.321884376861934</v>
      </c>
      <c r="AN3402" s="133"/>
      <c r="AO3402" s="155"/>
      <c r="AP3402" s="143">
        <f>AP3393/((N_6*AP$27*0.667)*SQRT(AP3403*AP3395*AP3397))</f>
        <v>15.915957223768231</v>
      </c>
      <c r="AQ3402" s="133"/>
      <c r="AR3402" s="155"/>
      <c r="AS3402" s="143">
        <f>AS3393/((N_6*AS$27*0.667)*SQRT(AS3403*AS3395*AS3397))</f>
        <v>22.961475807959506</v>
      </c>
      <c r="AT3402" s="133"/>
      <c r="AU3402" s="155"/>
    </row>
    <row r="3403" spans="13:47" ht="15.5" x14ac:dyDescent="0.4">
      <c r="M3403" s="27"/>
      <c r="N3403" s="27"/>
      <c r="O3403" s="2" t="s">
        <v>192</v>
      </c>
      <c r="P3403" s="85">
        <v>10</v>
      </c>
      <c r="Q3403" s="2"/>
      <c r="R3403" s="181">
        <f>F_GAMMA*R$29</f>
        <v>0.64002688015162901</v>
      </c>
      <c r="S3403" s="133"/>
      <c r="T3403" s="147"/>
      <c r="U3403" s="138">
        <f>F_GAMMA*U$29</f>
        <v>0.64016782916606918</v>
      </c>
      <c r="V3403" s="133"/>
      <c r="W3403" s="155"/>
      <c r="X3403" s="138">
        <f>F_GAMMA*X$29</f>
        <v>0.6307062319203669</v>
      </c>
      <c r="Y3403" s="133"/>
      <c r="Z3403" s="155"/>
      <c r="AA3403" s="138">
        <f>F_GAMMA*AA$29</f>
        <v>0.62217534213893466</v>
      </c>
      <c r="AB3403" s="133"/>
      <c r="AC3403" s="155"/>
      <c r="AD3403" s="138">
        <f>F_GAMMA*AD$29</f>
        <v>0.60557184969146072</v>
      </c>
      <c r="AE3403" s="133"/>
      <c r="AF3403" s="155"/>
      <c r="AG3403" s="138">
        <f>F_GAMMA*AG$29</f>
        <v>0.57289312142622573</v>
      </c>
      <c r="AH3403" s="133"/>
      <c r="AI3403" s="155"/>
      <c r="AJ3403" s="138">
        <f>F_GAMMA*AJ$29</f>
        <v>0.53590819116049981</v>
      </c>
      <c r="AK3403" s="133"/>
      <c r="AL3403" s="155"/>
      <c r="AM3403" s="138">
        <f>F_GAMMA*AM$29</f>
        <v>0.49048815926850342</v>
      </c>
      <c r="AN3403" s="133"/>
      <c r="AO3403" s="155"/>
      <c r="AP3403" s="138">
        <f>F_GAMMA*AP$29</f>
        <v>0.59352979016280105</v>
      </c>
      <c r="AQ3403" s="133"/>
      <c r="AR3403" s="155"/>
      <c r="AS3403" s="138">
        <f>F_GAMMA*AS$29</f>
        <v>0.39097221161068291</v>
      </c>
      <c r="AT3403" s="133"/>
      <c r="AU3403" s="155"/>
    </row>
    <row r="3404" spans="13:47" x14ac:dyDescent="0.25">
      <c r="M3404" s="27"/>
      <c r="N3404" s="27"/>
      <c r="O3404" s="2" t="s">
        <v>193</v>
      </c>
      <c r="P3404" s="134"/>
      <c r="Q3404" s="2"/>
      <c r="R3404" s="181">
        <f>IF(R3399&lt;R3403,R3401,R3402)</f>
        <v>5.7838313682343108</v>
      </c>
      <c r="S3404" s="133"/>
      <c r="T3404" s="147"/>
      <c r="U3404" s="138">
        <f>IF(U3399&lt;U3403,U3401,U3402)</f>
        <v>24.869919496031009</v>
      </c>
      <c r="V3404" s="133"/>
      <c r="W3404" s="155"/>
      <c r="X3404" s="138" t="e">
        <f>IF(X3399&lt;X3403,X3401,X3402)</f>
        <v>#NUM!</v>
      </c>
      <c r="Y3404" s="133"/>
      <c r="Z3404" s="155"/>
      <c r="AA3404" s="138">
        <f>IF(AA3399&lt;AA3403,AA3401,AA3402)</f>
        <v>77.934485364444001</v>
      </c>
      <c r="AB3404" s="133"/>
      <c r="AC3404" s="155"/>
      <c r="AD3404" s="138">
        <f>IF(AD3399&lt;AD3403,AD3401,AD3402)</f>
        <v>33.188382949617655</v>
      </c>
      <c r="AE3404" s="133"/>
      <c r="AF3404" s="155"/>
      <c r="AG3404" s="138">
        <f>IF(AG3399&lt;AG3403,AG3401,AG3402)</f>
        <v>22.769973542483616</v>
      </c>
      <c r="AH3404" s="133"/>
      <c r="AI3404" s="155"/>
      <c r="AJ3404" s="138">
        <f>IF(AJ3399&lt;AJ3403,AJ3401,AJ3402)</f>
        <v>18.566962233050148</v>
      </c>
      <c r="AK3404" s="133"/>
      <c r="AL3404" s="155"/>
      <c r="AM3404" s="138">
        <f>IF(AM3399&lt;AM3403,AM3401,AM3402)</f>
        <v>17.321884376861934</v>
      </c>
      <c r="AN3404" s="133"/>
      <c r="AO3404" s="155"/>
      <c r="AP3404" s="138">
        <f>IF(AP3399&lt;AP3403,AP3401,AP3402)</f>
        <v>15.915957223768231</v>
      </c>
      <c r="AQ3404" s="133"/>
      <c r="AR3404" s="155"/>
      <c r="AS3404" s="138">
        <f>IF(AS3399&lt;AS3403,AS3401,AS3402)</f>
        <v>22.961475807959506</v>
      </c>
      <c r="AT3404" s="133"/>
      <c r="AU3404" s="155"/>
    </row>
    <row r="3405" spans="13:47" ht="13" x14ac:dyDescent="0.3">
      <c r="M3405" s="28"/>
      <c r="N3405" s="28"/>
      <c r="O3405" s="9" t="s">
        <v>194</v>
      </c>
      <c r="P3405" s="1"/>
      <c r="Q3405" s="1"/>
      <c r="R3405" s="135"/>
      <c r="S3405" s="132">
        <f>IF(R3398&lt;=0,W_max,ABS(R$23-R3404))</f>
        <v>3.7838313682343108</v>
      </c>
      <c r="T3405" s="151">
        <f>R3393</f>
        <v>1326.9260175012141</v>
      </c>
      <c r="U3405" s="135"/>
      <c r="V3405" s="132">
        <f>IF(U3398&lt;=0,W_max,ABS(U$23-U3404))</f>
        <v>19.869919496031009</v>
      </c>
      <c r="W3405" s="151">
        <f>U3393</f>
        <v>5060.1957087200099</v>
      </c>
      <c r="X3405" s="135"/>
      <c r="Y3405" s="132">
        <f>IF(X3398&lt;=0,W_max,ABS(X$23-X3404))</f>
        <v>7174</v>
      </c>
      <c r="Z3405" s="151">
        <f>X3393</f>
        <v>12514.466158012721</v>
      </c>
      <c r="AA3405" s="135"/>
      <c r="AB3405" s="132">
        <f>IF(AA3398&lt;=0,W_max,ABS(AA$23-AA3404))</f>
        <v>7174</v>
      </c>
      <c r="AC3405" s="151">
        <f>AA3393</f>
        <v>24374.98581572148</v>
      </c>
      <c r="AD3405" s="135"/>
      <c r="AE3405" s="132">
        <f>IF(AD3398&lt;=0,W_max,ABS(AD$23-AD3404))</f>
        <v>7174</v>
      </c>
      <c r="AF3405" s="151">
        <f>AD3393</f>
        <v>40087.877329528805</v>
      </c>
      <c r="AG3405" s="135"/>
      <c r="AH3405" s="132">
        <f>IF(AG3398&lt;=0,W_max,ABS(AG$23-AG3404))</f>
        <v>7174</v>
      </c>
      <c r="AI3405" s="151">
        <f>AG3393</f>
        <v>56226.334166786059</v>
      </c>
      <c r="AJ3405" s="135"/>
      <c r="AK3405" s="132">
        <f>IF(AJ3398&lt;=0,W_max,ABS(AJ$23-AJ3404))</f>
        <v>7174</v>
      </c>
      <c r="AL3405" s="151">
        <f>AJ3393</f>
        <v>71392.524651502041</v>
      </c>
      <c r="AM3405" s="135"/>
      <c r="AN3405" s="132">
        <f>IF(AM3398&lt;=0,W_max,ABS(AM$23-AM3404))</f>
        <v>7174</v>
      </c>
      <c r="AO3405" s="151">
        <f>AM3393</f>
        <v>83713.349813540015</v>
      </c>
      <c r="AP3405" s="135"/>
      <c r="AQ3405" s="132">
        <f>IF(AP3398&lt;=0,W_max,ABS(AP$23-AP3404))</f>
        <v>7174</v>
      </c>
      <c r="AR3405" s="151">
        <f>AP3393</f>
        <v>93396.334580287483</v>
      </c>
      <c r="AS3405" s="135"/>
      <c r="AT3405" s="132">
        <f>IF(AS3398&lt;=0,W_max,ABS(AS$23-AS3404))</f>
        <v>7174</v>
      </c>
      <c r="AU3405" s="151">
        <f>AS3393</f>
        <v>104199.33418579004</v>
      </c>
    </row>
    <row r="3406" spans="13:47" ht="13" x14ac:dyDescent="0.25">
      <c r="M3406" s="12"/>
      <c r="N3406" s="12"/>
      <c r="O3406" s="12"/>
      <c r="P3406" s="12"/>
      <c r="Q3406" s="12"/>
      <c r="R3406" s="182"/>
      <c r="S3406" s="22"/>
      <c r="T3406" s="152"/>
      <c r="U3406" s="157"/>
      <c r="V3406" s="1"/>
      <c r="W3406" s="147"/>
      <c r="X3406" s="157"/>
      <c r="Y3406" s="1"/>
      <c r="Z3406" s="147"/>
      <c r="AA3406" s="157"/>
      <c r="AB3406" s="1"/>
      <c r="AC3406" s="147"/>
      <c r="AD3406" s="157"/>
      <c r="AE3406" s="1"/>
      <c r="AF3406" s="147"/>
      <c r="AG3406" s="157"/>
      <c r="AH3406" s="1"/>
      <c r="AI3406" s="147"/>
      <c r="AJ3406" s="157"/>
      <c r="AK3406" s="1"/>
      <c r="AL3406" s="147"/>
      <c r="AM3406" s="157"/>
      <c r="AN3406" s="1"/>
      <c r="AO3406" s="147"/>
      <c r="AP3406" s="157"/>
      <c r="AQ3406" s="1"/>
      <c r="AR3406" s="147"/>
      <c r="AS3406" s="157"/>
      <c r="AT3406" s="1"/>
      <c r="AU3406" s="147"/>
    </row>
    <row r="3407" spans="13:47" ht="14" x14ac:dyDescent="0.3">
      <c r="M3407" s="23"/>
      <c r="N3407" s="23"/>
      <c r="O3407" s="23" t="s">
        <v>238</v>
      </c>
      <c r="P3407" s="20"/>
      <c r="Q3407" s="20"/>
      <c r="R3407" s="18">
        <f>R3393*1.02</f>
        <v>1353.4645378512384</v>
      </c>
      <c r="S3407" s="128" t="s">
        <v>185</v>
      </c>
      <c r="T3407" s="153" t="s">
        <v>186</v>
      </c>
      <c r="U3407" s="143">
        <f>U3393*1.01</f>
        <v>5110.7976658072103</v>
      </c>
      <c r="V3407" s="128" t="s">
        <v>185</v>
      </c>
      <c r="W3407" s="153" t="s">
        <v>186</v>
      </c>
      <c r="X3407" s="143">
        <f>X3393*1.01</f>
        <v>12639.610819592848</v>
      </c>
      <c r="Y3407" s="128" t="s">
        <v>185</v>
      </c>
      <c r="Z3407" s="153" t="s">
        <v>186</v>
      </c>
      <c r="AA3407" s="143">
        <f>AA3393*1.01</f>
        <v>24618.735673878695</v>
      </c>
      <c r="AB3407" s="128" t="s">
        <v>185</v>
      </c>
      <c r="AC3407" s="153" t="s">
        <v>186</v>
      </c>
      <c r="AD3407" s="143">
        <f>AD3393*1.01</f>
        <v>40488.756102824096</v>
      </c>
      <c r="AE3407" s="128" t="s">
        <v>185</v>
      </c>
      <c r="AF3407" s="153" t="s">
        <v>186</v>
      </c>
      <c r="AG3407" s="143">
        <f>AG3393*1.01</f>
        <v>56788.597508453917</v>
      </c>
      <c r="AH3407" s="128" t="s">
        <v>185</v>
      </c>
      <c r="AI3407" s="153" t="s">
        <v>186</v>
      </c>
      <c r="AJ3407" s="143">
        <f>AJ3393*1.01</f>
        <v>72106.449898017061</v>
      </c>
      <c r="AK3407" s="128" t="s">
        <v>185</v>
      </c>
      <c r="AL3407" s="153" t="s">
        <v>186</v>
      </c>
      <c r="AM3407" s="143">
        <f>AM3393*1.01</f>
        <v>84550.483311675416</v>
      </c>
      <c r="AN3407" s="128" t="s">
        <v>185</v>
      </c>
      <c r="AO3407" s="153" t="s">
        <v>186</v>
      </c>
      <c r="AP3407" s="143">
        <f>AP3393*1.01</f>
        <v>94330.297926090352</v>
      </c>
      <c r="AQ3407" s="128" t="s">
        <v>185</v>
      </c>
      <c r="AR3407" s="153" t="s">
        <v>186</v>
      </c>
      <c r="AS3407" s="143">
        <f>AS3393*1.01</f>
        <v>105241.32752764794</v>
      </c>
      <c r="AT3407" s="128" t="s">
        <v>185</v>
      </c>
      <c r="AU3407" s="153" t="s">
        <v>186</v>
      </c>
    </row>
    <row r="3408" spans="13:47" ht="14" x14ac:dyDescent="0.3">
      <c r="M3408" s="12"/>
      <c r="N3408" s="12"/>
      <c r="O3408" s="20"/>
      <c r="P3408" s="20"/>
      <c r="Q3408" s="23"/>
      <c r="R3408" s="139"/>
      <c r="S3408" s="130" t="s">
        <v>228</v>
      </c>
      <c r="T3408" s="154" t="s">
        <v>187</v>
      </c>
      <c r="U3408" s="144"/>
      <c r="V3408" s="130" t="s">
        <v>228</v>
      </c>
      <c r="W3408" s="154" t="s">
        <v>187</v>
      </c>
      <c r="X3408" s="144"/>
      <c r="Y3408" s="130" t="s">
        <v>228</v>
      </c>
      <c r="Z3408" s="154" t="s">
        <v>187</v>
      </c>
      <c r="AA3408" s="144"/>
      <c r="AB3408" s="130" t="s">
        <v>228</v>
      </c>
      <c r="AC3408" s="154" t="s">
        <v>187</v>
      </c>
      <c r="AD3408" s="144"/>
      <c r="AE3408" s="130" t="s">
        <v>228</v>
      </c>
      <c r="AF3408" s="154" t="s">
        <v>187</v>
      </c>
      <c r="AG3408" s="144"/>
      <c r="AH3408" s="130" t="s">
        <v>228</v>
      </c>
      <c r="AI3408" s="154" t="s">
        <v>187</v>
      </c>
      <c r="AJ3408" s="144"/>
      <c r="AK3408" s="130" t="s">
        <v>228</v>
      </c>
      <c r="AL3408" s="154" t="s">
        <v>187</v>
      </c>
      <c r="AM3408" s="144"/>
      <c r="AN3408" s="130" t="s">
        <v>228</v>
      </c>
      <c r="AO3408" s="154" t="s">
        <v>187</v>
      </c>
      <c r="AP3408" s="144"/>
      <c r="AQ3408" s="130" t="s">
        <v>228</v>
      </c>
      <c r="AR3408" s="154" t="s">
        <v>187</v>
      </c>
      <c r="AS3408" s="144"/>
      <c r="AT3408" s="130" t="s">
        <v>228</v>
      </c>
      <c r="AU3408" s="154" t="s">
        <v>187</v>
      </c>
    </row>
    <row r="3409" spans="13:47" x14ac:dyDescent="0.25">
      <c r="M3409" s="20"/>
      <c r="N3409" s="20"/>
      <c r="O3409" s="7" t="s">
        <v>188</v>
      </c>
      <c r="P3409" s="7"/>
      <c r="Q3409" s="7"/>
      <c r="R3409" s="181">
        <f>P_1_minW-(R3407^2*R_up)+dpup_minQ</f>
        <v>99.792308384531509</v>
      </c>
      <c r="S3409" s="132"/>
      <c r="T3409" s="145"/>
      <c r="U3409" s="138">
        <f>P_1_minW-(U3407^2*R_up)+dpup_minQ</f>
        <v>90.107026767418461</v>
      </c>
      <c r="V3409" s="132"/>
      <c r="W3409" s="145"/>
      <c r="X3409" s="138">
        <f>P_1_minW-(X3407^2*R_up)+dpup_minQ</f>
        <v>36.816690770516296</v>
      </c>
      <c r="Y3409" s="132"/>
      <c r="Z3409" s="145"/>
      <c r="AA3409" s="138">
        <f>P_1_minW-(AA3407^2*R_up)+dpup_minQ</f>
        <v>-141.15964295754699</v>
      </c>
      <c r="AB3409" s="132"/>
      <c r="AC3409" s="145"/>
      <c r="AD3409" s="138">
        <f>P_1_minW-(AD3407^2*R_up)+dpup_minQ</f>
        <v>-553.18319142854068</v>
      </c>
      <c r="AE3409" s="132"/>
      <c r="AF3409" s="145"/>
      <c r="AG3409" s="138">
        <f>P_1_minW-(AG3407^2*R_up)+dpup_minQ</f>
        <v>-1185.4621271767453</v>
      </c>
      <c r="AH3409" s="132"/>
      <c r="AI3409" s="145"/>
      <c r="AJ3409" s="138">
        <f>P_1_minW-(AJ3407^2*R_up)+dpup_minQ</f>
        <v>-1972.7756269808101</v>
      </c>
      <c r="AK3409" s="132"/>
      <c r="AL3409" s="145"/>
      <c r="AM3409" s="138">
        <f>P_1_minW-(AM3407^2*R_up)+dpup_minQ</f>
        <v>-2750.139541017511</v>
      </c>
      <c r="AN3409" s="132"/>
      <c r="AO3409" s="145"/>
      <c r="AP3409" s="138">
        <f>P_1_minW-(AP3407^2*R_up)+dpup_minQ</f>
        <v>-3447.7418234134516</v>
      </c>
      <c r="AQ3409" s="132"/>
      <c r="AR3409" s="145"/>
      <c r="AS3409" s="138">
        <f>P_1_minW-(AS3407^2*R_up)+dpup_minQ</f>
        <v>-4316.0584481101168</v>
      </c>
      <c r="AT3409" s="132"/>
      <c r="AU3409" s="145"/>
    </row>
    <row r="3410" spans="13:47" x14ac:dyDescent="0.25">
      <c r="M3410" s="20"/>
      <c r="N3410" s="20"/>
      <c r="O3410" s="7" t="s">
        <v>189</v>
      </c>
      <c r="P3410" s="1"/>
      <c r="Q3410" s="7"/>
      <c r="R3410" s="181">
        <f>P_2_minW+(R3407^2*R_dn)-dpdn_minQ</f>
        <v>50</v>
      </c>
      <c r="S3410" s="132"/>
      <c r="T3410" s="146"/>
      <c r="U3410" s="138">
        <f>P_2_minW+(U3407^2*R_dn)-dpdn_minQ</f>
        <v>50</v>
      </c>
      <c r="V3410" s="132"/>
      <c r="W3410" s="146"/>
      <c r="X3410" s="138">
        <f>P_2_minW+(X3407^2*R_dn)-dpdn_minQ</f>
        <v>50</v>
      </c>
      <c r="Y3410" s="132"/>
      <c r="Z3410" s="146"/>
      <c r="AA3410" s="138">
        <f>P_2_minW+(AA3407^2*R_dn)-dpdn_minQ</f>
        <v>50</v>
      </c>
      <c r="AB3410" s="132"/>
      <c r="AC3410" s="146"/>
      <c r="AD3410" s="138">
        <f>P_2_minW+(AD3407^2*R_dn)-dpdn_minQ</f>
        <v>50</v>
      </c>
      <c r="AE3410" s="132"/>
      <c r="AF3410" s="146"/>
      <c r="AG3410" s="138">
        <f>P_2_minW+(AG3407^2*R_dn)-dpdn_minQ</f>
        <v>50</v>
      </c>
      <c r="AH3410" s="132"/>
      <c r="AI3410" s="146"/>
      <c r="AJ3410" s="138">
        <f>P_2_minW+(AJ3407^2*R_dn)-dpdn_minQ</f>
        <v>50</v>
      </c>
      <c r="AK3410" s="132"/>
      <c r="AL3410" s="146"/>
      <c r="AM3410" s="138">
        <f>P_2_minW+(AM3407^2*R_dn)-dpdn_minQ</f>
        <v>50</v>
      </c>
      <c r="AN3410" s="132"/>
      <c r="AO3410" s="146"/>
      <c r="AP3410" s="138">
        <f>P_2_minW+(AP3407^2*R_dn)-dpdn_minQ</f>
        <v>50</v>
      </c>
      <c r="AQ3410" s="132"/>
      <c r="AR3410" s="146"/>
      <c r="AS3410" s="138">
        <f>P_2_minW+(AS3407^2*R_dn)-dpdn_minQ</f>
        <v>50</v>
      </c>
      <c r="AT3410" s="132"/>
      <c r="AU3410" s="146"/>
    </row>
    <row r="3411" spans="13:47" x14ac:dyDescent="0.25">
      <c r="M3411" s="20"/>
      <c r="N3411" s="20"/>
      <c r="O3411" s="7" t="s">
        <v>234</v>
      </c>
      <c r="P3411" s="1"/>
      <c r="Q3411" s="7"/>
      <c r="R3411" s="179">
        <f>'Valve Sizing'!G$8*R3409/P_1_maxW</f>
        <v>0.48138032872155589</v>
      </c>
      <c r="S3411" s="132"/>
      <c r="T3411" s="146"/>
      <c r="U3411" s="143">
        <f>'Valve Sizing'!$G$8*U3409/P_1_maxW</f>
        <v>0.43466025455871177</v>
      </c>
      <c r="V3411" s="132"/>
      <c r="W3411" s="146"/>
      <c r="X3411" s="143">
        <f>'Valve Sizing'!$G$8*X3409/P_1_maxW</f>
        <v>0.17759716146919163</v>
      </c>
      <c r="Y3411" s="132"/>
      <c r="Z3411" s="146"/>
      <c r="AA3411" s="143">
        <f>'Valve Sizing'!$G$8*AA3409/P_1_maxW</f>
        <v>-0.68092898570181171</v>
      </c>
      <c r="AB3411" s="132"/>
      <c r="AC3411" s="146"/>
      <c r="AD3411" s="143">
        <f>'Valve Sizing'!$G$8*AD3409/P_1_maxW</f>
        <v>-2.6684572272544735</v>
      </c>
      <c r="AE3411" s="132"/>
      <c r="AF3411" s="146"/>
      <c r="AG3411" s="143">
        <f>'Valve Sizing'!$G$8*AG3409/P_1_maxW</f>
        <v>-5.7184582429776967</v>
      </c>
      <c r="AH3411" s="132"/>
      <c r="AI3411" s="146"/>
      <c r="AJ3411" s="143">
        <f>'Valve Sizing'!$G$8*AJ3409/P_1_maxW</f>
        <v>-9.5163183935035516</v>
      </c>
      <c r="AK3411" s="132"/>
      <c r="AL3411" s="146"/>
      <c r="AM3411" s="143">
        <f>'Valve Sizing'!$G$8*AM3409/P_1_maxW</f>
        <v>-13.266183513702206</v>
      </c>
      <c r="AN3411" s="132"/>
      <c r="AO3411" s="146"/>
      <c r="AP3411" s="143">
        <f>'Valve Sizing'!$G$8*AP3409/P_1_maxW</f>
        <v>-16.631292723549073</v>
      </c>
      <c r="AQ3411" s="132"/>
      <c r="AR3411" s="146"/>
      <c r="AS3411" s="143">
        <f>'Valve Sizing'!$G$8*AS3409/P_1_maxW</f>
        <v>-20.819897526839341</v>
      </c>
      <c r="AT3411" s="132"/>
      <c r="AU3411" s="146"/>
    </row>
    <row r="3412" spans="13:47" x14ac:dyDescent="0.25">
      <c r="M3412" s="20"/>
      <c r="N3412" s="20"/>
      <c r="O3412" s="7" t="s">
        <v>190</v>
      </c>
      <c r="P3412" s="1"/>
      <c r="Q3412" s="7"/>
      <c r="R3412" s="181">
        <f>R3409-R3410</f>
        <v>49.792308384531509</v>
      </c>
      <c r="S3412" s="132"/>
      <c r="T3412" s="146"/>
      <c r="U3412" s="138">
        <f>U3409-U3410</f>
        <v>40.107026767418461</v>
      </c>
      <c r="V3412" s="132"/>
      <c r="W3412" s="146"/>
      <c r="X3412" s="138">
        <f>X3409-X3410</f>
        <v>-13.183309229483704</v>
      </c>
      <c r="Y3412" s="132"/>
      <c r="Z3412" s="146"/>
      <c r="AA3412" s="138">
        <f>AA3409-AA3410</f>
        <v>-191.15964295754699</v>
      </c>
      <c r="AB3412" s="132"/>
      <c r="AC3412" s="146"/>
      <c r="AD3412" s="138">
        <f>AD3409-AD3410</f>
        <v>-603.18319142854068</v>
      </c>
      <c r="AE3412" s="132"/>
      <c r="AF3412" s="146"/>
      <c r="AG3412" s="138">
        <f>AG3409-AG3410</f>
        <v>-1235.4621271767453</v>
      </c>
      <c r="AH3412" s="132"/>
      <c r="AI3412" s="146"/>
      <c r="AJ3412" s="138">
        <f>AJ3409-AJ3410</f>
        <v>-2022.7756269808101</v>
      </c>
      <c r="AK3412" s="132"/>
      <c r="AL3412" s="146"/>
      <c r="AM3412" s="138">
        <f>AM3409-AM3410</f>
        <v>-2800.139541017511</v>
      </c>
      <c r="AN3412" s="132"/>
      <c r="AO3412" s="146"/>
      <c r="AP3412" s="138">
        <f>AP3409-AP3410</f>
        <v>-3497.7418234134516</v>
      </c>
      <c r="AQ3412" s="132"/>
      <c r="AR3412" s="146"/>
      <c r="AS3412" s="138">
        <f>AS3409-AS3410</f>
        <v>-4366.0584481101168</v>
      </c>
      <c r="AT3412" s="132"/>
      <c r="AU3412" s="146"/>
    </row>
    <row r="3413" spans="13:47" ht="14.5" x14ac:dyDescent="0.35">
      <c r="M3413" s="27"/>
      <c r="N3413" s="27"/>
      <c r="O3413" s="2" t="s">
        <v>191</v>
      </c>
      <c r="P3413" s="10"/>
      <c r="Q3413" s="2"/>
      <c r="R3413" s="181">
        <f>R3412/R3409</f>
        <v>0.49895938064350515</v>
      </c>
      <c r="S3413" s="132"/>
      <c r="T3413" s="146"/>
      <c r="U3413" s="138">
        <f>U3412/U3409</f>
        <v>0.44510431878904971</v>
      </c>
      <c r="V3413" s="132"/>
      <c r="W3413" s="146"/>
      <c r="X3413" s="138">
        <f>X3412/X3409</f>
        <v>-0.35807969031375358</v>
      </c>
      <c r="Y3413" s="132"/>
      <c r="Z3413" s="146"/>
      <c r="AA3413" s="138">
        <f>AA3412/AA3409</f>
        <v>1.3542088868490354</v>
      </c>
      <c r="AB3413" s="132"/>
      <c r="AC3413" s="146"/>
      <c r="AD3413" s="138">
        <f>AD3412/AD3409</f>
        <v>1.0903859711841206</v>
      </c>
      <c r="AE3413" s="132"/>
      <c r="AF3413" s="146"/>
      <c r="AG3413" s="138">
        <f>AG3412/AG3409</f>
        <v>1.0421776443580515</v>
      </c>
      <c r="AH3413" s="132"/>
      <c r="AI3413" s="146"/>
      <c r="AJ3413" s="138">
        <f>AJ3412/AJ3409</f>
        <v>1.0253450008790514</v>
      </c>
      <c r="AK3413" s="132"/>
      <c r="AL3413" s="146"/>
      <c r="AM3413" s="138">
        <f>AM3412/AM3409</f>
        <v>1.01818089564339</v>
      </c>
      <c r="AN3413" s="132"/>
      <c r="AO3413" s="146"/>
      <c r="AP3413" s="138">
        <f>AP3412/AP3409</f>
        <v>1.0145022459803841</v>
      </c>
      <c r="AQ3413" s="132"/>
      <c r="AR3413" s="146"/>
      <c r="AS3413" s="138">
        <f>AS3412/AS3409</f>
        <v>1.0115846438599305</v>
      </c>
      <c r="AT3413" s="132"/>
      <c r="AU3413" s="146"/>
    </row>
    <row r="3414" spans="13:47" x14ac:dyDescent="0.25">
      <c r="M3414" s="27"/>
      <c r="N3414" s="27"/>
      <c r="O3414" s="2" t="s">
        <v>26</v>
      </c>
      <c r="P3414" s="7">
        <v>12</v>
      </c>
      <c r="Q3414" s="2"/>
      <c r="R3414" s="181">
        <f>1-R3413/(3*F_GAMMA*R$29)</f>
        <v>0.74013623692112407</v>
      </c>
      <c r="S3414" s="133"/>
      <c r="T3414" s="146"/>
      <c r="U3414" s="138">
        <f>1-U3413/(3*F_GAMMA*U$29)</f>
        <v>0.76823561025193654</v>
      </c>
      <c r="V3414" s="133"/>
      <c r="W3414" s="146"/>
      <c r="X3414" s="138">
        <f>1-X3413/(3*F_GAMMA*X$29)</f>
        <v>1.1892480060135533</v>
      </c>
      <c r="Y3414" s="133"/>
      <c r="Z3414" s="146"/>
      <c r="AA3414" s="138">
        <f>1-AA3413/(3*F_GAMMA*AA$29)</f>
        <v>0.27447629034740595</v>
      </c>
      <c r="AB3414" s="133"/>
      <c r="AC3414" s="146"/>
      <c r="AD3414" s="138">
        <f>1-AD3413/(3*F_GAMMA*AD$29)</f>
        <v>0.39980368872844574</v>
      </c>
      <c r="AE3414" s="133"/>
      <c r="AF3414" s="146"/>
      <c r="AG3414" s="138">
        <f>1-AG3413/(3*F_GAMMA*AG$29)</f>
        <v>0.39361717722406631</v>
      </c>
      <c r="AH3414" s="133"/>
      <c r="AI3414" s="146"/>
      <c r="AJ3414" s="138">
        <f>1-AJ3413/(3*F_GAMMA*AJ$29)</f>
        <v>0.36223839717851369</v>
      </c>
      <c r="AK3414" s="133"/>
      <c r="AL3414" s="146"/>
      <c r="AM3414" s="138">
        <f>1-AM3413/(3*F_GAMMA*AM$29)</f>
        <v>0.30804928627168182</v>
      </c>
      <c r="AN3414" s="133"/>
      <c r="AO3414" s="146"/>
      <c r="AP3414" s="138">
        <f>1-AP3413/(3*F_GAMMA*AP$29)</f>
        <v>0.43024356834045718</v>
      </c>
      <c r="AQ3414" s="133"/>
      <c r="AR3414" s="146"/>
      <c r="AS3414" s="138">
        <f>1-AS3413/(3*F_GAMMA*AS$29)</f>
        <v>0.13754770473966338</v>
      </c>
      <c r="AT3414" s="133"/>
      <c r="AU3414" s="146"/>
    </row>
    <row r="3415" spans="13:47" x14ac:dyDescent="0.25">
      <c r="M3415" s="27"/>
      <c r="N3415" s="27"/>
      <c r="O3415" s="2" t="s">
        <v>71</v>
      </c>
      <c r="P3415" s="85">
        <v>5</v>
      </c>
      <c r="Q3415" s="2"/>
      <c r="R3415" s="179">
        <f>R3407/((N_6*R$27*R3414)*SQRT(R3413*R3409*R3411))</f>
        <v>5.9014354784155056</v>
      </c>
      <c r="S3415" s="133"/>
      <c r="T3415" s="146"/>
      <c r="U3415" s="143">
        <f>U3407/((N_6*U$27*U3414)*SQRT(U3413*U3409*U3411))</f>
        <v>25.189918787303384</v>
      </c>
      <c r="V3415" s="133"/>
      <c r="W3415" s="146"/>
      <c r="X3415" s="143" t="e">
        <f>X3407/((N_6*X$27*X3414)*SQRT(X3413*X3409*X3411))</f>
        <v>#NUM!</v>
      </c>
      <c r="Y3415" s="133"/>
      <c r="Z3415" s="146"/>
      <c r="AA3415" s="143">
        <f>AA3407/((N_6*AA$27*AA3414)*SQRT(AA3413*AA3409*AA3411))</f>
        <v>125.2799617884199</v>
      </c>
      <c r="AB3415" s="133"/>
      <c r="AC3415" s="146"/>
      <c r="AD3415" s="143">
        <f>AD3407/((N_6*AD$27*AD3414)*SQRT(AD3413*AD3409*AD3411))</f>
        <v>40.704956787671051</v>
      </c>
      <c r="AE3415" s="133"/>
      <c r="AF3415" s="146"/>
      <c r="AG3415" s="143">
        <f>AG3407/((N_6*AG$27*AG3414)*SQRT(AG3413*AG3409*AG3411))</f>
        <v>28.276003429529705</v>
      </c>
      <c r="AH3415" s="133"/>
      <c r="AI3415" s="146"/>
      <c r="AJ3415" s="143">
        <f>AJ3407/((N_6*AJ$27*AJ3414)*SQRT(AJ3413*AJ3409*AJ3411))</f>
        <v>24.446460515043718</v>
      </c>
      <c r="AK3415" s="133"/>
      <c r="AL3415" s="146"/>
      <c r="AM3415" s="143">
        <f>AM3407/((N_6*AM$27*AM3414)*SQRT(AM3413*AM3409*AM3411))</f>
        <v>25.75502584839268</v>
      </c>
      <c r="AN3415" s="133"/>
      <c r="AO3415" s="146"/>
      <c r="AP3415" s="143">
        <f>AP3407/((N_6*AP$27*AP3414)*SQRT(AP3413*AP3409*AP3411))</f>
        <v>18.675102892604123</v>
      </c>
      <c r="AQ3415" s="133"/>
      <c r="AR3415" s="146"/>
      <c r="AS3415" s="143">
        <f>AS3407/((N_6*AS$27*AS3414)*SQRT(AS3413*AS3409*AS3411))</f>
        <v>68.504544817402234</v>
      </c>
      <c r="AT3415" s="133"/>
      <c r="AU3415" s="146"/>
    </row>
    <row r="3416" spans="13:47" x14ac:dyDescent="0.25">
      <c r="M3416" s="27"/>
      <c r="N3416" s="27"/>
      <c r="O3416" s="2" t="s">
        <v>73</v>
      </c>
      <c r="P3416" s="85">
        <v>5</v>
      </c>
      <c r="Q3416" s="2"/>
      <c r="R3416" s="179">
        <f>R3407/((N_6*R$27*0.667)*SQRT(R3417*R3409*R3411))</f>
        <v>5.7819853371133068</v>
      </c>
      <c r="S3416" s="133"/>
      <c r="T3416" s="155"/>
      <c r="U3416" s="143">
        <f>U3407/((N_6*U$27*0.667)*SQRT(U3417*U3409*U3411))</f>
        <v>24.192421976684901</v>
      </c>
      <c r="V3416" s="133"/>
      <c r="W3416" s="155"/>
      <c r="X3416" s="143">
        <f>X3407/((N_6*X$27*0.667)*SQRT(X3417*X3409*X3411))</f>
        <v>147.85399318192103</v>
      </c>
      <c r="Y3416" s="133"/>
      <c r="Z3416" s="155"/>
      <c r="AA3416" s="143">
        <f>AA3407/((N_6*AA$27*0.667)*SQRT(AA3417*AA3409*AA3411))</f>
        <v>76.058375606046852</v>
      </c>
      <c r="AB3416" s="133"/>
      <c r="AC3416" s="155"/>
      <c r="AD3416" s="143">
        <f>AD3407/((N_6*AD$27*0.667)*SQRT(AD3417*AD3409*AD3411))</f>
        <v>32.739764352991536</v>
      </c>
      <c r="AE3416" s="133"/>
      <c r="AF3416" s="155"/>
      <c r="AG3416" s="143">
        <f>AG3407/((N_6*AG$27*0.667)*SQRT(AG3417*AG3409*AG3411))</f>
        <v>22.506103244894121</v>
      </c>
      <c r="AH3416" s="133"/>
      <c r="AI3416" s="155"/>
      <c r="AJ3416" s="143">
        <f>AJ3407/((N_6*AJ$27*0.667)*SQRT(AJ3417*AJ3409*AJ3411))</f>
        <v>18.364303002970395</v>
      </c>
      <c r="AK3416" s="133"/>
      <c r="AL3416" s="155"/>
      <c r="AM3416" s="143">
        <f>AM3407/((N_6*AM$27*0.667)*SQRT(AM3417*AM3409*AM3411))</f>
        <v>17.13778030819643</v>
      </c>
      <c r="AN3416" s="133"/>
      <c r="AO3416" s="155"/>
      <c r="AP3416" s="143">
        <f>AP3407/((N_6*AP$27*0.667)*SQRT(AP3417*AP3409*AP3411))</f>
        <v>15.749138481868082</v>
      </c>
      <c r="AQ3416" s="133"/>
      <c r="AR3416" s="155"/>
      <c r="AS3416" s="143">
        <f>AS3407/((N_6*AS$27*0.667)*SQRT(AS3417*AS3409*AS3411))</f>
        <v>22.723491766659063</v>
      </c>
      <c r="AT3416" s="133"/>
      <c r="AU3416" s="155"/>
    </row>
    <row r="3417" spans="13:47" ht="15.5" x14ac:dyDescent="0.4">
      <c r="M3417" s="27"/>
      <c r="N3417" s="27"/>
      <c r="O3417" s="2" t="s">
        <v>192</v>
      </c>
      <c r="P3417" s="85">
        <v>10</v>
      </c>
      <c r="Q3417" s="2"/>
      <c r="R3417" s="181">
        <f>F_GAMMA*R$29</f>
        <v>0.64002688015162901</v>
      </c>
      <c r="S3417" s="133"/>
      <c r="T3417" s="155"/>
      <c r="U3417" s="138">
        <f>F_GAMMA*U$29</f>
        <v>0.64016782916606918</v>
      </c>
      <c r="V3417" s="133"/>
      <c r="W3417" s="155"/>
      <c r="X3417" s="138">
        <f>F_GAMMA*X$29</f>
        <v>0.6307062319203669</v>
      </c>
      <c r="Y3417" s="133"/>
      <c r="Z3417" s="155"/>
      <c r="AA3417" s="138">
        <f>F_GAMMA*AA$29</f>
        <v>0.62217534213893466</v>
      </c>
      <c r="AB3417" s="133"/>
      <c r="AC3417" s="155"/>
      <c r="AD3417" s="138">
        <f>F_GAMMA*AD$29</f>
        <v>0.60557184969146072</v>
      </c>
      <c r="AE3417" s="133"/>
      <c r="AF3417" s="155"/>
      <c r="AG3417" s="138">
        <f>F_GAMMA*AG$29</f>
        <v>0.57289312142622573</v>
      </c>
      <c r="AH3417" s="133"/>
      <c r="AI3417" s="155"/>
      <c r="AJ3417" s="138">
        <f>F_GAMMA*AJ$29</f>
        <v>0.53590819116049981</v>
      </c>
      <c r="AK3417" s="133"/>
      <c r="AL3417" s="155"/>
      <c r="AM3417" s="138">
        <f>F_GAMMA*AM$29</f>
        <v>0.49048815926850342</v>
      </c>
      <c r="AN3417" s="133"/>
      <c r="AO3417" s="155"/>
      <c r="AP3417" s="138">
        <f>F_GAMMA*AP$29</f>
        <v>0.59352979016280105</v>
      </c>
      <c r="AQ3417" s="133"/>
      <c r="AR3417" s="155"/>
      <c r="AS3417" s="138">
        <f>F_GAMMA*AS$29</f>
        <v>0.39097221161068291</v>
      </c>
      <c r="AT3417" s="133"/>
      <c r="AU3417" s="155"/>
    </row>
    <row r="3418" spans="13:47" x14ac:dyDescent="0.25">
      <c r="M3418" s="27"/>
      <c r="N3418" s="27"/>
      <c r="O3418" s="2" t="s">
        <v>193</v>
      </c>
      <c r="P3418" s="134"/>
      <c r="Q3418" s="2"/>
      <c r="R3418" s="181">
        <f>IF(R3413&lt;R3417,R3415,R3416)</f>
        <v>5.9014354784155056</v>
      </c>
      <c r="S3418" s="133"/>
      <c r="T3418" s="155"/>
      <c r="U3418" s="138">
        <f>IF(U3413&lt;U3417,U3415,U3416)</f>
        <v>25.189918787303384</v>
      </c>
      <c r="V3418" s="133"/>
      <c r="W3418" s="155"/>
      <c r="X3418" s="138" t="e">
        <f>IF(X3413&lt;X3417,X3415,X3416)</f>
        <v>#NUM!</v>
      </c>
      <c r="Y3418" s="133"/>
      <c r="Z3418" s="155"/>
      <c r="AA3418" s="138">
        <f>IF(AA3413&lt;AA3417,AA3415,AA3416)</f>
        <v>76.058375606046852</v>
      </c>
      <c r="AB3418" s="133"/>
      <c r="AC3418" s="155"/>
      <c r="AD3418" s="138">
        <f>IF(AD3413&lt;AD3417,AD3415,AD3416)</f>
        <v>32.739764352991536</v>
      </c>
      <c r="AE3418" s="133"/>
      <c r="AF3418" s="155"/>
      <c r="AG3418" s="138">
        <f>IF(AG3413&lt;AG3417,AG3415,AG3416)</f>
        <v>22.506103244894121</v>
      </c>
      <c r="AH3418" s="133"/>
      <c r="AI3418" s="155"/>
      <c r="AJ3418" s="138">
        <f>IF(AJ3413&lt;AJ3417,AJ3415,AJ3416)</f>
        <v>18.364303002970395</v>
      </c>
      <c r="AK3418" s="133"/>
      <c r="AL3418" s="155"/>
      <c r="AM3418" s="138">
        <f>IF(AM3413&lt;AM3417,AM3415,AM3416)</f>
        <v>17.13778030819643</v>
      </c>
      <c r="AN3418" s="133"/>
      <c r="AO3418" s="155"/>
      <c r="AP3418" s="138">
        <f>IF(AP3413&lt;AP3417,AP3415,AP3416)</f>
        <v>15.749138481868082</v>
      </c>
      <c r="AQ3418" s="133"/>
      <c r="AR3418" s="155"/>
      <c r="AS3418" s="138">
        <f>IF(AS3413&lt;AS3417,AS3415,AS3416)</f>
        <v>22.723491766659063</v>
      </c>
      <c r="AT3418" s="133"/>
      <c r="AU3418" s="155"/>
    </row>
    <row r="3419" spans="13:47" ht="13" x14ac:dyDescent="0.3">
      <c r="M3419" s="28"/>
      <c r="N3419" s="28"/>
      <c r="O3419" s="9" t="s">
        <v>194</v>
      </c>
      <c r="P3419" s="1"/>
      <c r="Q3419" s="1"/>
      <c r="R3419" s="135"/>
      <c r="S3419" s="132">
        <f>IF(R3412&lt;=0,W_max,ABS(R$23-R3418))</f>
        <v>3.9014354784155056</v>
      </c>
      <c r="T3419" s="151">
        <f>R3407</f>
        <v>1353.4645378512384</v>
      </c>
      <c r="U3419" s="135"/>
      <c r="V3419" s="132">
        <f>IF(U3412&lt;=0,W_max,ABS(U$23-U3418))</f>
        <v>20.189918787303384</v>
      </c>
      <c r="W3419" s="151">
        <f>U3407</f>
        <v>5110.7976658072103</v>
      </c>
      <c r="X3419" s="135"/>
      <c r="Y3419" s="132">
        <f>IF(X3412&lt;=0,W_max,ABS(X$23-X3418))</f>
        <v>7174</v>
      </c>
      <c r="Z3419" s="151">
        <f>X3407</f>
        <v>12639.610819592848</v>
      </c>
      <c r="AA3419" s="135"/>
      <c r="AB3419" s="132">
        <f>IF(AA3412&lt;=0,W_max,ABS(AA$23-AA3418))</f>
        <v>7174</v>
      </c>
      <c r="AC3419" s="151">
        <f>AA3407</f>
        <v>24618.735673878695</v>
      </c>
      <c r="AD3419" s="135"/>
      <c r="AE3419" s="132">
        <f>IF(AD3412&lt;=0,W_max,ABS(AD$23-AD3418))</f>
        <v>7174</v>
      </c>
      <c r="AF3419" s="151">
        <f>AD3407</f>
        <v>40488.756102824096</v>
      </c>
      <c r="AG3419" s="135"/>
      <c r="AH3419" s="132">
        <f>IF(AG3412&lt;=0,W_max,ABS(AG$23-AG3418))</f>
        <v>7174</v>
      </c>
      <c r="AI3419" s="151">
        <f>AG3407</f>
        <v>56788.597508453917</v>
      </c>
      <c r="AJ3419" s="135"/>
      <c r="AK3419" s="132">
        <f>IF(AJ3412&lt;=0,W_max,ABS(AJ$23-AJ3418))</f>
        <v>7174</v>
      </c>
      <c r="AL3419" s="151">
        <f>AJ3407</f>
        <v>72106.449898017061</v>
      </c>
      <c r="AM3419" s="135"/>
      <c r="AN3419" s="132">
        <f>IF(AM3412&lt;=0,W_max,ABS(AM$23-AM3418))</f>
        <v>7174</v>
      </c>
      <c r="AO3419" s="151">
        <f>AM3407</f>
        <v>84550.483311675416</v>
      </c>
      <c r="AP3419" s="135"/>
      <c r="AQ3419" s="132">
        <f>IF(AP3412&lt;=0,W_max,ABS(AP$23-AP3418))</f>
        <v>7174</v>
      </c>
      <c r="AR3419" s="151">
        <f>AP3407</f>
        <v>94330.297926090352</v>
      </c>
      <c r="AS3419" s="135"/>
      <c r="AT3419" s="132">
        <f>IF(AS3412&lt;=0,W_max,ABS(AS$23-AS3418))</f>
        <v>7174</v>
      </c>
      <c r="AU3419" s="151">
        <f>AS3407</f>
        <v>105241.32752764794</v>
      </c>
    </row>
    <row r="3420" spans="13:47" ht="13" x14ac:dyDescent="0.25">
      <c r="M3420" s="12"/>
      <c r="N3420" s="12"/>
      <c r="O3420" s="2"/>
      <c r="P3420" s="85"/>
      <c r="Q3420" s="2"/>
      <c r="R3420" s="18"/>
      <c r="S3420" s="150"/>
      <c r="T3420" s="152"/>
      <c r="U3420" s="157"/>
      <c r="V3420" s="1"/>
      <c r="W3420" s="147"/>
      <c r="X3420" s="157"/>
      <c r="Y3420" s="1"/>
      <c r="Z3420" s="147"/>
      <c r="AA3420" s="157"/>
      <c r="AB3420" s="1"/>
      <c r="AC3420" s="147"/>
      <c r="AD3420" s="157"/>
      <c r="AE3420" s="1"/>
      <c r="AF3420" s="147"/>
      <c r="AG3420" s="157"/>
      <c r="AH3420" s="1"/>
      <c r="AI3420" s="147"/>
      <c r="AJ3420" s="157"/>
      <c r="AK3420" s="1"/>
      <c r="AL3420" s="147"/>
      <c r="AM3420" s="157"/>
      <c r="AN3420" s="1"/>
      <c r="AO3420" s="147"/>
      <c r="AP3420" s="157"/>
      <c r="AQ3420" s="1"/>
      <c r="AR3420" s="147"/>
      <c r="AS3420" s="157"/>
      <c r="AT3420" s="1"/>
      <c r="AU3420" s="147"/>
    </row>
    <row r="3421" spans="13:47" ht="14" x14ac:dyDescent="0.3">
      <c r="M3421" s="23"/>
      <c r="N3421" s="23"/>
      <c r="O3421" s="23" t="s">
        <v>238</v>
      </c>
      <c r="P3421" s="20"/>
      <c r="Q3421" s="20"/>
      <c r="R3421" s="181">
        <f>R3407*1.02</f>
        <v>1380.5338286082633</v>
      </c>
      <c r="S3421" s="128" t="s">
        <v>185</v>
      </c>
      <c r="T3421" s="153" t="s">
        <v>186</v>
      </c>
      <c r="U3421" s="143">
        <f>U3407*1.01</f>
        <v>5161.9056424652827</v>
      </c>
      <c r="V3421" s="128" t="s">
        <v>185</v>
      </c>
      <c r="W3421" s="153" t="s">
        <v>186</v>
      </c>
      <c r="X3421" s="143">
        <f>X3407*1.01</f>
        <v>12766.006927788776</v>
      </c>
      <c r="Y3421" s="128" t="s">
        <v>185</v>
      </c>
      <c r="Z3421" s="153" t="s">
        <v>186</v>
      </c>
      <c r="AA3421" s="143">
        <f>AA3407*1.01</f>
        <v>24864.923030617483</v>
      </c>
      <c r="AB3421" s="128" t="s">
        <v>185</v>
      </c>
      <c r="AC3421" s="153" t="s">
        <v>186</v>
      </c>
      <c r="AD3421" s="143">
        <f>AD3407*1.01</f>
        <v>40893.643663852337</v>
      </c>
      <c r="AE3421" s="128" t="s">
        <v>185</v>
      </c>
      <c r="AF3421" s="153" t="s">
        <v>186</v>
      </c>
      <c r="AG3421" s="143">
        <f>AG3407*1.01</f>
        <v>57356.483483538454</v>
      </c>
      <c r="AH3421" s="128" t="s">
        <v>185</v>
      </c>
      <c r="AI3421" s="153" t="s">
        <v>186</v>
      </c>
      <c r="AJ3421" s="143">
        <f>AJ3407*1.01</f>
        <v>72827.514396997227</v>
      </c>
      <c r="AK3421" s="128" t="s">
        <v>185</v>
      </c>
      <c r="AL3421" s="153" t="s">
        <v>186</v>
      </c>
      <c r="AM3421" s="143">
        <f>AM3407*1.01</f>
        <v>85395.988144792165</v>
      </c>
      <c r="AN3421" s="128" t="s">
        <v>185</v>
      </c>
      <c r="AO3421" s="153" t="s">
        <v>186</v>
      </c>
      <c r="AP3421" s="143">
        <f>AP3407*1.01</f>
        <v>95273.600905351253</v>
      </c>
      <c r="AQ3421" s="128" t="s">
        <v>185</v>
      </c>
      <c r="AR3421" s="153" t="s">
        <v>186</v>
      </c>
      <c r="AS3421" s="143">
        <f>AS3407*1.01</f>
        <v>106293.74080292443</v>
      </c>
      <c r="AT3421" s="128" t="s">
        <v>185</v>
      </c>
      <c r="AU3421" s="153" t="s">
        <v>186</v>
      </c>
    </row>
    <row r="3422" spans="13:47" ht="14" x14ac:dyDescent="0.3">
      <c r="M3422" s="12"/>
      <c r="N3422" s="12"/>
      <c r="O3422" s="20"/>
      <c r="P3422" s="20"/>
      <c r="Q3422" s="23"/>
      <c r="R3422" s="139"/>
      <c r="S3422" s="130" t="s">
        <v>228</v>
      </c>
      <c r="T3422" s="154" t="s">
        <v>187</v>
      </c>
      <c r="U3422" s="144"/>
      <c r="V3422" s="130" t="s">
        <v>228</v>
      </c>
      <c r="W3422" s="154" t="s">
        <v>187</v>
      </c>
      <c r="X3422" s="144"/>
      <c r="Y3422" s="130" t="s">
        <v>228</v>
      </c>
      <c r="Z3422" s="154" t="s">
        <v>187</v>
      </c>
      <c r="AA3422" s="144"/>
      <c r="AB3422" s="130" t="s">
        <v>228</v>
      </c>
      <c r="AC3422" s="154" t="s">
        <v>187</v>
      </c>
      <c r="AD3422" s="144"/>
      <c r="AE3422" s="130" t="s">
        <v>228</v>
      </c>
      <c r="AF3422" s="154" t="s">
        <v>187</v>
      </c>
      <c r="AG3422" s="144"/>
      <c r="AH3422" s="130" t="s">
        <v>228</v>
      </c>
      <c r="AI3422" s="154" t="s">
        <v>187</v>
      </c>
      <c r="AJ3422" s="144"/>
      <c r="AK3422" s="130" t="s">
        <v>228</v>
      </c>
      <c r="AL3422" s="154" t="s">
        <v>187</v>
      </c>
      <c r="AM3422" s="144"/>
      <c r="AN3422" s="130" t="s">
        <v>228</v>
      </c>
      <c r="AO3422" s="154" t="s">
        <v>187</v>
      </c>
      <c r="AP3422" s="144"/>
      <c r="AQ3422" s="130" t="s">
        <v>228</v>
      </c>
      <c r="AR3422" s="154" t="s">
        <v>187</v>
      </c>
      <c r="AS3422" s="144"/>
      <c r="AT3422" s="130" t="s">
        <v>228</v>
      </c>
      <c r="AU3422" s="154" t="s">
        <v>187</v>
      </c>
    </row>
    <row r="3423" spans="13:47" x14ac:dyDescent="0.25">
      <c r="M3423" s="20"/>
      <c r="N3423" s="20"/>
      <c r="O3423" s="7" t="s">
        <v>188</v>
      </c>
      <c r="P3423" s="7"/>
      <c r="Q3423" s="7"/>
      <c r="R3423" s="181">
        <f>P_1_minW-(R3421^2*R_up)+dpup_minQ</f>
        <v>99.762797059102823</v>
      </c>
      <c r="S3423" s="132"/>
      <c r="T3423" s="145"/>
      <c r="U3423" s="138">
        <f>P_1_minW-(U3421^2*R_up)+dpup_minQ</f>
        <v>89.897669992035361</v>
      </c>
      <c r="V3423" s="132"/>
      <c r="W3423" s="145"/>
      <c r="X3423" s="138">
        <f>P_1_minW-(X3421^2*R_up)+dpup_minQ</f>
        <v>35.536198241595471</v>
      </c>
      <c r="Y3423" s="132"/>
      <c r="Z3423" s="145"/>
      <c r="AA3423" s="138">
        <f>P_1_minW-(AA3421^2*R_up)+dpup_minQ</f>
        <v>-146.0174597944019</v>
      </c>
      <c r="AB3423" s="132"/>
      <c r="AC3423" s="145"/>
      <c r="AD3423" s="138">
        <f>P_1_minW-(AD3421^2*R_up)+dpup_minQ</f>
        <v>-566.32268158966258</v>
      </c>
      <c r="AE3423" s="132"/>
      <c r="AF3423" s="145"/>
      <c r="AG3423" s="138">
        <f>P_1_minW-(AG3421^2*R_up)+dpup_minQ</f>
        <v>-1211.3104239464058</v>
      </c>
      <c r="AH3423" s="132"/>
      <c r="AI3423" s="145"/>
      <c r="AJ3423" s="138">
        <f>P_1_minW-(AJ3421^2*R_up)+dpup_minQ</f>
        <v>-2014.4489250965325</v>
      </c>
      <c r="AK3423" s="132"/>
      <c r="AL3423" s="145"/>
      <c r="AM3423" s="138">
        <f>P_1_minW-(AM3421^2*R_up)+dpup_minQ</f>
        <v>-2807.4378538053711</v>
      </c>
      <c r="AN3423" s="132"/>
      <c r="AO3423" s="145"/>
      <c r="AP3423" s="138">
        <f>P_1_minW-(AP3421^2*R_up)+dpup_minQ</f>
        <v>-3519.0619420774697</v>
      </c>
      <c r="AQ3423" s="132"/>
      <c r="AR3423" s="145"/>
      <c r="AS3423" s="138">
        <f>P_1_minW-(AS3421^2*R_up)+dpup_minQ</f>
        <v>-4404.8317309305385</v>
      </c>
      <c r="AT3423" s="132"/>
      <c r="AU3423" s="145"/>
    </row>
    <row r="3424" spans="13:47" x14ac:dyDescent="0.25">
      <c r="M3424" s="20"/>
      <c r="N3424" s="20"/>
      <c r="O3424" s="7" t="s">
        <v>189</v>
      </c>
      <c r="P3424" s="1"/>
      <c r="Q3424" s="7"/>
      <c r="R3424" s="181">
        <f>P_2_minW+(R3421^2*R_dn)-dpdn_minQ</f>
        <v>50</v>
      </c>
      <c r="S3424" s="132"/>
      <c r="T3424" s="146"/>
      <c r="U3424" s="138">
        <f>P_2_minW+(U3421^2*R_dn)-dpdn_minQ</f>
        <v>50</v>
      </c>
      <c r="V3424" s="132"/>
      <c r="W3424" s="146"/>
      <c r="X3424" s="138">
        <f>P_2_minW+(X3421^2*R_dn)-dpdn_minQ</f>
        <v>50</v>
      </c>
      <c r="Y3424" s="132"/>
      <c r="Z3424" s="146"/>
      <c r="AA3424" s="138">
        <f>P_2_minW+(AA3421^2*R_dn)-dpdn_minQ</f>
        <v>50</v>
      </c>
      <c r="AB3424" s="132"/>
      <c r="AC3424" s="146"/>
      <c r="AD3424" s="138">
        <f>P_2_minW+(AD3421^2*R_dn)-dpdn_minQ</f>
        <v>50</v>
      </c>
      <c r="AE3424" s="132"/>
      <c r="AF3424" s="146"/>
      <c r="AG3424" s="138">
        <f>P_2_minW+(AG3421^2*R_dn)-dpdn_minQ</f>
        <v>50</v>
      </c>
      <c r="AH3424" s="132"/>
      <c r="AI3424" s="146"/>
      <c r="AJ3424" s="138">
        <f>P_2_minW+(AJ3421^2*R_dn)-dpdn_minQ</f>
        <v>50</v>
      </c>
      <c r="AK3424" s="132"/>
      <c r="AL3424" s="146"/>
      <c r="AM3424" s="138">
        <f>P_2_minW+(AM3421^2*R_dn)-dpdn_minQ</f>
        <v>50</v>
      </c>
      <c r="AN3424" s="132"/>
      <c r="AO3424" s="146"/>
      <c r="AP3424" s="138">
        <f>P_2_minW+(AP3421^2*R_dn)-dpdn_minQ</f>
        <v>50</v>
      </c>
      <c r="AQ3424" s="132"/>
      <c r="AR3424" s="146"/>
      <c r="AS3424" s="138">
        <f>P_2_minW+(AS3421^2*R_dn)-dpdn_minQ</f>
        <v>50</v>
      </c>
      <c r="AT3424" s="132"/>
      <c r="AU3424" s="146"/>
    </row>
    <row r="3425" spans="13:47" x14ac:dyDescent="0.25">
      <c r="M3425" s="20"/>
      <c r="N3425" s="20"/>
      <c r="O3425" s="7" t="s">
        <v>234</v>
      </c>
      <c r="P3425" s="1"/>
      <c r="Q3425" s="7"/>
      <c r="R3425" s="179">
        <f>'Valve Sizing'!G$8*R3423/P_1_maxW</f>
        <v>0.48123797134185553</v>
      </c>
      <c r="S3425" s="132"/>
      <c r="T3425" s="146"/>
      <c r="U3425" s="143">
        <f>'Valve Sizing'!$G$8*U3423/P_1_maxW</f>
        <v>0.43365035474794017</v>
      </c>
      <c r="V3425" s="132"/>
      <c r="W3425" s="146"/>
      <c r="X3425" s="143">
        <f>'Valve Sizing'!$G$8*X3423/P_1_maxW</f>
        <v>0.17142029348732069</v>
      </c>
      <c r="Y3425" s="132"/>
      <c r="Z3425" s="146"/>
      <c r="AA3425" s="143">
        <f>'Valve Sizing'!$G$8*AA3423/P_1_maxW</f>
        <v>-0.70436222924181979</v>
      </c>
      <c r="AB3425" s="132"/>
      <c r="AC3425" s="146"/>
      <c r="AD3425" s="143">
        <f>'Valve Sizing'!$G$8*AD3423/P_1_maxW</f>
        <v>-2.7318397884496899</v>
      </c>
      <c r="AE3425" s="132"/>
      <c r="AF3425" s="146"/>
      <c r="AG3425" s="143">
        <f>'Valve Sizing'!$G$8*AG3423/P_1_maxW</f>
        <v>-5.8431458245889489</v>
      </c>
      <c r="AH3425" s="132"/>
      <c r="AI3425" s="146"/>
      <c r="AJ3425" s="143">
        <f>'Valve Sizing'!$G$8*AJ3423/P_1_maxW</f>
        <v>-9.717342964140375</v>
      </c>
      <c r="AK3425" s="132"/>
      <c r="AL3425" s="146"/>
      <c r="AM3425" s="143">
        <f>'Valve Sizing'!$G$8*AM3423/P_1_maxW</f>
        <v>-13.542580373255021</v>
      </c>
      <c r="AN3425" s="132"/>
      <c r="AO3425" s="146"/>
      <c r="AP3425" s="143">
        <f>'Valve Sizing'!$G$8*AP3423/P_1_maxW</f>
        <v>-16.975328278219806</v>
      </c>
      <c r="AQ3425" s="132"/>
      <c r="AR3425" s="146"/>
      <c r="AS3425" s="143">
        <f>'Valve Sizing'!$G$8*AS3423/P_1_maxW</f>
        <v>-21.248124038056211</v>
      </c>
      <c r="AT3425" s="132"/>
      <c r="AU3425" s="146"/>
    </row>
    <row r="3426" spans="13:47" x14ac:dyDescent="0.25">
      <c r="M3426" s="20"/>
      <c r="N3426" s="20"/>
      <c r="O3426" s="7" t="s">
        <v>190</v>
      </c>
      <c r="P3426" s="1"/>
      <c r="Q3426" s="7"/>
      <c r="R3426" s="181">
        <f>R3423-R3424</f>
        <v>49.762797059102823</v>
      </c>
      <c r="S3426" s="132"/>
      <c r="T3426" s="146"/>
      <c r="U3426" s="138">
        <f>U3423-U3424</f>
        <v>39.897669992035361</v>
      </c>
      <c r="V3426" s="132"/>
      <c r="W3426" s="146"/>
      <c r="X3426" s="138">
        <f>X3423-X3424</f>
        <v>-14.463801758404529</v>
      </c>
      <c r="Y3426" s="132"/>
      <c r="Z3426" s="146"/>
      <c r="AA3426" s="138">
        <f>AA3423-AA3424</f>
        <v>-196.0174597944019</v>
      </c>
      <c r="AB3426" s="132"/>
      <c r="AC3426" s="146"/>
      <c r="AD3426" s="138">
        <f>AD3423-AD3424</f>
        <v>-616.32268158966258</v>
      </c>
      <c r="AE3426" s="132"/>
      <c r="AF3426" s="146"/>
      <c r="AG3426" s="138">
        <f>AG3423-AG3424</f>
        <v>-1261.3104239464058</v>
      </c>
      <c r="AH3426" s="132"/>
      <c r="AI3426" s="146"/>
      <c r="AJ3426" s="138">
        <f>AJ3423-AJ3424</f>
        <v>-2064.4489250965325</v>
      </c>
      <c r="AK3426" s="132"/>
      <c r="AL3426" s="146"/>
      <c r="AM3426" s="138">
        <f>AM3423-AM3424</f>
        <v>-2857.4378538053711</v>
      </c>
      <c r="AN3426" s="132"/>
      <c r="AO3426" s="146"/>
      <c r="AP3426" s="138">
        <f>AP3423-AP3424</f>
        <v>-3569.0619420774697</v>
      </c>
      <c r="AQ3426" s="132"/>
      <c r="AR3426" s="146"/>
      <c r="AS3426" s="138">
        <f>AS3423-AS3424</f>
        <v>-4454.8317309305385</v>
      </c>
      <c r="AT3426" s="132"/>
      <c r="AU3426" s="146"/>
    </row>
    <row r="3427" spans="13:47" ht="14.5" x14ac:dyDescent="0.35">
      <c r="M3427" s="27"/>
      <c r="N3427" s="27"/>
      <c r="O3427" s="2" t="s">
        <v>191</v>
      </c>
      <c r="P3427" s="10"/>
      <c r="Q3427" s="2"/>
      <c r="R3427" s="181">
        <f>R3426/R3423</f>
        <v>0.49881116534474945</v>
      </c>
      <c r="S3427" s="132"/>
      <c r="T3427" s="146"/>
      <c r="U3427" s="138">
        <f>U3426/U3423</f>
        <v>0.44381205870597273</v>
      </c>
      <c r="V3427" s="132"/>
      <c r="W3427" s="146"/>
      <c r="X3427" s="138">
        <f>X3426/X3423</f>
        <v>-0.40701601392673753</v>
      </c>
      <c r="Y3427" s="132"/>
      <c r="Z3427" s="146"/>
      <c r="AA3427" s="138">
        <f>AA3426/AA3423</f>
        <v>1.342424803652946</v>
      </c>
      <c r="AB3427" s="132"/>
      <c r="AC3427" s="146"/>
      <c r="AD3427" s="138">
        <f>AD3426/AD3423</f>
        <v>1.0882888883412729</v>
      </c>
      <c r="AE3427" s="132"/>
      <c r="AF3427" s="146"/>
      <c r="AG3427" s="138">
        <f>AG3426/AG3423</f>
        <v>1.0412776106038135</v>
      </c>
      <c r="AH3427" s="132"/>
      <c r="AI3427" s="146"/>
      <c r="AJ3427" s="138">
        <f>AJ3426/AJ3423</f>
        <v>1.024820683898751</v>
      </c>
      <c r="AK3427" s="132"/>
      <c r="AL3427" s="146"/>
      <c r="AM3427" s="138">
        <f>AM3426/AM3423</f>
        <v>1.0178098332371728</v>
      </c>
      <c r="AN3427" s="132"/>
      <c r="AO3427" s="146"/>
      <c r="AP3427" s="138">
        <f>AP3426/AP3423</f>
        <v>1.0142083318858783</v>
      </c>
      <c r="AQ3427" s="132"/>
      <c r="AR3427" s="146"/>
      <c r="AS3427" s="138">
        <f>AS3426/AS3423</f>
        <v>1.0113511714077299</v>
      </c>
      <c r="AT3427" s="132"/>
      <c r="AU3427" s="146"/>
    </row>
    <row r="3428" spans="13:47" x14ac:dyDescent="0.25">
      <c r="M3428" s="27"/>
      <c r="N3428" s="27"/>
      <c r="O3428" s="2" t="s">
        <v>26</v>
      </c>
      <c r="P3428" s="7">
        <v>12</v>
      </c>
      <c r="Q3428" s="2"/>
      <c r="R3428" s="181">
        <f>1-R3427/(3*F_GAMMA*R$29)</f>
        <v>0.74021342914713417</v>
      </c>
      <c r="S3428" s="133"/>
      <c r="T3428" s="146"/>
      <c r="U3428" s="138">
        <f>1-U3427/(3*F_GAMMA*U$29)</f>
        <v>0.76890848592828343</v>
      </c>
      <c r="V3428" s="133"/>
      <c r="W3428" s="146"/>
      <c r="X3428" s="138">
        <f>1-X3427/(3*F_GAMMA*X$29)</f>
        <v>1.2151112479563637</v>
      </c>
      <c r="Y3428" s="133"/>
      <c r="Z3428" s="146"/>
      <c r="AA3428" s="138">
        <f>1-AA3427/(3*F_GAMMA*AA$29)</f>
        <v>0.2807896677283318</v>
      </c>
      <c r="AB3428" s="133"/>
      <c r="AC3428" s="146"/>
      <c r="AD3428" s="138">
        <f>1-AD3427/(3*F_GAMMA*AD$29)</f>
        <v>0.40095801519629382</v>
      </c>
      <c r="AE3428" s="133"/>
      <c r="AF3428" s="146"/>
      <c r="AG3428" s="138">
        <f>1-AG3427/(3*F_GAMMA*AG$29)</f>
        <v>0.39414085474818428</v>
      </c>
      <c r="AH3428" s="133"/>
      <c r="AI3428" s="146"/>
      <c r="AJ3428" s="138">
        <f>1-AJ3427/(3*F_GAMMA*AJ$29)</f>
        <v>0.36256452081246737</v>
      </c>
      <c r="AK3428" s="133"/>
      <c r="AL3428" s="146"/>
      <c r="AM3428" s="138">
        <f>1-AM3427/(3*F_GAMMA*AM$29)</f>
        <v>0.30830145845239976</v>
      </c>
      <c r="AN3428" s="133"/>
      <c r="AO3428" s="146"/>
      <c r="AP3428" s="138">
        <f>1-AP3427/(3*F_GAMMA*AP$29)</f>
        <v>0.4304086339638834</v>
      </c>
      <c r="AQ3428" s="133"/>
      <c r="AR3428" s="146"/>
      <c r="AS3428" s="138">
        <f>1-AS3427/(3*F_GAMMA*AS$29)</f>
        <v>0.13774675763504163</v>
      </c>
      <c r="AT3428" s="133"/>
      <c r="AU3428" s="146"/>
    </row>
    <row r="3429" spans="13:47" x14ac:dyDescent="0.25">
      <c r="M3429" s="27"/>
      <c r="N3429" s="27"/>
      <c r="O3429" s="2" t="s">
        <v>71</v>
      </c>
      <c r="P3429" s="85">
        <v>5</v>
      </c>
      <c r="Q3429" s="2"/>
      <c r="R3429" s="179">
        <f>R3421/((N_6*R$27*R3428)*SQRT(R3427*R3423*R3425))</f>
        <v>6.0215113253203105</v>
      </c>
      <c r="S3429" s="133"/>
      <c r="T3429" s="146"/>
      <c r="U3429" s="143">
        <f>U3421/((N_6*U$27*U3428)*SQRT(U3427*U3423*U3425))</f>
        <v>25.515818277888556</v>
      </c>
      <c r="V3429" s="133"/>
      <c r="W3429" s="146"/>
      <c r="X3429" s="143" t="e">
        <f>X3421/((N_6*X$27*X3428)*SQRT(X3427*X3423*X3425))</f>
        <v>#NUM!</v>
      </c>
      <c r="Y3429" s="133"/>
      <c r="Z3429" s="146"/>
      <c r="AA3429" s="143">
        <f>AA3421/((N_6*AA$27*AA3428)*SQRT(AA3427*AA3423*AA3425))</f>
        <v>120.09648776316068</v>
      </c>
      <c r="AB3429" s="133"/>
      <c r="AC3429" s="146"/>
      <c r="AD3429" s="143">
        <f>AD3421/((N_6*AD$27*AD3428)*SQRT(AD3427*AD3423*AD3425))</f>
        <v>40.081098804275861</v>
      </c>
      <c r="AE3429" s="133"/>
      <c r="AF3429" s="146"/>
      <c r="AG3429" s="143">
        <f>AG3421/((N_6*AG$27*AG3428)*SQRT(AG3427*AG3423*AG3425))</f>
        <v>27.924269992310364</v>
      </c>
      <c r="AH3429" s="133"/>
      <c r="AI3429" s="146"/>
      <c r="AJ3429" s="143">
        <f>AJ3421/((N_6*AJ$27*AJ3428)*SQRT(AJ3427*AJ3423*AJ3425))</f>
        <v>24.16456845425682</v>
      </c>
      <c r="AK3429" s="133"/>
      <c r="AL3429" s="146"/>
      <c r="AM3429" s="143">
        <f>AM3421/((N_6*AM$27*AM3428)*SQRT(AM3427*AM3423*AM3425))</f>
        <v>25.465471480680861</v>
      </c>
      <c r="AN3429" s="133"/>
      <c r="AO3429" s="146"/>
      <c r="AP3429" s="143">
        <f>AP3421/((N_6*AP$27*AP3428)*SQRT(AP3427*AP3423*AP3425))</f>
        <v>18.475173882769194</v>
      </c>
      <c r="AQ3429" s="133"/>
      <c r="AR3429" s="146"/>
      <c r="AS3429" s="143">
        <f>AS3421/((N_6*AS$27*AS3428)*SQRT(AS3427*AS3423*AS3425))</f>
        <v>67.705015101710458</v>
      </c>
      <c r="AT3429" s="133"/>
      <c r="AU3429" s="146"/>
    </row>
    <row r="3430" spans="13:47" x14ac:dyDescent="0.25">
      <c r="M3430" s="27"/>
      <c r="N3430" s="27"/>
      <c r="O3430" s="2" t="s">
        <v>73</v>
      </c>
      <c r="P3430" s="85">
        <v>5</v>
      </c>
      <c r="Q3430" s="2"/>
      <c r="R3430" s="179">
        <f>R3421/((N_6*R$27*0.667)*SQRT(R3431*R3423*R3425))</f>
        <v>5.8993696494305601</v>
      </c>
      <c r="S3430" s="133"/>
      <c r="T3430" s="155"/>
      <c r="U3430" s="143">
        <f>U3421/((N_6*U$27*0.667)*SQRT(U3431*U3423*U3425))</f>
        <v>24.491249739432746</v>
      </c>
      <c r="V3430" s="133"/>
      <c r="W3430" s="155"/>
      <c r="X3430" s="143">
        <f>X3421/((N_6*X$27*0.667)*SQRT(X3431*X3423*X3425))</f>
        <v>154.71350244751497</v>
      </c>
      <c r="Y3430" s="133"/>
      <c r="Z3430" s="155"/>
      <c r="AA3430" s="143">
        <f>AA3421/((N_6*AA$27*0.667)*SQRT(AA3431*AA3423*AA3425))</f>
        <v>74.263289412059166</v>
      </c>
      <c r="AB3430" s="133"/>
      <c r="AC3430" s="155"/>
      <c r="AD3430" s="143">
        <f>AD3421/((N_6*AD$27*0.667)*SQRT(AD3431*AD3423*AD3425))</f>
        <v>32.29995689625968</v>
      </c>
      <c r="AE3430" s="133"/>
      <c r="AF3430" s="155"/>
      <c r="AG3430" s="143">
        <f>AG3421/((N_6*AG$27*0.667)*SQRT(AG3431*AG3423*AG3425))</f>
        <v>22.246101267444729</v>
      </c>
      <c r="AH3430" s="133"/>
      <c r="AI3430" s="155"/>
      <c r="AJ3430" s="143">
        <f>AJ3421/((N_6*AJ$27*0.667)*SQRT(AJ3431*AJ3423*AJ3425))</f>
        <v>18.164241053023751</v>
      </c>
      <c r="AK3430" s="133"/>
      <c r="AL3430" s="155"/>
      <c r="AM3430" s="143">
        <f>AM3421/((N_6*AM$27*0.667)*SQRT(AM3431*AM3423*AM3425))</f>
        <v>16.955887404249125</v>
      </c>
      <c r="AN3430" s="133"/>
      <c r="AO3430" s="155"/>
      <c r="AP3430" s="143">
        <f>AP3421/((N_6*AP$27*0.667)*SQRT(AP3431*AP3423*AP3425))</f>
        <v>15.584253407190008</v>
      </c>
      <c r="AQ3430" s="133"/>
      <c r="AR3430" s="155"/>
      <c r="AS3430" s="143">
        <f>AS3421/((N_6*AS$27*0.667)*SQRT(AS3431*AS3423*AS3425))</f>
        <v>22.488186574887376</v>
      </c>
      <c r="AT3430" s="133"/>
      <c r="AU3430" s="155"/>
    </row>
    <row r="3431" spans="13:47" ht="15.5" x14ac:dyDescent="0.4">
      <c r="M3431" s="27"/>
      <c r="N3431" s="27"/>
      <c r="O3431" s="2" t="s">
        <v>192</v>
      </c>
      <c r="P3431" s="85">
        <v>10</v>
      </c>
      <c r="Q3431" s="2"/>
      <c r="R3431" s="181">
        <f>F_GAMMA*R$29</f>
        <v>0.64002688015162901</v>
      </c>
      <c r="S3431" s="133"/>
      <c r="T3431" s="155"/>
      <c r="U3431" s="138">
        <f>F_GAMMA*U$29</f>
        <v>0.64016782916606918</v>
      </c>
      <c r="V3431" s="133"/>
      <c r="W3431" s="155"/>
      <c r="X3431" s="138">
        <f>F_GAMMA*X$29</f>
        <v>0.6307062319203669</v>
      </c>
      <c r="Y3431" s="133"/>
      <c r="Z3431" s="155"/>
      <c r="AA3431" s="138">
        <f>F_GAMMA*AA$29</f>
        <v>0.62217534213893466</v>
      </c>
      <c r="AB3431" s="133"/>
      <c r="AC3431" s="155"/>
      <c r="AD3431" s="138">
        <f>F_GAMMA*AD$29</f>
        <v>0.60557184969146072</v>
      </c>
      <c r="AE3431" s="133"/>
      <c r="AF3431" s="155"/>
      <c r="AG3431" s="138">
        <f>F_GAMMA*AG$29</f>
        <v>0.57289312142622573</v>
      </c>
      <c r="AH3431" s="133"/>
      <c r="AI3431" s="155"/>
      <c r="AJ3431" s="138">
        <f>F_GAMMA*AJ$29</f>
        <v>0.53590819116049981</v>
      </c>
      <c r="AK3431" s="133"/>
      <c r="AL3431" s="155"/>
      <c r="AM3431" s="138">
        <f>F_GAMMA*AM$29</f>
        <v>0.49048815926850342</v>
      </c>
      <c r="AN3431" s="133"/>
      <c r="AO3431" s="155"/>
      <c r="AP3431" s="138">
        <f>F_GAMMA*AP$29</f>
        <v>0.59352979016280105</v>
      </c>
      <c r="AQ3431" s="133"/>
      <c r="AR3431" s="155"/>
      <c r="AS3431" s="138">
        <f>F_GAMMA*AS$29</f>
        <v>0.39097221161068291</v>
      </c>
      <c r="AT3431" s="133"/>
      <c r="AU3431" s="155"/>
    </row>
    <row r="3432" spans="13:47" x14ac:dyDescent="0.25">
      <c r="M3432" s="27"/>
      <c r="N3432" s="27"/>
      <c r="O3432" s="2" t="s">
        <v>193</v>
      </c>
      <c r="P3432" s="134"/>
      <c r="Q3432" s="2"/>
      <c r="R3432" s="181">
        <f>IF(R3427&lt;R3431,R3429,R3430)</f>
        <v>6.0215113253203105</v>
      </c>
      <c r="S3432" s="133"/>
      <c r="T3432" s="155"/>
      <c r="U3432" s="138">
        <f>IF(U3427&lt;U3431,U3429,U3430)</f>
        <v>25.515818277888556</v>
      </c>
      <c r="V3432" s="133"/>
      <c r="W3432" s="155"/>
      <c r="X3432" s="138" t="e">
        <f>IF(X3427&lt;X3431,X3429,X3430)</f>
        <v>#NUM!</v>
      </c>
      <c r="Y3432" s="133"/>
      <c r="Z3432" s="155"/>
      <c r="AA3432" s="138">
        <f>IF(AA3427&lt;AA3431,AA3429,AA3430)</f>
        <v>74.263289412059166</v>
      </c>
      <c r="AB3432" s="133"/>
      <c r="AC3432" s="155"/>
      <c r="AD3432" s="138">
        <f>IF(AD3427&lt;AD3431,AD3429,AD3430)</f>
        <v>32.29995689625968</v>
      </c>
      <c r="AE3432" s="133"/>
      <c r="AF3432" s="155"/>
      <c r="AG3432" s="138">
        <f>IF(AG3427&lt;AG3431,AG3429,AG3430)</f>
        <v>22.246101267444729</v>
      </c>
      <c r="AH3432" s="133"/>
      <c r="AI3432" s="155"/>
      <c r="AJ3432" s="138">
        <f>IF(AJ3427&lt;AJ3431,AJ3429,AJ3430)</f>
        <v>18.164241053023751</v>
      </c>
      <c r="AK3432" s="133"/>
      <c r="AL3432" s="155"/>
      <c r="AM3432" s="138">
        <f>IF(AM3427&lt;AM3431,AM3429,AM3430)</f>
        <v>16.955887404249125</v>
      </c>
      <c r="AN3432" s="133"/>
      <c r="AO3432" s="155"/>
      <c r="AP3432" s="138">
        <f>IF(AP3427&lt;AP3431,AP3429,AP3430)</f>
        <v>15.584253407190008</v>
      </c>
      <c r="AQ3432" s="133"/>
      <c r="AR3432" s="155"/>
      <c r="AS3432" s="138">
        <f>IF(AS3427&lt;AS3431,AS3429,AS3430)</f>
        <v>22.488186574887376</v>
      </c>
      <c r="AT3432" s="133"/>
      <c r="AU3432" s="155"/>
    </row>
    <row r="3433" spans="13:47" ht="13" x14ac:dyDescent="0.3">
      <c r="M3433" s="28"/>
      <c r="N3433" s="28"/>
      <c r="O3433" s="9" t="s">
        <v>194</v>
      </c>
      <c r="P3433" s="1"/>
      <c r="Q3433" s="1"/>
      <c r="R3433" s="135"/>
      <c r="S3433" s="132">
        <f>IF(R3426&lt;=0,W_max,ABS(R$23-R3432))</f>
        <v>4.0215113253203105</v>
      </c>
      <c r="T3433" s="151">
        <f>R3421</f>
        <v>1380.5338286082633</v>
      </c>
      <c r="U3433" s="135"/>
      <c r="V3433" s="132">
        <f>IF(U3426&lt;=0,W_max,ABS(U$23-U3432))</f>
        <v>20.515818277888556</v>
      </c>
      <c r="W3433" s="151">
        <f>U3421</f>
        <v>5161.9056424652827</v>
      </c>
      <c r="X3433" s="135"/>
      <c r="Y3433" s="132">
        <f>IF(X3426&lt;=0,W_max,ABS(X$23-X3432))</f>
        <v>7174</v>
      </c>
      <c r="Z3433" s="151">
        <f>X3421</f>
        <v>12766.006927788776</v>
      </c>
      <c r="AA3433" s="135"/>
      <c r="AB3433" s="132">
        <f>IF(AA3426&lt;=0,W_max,ABS(AA$23-AA3432))</f>
        <v>7174</v>
      </c>
      <c r="AC3433" s="151">
        <f>AA3421</f>
        <v>24864.923030617483</v>
      </c>
      <c r="AD3433" s="135"/>
      <c r="AE3433" s="132">
        <f>IF(AD3426&lt;=0,W_max,ABS(AD$23-AD3432))</f>
        <v>7174</v>
      </c>
      <c r="AF3433" s="151">
        <f>AD3421</f>
        <v>40893.643663852337</v>
      </c>
      <c r="AG3433" s="135"/>
      <c r="AH3433" s="132">
        <f>IF(AG3426&lt;=0,W_max,ABS(AG$23-AG3432))</f>
        <v>7174</v>
      </c>
      <c r="AI3433" s="151">
        <f>AG3421</f>
        <v>57356.483483538454</v>
      </c>
      <c r="AJ3433" s="135"/>
      <c r="AK3433" s="132">
        <f>IF(AJ3426&lt;=0,W_max,ABS(AJ$23-AJ3432))</f>
        <v>7174</v>
      </c>
      <c r="AL3433" s="151">
        <f>AJ3421</f>
        <v>72827.514396997227</v>
      </c>
      <c r="AM3433" s="135"/>
      <c r="AN3433" s="132">
        <f>IF(AM3426&lt;=0,W_max,ABS(AM$23-AM3432))</f>
        <v>7174</v>
      </c>
      <c r="AO3433" s="151">
        <f>AM3421</f>
        <v>85395.988144792165</v>
      </c>
      <c r="AP3433" s="135"/>
      <c r="AQ3433" s="132">
        <f>IF(AP3426&lt;=0,W_max,ABS(AP$23-AP3432))</f>
        <v>7174</v>
      </c>
      <c r="AR3433" s="151">
        <f>AP3421</f>
        <v>95273.600905351253</v>
      </c>
      <c r="AS3433" s="135"/>
      <c r="AT3433" s="132">
        <f>IF(AS3426&lt;=0,W_max,ABS(AS$23-AS3432))</f>
        <v>7174</v>
      </c>
      <c r="AU3433" s="151">
        <f>AS3421</f>
        <v>106293.74080292443</v>
      </c>
    </row>
    <row r="3434" spans="13:47" ht="13" x14ac:dyDescent="0.25">
      <c r="M3434" s="12"/>
      <c r="N3434" s="12"/>
      <c r="O3434" s="2"/>
      <c r="P3434" s="85"/>
      <c r="Q3434" s="2"/>
      <c r="R3434" s="18"/>
      <c r="S3434" s="150"/>
      <c r="T3434" s="148"/>
      <c r="U3434" s="157"/>
      <c r="V3434" s="1"/>
      <c r="W3434" s="147"/>
      <c r="X3434" s="157"/>
      <c r="Y3434" s="1"/>
      <c r="Z3434" s="147"/>
      <c r="AA3434" s="157"/>
      <c r="AB3434" s="1"/>
      <c r="AC3434" s="147"/>
      <c r="AD3434" s="157"/>
      <c r="AE3434" s="1"/>
      <c r="AF3434" s="147"/>
      <c r="AG3434" s="157"/>
      <c r="AH3434" s="1"/>
      <c r="AI3434" s="147"/>
      <c r="AJ3434" s="157"/>
      <c r="AK3434" s="1"/>
      <c r="AL3434" s="147"/>
      <c r="AM3434" s="157"/>
      <c r="AN3434" s="1"/>
      <c r="AO3434" s="147"/>
      <c r="AP3434" s="157"/>
      <c r="AQ3434" s="1"/>
      <c r="AR3434" s="147"/>
      <c r="AS3434" s="157"/>
      <c r="AT3434" s="1"/>
      <c r="AU3434" s="147"/>
    </row>
    <row r="3435" spans="13:47" ht="14" x14ac:dyDescent="0.3">
      <c r="M3435" s="23"/>
      <c r="N3435" s="23"/>
      <c r="O3435" s="23" t="s">
        <v>238</v>
      </c>
      <c r="P3435" s="20"/>
      <c r="Q3435" s="20"/>
      <c r="R3435" s="181">
        <f>R3421*1.02</f>
        <v>1408.1445051804287</v>
      </c>
      <c r="S3435" s="128" t="s">
        <v>185</v>
      </c>
      <c r="T3435" s="149" t="s">
        <v>186</v>
      </c>
      <c r="U3435" s="143">
        <f>U3421*1.01</f>
        <v>5213.5246988899353</v>
      </c>
      <c r="V3435" s="128" t="s">
        <v>185</v>
      </c>
      <c r="W3435" s="153" t="s">
        <v>186</v>
      </c>
      <c r="X3435" s="143">
        <f>X3421*1.01</f>
        <v>12893.666997066664</v>
      </c>
      <c r="Y3435" s="128" t="s">
        <v>185</v>
      </c>
      <c r="Z3435" s="153" t="s">
        <v>186</v>
      </c>
      <c r="AA3435" s="143">
        <f>AA3421*1.01</f>
        <v>25113.572260923658</v>
      </c>
      <c r="AB3435" s="128" t="s">
        <v>185</v>
      </c>
      <c r="AC3435" s="153" t="s">
        <v>186</v>
      </c>
      <c r="AD3435" s="143">
        <f>AD3421*1.01</f>
        <v>41302.580100490864</v>
      </c>
      <c r="AE3435" s="128" t="s">
        <v>185</v>
      </c>
      <c r="AF3435" s="153" t="s">
        <v>186</v>
      </c>
      <c r="AG3435" s="143">
        <f>AG3421*1.01</f>
        <v>57930.04831837384</v>
      </c>
      <c r="AH3435" s="128" t="s">
        <v>185</v>
      </c>
      <c r="AI3435" s="153" t="s">
        <v>186</v>
      </c>
      <c r="AJ3435" s="143">
        <f>AJ3421*1.01</f>
        <v>73555.789540967206</v>
      </c>
      <c r="AK3435" s="128" t="s">
        <v>185</v>
      </c>
      <c r="AL3435" s="153" t="s">
        <v>186</v>
      </c>
      <c r="AM3435" s="143">
        <f>AM3421*1.01</f>
        <v>86249.94802624009</v>
      </c>
      <c r="AN3435" s="128" t="s">
        <v>185</v>
      </c>
      <c r="AO3435" s="153" t="s">
        <v>186</v>
      </c>
      <c r="AP3435" s="143">
        <f>AP3421*1.01</f>
        <v>96226.336914404761</v>
      </c>
      <c r="AQ3435" s="128" t="s">
        <v>185</v>
      </c>
      <c r="AR3435" s="153" t="s">
        <v>186</v>
      </c>
      <c r="AS3435" s="143">
        <f>AS3421*1.01</f>
        <v>107356.67821095367</v>
      </c>
      <c r="AT3435" s="128" t="s">
        <v>185</v>
      </c>
      <c r="AU3435" s="153" t="s">
        <v>186</v>
      </c>
    </row>
    <row r="3436" spans="13:47" ht="14" x14ac:dyDescent="0.3">
      <c r="M3436" s="12"/>
      <c r="N3436" s="12"/>
      <c r="O3436" s="20"/>
      <c r="P3436" s="20"/>
      <c r="Q3436" s="23"/>
      <c r="R3436" s="139"/>
      <c r="S3436" s="130" t="s">
        <v>228</v>
      </c>
      <c r="T3436" s="131" t="s">
        <v>187</v>
      </c>
      <c r="U3436" s="144"/>
      <c r="V3436" s="130" t="s">
        <v>228</v>
      </c>
      <c r="W3436" s="154" t="s">
        <v>187</v>
      </c>
      <c r="X3436" s="144"/>
      <c r="Y3436" s="130" t="s">
        <v>228</v>
      </c>
      <c r="Z3436" s="154" t="s">
        <v>187</v>
      </c>
      <c r="AA3436" s="144"/>
      <c r="AB3436" s="130" t="s">
        <v>228</v>
      </c>
      <c r="AC3436" s="154" t="s">
        <v>187</v>
      </c>
      <c r="AD3436" s="144"/>
      <c r="AE3436" s="130" t="s">
        <v>228</v>
      </c>
      <c r="AF3436" s="154" t="s">
        <v>187</v>
      </c>
      <c r="AG3436" s="144"/>
      <c r="AH3436" s="130" t="s">
        <v>228</v>
      </c>
      <c r="AI3436" s="154" t="s">
        <v>187</v>
      </c>
      <c r="AJ3436" s="144"/>
      <c r="AK3436" s="130" t="s">
        <v>228</v>
      </c>
      <c r="AL3436" s="154" t="s">
        <v>187</v>
      </c>
      <c r="AM3436" s="144"/>
      <c r="AN3436" s="130" t="s">
        <v>228</v>
      </c>
      <c r="AO3436" s="154" t="s">
        <v>187</v>
      </c>
      <c r="AP3436" s="144"/>
      <c r="AQ3436" s="130" t="s">
        <v>228</v>
      </c>
      <c r="AR3436" s="154" t="s">
        <v>187</v>
      </c>
      <c r="AS3436" s="144"/>
      <c r="AT3436" s="130" t="s">
        <v>228</v>
      </c>
      <c r="AU3436" s="154" t="s">
        <v>187</v>
      </c>
    </row>
    <row r="3437" spans="13:47" x14ac:dyDescent="0.25">
      <c r="M3437" s="20"/>
      <c r="N3437" s="20"/>
      <c r="O3437" s="7" t="s">
        <v>188</v>
      </c>
      <c r="P3437" s="7"/>
      <c r="Q3437" s="7"/>
      <c r="R3437" s="181">
        <f>P_1_minW-(R3435^2*R_up)+dpup_minQ</f>
        <v>99.732093476126821</v>
      </c>
      <c r="S3437" s="132"/>
      <c r="T3437" s="145"/>
      <c r="U3437" s="138">
        <f>P_1_minW-(U3435^2*R_up)+dpup_minQ</f>
        <v>89.684105145467072</v>
      </c>
      <c r="V3437" s="132"/>
      <c r="W3437" s="145"/>
      <c r="X3437" s="138">
        <f>P_1_minW-(X3435^2*R_up)+dpup_minQ</f>
        <v>34.229967812843327</v>
      </c>
      <c r="Y3437" s="132"/>
      <c r="Z3437" s="145"/>
      <c r="AA3437" s="138">
        <f>P_1_minW-(AA3435^2*R_up)+dpup_minQ</f>
        <v>-150.97291874967758</v>
      </c>
      <c r="AB3437" s="132"/>
      <c r="AC3437" s="145"/>
      <c r="AD3437" s="138">
        <f>P_1_minW-(AD3435^2*R_up)+dpup_minQ</f>
        <v>-579.7262755030232</v>
      </c>
      <c r="AE3437" s="132"/>
      <c r="AF3437" s="145"/>
      <c r="AG3437" s="138">
        <f>P_1_minW-(AG3435^2*R_up)+dpup_minQ</f>
        <v>-1237.678271481137</v>
      </c>
      <c r="AH3437" s="132"/>
      <c r="AI3437" s="145"/>
      <c r="AJ3437" s="138">
        <f>P_1_minW-(AJ3435^2*R_up)+dpup_minQ</f>
        <v>-2056.9598565043812</v>
      </c>
      <c r="AK3437" s="132"/>
      <c r="AL3437" s="145"/>
      <c r="AM3437" s="138">
        <f>P_1_minW-(AM3435^2*R_up)+dpup_minQ</f>
        <v>-2865.8878626802675</v>
      </c>
      <c r="AN3437" s="132"/>
      <c r="AO3437" s="145"/>
      <c r="AP3437" s="138">
        <f>P_1_minW-(AP3435^2*R_up)+dpup_minQ</f>
        <v>-3591.8155951266349</v>
      </c>
      <c r="AQ3437" s="132"/>
      <c r="AR3437" s="145"/>
      <c r="AS3437" s="138">
        <f>P_1_minW-(AS3435^2*R_up)+dpup_minQ</f>
        <v>-4495.3893567356508</v>
      </c>
      <c r="AT3437" s="132"/>
      <c r="AU3437" s="145"/>
    </row>
    <row r="3438" spans="13:47" x14ac:dyDescent="0.25">
      <c r="M3438" s="20"/>
      <c r="N3438" s="20"/>
      <c r="O3438" s="7" t="s">
        <v>189</v>
      </c>
      <c r="P3438" s="1"/>
      <c r="Q3438" s="7"/>
      <c r="R3438" s="181">
        <f>P_2_minW+(R3435^2*R_dn)-dpdn_minQ</f>
        <v>50</v>
      </c>
      <c r="S3438" s="132"/>
      <c r="T3438" s="146"/>
      <c r="U3438" s="138">
        <f>P_2_minW+(U3435^2*R_dn)-dpdn_minQ</f>
        <v>50</v>
      </c>
      <c r="V3438" s="132"/>
      <c r="W3438" s="146"/>
      <c r="X3438" s="138">
        <f>P_2_minW+(X3435^2*R_dn)-dpdn_minQ</f>
        <v>50</v>
      </c>
      <c r="Y3438" s="132"/>
      <c r="Z3438" s="146"/>
      <c r="AA3438" s="138">
        <f>P_2_minW+(AA3435^2*R_dn)-dpdn_minQ</f>
        <v>50</v>
      </c>
      <c r="AB3438" s="132"/>
      <c r="AC3438" s="146"/>
      <c r="AD3438" s="138">
        <f>P_2_minW+(AD3435^2*R_dn)-dpdn_minQ</f>
        <v>50</v>
      </c>
      <c r="AE3438" s="132"/>
      <c r="AF3438" s="146"/>
      <c r="AG3438" s="138">
        <f>P_2_minW+(AG3435^2*R_dn)-dpdn_minQ</f>
        <v>50</v>
      </c>
      <c r="AH3438" s="132"/>
      <c r="AI3438" s="146"/>
      <c r="AJ3438" s="138">
        <f>P_2_minW+(AJ3435^2*R_dn)-dpdn_minQ</f>
        <v>50</v>
      </c>
      <c r="AK3438" s="132"/>
      <c r="AL3438" s="146"/>
      <c r="AM3438" s="138">
        <f>P_2_minW+(AM3435^2*R_dn)-dpdn_minQ</f>
        <v>50</v>
      </c>
      <c r="AN3438" s="132"/>
      <c r="AO3438" s="146"/>
      <c r="AP3438" s="138">
        <f>P_2_minW+(AP3435^2*R_dn)-dpdn_minQ</f>
        <v>50</v>
      </c>
      <c r="AQ3438" s="132"/>
      <c r="AR3438" s="146"/>
      <c r="AS3438" s="138">
        <f>P_2_minW+(AS3435^2*R_dn)-dpdn_minQ</f>
        <v>50</v>
      </c>
      <c r="AT3438" s="132"/>
      <c r="AU3438" s="146"/>
    </row>
    <row r="3439" spans="13:47" x14ac:dyDescent="0.25">
      <c r="M3439" s="20"/>
      <c r="N3439" s="20"/>
      <c r="O3439" s="7" t="s">
        <v>234</v>
      </c>
      <c r="P3439" s="1"/>
      <c r="Q3439" s="7"/>
      <c r="R3439" s="179">
        <f>'Valve Sizing'!G$8*R3437/P_1_maxW</f>
        <v>0.48108986272401533</v>
      </c>
      <c r="S3439" s="132"/>
      <c r="T3439" s="146"/>
      <c r="U3439" s="143">
        <f>'Valve Sizing'!$G$8*U3437/P_1_maxW</f>
        <v>0.43262015595097203</v>
      </c>
      <c r="V3439" s="132"/>
      <c r="W3439" s="146"/>
      <c r="X3439" s="143">
        <f>'Valve Sizing'!$G$8*X3437/P_1_maxW</f>
        <v>0.16511927045901409</v>
      </c>
      <c r="Y3439" s="132"/>
      <c r="Z3439" s="146"/>
      <c r="AA3439" s="143">
        <f>'Valve Sizing'!$G$8*AA3437/P_1_maxW</f>
        <v>-0.7282664809769821</v>
      </c>
      <c r="AB3439" s="132"/>
      <c r="AC3439" s="146"/>
      <c r="AD3439" s="143">
        <f>'Valve Sizing'!$G$8*AD3437/P_1_maxW</f>
        <v>-2.7964963391249316</v>
      </c>
      <c r="AE3439" s="132"/>
      <c r="AF3439" s="146"/>
      <c r="AG3439" s="143">
        <f>'Valve Sizing'!$G$8*AG3437/P_1_maxW</f>
        <v>-5.9703396265905893</v>
      </c>
      <c r="AH3439" s="132"/>
      <c r="AI3439" s="146"/>
      <c r="AJ3439" s="143">
        <f>'Valve Sizing'!$G$8*AJ3437/P_1_maxW</f>
        <v>-9.9224081286469978</v>
      </c>
      <c r="AK3439" s="132"/>
      <c r="AL3439" s="146"/>
      <c r="AM3439" s="143">
        <f>'Valve Sizing'!$G$8*AM3437/P_1_maxW</f>
        <v>-13.82453280968485</v>
      </c>
      <c r="AN3439" s="132"/>
      <c r="AO3439" s="146"/>
      <c r="AP3439" s="143">
        <f>'Valve Sizing'!$G$8*AP3437/P_1_maxW</f>
        <v>-17.326278947539425</v>
      </c>
      <c r="AQ3439" s="132"/>
      <c r="AR3439" s="146"/>
      <c r="AS3439" s="143">
        <f>'Valve Sizing'!$G$8*AS3437/P_1_maxW</f>
        <v>-21.684957902148547</v>
      </c>
      <c r="AT3439" s="132"/>
      <c r="AU3439" s="146"/>
    </row>
    <row r="3440" spans="13:47" x14ac:dyDescent="0.25">
      <c r="M3440" s="20"/>
      <c r="N3440" s="20"/>
      <c r="O3440" s="7" t="s">
        <v>190</v>
      </c>
      <c r="P3440" s="1"/>
      <c r="Q3440" s="7"/>
      <c r="R3440" s="181">
        <f>R3437-R3438</f>
        <v>49.732093476126821</v>
      </c>
      <c r="S3440" s="132"/>
      <c r="T3440" s="146"/>
      <c r="U3440" s="138">
        <f>U3437-U3438</f>
        <v>39.684105145467072</v>
      </c>
      <c r="V3440" s="132"/>
      <c r="W3440" s="146"/>
      <c r="X3440" s="138">
        <f>X3437-X3438</f>
        <v>-15.770032187156673</v>
      </c>
      <c r="Y3440" s="132"/>
      <c r="Z3440" s="146"/>
      <c r="AA3440" s="138">
        <f>AA3437-AA3438</f>
        <v>-200.97291874967758</v>
      </c>
      <c r="AB3440" s="132"/>
      <c r="AC3440" s="146"/>
      <c r="AD3440" s="138">
        <f>AD3437-AD3438</f>
        <v>-629.7262755030232</v>
      </c>
      <c r="AE3440" s="132"/>
      <c r="AF3440" s="146"/>
      <c r="AG3440" s="138">
        <f>AG3437-AG3438</f>
        <v>-1287.678271481137</v>
      </c>
      <c r="AH3440" s="132"/>
      <c r="AI3440" s="146"/>
      <c r="AJ3440" s="138">
        <f>AJ3437-AJ3438</f>
        <v>-2106.9598565043812</v>
      </c>
      <c r="AK3440" s="132"/>
      <c r="AL3440" s="146"/>
      <c r="AM3440" s="138">
        <f>AM3437-AM3438</f>
        <v>-2915.8878626802675</v>
      </c>
      <c r="AN3440" s="132"/>
      <c r="AO3440" s="146"/>
      <c r="AP3440" s="138">
        <f>AP3437-AP3438</f>
        <v>-3641.8155951266349</v>
      </c>
      <c r="AQ3440" s="132"/>
      <c r="AR3440" s="146"/>
      <c r="AS3440" s="138">
        <f>AS3437-AS3438</f>
        <v>-4545.3893567356508</v>
      </c>
      <c r="AT3440" s="132"/>
      <c r="AU3440" s="146"/>
    </row>
    <row r="3441" spans="13:47" ht="14.5" x14ac:dyDescent="0.35">
      <c r="M3441" s="27"/>
      <c r="N3441" s="27"/>
      <c r="O3441" s="2" t="s">
        <v>191</v>
      </c>
      <c r="P3441" s="10"/>
      <c r="Q3441" s="2"/>
      <c r="R3441" s="181">
        <f>R3440/R3437</f>
        <v>0.49865686904518197</v>
      </c>
      <c r="S3441" s="132"/>
      <c r="T3441" s="146"/>
      <c r="U3441" s="138">
        <f>U3440/U3437</f>
        <v>0.44248760782191776</v>
      </c>
      <c r="V3441" s="132"/>
      <c r="W3441" s="146"/>
      <c r="X3441" s="138">
        <f>X3440/X3437</f>
        <v>-0.46070835571278701</v>
      </c>
      <c r="Y3441" s="132"/>
      <c r="Z3441" s="146"/>
      <c r="AA3441" s="138">
        <f>AA3440/AA3437</f>
        <v>1.3311852245693354</v>
      </c>
      <c r="AB3441" s="132"/>
      <c r="AC3441" s="146"/>
      <c r="AD3441" s="138">
        <f>AD3440/AD3437</f>
        <v>1.0862476001395924</v>
      </c>
      <c r="AE3441" s="132"/>
      <c r="AF3441" s="146"/>
      <c r="AG3441" s="138">
        <f>AG3440/AG3437</f>
        <v>1.0403982207267521</v>
      </c>
      <c r="AH3441" s="132"/>
      <c r="AI3441" s="146"/>
      <c r="AJ3441" s="138">
        <f>AJ3440/AJ3437</f>
        <v>1.0243077179371747</v>
      </c>
      <c r="AK3441" s="132"/>
      <c r="AL3441" s="146"/>
      <c r="AM3441" s="138">
        <f>AM3440/AM3437</f>
        <v>1.0174466002843665</v>
      </c>
      <c r="AN3441" s="132"/>
      <c r="AO3441" s="146"/>
      <c r="AP3441" s="138">
        <f>AP3440/AP3437</f>
        <v>1.0139205364740438</v>
      </c>
      <c r="AQ3441" s="132"/>
      <c r="AR3441" s="146"/>
      <c r="AS3441" s="138">
        <f>AS3440/AS3437</f>
        <v>1.0111225070916454</v>
      </c>
      <c r="AT3441" s="132"/>
      <c r="AU3441" s="146"/>
    </row>
    <row r="3442" spans="13:47" x14ac:dyDescent="0.25">
      <c r="M3442" s="27"/>
      <c r="N3442" s="27"/>
      <c r="O3442" s="2" t="s">
        <v>26</v>
      </c>
      <c r="P3442" s="7">
        <v>12</v>
      </c>
      <c r="Q3442" s="2"/>
      <c r="R3442" s="181">
        <f>1-R3441/(3*F_GAMMA*R$29)</f>
        <v>0.74029378842805005</v>
      </c>
      <c r="S3442" s="133"/>
      <c r="T3442" s="146"/>
      <c r="U3442" s="138">
        <f>1-U3441/(3*F_GAMMA*U$29)</f>
        <v>0.76959812325134835</v>
      </c>
      <c r="V3442" s="133"/>
      <c r="W3442" s="146"/>
      <c r="X3442" s="138">
        <f>1-X3441/(3*F_GAMMA*X$29)</f>
        <v>1.2434880838844351</v>
      </c>
      <c r="Y3442" s="133"/>
      <c r="Z3442" s="146"/>
      <c r="AA3442" s="138">
        <f>1-AA3441/(3*F_GAMMA*AA$29)</f>
        <v>0.28681132449846936</v>
      </c>
      <c r="AB3442" s="133"/>
      <c r="AC3442" s="146"/>
      <c r="AD3442" s="138">
        <f>1-AD3441/(3*F_GAMMA*AD$29)</f>
        <v>0.40208162984401363</v>
      </c>
      <c r="AE3442" s="133"/>
      <c r="AF3442" s="146"/>
      <c r="AG3442" s="138">
        <f>1-AG3441/(3*F_GAMMA*AG$29)</f>
        <v>0.39465252079558011</v>
      </c>
      <c r="AH3442" s="133"/>
      <c r="AI3442" s="146"/>
      <c r="AJ3442" s="138">
        <f>1-AJ3441/(3*F_GAMMA*AJ$29)</f>
        <v>0.36288358414585009</v>
      </c>
      <c r="AK3442" s="133"/>
      <c r="AL3442" s="146"/>
      <c r="AM3442" s="138">
        <f>1-AM3441/(3*F_GAMMA*AM$29)</f>
        <v>0.30854830977520431</v>
      </c>
      <c r="AN3442" s="133"/>
      <c r="AO3442" s="146"/>
      <c r="AP3442" s="138">
        <f>1-AP3441/(3*F_GAMMA*AP$29)</f>
        <v>0.43057026326292591</v>
      </c>
      <c r="AQ3442" s="133"/>
      <c r="AR3442" s="146"/>
      <c r="AS3442" s="138">
        <f>1-AS3441/(3*F_GAMMA*AS$29)</f>
        <v>0.13794171123131083</v>
      </c>
      <c r="AT3442" s="133"/>
      <c r="AU3442" s="146"/>
    </row>
    <row r="3443" spans="13:47" x14ac:dyDescent="0.25">
      <c r="M3443" s="27"/>
      <c r="N3443" s="27"/>
      <c r="O3443" s="2" t="s">
        <v>71</v>
      </c>
      <c r="P3443" s="85">
        <v>5</v>
      </c>
      <c r="Q3443" s="2"/>
      <c r="R3443" s="179">
        <f>R3435/((N_6*R$27*R3442)*SQRT(R3441*R3437*R3439))</f>
        <v>6.1441158447167163</v>
      </c>
      <c r="S3443" s="133"/>
      <c r="T3443" s="146"/>
      <c r="U3443" s="143">
        <f>U3435/((N_6*U$27*U3442)*SQRT(U3441*U3437*U3439))</f>
        <v>25.847793627491487</v>
      </c>
      <c r="V3443" s="133"/>
      <c r="W3443" s="146"/>
      <c r="X3443" s="143" t="e">
        <f>X3435/((N_6*X$27*X3442)*SQRT(X3441*X3437*X3439))</f>
        <v>#NUM!</v>
      </c>
      <c r="Y3443" s="133"/>
      <c r="Z3443" s="146"/>
      <c r="AA3443" s="143">
        <f>AA3435/((N_6*AA$27*AA3442)*SQRT(AA3441*AA3437*AA3439))</f>
        <v>115.33682329365001</v>
      </c>
      <c r="AB3443" s="133"/>
      <c r="AC3443" s="146"/>
      <c r="AD3443" s="143">
        <f>AD3435/((N_6*AD$27*AD3442)*SQRT(AD3441*AD3437*AD3439))</f>
        <v>39.472470976486463</v>
      </c>
      <c r="AE3443" s="133"/>
      <c r="AF3443" s="146"/>
      <c r="AG3443" s="143">
        <f>AG3435/((N_6*AG$27*AG3442)*SQRT(AG3441*AG3437*AG3439))</f>
        <v>27.578518210436815</v>
      </c>
      <c r="AH3443" s="133"/>
      <c r="AI3443" s="146"/>
      <c r="AJ3443" s="143">
        <f>AJ3435/((N_6*AJ$27*AJ3442)*SQRT(AJ3441*AJ3437*AJ3439))</f>
        <v>23.88677735526182</v>
      </c>
      <c r="AK3443" s="133"/>
      <c r="AL3443" s="146"/>
      <c r="AM3443" s="143">
        <f>AM3435/((N_6*AM$27*AM3442)*SQRT(AM3441*AM3437*AM3439))</f>
        <v>25.179898174067652</v>
      </c>
      <c r="AN3443" s="133"/>
      <c r="AO3443" s="146"/>
      <c r="AP3443" s="143">
        <f>AP3435/((N_6*AP$27*AP3442)*SQRT(AP3441*AP3437*AP3439))</f>
        <v>18.277692103974363</v>
      </c>
      <c r="AQ3443" s="133"/>
      <c r="AR3443" s="146"/>
      <c r="AS3443" s="143">
        <f>AS3435/((N_6*AS$27*AS3442)*SQRT(AS3441*AS3437*AS3439))</f>
        <v>66.917406435425519</v>
      </c>
      <c r="AT3443" s="133"/>
      <c r="AU3443" s="146"/>
    </row>
    <row r="3444" spans="13:47" x14ac:dyDescent="0.25">
      <c r="M3444" s="27"/>
      <c r="N3444" s="27"/>
      <c r="O3444" s="2" t="s">
        <v>73</v>
      </c>
      <c r="P3444" s="85">
        <v>5</v>
      </c>
      <c r="Q3444" s="2"/>
      <c r="R3444" s="179">
        <f>R3435/((N_6*R$27*0.667)*SQRT(R3445*R3437*R3439))</f>
        <v>6.0192095496192968</v>
      </c>
      <c r="S3444" s="133"/>
      <c r="T3444" s="147"/>
      <c r="U3444" s="143">
        <f>U3435/((N_6*U$27*0.667)*SQRT(U3445*U3437*U3439))</f>
        <v>24.795066483953452</v>
      </c>
      <c r="V3444" s="133"/>
      <c r="W3444" s="155"/>
      <c r="X3444" s="143">
        <f>X3435/((N_6*X$27*0.667)*SQRT(X3445*X3437*X3439))</f>
        <v>162.22361122055256</v>
      </c>
      <c r="Y3444" s="133"/>
      <c r="Z3444" s="155"/>
      <c r="AA3444" s="143">
        <f>AA3435/((N_6*AA$27*0.667)*SQRT(AA3445*AA3437*AA3439))</f>
        <v>72.543965734967458</v>
      </c>
      <c r="AB3444" s="133"/>
      <c r="AC3444" s="155"/>
      <c r="AD3444" s="143">
        <f>AD3435/((N_6*AD$27*0.667)*SQRT(AD3445*AD3437*AD3439))</f>
        <v>31.868695567984741</v>
      </c>
      <c r="AE3444" s="133"/>
      <c r="AF3444" s="155"/>
      <c r="AG3444" s="143">
        <f>AG3435/((N_6*AG$27*0.667)*SQRT(AG3445*AG3437*AG3439))</f>
        <v>21.989885682025708</v>
      </c>
      <c r="AH3444" s="133"/>
      <c r="AI3444" s="155"/>
      <c r="AJ3444" s="143">
        <f>AJ3435/((N_6*AJ$27*0.667)*SQRT(AJ3445*AJ3437*AJ3439))</f>
        <v>17.966731390620055</v>
      </c>
      <c r="AK3444" s="133"/>
      <c r="AL3444" s="155"/>
      <c r="AM3444" s="143">
        <f>AM3435/((N_6*AM$27*0.667)*SQRT(AM3445*AM3437*AM3439))</f>
        <v>16.776171451461316</v>
      </c>
      <c r="AN3444" s="133"/>
      <c r="AO3444" s="155"/>
      <c r="AP3444" s="143">
        <f>AP3435/((N_6*AP$27*0.667)*SQRT(AP3445*AP3437*AP3439))</f>
        <v>15.421274039429063</v>
      </c>
      <c r="AQ3444" s="133"/>
      <c r="AR3444" s="155"/>
      <c r="AS3444" s="143">
        <f>AS3435/((N_6*AS$27*0.667)*SQRT(AS3445*AS3437*AS3439))</f>
        <v>22.255523745502959</v>
      </c>
      <c r="AT3444" s="133"/>
      <c r="AU3444" s="155"/>
    </row>
    <row r="3445" spans="13:47" ht="15.5" x14ac:dyDescent="0.4">
      <c r="M3445" s="27"/>
      <c r="N3445" s="27"/>
      <c r="O3445" s="2" t="s">
        <v>192</v>
      </c>
      <c r="P3445" s="85">
        <v>10</v>
      </c>
      <c r="Q3445" s="2"/>
      <c r="R3445" s="181">
        <f>F_GAMMA*R$29</f>
        <v>0.64002688015162901</v>
      </c>
      <c r="S3445" s="133"/>
      <c r="T3445" s="147"/>
      <c r="U3445" s="138">
        <f>F_GAMMA*U$29</f>
        <v>0.64016782916606918</v>
      </c>
      <c r="V3445" s="133"/>
      <c r="W3445" s="155"/>
      <c r="X3445" s="138">
        <f>F_GAMMA*X$29</f>
        <v>0.6307062319203669</v>
      </c>
      <c r="Y3445" s="133"/>
      <c r="Z3445" s="155"/>
      <c r="AA3445" s="138">
        <f>F_GAMMA*AA$29</f>
        <v>0.62217534213893466</v>
      </c>
      <c r="AB3445" s="133"/>
      <c r="AC3445" s="155"/>
      <c r="AD3445" s="138">
        <f>F_GAMMA*AD$29</f>
        <v>0.60557184969146072</v>
      </c>
      <c r="AE3445" s="133"/>
      <c r="AF3445" s="155"/>
      <c r="AG3445" s="138">
        <f>F_GAMMA*AG$29</f>
        <v>0.57289312142622573</v>
      </c>
      <c r="AH3445" s="133"/>
      <c r="AI3445" s="155"/>
      <c r="AJ3445" s="138">
        <f>F_GAMMA*AJ$29</f>
        <v>0.53590819116049981</v>
      </c>
      <c r="AK3445" s="133"/>
      <c r="AL3445" s="155"/>
      <c r="AM3445" s="138">
        <f>F_GAMMA*AM$29</f>
        <v>0.49048815926850342</v>
      </c>
      <c r="AN3445" s="133"/>
      <c r="AO3445" s="155"/>
      <c r="AP3445" s="138">
        <f>F_GAMMA*AP$29</f>
        <v>0.59352979016280105</v>
      </c>
      <c r="AQ3445" s="133"/>
      <c r="AR3445" s="155"/>
      <c r="AS3445" s="138">
        <f>F_GAMMA*AS$29</f>
        <v>0.39097221161068291</v>
      </c>
      <c r="AT3445" s="133"/>
      <c r="AU3445" s="155"/>
    </row>
    <row r="3446" spans="13:47" x14ac:dyDescent="0.25">
      <c r="M3446" s="27"/>
      <c r="N3446" s="27"/>
      <c r="O3446" s="2" t="s">
        <v>193</v>
      </c>
      <c r="P3446" s="134"/>
      <c r="Q3446" s="2"/>
      <c r="R3446" s="181">
        <f>IF(R3441&lt;R3445,R3443,R3444)</f>
        <v>6.1441158447167163</v>
      </c>
      <c r="S3446" s="133"/>
      <c r="T3446" s="147"/>
      <c r="U3446" s="138">
        <f>IF(U3441&lt;U3445,U3443,U3444)</f>
        <v>25.847793627491487</v>
      </c>
      <c r="V3446" s="133"/>
      <c r="W3446" s="155"/>
      <c r="X3446" s="138" t="e">
        <f>IF(X3441&lt;X3445,X3443,X3444)</f>
        <v>#NUM!</v>
      </c>
      <c r="Y3446" s="133"/>
      <c r="Z3446" s="155"/>
      <c r="AA3446" s="138">
        <f>IF(AA3441&lt;AA3445,AA3443,AA3444)</f>
        <v>72.543965734967458</v>
      </c>
      <c r="AB3446" s="133"/>
      <c r="AC3446" s="155"/>
      <c r="AD3446" s="138">
        <f>IF(AD3441&lt;AD3445,AD3443,AD3444)</f>
        <v>31.868695567984741</v>
      </c>
      <c r="AE3446" s="133"/>
      <c r="AF3446" s="155"/>
      <c r="AG3446" s="138">
        <f>IF(AG3441&lt;AG3445,AG3443,AG3444)</f>
        <v>21.989885682025708</v>
      </c>
      <c r="AH3446" s="133"/>
      <c r="AI3446" s="155"/>
      <c r="AJ3446" s="138">
        <f>IF(AJ3441&lt;AJ3445,AJ3443,AJ3444)</f>
        <v>17.966731390620055</v>
      </c>
      <c r="AK3446" s="133"/>
      <c r="AL3446" s="155"/>
      <c r="AM3446" s="138">
        <f>IF(AM3441&lt;AM3445,AM3443,AM3444)</f>
        <v>16.776171451461316</v>
      </c>
      <c r="AN3446" s="133"/>
      <c r="AO3446" s="155"/>
      <c r="AP3446" s="138">
        <f>IF(AP3441&lt;AP3445,AP3443,AP3444)</f>
        <v>15.421274039429063</v>
      </c>
      <c r="AQ3446" s="133"/>
      <c r="AR3446" s="155"/>
      <c r="AS3446" s="138">
        <f>IF(AS3441&lt;AS3445,AS3443,AS3444)</f>
        <v>22.255523745502959</v>
      </c>
      <c r="AT3446" s="133"/>
      <c r="AU3446" s="155"/>
    </row>
    <row r="3447" spans="13:47" ht="13" x14ac:dyDescent="0.3">
      <c r="M3447" s="28"/>
      <c r="N3447" s="28"/>
      <c r="O3447" s="9" t="s">
        <v>194</v>
      </c>
      <c r="P3447" s="1"/>
      <c r="Q3447" s="1"/>
      <c r="R3447" s="135"/>
      <c r="S3447" s="132">
        <f>IF(R3440&lt;=0,W_max,ABS(R$23-R3446))</f>
        <v>4.1441158447167163</v>
      </c>
      <c r="T3447" s="151">
        <f>R3435</f>
        <v>1408.1445051804287</v>
      </c>
      <c r="U3447" s="135"/>
      <c r="V3447" s="132">
        <f>IF(U3440&lt;=0,W_max,ABS(U$23-U3446))</f>
        <v>20.847793627491487</v>
      </c>
      <c r="W3447" s="151">
        <f>U3435</f>
        <v>5213.5246988899353</v>
      </c>
      <c r="X3447" s="135"/>
      <c r="Y3447" s="132">
        <f>IF(X3440&lt;=0,W_max,ABS(X$23-X3446))</f>
        <v>7174</v>
      </c>
      <c r="Z3447" s="151">
        <f>X3435</f>
        <v>12893.666997066664</v>
      </c>
      <c r="AA3447" s="135"/>
      <c r="AB3447" s="132">
        <f>IF(AA3440&lt;=0,W_max,ABS(AA$23-AA3446))</f>
        <v>7174</v>
      </c>
      <c r="AC3447" s="151">
        <f>AA3435</f>
        <v>25113.572260923658</v>
      </c>
      <c r="AD3447" s="135"/>
      <c r="AE3447" s="132">
        <f>IF(AD3440&lt;=0,W_max,ABS(AD$23-AD3446))</f>
        <v>7174</v>
      </c>
      <c r="AF3447" s="151">
        <f>AD3435</f>
        <v>41302.580100490864</v>
      </c>
      <c r="AG3447" s="135"/>
      <c r="AH3447" s="132">
        <f>IF(AG3440&lt;=0,W_max,ABS(AG$23-AG3446))</f>
        <v>7174</v>
      </c>
      <c r="AI3447" s="151">
        <f>AG3435</f>
        <v>57930.04831837384</v>
      </c>
      <c r="AJ3447" s="135"/>
      <c r="AK3447" s="132">
        <f>IF(AJ3440&lt;=0,W_max,ABS(AJ$23-AJ3446))</f>
        <v>7174</v>
      </c>
      <c r="AL3447" s="151">
        <f>AJ3435</f>
        <v>73555.789540967206</v>
      </c>
      <c r="AM3447" s="135"/>
      <c r="AN3447" s="132">
        <f>IF(AM3440&lt;=0,W_max,ABS(AM$23-AM3446))</f>
        <v>7174</v>
      </c>
      <c r="AO3447" s="151">
        <f>AM3435</f>
        <v>86249.94802624009</v>
      </c>
      <c r="AP3447" s="135"/>
      <c r="AQ3447" s="132">
        <f>IF(AP3440&lt;=0,W_max,ABS(AP$23-AP3446))</f>
        <v>7174</v>
      </c>
      <c r="AR3447" s="151">
        <f>AP3435</f>
        <v>96226.336914404761</v>
      </c>
      <c r="AS3447" s="135"/>
      <c r="AT3447" s="132">
        <f>IF(AS3440&lt;=0,W_max,ABS(AS$23-AS3446))</f>
        <v>7174</v>
      </c>
      <c r="AU3447" s="151">
        <f>AS3435</f>
        <v>107356.67821095367</v>
      </c>
    </row>
    <row r="3448" spans="13:47" ht="13" x14ac:dyDescent="0.25">
      <c r="M3448" s="12"/>
      <c r="N3448" s="12"/>
      <c r="O3448" s="12"/>
      <c r="P3448" s="12"/>
      <c r="Q3448" s="12"/>
      <c r="R3448" s="182"/>
      <c r="S3448" s="22"/>
      <c r="T3448" s="152"/>
      <c r="U3448" s="157"/>
      <c r="V3448" s="1"/>
      <c r="W3448" s="147"/>
      <c r="X3448" s="157"/>
      <c r="Y3448" s="1"/>
      <c r="Z3448" s="147"/>
      <c r="AA3448" s="157"/>
      <c r="AB3448" s="1"/>
      <c r="AC3448" s="147"/>
      <c r="AD3448" s="157"/>
      <c r="AE3448" s="1"/>
      <c r="AF3448" s="147"/>
      <c r="AG3448" s="157"/>
      <c r="AH3448" s="1"/>
      <c r="AI3448" s="147"/>
      <c r="AJ3448" s="157"/>
      <c r="AK3448" s="1"/>
      <c r="AL3448" s="147"/>
      <c r="AM3448" s="157"/>
      <c r="AN3448" s="1"/>
      <c r="AO3448" s="147"/>
      <c r="AP3448" s="157"/>
      <c r="AQ3448" s="1"/>
      <c r="AR3448" s="147"/>
      <c r="AS3448" s="157"/>
      <c r="AT3448" s="1"/>
      <c r="AU3448" s="147"/>
    </row>
    <row r="3449" spans="13:47" ht="14" x14ac:dyDescent="0.3">
      <c r="M3449" s="23"/>
      <c r="N3449" s="23"/>
      <c r="O3449" s="23" t="s">
        <v>238</v>
      </c>
      <c r="P3449" s="20"/>
      <c r="Q3449" s="20"/>
      <c r="R3449" s="18">
        <f>R3435*1.02</f>
        <v>1436.3073952840373</v>
      </c>
      <c r="S3449" s="128" t="s">
        <v>185</v>
      </c>
      <c r="T3449" s="153" t="s">
        <v>186</v>
      </c>
      <c r="U3449" s="143">
        <f>U3435*1.01</f>
        <v>5265.6599458788351</v>
      </c>
      <c r="V3449" s="128" t="s">
        <v>185</v>
      </c>
      <c r="W3449" s="153" t="s">
        <v>186</v>
      </c>
      <c r="X3449" s="143">
        <f>X3435*1.01</f>
        <v>13022.603667037331</v>
      </c>
      <c r="Y3449" s="128" t="s">
        <v>185</v>
      </c>
      <c r="Z3449" s="153" t="s">
        <v>186</v>
      </c>
      <c r="AA3449" s="143">
        <f>AA3435*1.01</f>
        <v>25364.707983532895</v>
      </c>
      <c r="AB3449" s="128" t="s">
        <v>185</v>
      </c>
      <c r="AC3449" s="153" t="s">
        <v>186</v>
      </c>
      <c r="AD3449" s="143">
        <f>AD3435*1.01</f>
        <v>41715.605901495772</v>
      </c>
      <c r="AE3449" s="128" t="s">
        <v>185</v>
      </c>
      <c r="AF3449" s="153" t="s">
        <v>186</v>
      </c>
      <c r="AG3449" s="143">
        <f>AG3435*1.01</f>
        <v>58509.348801557579</v>
      </c>
      <c r="AH3449" s="128" t="s">
        <v>185</v>
      </c>
      <c r="AI3449" s="153" t="s">
        <v>186</v>
      </c>
      <c r="AJ3449" s="143">
        <f>AJ3435*1.01</f>
        <v>74291.347436376876</v>
      </c>
      <c r="AK3449" s="128" t="s">
        <v>185</v>
      </c>
      <c r="AL3449" s="153" t="s">
        <v>186</v>
      </c>
      <c r="AM3449" s="143">
        <f>AM3435*1.01</f>
        <v>87112.447506502489</v>
      </c>
      <c r="AN3449" s="128" t="s">
        <v>185</v>
      </c>
      <c r="AO3449" s="153" t="s">
        <v>186</v>
      </c>
      <c r="AP3449" s="143">
        <f>AP3435*1.01</f>
        <v>97188.600283548803</v>
      </c>
      <c r="AQ3449" s="128" t="s">
        <v>185</v>
      </c>
      <c r="AR3449" s="153" t="s">
        <v>186</v>
      </c>
      <c r="AS3449" s="143">
        <f>AS3435*1.01</f>
        <v>108430.24499306321</v>
      </c>
      <c r="AT3449" s="128" t="s">
        <v>185</v>
      </c>
      <c r="AU3449" s="153" t="s">
        <v>186</v>
      </c>
    </row>
    <row r="3450" spans="13:47" ht="14" x14ac:dyDescent="0.3">
      <c r="M3450" s="12"/>
      <c r="N3450" s="12"/>
      <c r="O3450" s="20"/>
      <c r="P3450" s="20"/>
      <c r="Q3450" s="23"/>
      <c r="R3450" s="139"/>
      <c r="S3450" s="130" t="s">
        <v>228</v>
      </c>
      <c r="T3450" s="154" t="s">
        <v>187</v>
      </c>
      <c r="U3450" s="144"/>
      <c r="V3450" s="130" t="s">
        <v>228</v>
      </c>
      <c r="W3450" s="154" t="s">
        <v>187</v>
      </c>
      <c r="X3450" s="144"/>
      <c r="Y3450" s="130" t="s">
        <v>228</v>
      </c>
      <c r="Z3450" s="154" t="s">
        <v>187</v>
      </c>
      <c r="AA3450" s="144"/>
      <c r="AB3450" s="130" t="s">
        <v>228</v>
      </c>
      <c r="AC3450" s="154" t="s">
        <v>187</v>
      </c>
      <c r="AD3450" s="144"/>
      <c r="AE3450" s="130" t="s">
        <v>228</v>
      </c>
      <c r="AF3450" s="154" t="s">
        <v>187</v>
      </c>
      <c r="AG3450" s="144"/>
      <c r="AH3450" s="130" t="s">
        <v>228</v>
      </c>
      <c r="AI3450" s="154" t="s">
        <v>187</v>
      </c>
      <c r="AJ3450" s="144"/>
      <c r="AK3450" s="130" t="s">
        <v>228</v>
      </c>
      <c r="AL3450" s="154" t="s">
        <v>187</v>
      </c>
      <c r="AM3450" s="144"/>
      <c r="AN3450" s="130" t="s">
        <v>228</v>
      </c>
      <c r="AO3450" s="154" t="s">
        <v>187</v>
      </c>
      <c r="AP3450" s="144"/>
      <c r="AQ3450" s="130" t="s">
        <v>228</v>
      </c>
      <c r="AR3450" s="154" t="s">
        <v>187</v>
      </c>
      <c r="AS3450" s="144"/>
      <c r="AT3450" s="130" t="s">
        <v>228</v>
      </c>
      <c r="AU3450" s="154" t="s">
        <v>187</v>
      </c>
    </row>
    <row r="3451" spans="13:47" x14ac:dyDescent="0.25">
      <c r="M3451" s="20"/>
      <c r="N3451" s="20"/>
      <c r="O3451" s="7" t="s">
        <v>188</v>
      </c>
      <c r="P3451" s="7"/>
      <c r="Q3451" s="7"/>
      <c r="R3451" s="181">
        <f>P_1_minW-(R3449^2*R_up)+dpup_minQ</f>
        <v>99.700149468398592</v>
      </c>
      <c r="S3451" s="132"/>
      <c r="T3451" s="145"/>
      <c r="U3451" s="138">
        <f>P_1_minW-(U3449^2*R_up)+dpup_minQ</f>
        <v>89.466247645482738</v>
      </c>
      <c r="V3451" s="132"/>
      <c r="W3451" s="145"/>
      <c r="X3451" s="138">
        <f>P_1_minW-(X3449^2*R_up)+dpup_minQ</f>
        <v>32.897482152473273</v>
      </c>
      <c r="Y3451" s="132"/>
      <c r="Z3451" s="145"/>
      <c r="AA3451" s="138">
        <f>P_1_minW-(AA3449^2*R_up)+dpup_minQ</f>
        <v>-156.02798242995433</v>
      </c>
      <c r="AB3451" s="132"/>
      <c r="AC3451" s="145"/>
      <c r="AD3451" s="138">
        <f>P_1_minW-(AD3449^2*R_up)+dpup_minQ</f>
        <v>-593.39928165404206</v>
      </c>
      <c r="AE3451" s="132"/>
      <c r="AF3451" s="145"/>
      <c r="AG3451" s="138">
        <f>P_1_minW-(AG3449^2*R_up)+dpup_minQ</f>
        <v>-1264.576112751316</v>
      </c>
      <c r="AH3451" s="132"/>
      <c r="AI3451" s="145"/>
      <c r="AJ3451" s="138">
        <f>P_1_minW-(AJ3449^2*R_up)+dpup_minQ</f>
        <v>-2100.3252576335276</v>
      </c>
      <c r="AK3451" s="132"/>
      <c r="AL3451" s="145"/>
      <c r="AM3451" s="138">
        <f>P_1_minW-(AM3449^2*R_up)+dpup_minQ</f>
        <v>-2925.512716733549</v>
      </c>
      <c r="AN3451" s="132"/>
      <c r="AO3451" s="145"/>
      <c r="AP3451" s="138">
        <f>P_1_minW-(AP3449^2*R_up)+dpup_minQ</f>
        <v>-3666.0315966020876</v>
      </c>
      <c r="AQ3451" s="132"/>
      <c r="AR3451" s="145"/>
      <c r="AS3451" s="138">
        <f>P_1_minW-(AS3449^2*R_up)+dpup_minQ</f>
        <v>-4587.7671908194461</v>
      </c>
      <c r="AT3451" s="132"/>
      <c r="AU3451" s="145"/>
    </row>
    <row r="3452" spans="13:47" x14ac:dyDescent="0.25">
      <c r="M3452" s="20"/>
      <c r="N3452" s="20"/>
      <c r="O3452" s="7" t="s">
        <v>189</v>
      </c>
      <c r="P3452" s="1"/>
      <c r="Q3452" s="7"/>
      <c r="R3452" s="181">
        <f>P_2_minW+(R3449^2*R_dn)-dpdn_minQ</f>
        <v>50</v>
      </c>
      <c r="S3452" s="132"/>
      <c r="T3452" s="146"/>
      <c r="U3452" s="138">
        <f>P_2_minW+(U3449^2*R_dn)-dpdn_minQ</f>
        <v>50</v>
      </c>
      <c r="V3452" s="132"/>
      <c r="W3452" s="146"/>
      <c r="X3452" s="138">
        <f>P_2_minW+(X3449^2*R_dn)-dpdn_minQ</f>
        <v>50</v>
      </c>
      <c r="Y3452" s="132"/>
      <c r="Z3452" s="146"/>
      <c r="AA3452" s="138">
        <f>P_2_minW+(AA3449^2*R_dn)-dpdn_minQ</f>
        <v>50</v>
      </c>
      <c r="AB3452" s="132"/>
      <c r="AC3452" s="146"/>
      <c r="AD3452" s="138">
        <f>P_2_minW+(AD3449^2*R_dn)-dpdn_minQ</f>
        <v>50</v>
      </c>
      <c r="AE3452" s="132"/>
      <c r="AF3452" s="146"/>
      <c r="AG3452" s="138">
        <f>P_2_minW+(AG3449^2*R_dn)-dpdn_minQ</f>
        <v>50</v>
      </c>
      <c r="AH3452" s="132"/>
      <c r="AI3452" s="146"/>
      <c r="AJ3452" s="138">
        <f>P_2_minW+(AJ3449^2*R_dn)-dpdn_minQ</f>
        <v>50</v>
      </c>
      <c r="AK3452" s="132"/>
      <c r="AL3452" s="146"/>
      <c r="AM3452" s="138">
        <f>P_2_minW+(AM3449^2*R_dn)-dpdn_minQ</f>
        <v>50</v>
      </c>
      <c r="AN3452" s="132"/>
      <c r="AO3452" s="146"/>
      <c r="AP3452" s="138">
        <f>P_2_minW+(AP3449^2*R_dn)-dpdn_minQ</f>
        <v>50</v>
      </c>
      <c r="AQ3452" s="132"/>
      <c r="AR3452" s="146"/>
      <c r="AS3452" s="138">
        <f>P_2_minW+(AS3449^2*R_dn)-dpdn_minQ</f>
        <v>50</v>
      </c>
      <c r="AT3452" s="132"/>
      <c r="AU3452" s="146"/>
    </row>
    <row r="3453" spans="13:47" x14ac:dyDescent="0.25">
      <c r="M3453" s="20"/>
      <c r="N3453" s="20"/>
      <c r="O3453" s="7" t="s">
        <v>234</v>
      </c>
      <c r="P3453" s="1"/>
      <c r="Q3453" s="7"/>
      <c r="R3453" s="179">
        <f>'Valve Sizing'!G$8*R3451/P_1_maxW</f>
        <v>0.48093577051801439</v>
      </c>
      <c r="S3453" s="132"/>
      <c r="T3453" s="146"/>
      <c r="U3453" s="143">
        <f>'Valve Sizing'!$G$8*U3451/P_1_maxW</f>
        <v>0.43156925015818481</v>
      </c>
      <c r="V3453" s="132"/>
      <c r="W3453" s="146"/>
      <c r="X3453" s="143">
        <f>'Valve Sizing'!$G$8*X3451/P_1_maxW</f>
        <v>0.15869159686783857</v>
      </c>
      <c r="Y3453" s="132"/>
      <c r="Z3453" s="146"/>
      <c r="AA3453" s="143">
        <f>'Valve Sizing'!$G$8*AA3451/P_1_maxW</f>
        <v>-0.75265120817202125</v>
      </c>
      <c r="AB3453" s="132"/>
      <c r="AC3453" s="146"/>
      <c r="AD3453" s="143">
        <f>'Valve Sizing'!$G$8*AD3451/P_1_maxW</f>
        <v>-2.8624524864687437</v>
      </c>
      <c r="AE3453" s="132"/>
      <c r="AF3453" s="146"/>
      <c r="AG3453" s="143">
        <f>'Valve Sizing'!$G$8*AG3451/P_1_maxW</f>
        <v>-6.100090024012462</v>
      </c>
      <c r="AH3453" s="132"/>
      <c r="AI3453" s="146"/>
      <c r="AJ3453" s="143">
        <f>'Valve Sizing'!$G$8*AJ3451/P_1_maxW</f>
        <v>-10.131595102960205</v>
      </c>
      <c r="AK3453" s="132"/>
      <c r="AL3453" s="146"/>
      <c r="AM3453" s="143">
        <f>'Valve Sizing'!$G$8*AM3451/P_1_maxW</f>
        <v>-14.112152490086917</v>
      </c>
      <c r="AN3453" s="132"/>
      <c r="AO3453" s="146"/>
      <c r="AP3453" s="143">
        <f>'Valve Sizing'!$G$8*AP3451/P_1_maxW</f>
        <v>-17.684283725312365</v>
      </c>
      <c r="AQ3453" s="132"/>
      <c r="AR3453" s="146"/>
      <c r="AS3453" s="143">
        <f>'Valve Sizing'!$G$8*AS3451/P_1_maxW</f>
        <v>-22.130572126909136</v>
      </c>
      <c r="AT3453" s="132"/>
      <c r="AU3453" s="146"/>
    </row>
    <row r="3454" spans="13:47" x14ac:dyDescent="0.25">
      <c r="M3454" s="20"/>
      <c r="N3454" s="20"/>
      <c r="O3454" s="7" t="s">
        <v>190</v>
      </c>
      <c r="P3454" s="1"/>
      <c r="Q3454" s="7"/>
      <c r="R3454" s="181">
        <f>R3451-R3452</f>
        <v>49.700149468398592</v>
      </c>
      <c r="S3454" s="132"/>
      <c r="T3454" s="146"/>
      <c r="U3454" s="138">
        <f>U3451-U3452</f>
        <v>39.466247645482738</v>
      </c>
      <c r="V3454" s="132"/>
      <c r="W3454" s="146"/>
      <c r="X3454" s="138">
        <f>X3451-X3452</f>
        <v>-17.102517847526727</v>
      </c>
      <c r="Y3454" s="132"/>
      <c r="Z3454" s="146"/>
      <c r="AA3454" s="138">
        <f>AA3451-AA3452</f>
        <v>-206.02798242995433</v>
      </c>
      <c r="AB3454" s="132"/>
      <c r="AC3454" s="146"/>
      <c r="AD3454" s="138">
        <f>AD3451-AD3452</f>
        <v>-643.39928165404206</v>
      </c>
      <c r="AE3454" s="132"/>
      <c r="AF3454" s="146"/>
      <c r="AG3454" s="138">
        <f>AG3451-AG3452</f>
        <v>-1314.576112751316</v>
      </c>
      <c r="AH3454" s="132"/>
      <c r="AI3454" s="146"/>
      <c r="AJ3454" s="138">
        <f>AJ3451-AJ3452</f>
        <v>-2150.3252576335276</v>
      </c>
      <c r="AK3454" s="132"/>
      <c r="AL3454" s="146"/>
      <c r="AM3454" s="138">
        <f>AM3451-AM3452</f>
        <v>-2975.512716733549</v>
      </c>
      <c r="AN3454" s="132"/>
      <c r="AO3454" s="146"/>
      <c r="AP3454" s="138">
        <f>AP3451-AP3452</f>
        <v>-3716.0315966020876</v>
      </c>
      <c r="AQ3454" s="132"/>
      <c r="AR3454" s="146"/>
      <c r="AS3454" s="138">
        <f>AS3451-AS3452</f>
        <v>-4637.7671908194461</v>
      </c>
      <c r="AT3454" s="132"/>
      <c r="AU3454" s="146"/>
    </row>
    <row r="3455" spans="13:47" ht="14.5" x14ac:dyDescent="0.35">
      <c r="M3455" s="27"/>
      <c r="N3455" s="27"/>
      <c r="O3455" s="2" t="s">
        <v>191</v>
      </c>
      <c r="P3455" s="10"/>
      <c r="Q3455" s="2"/>
      <c r="R3455" s="181">
        <f>R3454/R3451</f>
        <v>0.49849623830455514</v>
      </c>
      <c r="S3455" s="132"/>
      <c r="T3455" s="146"/>
      <c r="U3455" s="138">
        <f>U3454/U3451</f>
        <v>0.44113002036109689</v>
      </c>
      <c r="V3455" s="132"/>
      <c r="W3455" s="146"/>
      <c r="X3455" s="138">
        <f>X3454/X3451</f>
        <v>-0.51987315528464961</v>
      </c>
      <c r="Y3455" s="132"/>
      <c r="Z3455" s="146"/>
      <c r="AA3455" s="138">
        <f>AA3454/AA3451</f>
        <v>1.3204553389802789</v>
      </c>
      <c r="AB3455" s="132"/>
      <c r="AC3455" s="146"/>
      <c r="AD3455" s="138">
        <f>AD3454/AD3451</f>
        <v>1.08426029748575</v>
      </c>
      <c r="AE3455" s="132"/>
      <c r="AF3455" s="146"/>
      <c r="AG3455" s="138">
        <f>AG3454/AG3451</f>
        <v>1.039538940753211</v>
      </c>
      <c r="AH3455" s="132"/>
      <c r="AI3455" s="146"/>
      <c r="AJ3455" s="138">
        <f>AJ3454/AJ3451</f>
        <v>1.0238058366523364</v>
      </c>
      <c r="AK3455" s="132"/>
      <c r="AL3455" s="146"/>
      <c r="AM3455" s="138">
        <f>AM3454/AM3451</f>
        <v>1.0170910212469788</v>
      </c>
      <c r="AN3455" s="132"/>
      <c r="AO3455" s="146"/>
      <c r="AP3455" s="138">
        <f>AP3454/AP3451</f>
        <v>1.0136387258763244</v>
      </c>
      <c r="AQ3455" s="132"/>
      <c r="AR3455" s="146"/>
      <c r="AS3455" s="138">
        <f>AS3454/AS3451</f>
        <v>1.0108985477946777</v>
      </c>
      <c r="AT3455" s="132"/>
      <c r="AU3455" s="146"/>
    </row>
    <row r="3456" spans="13:47" x14ac:dyDescent="0.25">
      <c r="M3456" s="27"/>
      <c r="N3456" s="27"/>
      <c r="O3456" s="2" t="s">
        <v>26</v>
      </c>
      <c r="P3456" s="7">
        <v>12</v>
      </c>
      <c r="Q3456" s="2"/>
      <c r="R3456" s="181">
        <f>1-R3455/(3*F_GAMMA*R$29)</f>
        <v>0.74037744675845685</v>
      </c>
      <c r="S3456" s="133"/>
      <c r="T3456" s="146"/>
      <c r="U3456" s="138">
        <f>1-U3455/(3*F_GAMMA*U$29)</f>
        <v>0.7703050146835474</v>
      </c>
      <c r="V3456" s="133"/>
      <c r="W3456" s="146"/>
      <c r="X3456" s="138">
        <f>1-X3455/(3*F_GAMMA*X$29)</f>
        <v>1.2747571579147321</v>
      </c>
      <c r="Y3456" s="133"/>
      <c r="Z3456" s="146"/>
      <c r="AA3456" s="138">
        <f>1-AA3455/(3*F_GAMMA*AA$29)</f>
        <v>0.29255991060827835</v>
      </c>
      <c r="AB3456" s="133"/>
      <c r="AC3456" s="146"/>
      <c r="AD3456" s="138">
        <f>1-AD3455/(3*F_GAMMA*AD$29)</f>
        <v>0.40317552847600091</v>
      </c>
      <c r="AE3456" s="133"/>
      <c r="AF3456" s="146"/>
      <c r="AG3456" s="138">
        <f>1-AG3455/(3*F_GAMMA*AG$29)</f>
        <v>0.3951524860546044</v>
      </c>
      <c r="AH3456" s="133"/>
      <c r="AI3456" s="146"/>
      <c r="AJ3456" s="138">
        <f>1-AJ3455/(3*F_GAMMA*AJ$29)</f>
        <v>0.36319575284260108</v>
      </c>
      <c r="AK3456" s="133"/>
      <c r="AL3456" s="146"/>
      <c r="AM3456" s="138">
        <f>1-AM3455/(3*F_GAMMA*AM$29)</f>
        <v>0.30878995953484922</v>
      </c>
      <c r="AN3456" s="133"/>
      <c r="AO3456" s="146"/>
      <c r="AP3456" s="138">
        <f>1-AP3455/(3*F_GAMMA*AP$29)</f>
        <v>0.43072853141974532</v>
      </c>
      <c r="AQ3456" s="133"/>
      <c r="AR3456" s="146"/>
      <c r="AS3456" s="138">
        <f>1-AS3455/(3*F_GAMMA*AS$29)</f>
        <v>0.13813265344349956</v>
      </c>
      <c r="AT3456" s="133"/>
      <c r="AU3456" s="146"/>
    </row>
    <row r="3457" spans="13:47" x14ac:dyDescent="0.25">
      <c r="M3457" s="27"/>
      <c r="N3457" s="27"/>
      <c r="O3457" s="2" t="s">
        <v>71</v>
      </c>
      <c r="P3457" s="85">
        <v>5</v>
      </c>
      <c r="Q3457" s="2"/>
      <c r="R3457" s="179">
        <f>R3449/((N_6*R$27*R3456)*SQRT(R3455*R3451*R3453))</f>
        <v>6.2693075890584806</v>
      </c>
      <c r="S3457" s="133"/>
      <c r="T3457" s="146"/>
      <c r="U3457" s="143">
        <f>U3449/((N_6*U$27*U3456)*SQRT(U3455*U3451*U3453))</f>
        <v>26.186028237656522</v>
      </c>
      <c r="V3457" s="133"/>
      <c r="W3457" s="146"/>
      <c r="X3457" s="143" t="e">
        <f>X3449/((N_6*X$27*X3456)*SQRT(X3455*X3451*X3453))</f>
        <v>#NUM!</v>
      </c>
      <c r="Y3457" s="133"/>
      <c r="Z3457" s="146"/>
      <c r="AA3457" s="143">
        <f>AA3449/((N_6*AA$27*AA3456)*SQRT(AA3455*AA3451*AA3453))</f>
        <v>110.94935559542679</v>
      </c>
      <c r="AB3457" s="133"/>
      <c r="AC3457" s="146"/>
      <c r="AD3457" s="143">
        <f>AD3449/((N_6*AD$27*AD3456)*SQRT(AD3455*AD3451*AD3453))</f>
        <v>38.878487529275404</v>
      </c>
      <c r="AE3457" s="133"/>
      <c r="AF3457" s="146"/>
      <c r="AG3457" s="143">
        <f>AG3449/((N_6*AG$27*AG3456)*SQRT(AG3455*AG3451*AG3453))</f>
        <v>27.238593348301201</v>
      </c>
      <c r="AH3457" s="133"/>
      <c r="AI3457" s="146"/>
      <c r="AJ3457" s="143">
        <f>AJ3449/((N_6*AJ$27*AJ3456)*SQRT(AJ3455*AJ3451*AJ3453))</f>
        <v>23.613000671167406</v>
      </c>
      <c r="AK3457" s="133"/>
      <c r="AL3457" s="146"/>
      <c r="AM3457" s="143">
        <f>AM3449/((N_6*AM$27*AM3456)*SQRT(AM3455*AM3451*AM3453))</f>
        <v>24.898228574948444</v>
      </c>
      <c r="AN3457" s="133"/>
      <c r="AO3457" s="146"/>
      <c r="AP3457" s="143">
        <f>AP3449/((N_6*AP$27*AP3456)*SQRT(AP3455*AP3451*AP3453))</f>
        <v>18.082618251189608</v>
      </c>
      <c r="AQ3457" s="133"/>
      <c r="AR3457" s="146"/>
      <c r="AS3457" s="143">
        <f>AS3449/((N_6*AS$27*AS3456)*SQRT(AS3455*AS3451*AS3453))</f>
        <v>66.141459400392591</v>
      </c>
      <c r="AT3457" s="133"/>
      <c r="AU3457" s="146"/>
    </row>
    <row r="3458" spans="13:47" x14ac:dyDescent="0.25">
      <c r="M3458" s="27"/>
      <c r="N3458" s="27"/>
      <c r="O3458" s="2" t="s">
        <v>73</v>
      </c>
      <c r="P3458" s="85">
        <v>5</v>
      </c>
      <c r="Q3458" s="2"/>
      <c r="R3458" s="179">
        <f>R3449/((N_6*R$27*0.667)*SQRT(R3459*R3451*R3453))</f>
        <v>6.1415608713626817</v>
      </c>
      <c r="S3458" s="133"/>
      <c r="T3458" s="155"/>
      <c r="U3458" s="143">
        <f>U3449/((N_6*U$27*0.667)*SQRT(U3459*U3451*U3453))</f>
        <v>25.103998907296145</v>
      </c>
      <c r="V3458" s="133"/>
      <c r="W3458" s="155"/>
      <c r="X3458" s="143">
        <f>X3449/((N_6*X$27*0.667)*SQRT(X3459*X3451*X3453))</f>
        <v>170.48228963160031</v>
      </c>
      <c r="Y3458" s="133"/>
      <c r="Z3458" s="155"/>
      <c r="AA3458" s="143">
        <f>AA3449/((N_6*AA$27*0.667)*SQRT(AA3459*AA3451*AA3453))</f>
        <v>70.895590745060176</v>
      </c>
      <c r="AB3458" s="133"/>
      <c r="AC3458" s="155"/>
      <c r="AD3458" s="143">
        <f>AD3449/((N_6*AD$27*0.667)*SQRT(AD3459*AD3451*AD3453))</f>
        <v>31.445726285044735</v>
      </c>
      <c r="AE3458" s="133"/>
      <c r="AF3458" s="155"/>
      <c r="AG3458" s="143">
        <f>AG3449/((N_6*AG$27*0.667)*SQRT(AG3459*AG3451*AG3453))</f>
        <v>21.737377023673933</v>
      </c>
      <c r="AH3458" s="133"/>
      <c r="AI3458" s="155"/>
      <c r="AJ3458" s="143">
        <f>AJ3449/((N_6*AJ$27*0.667)*SQRT(AJ3459*AJ3451*AJ3453))</f>
        <v>17.771730135450508</v>
      </c>
      <c r="AK3458" s="133"/>
      <c r="AL3458" s="155"/>
      <c r="AM3458" s="143">
        <f>AM3449/((N_6*AM$27*0.667)*SQRT(AM3459*AM3451*AM3453))</f>
        <v>16.598598983584175</v>
      </c>
      <c r="AN3458" s="133"/>
      <c r="AO3458" s="155"/>
      <c r="AP3458" s="143">
        <f>AP3449/((N_6*AP$27*0.667)*SQRT(AP3459*AP3451*AP3453))</f>
        <v>15.260172980863281</v>
      </c>
      <c r="AQ3458" s="133"/>
      <c r="AR3458" s="155"/>
      <c r="AS3458" s="143">
        <f>AS3449/((N_6*AS$27*0.667)*SQRT(AS3459*AS3451*AS3453))</f>
        <v>22.025467469678638</v>
      </c>
      <c r="AT3458" s="133"/>
      <c r="AU3458" s="155"/>
    </row>
    <row r="3459" spans="13:47" ht="15.5" x14ac:dyDescent="0.4">
      <c r="M3459" s="27"/>
      <c r="N3459" s="27"/>
      <c r="O3459" s="2" t="s">
        <v>192</v>
      </c>
      <c r="P3459" s="85">
        <v>10</v>
      </c>
      <c r="Q3459" s="2"/>
      <c r="R3459" s="181">
        <f>F_GAMMA*R$29</f>
        <v>0.64002688015162901</v>
      </c>
      <c r="S3459" s="133"/>
      <c r="T3459" s="155"/>
      <c r="U3459" s="138">
        <f>F_GAMMA*U$29</f>
        <v>0.64016782916606918</v>
      </c>
      <c r="V3459" s="133"/>
      <c r="W3459" s="155"/>
      <c r="X3459" s="138">
        <f>F_GAMMA*X$29</f>
        <v>0.6307062319203669</v>
      </c>
      <c r="Y3459" s="133"/>
      <c r="Z3459" s="155"/>
      <c r="AA3459" s="138">
        <f>F_GAMMA*AA$29</f>
        <v>0.62217534213893466</v>
      </c>
      <c r="AB3459" s="133"/>
      <c r="AC3459" s="155"/>
      <c r="AD3459" s="138">
        <f>F_GAMMA*AD$29</f>
        <v>0.60557184969146072</v>
      </c>
      <c r="AE3459" s="133"/>
      <c r="AF3459" s="155"/>
      <c r="AG3459" s="138">
        <f>F_GAMMA*AG$29</f>
        <v>0.57289312142622573</v>
      </c>
      <c r="AH3459" s="133"/>
      <c r="AI3459" s="155"/>
      <c r="AJ3459" s="138">
        <f>F_GAMMA*AJ$29</f>
        <v>0.53590819116049981</v>
      </c>
      <c r="AK3459" s="133"/>
      <c r="AL3459" s="155"/>
      <c r="AM3459" s="138">
        <f>F_GAMMA*AM$29</f>
        <v>0.49048815926850342</v>
      </c>
      <c r="AN3459" s="133"/>
      <c r="AO3459" s="155"/>
      <c r="AP3459" s="138">
        <f>F_GAMMA*AP$29</f>
        <v>0.59352979016280105</v>
      </c>
      <c r="AQ3459" s="133"/>
      <c r="AR3459" s="155"/>
      <c r="AS3459" s="138">
        <f>F_GAMMA*AS$29</f>
        <v>0.39097221161068291</v>
      </c>
      <c r="AT3459" s="133"/>
      <c r="AU3459" s="155"/>
    </row>
    <row r="3460" spans="13:47" x14ac:dyDescent="0.25">
      <c r="M3460" s="27"/>
      <c r="N3460" s="27"/>
      <c r="O3460" s="2" t="s">
        <v>193</v>
      </c>
      <c r="P3460" s="134"/>
      <c r="Q3460" s="2"/>
      <c r="R3460" s="181">
        <f>IF(R3455&lt;R3459,R3457,R3458)</f>
        <v>6.2693075890584806</v>
      </c>
      <c r="S3460" s="133"/>
      <c r="T3460" s="155"/>
      <c r="U3460" s="138">
        <f>IF(U3455&lt;U3459,U3457,U3458)</f>
        <v>26.186028237656522</v>
      </c>
      <c r="V3460" s="133"/>
      <c r="W3460" s="155"/>
      <c r="X3460" s="138" t="e">
        <f>IF(X3455&lt;X3459,X3457,X3458)</f>
        <v>#NUM!</v>
      </c>
      <c r="Y3460" s="133"/>
      <c r="Z3460" s="155"/>
      <c r="AA3460" s="138">
        <f>IF(AA3455&lt;AA3459,AA3457,AA3458)</f>
        <v>70.895590745060176</v>
      </c>
      <c r="AB3460" s="133"/>
      <c r="AC3460" s="155"/>
      <c r="AD3460" s="138">
        <f>IF(AD3455&lt;AD3459,AD3457,AD3458)</f>
        <v>31.445726285044735</v>
      </c>
      <c r="AE3460" s="133"/>
      <c r="AF3460" s="155"/>
      <c r="AG3460" s="138">
        <f>IF(AG3455&lt;AG3459,AG3457,AG3458)</f>
        <v>21.737377023673933</v>
      </c>
      <c r="AH3460" s="133"/>
      <c r="AI3460" s="155"/>
      <c r="AJ3460" s="138">
        <f>IF(AJ3455&lt;AJ3459,AJ3457,AJ3458)</f>
        <v>17.771730135450508</v>
      </c>
      <c r="AK3460" s="133"/>
      <c r="AL3460" s="155"/>
      <c r="AM3460" s="138">
        <f>IF(AM3455&lt;AM3459,AM3457,AM3458)</f>
        <v>16.598598983584175</v>
      </c>
      <c r="AN3460" s="133"/>
      <c r="AO3460" s="155"/>
      <c r="AP3460" s="138">
        <f>IF(AP3455&lt;AP3459,AP3457,AP3458)</f>
        <v>15.260172980863281</v>
      </c>
      <c r="AQ3460" s="133"/>
      <c r="AR3460" s="155"/>
      <c r="AS3460" s="138">
        <f>IF(AS3455&lt;AS3459,AS3457,AS3458)</f>
        <v>22.025467469678638</v>
      </c>
      <c r="AT3460" s="133"/>
      <c r="AU3460" s="155"/>
    </row>
    <row r="3461" spans="13:47" ht="13" x14ac:dyDescent="0.3">
      <c r="M3461" s="28"/>
      <c r="N3461" s="28"/>
      <c r="O3461" s="9" t="s">
        <v>194</v>
      </c>
      <c r="P3461" s="1"/>
      <c r="Q3461" s="1"/>
      <c r="R3461" s="135"/>
      <c r="S3461" s="132">
        <f>IF(R3454&lt;=0,W_max,ABS(R$23-R3460))</f>
        <v>4.2693075890584806</v>
      </c>
      <c r="T3461" s="151">
        <f>R3449</f>
        <v>1436.3073952840373</v>
      </c>
      <c r="U3461" s="135"/>
      <c r="V3461" s="132">
        <f>IF(U3454&lt;=0,W_max,ABS(U$23-U3460))</f>
        <v>21.186028237656522</v>
      </c>
      <c r="W3461" s="151">
        <f>U3449</f>
        <v>5265.6599458788351</v>
      </c>
      <c r="X3461" s="135"/>
      <c r="Y3461" s="132">
        <f>IF(X3454&lt;=0,W_max,ABS(X$23-X3460))</f>
        <v>7174</v>
      </c>
      <c r="Z3461" s="151">
        <f>X3449</f>
        <v>13022.603667037331</v>
      </c>
      <c r="AA3461" s="135"/>
      <c r="AB3461" s="132">
        <f>IF(AA3454&lt;=0,W_max,ABS(AA$23-AA3460))</f>
        <v>7174</v>
      </c>
      <c r="AC3461" s="151">
        <f>AA3449</f>
        <v>25364.707983532895</v>
      </c>
      <c r="AD3461" s="135"/>
      <c r="AE3461" s="132">
        <f>IF(AD3454&lt;=0,W_max,ABS(AD$23-AD3460))</f>
        <v>7174</v>
      </c>
      <c r="AF3461" s="151">
        <f>AD3449</f>
        <v>41715.605901495772</v>
      </c>
      <c r="AG3461" s="135"/>
      <c r="AH3461" s="132">
        <f>IF(AG3454&lt;=0,W_max,ABS(AG$23-AG3460))</f>
        <v>7174</v>
      </c>
      <c r="AI3461" s="151">
        <f>AG3449</f>
        <v>58509.348801557579</v>
      </c>
      <c r="AJ3461" s="135"/>
      <c r="AK3461" s="132">
        <f>IF(AJ3454&lt;=0,W_max,ABS(AJ$23-AJ3460))</f>
        <v>7174</v>
      </c>
      <c r="AL3461" s="151">
        <f>AJ3449</f>
        <v>74291.347436376876</v>
      </c>
      <c r="AM3461" s="135"/>
      <c r="AN3461" s="132">
        <f>IF(AM3454&lt;=0,W_max,ABS(AM$23-AM3460))</f>
        <v>7174</v>
      </c>
      <c r="AO3461" s="151">
        <f>AM3449</f>
        <v>87112.447506502489</v>
      </c>
      <c r="AP3461" s="135"/>
      <c r="AQ3461" s="132">
        <f>IF(AP3454&lt;=0,W_max,ABS(AP$23-AP3460))</f>
        <v>7174</v>
      </c>
      <c r="AR3461" s="151">
        <f>AP3449</f>
        <v>97188.600283548803</v>
      </c>
      <c r="AS3461" s="135"/>
      <c r="AT3461" s="132">
        <f>IF(AS3454&lt;=0,W_max,ABS(AS$23-AS3460))</f>
        <v>7174</v>
      </c>
      <c r="AU3461" s="151">
        <f>AS3449</f>
        <v>108430.24499306321</v>
      </c>
    </row>
    <row r="3462" spans="13:47" ht="13" x14ac:dyDescent="0.25">
      <c r="M3462" s="12"/>
      <c r="N3462" s="12"/>
      <c r="O3462" s="2"/>
      <c r="P3462" s="85"/>
      <c r="Q3462" s="2"/>
      <c r="R3462" s="18"/>
      <c r="S3462" s="150"/>
      <c r="T3462" s="152"/>
      <c r="U3462" s="157"/>
      <c r="V3462" s="1"/>
      <c r="W3462" s="147"/>
      <c r="X3462" s="157"/>
      <c r="Y3462" s="1"/>
      <c r="Z3462" s="147"/>
      <c r="AA3462" s="157"/>
      <c r="AB3462" s="1"/>
      <c r="AC3462" s="147"/>
      <c r="AD3462" s="157"/>
      <c r="AE3462" s="1"/>
      <c r="AF3462" s="147"/>
      <c r="AG3462" s="157"/>
      <c r="AH3462" s="1"/>
      <c r="AI3462" s="147"/>
      <c r="AJ3462" s="157"/>
      <c r="AK3462" s="1"/>
      <c r="AL3462" s="147"/>
      <c r="AM3462" s="157"/>
      <c r="AN3462" s="1"/>
      <c r="AO3462" s="147"/>
      <c r="AP3462" s="157"/>
      <c r="AQ3462" s="1"/>
      <c r="AR3462" s="147"/>
      <c r="AS3462" s="157"/>
      <c r="AT3462" s="1"/>
      <c r="AU3462" s="147"/>
    </row>
    <row r="3463" spans="13:47" ht="14" x14ac:dyDescent="0.3">
      <c r="M3463" s="23"/>
      <c r="N3463" s="23"/>
      <c r="O3463" s="23" t="s">
        <v>238</v>
      </c>
      <c r="P3463" s="20"/>
      <c r="Q3463" s="20"/>
      <c r="R3463" s="181">
        <f>R3449*1.02</f>
        <v>1465.0335431897181</v>
      </c>
      <c r="S3463" s="128" t="s">
        <v>185</v>
      </c>
      <c r="T3463" s="153" t="s">
        <v>186</v>
      </c>
      <c r="U3463" s="143">
        <f>U3449*1.01</f>
        <v>5318.3165453376232</v>
      </c>
      <c r="V3463" s="128" t="s">
        <v>185</v>
      </c>
      <c r="W3463" s="153" t="s">
        <v>186</v>
      </c>
      <c r="X3463" s="143">
        <f>X3449*1.01</f>
        <v>13152.829703707705</v>
      </c>
      <c r="Y3463" s="128" t="s">
        <v>185</v>
      </c>
      <c r="Z3463" s="153" t="s">
        <v>186</v>
      </c>
      <c r="AA3463" s="143">
        <f>AA3449*1.01</f>
        <v>25618.355063368224</v>
      </c>
      <c r="AB3463" s="128" t="s">
        <v>185</v>
      </c>
      <c r="AC3463" s="153" t="s">
        <v>186</v>
      </c>
      <c r="AD3463" s="143">
        <f>AD3449*1.01</f>
        <v>42132.761960510732</v>
      </c>
      <c r="AE3463" s="128" t="s">
        <v>185</v>
      </c>
      <c r="AF3463" s="153" t="s">
        <v>186</v>
      </c>
      <c r="AG3463" s="143">
        <f>AG3449*1.01</f>
        <v>59094.442289573155</v>
      </c>
      <c r="AH3463" s="128" t="s">
        <v>185</v>
      </c>
      <c r="AI3463" s="153" t="s">
        <v>186</v>
      </c>
      <c r="AJ3463" s="143">
        <f>AJ3449*1.01</f>
        <v>75034.260910740646</v>
      </c>
      <c r="AK3463" s="128" t="s">
        <v>185</v>
      </c>
      <c r="AL3463" s="153" t="s">
        <v>186</v>
      </c>
      <c r="AM3463" s="143">
        <f>AM3449*1.01</f>
        <v>87983.571981567511</v>
      </c>
      <c r="AN3463" s="128" t="s">
        <v>185</v>
      </c>
      <c r="AO3463" s="153" t="s">
        <v>186</v>
      </c>
      <c r="AP3463" s="143">
        <f>AP3449*1.01</f>
        <v>98160.486286384286</v>
      </c>
      <c r="AQ3463" s="128" t="s">
        <v>185</v>
      </c>
      <c r="AR3463" s="153" t="s">
        <v>186</v>
      </c>
      <c r="AS3463" s="143">
        <f>AS3449*1.01</f>
        <v>109514.54744299385</v>
      </c>
      <c r="AT3463" s="128" t="s">
        <v>185</v>
      </c>
      <c r="AU3463" s="153" t="s">
        <v>186</v>
      </c>
    </row>
    <row r="3464" spans="13:47" ht="14" x14ac:dyDescent="0.3">
      <c r="M3464" s="12"/>
      <c r="N3464" s="12"/>
      <c r="O3464" s="20"/>
      <c r="P3464" s="20"/>
      <c r="Q3464" s="23"/>
      <c r="R3464" s="139"/>
      <c r="S3464" s="130" t="s">
        <v>228</v>
      </c>
      <c r="T3464" s="154" t="s">
        <v>187</v>
      </c>
      <c r="U3464" s="144"/>
      <c r="V3464" s="130" t="s">
        <v>228</v>
      </c>
      <c r="W3464" s="154" t="s">
        <v>187</v>
      </c>
      <c r="X3464" s="144"/>
      <c r="Y3464" s="130" t="s">
        <v>228</v>
      </c>
      <c r="Z3464" s="154" t="s">
        <v>187</v>
      </c>
      <c r="AA3464" s="144"/>
      <c r="AB3464" s="130" t="s">
        <v>228</v>
      </c>
      <c r="AC3464" s="154" t="s">
        <v>187</v>
      </c>
      <c r="AD3464" s="144"/>
      <c r="AE3464" s="130" t="s">
        <v>228</v>
      </c>
      <c r="AF3464" s="154" t="s">
        <v>187</v>
      </c>
      <c r="AG3464" s="144"/>
      <c r="AH3464" s="130" t="s">
        <v>228</v>
      </c>
      <c r="AI3464" s="154" t="s">
        <v>187</v>
      </c>
      <c r="AJ3464" s="144"/>
      <c r="AK3464" s="130" t="s">
        <v>228</v>
      </c>
      <c r="AL3464" s="154" t="s">
        <v>187</v>
      </c>
      <c r="AM3464" s="144"/>
      <c r="AN3464" s="130" t="s">
        <v>228</v>
      </c>
      <c r="AO3464" s="154" t="s">
        <v>187</v>
      </c>
      <c r="AP3464" s="144"/>
      <c r="AQ3464" s="130" t="s">
        <v>228</v>
      </c>
      <c r="AR3464" s="154" t="s">
        <v>187</v>
      </c>
      <c r="AS3464" s="144"/>
      <c r="AT3464" s="130" t="s">
        <v>228</v>
      </c>
      <c r="AU3464" s="154" t="s">
        <v>187</v>
      </c>
    </row>
    <row r="3465" spans="13:47" x14ac:dyDescent="0.25">
      <c r="M3465" s="20"/>
      <c r="N3465" s="20"/>
      <c r="O3465" s="7" t="s">
        <v>188</v>
      </c>
      <c r="P3465" s="7"/>
      <c r="Q3465" s="7"/>
      <c r="R3465" s="181">
        <f>P_1_minW-(R3463^2*R_up)+dpup_minQ</f>
        <v>99.666914922758124</v>
      </c>
      <c r="S3465" s="132"/>
      <c r="T3465" s="145"/>
      <c r="U3465" s="138">
        <f>P_1_minW-(U3463^2*R_up)+dpup_minQ</f>
        <v>89.244011209748734</v>
      </c>
      <c r="V3465" s="132"/>
      <c r="W3465" s="145"/>
      <c r="X3465" s="138">
        <f>P_1_minW-(X3463^2*R_up)+dpup_minQ</f>
        <v>31.53821353032977</v>
      </c>
      <c r="Y3465" s="132"/>
      <c r="Z3465" s="145"/>
      <c r="AA3465" s="138">
        <f>P_1_minW-(AA3463^2*R_up)+dpup_minQ</f>
        <v>-161.1846528902046</v>
      </c>
      <c r="AB3465" s="132"/>
      <c r="AC3465" s="145"/>
      <c r="AD3465" s="138">
        <f>P_1_minW-(AD3463^2*R_up)+dpup_minQ</f>
        <v>-607.34711522869668</v>
      </c>
      <c r="AE3465" s="132"/>
      <c r="AF3465" s="145"/>
      <c r="AG3465" s="138">
        <f>P_1_minW-(AG3463^2*R_up)+dpup_minQ</f>
        <v>-1292.0146006310256</v>
      </c>
      <c r="AH3465" s="132"/>
      <c r="AI3465" s="145"/>
      <c r="AJ3465" s="138">
        <f>P_1_minW-(AJ3463^2*R_up)+dpup_minQ</f>
        <v>-2144.5623033253696</v>
      </c>
      <c r="AK3465" s="132"/>
      <c r="AL3465" s="145"/>
      <c r="AM3465" s="138">
        <f>P_1_minW-(AM3463^2*R_up)+dpup_minQ</f>
        <v>-2986.3360303533013</v>
      </c>
      <c r="AN3465" s="132"/>
      <c r="AO3465" s="145"/>
      <c r="AP3465" s="138">
        <f>P_1_minW-(AP3463^2*R_up)+dpup_minQ</f>
        <v>-3741.7393397071974</v>
      </c>
      <c r="AQ3465" s="132"/>
      <c r="AR3465" s="145"/>
      <c r="AS3465" s="138">
        <f>P_1_minW-(AS3463^2*R_up)+dpup_minQ</f>
        <v>-4682.0018193683254</v>
      </c>
      <c r="AT3465" s="132"/>
      <c r="AU3465" s="145"/>
    </row>
    <row r="3466" spans="13:47" x14ac:dyDescent="0.25">
      <c r="M3466" s="20"/>
      <c r="N3466" s="20"/>
      <c r="O3466" s="7" t="s">
        <v>189</v>
      </c>
      <c r="P3466" s="1"/>
      <c r="Q3466" s="7"/>
      <c r="R3466" s="181">
        <f>P_2_minW+(R3463^2*R_dn)-dpdn_minQ</f>
        <v>50</v>
      </c>
      <c r="S3466" s="132"/>
      <c r="T3466" s="146"/>
      <c r="U3466" s="138">
        <f>P_2_minW+(U3463^2*R_dn)-dpdn_minQ</f>
        <v>50</v>
      </c>
      <c r="V3466" s="132"/>
      <c r="W3466" s="146"/>
      <c r="X3466" s="138">
        <f>P_2_minW+(X3463^2*R_dn)-dpdn_minQ</f>
        <v>50</v>
      </c>
      <c r="Y3466" s="132"/>
      <c r="Z3466" s="146"/>
      <c r="AA3466" s="138">
        <f>P_2_minW+(AA3463^2*R_dn)-dpdn_minQ</f>
        <v>50</v>
      </c>
      <c r="AB3466" s="132"/>
      <c r="AC3466" s="146"/>
      <c r="AD3466" s="138">
        <f>P_2_minW+(AD3463^2*R_dn)-dpdn_minQ</f>
        <v>50</v>
      </c>
      <c r="AE3466" s="132"/>
      <c r="AF3466" s="146"/>
      <c r="AG3466" s="138">
        <f>P_2_minW+(AG3463^2*R_dn)-dpdn_minQ</f>
        <v>50</v>
      </c>
      <c r="AH3466" s="132"/>
      <c r="AI3466" s="146"/>
      <c r="AJ3466" s="138">
        <f>P_2_minW+(AJ3463^2*R_dn)-dpdn_minQ</f>
        <v>50</v>
      </c>
      <c r="AK3466" s="132"/>
      <c r="AL3466" s="146"/>
      <c r="AM3466" s="138">
        <f>P_2_minW+(AM3463^2*R_dn)-dpdn_minQ</f>
        <v>50</v>
      </c>
      <c r="AN3466" s="132"/>
      <c r="AO3466" s="146"/>
      <c r="AP3466" s="138">
        <f>P_2_minW+(AP3463^2*R_dn)-dpdn_minQ</f>
        <v>50</v>
      </c>
      <c r="AQ3466" s="132"/>
      <c r="AR3466" s="146"/>
      <c r="AS3466" s="138">
        <f>P_2_minW+(AS3463^2*R_dn)-dpdn_minQ</f>
        <v>50</v>
      </c>
      <c r="AT3466" s="132"/>
      <c r="AU3466" s="146"/>
    </row>
    <row r="3467" spans="13:47" x14ac:dyDescent="0.25">
      <c r="M3467" s="20"/>
      <c r="N3467" s="20"/>
      <c r="O3467" s="7" t="s">
        <v>234</v>
      </c>
      <c r="P3467" s="1"/>
      <c r="Q3467" s="7"/>
      <c r="R3467" s="179">
        <f>'Valve Sizing'!G$8*R3465/P_1_maxW</f>
        <v>0.48077545298689089</v>
      </c>
      <c r="S3467" s="132"/>
      <c r="T3467" s="146"/>
      <c r="U3467" s="143">
        <f>'Valve Sizing'!$G$8*U3465/P_1_maxW</f>
        <v>0.43049722115896272</v>
      </c>
      <c r="V3467" s="132"/>
      <c r="W3467" s="146"/>
      <c r="X3467" s="143">
        <f>'Valve Sizing'!$G$8*X3465/P_1_maxW</f>
        <v>0.15213472703748038</v>
      </c>
      <c r="Y3467" s="132"/>
      <c r="Z3467" s="146"/>
      <c r="AA3467" s="143">
        <f>'Valve Sizing'!$G$8*AA3465/P_1_maxW</f>
        <v>-0.77752606838368044</v>
      </c>
      <c r="AB3467" s="132"/>
      <c r="AC3467" s="146"/>
      <c r="AD3467" s="143">
        <f>'Valve Sizing'!$G$8*AD3465/P_1_maxW</f>
        <v>-2.9297343523741679</v>
      </c>
      <c r="AE3467" s="132"/>
      <c r="AF3467" s="146"/>
      <c r="AG3467" s="143">
        <f>'Valve Sizing'!$G$8*AG3465/P_1_maxW</f>
        <v>-6.2324484044225139</v>
      </c>
      <c r="AH3467" s="132"/>
      <c r="AI3467" s="146"/>
      <c r="AJ3467" s="143">
        <f>'Valve Sizing'!$G$8*AJ3465/P_1_maxW</f>
        <v>-10.344986735457107</v>
      </c>
      <c r="AK3467" s="132"/>
      <c r="AL3467" s="146"/>
      <c r="AM3467" s="143">
        <f>'Valve Sizing'!$G$8*AM3465/P_1_maxW</f>
        <v>-14.405553326065064</v>
      </c>
      <c r="AN3467" s="132"/>
      <c r="AO3467" s="146"/>
      <c r="AP3467" s="143">
        <f>'Valve Sizing'!$G$8*AP3465/P_1_maxW</f>
        <v>-18.049484399118544</v>
      </c>
      <c r="AQ3467" s="132"/>
      <c r="AR3467" s="146"/>
      <c r="AS3467" s="143">
        <f>'Valve Sizing'!$G$8*AS3465/P_1_maxW</f>
        <v>-22.585143197587414</v>
      </c>
      <c r="AT3467" s="132"/>
      <c r="AU3467" s="146"/>
    </row>
    <row r="3468" spans="13:47" x14ac:dyDescent="0.25">
      <c r="M3468" s="20"/>
      <c r="N3468" s="20"/>
      <c r="O3468" s="7" t="s">
        <v>190</v>
      </c>
      <c r="P3468" s="1"/>
      <c r="Q3468" s="7"/>
      <c r="R3468" s="181">
        <f>R3465-R3466</f>
        <v>49.666914922758124</v>
      </c>
      <c r="S3468" s="132"/>
      <c r="T3468" s="146"/>
      <c r="U3468" s="138">
        <f>U3465-U3466</f>
        <v>39.244011209748734</v>
      </c>
      <c r="V3468" s="132"/>
      <c r="W3468" s="146"/>
      <c r="X3468" s="138">
        <f>X3465-X3466</f>
        <v>-18.46178646967023</v>
      </c>
      <c r="Y3468" s="132"/>
      <c r="Z3468" s="146"/>
      <c r="AA3468" s="138">
        <f>AA3465-AA3466</f>
        <v>-211.1846528902046</v>
      </c>
      <c r="AB3468" s="132"/>
      <c r="AC3468" s="146"/>
      <c r="AD3468" s="138">
        <f>AD3465-AD3466</f>
        <v>-657.34711522869668</v>
      </c>
      <c r="AE3468" s="132"/>
      <c r="AF3468" s="146"/>
      <c r="AG3468" s="138">
        <f>AG3465-AG3466</f>
        <v>-1342.0146006310256</v>
      </c>
      <c r="AH3468" s="132"/>
      <c r="AI3468" s="146"/>
      <c r="AJ3468" s="138">
        <f>AJ3465-AJ3466</f>
        <v>-2194.5623033253696</v>
      </c>
      <c r="AK3468" s="132"/>
      <c r="AL3468" s="146"/>
      <c r="AM3468" s="138">
        <f>AM3465-AM3466</f>
        <v>-3036.3360303533013</v>
      </c>
      <c r="AN3468" s="132"/>
      <c r="AO3468" s="146"/>
      <c r="AP3468" s="138">
        <f>AP3465-AP3466</f>
        <v>-3791.7393397071974</v>
      </c>
      <c r="AQ3468" s="132"/>
      <c r="AR3468" s="146"/>
      <c r="AS3468" s="138">
        <f>AS3465-AS3466</f>
        <v>-4732.0018193683254</v>
      </c>
      <c r="AT3468" s="132"/>
      <c r="AU3468" s="146"/>
    </row>
    <row r="3469" spans="13:47" ht="14.5" x14ac:dyDescent="0.35">
      <c r="M3469" s="27"/>
      <c r="N3469" s="27"/>
      <c r="O3469" s="2" t="s">
        <v>191</v>
      </c>
      <c r="P3469" s="10"/>
      <c r="Q3469" s="2"/>
      <c r="R3469" s="181">
        <f>R3468/R3465</f>
        <v>0.49832900879143288</v>
      </c>
      <c r="S3469" s="132"/>
      <c r="T3469" s="146"/>
      <c r="U3469" s="138">
        <f>U3468/U3465</f>
        <v>0.43973831608167163</v>
      </c>
      <c r="V3469" s="132"/>
      <c r="W3469" s="146"/>
      <c r="X3469" s="138">
        <f>X3468/X3465</f>
        <v>-0.58537832055439154</v>
      </c>
      <c r="Y3469" s="132"/>
      <c r="Z3469" s="146"/>
      <c r="AA3469" s="138">
        <f>AA3468/AA3465</f>
        <v>1.3102032302917752</v>
      </c>
      <c r="AB3469" s="132"/>
      <c r="AC3469" s="146"/>
      <c r="AD3469" s="138">
        <f>AD3468/AD3465</f>
        <v>1.0823252448991587</v>
      </c>
      <c r="AE3469" s="132"/>
      <c r="AF3469" s="146"/>
      <c r="AG3469" s="138">
        <f>AG3468/AG3465</f>
        <v>1.0386992530700347</v>
      </c>
      <c r="AH3469" s="132"/>
      <c r="AI3469" s="146"/>
      <c r="AJ3469" s="138">
        <f>AJ3468/AJ3465</f>
        <v>1.0233147807934839</v>
      </c>
      <c r="AK3469" s="132"/>
      <c r="AL3469" s="146"/>
      <c r="AM3469" s="138">
        <f>AM3468/AM3465</f>
        <v>1.0167429249393896</v>
      </c>
      <c r="AN3469" s="132"/>
      <c r="AO3469" s="146"/>
      <c r="AP3469" s="138">
        <f>AP3468/AP3465</f>
        <v>1.0133627694129845</v>
      </c>
      <c r="AQ3469" s="132"/>
      <c r="AR3469" s="146"/>
      <c r="AS3469" s="138">
        <f>AS3468/AS3465</f>
        <v>1.0106791927745866</v>
      </c>
      <c r="AT3469" s="132"/>
      <c r="AU3469" s="146"/>
    </row>
    <row r="3470" spans="13:47" x14ac:dyDescent="0.25">
      <c r="M3470" s="27"/>
      <c r="N3470" s="27"/>
      <c r="O3470" s="2" t="s">
        <v>26</v>
      </c>
      <c r="P3470" s="7">
        <v>12</v>
      </c>
      <c r="Q3470" s="2"/>
      <c r="R3470" s="181">
        <f>1-R3469/(3*F_GAMMA*R$29)</f>
        <v>0.74046454180519539</v>
      </c>
      <c r="S3470" s="133"/>
      <c r="T3470" s="146"/>
      <c r="U3470" s="138">
        <f>1-U3469/(3*F_GAMMA*U$29)</f>
        <v>0.77102967063365879</v>
      </c>
      <c r="V3470" s="133"/>
      <c r="W3470" s="146"/>
      <c r="X3470" s="138">
        <f>1-X3469/(3*F_GAMMA*X$29)</f>
        <v>1.3093771663827487</v>
      </c>
      <c r="Y3470" s="133"/>
      <c r="Z3470" s="146"/>
      <c r="AA3470" s="138">
        <f>1-AA3469/(3*F_GAMMA*AA$29)</f>
        <v>0.29805252552144124</v>
      </c>
      <c r="AB3470" s="133"/>
      <c r="AC3470" s="146"/>
      <c r="AD3470" s="138">
        <f>1-AD3469/(3*F_GAMMA*AD$29)</f>
        <v>0.40424066637696576</v>
      </c>
      <c r="AE3470" s="133"/>
      <c r="AF3470" s="146"/>
      <c r="AG3470" s="138">
        <f>1-AG3469/(3*F_GAMMA*AG$29)</f>
        <v>0.39564105169437902</v>
      </c>
      <c r="AH3470" s="133"/>
      <c r="AI3470" s="146"/>
      <c r="AJ3470" s="138">
        <f>1-AJ3469/(3*F_GAMMA*AJ$29)</f>
        <v>0.36350118815593291</v>
      </c>
      <c r="AK3470" s="133"/>
      <c r="AL3470" s="146"/>
      <c r="AM3470" s="138">
        <f>1-AM3469/(3*F_GAMMA*AM$29)</f>
        <v>0.30902652406823727</v>
      </c>
      <c r="AN3470" s="133"/>
      <c r="AO3470" s="146"/>
      <c r="AP3470" s="138">
        <f>1-AP3469/(3*F_GAMMA*AP$29)</f>
        <v>0.43088351182562301</v>
      </c>
      <c r="AQ3470" s="133"/>
      <c r="AR3470" s="146"/>
      <c r="AS3470" s="138">
        <f>1-AS3469/(3*F_GAMMA*AS$29)</f>
        <v>0.13831967016197455</v>
      </c>
      <c r="AT3470" s="133"/>
      <c r="AU3470" s="146"/>
    </row>
    <row r="3471" spans="13:47" x14ac:dyDescent="0.25">
      <c r="M3471" s="27"/>
      <c r="N3471" s="27"/>
      <c r="O3471" s="2" t="s">
        <v>71</v>
      </c>
      <c r="P3471" s="85">
        <v>5</v>
      </c>
      <c r="Q3471" s="2"/>
      <c r="R3471" s="179">
        <f>R3463/((N_6*R$27*R3470)*SQRT(R3469*R3465*R3467))</f>
        <v>6.3971467910971258</v>
      </c>
      <c r="S3471" s="133"/>
      <c r="T3471" s="146"/>
      <c r="U3471" s="143">
        <f>U3463/((N_6*U$27*U3470)*SQRT(U3469*U3465*U3467))</f>
        <v>26.530713701722902</v>
      </c>
      <c r="V3471" s="133"/>
      <c r="W3471" s="146"/>
      <c r="X3471" s="143" t="e">
        <f>X3463/((N_6*X$27*X3470)*SQRT(X3469*X3465*X3467))</f>
        <v>#NUM!</v>
      </c>
      <c r="Y3471" s="133"/>
      <c r="Z3471" s="146"/>
      <c r="AA3471" s="143">
        <f>AA3463/((N_6*AA$27*AA3470)*SQRT(AA3469*AA3465*AA3467))</f>
        <v>106.89059544901679</v>
      </c>
      <c r="AB3471" s="133"/>
      <c r="AC3471" s="146"/>
      <c r="AD3471" s="143">
        <f>AD3463/((N_6*AD$27*AD3470)*SQRT(AD3469*AD3465*AD3467))</f>
        <v>38.298593477770872</v>
      </c>
      <c r="AE3471" s="133"/>
      <c r="AF3471" s="146"/>
      <c r="AG3471" s="143">
        <f>AG3463/((N_6*AG$27*AG3470)*SQRT(AG3469*AG3465*AG3467))</f>
        <v>26.904346326354517</v>
      </c>
      <c r="AH3471" s="133"/>
      <c r="AI3471" s="146"/>
      <c r="AJ3471" s="143">
        <f>AJ3463/((N_6*AJ$27*AJ3470)*SQRT(AJ3469*AJ3465*AJ3467))</f>
        <v>23.34315447642814</v>
      </c>
      <c r="AK3471" s="133"/>
      <c r="AL3471" s="146"/>
      <c r="AM3471" s="143">
        <f>AM3463/((N_6*AM$27*AM3470)*SQRT(AM3469*AM3465*AM3467))</f>
        <v>24.620387492409733</v>
      </c>
      <c r="AN3471" s="133"/>
      <c r="AO3471" s="146"/>
      <c r="AP3471" s="143">
        <f>AP3463/((N_6*AP$27*AP3470)*SQRT(AP3469*AP3465*AP3467))</f>
        <v>17.889913920655985</v>
      </c>
      <c r="AQ3471" s="133"/>
      <c r="AR3471" s="146"/>
      <c r="AS3471" s="143">
        <f>AS3463/((N_6*AS$27*AS3470)*SQRT(AS3469*AS3465*AS3467))</f>
        <v>65.376922622983344</v>
      </c>
      <c r="AT3471" s="133"/>
      <c r="AU3471" s="146"/>
    </row>
    <row r="3472" spans="13:47" x14ac:dyDescent="0.25">
      <c r="M3472" s="27"/>
      <c r="N3472" s="27"/>
      <c r="O3472" s="2" t="s">
        <v>73</v>
      </c>
      <c r="P3472" s="85">
        <v>5</v>
      </c>
      <c r="Q3472" s="2"/>
      <c r="R3472" s="179">
        <f>R3463/((N_6*R$27*0.667)*SQRT(R3473*R3465*R3467))</f>
        <v>6.2664809888521678</v>
      </c>
      <c r="S3472" s="133"/>
      <c r="T3472" s="155"/>
      <c r="U3472" s="143">
        <f>U3463/((N_6*U$27*0.667)*SQRT(U3473*U3465*U3467))</f>
        <v>25.418178298059409</v>
      </c>
      <c r="V3472" s="133"/>
      <c r="W3472" s="155"/>
      <c r="X3472" s="143">
        <f>X3463/((N_6*X$27*0.667)*SQRT(X3473*X3465*X3467))</f>
        <v>179.60822212791342</v>
      </c>
      <c r="Y3472" s="133"/>
      <c r="Z3472" s="155"/>
      <c r="AA3472" s="143">
        <f>AA3463/((N_6*AA$27*0.667)*SQRT(AA3473*AA3465*AA3467))</f>
        <v>69.31375131981784</v>
      </c>
      <c r="AB3472" s="133"/>
      <c r="AC3472" s="155"/>
      <c r="AD3472" s="143">
        <f>AD3463/((N_6*AD$27*0.667)*SQRT(AD3473*AD3465*AD3467))</f>
        <v>31.030805333495135</v>
      </c>
      <c r="AE3472" s="133"/>
      <c r="AF3472" s="155"/>
      <c r="AG3472" s="143">
        <f>AG3463/((N_6*AG$27*0.667)*SQRT(AG3473*AG3465*AG3467))</f>
        <v>21.488498196404002</v>
      </c>
      <c r="AH3472" s="133"/>
      <c r="AI3472" s="155"/>
      <c r="AJ3472" s="143">
        <f>AJ3463/((N_6*AJ$27*0.667)*SQRT(AJ3473*AJ3465*AJ3467))</f>
        <v>17.579194483475543</v>
      </c>
      <c r="AK3472" s="133"/>
      <c r="AL3472" s="155"/>
      <c r="AM3472" s="143">
        <f>AM3463/((N_6*AM$27*0.667)*SQRT(AM3473*AM3465*AM3467))</f>
        <v>16.423137259840814</v>
      </c>
      <c r="AN3472" s="133"/>
      <c r="AO3472" s="155"/>
      <c r="AP3472" s="143">
        <f>AP3463/((N_6*AP$27*0.667)*SQRT(AP3473*AP3465*AP3467))</f>
        <v>15.100923381010935</v>
      </c>
      <c r="AQ3472" s="133"/>
      <c r="AR3472" s="155"/>
      <c r="AS3472" s="143">
        <f>AS3463/((N_6*AS$27*0.667)*SQRT(AS3473*AS3465*AS3467))</f>
        <v>21.797982599635219</v>
      </c>
      <c r="AT3472" s="133"/>
      <c r="AU3472" s="155"/>
    </row>
    <row r="3473" spans="13:47" ht="15.5" x14ac:dyDescent="0.4">
      <c r="M3473" s="27"/>
      <c r="N3473" s="27"/>
      <c r="O3473" s="2" t="s">
        <v>192</v>
      </c>
      <c r="P3473" s="85">
        <v>10</v>
      </c>
      <c r="Q3473" s="2"/>
      <c r="R3473" s="181">
        <f>F_GAMMA*R$29</f>
        <v>0.64002688015162901</v>
      </c>
      <c r="S3473" s="133"/>
      <c r="T3473" s="155"/>
      <c r="U3473" s="138">
        <f>F_GAMMA*U$29</f>
        <v>0.64016782916606918</v>
      </c>
      <c r="V3473" s="133"/>
      <c r="W3473" s="155"/>
      <c r="X3473" s="138">
        <f>F_GAMMA*X$29</f>
        <v>0.6307062319203669</v>
      </c>
      <c r="Y3473" s="133"/>
      <c r="Z3473" s="155"/>
      <c r="AA3473" s="138">
        <f>F_GAMMA*AA$29</f>
        <v>0.62217534213893466</v>
      </c>
      <c r="AB3473" s="133"/>
      <c r="AC3473" s="155"/>
      <c r="AD3473" s="138">
        <f>F_GAMMA*AD$29</f>
        <v>0.60557184969146072</v>
      </c>
      <c r="AE3473" s="133"/>
      <c r="AF3473" s="155"/>
      <c r="AG3473" s="138">
        <f>F_GAMMA*AG$29</f>
        <v>0.57289312142622573</v>
      </c>
      <c r="AH3473" s="133"/>
      <c r="AI3473" s="155"/>
      <c r="AJ3473" s="138">
        <f>F_GAMMA*AJ$29</f>
        <v>0.53590819116049981</v>
      </c>
      <c r="AK3473" s="133"/>
      <c r="AL3473" s="155"/>
      <c r="AM3473" s="138">
        <f>F_GAMMA*AM$29</f>
        <v>0.49048815926850342</v>
      </c>
      <c r="AN3473" s="133"/>
      <c r="AO3473" s="155"/>
      <c r="AP3473" s="138">
        <f>F_GAMMA*AP$29</f>
        <v>0.59352979016280105</v>
      </c>
      <c r="AQ3473" s="133"/>
      <c r="AR3473" s="155"/>
      <c r="AS3473" s="138">
        <f>F_GAMMA*AS$29</f>
        <v>0.39097221161068291</v>
      </c>
      <c r="AT3473" s="133"/>
      <c r="AU3473" s="155"/>
    </row>
    <row r="3474" spans="13:47" x14ac:dyDescent="0.25">
      <c r="M3474" s="27"/>
      <c r="N3474" s="27"/>
      <c r="O3474" s="2" t="s">
        <v>193</v>
      </c>
      <c r="P3474" s="134"/>
      <c r="Q3474" s="2"/>
      <c r="R3474" s="181">
        <f>IF(R3469&lt;R3473,R3471,R3472)</f>
        <v>6.3971467910971258</v>
      </c>
      <c r="S3474" s="133"/>
      <c r="T3474" s="155"/>
      <c r="U3474" s="138">
        <f>IF(U3469&lt;U3473,U3471,U3472)</f>
        <v>26.530713701722902</v>
      </c>
      <c r="V3474" s="133"/>
      <c r="W3474" s="155"/>
      <c r="X3474" s="138" t="e">
        <f>IF(X3469&lt;X3473,X3471,X3472)</f>
        <v>#NUM!</v>
      </c>
      <c r="Y3474" s="133"/>
      <c r="Z3474" s="155"/>
      <c r="AA3474" s="138">
        <f>IF(AA3469&lt;AA3473,AA3471,AA3472)</f>
        <v>69.31375131981784</v>
      </c>
      <c r="AB3474" s="133"/>
      <c r="AC3474" s="155"/>
      <c r="AD3474" s="138">
        <f>IF(AD3469&lt;AD3473,AD3471,AD3472)</f>
        <v>31.030805333495135</v>
      </c>
      <c r="AE3474" s="133"/>
      <c r="AF3474" s="155"/>
      <c r="AG3474" s="138">
        <f>IF(AG3469&lt;AG3473,AG3471,AG3472)</f>
        <v>21.488498196404002</v>
      </c>
      <c r="AH3474" s="133"/>
      <c r="AI3474" s="155"/>
      <c r="AJ3474" s="138">
        <f>IF(AJ3469&lt;AJ3473,AJ3471,AJ3472)</f>
        <v>17.579194483475543</v>
      </c>
      <c r="AK3474" s="133"/>
      <c r="AL3474" s="155"/>
      <c r="AM3474" s="138">
        <f>IF(AM3469&lt;AM3473,AM3471,AM3472)</f>
        <v>16.423137259840814</v>
      </c>
      <c r="AN3474" s="133"/>
      <c r="AO3474" s="155"/>
      <c r="AP3474" s="138">
        <f>IF(AP3469&lt;AP3473,AP3471,AP3472)</f>
        <v>15.100923381010935</v>
      </c>
      <c r="AQ3474" s="133"/>
      <c r="AR3474" s="155"/>
      <c r="AS3474" s="138">
        <f>IF(AS3469&lt;AS3473,AS3471,AS3472)</f>
        <v>21.797982599635219</v>
      </c>
      <c r="AT3474" s="133"/>
      <c r="AU3474" s="155"/>
    </row>
    <row r="3475" spans="13:47" ht="13" x14ac:dyDescent="0.3">
      <c r="M3475" s="28"/>
      <c r="N3475" s="28"/>
      <c r="O3475" s="9" t="s">
        <v>194</v>
      </c>
      <c r="P3475" s="1"/>
      <c r="Q3475" s="1"/>
      <c r="R3475" s="135"/>
      <c r="S3475" s="132">
        <f>IF(R3468&lt;=0,W_max,ABS(R$23-R3474))</f>
        <v>4.3971467910971258</v>
      </c>
      <c r="T3475" s="151">
        <f>R3463</f>
        <v>1465.0335431897181</v>
      </c>
      <c r="U3475" s="135"/>
      <c r="V3475" s="132">
        <f>IF(U3468&lt;=0,W_max,ABS(U$23-U3474))</f>
        <v>21.530713701722902</v>
      </c>
      <c r="W3475" s="151">
        <f>U3463</f>
        <v>5318.3165453376232</v>
      </c>
      <c r="X3475" s="135"/>
      <c r="Y3475" s="132">
        <f>IF(X3468&lt;=0,W_max,ABS(X$23-X3474))</f>
        <v>7174</v>
      </c>
      <c r="Z3475" s="151">
        <f>X3463</f>
        <v>13152.829703707705</v>
      </c>
      <c r="AA3475" s="135"/>
      <c r="AB3475" s="132">
        <f>IF(AA3468&lt;=0,W_max,ABS(AA$23-AA3474))</f>
        <v>7174</v>
      </c>
      <c r="AC3475" s="151">
        <f>AA3463</f>
        <v>25618.355063368224</v>
      </c>
      <c r="AD3475" s="135"/>
      <c r="AE3475" s="132">
        <f>IF(AD3468&lt;=0,W_max,ABS(AD$23-AD3474))</f>
        <v>7174</v>
      </c>
      <c r="AF3475" s="151">
        <f>AD3463</f>
        <v>42132.761960510732</v>
      </c>
      <c r="AG3475" s="135"/>
      <c r="AH3475" s="132">
        <f>IF(AG3468&lt;=0,W_max,ABS(AG$23-AG3474))</f>
        <v>7174</v>
      </c>
      <c r="AI3475" s="151">
        <f>AG3463</f>
        <v>59094.442289573155</v>
      </c>
      <c r="AJ3475" s="135"/>
      <c r="AK3475" s="132">
        <f>IF(AJ3468&lt;=0,W_max,ABS(AJ$23-AJ3474))</f>
        <v>7174</v>
      </c>
      <c r="AL3475" s="151">
        <f>AJ3463</f>
        <v>75034.260910740646</v>
      </c>
      <c r="AM3475" s="135"/>
      <c r="AN3475" s="132">
        <f>IF(AM3468&lt;=0,W_max,ABS(AM$23-AM3474))</f>
        <v>7174</v>
      </c>
      <c r="AO3475" s="151">
        <f>AM3463</f>
        <v>87983.571981567511</v>
      </c>
      <c r="AP3475" s="135"/>
      <c r="AQ3475" s="132">
        <f>IF(AP3468&lt;=0,W_max,ABS(AP$23-AP3474))</f>
        <v>7174</v>
      </c>
      <c r="AR3475" s="151">
        <f>AP3463</f>
        <v>98160.486286384286</v>
      </c>
      <c r="AS3475" s="135"/>
      <c r="AT3475" s="132">
        <f>IF(AS3468&lt;=0,W_max,ABS(AS$23-AS3474))</f>
        <v>7174</v>
      </c>
      <c r="AU3475" s="151">
        <f>AS3463</f>
        <v>109514.54744299385</v>
      </c>
    </row>
    <row r="3476" spans="13:47" ht="13" x14ac:dyDescent="0.25">
      <c r="M3476" s="12"/>
      <c r="N3476" s="12"/>
      <c r="O3476" s="2"/>
      <c r="P3476" s="85"/>
      <c r="Q3476" s="2"/>
      <c r="R3476" s="18"/>
      <c r="S3476" s="150"/>
      <c r="T3476" s="148"/>
      <c r="U3476" s="157"/>
      <c r="V3476" s="1"/>
      <c r="W3476" s="147"/>
      <c r="X3476" s="157"/>
      <c r="Y3476" s="1"/>
      <c r="Z3476" s="147"/>
      <c r="AA3476" s="157"/>
      <c r="AB3476" s="1"/>
      <c r="AC3476" s="147"/>
      <c r="AD3476" s="157"/>
      <c r="AE3476" s="1"/>
      <c r="AF3476" s="147"/>
      <c r="AG3476" s="157"/>
      <c r="AH3476" s="1"/>
      <c r="AI3476" s="147"/>
      <c r="AJ3476" s="157"/>
      <c r="AK3476" s="1"/>
      <c r="AL3476" s="147"/>
      <c r="AM3476" s="157"/>
      <c r="AN3476" s="1"/>
      <c r="AO3476" s="147"/>
      <c r="AP3476" s="157"/>
      <c r="AQ3476" s="1"/>
      <c r="AR3476" s="147"/>
      <c r="AS3476" s="157"/>
      <c r="AT3476" s="1"/>
      <c r="AU3476" s="147"/>
    </row>
    <row r="3477" spans="13:47" ht="14" x14ac:dyDescent="0.3">
      <c r="M3477" s="23"/>
      <c r="N3477" s="23"/>
      <c r="O3477" s="23" t="s">
        <v>238</v>
      </c>
      <c r="P3477" s="20"/>
      <c r="Q3477" s="20"/>
      <c r="R3477" s="181">
        <f>R3463*1.02</f>
        <v>1494.3342140535126</v>
      </c>
      <c r="S3477" s="128" t="s">
        <v>185</v>
      </c>
      <c r="T3477" s="149" t="s">
        <v>186</v>
      </c>
      <c r="U3477" s="143">
        <f>U3463*1.01</f>
        <v>5371.4997107909994</v>
      </c>
      <c r="V3477" s="128" t="s">
        <v>185</v>
      </c>
      <c r="W3477" s="153" t="s">
        <v>186</v>
      </c>
      <c r="X3477" s="143">
        <f>X3463*1.01</f>
        <v>13284.358000744782</v>
      </c>
      <c r="Y3477" s="128" t="s">
        <v>185</v>
      </c>
      <c r="Z3477" s="153" t="s">
        <v>186</v>
      </c>
      <c r="AA3477" s="143">
        <f>AA3463*1.01</f>
        <v>25874.538614001907</v>
      </c>
      <c r="AB3477" s="128" t="s">
        <v>185</v>
      </c>
      <c r="AC3477" s="153" t="s">
        <v>186</v>
      </c>
      <c r="AD3477" s="143">
        <f>AD3463*1.01</f>
        <v>42554.08958011584</v>
      </c>
      <c r="AE3477" s="128" t="s">
        <v>185</v>
      </c>
      <c r="AF3477" s="153" t="s">
        <v>186</v>
      </c>
      <c r="AG3477" s="143">
        <f>AG3463*1.01</f>
        <v>59685.386712468884</v>
      </c>
      <c r="AH3477" s="128" t="s">
        <v>185</v>
      </c>
      <c r="AI3477" s="153" t="s">
        <v>186</v>
      </c>
      <c r="AJ3477" s="143">
        <f>AJ3463*1.01</f>
        <v>75784.603519848053</v>
      </c>
      <c r="AK3477" s="128" t="s">
        <v>185</v>
      </c>
      <c r="AL3477" s="153" t="s">
        <v>186</v>
      </c>
      <c r="AM3477" s="143">
        <f>AM3463*1.01</f>
        <v>88863.407701383185</v>
      </c>
      <c r="AN3477" s="128" t="s">
        <v>185</v>
      </c>
      <c r="AO3477" s="153" t="s">
        <v>186</v>
      </c>
      <c r="AP3477" s="143">
        <f>AP3463*1.01</f>
        <v>99142.091149248125</v>
      </c>
      <c r="AQ3477" s="128" t="s">
        <v>185</v>
      </c>
      <c r="AR3477" s="153" t="s">
        <v>186</v>
      </c>
      <c r="AS3477" s="143">
        <f>AS3463*1.01</f>
        <v>110609.69291742379</v>
      </c>
      <c r="AT3477" s="128" t="s">
        <v>185</v>
      </c>
      <c r="AU3477" s="153" t="s">
        <v>186</v>
      </c>
    </row>
    <row r="3478" spans="13:47" ht="14" x14ac:dyDescent="0.3">
      <c r="M3478" s="12"/>
      <c r="N3478" s="12"/>
      <c r="O3478" s="20"/>
      <c r="P3478" s="20"/>
      <c r="Q3478" s="23"/>
      <c r="R3478" s="139"/>
      <c r="S3478" s="130" t="s">
        <v>228</v>
      </c>
      <c r="T3478" s="131" t="s">
        <v>187</v>
      </c>
      <c r="U3478" s="144"/>
      <c r="V3478" s="130" t="s">
        <v>228</v>
      </c>
      <c r="W3478" s="154" t="s">
        <v>187</v>
      </c>
      <c r="X3478" s="144"/>
      <c r="Y3478" s="130" t="s">
        <v>228</v>
      </c>
      <c r="Z3478" s="154" t="s">
        <v>187</v>
      </c>
      <c r="AA3478" s="144"/>
      <c r="AB3478" s="130" t="s">
        <v>228</v>
      </c>
      <c r="AC3478" s="154" t="s">
        <v>187</v>
      </c>
      <c r="AD3478" s="144"/>
      <c r="AE3478" s="130" t="s">
        <v>228</v>
      </c>
      <c r="AF3478" s="154" t="s">
        <v>187</v>
      </c>
      <c r="AG3478" s="144"/>
      <c r="AH3478" s="130" t="s">
        <v>228</v>
      </c>
      <c r="AI3478" s="154" t="s">
        <v>187</v>
      </c>
      <c r="AJ3478" s="144"/>
      <c r="AK3478" s="130" t="s">
        <v>228</v>
      </c>
      <c r="AL3478" s="154" t="s">
        <v>187</v>
      </c>
      <c r="AM3478" s="144"/>
      <c r="AN3478" s="130" t="s">
        <v>228</v>
      </c>
      <c r="AO3478" s="154" t="s">
        <v>187</v>
      </c>
      <c r="AP3478" s="144"/>
      <c r="AQ3478" s="130" t="s">
        <v>228</v>
      </c>
      <c r="AR3478" s="154" t="s">
        <v>187</v>
      </c>
      <c r="AS3478" s="144"/>
      <c r="AT3478" s="130" t="s">
        <v>228</v>
      </c>
      <c r="AU3478" s="154" t="s">
        <v>187</v>
      </c>
    </row>
    <row r="3479" spans="13:47" x14ac:dyDescent="0.25">
      <c r="M3479" s="20"/>
      <c r="N3479" s="20"/>
      <c r="O3479" s="7" t="s">
        <v>188</v>
      </c>
      <c r="P3479" s="7"/>
      <c r="Q3479" s="7"/>
      <c r="R3479" s="181">
        <f>P_1_minW-(R3477^2*R_up)+dpup_minQ</f>
        <v>99.632337701473801</v>
      </c>
      <c r="S3479" s="132"/>
      <c r="T3479" s="145"/>
      <c r="U3479" s="138">
        <f>P_1_minW-(U3477^2*R_up)+dpup_minQ</f>
        <v>89.017307821656487</v>
      </c>
      <c r="V3479" s="132"/>
      <c r="W3479" s="145"/>
      <c r="X3479" s="138">
        <f>P_1_minW-(X3477^2*R_up)+dpup_minQ</f>
        <v>30.151623608881195</v>
      </c>
      <c r="Y3479" s="132"/>
      <c r="Z3479" s="145"/>
      <c r="AA3479" s="138">
        <f>P_1_minW-(AA3477^2*R_up)+dpup_minQ</f>
        <v>-166.44497242670596</v>
      </c>
      <c r="AB3479" s="132"/>
      <c r="AC3479" s="145"/>
      <c r="AD3479" s="138">
        <f>P_1_minW-(AD3477^2*R_up)+dpup_minQ</f>
        <v>-621.57530025820165</v>
      </c>
      <c r="AE3479" s="132"/>
      <c r="AF3479" s="145"/>
      <c r="AG3479" s="138">
        <f>P_1_minW-(AG3477^2*R_up)+dpup_minQ</f>
        <v>-1320.0046021171174</v>
      </c>
      <c r="AH3479" s="132"/>
      <c r="AI3479" s="145"/>
      <c r="AJ3479" s="138">
        <f>P_1_minW-(AJ3477^2*R_up)+dpup_minQ</f>
        <v>-2189.6885136356177</v>
      </c>
      <c r="AK3479" s="132"/>
      <c r="AL3479" s="145"/>
      <c r="AM3479" s="138">
        <f>P_1_minW-(AM3477^2*R_up)+dpup_minQ</f>
        <v>-3048.3818925768105</v>
      </c>
      <c r="AN3479" s="132"/>
      <c r="AO3479" s="145"/>
      <c r="AP3479" s="138">
        <f>P_1_minW-(AP3477^2*R_up)+dpup_minQ</f>
        <v>-3818.9688084487202</v>
      </c>
      <c r="AQ3479" s="132"/>
      <c r="AR3479" s="145"/>
      <c r="AS3479" s="138">
        <f>P_1_minW-(AS3477^2*R_up)+dpup_minQ</f>
        <v>-4778.1305639510374</v>
      </c>
      <c r="AT3479" s="132"/>
      <c r="AU3479" s="145"/>
    </row>
    <row r="3480" spans="13:47" x14ac:dyDescent="0.25">
      <c r="M3480" s="20"/>
      <c r="N3480" s="20"/>
      <c r="O3480" s="7" t="s">
        <v>189</v>
      </c>
      <c r="P3480" s="1"/>
      <c r="Q3480" s="7"/>
      <c r="R3480" s="181">
        <f>P_2_minW+(R3477^2*R_dn)-dpdn_minQ</f>
        <v>50</v>
      </c>
      <c r="S3480" s="132"/>
      <c r="T3480" s="146"/>
      <c r="U3480" s="138">
        <f>P_2_minW+(U3477^2*R_dn)-dpdn_minQ</f>
        <v>50</v>
      </c>
      <c r="V3480" s="132"/>
      <c r="W3480" s="146"/>
      <c r="X3480" s="138">
        <f>P_2_minW+(X3477^2*R_dn)-dpdn_minQ</f>
        <v>50</v>
      </c>
      <c r="Y3480" s="132"/>
      <c r="Z3480" s="146"/>
      <c r="AA3480" s="138">
        <f>P_2_minW+(AA3477^2*R_dn)-dpdn_minQ</f>
        <v>50</v>
      </c>
      <c r="AB3480" s="132"/>
      <c r="AC3480" s="146"/>
      <c r="AD3480" s="138">
        <f>P_2_minW+(AD3477^2*R_dn)-dpdn_minQ</f>
        <v>50</v>
      </c>
      <c r="AE3480" s="132"/>
      <c r="AF3480" s="146"/>
      <c r="AG3480" s="138">
        <f>P_2_minW+(AG3477^2*R_dn)-dpdn_minQ</f>
        <v>50</v>
      </c>
      <c r="AH3480" s="132"/>
      <c r="AI3480" s="146"/>
      <c r="AJ3480" s="138">
        <f>P_2_minW+(AJ3477^2*R_dn)-dpdn_minQ</f>
        <v>50</v>
      </c>
      <c r="AK3480" s="132"/>
      <c r="AL3480" s="146"/>
      <c r="AM3480" s="138">
        <f>P_2_minW+(AM3477^2*R_dn)-dpdn_minQ</f>
        <v>50</v>
      </c>
      <c r="AN3480" s="132"/>
      <c r="AO3480" s="146"/>
      <c r="AP3480" s="138">
        <f>P_2_minW+(AP3477^2*R_dn)-dpdn_minQ</f>
        <v>50</v>
      </c>
      <c r="AQ3480" s="132"/>
      <c r="AR3480" s="146"/>
      <c r="AS3480" s="138">
        <f>P_2_minW+(AS3477^2*R_dn)-dpdn_minQ</f>
        <v>50</v>
      </c>
      <c r="AT3480" s="132"/>
      <c r="AU3480" s="146"/>
    </row>
    <row r="3481" spans="13:47" x14ac:dyDescent="0.25">
      <c r="M3481" s="20"/>
      <c r="N3481" s="20"/>
      <c r="O3481" s="7" t="s">
        <v>234</v>
      </c>
      <c r="P3481" s="1"/>
      <c r="Q3481" s="7"/>
      <c r="R3481" s="179">
        <f>'Valve Sizing'!G$8*R3479/P_1_maxW</f>
        <v>0.48060865862751018</v>
      </c>
      <c r="S3481" s="132"/>
      <c r="T3481" s="146"/>
      <c r="U3481" s="143">
        <f>'Valve Sizing'!$G$8*U3479/P_1_maxW</f>
        <v>0.42940364437685619</v>
      </c>
      <c r="V3481" s="132"/>
      <c r="W3481" s="146"/>
      <c r="X3481" s="143">
        <f>'Valve Sizing'!$G$8*X3479/P_1_maxW</f>
        <v>0.14544606412353206</v>
      </c>
      <c r="Y3481" s="132"/>
      <c r="Z3481" s="146"/>
      <c r="AA3481" s="143">
        <f>'Valve Sizing'!$G$8*AA3479/P_1_maxW</f>
        <v>-0.80290091328559432</v>
      </c>
      <c r="AB3481" s="132"/>
      <c r="AC3481" s="146"/>
      <c r="AD3481" s="143">
        <f>'Valve Sizing'!$G$8*AD3479/P_1_maxW</f>
        <v>-2.9983685837842904</v>
      </c>
      <c r="AE3481" s="132"/>
      <c r="AF3481" s="146"/>
      <c r="AG3481" s="143">
        <f>'Valve Sizing'!$G$8*AG3479/P_1_maxW</f>
        <v>-6.3674671882788081</v>
      </c>
      <c r="AH3481" s="132"/>
      <c r="AI3481" s="146"/>
      <c r="AJ3481" s="143">
        <f>'Valve Sizing'!$G$8*AJ3479/P_1_maxW</f>
        <v>-10.562667539767196</v>
      </c>
      <c r="AK3481" s="132"/>
      <c r="AL3481" s="146"/>
      <c r="AM3481" s="143">
        <f>'Valve Sizing'!$G$8*AM3479/P_1_maxW</f>
        <v>-14.704851518846372</v>
      </c>
      <c r="AN3481" s="132"/>
      <c r="AO3481" s="146"/>
      <c r="AP3481" s="143">
        <f>'Valve Sizing'!$G$8*AP3479/P_1_maxW</f>
        <v>-18.422025606468228</v>
      </c>
      <c r="AQ3481" s="132"/>
      <c r="AR3481" s="146"/>
      <c r="AS3481" s="143">
        <f>'Valve Sizing'!$G$8*AS3479/P_1_maxW</f>
        <v>-23.048851146786326</v>
      </c>
      <c r="AT3481" s="132"/>
      <c r="AU3481" s="146"/>
    </row>
    <row r="3482" spans="13:47" x14ac:dyDescent="0.25">
      <c r="M3482" s="20"/>
      <c r="N3482" s="20"/>
      <c r="O3482" s="7" t="s">
        <v>190</v>
      </c>
      <c r="P3482" s="1"/>
      <c r="Q3482" s="7"/>
      <c r="R3482" s="181">
        <f>R3479-R3480</f>
        <v>49.632337701473801</v>
      </c>
      <c r="S3482" s="132"/>
      <c r="T3482" s="146"/>
      <c r="U3482" s="138">
        <f>U3479-U3480</f>
        <v>39.017307821656487</v>
      </c>
      <c r="V3482" s="132"/>
      <c r="W3482" s="146"/>
      <c r="X3482" s="138">
        <f>X3479-X3480</f>
        <v>-19.848376391118805</v>
      </c>
      <c r="Y3482" s="132"/>
      <c r="Z3482" s="146"/>
      <c r="AA3482" s="138">
        <f>AA3479-AA3480</f>
        <v>-216.44497242670596</v>
      </c>
      <c r="AB3482" s="132"/>
      <c r="AC3482" s="146"/>
      <c r="AD3482" s="138">
        <f>AD3479-AD3480</f>
        <v>-671.57530025820165</v>
      </c>
      <c r="AE3482" s="132"/>
      <c r="AF3482" s="146"/>
      <c r="AG3482" s="138">
        <f>AG3479-AG3480</f>
        <v>-1370.0046021171174</v>
      </c>
      <c r="AH3482" s="132"/>
      <c r="AI3482" s="146"/>
      <c r="AJ3482" s="138">
        <f>AJ3479-AJ3480</f>
        <v>-2239.6885136356177</v>
      </c>
      <c r="AK3482" s="132"/>
      <c r="AL3482" s="146"/>
      <c r="AM3482" s="138">
        <f>AM3479-AM3480</f>
        <v>-3098.3818925768105</v>
      </c>
      <c r="AN3482" s="132"/>
      <c r="AO3482" s="146"/>
      <c r="AP3482" s="138">
        <f>AP3479-AP3480</f>
        <v>-3868.9688084487202</v>
      </c>
      <c r="AQ3482" s="132"/>
      <c r="AR3482" s="146"/>
      <c r="AS3482" s="138">
        <f>AS3479-AS3480</f>
        <v>-4828.1305639510374</v>
      </c>
      <c r="AT3482" s="132"/>
      <c r="AU3482" s="146"/>
    </row>
    <row r="3483" spans="13:47" ht="14.5" x14ac:dyDescent="0.35">
      <c r="M3483" s="27"/>
      <c r="N3483" s="27"/>
      <c r="O3483" s="2" t="s">
        <v>191</v>
      </c>
      <c r="P3483" s="10"/>
      <c r="Q3483" s="2"/>
      <c r="R3483" s="181">
        <f>R3482/R3479</f>
        <v>0.4981549047879022</v>
      </c>
      <c r="S3483" s="132"/>
      <c r="T3483" s="146"/>
      <c r="U3483" s="138">
        <f>U3482/U3479</f>
        <v>0.43831147870509063</v>
      </c>
      <c r="V3483" s="132"/>
      <c r="W3483" s="146"/>
      <c r="X3483" s="138">
        <f>X3482/X3479</f>
        <v>-0.65828549230338773</v>
      </c>
      <c r="Y3483" s="132"/>
      <c r="Z3483" s="146"/>
      <c r="AA3483" s="138">
        <f>AA3482/AA3479</f>
        <v>1.3003995811409534</v>
      </c>
      <c r="AB3483" s="132"/>
      <c r="AC3483" s="146"/>
      <c r="AD3483" s="138">
        <f>AD3482/AD3479</f>
        <v>1.0804407768121256</v>
      </c>
      <c r="AE3483" s="132"/>
      <c r="AF3483" s="146"/>
      <c r="AG3483" s="138">
        <f>AG3482/AG3479</f>
        <v>1.0378786558166588</v>
      </c>
      <c r="AH3483" s="132"/>
      <c r="AI3483" s="146"/>
      <c r="AJ3483" s="138">
        <f>AJ3482/AJ3479</f>
        <v>1.0228342979782925</v>
      </c>
      <c r="AK3483" s="132"/>
      <c r="AL3483" s="146"/>
      <c r="AM3483" s="138">
        <f>AM3482/AM3479</f>
        <v>1.0164021444038085</v>
      </c>
      <c r="AN3483" s="132"/>
      <c r="AO3483" s="146"/>
      <c r="AP3483" s="138">
        <f>AP3482/AP3479</f>
        <v>1.0130925395068389</v>
      </c>
      <c r="AQ3483" s="132"/>
      <c r="AR3483" s="146"/>
      <c r="AS3483" s="138">
        <f>AS3482/AS3479</f>
        <v>1.0104643436027532</v>
      </c>
      <c r="AT3483" s="132"/>
      <c r="AU3483" s="146"/>
    </row>
    <row r="3484" spans="13:47" x14ac:dyDescent="0.25">
      <c r="M3484" s="27"/>
      <c r="N3484" s="27"/>
      <c r="O3484" s="2" t="s">
        <v>26</v>
      </c>
      <c r="P3484" s="7">
        <v>12</v>
      </c>
      <c r="Q3484" s="2"/>
      <c r="R3484" s="181">
        <f>1-R3483/(3*F_GAMMA*R$29)</f>
        <v>0.74055521716531447</v>
      </c>
      <c r="S3484" s="133"/>
      <c r="T3484" s="146"/>
      <c r="U3484" s="138">
        <f>1-U3483/(3*F_GAMMA*U$29)</f>
        <v>0.77177262027466131</v>
      </c>
      <c r="V3484" s="133"/>
      <c r="W3484" s="146"/>
      <c r="X3484" s="138">
        <f>1-X3483/(3*F_GAMMA*X$29)</f>
        <v>1.3479091950088224</v>
      </c>
      <c r="Y3484" s="133"/>
      <c r="Z3484" s="146"/>
      <c r="AA3484" s="138">
        <f>1-AA3483/(3*F_GAMMA*AA$29)</f>
        <v>0.30330487615147339</v>
      </c>
      <c r="AB3484" s="133"/>
      <c r="AC3484" s="146"/>
      <c r="AD3484" s="138">
        <f>1-AD3483/(3*F_GAMMA*AD$29)</f>
        <v>0.40527796034849217</v>
      </c>
      <c r="AE3484" s="133"/>
      <c r="AF3484" s="146"/>
      <c r="AG3484" s="138">
        <f>1-AG3483/(3*F_GAMMA*AG$29)</f>
        <v>0.39611850971850571</v>
      </c>
      <c r="AH3484" s="133"/>
      <c r="AI3484" s="146"/>
      <c r="AJ3484" s="138">
        <f>1-AJ3483/(3*F_GAMMA*AJ$29)</f>
        <v>0.36380004706691593</v>
      </c>
      <c r="AK3484" s="133"/>
      <c r="AL3484" s="146"/>
      <c r="AM3484" s="138">
        <f>1-AM3483/(3*F_GAMMA*AM$29)</f>
        <v>0.30925811683905924</v>
      </c>
      <c r="AN3484" s="133"/>
      <c r="AO3484" s="146"/>
      <c r="AP3484" s="138">
        <f>1-AP3483/(3*F_GAMMA*AP$29)</f>
        <v>0.43103527612941173</v>
      </c>
      <c r="AQ3484" s="133"/>
      <c r="AR3484" s="146"/>
      <c r="AS3484" s="138">
        <f>1-AS3483/(3*F_GAMMA*AS$29)</f>
        <v>0.13850284530456625</v>
      </c>
      <c r="AT3484" s="133"/>
      <c r="AU3484" s="146"/>
    </row>
    <row r="3485" spans="13:47" x14ac:dyDescent="0.25">
      <c r="M3485" s="27"/>
      <c r="N3485" s="27"/>
      <c r="O3485" s="2" t="s">
        <v>71</v>
      </c>
      <c r="P3485" s="85">
        <v>5</v>
      </c>
      <c r="Q3485" s="2"/>
      <c r="R3485" s="179">
        <f>R3477/((N_6*R$27*R3484)*SQRT(R3483*R3479*R3481))</f>
        <v>6.5276954309005024</v>
      </c>
      <c r="S3485" s="133"/>
      <c r="T3485" s="146"/>
      <c r="U3485" s="143">
        <f>U3477/((N_6*U$27*U3484)*SQRT(U3483*U3479*U3481))</f>
        <v>26.88205028733119</v>
      </c>
      <c r="V3485" s="133"/>
      <c r="W3485" s="146"/>
      <c r="X3485" s="143" t="e">
        <f>X3477/((N_6*X$27*X3484)*SQRT(X3483*X3479*X3481))</f>
        <v>#NUM!</v>
      </c>
      <c r="Y3485" s="133"/>
      <c r="Z3485" s="146"/>
      <c r="AA3485" s="143">
        <f>AA3477/((N_6*AA$27*AA3484)*SQRT(AA3483*AA3479*AA3481))</f>
        <v>103.12363501674015</v>
      </c>
      <c r="AB3485" s="133"/>
      <c r="AC3485" s="146"/>
      <c r="AD3485" s="143">
        <f>AD3477/((N_6*AD$27*AD3484)*SQRT(AD3483*AD3479*AD3481))</f>
        <v>37.732262611232755</v>
      </c>
      <c r="AE3485" s="133"/>
      <c r="AF3485" s="146"/>
      <c r="AG3485" s="143">
        <f>AG3477/((N_6*AG$27*AG3484)*SQRT(AG3483*AG3479*AG3481))</f>
        <v>26.575633460064704</v>
      </c>
      <c r="AH3485" s="133"/>
      <c r="AI3485" s="146"/>
      <c r="AJ3485" s="143">
        <f>AJ3477/((N_6*AJ$27*AJ3484)*SQRT(AJ3483*AJ3479*AJ3481))</f>
        <v>23.077157364899616</v>
      </c>
      <c r="AK3485" s="133"/>
      <c r="AL3485" s="146"/>
      <c r="AM3485" s="143">
        <f>AM3477/((N_6*AM$27*AM3484)*SQRT(AM3483*AM3479*AM3481))</f>
        <v>24.34630181984971</v>
      </c>
      <c r="AN3485" s="133"/>
      <c r="AO3485" s="146"/>
      <c r="AP3485" s="143">
        <f>AP3477/((N_6*AP$27*AP3484)*SQRT(AP3483*AP3479*AP3481))</f>
        <v>17.699541582224214</v>
      </c>
      <c r="AQ3485" s="133"/>
      <c r="AR3485" s="146"/>
      <c r="AS3485" s="143">
        <f>AS3477/((N_6*AS$27*AS3484)*SQRT(AS3483*AS3479*AS3481))</f>
        <v>64.623552456354503</v>
      </c>
      <c r="AT3485" s="133"/>
      <c r="AU3485" s="146"/>
    </row>
    <row r="3486" spans="13:47" x14ac:dyDescent="0.25">
      <c r="M3486" s="27"/>
      <c r="N3486" s="27"/>
      <c r="O3486" s="2" t="s">
        <v>73</v>
      </c>
      <c r="P3486" s="85">
        <v>5</v>
      </c>
      <c r="Q3486" s="2"/>
      <c r="R3486" s="179">
        <f>R3477/((N_6*R$27*0.667)*SQRT(R3487*R3479*R3481))</f>
        <v>6.3940288748560281</v>
      </c>
      <c r="S3486" s="133"/>
      <c r="T3486" s="147"/>
      <c r="U3486" s="143">
        <f>U3477/((N_6*U$27*0.667)*SQRT(U3487*U3479*U3481))</f>
        <v>25.737740748610356</v>
      </c>
      <c r="V3486" s="133"/>
      <c r="W3486" s="155"/>
      <c r="X3486" s="143">
        <f>X3477/((N_6*X$27*0.667)*SQRT(X3487*X3479*X3481))</f>
        <v>189.74658745078619</v>
      </c>
      <c r="Y3486" s="133"/>
      <c r="Z3486" s="155"/>
      <c r="AA3486" s="143">
        <f>AA3477/((N_6*AA$27*0.667)*SQRT(AA3487*AA3479*AA3481))</f>
        <v>67.794394219036874</v>
      </c>
      <c r="AB3486" s="133"/>
      <c r="AC3486" s="155"/>
      <c r="AD3486" s="143">
        <f>AD3477/((N_6*AD$27*0.667)*SQRT(AD3487*AD3479*AD3481))</f>
        <v>30.623698843309334</v>
      </c>
      <c r="AE3486" s="133"/>
      <c r="AF3486" s="155"/>
      <c r="AG3486" s="143">
        <f>AG3477/((N_6*AG$27*0.667)*SQRT(AG3487*AG3479*AG3481))</f>
        <v>21.243174383306698</v>
      </c>
      <c r="AH3486" s="133"/>
      <c r="AI3486" s="155"/>
      <c r="AJ3486" s="143">
        <f>AJ3477/((N_6*AJ$27*0.667)*SQRT(AJ3487*AJ3479*AJ3481))</f>
        <v>17.389082672305641</v>
      </c>
      <c r="AK3486" s="133"/>
      <c r="AL3486" s="155"/>
      <c r="AM3486" s="143">
        <f>AM3477/((N_6*AM$27*0.667)*SQRT(AM3487*AM3479*AM3481))</f>
        <v>16.249754243859808</v>
      </c>
      <c r="AN3486" s="133"/>
      <c r="AO3486" s="155"/>
      <c r="AP3486" s="143">
        <f>AP3477/((N_6*AP$27*0.667)*SQRT(AP3487*AP3479*AP3481))</f>
        <v>14.943498921799442</v>
      </c>
      <c r="AQ3486" s="133"/>
      <c r="AR3486" s="155"/>
      <c r="AS3486" s="143">
        <f>AS3477/((N_6*AS$27*0.667)*SQRT(AS3487*AS3479*AS3481))</f>
        <v>21.573034631920113</v>
      </c>
      <c r="AT3486" s="133"/>
      <c r="AU3486" s="155"/>
    </row>
    <row r="3487" spans="13:47" ht="15.5" x14ac:dyDescent="0.4">
      <c r="M3487" s="27"/>
      <c r="N3487" s="27"/>
      <c r="O3487" s="2" t="s">
        <v>192</v>
      </c>
      <c r="P3487" s="85">
        <v>10</v>
      </c>
      <c r="Q3487" s="2"/>
      <c r="R3487" s="181">
        <f>F_GAMMA*R$29</f>
        <v>0.64002688015162901</v>
      </c>
      <c r="S3487" s="133"/>
      <c r="T3487" s="147"/>
      <c r="U3487" s="138">
        <f>F_GAMMA*U$29</f>
        <v>0.64016782916606918</v>
      </c>
      <c r="V3487" s="133"/>
      <c r="W3487" s="155"/>
      <c r="X3487" s="138">
        <f>F_GAMMA*X$29</f>
        <v>0.6307062319203669</v>
      </c>
      <c r="Y3487" s="133"/>
      <c r="Z3487" s="155"/>
      <c r="AA3487" s="138">
        <f>F_GAMMA*AA$29</f>
        <v>0.62217534213893466</v>
      </c>
      <c r="AB3487" s="133"/>
      <c r="AC3487" s="155"/>
      <c r="AD3487" s="138">
        <f>F_GAMMA*AD$29</f>
        <v>0.60557184969146072</v>
      </c>
      <c r="AE3487" s="133"/>
      <c r="AF3487" s="155"/>
      <c r="AG3487" s="138">
        <f>F_GAMMA*AG$29</f>
        <v>0.57289312142622573</v>
      </c>
      <c r="AH3487" s="133"/>
      <c r="AI3487" s="155"/>
      <c r="AJ3487" s="138">
        <f>F_GAMMA*AJ$29</f>
        <v>0.53590819116049981</v>
      </c>
      <c r="AK3487" s="133"/>
      <c r="AL3487" s="155"/>
      <c r="AM3487" s="138">
        <f>F_GAMMA*AM$29</f>
        <v>0.49048815926850342</v>
      </c>
      <c r="AN3487" s="133"/>
      <c r="AO3487" s="155"/>
      <c r="AP3487" s="138">
        <f>F_GAMMA*AP$29</f>
        <v>0.59352979016280105</v>
      </c>
      <c r="AQ3487" s="133"/>
      <c r="AR3487" s="155"/>
      <c r="AS3487" s="138">
        <f>F_GAMMA*AS$29</f>
        <v>0.39097221161068291</v>
      </c>
      <c r="AT3487" s="133"/>
      <c r="AU3487" s="155"/>
    </row>
    <row r="3488" spans="13:47" x14ac:dyDescent="0.25">
      <c r="M3488" s="27"/>
      <c r="N3488" s="27"/>
      <c r="O3488" s="2" t="s">
        <v>193</v>
      </c>
      <c r="P3488" s="134"/>
      <c r="Q3488" s="2"/>
      <c r="R3488" s="181">
        <f>IF(R3483&lt;R3487,R3485,R3486)</f>
        <v>6.5276954309005024</v>
      </c>
      <c r="S3488" s="133"/>
      <c r="T3488" s="147"/>
      <c r="U3488" s="138">
        <f>IF(U3483&lt;U3487,U3485,U3486)</f>
        <v>26.88205028733119</v>
      </c>
      <c r="V3488" s="133"/>
      <c r="W3488" s="155"/>
      <c r="X3488" s="138" t="e">
        <f>IF(X3483&lt;X3487,X3485,X3486)</f>
        <v>#NUM!</v>
      </c>
      <c r="Y3488" s="133"/>
      <c r="Z3488" s="155"/>
      <c r="AA3488" s="138">
        <f>IF(AA3483&lt;AA3487,AA3485,AA3486)</f>
        <v>67.794394219036874</v>
      </c>
      <c r="AB3488" s="133"/>
      <c r="AC3488" s="155"/>
      <c r="AD3488" s="138">
        <f>IF(AD3483&lt;AD3487,AD3485,AD3486)</f>
        <v>30.623698843309334</v>
      </c>
      <c r="AE3488" s="133"/>
      <c r="AF3488" s="155"/>
      <c r="AG3488" s="138">
        <f>IF(AG3483&lt;AG3487,AG3485,AG3486)</f>
        <v>21.243174383306698</v>
      </c>
      <c r="AH3488" s="133"/>
      <c r="AI3488" s="155"/>
      <c r="AJ3488" s="138">
        <f>IF(AJ3483&lt;AJ3487,AJ3485,AJ3486)</f>
        <v>17.389082672305641</v>
      </c>
      <c r="AK3488" s="133"/>
      <c r="AL3488" s="155"/>
      <c r="AM3488" s="138">
        <f>IF(AM3483&lt;AM3487,AM3485,AM3486)</f>
        <v>16.249754243859808</v>
      </c>
      <c r="AN3488" s="133"/>
      <c r="AO3488" s="155"/>
      <c r="AP3488" s="138">
        <f>IF(AP3483&lt;AP3487,AP3485,AP3486)</f>
        <v>14.943498921799442</v>
      </c>
      <c r="AQ3488" s="133"/>
      <c r="AR3488" s="155"/>
      <c r="AS3488" s="138">
        <f>IF(AS3483&lt;AS3487,AS3485,AS3486)</f>
        <v>21.573034631920113</v>
      </c>
      <c r="AT3488" s="133"/>
      <c r="AU3488" s="155"/>
    </row>
    <row r="3489" spans="13:47" ht="13" x14ac:dyDescent="0.3">
      <c r="M3489" s="28"/>
      <c r="N3489" s="28"/>
      <c r="O3489" s="9" t="s">
        <v>194</v>
      </c>
      <c r="P3489" s="1"/>
      <c r="Q3489" s="1"/>
      <c r="R3489" s="135"/>
      <c r="S3489" s="132">
        <f>IF(R3482&lt;=0,W_max,ABS(R$23-R3488))</f>
        <v>4.5276954309005024</v>
      </c>
      <c r="T3489" s="151">
        <f>R3477</f>
        <v>1494.3342140535126</v>
      </c>
      <c r="U3489" s="135"/>
      <c r="V3489" s="132">
        <f>IF(U3482&lt;=0,W_max,ABS(U$23-U3488))</f>
        <v>21.88205028733119</v>
      </c>
      <c r="W3489" s="151">
        <f>U3477</f>
        <v>5371.4997107909994</v>
      </c>
      <c r="X3489" s="135"/>
      <c r="Y3489" s="132">
        <f>IF(X3482&lt;=0,W_max,ABS(X$23-X3488))</f>
        <v>7174</v>
      </c>
      <c r="Z3489" s="151">
        <f>X3477</f>
        <v>13284.358000744782</v>
      </c>
      <c r="AA3489" s="135"/>
      <c r="AB3489" s="132">
        <f>IF(AA3482&lt;=0,W_max,ABS(AA$23-AA3488))</f>
        <v>7174</v>
      </c>
      <c r="AC3489" s="151">
        <f>AA3477</f>
        <v>25874.538614001907</v>
      </c>
      <c r="AD3489" s="135"/>
      <c r="AE3489" s="132">
        <f>IF(AD3482&lt;=0,W_max,ABS(AD$23-AD3488))</f>
        <v>7174</v>
      </c>
      <c r="AF3489" s="151">
        <f>AD3477</f>
        <v>42554.08958011584</v>
      </c>
      <c r="AG3489" s="135"/>
      <c r="AH3489" s="132">
        <f>IF(AG3482&lt;=0,W_max,ABS(AG$23-AG3488))</f>
        <v>7174</v>
      </c>
      <c r="AI3489" s="151">
        <f>AG3477</f>
        <v>59685.386712468884</v>
      </c>
      <c r="AJ3489" s="135"/>
      <c r="AK3489" s="132">
        <f>IF(AJ3482&lt;=0,W_max,ABS(AJ$23-AJ3488))</f>
        <v>7174</v>
      </c>
      <c r="AL3489" s="151">
        <f>AJ3477</f>
        <v>75784.603519848053</v>
      </c>
      <c r="AM3489" s="135"/>
      <c r="AN3489" s="132">
        <f>IF(AM3482&lt;=0,W_max,ABS(AM$23-AM3488))</f>
        <v>7174</v>
      </c>
      <c r="AO3489" s="151">
        <f>AM3477</f>
        <v>88863.407701383185</v>
      </c>
      <c r="AP3489" s="135"/>
      <c r="AQ3489" s="132">
        <f>IF(AP3482&lt;=0,W_max,ABS(AP$23-AP3488))</f>
        <v>7174</v>
      </c>
      <c r="AR3489" s="151">
        <f>AP3477</f>
        <v>99142.091149248125</v>
      </c>
      <c r="AS3489" s="135"/>
      <c r="AT3489" s="132">
        <f>IF(AS3482&lt;=0,W_max,ABS(AS$23-AS3488))</f>
        <v>7174</v>
      </c>
      <c r="AU3489" s="151">
        <f>AS3477</f>
        <v>110609.69291742379</v>
      </c>
    </row>
    <row r="3490" spans="13:47" ht="13" x14ac:dyDescent="0.25">
      <c r="M3490" s="12"/>
      <c r="N3490" s="12"/>
      <c r="O3490" s="12"/>
      <c r="P3490" s="12"/>
      <c r="Q3490" s="12"/>
      <c r="R3490" s="182"/>
      <c r="S3490" s="22"/>
      <c r="T3490" s="152"/>
      <c r="U3490" s="157"/>
      <c r="V3490" s="1"/>
      <c r="W3490" s="147"/>
      <c r="X3490" s="157"/>
      <c r="Y3490" s="1"/>
      <c r="Z3490" s="147"/>
      <c r="AA3490" s="157"/>
      <c r="AB3490" s="1"/>
      <c r="AC3490" s="147"/>
      <c r="AD3490" s="157"/>
      <c r="AE3490" s="1"/>
      <c r="AF3490" s="147"/>
      <c r="AG3490" s="157"/>
      <c r="AH3490" s="1"/>
      <c r="AI3490" s="147"/>
      <c r="AJ3490" s="157"/>
      <c r="AK3490" s="1"/>
      <c r="AL3490" s="147"/>
      <c r="AM3490" s="157"/>
      <c r="AN3490" s="1"/>
      <c r="AO3490" s="147"/>
      <c r="AP3490" s="157"/>
      <c r="AQ3490" s="1"/>
      <c r="AR3490" s="147"/>
      <c r="AS3490" s="157"/>
      <c r="AT3490" s="1"/>
      <c r="AU3490" s="147"/>
    </row>
    <row r="3491" spans="13:47" ht="14" x14ac:dyDescent="0.3">
      <c r="M3491" s="23"/>
      <c r="N3491" s="23"/>
      <c r="O3491" s="23" t="s">
        <v>238</v>
      </c>
      <c r="P3491" s="20"/>
      <c r="Q3491" s="20"/>
      <c r="R3491" s="18">
        <f>R3477*1.02</f>
        <v>1524.2208983345829</v>
      </c>
      <c r="S3491" s="128" t="s">
        <v>185</v>
      </c>
      <c r="T3491" s="153" t="s">
        <v>186</v>
      </c>
      <c r="U3491" s="143">
        <f>U3477*1.01</f>
        <v>5425.2147078989092</v>
      </c>
      <c r="V3491" s="128" t="s">
        <v>185</v>
      </c>
      <c r="W3491" s="153" t="s">
        <v>186</v>
      </c>
      <c r="X3491" s="143">
        <f>X3477*1.01</f>
        <v>13417.201580752229</v>
      </c>
      <c r="Y3491" s="128" t="s">
        <v>185</v>
      </c>
      <c r="Z3491" s="153" t="s">
        <v>186</v>
      </c>
      <c r="AA3491" s="143">
        <f>AA3477*1.01</f>
        <v>26133.284000141928</v>
      </c>
      <c r="AB3491" s="128" t="s">
        <v>185</v>
      </c>
      <c r="AC3491" s="153" t="s">
        <v>186</v>
      </c>
      <c r="AD3491" s="143">
        <f>AD3477*1.01</f>
        <v>42979.630475917002</v>
      </c>
      <c r="AE3491" s="128" t="s">
        <v>185</v>
      </c>
      <c r="AF3491" s="153" t="s">
        <v>186</v>
      </c>
      <c r="AG3491" s="143">
        <f>AG3477*1.01</f>
        <v>60282.24057959357</v>
      </c>
      <c r="AH3491" s="128" t="s">
        <v>185</v>
      </c>
      <c r="AI3491" s="153" t="s">
        <v>186</v>
      </c>
      <c r="AJ3491" s="143">
        <f>AJ3477*1.01</f>
        <v>76542.449555046536</v>
      </c>
      <c r="AK3491" s="128" t="s">
        <v>185</v>
      </c>
      <c r="AL3491" s="153" t="s">
        <v>186</v>
      </c>
      <c r="AM3491" s="143">
        <f>AM3477*1.01</f>
        <v>89752.041778397019</v>
      </c>
      <c r="AN3491" s="128" t="s">
        <v>185</v>
      </c>
      <c r="AO3491" s="153" t="s">
        <v>186</v>
      </c>
      <c r="AP3491" s="143">
        <f>AP3477*1.01</f>
        <v>100133.51206074061</v>
      </c>
      <c r="AQ3491" s="128" t="s">
        <v>185</v>
      </c>
      <c r="AR3491" s="153" t="s">
        <v>186</v>
      </c>
      <c r="AS3491" s="143">
        <f>AS3477*1.01</f>
        <v>111715.78984659803</v>
      </c>
      <c r="AT3491" s="128" t="s">
        <v>185</v>
      </c>
      <c r="AU3491" s="153" t="s">
        <v>186</v>
      </c>
    </row>
    <row r="3492" spans="13:47" ht="14" x14ac:dyDescent="0.3">
      <c r="M3492" s="12"/>
      <c r="N3492" s="12"/>
      <c r="O3492" s="20"/>
      <c r="P3492" s="20"/>
      <c r="Q3492" s="23"/>
      <c r="R3492" s="139"/>
      <c r="S3492" s="130" t="s">
        <v>228</v>
      </c>
      <c r="T3492" s="154" t="s">
        <v>187</v>
      </c>
      <c r="U3492" s="144"/>
      <c r="V3492" s="130" t="s">
        <v>228</v>
      </c>
      <c r="W3492" s="154" t="s">
        <v>187</v>
      </c>
      <c r="X3492" s="144"/>
      <c r="Y3492" s="130" t="s">
        <v>228</v>
      </c>
      <c r="Z3492" s="154" t="s">
        <v>187</v>
      </c>
      <c r="AA3492" s="144"/>
      <c r="AB3492" s="130" t="s">
        <v>228</v>
      </c>
      <c r="AC3492" s="154" t="s">
        <v>187</v>
      </c>
      <c r="AD3492" s="144"/>
      <c r="AE3492" s="130" t="s">
        <v>228</v>
      </c>
      <c r="AF3492" s="154" t="s">
        <v>187</v>
      </c>
      <c r="AG3492" s="144"/>
      <c r="AH3492" s="130" t="s">
        <v>228</v>
      </c>
      <c r="AI3492" s="154" t="s">
        <v>187</v>
      </c>
      <c r="AJ3492" s="144"/>
      <c r="AK3492" s="130" t="s">
        <v>228</v>
      </c>
      <c r="AL3492" s="154" t="s">
        <v>187</v>
      </c>
      <c r="AM3492" s="144"/>
      <c r="AN3492" s="130" t="s">
        <v>228</v>
      </c>
      <c r="AO3492" s="154" t="s">
        <v>187</v>
      </c>
      <c r="AP3492" s="144"/>
      <c r="AQ3492" s="130" t="s">
        <v>228</v>
      </c>
      <c r="AR3492" s="154" t="s">
        <v>187</v>
      </c>
      <c r="AS3492" s="144"/>
      <c r="AT3492" s="130" t="s">
        <v>228</v>
      </c>
      <c r="AU3492" s="154" t="s">
        <v>187</v>
      </c>
    </row>
    <row r="3493" spans="13:47" x14ac:dyDescent="0.25">
      <c r="M3493" s="20"/>
      <c r="N3493" s="20"/>
      <c r="O3493" s="7" t="s">
        <v>188</v>
      </c>
      <c r="P3493" s="7"/>
      <c r="Q3493" s="7"/>
      <c r="R3493" s="181">
        <f>P_1_minW-(R3491^2*R_up)+dpup_minQ</f>
        <v>99.596363560449575</v>
      </c>
      <c r="S3493" s="132"/>
      <c r="T3493" s="145"/>
      <c r="U3493" s="138">
        <f>P_1_minW-(U3491^2*R_up)+dpup_minQ</f>
        <v>88.78604769546358</v>
      </c>
      <c r="V3493" s="132"/>
      <c r="W3493" s="145"/>
      <c r="X3493" s="138">
        <f>P_1_minW-(X3491^2*R_up)+dpup_minQ</f>
        <v>28.737163230011504</v>
      </c>
      <c r="Y3493" s="132"/>
      <c r="Z3493" s="145"/>
      <c r="AA3493" s="138">
        <f>P_1_minW-(AA3491^2*R_up)+dpup_minQ</f>
        <v>-171.81102438589099</v>
      </c>
      <c r="AB3493" s="132"/>
      <c r="AC3493" s="145"/>
      <c r="AD3493" s="138">
        <f>P_1_minW-(AD3491^2*R_up)+dpup_minQ</f>
        <v>-636.08947180679991</v>
      </c>
      <c r="AE3493" s="132"/>
      <c r="AF3493" s="145"/>
      <c r="AG3493" s="138">
        <f>P_1_minW-(AG3491^2*R_up)+dpup_minQ</f>
        <v>-1348.5572026330794</v>
      </c>
      <c r="AH3493" s="132"/>
      <c r="AI3493" s="145"/>
      <c r="AJ3493" s="138">
        <f>P_1_minW-(AJ3491^2*R_up)+dpup_minQ</f>
        <v>-2235.7217607731018</v>
      </c>
      <c r="AK3493" s="132"/>
      <c r="AL3493" s="145"/>
      <c r="AM3493" s="138">
        <f>P_1_minW-(AM3491^2*R_up)+dpup_minQ</f>
        <v>-3111.6748766310129</v>
      </c>
      <c r="AN3493" s="132"/>
      <c r="AO3493" s="145"/>
      <c r="AP3493" s="138">
        <f>P_1_minW-(AP3491^2*R_up)+dpup_minQ</f>
        <v>-3897.7505895119484</v>
      </c>
      <c r="AQ3493" s="132"/>
      <c r="AR3493" s="145"/>
      <c r="AS3493" s="138">
        <f>P_1_minW-(AS3491^2*R_up)+dpup_minQ</f>
        <v>-4876.1914962998608</v>
      </c>
      <c r="AT3493" s="132"/>
      <c r="AU3493" s="145"/>
    </row>
    <row r="3494" spans="13:47" x14ac:dyDescent="0.25">
      <c r="M3494" s="20"/>
      <c r="N3494" s="20"/>
      <c r="O3494" s="7" t="s">
        <v>189</v>
      </c>
      <c r="P3494" s="1"/>
      <c r="Q3494" s="7"/>
      <c r="R3494" s="181">
        <f>P_2_minW+(R3491^2*R_dn)-dpdn_minQ</f>
        <v>50</v>
      </c>
      <c r="S3494" s="132"/>
      <c r="T3494" s="146"/>
      <c r="U3494" s="138">
        <f>P_2_minW+(U3491^2*R_dn)-dpdn_minQ</f>
        <v>50</v>
      </c>
      <c r="V3494" s="132"/>
      <c r="W3494" s="146"/>
      <c r="X3494" s="138">
        <f>P_2_minW+(X3491^2*R_dn)-dpdn_minQ</f>
        <v>50</v>
      </c>
      <c r="Y3494" s="132"/>
      <c r="Z3494" s="146"/>
      <c r="AA3494" s="138">
        <f>P_2_minW+(AA3491^2*R_dn)-dpdn_minQ</f>
        <v>50</v>
      </c>
      <c r="AB3494" s="132"/>
      <c r="AC3494" s="146"/>
      <c r="AD3494" s="138">
        <f>P_2_minW+(AD3491^2*R_dn)-dpdn_minQ</f>
        <v>50</v>
      </c>
      <c r="AE3494" s="132"/>
      <c r="AF3494" s="146"/>
      <c r="AG3494" s="138">
        <f>P_2_minW+(AG3491^2*R_dn)-dpdn_minQ</f>
        <v>50</v>
      </c>
      <c r="AH3494" s="132"/>
      <c r="AI3494" s="146"/>
      <c r="AJ3494" s="138">
        <f>P_2_minW+(AJ3491^2*R_dn)-dpdn_minQ</f>
        <v>50</v>
      </c>
      <c r="AK3494" s="132"/>
      <c r="AL3494" s="146"/>
      <c r="AM3494" s="138">
        <f>P_2_minW+(AM3491^2*R_dn)-dpdn_minQ</f>
        <v>50</v>
      </c>
      <c r="AN3494" s="132"/>
      <c r="AO3494" s="146"/>
      <c r="AP3494" s="138">
        <f>P_2_minW+(AP3491^2*R_dn)-dpdn_minQ</f>
        <v>50</v>
      </c>
      <c r="AQ3494" s="132"/>
      <c r="AR3494" s="146"/>
      <c r="AS3494" s="138">
        <f>P_2_minW+(AS3491^2*R_dn)-dpdn_minQ</f>
        <v>50</v>
      </c>
      <c r="AT3494" s="132"/>
      <c r="AU3494" s="146"/>
    </row>
    <row r="3495" spans="13:47" x14ac:dyDescent="0.25">
      <c r="M3495" s="20"/>
      <c r="N3495" s="20"/>
      <c r="O3495" s="7" t="s">
        <v>234</v>
      </c>
      <c r="P3495" s="1"/>
      <c r="Q3495" s="7"/>
      <c r="R3495" s="179">
        <f>'Valve Sizing'!G$8*R3493/P_1_maxW</f>
        <v>0.48043512577601033</v>
      </c>
      <c r="S3495" s="132"/>
      <c r="T3495" s="146"/>
      <c r="U3495" s="143">
        <f>'Valve Sizing'!$G$8*U3493/P_1_maxW</f>
        <v>0.42828808670142926</v>
      </c>
      <c r="V3495" s="132"/>
      <c r="W3495" s="146"/>
      <c r="X3495" s="143">
        <f>'Valve Sizing'!$G$8*X3493/P_1_maxW</f>
        <v>0.13862295908501338</v>
      </c>
      <c r="Y3495" s="132"/>
      <c r="Z3495" s="146"/>
      <c r="AA3495" s="143">
        <f>'Valve Sizing'!$G$8*AA3493/P_1_maxW</f>
        <v>-0.82878579257003671</v>
      </c>
      <c r="AB3495" s="132"/>
      <c r="AC3495" s="146"/>
      <c r="AD3495" s="143">
        <f>'Valve Sizing'!$G$8*AD3493/P_1_maxW</f>
        <v>-3.0683823632457576</v>
      </c>
      <c r="AE3495" s="132"/>
      <c r="AF3495" s="146"/>
      <c r="AG3495" s="143">
        <f>'Valve Sizing'!$G$8*AG3493/P_1_maxW</f>
        <v>-6.5051998496906123</v>
      </c>
      <c r="AH3495" s="132"/>
      <c r="AI3495" s="146"/>
      <c r="AJ3495" s="143">
        <f>'Valve Sizing'!$G$8*AJ3493/P_1_maxW</f>
        <v>-10.784723728243918</v>
      </c>
      <c r="AK3495" s="132"/>
      <c r="AL3495" s="146"/>
      <c r="AM3495" s="143">
        <f>'Valve Sizing'!$G$8*AM3493/P_1_maxW</f>
        <v>-15.010165605302586</v>
      </c>
      <c r="AN3495" s="132"/>
      <c r="AO3495" s="146"/>
      <c r="AP3495" s="143">
        <f>'Valve Sizing'!$G$8*AP3493/P_1_maxW</f>
        <v>-18.802054892085643</v>
      </c>
      <c r="AQ3495" s="132"/>
      <c r="AR3495" s="146"/>
      <c r="AS3495" s="143">
        <f>'Valve Sizing'!$G$8*AS3493/P_1_maxW</f>
        <v>-23.521879625764129</v>
      </c>
      <c r="AT3495" s="132"/>
      <c r="AU3495" s="146"/>
    </row>
    <row r="3496" spans="13:47" x14ac:dyDescent="0.25">
      <c r="M3496" s="20"/>
      <c r="N3496" s="20"/>
      <c r="O3496" s="7" t="s">
        <v>190</v>
      </c>
      <c r="P3496" s="1"/>
      <c r="Q3496" s="7"/>
      <c r="R3496" s="181">
        <f>R3493-R3494</f>
        <v>49.596363560449575</v>
      </c>
      <c r="S3496" s="132"/>
      <c r="T3496" s="146"/>
      <c r="U3496" s="138">
        <f>U3493-U3494</f>
        <v>38.78604769546358</v>
      </c>
      <c r="V3496" s="132"/>
      <c r="W3496" s="146"/>
      <c r="X3496" s="138">
        <f>X3493-X3494</f>
        <v>-21.262836769988496</v>
      </c>
      <c r="Y3496" s="132"/>
      <c r="Z3496" s="146"/>
      <c r="AA3496" s="138">
        <f>AA3493-AA3494</f>
        <v>-221.81102438589099</v>
      </c>
      <c r="AB3496" s="132"/>
      <c r="AC3496" s="146"/>
      <c r="AD3496" s="138">
        <f>AD3493-AD3494</f>
        <v>-686.08947180679991</v>
      </c>
      <c r="AE3496" s="132"/>
      <c r="AF3496" s="146"/>
      <c r="AG3496" s="138">
        <f>AG3493-AG3494</f>
        <v>-1398.5572026330794</v>
      </c>
      <c r="AH3496" s="132"/>
      <c r="AI3496" s="146"/>
      <c r="AJ3496" s="138">
        <f>AJ3493-AJ3494</f>
        <v>-2285.7217607731018</v>
      </c>
      <c r="AK3496" s="132"/>
      <c r="AL3496" s="146"/>
      <c r="AM3496" s="138">
        <f>AM3493-AM3494</f>
        <v>-3161.6748766310129</v>
      </c>
      <c r="AN3496" s="132"/>
      <c r="AO3496" s="146"/>
      <c r="AP3496" s="138">
        <f>AP3493-AP3494</f>
        <v>-3947.7505895119484</v>
      </c>
      <c r="AQ3496" s="132"/>
      <c r="AR3496" s="146"/>
      <c r="AS3496" s="138">
        <f>AS3493-AS3494</f>
        <v>-4926.1914962998608</v>
      </c>
      <c r="AT3496" s="132"/>
      <c r="AU3496" s="146"/>
    </row>
    <row r="3497" spans="13:47" ht="14.5" x14ac:dyDescent="0.35">
      <c r="M3497" s="27"/>
      <c r="N3497" s="27"/>
      <c r="O3497" s="2" t="s">
        <v>191</v>
      </c>
      <c r="P3497" s="10"/>
      <c r="Q3497" s="2"/>
      <c r="R3497" s="181">
        <f>R3496/R3493</f>
        <v>0.4979736386695211</v>
      </c>
      <c r="S3497" s="132"/>
      <c r="T3497" s="146"/>
      <c r="U3497" s="138">
        <f>U3496/U3493</f>
        <v>0.43684845425826191</v>
      </c>
      <c r="V3497" s="132"/>
      <c r="W3497" s="146"/>
      <c r="X3497" s="138">
        <f>X3496/X3493</f>
        <v>-0.73990729703559488</v>
      </c>
      <c r="Y3497" s="132"/>
      <c r="Z3497" s="146"/>
      <c r="AA3497" s="138">
        <f>AA3496/AA3493</f>
        <v>1.2910174139215829</v>
      </c>
      <c r="AB3497" s="132"/>
      <c r="AC3497" s="146"/>
      <c r="AD3497" s="138">
        <f>AD3496/AD3493</f>
        <v>1.0786052940916879</v>
      </c>
      <c r="AE3497" s="132"/>
      <c r="AF3497" s="146"/>
      <c r="AG3497" s="138">
        <f>AG3496/AG3493</f>
        <v>1.0370766623042569</v>
      </c>
      <c r="AH3497" s="132"/>
      <c r="AI3497" s="146"/>
      <c r="AJ3497" s="138">
        <f>AJ3496/AJ3493</f>
        <v>1.0223641424784049</v>
      </c>
      <c r="AK3497" s="132"/>
      <c r="AL3497" s="146"/>
      <c r="AM3497" s="138">
        <f>AM3496/AM3493</f>
        <v>1.0160685167899464</v>
      </c>
      <c r="AN3497" s="132"/>
      <c r="AO3497" s="146"/>
      <c r="AP3497" s="138">
        <f>AP3496/AP3493</f>
        <v>1.0128279115997159</v>
      </c>
      <c r="AQ3497" s="132"/>
      <c r="AR3497" s="146"/>
      <c r="AS3497" s="138">
        <f>AS3496/AS3493</f>
        <v>1.0102539041048615</v>
      </c>
      <c r="AT3497" s="132"/>
      <c r="AU3497" s="146"/>
    </row>
    <row r="3498" spans="13:47" x14ac:dyDescent="0.25">
      <c r="M3498" s="27"/>
      <c r="N3498" s="27"/>
      <c r="O3498" s="2" t="s">
        <v>26</v>
      </c>
      <c r="P3498" s="7">
        <v>12</v>
      </c>
      <c r="Q3498" s="2"/>
      <c r="R3498" s="181">
        <f>1-R3497/(3*F_GAMMA*R$29)</f>
        <v>0.74064962263691902</v>
      </c>
      <c r="S3498" s="133"/>
      <c r="T3498" s="146"/>
      <c r="U3498" s="138">
        <f>1-U3497/(3*F_GAMMA*U$29)</f>
        <v>0.77253441240696019</v>
      </c>
      <c r="V3498" s="133"/>
      <c r="W3498" s="146"/>
      <c r="X3498" s="138">
        <f>1-X3497/(3*F_GAMMA*X$29)</f>
        <v>1.3910469774931158</v>
      </c>
      <c r="Y3498" s="133"/>
      <c r="Z3498" s="146"/>
      <c r="AA3498" s="138">
        <f>1-AA3497/(3*F_GAMMA*AA$29)</f>
        <v>0.30833141587638779</v>
      </c>
      <c r="AB3498" s="133"/>
      <c r="AC3498" s="146"/>
      <c r="AD3498" s="138">
        <f>1-AD3497/(3*F_GAMMA*AD$29)</f>
        <v>0.40628829062357175</v>
      </c>
      <c r="AE3498" s="133"/>
      <c r="AF3498" s="146"/>
      <c r="AG3498" s="138">
        <f>1-AG3497/(3*F_GAMMA*AG$29)</f>
        <v>0.39658514330303041</v>
      </c>
      <c r="AH3498" s="133"/>
      <c r="AI3498" s="146"/>
      <c r="AJ3498" s="138">
        <f>1-AJ3497/(3*F_GAMMA*AJ$29)</f>
        <v>0.36409248241787251</v>
      </c>
      <c r="AK3498" s="133"/>
      <c r="AL3498" s="146"/>
      <c r="AM3498" s="138">
        <f>1-AM3497/(3*F_GAMMA*AM$29)</f>
        <v>0.30948484851956826</v>
      </c>
      <c r="AN3498" s="133"/>
      <c r="AO3498" s="146"/>
      <c r="AP3498" s="138">
        <f>1-AP3497/(3*F_GAMMA*AP$29)</f>
        <v>0.43118389428445014</v>
      </c>
      <c r="AQ3498" s="133"/>
      <c r="AR3498" s="146"/>
      <c r="AS3498" s="138">
        <f>1-AS3497/(3*F_GAMMA*AS$29)</f>
        <v>0.13868226086714097</v>
      </c>
      <c r="AT3498" s="133"/>
      <c r="AU3498" s="146"/>
    </row>
    <row r="3499" spans="13:47" x14ac:dyDescent="0.25">
      <c r="M3499" s="27"/>
      <c r="N3499" s="27"/>
      <c r="O3499" s="2" t="s">
        <v>71</v>
      </c>
      <c r="P3499" s="85">
        <v>5</v>
      </c>
      <c r="Q3499" s="2"/>
      <c r="R3499" s="179">
        <f>R3491/((N_6*R$27*R3498)*SQRT(R3497*R3493*R3495))</f>
        <v>6.6610173065010416</v>
      </c>
      <c r="S3499" s="133"/>
      <c r="T3499" s="146"/>
      <c r="U3499" s="143">
        <f>U3491/((N_6*U$27*U3498)*SQRT(U3497*U3493*U3495))</f>
        <v>27.240247454318073</v>
      </c>
      <c r="V3499" s="133"/>
      <c r="W3499" s="146"/>
      <c r="X3499" s="143" t="e">
        <f>X3491/((N_6*X$27*X3498)*SQRT(X3497*X3493*X3495))</f>
        <v>#NUM!</v>
      </c>
      <c r="Y3499" s="133"/>
      <c r="Z3499" s="146"/>
      <c r="AA3499" s="143">
        <f>AA3491/((N_6*AA$27*AA3498)*SQRT(AA3497*AA3493*AA3495))</f>
        <v>99.61694450248784</v>
      </c>
      <c r="AB3499" s="133"/>
      <c r="AC3499" s="146"/>
      <c r="AD3499" s="143">
        <f>AD3491/((N_6*AD$27*AD3498)*SQRT(AD3497*AD3493*AD3495))</f>
        <v>37.178995634126451</v>
      </c>
      <c r="AE3499" s="133"/>
      <c r="AF3499" s="146"/>
      <c r="AG3499" s="143">
        <f>AG3491/((N_6*AG$27*AG3498)*SQRT(AG3497*AG3493*AG3495))</f>
        <v>26.252316213232572</v>
      </c>
      <c r="AH3499" s="133"/>
      <c r="AI3499" s="146"/>
      <c r="AJ3499" s="143">
        <f>AJ3491/((N_6*AJ$27*AJ3498)*SQRT(AJ3497*AJ3493*AJ3495))</f>
        <v>22.814930352623328</v>
      </c>
      <c r="AK3499" s="133"/>
      <c r="AL3499" s="146"/>
      <c r="AM3499" s="143">
        <f>AM3491/((N_6*AM$27*AM3498)*SQRT(AM3497*AM3493*AM3495))</f>
        <v>24.075900459992244</v>
      </c>
      <c r="AN3499" s="133"/>
      <c r="AO3499" s="146"/>
      <c r="AP3499" s="143">
        <f>AP3491/((N_6*AP$27*AP3498)*SQRT(AP3497*AP3493*AP3495))</f>
        <v>17.511464552721343</v>
      </c>
      <c r="AQ3499" s="133"/>
      <c r="AR3499" s="146"/>
      <c r="AS3499" s="143">
        <f>AS3491/((N_6*AS$27*AS3498)*SQRT(AS3497*AS3493*AS3495))</f>
        <v>63.88111267761672</v>
      </c>
      <c r="AT3499" s="133"/>
      <c r="AU3499" s="146"/>
    </row>
    <row r="3500" spans="13:47" x14ac:dyDescent="0.25">
      <c r="M3500" s="27"/>
      <c r="N3500" s="27"/>
      <c r="O3500" s="2" t="s">
        <v>73</v>
      </c>
      <c r="P3500" s="85">
        <v>5</v>
      </c>
      <c r="Q3500" s="2"/>
      <c r="R3500" s="179">
        <f>R3491/((N_6*R$27*0.667)*SQRT(R3501*R3493*R3495))</f>
        <v>6.5242651617585814</v>
      </c>
      <c r="S3500" s="133"/>
      <c r="T3500" s="155"/>
      <c r="U3500" s="143">
        <f>U3491/((N_6*U$27*0.667)*SQRT(U3501*U3493*U3495))</f>
        <v>26.062827379124364</v>
      </c>
      <c r="V3500" s="133"/>
      <c r="W3500" s="155"/>
      <c r="X3500" s="143">
        <f>X3491/((N_6*X$27*0.667)*SQRT(X3501*X3493*X3495))</f>
        <v>201.07688836558515</v>
      </c>
      <c r="Y3500" s="133"/>
      <c r="Z3500" s="155"/>
      <c r="AA3500" s="143">
        <f>AA3491/((N_6*AA$27*0.667)*SQRT(AA3501*AA3493*AA3495))</f>
        <v>66.333790150973911</v>
      </c>
      <c r="AB3500" s="133"/>
      <c r="AC3500" s="155"/>
      <c r="AD3500" s="143">
        <f>AD3491/((N_6*AD$27*0.667)*SQRT(AD3501*AD3493*AD3495))</f>
        <v>30.224182294627763</v>
      </c>
      <c r="AE3500" s="133"/>
      <c r="AF3500" s="155"/>
      <c r="AG3500" s="143">
        <f>AG3491/((N_6*AG$27*0.667)*SQRT(AG3501*AG3493*AG3495))</f>
        <v>21.001332960692022</v>
      </c>
      <c r="AH3500" s="133"/>
      <c r="AI3500" s="155"/>
      <c r="AJ3500" s="143">
        <f>AJ3491/((N_6*AJ$27*0.667)*SQRT(AJ3501*AJ3493*AJ3495))</f>
        <v>17.201353947913226</v>
      </c>
      <c r="AK3500" s="133"/>
      <c r="AL3500" s="155"/>
      <c r="AM3500" s="143">
        <f>AM3491/((N_6*AM$27*0.667)*SQRT(AM3501*AM3493*AM3495))</f>
        <v>16.078418583348743</v>
      </c>
      <c r="AN3500" s="133"/>
      <c r="AO3500" s="155"/>
      <c r="AP3500" s="143">
        <f>AP3491/((N_6*AP$27*0.667)*SQRT(AP3501*AP3493*AP3495))</f>
        <v>14.787873803226287</v>
      </c>
      <c r="AQ3500" s="133"/>
      <c r="AR3500" s="155"/>
      <c r="AS3500" s="143">
        <f>AS3491/((N_6*AS$27*0.667)*SQRT(AS3501*AS3493*AS3495))</f>
        <v>21.350589691211134</v>
      </c>
      <c r="AT3500" s="133"/>
      <c r="AU3500" s="155"/>
    </row>
    <row r="3501" spans="13:47" ht="15.5" x14ac:dyDescent="0.4">
      <c r="M3501" s="27"/>
      <c r="N3501" s="27"/>
      <c r="O3501" s="2" t="s">
        <v>192</v>
      </c>
      <c r="P3501" s="85">
        <v>10</v>
      </c>
      <c r="Q3501" s="2"/>
      <c r="R3501" s="181">
        <f>F_GAMMA*R$29</f>
        <v>0.64002688015162901</v>
      </c>
      <c r="S3501" s="133"/>
      <c r="T3501" s="155"/>
      <c r="U3501" s="138">
        <f>F_GAMMA*U$29</f>
        <v>0.64016782916606918</v>
      </c>
      <c r="V3501" s="133"/>
      <c r="W3501" s="155"/>
      <c r="X3501" s="138">
        <f>F_GAMMA*X$29</f>
        <v>0.6307062319203669</v>
      </c>
      <c r="Y3501" s="133"/>
      <c r="Z3501" s="155"/>
      <c r="AA3501" s="138">
        <f>F_GAMMA*AA$29</f>
        <v>0.62217534213893466</v>
      </c>
      <c r="AB3501" s="133"/>
      <c r="AC3501" s="155"/>
      <c r="AD3501" s="138">
        <f>F_GAMMA*AD$29</f>
        <v>0.60557184969146072</v>
      </c>
      <c r="AE3501" s="133"/>
      <c r="AF3501" s="155"/>
      <c r="AG3501" s="138">
        <f>F_GAMMA*AG$29</f>
        <v>0.57289312142622573</v>
      </c>
      <c r="AH3501" s="133"/>
      <c r="AI3501" s="155"/>
      <c r="AJ3501" s="138">
        <f>F_GAMMA*AJ$29</f>
        <v>0.53590819116049981</v>
      </c>
      <c r="AK3501" s="133"/>
      <c r="AL3501" s="155"/>
      <c r="AM3501" s="138">
        <f>F_GAMMA*AM$29</f>
        <v>0.49048815926850342</v>
      </c>
      <c r="AN3501" s="133"/>
      <c r="AO3501" s="155"/>
      <c r="AP3501" s="138">
        <f>F_GAMMA*AP$29</f>
        <v>0.59352979016280105</v>
      </c>
      <c r="AQ3501" s="133"/>
      <c r="AR3501" s="155"/>
      <c r="AS3501" s="138">
        <f>F_GAMMA*AS$29</f>
        <v>0.39097221161068291</v>
      </c>
      <c r="AT3501" s="133"/>
      <c r="AU3501" s="155"/>
    </row>
    <row r="3502" spans="13:47" x14ac:dyDescent="0.25">
      <c r="M3502" s="27"/>
      <c r="N3502" s="27"/>
      <c r="O3502" s="2" t="s">
        <v>193</v>
      </c>
      <c r="P3502" s="134"/>
      <c r="Q3502" s="2"/>
      <c r="R3502" s="181">
        <f>IF(R3497&lt;R3501,R3499,R3500)</f>
        <v>6.6610173065010416</v>
      </c>
      <c r="S3502" s="133"/>
      <c r="T3502" s="155"/>
      <c r="U3502" s="138">
        <f>IF(U3497&lt;U3501,U3499,U3500)</f>
        <v>27.240247454318073</v>
      </c>
      <c r="V3502" s="133"/>
      <c r="W3502" s="155"/>
      <c r="X3502" s="138" t="e">
        <f>IF(X3497&lt;X3501,X3499,X3500)</f>
        <v>#NUM!</v>
      </c>
      <c r="Y3502" s="133"/>
      <c r="Z3502" s="155"/>
      <c r="AA3502" s="138">
        <f>IF(AA3497&lt;AA3501,AA3499,AA3500)</f>
        <v>66.333790150973911</v>
      </c>
      <c r="AB3502" s="133"/>
      <c r="AC3502" s="155"/>
      <c r="AD3502" s="138">
        <f>IF(AD3497&lt;AD3501,AD3499,AD3500)</f>
        <v>30.224182294627763</v>
      </c>
      <c r="AE3502" s="133"/>
      <c r="AF3502" s="155"/>
      <c r="AG3502" s="138">
        <f>IF(AG3497&lt;AG3501,AG3499,AG3500)</f>
        <v>21.001332960692022</v>
      </c>
      <c r="AH3502" s="133"/>
      <c r="AI3502" s="155"/>
      <c r="AJ3502" s="138">
        <f>IF(AJ3497&lt;AJ3501,AJ3499,AJ3500)</f>
        <v>17.201353947913226</v>
      </c>
      <c r="AK3502" s="133"/>
      <c r="AL3502" s="155"/>
      <c r="AM3502" s="138">
        <f>IF(AM3497&lt;AM3501,AM3499,AM3500)</f>
        <v>16.078418583348743</v>
      </c>
      <c r="AN3502" s="133"/>
      <c r="AO3502" s="155"/>
      <c r="AP3502" s="138">
        <f>IF(AP3497&lt;AP3501,AP3499,AP3500)</f>
        <v>14.787873803226287</v>
      </c>
      <c r="AQ3502" s="133"/>
      <c r="AR3502" s="155"/>
      <c r="AS3502" s="138">
        <f>IF(AS3497&lt;AS3501,AS3499,AS3500)</f>
        <v>21.350589691211134</v>
      </c>
      <c r="AT3502" s="133"/>
      <c r="AU3502" s="155"/>
    </row>
    <row r="3503" spans="13:47" ht="13" x14ac:dyDescent="0.3">
      <c r="M3503" s="28"/>
      <c r="N3503" s="28"/>
      <c r="O3503" s="9" t="s">
        <v>194</v>
      </c>
      <c r="P3503" s="1"/>
      <c r="Q3503" s="1"/>
      <c r="R3503" s="135"/>
      <c r="S3503" s="132">
        <f>IF(R3496&lt;=0,W_max,ABS(R$23-R3502))</f>
        <v>4.6610173065010416</v>
      </c>
      <c r="T3503" s="151">
        <f>R3491</f>
        <v>1524.2208983345829</v>
      </c>
      <c r="U3503" s="135"/>
      <c r="V3503" s="132">
        <f>IF(U3496&lt;=0,W_max,ABS(U$23-U3502))</f>
        <v>22.240247454318073</v>
      </c>
      <c r="W3503" s="151">
        <f>U3491</f>
        <v>5425.2147078989092</v>
      </c>
      <c r="X3503" s="135"/>
      <c r="Y3503" s="132">
        <f>IF(X3496&lt;=0,W_max,ABS(X$23-X3502))</f>
        <v>7174</v>
      </c>
      <c r="Z3503" s="151">
        <f>X3491</f>
        <v>13417.201580752229</v>
      </c>
      <c r="AA3503" s="135"/>
      <c r="AB3503" s="132">
        <f>IF(AA3496&lt;=0,W_max,ABS(AA$23-AA3502))</f>
        <v>7174</v>
      </c>
      <c r="AC3503" s="151">
        <f>AA3491</f>
        <v>26133.284000141928</v>
      </c>
      <c r="AD3503" s="135"/>
      <c r="AE3503" s="132">
        <f>IF(AD3496&lt;=0,W_max,ABS(AD$23-AD3502))</f>
        <v>7174</v>
      </c>
      <c r="AF3503" s="151">
        <f>AD3491</f>
        <v>42979.630475917002</v>
      </c>
      <c r="AG3503" s="135"/>
      <c r="AH3503" s="132">
        <f>IF(AG3496&lt;=0,W_max,ABS(AG$23-AG3502))</f>
        <v>7174</v>
      </c>
      <c r="AI3503" s="151">
        <f>AG3491</f>
        <v>60282.24057959357</v>
      </c>
      <c r="AJ3503" s="135"/>
      <c r="AK3503" s="132">
        <f>IF(AJ3496&lt;=0,W_max,ABS(AJ$23-AJ3502))</f>
        <v>7174</v>
      </c>
      <c r="AL3503" s="151">
        <f>AJ3491</f>
        <v>76542.449555046536</v>
      </c>
      <c r="AM3503" s="135"/>
      <c r="AN3503" s="132">
        <f>IF(AM3496&lt;=0,W_max,ABS(AM$23-AM3502))</f>
        <v>7174</v>
      </c>
      <c r="AO3503" s="151">
        <f>AM3491</f>
        <v>89752.041778397019</v>
      </c>
      <c r="AP3503" s="135"/>
      <c r="AQ3503" s="132">
        <f>IF(AP3496&lt;=0,W_max,ABS(AP$23-AP3502))</f>
        <v>7174</v>
      </c>
      <c r="AR3503" s="151">
        <f>AP3491</f>
        <v>100133.51206074061</v>
      </c>
      <c r="AS3503" s="135"/>
      <c r="AT3503" s="132">
        <f>IF(AS3496&lt;=0,W_max,ABS(AS$23-AS3502))</f>
        <v>7174</v>
      </c>
      <c r="AU3503" s="151">
        <f>AS3491</f>
        <v>111715.78984659803</v>
      </c>
    </row>
    <row r="3504" spans="13:47" ht="13" x14ac:dyDescent="0.25">
      <c r="M3504" s="12"/>
      <c r="N3504" s="12"/>
      <c r="O3504" s="2"/>
      <c r="P3504" s="85"/>
      <c r="Q3504" s="2"/>
      <c r="R3504" s="18"/>
      <c r="S3504" s="150"/>
      <c r="T3504" s="152"/>
      <c r="U3504" s="157"/>
      <c r="V3504" s="1"/>
      <c r="W3504" s="147"/>
      <c r="X3504" s="157"/>
      <c r="Y3504" s="1"/>
      <c r="Z3504" s="147"/>
      <c r="AA3504" s="157"/>
      <c r="AB3504" s="1"/>
      <c r="AC3504" s="147"/>
      <c r="AD3504" s="157"/>
      <c r="AE3504" s="1"/>
      <c r="AF3504" s="147"/>
      <c r="AG3504" s="157"/>
      <c r="AH3504" s="1"/>
      <c r="AI3504" s="147"/>
      <c r="AJ3504" s="157"/>
      <c r="AK3504" s="1"/>
      <c r="AL3504" s="147"/>
      <c r="AM3504" s="157"/>
      <c r="AN3504" s="1"/>
      <c r="AO3504" s="147"/>
      <c r="AP3504" s="157"/>
      <c r="AQ3504" s="1"/>
      <c r="AR3504" s="147"/>
      <c r="AS3504" s="157"/>
      <c r="AT3504" s="1"/>
      <c r="AU3504" s="147"/>
    </row>
    <row r="3505" spans="13:47" ht="14" x14ac:dyDescent="0.3">
      <c r="M3505" s="23"/>
      <c r="N3505" s="23"/>
      <c r="O3505" s="23" t="s">
        <v>238</v>
      </c>
      <c r="P3505" s="20"/>
      <c r="Q3505" s="20"/>
      <c r="R3505" s="181">
        <f>R3491*1.02</f>
        <v>1554.7053163012745</v>
      </c>
      <c r="S3505" s="128" t="s">
        <v>185</v>
      </c>
      <c r="T3505" s="153" t="s">
        <v>186</v>
      </c>
      <c r="U3505" s="143">
        <f>U3491*1.01</f>
        <v>5479.466854977898</v>
      </c>
      <c r="V3505" s="128" t="s">
        <v>185</v>
      </c>
      <c r="W3505" s="153" t="s">
        <v>186</v>
      </c>
      <c r="X3505" s="143">
        <f>X3491*1.01</f>
        <v>13551.373596559752</v>
      </c>
      <c r="Y3505" s="128" t="s">
        <v>185</v>
      </c>
      <c r="Z3505" s="153" t="s">
        <v>186</v>
      </c>
      <c r="AA3505" s="143">
        <f>AA3491*1.01</f>
        <v>26394.616840143346</v>
      </c>
      <c r="AB3505" s="128" t="s">
        <v>185</v>
      </c>
      <c r="AC3505" s="153" t="s">
        <v>186</v>
      </c>
      <c r="AD3505" s="143">
        <f>AD3491*1.01</f>
        <v>43409.426780676171</v>
      </c>
      <c r="AE3505" s="128" t="s">
        <v>185</v>
      </c>
      <c r="AF3505" s="153" t="s">
        <v>186</v>
      </c>
      <c r="AG3505" s="143">
        <f>AG3491*1.01</f>
        <v>60885.062985389508</v>
      </c>
      <c r="AH3505" s="128" t="s">
        <v>185</v>
      </c>
      <c r="AI3505" s="153" t="s">
        <v>186</v>
      </c>
      <c r="AJ3505" s="143">
        <f>AJ3491*1.01</f>
        <v>77307.874050597005</v>
      </c>
      <c r="AK3505" s="128" t="s">
        <v>185</v>
      </c>
      <c r="AL3505" s="153" t="s">
        <v>186</v>
      </c>
      <c r="AM3505" s="143">
        <f>AM3491*1.01</f>
        <v>90649.562196180996</v>
      </c>
      <c r="AN3505" s="128" t="s">
        <v>185</v>
      </c>
      <c r="AO3505" s="153" t="s">
        <v>186</v>
      </c>
      <c r="AP3505" s="143">
        <f>AP3491*1.01</f>
        <v>101134.84718134801</v>
      </c>
      <c r="AQ3505" s="128" t="s">
        <v>185</v>
      </c>
      <c r="AR3505" s="153" t="s">
        <v>186</v>
      </c>
      <c r="AS3505" s="143">
        <f>AS3491*1.01</f>
        <v>112832.94774506401</v>
      </c>
      <c r="AT3505" s="128" t="s">
        <v>185</v>
      </c>
      <c r="AU3505" s="153" t="s">
        <v>186</v>
      </c>
    </row>
    <row r="3506" spans="13:47" ht="14" x14ac:dyDescent="0.3">
      <c r="M3506" s="12"/>
      <c r="N3506" s="12"/>
      <c r="O3506" s="20"/>
      <c r="P3506" s="20"/>
      <c r="Q3506" s="23"/>
      <c r="R3506" s="139"/>
      <c r="S3506" s="130" t="s">
        <v>228</v>
      </c>
      <c r="T3506" s="154" t="s">
        <v>187</v>
      </c>
      <c r="U3506" s="144"/>
      <c r="V3506" s="130" t="s">
        <v>228</v>
      </c>
      <c r="W3506" s="154" t="s">
        <v>187</v>
      </c>
      <c r="X3506" s="144"/>
      <c r="Y3506" s="130" t="s">
        <v>228</v>
      </c>
      <c r="Z3506" s="154" t="s">
        <v>187</v>
      </c>
      <c r="AA3506" s="144"/>
      <c r="AB3506" s="130" t="s">
        <v>228</v>
      </c>
      <c r="AC3506" s="154" t="s">
        <v>187</v>
      </c>
      <c r="AD3506" s="144"/>
      <c r="AE3506" s="130" t="s">
        <v>228</v>
      </c>
      <c r="AF3506" s="154" t="s">
        <v>187</v>
      </c>
      <c r="AG3506" s="144"/>
      <c r="AH3506" s="130" t="s">
        <v>228</v>
      </c>
      <c r="AI3506" s="154" t="s">
        <v>187</v>
      </c>
      <c r="AJ3506" s="144"/>
      <c r="AK3506" s="130" t="s">
        <v>228</v>
      </c>
      <c r="AL3506" s="154" t="s">
        <v>187</v>
      </c>
      <c r="AM3506" s="144"/>
      <c r="AN3506" s="130" t="s">
        <v>228</v>
      </c>
      <c r="AO3506" s="154" t="s">
        <v>187</v>
      </c>
      <c r="AP3506" s="144"/>
      <c r="AQ3506" s="130" t="s">
        <v>228</v>
      </c>
      <c r="AR3506" s="154" t="s">
        <v>187</v>
      </c>
      <c r="AS3506" s="144"/>
      <c r="AT3506" s="130" t="s">
        <v>228</v>
      </c>
      <c r="AU3506" s="154" t="s">
        <v>187</v>
      </c>
    </row>
    <row r="3507" spans="13:47" x14ac:dyDescent="0.25">
      <c r="M3507" s="20"/>
      <c r="N3507" s="20"/>
      <c r="O3507" s="7" t="s">
        <v>188</v>
      </c>
      <c r="P3507" s="7"/>
      <c r="Q3507" s="7"/>
      <c r="R3507" s="181">
        <f>P_1_minW-(R3505^2*R_up)+dpup_minQ</f>
        <v>99.558936064127977</v>
      </c>
      <c r="S3507" s="132"/>
      <c r="T3507" s="145"/>
      <c r="U3507" s="138">
        <f>P_1_minW-(U3505^2*R_up)+dpup_minQ</f>
        <v>88.550139240734183</v>
      </c>
      <c r="V3507" s="132"/>
      <c r="W3507" s="145"/>
      <c r="X3507" s="138">
        <f>P_1_minW-(X3505^2*R_up)+dpup_minQ</f>
        <v>27.294272197526524</v>
      </c>
      <c r="Y3507" s="132"/>
      <c r="Z3507" s="145"/>
      <c r="AA3507" s="138">
        <f>P_1_minW-(AA3505^2*R_up)+dpup_minQ</f>
        <v>-177.28493398945554</v>
      </c>
      <c r="AB3507" s="132"/>
      <c r="AC3507" s="145"/>
      <c r="AD3507" s="138">
        <f>P_1_minW-(AD3505^2*R_up)+dpup_minQ</f>
        <v>-650.89537820352473</v>
      </c>
      <c r="AE3507" s="132"/>
      <c r="AF3507" s="145"/>
      <c r="AG3507" s="138">
        <f>P_1_minW-(AG3505^2*R_up)+dpup_minQ</f>
        <v>-1377.6837104194126</v>
      </c>
      <c r="AH3507" s="132"/>
      <c r="AI3507" s="145"/>
      <c r="AJ3507" s="138">
        <f>P_1_minW-(AJ3505^2*R_up)+dpup_minQ</f>
        <v>-2282.68027617805</v>
      </c>
      <c r="AK3507" s="132"/>
      <c r="AL3507" s="145"/>
      <c r="AM3507" s="138">
        <f>P_1_minW-(AM3505^2*R_up)+dpup_minQ</f>
        <v>-3176.2400496647047</v>
      </c>
      <c r="AN3507" s="132"/>
      <c r="AO3507" s="145"/>
      <c r="AP3507" s="138">
        <f>P_1_minW-(AP3505^2*R_up)+dpup_minQ</f>
        <v>-3978.1158843745466</v>
      </c>
      <c r="AQ3507" s="132"/>
      <c r="AR3507" s="145"/>
      <c r="AS3507" s="138">
        <f>P_1_minW-(AS3505^2*R_up)+dpup_minQ</f>
        <v>-4976.2234533888968</v>
      </c>
      <c r="AT3507" s="132"/>
      <c r="AU3507" s="145"/>
    </row>
    <row r="3508" spans="13:47" x14ac:dyDescent="0.25">
      <c r="M3508" s="20"/>
      <c r="N3508" s="20"/>
      <c r="O3508" s="7" t="s">
        <v>189</v>
      </c>
      <c r="P3508" s="1"/>
      <c r="Q3508" s="7"/>
      <c r="R3508" s="181">
        <f>P_2_minW+(R3505^2*R_dn)-dpdn_minQ</f>
        <v>50</v>
      </c>
      <c r="S3508" s="132"/>
      <c r="T3508" s="146"/>
      <c r="U3508" s="138">
        <f>P_2_minW+(U3505^2*R_dn)-dpdn_minQ</f>
        <v>50</v>
      </c>
      <c r="V3508" s="132"/>
      <c r="W3508" s="146"/>
      <c r="X3508" s="138">
        <f>P_2_minW+(X3505^2*R_dn)-dpdn_minQ</f>
        <v>50</v>
      </c>
      <c r="Y3508" s="132"/>
      <c r="Z3508" s="146"/>
      <c r="AA3508" s="138">
        <f>P_2_minW+(AA3505^2*R_dn)-dpdn_minQ</f>
        <v>50</v>
      </c>
      <c r="AB3508" s="132"/>
      <c r="AC3508" s="146"/>
      <c r="AD3508" s="138">
        <f>P_2_minW+(AD3505^2*R_dn)-dpdn_minQ</f>
        <v>50</v>
      </c>
      <c r="AE3508" s="132"/>
      <c r="AF3508" s="146"/>
      <c r="AG3508" s="138">
        <f>P_2_minW+(AG3505^2*R_dn)-dpdn_minQ</f>
        <v>50</v>
      </c>
      <c r="AH3508" s="132"/>
      <c r="AI3508" s="146"/>
      <c r="AJ3508" s="138">
        <f>P_2_minW+(AJ3505^2*R_dn)-dpdn_minQ</f>
        <v>50</v>
      </c>
      <c r="AK3508" s="132"/>
      <c r="AL3508" s="146"/>
      <c r="AM3508" s="138">
        <f>P_2_minW+(AM3505^2*R_dn)-dpdn_minQ</f>
        <v>50</v>
      </c>
      <c r="AN3508" s="132"/>
      <c r="AO3508" s="146"/>
      <c r="AP3508" s="138">
        <f>P_2_minW+(AP3505^2*R_dn)-dpdn_minQ</f>
        <v>50</v>
      </c>
      <c r="AQ3508" s="132"/>
      <c r="AR3508" s="146"/>
      <c r="AS3508" s="138">
        <f>P_2_minW+(AS3505^2*R_dn)-dpdn_minQ</f>
        <v>50</v>
      </c>
      <c r="AT3508" s="132"/>
      <c r="AU3508" s="146"/>
    </row>
    <row r="3509" spans="13:47" x14ac:dyDescent="0.25">
      <c r="M3509" s="20"/>
      <c r="N3509" s="20"/>
      <c r="O3509" s="7" t="s">
        <v>234</v>
      </c>
      <c r="P3509" s="1"/>
      <c r="Q3509" s="7"/>
      <c r="R3509" s="179">
        <f>'Valve Sizing'!G$8*R3507/P_1_maxW</f>
        <v>0.48025458219730999</v>
      </c>
      <c r="S3509" s="132"/>
      <c r="T3509" s="146"/>
      <c r="U3509" s="143">
        <f>'Valve Sizing'!$G$8*U3507/P_1_maxW</f>
        <v>0.42715010631672623</v>
      </c>
      <c r="V3509" s="132"/>
      <c r="W3509" s="146"/>
      <c r="X3509" s="143">
        <f>'Valve Sizing'!$G$8*X3507/P_1_maxW</f>
        <v>0.13166270963522039</v>
      </c>
      <c r="Y3509" s="132"/>
      <c r="Z3509" s="146"/>
      <c r="AA3509" s="143">
        <f>'Valve Sizing'!$G$8*AA3507/P_1_maxW</f>
        <v>-0.85519095792809574</v>
      </c>
      <c r="AB3509" s="132"/>
      <c r="AC3509" s="146"/>
      <c r="AD3509" s="143">
        <f>'Valve Sizing'!$G$8*AD3507/P_1_maxW</f>
        <v>-3.1398034196743985</v>
      </c>
      <c r="AE3509" s="132"/>
      <c r="AF3509" s="146"/>
      <c r="AG3509" s="143">
        <f>'Valve Sizing'!$G$8*AG3507/P_1_maxW</f>
        <v>-6.6457009375967955</v>
      </c>
      <c r="AH3509" s="132"/>
      <c r="AI3509" s="146"/>
      <c r="AJ3509" s="143">
        <f>'Valve Sizing'!$G$8*AJ3507/P_1_maxW</f>
        <v>-11.011243246109027</v>
      </c>
      <c r="AK3509" s="132"/>
      <c r="AL3509" s="146"/>
      <c r="AM3509" s="143">
        <f>'Valve Sizing'!$G$8*AM3507/P_1_maxW</f>
        <v>-15.321616504896571</v>
      </c>
      <c r="AN3509" s="132"/>
      <c r="AO3509" s="146"/>
      <c r="AP3509" s="143">
        <f>'Valve Sizing'!$G$8*AP3507/P_1_maxW</f>
        <v>-19.189722766343969</v>
      </c>
      <c r="AQ3509" s="132"/>
      <c r="AR3509" s="146"/>
      <c r="AS3509" s="143">
        <f>'Valve Sizing'!$G$8*AS3507/P_1_maxW</f>
        <v>-24.004415977169394</v>
      </c>
      <c r="AT3509" s="132"/>
      <c r="AU3509" s="146"/>
    </row>
    <row r="3510" spans="13:47" x14ac:dyDescent="0.25">
      <c r="M3510" s="20"/>
      <c r="N3510" s="20"/>
      <c r="O3510" s="7" t="s">
        <v>190</v>
      </c>
      <c r="P3510" s="1"/>
      <c r="Q3510" s="7"/>
      <c r="R3510" s="181">
        <f>R3507-R3508</f>
        <v>49.558936064127977</v>
      </c>
      <c r="S3510" s="132"/>
      <c r="T3510" s="146"/>
      <c r="U3510" s="138">
        <f>U3507-U3508</f>
        <v>38.550139240734183</v>
      </c>
      <c r="V3510" s="132"/>
      <c r="W3510" s="146"/>
      <c r="X3510" s="138">
        <f>X3507-X3508</f>
        <v>-22.705727802473476</v>
      </c>
      <c r="Y3510" s="132"/>
      <c r="Z3510" s="146"/>
      <c r="AA3510" s="138">
        <f>AA3507-AA3508</f>
        <v>-227.28493398945554</v>
      </c>
      <c r="AB3510" s="132"/>
      <c r="AC3510" s="146"/>
      <c r="AD3510" s="138">
        <f>AD3507-AD3508</f>
        <v>-700.89537820352473</v>
      </c>
      <c r="AE3510" s="132"/>
      <c r="AF3510" s="146"/>
      <c r="AG3510" s="138">
        <f>AG3507-AG3508</f>
        <v>-1427.6837104194126</v>
      </c>
      <c r="AH3510" s="132"/>
      <c r="AI3510" s="146"/>
      <c r="AJ3510" s="138">
        <f>AJ3507-AJ3508</f>
        <v>-2332.68027617805</v>
      </c>
      <c r="AK3510" s="132"/>
      <c r="AL3510" s="146"/>
      <c r="AM3510" s="138">
        <f>AM3507-AM3508</f>
        <v>-3226.2400496647047</v>
      </c>
      <c r="AN3510" s="132"/>
      <c r="AO3510" s="146"/>
      <c r="AP3510" s="138">
        <f>AP3507-AP3508</f>
        <v>-4028.1158843745466</v>
      </c>
      <c r="AQ3510" s="132"/>
      <c r="AR3510" s="146"/>
      <c r="AS3510" s="138">
        <f>AS3507-AS3508</f>
        <v>-5026.2234533888968</v>
      </c>
      <c r="AT3510" s="132"/>
      <c r="AU3510" s="146"/>
    </row>
    <row r="3511" spans="13:47" ht="14.5" x14ac:dyDescent="0.35">
      <c r="M3511" s="27"/>
      <c r="N3511" s="27"/>
      <c r="O3511" s="2" t="s">
        <v>191</v>
      </c>
      <c r="P3511" s="10"/>
      <c r="Q3511" s="2"/>
      <c r="R3511" s="181">
        <f>R3510/R3507</f>
        <v>0.49778491035908656</v>
      </c>
      <c r="S3511" s="132"/>
      <c r="T3511" s="146"/>
      <c r="U3511" s="138">
        <f>U3510/U3507</f>
        <v>0.4353481493228486</v>
      </c>
      <c r="V3511" s="132"/>
      <c r="W3511" s="146"/>
      <c r="X3511" s="138">
        <f>X3510/X3507</f>
        <v>-0.83188617883466132</v>
      </c>
      <c r="Y3511" s="132"/>
      <c r="Z3511" s="146"/>
      <c r="AA3511" s="138">
        <f>AA3510/AA3507</f>
        <v>1.2820318617879503</v>
      </c>
      <c r="AB3511" s="132"/>
      <c r="AC3511" s="146"/>
      <c r="AD3511" s="138">
        <f>AD3510/AD3507</f>
        <v>1.0768172607677755</v>
      </c>
      <c r="AE3511" s="132"/>
      <c r="AF3511" s="146"/>
      <c r="AG3511" s="138">
        <f>AG3510/AG3507</f>
        <v>1.0362928004605487</v>
      </c>
      <c r="AH3511" s="132"/>
      <c r="AI3511" s="146"/>
      <c r="AJ3511" s="138">
        <f>AJ3510/AJ3507</f>
        <v>1.0219040750129564</v>
      </c>
      <c r="AK3511" s="132"/>
      <c r="AL3511" s="146"/>
      <c r="AM3511" s="138">
        <f>AM3510/AM3507</f>
        <v>1.0157418832387302</v>
      </c>
      <c r="AN3511" s="132"/>
      <c r="AO3511" s="146"/>
      <c r="AP3511" s="138">
        <f>AP3510/AP3507</f>
        <v>1.0125687640715528</v>
      </c>
      <c r="AQ3511" s="132"/>
      <c r="AR3511" s="146"/>
      <c r="AS3511" s="138">
        <f>AS3510/AS3507</f>
        <v>1.0100477803033441</v>
      </c>
      <c r="AT3511" s="132"/>
      <c r="AU3511" s="146"/>
    </row>
    <row r="3512" spans="13:47" x14ac:dyDescent="0.25">
      <c r="M3512" s="27"/>
      <c r="N3512" s="27"/>
      <c r="O3512" s="2" t="s">
        <v>26</v>
      </c>
      <c r="P3512" s="7">
        <v>12</v>
      </c>
      <c r="Q3512" s="2"/>
      <c r="R3512" s="181">
        <f>1-R3511/(3*F_GAMMA*R$29)</f>
        <v>0.74074791450365529</v>
      </c>
      <c r="S3512" s="133"/>
      <c r="T3512" s="146"/>
      <c r="U3512" s="138">
        <f>1-U3511/(3*F_GAMMA*U$29)</f>
        <v>0.77331561636997292</v>
      </c>
      <c r="V3512" s="133"/>
      <c r="W3512" s="146"/>
      <c r="X3512" s="138">
        <f>1-X3511/(3*F_GAMMA*X$29)</f>
        <v>1.4396585587882673</v>
      </c>
      <c r="Y3512" s="133"/>
      <c r="Z3512" s="146"/>
      <c r="AA3512" s="138">
        <f>1-AA3511/(3*F_GAMMA*AA$29)</f>
        <v>0.31314546722443259</v>
      </c>
      <c r="AB3512" s="133"/>
      <c r="AC3512" s="146"/>
      <c r="AD3512" s="138">
        <f>1-AD3511/(3*F_GAMMA*AD$29)</f>
        <v>0.40727250266756698</v>
      </c>
      <c r="AE3512" s="133"/>
      <c r="AF3512" s="146"/>
      <c r="AG3512" s="138">
        <f>1-AG3511/(3*F_GAMMA*AG$29)</f>
        <v>0.39704122711947698</v>
      </c>
      <c r="AH3512" s="133"/>
      <c r="AI3512" s="146"/>
      <c r="AJ3512" s="138">
        <f>1-AJ3511/(3*F_GAMMA*AJ$29)</f>
        <v>0.36437864304080325</v>
      </c>
      <c r="AK3512" s="133"/>
      <c r="AL3512" s="146"/>
      <c r="AM3512" s="138">
        <f>1-AM3511/(3*F_GAMMA*AM$29)</f>
        <v>0.30970682706960662</v>
      </c>
      <c r="AN3512" s="133"/>
      <c r="AO3512" s="146"/>
      <c r="AP3512" s="138">
        <f>1-AP3511/(3*F_GAMMA*AP$29)</f>
        <v>0.43132943459400053</v>
      </c>
      <c r="AQ3512" s="133"/>
      <c r="AR3512" s="146"/>
      <c r="AS3512" s="138">
        <f>1-AS3511/(3*F_GAMMA*AS$29)</f>
        <v>0.13885799697267154</v>
      </c>
      <c r="AT3512" s="133"/>
      <c r="AU3512" s="146"/>
    </row>
    <row r="3513" spans="13:47" x14ac:dyDescent="0.25">
      <c r="M3513" s="27"/>
      <c r="N3513" s="27"/>
      <c r="O3513" s="2" t="s">
        <v>71</v>
      </c>
      <c r="P3513" s="85">
        <v>5</v>
      </c>
      <c r="Q3513" s="2"/>
      <c r="R3513" s="179">
        <f>R3505/((N_6*R$27*R3512)*SQRT(R3511*R3507*R3509))</f>
        <v>6.7971781084134131</v>
      </c>
      <c r="S3513" s="133"/>
      <c r="T3513" s="146"/>
      <c r="U3513" s="143">
        <f>U3505/((N_6*U$27*U3512)*SQRT(U3511*U3507*U3509))</f>
        <v>27.605524411128037</v>
      </c>
      <c r="V3513" s="133"/>
      <c r="W3513" s="146"/>
      <c r="X3513" s="143" t="e">
        <f>X3505/((N_6*X$27*X3512)*SQRT(X3511*X3507*X3509))</f>
        <v>#NUM!</v>
      </c>
      <c r="Y3513" s="133"/>
      <c r="Z3513" s="146"/>
      <c r="AA3513" s="143">
        <f>AA3505/((N_6*AA$27*AA3512)*SQRT(AA3511*AA3507*AA3509))</f>
        <v>96.343423829052838</v>
      </c>
      <c r="AB3513" s="133"/>
      <c r="AC3513" s="146"/>
      <c r="AD3513" s="143">
        <f>AD3505/((N_6*AD$27*AD3512)*SQRT(AD3511*AD3507*AD3509))</f>
        <v>36.638318450144695</v>
      </c>
      <c r="AE3513" s="133"/>
      <c r="AF3513" s="146"/>
      <c r="AG3513" s="143">
        <f>AG3505/((N_6*AG$27*AG3512)*SQRT(AG3511*AG3507*AG3509))</f>
        <v>25.934260964750354</v>
      </c>
      <c r="AH3513" s="133"/>
      <c r="AI3513" s="146"/>
      <c r="AJ3513" s="143">
        <f>AJ3505/((N_6*AJ$27*AJ3512)*SQRT(AJ3511*AJ3507*AJ3509))</f>
        <v>22.556396785087461</v>
      </c>
      <c r="AK3513" s="133"/>
      <c r="AL3513" s="146"/>
      <c r="AM3513" s="143">
        <f>AM3505/((N_6*AM$27*AM3512)*SQRT(AM3511*AM3507*AM3509))</f>
        <v>23.809114253124424</v>
      </c>
      <c r="AN3513" s="133"/>
      <c r="AO3513" s="146"/>
      <c r="AP3513" s="143">
        <f>AP3505/((N_6*AP$27*AP3512)*SQRT(AP3511*AP3507*AP3509))</f>
        <v>17.325646970301499</v>
      </c>
      <c r="AQ3513" s="133"/>
      <c r="AR3513" s="146"/>
      <c r="AS3513" s="143">
        <f>AS3505/((N_6*AS$27*AS3512)*SQRT(AS3511*AS3507*AS3509))</f>
        <v>63.14937419910747</v>
      </c>
      <c r="AT3513" s="133"/>
      <c r="AU3513" s="146"/>
    </row>
    <row r="3514" spans="13:47" x14ac:dyDescent="0.25">
      <c r="M3514" s="27"/>
      <c r="N3514" s="27"/>
      <c r="O3514" s="2" t="s">
        <v>73</v>
      </c>
      <c r="P3514" s="85">
        <v>5</v>
      </c>
      <c r="Q3514" s="2"/>
      <c r="R3514" s="179">
        <f>R3505/((N_6*R$27*0.667)*SQRT(R3515*R3507*R3509))</f>
        <v>6.6572522057555181</v>
      </c>
      <c r="S3514" s="133"/>
      <c r="T3514" s="155"/>
      <c r="U3514" s="143">
        <f>U3505/((N_6*U$27*0.667)*SQRT(U3515*U3507*U3509))</f>
        <v>26.393584574218991</v>
      </c>
      <c r="V3514" s="133"/>
      <c r="W3514" s="155"/>
      <c r="X3514" s="143">
        <f>X3505/((N_6*X$27*0.667)*SQRT(X3515*X3507*X3509))</f>
        <v>213.82373247164128</v>
      </c>
      <c r="Y3514" s="133"/>
      <c r="Z3514" s="155"/>
      <c r="AA3514" s="143">
        <f>AA3505/((N_6*AA$27*0.667)*SQRT(AA3515*AA3507*AA3509))</f>
        <v>64.928502059258832</v>
      </c>
      <c r="AB3514" s="133"/>
      <c r="AC3514" s="155"/>
      <c r="AD3514" s="143">
        <f>AD3505/((N_6*AD$27*0.667)*SQRT(AD3515*AD3507*AD3509))</f>
        <v>29.832040053334769</v>
      </c>
      <c r="AE3514" s="133"/>
      <c r="AF3514" s="155"/>
      <c r="AG3514" s="143">
        <f>AG3505/((N_6*AG$27*0.667)*SQRT(AG3515*AG3507*AG3509))</f>
        <v>20.762903416067001</v>
      </c>
      <c r="AH3514" s="133"/>
      <c r="AI3514" s="155"/>
      <c r="AJ3514" s="143">
        <f>AJ3505/((N_6*AJ$27*0.667)*SQRT(AJ3515*AJ3507*AJ3509))</f>
        <v>17.01596853261692</v>
      </c>
      <c r="AK3514" s="133"/>
      <c r="AL3514" s="155"/>
      <c r="AM3514" s="143">
        <f>AM3505/((N_6*AM$27*0.667)*SQRT(AM3515*AM3507*AM3509))</f>
        <v>15.909099590478171</v>
      </c>
      <c r="AN3514" s="133"/>
      <c r="AO3514" s="155"/>
      <c r="AP3514" s="143">
        <f>AP3505/((N_6*AP$27*0.667)*SQRT(AP3515*AP3507*AP3509))</f>
        <v>14.634022729493205</v>
      </c>
      <c r="AQ3514" s="133"/>
      <c r="AR3514" s="155"/>
      <c r="AS3514" s="143">
        <f>AS3505/((N_6*AS$27*0.667)*SQRT(AS3515*AS3507*AS3509))</f>
        <v>21.130614514626441</v>
      </c>
      <c r="AT3514" s="133"/>
      <c r="AU3514" s="155"/>
    </row>
    <row r="3515" spans="13:47" ht="15.5" x14ac:dyDescent="0.4">
      <c r="M3515" s="27"/>
      <c r="N3515" s="27"/>
      <c r="O3515" s="2" t="s">
        <v>192</v>
      </c>
      <c r="P3515" s="85">
        <v>10</v>
      </c>
      <c r="Q3515" s="2"/>
      <c r="R3515" s="181">
        <f>F_GAMMA*R$29</f>
        <v>0.64002688015162901</v>
      </c>
      <c r="S3515" s="133"/>
      <c r="T3515" s="155"/>
      <c r="U3515" s="138">
        <f>F_GAMMA*U$29</f>
        <v>0.64016782916606918</v>
      </c>
      <c r="V3515" s="133"/>
      <c r="W3515" s="155"/>
      <c r="X3515" s="138">
        <f>F_GAMMA*X$29</f>
        <v>0.6307062319203669</v>
      </c>
      <c r="Y3515" s="133"/>
      <c r="Z3515" s="155"/>
      <c r="AA3515" s="138">
        <f>F_GAMMA*AA$29</f>
        <v>0.62217534213893466</v>
      </c>
      <c r="AB3515" s="133"/>
      <c r="AC3515" s="155"/>
      <c r="AD3515" s="138">
        <f>F_GAMMA*AD$29</f>
        <v>0.60557184969146072</v>
      </c>
      <c r="AE3515" s="133"/>
      <c r="AF3515" s="155"/>
      <c r="AG3515" s="138">
        <f>F_GAMMA*AG$29</f>
        <v>0.57289312142622573</v>
      </c>
      <c r="AH3515" s="133"/>
      <c r="AI3515" s="155"/>
      <c r="AJ3515" s="138">
        <f>F_GAMMA*AJ$29</f>
        <v>0.53590819116049981</v>
      </c>
      <c r="AK3515" s="133"/>
      <c r="AL3515" s="155"/>
      <c r="AM3515" s="138">
        <f>F_GAMMA*AM$29</f>
        <v>0.49048815926850342</v>
      </c>
      <c r="AN3515" s="133"/>
      <c r="AO3515" s="155"/>
      <c r="AP3515" s="138">
        <f>F_GAMMA*AP$29</f>
        <v>0.59352979016280105</v>
      </c>
      <c r="AQ3515" s="133"/>
      <c r="AR3515" s="155"/>
      <c r="AS3515" s="138">
        <f>F_GAMMA*AS$29</f>
        <v>0.39097221161068291</v>
      </c>
      <c r="AT3515" s="133"/>
      <c r="AU3515" s="155"/>
    </row>
    <row r="3516" spans="13:47" x14ac:dyDescent="0.25">
      <c r="M3516" s="27"/>
      <c r="N3516" s="27"/>
      <c r="O3516" s="2" t="s">
        <v>193</v>
      </c>
      <c r="P3516" s="134"/>
      <c r="Q3516" s="2"/>
      <c r="R3516" s="181">
        <f>IF(R3511&lt;R3515,R3513,R3514)</f>
        <v>6.7971781084134131</v>
      </c>
      <c r="S3516" s="133"/>
      <c r="T3516" s="155"/>
      <c r="U3516" s="138">
        <f>IF(U3511&lt;U3515,U3513,U3514)</f>
        <v>27.605524411128037</v>
      </c>
      <c r="V3516" s="133"/>
      <c r="W3516" s="155"/>
      <c r="X3516" s="138" t="e">
        <f>IF(X3511&lt;X3515,X3513,X3514)</f>
        <v>#NUM!</v>
      </c>
      <c r="Y3516" s="133"/>
      <c r="Z3516" s="155"/>
      <c r="AA3516" s="138">
        <f>IF(AA3511&lt;AA3515,AA3513,AA3514)</f>
        <v>64.928502059258832</v>
      </c>
      <c r="AB3516" s="133"/>
      <c r="AC3516" s="155"/>
      <c r="AD3516" s="138">
        <f>IF(AD3511&lt;AD3515,AD3513,AD3514)</f>
        <v>29.832040053334769</v>
      </c>
      <c r="AE3516" s="133"/>
      <c r="AF3516" s="155"/>
      <c r="AG3516" s="138">
        <f>IF(AG3511&lt;AG3515,AG3513,AG3514)</f>
        <v>20.762903416067001</v>
      </c>
      <c r="AH3516" s="133"/>
      <c r="AI3516" s="155"/>
      <c r="AJ3516" s="138">
        <f>IF(AJ3511&lt;AJ3515,AJ3513,AJ3514)</f>
        <v>17.01596853261692</v>
      </c>
      <c r="AK3516" s="133"/>
      <c r="AL3516" s="155"/>
      <c r="AM3516" s="138">
        <f>IF(AM3511&lt;AM3515,AM3513,AM3514)</f>
        <v>15.909099590478171</v>
      </c>
      <c r="AN3516" s="133"/>
      <c r="AO3516" s="155"/>
      <c r="AP3516" s="138">
        <f>IF(AP3511&lt;AP3515,AP3513,AP3514)</f>
        <v>14.634022729493205</v>
      </c>
      <c r="AQ3516" s="133"/>
      <c r="AR3516" s="155"/>
      <c r="AS3516" s="138">
        <f>IF(AS3511&lt;AS3515,AS3513,AS3514)</f>
        <v>21.130614514626441</v>
      </c>
      <c r="AT3516" s="133"/>
      <c r="AU3516" s="155"/>
    </row>
    <row r="3517" spans="13:47" ht="13" x14ac:dyDescent="0.3">
      <c r="M3517" s="28"/>
      <c r="N3517" s="28"/>
      <c r="O3517" s="9" t="s">
        <v>194</v>
      </c>
      <c r="P3517" s="1"/>
      <c r="Q3517" s="1"/>
      <c r="R3517" s="135"/>
      <c r="S3517" s="132">
        <f>IF(R3510&lt;=0,W_max,ABS(R$23-R3516))</f>
        <v>4.7971781084134131</v>
      </c>
      <c r="T3517" s="151">
        <f>R3505</f>
        <v>1554.7053163012745</v>
      </c>
      <c r="U3517" s="135"/>
      <c r="V3517" s="132">
        <f>IF(U3510&lt;=0,W_max,ABS(U$23-U3516))</f>
        <v>22.605524411128037</v>
      </c>
      <c r="W3517" s="151">
        <f>U3505</f>
        <v>5479.466854977898</v>
      </c>
      <c r="X3517" s="135"/>
      <c r="Y3517" s="132">
        <f>IF(X3510&lt;=0,W_max,ABS(X$23-X3516))</f>
        <v>7174</v>
      </c>
      <c r="Z3517" s="151">
        <f>X3505</f>
        <v>13551.373596559752</v>
      </c>
      <c r="AA3517" s="135"/>
      <c r="AB3517" s="132">
        <f>IF(AA3510&lt;=0,W_max,ABS(AA$23-AA3516))</f>
        <v>7174</v>
      </c>
      <c r="AC3517" s="151">
        <f>AA3505</f>
        <v>26394.616840143346</v>
      </c>
      <c r="AD3517" s="135"/>
      <c r="AE3517" s="132">
        <f>IF(AD3510&lt;=0,W_max,ABS(AD$23-AD3516))</f>
        <v>7174</v>
      </c>
      <c r="AF3517" s="151">
        <f>AD3505</f>
        <v>43409.426780676171</v>
      </c>
      <c r="AG3517" s="135"/>
      <c r="AH3517" s="132">
        <f>IF(AG3510&lt;=0,W_max,ABS(AG$23-AG3516))</f>
        <v>7174</v>
      </c>
      <c r="AI3517" s="151">
        <f>AG3505</f>
        <v>60885.062985389508</v>
      </c>
      <c r="AJ3517" s="135"/>
      <c r="AK3517" s="132">
        <f>IF(AJ3510&lt;=0,W_max,ABS(AJ$23-AJ3516))</f>
        <v>7174</v>
      </c>
      <c r="AL3517" s="151">
        <f>AJ3505</f>
        <v>77307.874050597005</v>
      </c>
      <c r="AM3517" s="135"/>
      <c r="AN3517" s="132">
        <f>IF(AM3510&lt;=0,W_max,ABS(AM$23-AM3516))</f>
        <v>7174</v>
      </c>
      <c r="AO3517" s="151">
        <f>AM3505</f>
        <v>90649.562196180996</v>
      </c>
      <c r="AP3517" s="135"/>
      <c r="AQ3517" s="132">
        <f>IF(AP3510&lt;=0,W_max,ABS(AP$23-AP3516))</f>
        <v>7174</v>
      </c>
      <c r="AR3517" s="151">
        <f>AP3505</f>
        <v>101134.84718134801</v>
      </c>
      <c r="AS3517" s="135"/>
      <c r="AT3517" s="132">
        <f>IF(AS3510&lt;=0,W_max,ABS(AS$23-AS3516))</f>
        <v>7174</v>
      </c>
      <c r="AU3517" s="151">
        <f>AS3505</f>
        <v>112832.94774506401</v>
      </c>
    </row>
    <row r="3518" spans="13:47" ht="13" x14ac:dyDescent="0.25">
      <c r="M3518" s="12"/>
      <c r="N3518" s="12"/>
      <c r="O3518" s="2"/>
      <c r="P3518" s="85"/>
      <c r="Q3518" s="2"/>
      <c r="R3518" s="18"/>
      <c r="S3518" s="150"/>
      <c r="T3518" s="148"/>
      <c r="U3518" s="157"/>
      <c r="V3518" s="1"/>
      <c r="W3518" s="147"/>
      <c r="X3518" s="157"/>
      <c r="Y3518" s="1"/>
      <c r="Z3518" s="147"/>
      <c r="AA3518" s="157"/>
      <c r="AB3518" s="1"/>
      <c r="AC3518" s="147"/>
      <c r="AD3518" s="157"/>
      <c r="AE3518" s="1"/>
      <c r="AF3518" s="147"/>
      <c r="AG3518" s="157"/>
      <c r="AH3518" s="1"/>
      <c r="AI3518" s="147"/>
      <c r="AJ3518" s="157"/>
      <c r="AK3518" s="1"/>
      <c r="AL3518" s="147"/>
      <c r="AM3518" s="157"/>
      <c r="AN3518" s="1"/>
      <c r="AO3518" s="147"/>
      <c r="AP3518" s="157"/>
      <c r="AQ3518" s="1"/>
      <c r="AR3518" s="147"/>
      <c r="AS3518" s="157"/>
      <c r="AT3518" s="1"/>
      <c r="AU3518" s="147"/>
    </row>
    <row r="3519" spans="13:47" ht="14" x14ac:dyDescent="0.3">
      <c r="M3519" s="23"/>
      <c r="N3519" s="23"/>
      <c r="O3519" s="23" t="s">
        <v>238</v>
      </c>
      <c r="P3519" s="20"/>
      <c r="Q3519" s="20"/>
      <c r="R3519" s="181">
        <f>R3505*1.02</f>
        <v>1585.7994226272999</v>
      </c>
      <c r="S3519" s="128" t="s">
        <v>185</v>
      </c>
      <c r="T3519" s="149" t="s">
        <v>186</v>
      </c>
      <c r="U3519" s="143">
        <f>U3505*1.01</f>
        <v>5534.2615235276771</v>
      </c>
      <c r="V3519" s="128" t="s">
        <v>185</v>
      </c>
      <c r="W3519" s="153" t="s">
        <v>186</v>
      </c>
      <c r="X3519" s="143">
        <f>X3505*1.01</f>
        <v>13686.88733252535</v>
      </c>
      <c r="Y3519" s="128" t="s">
        <v>185</v>
      </c>
      <c r="Z3519" s="153" t="s">
        <v>186</v>
      </c>
      <c r="AA3519" s="143">
        <f>AA3505*1.01</f>
        <v>26658.563008544781</v>
      </c>
      <c r="AB3519" s="128" t="s">
        <v>185</v>
      </c>
      <c r="AC3519" s="153" t="s">
        <v>186</v>
      </c>
      <c r="AD3519" s="143">
        <f>AD3505*1.01</f>
        <v>43843.521048482929</v>
      </c>
      <c r="AE3519" s="128" t="s">
        <v>185</v>
      </c>
      <c r="AF3519" s="153" t="s">
        <v>186</v>
      </c>
      <c r="AG3519" s="143">
        <f>AG3505*1.01</f>
        <v>61493.9136152434</v>
      </c>
      <c r="AH3519" s="128" t="s">
        <v>185</v>
      </c>
      <c r="AI3519" s="153" t="s">
        <v>186</v>
      </c>
      <c r="AJ3519" s="143">
        <f>AJ3505*1.01</f>
        <v>78080.952791102973</v>
      </c>
      <c r="AK3519" s="128" t="s">
        <v>185</v>
      </c>
      <c r="AL3519" s="153" t="s">
        <v>186</v>
      </c>
      <c r="AM3519" s="143">
        <f>AM3505*1.01</f>
        <v>91556.057818142814</v>
      </c>
      <c r="AN3519" s="128" t="s">
        <v>185</v>
      </c>
      <c r="AO3519" s="153" t="s">
        <v>186</v>
      </c>
      <c r="AP3519" s="143">
        <f>AP3505*1.01</f>
        <v>102146.1956531615</v>
      </c>
      <c r="AQ3519" s="128" t="s">
        <v>185</v>
      </c>
      <c r="AR3519" s="153" t="s">
        <v>186</v>
      </c>
      <c r="AS3519" s="143">
        <f>AS3505*1.01</f>
        <v>113961.27722251465</v>
      </c>
      <c r="AT3519" s="128" t="s">
        <v>185</v>
      </c>
      <c r="AU3519" s="153" t="s">
        <v>186</v>
      </c>
    </row>
    <row r="3520" spans="13:47" ht="14" x14ac:dyDescent="0.3">
      <c r="M3520" s="12"/>
      <c r="N3520" s="12"/>
      <c r="O3520" s="20"/>
      <c r="P3520" s="20"/>
      <c r="Q3520" s="23"/>
      <c r="R3520" s="139"/>
      <c r="S3520" s="130" t="s">
        <v>228</v>
      </c>
      <c r="T3520" s="131" t="s">
        <v>187</v>
      </c>
      <c r="U3520" s="144"/>
      <c r="V3520" s="130" t="s">
        <v>228</v>
      </c>
      <c r="W3520" s="154" t="s">
        <v>187</v>
      </c>
      <c r="X3520" s="144"/>
      <c r="Y3520" s="130" t="s">
        <v>228</v>
      </c>
      <c r="Z3520" s="154" t="s">
        <v>187</v>
      </c>
      <c r="AA3520" s="144"/>
      <c r="AB3520" s="130" t="s">
        <v>228</v>
      </c>
      <c r="AC3520" s="154" t="s">
        <v>187</v>
      </c>
      <c r="AD3520" s="144"/>
      <c r="AE3520" s="130" t="s">
        <v>228</v>
      </c>
      <c r="AF3520" s="154" t="s">
        <v>187</v>
      </c>
      <c r="AG3520" s="144"/>
      <c r="AH3520" s="130" t="s">
        <v>228</v>
      </c>
      <c r="AI3520" s="154" t="s">
        <v>187</v>
      </c>
      <c r="AJ3520" s="144"/>
      <c r="AK3520" s="130" t="s">
        <v>228</v>
      </c>
      <c r="AL3520" s="154" t="s">
        <v>187</v>
      </c>
      <c r="AM3520" s="144"/>
      <c r="AN3520" s="130" t="s">
        <v>228</v>
      </c>
      <c r="AO3520" s="154" t="s">
        <v>187</v>
      </c>
      <c r="AP3520" s="144"/>
      <c r="AQ3520" s="130" t="s">
        <v>228</v>
      </c>
      <c r="AR3520" s="154" t="s">
        <v>187</v>
      </c>
      <c r="AS3520" s="144"/>
      <c r="AT3520" s="130" t="s">
        <v>228</v>
      </c>
      <c r="AU3520" s="154" t="s">
        <v>187</v>
      </c>
    </row>
    <row r="3521" spans="13:47" x14ac:dyDescent="0.25">
      <c r="M3521" s="20"/>
      <c r="N3521" s="20"/>
      <c r="O3521" s="7" t="s">
        <v>188</v>
      </c>
      <c r="P3521" s="7"/>
      <c r="Q3521" s="7"/>
      <c r="R3521" s="181">
        <f>P_1_minW-(R3519^2*R_up)+dpup_minQ</f>
        <v>99.519996496954988</v>
      </c>
      <c r="S3521" s="132"/>
      <c r="T3521" s="145"/>
      <c r="U3521" s="138">
        <f>P_1_minW-(U3519^2*R_up)+dpup_minQ</f>
        <v>88.309489026064739</v>
      </c>
      <c r="V3521" s="132"/>
      <c r="W3521" s="145"/>
      <c r="X3521" s="138">
        <f>P_1_minW-(X3519^2*R_up)+dpup_minQ</f>
        <v>25.822379055288593</v>
      </c>
      <c r="Y3521" s="132"/>
      <c r="Z3521" s="145"/>
      <c r="AA3521" s="138">
        <f>P_1_minW-(AA3519^2*R_up)+dpup_minQ</f>
        <v>-182.86886917605185</v>
      </c>
      <c r="AB3521" s="132"/>
      <c r="AC3521" s="145"/>
      <c r="AD3521" s="138">
        <f>P_1_minW-(AD3519^2*R_up)+dpup_minQ</f>
        <v>-665.99888331882369</v>
      </c>
      <c r="AE3521" s="132"/>
      <c r="AF3521" s="145"/>
      <c r="AG3521" s="138">
        <f>P_1_minW-(AG3519^2*R_up)+dpup_minQ</f>
        <v>-1407.3956610122509</v>
      </c>
      <c r="AH3521" s="132"/>
      <c r="AI3521" s="145"/>
      <c r="AJ3521" s="138">
        <f>P_1_minW-(AJ3519^2*R_up)+dpup_minQ</f>
        <v>-2330.5826577426365</v>
      </c>
      <c r="AK3521" s="132"/>
      <c r="AL3521" s="145"/>
      <c r="AM3521" s="138">
        <f>P_1_minW-(AM3519^2*R_up)+dpup_minQ</f>
        <v>-3242.1029826763743</v>
      </c>
      <c r="AN3521" s="132"/>
      <c r="AO3521" s="145"/>
      <c r="AP3521" s="138">
        <f>P_1_minW-(AP3519^2*R_up)+dpup_minQ</f>
        <v>-4060.0965216638833</v>
      </c>
      <c r="AQ3521" s="132"/>
      <c r="AR3521" s="145"/>
      <c r="AS3521" s="138">
        <f>P_1_minW-(AS3519^2*R_up)+dpup_minQ</f>
        <v>-5078.266052815422</v>
      </c>
      <c r="AT3521" s="132"/>
      <c r="AU3521" s="145"/>
    </row>
    <row r="3522" spans="13:47" x14ac:dyDescent="0.25">
      <c r="M3522" s="20"/>
      <c r="N3522" s="20"/>
      <c r="O3522" s="7" t="s">
        <v>189</v>
      </c>
      <c r="P3522" s="1"/>
      <c r="Q3522" s="7"/>
      <c r="R3522" s="181">
        <f>P_2_minW+(R3519^2*R_dn)-dpdn_minQ</f>
        <v>50</v>
      </c>
      <c r="S3522" s="132"/>
      <c r="T3522" s="146"/>
      <c r="U3522" s="138">
        <f>P_2_minW+(U3519^2*R_dn)-dpdn_minQ</f>
        <v>50</v>
      </c>
      <c r="V3522" s="132"/>
      <c r="W3522" s="146"/>
      <c r="X3522" s="138">
        <f>P_2_minW+(X3519^2*R_dn)-dpdn_minQ</f>
        <v>50</v>
      </c>
      <c r="Y3522" s="132"/>
      <c r="Z3522" s="146"/>
      <c r="AA3522" s="138">
        <f>P_2_minW+(AA3519^2*R_dn)-dpdn_minQ</f>
        <v>50</v>
      </c>
      <c r="AB3522" s="132"/>
      <c r="AC3522" s="146"/>
      <c r="AD3522" s="138">
        <f>P_2_minW+(AD3519^2*R_dn)-dpdn_minQ</f>
        <v>50</v>
      </c>
      <c r="AE3522" s="132"/>
      <c r="AF3522" s="146"/>
      <c r="AG3522" s="138">
        <f>P_2_minW+(AG3519^2*R_dn)-dpdn_minQ</f>
        <v>50</v>
      </c>
      <c r="AH3522" s="132"/>
      <c r="AI3522" s="146"/>
      <c r="AJ3522" s="138">
        <f>P_2_minW+(AJ3519^2*R_dn)-dpdn_minQ</f>
        <v>50</v>
      </c>
      <c r="AK3522" s="132"/>
      <c r="AL3522" s="146"/>
      <c r="AM3522" s="138">
        <f>P_2_minW+(AM3519^2*R_dn)-dpdn_minQ</f>
        <v>50</v>
      </c>
      <c r="AN3522" s="132"/>
      <c r="AO3522" s="146"/>
      <c r="AP3522" s="138">
        <f>P_2_minW+(AP3519^2*R_dn)-dpdn_minQ</f>
        <v>50</v>
      </c>
      <c r="AQ3522" s="132"/>
      <c r="AR3522" s="146"/>
      <c r="AS3522" s="138">
        <f>P_2_minW+(AS3519^2*R_dn)-dpdn_minQ</f>
        <v>50</v>
      </c>
      <c r="AT3522" s="132"/>
      <c r="AU3522" s="146"/>
    </row>
    <row r="3523" spans="13:47" x14ac:dyDescent="0.25">
      <c r="M3523" s="20"/>
      <c r="N3523" s="20"/>
      <c r="O3523" s="7" t="s">
        <v>234</v>
      </c>
      <c r="P3523" s="1"/>
      <c r="Q3523" s="7"/>
      <c r="R3523" s="179">
        <f>'Valve Sizing'!G$8*R3521/P_1_maxW</f>
        <v>0.48006674465803006</v>
      </c>
      <c r="S3523" s="132"/>
      <c r="T3523" s="146"/>
      <c r="U3523" s="143">
        <f>'Valve Sizing'!$G$8*U3521/P_1_maxW</f>
        <v>0.42598925252629077</v>
      </c>
      <c r="V3523" s="132"/>
      <c r="W3523" s="146"/>
      <c r="X3523" s="143">
        <f>'Valve Sizing'!$G$8*X3521/P_1_maxW</f>
        <v>0.12456255917148658</v>
      </c>
      <c r="Y3523" s="132"/>
      <c r="Z3523" s="146"/>
      <c r="AA3523" s="143">
        <f>'Valve Sizing'!$G$8*AA3521/P_1_maxW</f>
        <v>-0.88212686710985244</v>
      </c>
      <c r="AB3523" s="132"/>
      <c r="AC3523" s="146"/>
      <c r="AD3523" s="143">
        <f>'Valve Sizing'!$G$8*AD3521/P_1_maxW</f>
        <v>-3.2126600393372549</v>
      </c>
      <c r="AE3523" s="132"/>
      <c r="AF3523" s="146"/>
      <c r="AG3523" s="143">
        <f>'Valve Sizing'!$G$8*AG3521/P_1_maxW</f>
        <v>-6.7890260973698933</v>
      </c>
      <c r="AH3523" s="132"/>
      <c r="AI3523" s="146"/>
      <c r="AJ3523" s="143">
        <f>'Valve Sizing'!$G$8*AJ3521/P_1_maxW</f>
        <v>-11.242315806283216</v>
      </c>
      <c r="AK3523" s="132"/>
      <c r="AL3523" s="146"/>
      <c r="AM3523" s="143">
        <f>'Valve Sizing'!$G$8*AM3521/P_1_maxW</f>
        <v>-15.6393275675724</v>
      </c>
      <c r="AN3523" s="132"/>
      <c r="AO3523" s="146"/>
      <c r="AP3523" s="143">
        <f>'Valve Sizing'!$G$8*AP3521/P_1_maxW</f>
        <v>-19.585182764874883</v>
      </c>
      <c r="AQ3523" s="132"/>
      <c r="AR3523" s="146"/>
      <c r="AS3523" s="143">
        <f>'Valve Sizing'!$G$8*AS3521/P_1_maxW</f>
        <v>-24.496651309237897</v>
      </c>
      <c r="AT3523" s="132"/>
      <c r="AU3523" s="146"/>
    </row>
    <row r="3524" spans="13:47" x14ac:dyDescent="0.25">
      <c r="M3524" s="20"/>
      <c r="N3524" s="20"/>
      <c r="O3524" s="7" t="s">
        <v>190</v>
      </c>
      <c r="P3524" s="1"/>
      <c r="Q3524" s="7"/>
      <c r="R3524" s="181">
        <f>R3521-R3522</f>
        <v>49.519996496954988</v>
      </c>
      <c r="S3524" s="132"/>
      <c r="T3524" s="146"/>
      <c r="U3524" s="138">
        <f>U3521-U3522</f>
        <v>38.309489026064739</v>
      </c>
      <c r="V3524" s="132"/>
      <c r="W3524" s="146"/>
      <c r="X3524" s="138">
        <f>X3521-X3522</f>
        <v>-24.177620944711407</v>
      </c>
      <c r="Y3524" s="132"/>
      <c r="Z3524" s="146"/>
      <c r="AA3524" s="138">
        <f>AA3521-AA3522</f>
        <v>-232.86886917605185</v>
      </c>
      <c r="AB3524" s="132"/>
      <c r="AC3524" s="146"/>
      <c r="AD3524" s="138">
        <f>AD3521-AD3522</f>
        <v>-715.99888331882369</v>
      </c>
      <c r="AE3524" s="132"/>
      <c r="AF3524" s="146"/>
      <c r="AG3524" s="138">
        <f>AG3521-AG3522</f>
        <v>-1457.3956610122509</v>
      </c>
      <c r="AH3524" s="132"/>
      <c r="AI3524" s="146"/>
      <c r="AJ3524" s="138">
        <f>AJ3521-AJ3522</f>
        <v>-2380.5826577426365</v>
      </c>
      <c r="AK3524" s="132"/>
      <c r="AL3524" s="146"/>
      <c r="AM3524" s="138">
        <f>AM3521-AM3522</f>
        <v>-3292.1029826763743</v>
      </c>
      <c r="AN3524" s="132"/>
      <c r="AO3524" s="146"/>
      <c r="AP3524" s="138">
        <f>AP3521-AP3522</f>
        <v>-4110.0965216638833</v>
      </c>
      <c r="AQ3524" s="132"/>
      <c r="AR3524" s="146"/>
      <c r="AS3524" s="138">
        <f>AS3521-AS3522</f>
        <v>-5128.266052815422</v>
      </c>
      <c r="AT3524" s="132"/>
      <c r="AU3524" s="146"/>
    </row>
    <row r="3525" spans="13:47" ht="14.5" x14ac:dyDescent="0.35">
      <c r="M3525" s="27"/>
      <c r="N3525" s="27"/>
      <c r="O3525" s="2" t="s">
        <v>191</v>
      </c>
      <c r="P3525" s="10"/>
      <c r="Q3525" s="2"/>
      <c r="R3525" s="181">
        <f>R3524/R3521</f>
        <v>0.49758840675270877</v>
      </c>
      <c r="S3525" s="132"/>
      <c r="T3525" s="146"/>
      <c r="U3525" s="138">
        <f>U3524/U3521</f>
        <v>0.43380942918555004</v>
      </c>
      <c r="V3525" s="132"/>
      <c r="W3525" s="146"/>
      <c r="X3525" s="138">
        <f>X3524/X3521</f>
        <v>-0.93630493506986423</v>
      </c>
      <c r="Y3525" s="132"/>
      <c r="Z3525" s="146"/>
      <c r="AA3525" s="138">
        <f>AA3524/AA3521</f>
        <v>1.2734199660406054</v>
      </c>
      <c r="AB3525" s="132"/>
      <c r="AC3525" s="146"/>
      <c r="AD3525" s="138">
        <f>AD3524/AD3521</f>
        <v>1.0750752009535491</v>
      </c>
      <c r="AE3525" s="132"/>
      <c r="AF3525" s="146"/>
      <c r="AG3525" s="138">
        <f>AG3524/AG3521</f>
        <v>1.0355266122989453</v>
      </c>
      <c r="AH3525" s="132"/>
      <c r="AI3525" s="146"/>
      <c r="AJ3525" s="138">
        <f>AJ3524/AJ3521</f>
        <v>1.0214538625497322</v>
      </c>
      <c r="AK3525" s="132"/>
      <c r="AL3525" s="146"/>
      <c r="AM3525" s="138">
        <f>AM3524/AM3521</f>
        <v>1.0154220887699024</v>
      </c>
      <c r="AN3525" s="132"/>
      <c r="AO3525" s="146"/>
      <c r="AP3525" s="138">
        <f>AP3524/AP3521</f>
        <v>1.012314978162024</v>
      </c>
      <c r="AQ3525" s="132"/>
      <c r="AR3525" s="146"/>
      <c r="AS3525" s="138">
        <f>AS3524/AS3521</f>
        <v>1.0098458803615222</v>
      </c>
      <c r="AT3525" s="132"/>
      <c r="AU3525" s="146"/>
    </row>
    <row r="3526" spans="13:47" x14ac:dyDescent="0.25">
      <c r="M3526" s="27"/>
      <c r="N3526" s="27"/>
      <c r="O3526" s="2" t="s">
        <v>26</v>
      </c>
      <c r="P3526" s="7">
        <v>12</v>
      </c>
      <c r="Q3526" s="2"/>
      <c r="R3526" s="181">
        <f>1-R3525/(3*F_GAMMA*R$29)</f>
        <v>0.74085025583361697</v>
      </c>
      <c r="S3526" s="133"/>
      <c r="T3526" s="146"/>
      <c r="U3526" s="138">
        <f>1-U3525/(3*F_GAMMA*U$29)</f>
        <v>0.77411682300527196</v>
      </c>
      <c r="V3526" s="133"/>
      <c r="W3526" s="146"/>
      <c r="X3526" s="138">
        <f>1-X3525/(3*F_GAMMA*X$29)</f>
        <v>1.4948447141119958</v>
      </c>
      <c r="Y3526" s="133"/>
      <c r="Z3526" s="146"/>
      <c r="AA3526" s="138">
        <f>1-AA3525/(3*F_GAMMA*AA$29)</f>
        <v>0.31775933042562099</v>
      </c>
      <c r="AB3526" s="133"/>
      <c r="AC3526" s="146"/>
      <c r="AD3526" s="138">
        <f>1-AD3525/(3*F_GAMMA*AD$29)</f>
        <v>0.40823140887339204</v>
      </c>
      <c r="AE3526" s="133"/>
      <c r="AF3526" s="146"/>
      <c r="AG3526" s="138">
        <f>1-AG3525/(3*F_GAMMA*AG$29)</f>
        <v>0.39748702764372135</v>
      </c>
      <c r="AH3526" s="133"/>
      <c r="AI3526" s="146"/>
      <c r="AJ3526" s="138">
        <f>1-AJ3525/(3*F_GAMMA*AJ$29)</f>
        <v>0.36465867388106665</v>
      </c>
      <c r="AK3526" s="133"/>
      <c r="AL3526" s="146"/>
      <c r="AM3526" s="138">
        <f>1-AM3525/(3*F_GAMMA*AM$29)</f>
        <v>0.30992415781299276</v>
      </c>
      <c r="AN3526" s="133"/>
      <c r="AO3526" s="146"/>
      <c r="AP3526" s="138">
        <f>1-AP3525/(3*F_GAMMA*AP$29)</f>
        <v>0.4314719637552632</v>
      </c>
      <c r="AQ3526" s="133"/>
      <c r="AR3526" s="146"/>
      <c r="AS3526" s="138">
        <f>1-AS3525/(3*F_GAMMA*AS$29)</f>
        <v>0.13903013191886127</v>
      </c>
      <c r="AT3526" s="133"/>
      <c r="AU3526" s="146"/>
    </row>
    <row r="3527" spans="13:47" x14ac:dyDescent="0.25">
      <c r="M3527" s="27"/>
      <c r="N3527" s="27"/>
      <c r="O3527" s="2" t="s">
        <v>71</v>
      </c>
      <c r="P3527" s="85">
        <v>5</v>
      </c>
      <c r="Q3527" s="2"/>
      <c r="R3527" s="179">
        <f>R3519/((N_6*R$27*R3526)*SQRT(R3525*R3521*R3523))</f>
        <v>6.9362454982795958</v>
      </c>
      <c r="S3527" s="133"/>
      <c r="T3527" s="146"/>
      <c r="U3527" s="143">
        <f>U3519/((N_6*U$27*U3526)*SQRT(U3525*U3521*U3523))</f>
        <v>27.978110713195498</v>
      </c>
      <c r="V3527" s="133"/>
      <c r="W3527" s="146"/>
      <c r="X3527" s="143" t="e">
        <f>X3519/((N_6*X$27*X3526)*SQRT(X3525*X3521*X3523))</f>
        <v>#NUM!</v>
      </c>
      <c r="Y3527" s="133"/>
      <c r="Z3527" s="146"/>
      <c r="AA3527" s="143">
        <f>AA3519/((N_6*AA$27*AA3526)*SQRT(AA3525*AA3521*AA3523))</f>
        <v>93.279648402465739</v>
      </c>
      <c r="AB3527" s="133"/>
      <c r="AC3527" s="146"/>
      <c r="AD3527" s="143">
        <f>AD3519/((N_6*AD$27*AD3526)*SQRT(AD3525*AD3521*AD3523))</f>
        <v>36.109780576468594</v>
      </c>
      <c r="AE3527" s="133"/>
      <c r="AF3527" s="146"/>
      <c r="AG3527" s="143">
        <f>AG3519/((N_6*AG$27*AG3526)*SQRT(AG3525*AG3521*AG3523))</f>
        <v>25.621338787953956</v>
      </c>
      <c r="AH3527" s="133"/>
      <c r="AI3527" s="146"/>
      <c r="AJ3527" s="143">
        <f>AJ3519/((N_6*AJ$27*AJ3526)*SQRT(AJ3525*AJ3521*AJ3523))</f>
        <v>22.30148224872503</v>
      </c>
      <c r="AK3527" s="133"/>
      <c r="AL3527" s="146"/>
      <c r="AM3527" s="143">
        <f>AM3519/((N_6*AM$27*AM3526)*SQRT(AM3525*AM3521*AM3523))</f>
        <v>23.545875908397619</v>
      </c>
      <c r="AN3527" s="133"/>
      <c r="AO3527" s="146"/>
      <c r="AP3527" s="143">
        <f>AP3519/((N_6*AP$27*AP3526)*SQRT(AP3525*AP3521*AP3523))</f>
        <v>17.142053769738801</v>
      </c>
      <c r="AQ3527" s="133"/>
      <c r="AR3527" s="146"/>
      <c r="AS3527" s="143">
        <f>AS3519/((N_6*AS$27*AS3526)*SQRT(AS3525*AS3521*AS3523))</f>
        <v>62.42811479300844</v>
      </c>
      <c r="AT3527" s="133"/>
      <c r="AU3527" s="146"/>
    </row>
    <row r="3528" spans="13:47" x14ac:dyDescent="0.25">
      <c r="M3528" s="27"/>
      <c r="N3528" s="27"/>
      <c r="O3528" s="2" t="s">
        <v>73</v>
      </c>
      <c r="P3528" s="85">
        <v>5</v>
      </c>
      <c r="Q3528" s="2"/>
      <c r="R3528" s="179">
        <f>R3519/((N_6*R$27*0.667)*SQRT(R3529*R3521*R3523))</f>
        <v>6.7930541544038867</v>
      </c>
      <c r="S3528" s="133"/>
      <c r="T3528" s="147"/>
      <c r="U3528" s="143">
        <f>U3519/((N_6*U$27*0.667)*SQRT(U3529*U3521*U3523))</f>
        <v>26.730164233014222</v>
      </c>
      <c r="V3528" s="133"/>
      <c r="W3528" s="155"/>
      <c r="X3528" s="143">
        <f>X3519/((N_6*X$27*0.667)*SQRT(X3529*X3521*X3523))</f>
        <v>228.27194873543428</v>
      </c>
      <c r="Y3528" s="133"/>
      <c r="Z3528" s="155"/>
      <c r="AA3528" s="143">
        <f>AA3519/((N_6*AA$27*0.667)*SQRT(AA3529*AA3521*AA3523))</f>
        <v>63.575357063281622</v>
      </c>
      <c r="AB3528" s="133"/>
      <c r="AC3528" s="155"/>
      <c r="AD3528" s="143">
        <f>AD3519/((N_6*AD$27*0.667)*SQRT(AD3529*AD3521*AD3523))</f>
        <v>29.447064933952134</v>
      </c>
      <c r="AE3528" s="133"/>
      <c r="AF3528" s="155"/>
      <c r="AG3528" s="143">
        <f>AG3519/((N_6*AG$27*0.667)*SQRT(AG3529*AG3521*AG3523))</f>
        <v>20.527817269751313</v>
      </c>
      <c r="AH3528" s="133"/>
      <c r="AI3528" s="155"/>
      <c r="AJ3528" s="143">
        <f>AJ3519/((N_6*AJ$27*0.667)*SQRT(AJ3529*AJ3521*AJ3523))</f>
        <v>16.83288759428239</v>
      </c>
      <c r="AK3528" s="133"/>
      <c r="AL3528" s="155"/>
      <c r="AM3528" s="143">
        <f>AM3519/((N_6*AM$27*0.667)*SQRT(AM3529*AM3521*AM3523))</f>
        <v>15.741767222947393</v>
      </c>
      <c r="AN3528" s="133"/>
      <c r="AO3528" s="155"/>
      <c r="AP3528" s="143">
        <f>AP3519/((N_6*AP$27*0.667)*SQRT(AP3529*AP3521*AP3523))</f>
        <v>14.481920895595806</v>
      </c>
      <c r="AQ3528" s="133"/>
      <c r="AR3528" s="155"/>
      <c r="AS3528" s="143">
        <f>AS3519/((N_6*AS$27*0.667)*SQRT(AS3529*AS3521*AS3523))</f>
        <v>20.913076436522431</v>
      </c>
      <c r="AT3528" s="133"/>
      <c r="AU3528" s="155"/>
    </row>
    <row r="3529" spans="13:47" ht="15.5" x14ac:dyDescent="0.4">
      <c r="M3529" s="27"/>
      <c r="N3529" s="27"/>
      <c r="O3529" s="2" t="s">
        <v>192</v>
      </c>
      <c r="P3529" s="85">
        <v>10</v>
      </c>
      <c r="Q3529" s="2"/>
      <c r="R3529" s="181">
        <f>F_GAMMA*R$29</f>
        <v>0.64002688015162901</v>
      </c>
      <c r="S3529" s="133"/>
      <c r="T3529" s="147"/>
      <c r="U3529" s="138">
        <f>F_GAMMA*U$29</f>
        <v>0.64016782916606918</v>
      </c>
      <c r="V3529" s="133"/>
      <c r="W3529" s="155"/>
      <c r="X3529" s="138">
        <f>F_GAMMA*X$29</f>
        <v>0.6307062319203669</v>
      </c>
      <c r="Y3529" s="133"/>
      <c r="Z3529" s="155"/>
      <c r="AA3529" s="138">
        <f>F_GAMMA*AA$29</f>
        <v>0.62217534213893466</v>
      </c>
      <c r="AB3529" s="133"/>
      <c r="AC3529" s="155"/>
      <c r="AD3529" s="138">
        <f>F_GAMMA*AD$29</f>
        <v>0.60557184969146072</v>
      </c>
      <c r="AE3529" s="133"/>
      <c r="AF3529" s="155"/>
      <c r="AG3529" s="138">
        <f>F_GAMMA*AG$29</f>
        <v>0.57289312142622573</v>
      </c>
      <c r="AH3529" s="133"/>
      <c r="AI3529" s="155"/>
      <c r="AJ3529" s="138">
        <f>F_GAMMA*AJ$29</f>
        <v>0.53590819116049981</v>
      </c>
      <c r="AK3529" s="133"/>
      <c r="AL3529" s="155"/>
      <c r="AM3529" s="138">
        <f>F_GAMMA*AM$29</f>
        <v>0.49048815926850342</v>
      </c>
      <c r="AN3529" s="133"/>
      <c r="AO3529" s="155"/>
      <c r="AP3529" s="138">
        <f>F_GAMMA*AP$29</f>
        <v>0.59352979016280105</v>
      </c>
      <c r="AQ3529" s="133"/>
      <c r="AR3529" s="155"/>
      <c r="AS3529" s="138">
        <f>F_GAMMA*AS$29</f>
        <v>0.39097221161068291</v>
      </c>
      <c r="AT3529" s="133"/>
      <c r="AU3529" s="155"/>
    </row>
    <row r="3530" spans="13:47" x14ac:dyDescent="0.25">
      <c r="M3530" s="27"/>
      <c r="N3530" s="27"/>
      <c r="O3530" s="2" t="s">
        <v>193</v>
      </c>
      <c r="P3530" s="134"/>
      <c r="Q3530" s="2"/>
      <c r="R3530" s="181">
        <f>IF(R3525&lt;R3529,R3527,R3528)</f>
        <v>6.9362454982795958</v>
      </c>
      <c r="S3530" s="133"/>
      <c r="T3530" s="147"/>
      <c r="U3530" s="138">
        <f>IF(U3525&lt;U3529,U3527,U3528)</f>
        <v>27.978110713195498</v>
      </c>
      <c r="V3530" s="133"/>
      <c r="W3530" s="155"/>
      <c r="X3530" s="138" t="e">
        <f>IF(X3525&lt;X3529,X3527,X3528)</f>
        <v>#NUM!</v>
      </c>
      <c r="Y3530" s="133"/>
      <c r="Z3530" s="155"/>
      <c r="AA3530" s="138">
        <f>IF(AA3525&lt;AA3529,AA3527,AA3528)</f>
        <v>63.575357063281622</v>
      </c>
      <c r="AB3530" s="133"/>
      <c r="AC3530" s="155"/>
      <c r="AD3530" s="138">
        <f>IF(AD3525&lt;AD3529,AD3527,AD3528)</f>
        <v>29.447064933952134</v>
      </c>
      <c r="AE3530" s="133"/>
      <c r="AF3530" s="155"/>
      <c r="AG3530" s="138">
        <f>IF(AG3525&lt;AG3529,AG3527,AG3528)</f>
        <v>20.527817269751313</v>
      </c>
      <c r="AH3530" s="133"/>
      <c r="AI3530" s="155"/>
      <c r="AJ3530" s="138">
        <f>IF(AJ3525&lt;AJ3529,AJ3527,AJ3528)</f>
        <v>16.83288759428239</v>
      </c>
      <c r="AK3530" s="133"/>
      <c r="AL3530" s="155"/>
      <c r="AM3530" s="138">
        <f>IF(AM3525&lt;AM3529,AM3527,AM3528)</f>
        <v>15.741767222947393</v>
      </c>
      <c r="AN3530" s="133"/>
      <c r="AO3530" s="155"/>
      <c r="AP3530" s="138">
        <f>IF(AP3525&lt;AP3529,AP3527,AP3528)</f>
        <v>14.481920895595806</v>
      </c>
      <c r="AQ3530" s="133"/>
      <c r="AR3530" s="155"/>
      <c r="AS3530" s="138">
        <f>IF(AS3525&lt;AS3529,AS3527,AS3528)</f>
        <v>20.913076436522431</v>
      </c>
      <c r="AT3530" s="133"/>
      <c r="AU3530" s="155"/>
    </row>
    <row r="3531" spans="13:47" ht="13" x14ac:dyDescent="0.3">
      <c r="M3531" s="28"/>
      <c r="N3531" s="28"/>
      <c r="O3531" s="9" t="s">
        <v>194</v>
      </c>
      <c r="P3531" s="1"/>
      <c r="Q3531" s="1"/>
      <c r="R3531" s="135"/>
      <c r="S3531" s="132">
        <f>IF(R3524&lt;=0,W_max,ABS(R$23-R3530))</f>
        <v>4.9362454982795958</v>
      </c>
      <c r="T3531" s="151">
        <f>R3519</f>
        <v>1585.7994226272999</v>
      </c>
      <c r="U3531" s="135"/>
      <c r="V3531" s="132">
        <f>IF(U3524&lt;=0,W_max,ABS(U$23-U3530))</f>
        <v>22.978110713195498</v>
      </c>
      <c r="W3531" s="151">
        <f>U3519</f>
        <v>5534.2615235276771</v>
      </c>
      <c r="X3531" s="135"/>
      <c r="Y3531" s="132">
        <f>IF(X3524&lt;=0,W_max,ABS(X$23-X3530))</f>
        <v>7174</v>
      </c>
      <c r="Z3531" s="151">
        <f>X3519</f>
        <v>13686.88733252535</v>
      </c>
      <c r="AA3531" s="135"/>
      <c r="AB3531" s="132">
        <f>IF(AA3524&lt;=0,W_max,ABS(AA$23-AA3530))</f>
        <v>7174</v>
      </c>
      <c r="AC3531" s="151">
        <f>AA3519</f>
        <v>26658.563008544781</v>
      </c>
      <c r="AD3531" s="135"/>
      <c r="AE3531" s="132">
        <f>IF(AD3524&lt;=0,W_max,ABS(AD$23-AD3530))</f>
        <v>7174</v>
      </c>
      <c r="AF3531" s="151">
        <f>AD3519</f>
        <v>43843.521048482929</v>
      </c>
      <c r="AG3531" s="135"/>
      <c r="AH3531" s="132">
        <f>IF(AG3524&lt;=0,W_max,ABS(AG$23-AG3530))</f>
        <v>7174</v>
      </c>
      <c r="AI3531" s="151">
        <f>AG3519</f>
        <v>61493.9136152434</v>
      </c>
      <c r="AJ3531" s="135"/>
      <c r="AK3531" s="132">
        <f>IF(AJ3524&lt;=0,W_max,ABS(AJ$23-AJ3530))</f>
        <v>7174</v>
      </c>
      <c r="AL3531" s="151">
        <f>AJ3519</f>
        <v>78080.952791102973</v>
      </c>
      <c r="AM3531" s="135"/>
      <c r="AN3531" s="132">
        <f>IF(AM3524&lt;=0,W_max,ABS(AM$23-AM3530))</f>
        <v>7174</v>
      </c>
      <c r="AO3531" s="151">
        <f>AM3519</f>
        <v>91556.057818142814</v>
      </c>
      <c r="AP3531" s="135"/>
      <c r="AQ3531" s="132">
        <f>IF(AP3524&lt;=0,W_max,ABS(AP$23-AP3530))</f>
        <v>7174</v>
      </c>
      <c r="AR3531" s="151">
        <f>AP3519</f>
        <v>102146.1956531615</v>
      </c>
      <c r="AS3531" s="135"/>
      <c r="AT3531" s="132">
        <f>IF(AS3524&lt;=0,W_max,ABS(AS$23-AS3530))</f>
        <v>7174</v>
      </c>
      <c r="AU3531" s="151">
        <f>AS3519</f>
        <v>113961.27722251465</v>
      </c>
    </row>
    <row r="3532" spans="13:47" ht="13" x14ac:dyDescent="0.25">
      <c r="M3532" s="12"/>
      <c r="N3532" s="12"/>
      <c r="O3532" s="12"/>
      <c r="P3532" s="12"/>
      <c r="Q3532" s="12"/>
      <c r="R3532" s="182"/>
      <c r="S3532" s="22"/>
      <c r="T3532" s="152"/>
      <c r="U3532" s="157"/>
      <c r="V3532" s="1"/>
      <c r="W3532" s="147"/>
      <c r="X3532" s="157"/>
      <c r="Y3532" s="1"/>
      <c r="Z3532" s="147"/>
      <c r="AA3532" s="157"/>
      <c r="AB3532" s="1"/>
      <c r="AC3532" s="147"/>
      <c r="AD3532" s="157"/>
      <c r="AE3532" s="1"/>
      <c r="AF3532" s="147"/>
      <c r="AG3532" s="157"/>
      <c r="AH3532" s="1"/>
      <c r="AI3532" s="147"/>
      <c r="AJ3532" s="157"/>
      <c r="AK3532" s="1"/>
      <c r="AL3532" s="147"/>
      <c r="AM3532" s="157"/>
      <c r="AN3532" s="1"/>
      <c r="AO3532" s="147"/>
      <c r="AP3532" s="157"/>
      <c r="AQ3532" s="1"/>
      <c r="AR3532" s="147"/>
      <c r="AS3532" s="157"/>
      <c r="AT3532" s="1"/>
      <c r="AU3532" s="147"/>
    </row>
    <row r="3533" spans="13:47" ht="14" x14ac:dyDescent="0.3">
      <c r="M3533" s="23"/>
      <c r="N3533" s="23"/>
      <c r="O3533" s="23" t="s">
        <v>238</v>
      </c>
      <c r="P3533" s="20"/>
      <c r="Q3533" s="20"/>
      <c r="R3533" s="18">
        <f>R3519*1.02</f>
        <v>1617.515411079846</v>
      </c>
      <c r="S3533" s="128" t="s">
        <v>185</v>
      </c>
      <c r="T3533" s="153" t="s">
        <v>186</v>
      </c>
      <c r="U3533" s="143">
        <f>U3519*1.01</f>
        <v>5589.6041387629539</v>
      </c>
      <c r="V3533" s="128" t="s">
        <v>185</v>
      </c>
      <c r="W3533" s="153" t="s">
        <v>186</v>
      </c>
      <c r="X3533" s="143">
        <f>X3519*1.01</f>
        <v>13823.756205850603</v>
      </c>
      <c r="Y3533" s="128" t="s">
        <v>185</v>
      </c>
      <c r="Z3533" s="153" t="s">
        <v>186</v>
      </c>
      <c r="AA3533" s="143">
        <f>AA3519*1.01</f>
        <v>26925.148638630228</v>
      </c>
      <c r="AB3533" s="128" t="s">
        <v>185</v>
      </c>
      <c r="AC3533" s="153" t="s">
        <v>186</v>
      </c>
      <c r="AD3533" s="143">
        <f>AD3519*1.01</f>
        <v>44281.956258967759</v>
      </c>
      <c r="AE3533" s="128" t="s">
        <v>185</v>
      </c>
      <c r="AF3533" s="153" t="s">
        <v>186</v>
      </c>
      <c r="AG3533" s="143">
        <f>AG3519*1.01</f>
        <v>62108.852751395832</v>
      </c>
      <c r="AH3533" s="128" t="s">
        <v>185</v>
      </c>
      <c r="AI3533" s="153" t="s">
        <v>186</v>
      </c>
      <c r="AJ3533" s="143">
        <f>AJ3519*1.01</f>
        <v>78861.762319014</v>
      </c>
      <c r="AK3533" s="128" t="s">
        <v>185</v>
      </c>
      <c r="AL3533" s="153" t="s">
        <v>186</v>
      </c>
      <c r="AM3533" s="143">
        <f>AM3519*1.01</f>
        <v>92471.618396324237</v>
      </c>
      <c r="AN3533" s="128" t="s">
        <v>185</v>
      </c>
      <c r="AO3533" s="153" t="s">
        <v>186</v>
      </c>
      <c r="AP3533" s="143">
        <f>AP3519*1.01</f>
        <v>103167.65760969311</v>
      </c>
      <c r="AQ3533" s="128" t="s">
        <v>185</v>
      </c>
      <c r="AR3533" s="153" t="s">
        <v>186</v>
      </c>
      <c r="AS3533" s="143">
        <f>AS3519*1.01</f>
        <v>115100.88999473979</v>
      </c>
      <c r="AT3533" s="128" t="s">
        <v>185</v>
      </c>
      <c r="AU3533" s="153" t="s">
        <v>186</v>
      </c>
    </row>
    <row r="3534" spans="13:47" ht="14" x14ac:dyDescent="0.3">
      <c r="M3534" s="12"/>
      <c r="N3534" s="12"/>
      <c r="O3534" s="20"/>
      <c r="P3534" s="20"/>
      <c r="Q3534" s="23"/>
      <c r="R3534" s="139"/>
      <c r="S3534" s="130" t="s">
        <v>228</v>
      </c>
      <c r="T3534" s="154" t="s">
        <v>187</v>
      </c>
      <c r="U3534" s="144"/>
      <c r="V3534" s="130" t="s">
        <v>228</v>
      </c>
      <c r="W3534" s="154" t="s">
        <v>187</v>
      </c>
      <c r="X3534" s="144"/>
      <c r="Y3534" s="130" t="s">
        <v>228</v>
      </c>
      <c r="Z3534" s="154" t="s">
        <v>187</v>
      </c>
      <c r="AA3534" s="144"/>
      <c r="AB3534" s="130" t="s">
        <v>228</v>
      </c>
      <c r="AC3534" s="154" t="s">
        <v>187</v>
      </c>
      <c r="AD3534" s="144"/>
      <c r="AE3534" s="130" t="s">
        <v>228</v>
      </c>
      <c r="AF3534" s="154" t="s">
        <v>187</v>
      </c>
      <c r="AG3534" s="144"/>
      <c r="AH3534" s="130" t="s">
        <v>228</v>
      </c>
      <c r="AI3534" s="154" t="s">
        <v>187</v>
      </c>
      <c r="AJ3534" s="144"/>
      <c r="AK3534" s="130" t="s">
        <v>228</v>
      </c>
      <c r="AL3534" s="154" t="s">
        <v>187</v>
      </c>
      <c r="AM3534" s="144"/>
      <c r="AN3534" s="130" t="s">
        <v>228</v>
      </c>
      <c r="AO3534" s="154" t="s">
        <v>187</v>
      </c>
      <c r="AP3534" s="144"/>
      <c r="AQ3534" s="130" t="s">
        <v>228</v>
      </c>
      <c r="AR3534" s="154" t="s">
        <v>187</v>
      </c>
      <c r="AS3534" s="144"/>
      <c r="AT3534" s="130" t="s">
        <v>228</v>
      </c>
      <c r="AU3534" s="154" t="s">
        <v>187</v>
      </c>
    </row>
    <row r="3535" spans="13:47" x14ac:dyDescent="0.25">
      <c r="M3535" s="20"/>
      <c r="N3535" s="20"/>
      <c r="O3535" s="7" t="s">
        <v>188</v>
      </c>
      <c r="P3535" s="7"/>
      <c r="Q3535" s="7"/>
      <c r="R3535" s="181">
        <f>P_1_minW-(R3533^2*R_up)+dpup_minQ</f>
        <v>99.479483771268221</v>
      </c>
      <c r="S3535" s="132"/>
      <c r="T3535" s="145"/>
      <c r="U3535" s="138">
        <f>P_1_minW-(U3533^2*R_up)+dpup_minQ</f>
        <v>88.064001742080436</v>
      </c>
      <c r="V3535" s="132"/>
      <c r="W3535" s="145"/>
      <c r="X3535" s="138">
        <f>P_1_minW-(X3533^2*R_up)+dpup_minQ</f>
        <v>24.320900860891697</v>
      </c>
      <c r="Y3535" s="132"/>
      <c r="Z3535" s="145"/>
      <c r="AA3535" s="138">
        <f>P_1_minW-(AA3533^2*R_up)+dpup_minQ</f>
        <v>-188.56504145989865</v>
      </c>
      <c r="AB3535" s="132"/>
      <c r="AC3535" s="145"/>
      <c r="AD3535" s="138">
        <f>P_1_minW-(AD3533^2*R_up)+dpup_minQ</f>
        <v>-681.40596888694017</v>
      </c>
      <c r="AE3535" s="132"/>
      <c r="AF3535" s="145"/>
      <c r="AG3535" s="138">
        <f>P_1_minW-(AG3533^2*R_up)+dpup_minQ</f>
        <v>-1437.7048218120053</v>
      </c>
      <c r="AH3535" s="132"/>
      <c r="AI3535" s="145"/>
      <c r="AJ3535" s="138">
        <f>P_1_minW-(AJ3533^2*R_up)+dpup_minQ</f>
        <v>-2379.4478771766717</v>
      </c>
      <c r="AK3535" s="132"/>
      <c r="AL3535" s="145"/>
      <c r="AM3535" s="138">
        <f>P_1_minW-(AM3533^2*R_up)+dpup_minQ</f>
        <v>-3309.2897606415772</v>
      </c>
      <c r="AN3535" s="132"/>
      <c r="AO3535" s="145"/>
      <c r="AP3535" s="138">
        <f>P_1_minW-(AP3533^2*R_up)+dpup_minQ</f>
        <v>-4143.7249697627349</v>
      </c>
      <c r="AQ3535" s="132"/>
      <c r="AR3535" s="145"/>
      <c r="AS3535" s="138">
        <f>P_1_minW-(AS3533^2*R_up)+dpup_minQ</f>
        <v>-5182.3597084904195</v>
      </c>
      <c r="AT3535" s="132"/>
      <c r="AU3535" s="145"/>
    </row>
    <row r="3536" spans="13:47" x14ac:dyDescent="0.25">
      <c r="M3536" s="20"/>
      <c r="N3536" s="20"/>
      <c r="O3536" s="7" t="s">
        <v>189</v>
      </c>
      <c r="P3536" s="1"/>
      <c r="Q3536" s="7"/>
      <c r="R3536" s="181">
        <f>P_2_minW+(R3533^2*R_dn)-dpdn_minQ</f>
        <v>50</v>
      </c>
      <c r="S3536" s="132"/>
      <c r="T3536" s="146"/>
      <c r="U3536" s="138">
        <f>P_2_minW+(U3533^2*R_dn)-dpdn_minQ</f>
        <v>50</v>
      </c>
      <c r="V3536" s="132"/>
      <c r="W3536" s="146"/>
      <c r="X3536" s="138">
        <f>P_2_minW+(X3533^2*R_dn)-dpdn_minQ</f>
        <v>50</v>
      </c>
      <c r="Y3536" s="132"/>
      <c r="Z3536" s="146"/>
      <c r="AA3536" s="138">
        <f>P_2_minW+(AA3533^2*R_dn)-dpdn_minQ</f>
        <v>50</v>
      </c>
      <c r="AB3536" s="132"/>
      <c r="AC3536" s="146"/>
      <c r="AD3536" s="138">
        <f>P_2_minW+(AD3533^2*R_dn)-dpdn_minQ</f>
        <v>50</v>
      </c>
      <c r="AE3536" s="132"/>
      <c r="AF3536" s="146"/>
      <c r="AG3536" s="138">
        <f>P_2_minW+(AG3533^2*R_dn)-dpdn_minQ</f>
        <v>50</v>
      </c>
      <c r="AH3536" s="132"/>
      <c r="AI3536" s="146"/>
      <c r="AJ3536" s="138">
        <f>P_2_minW+(AJ3533^2*R_dn)-dpdn_minQ</f>
        <v>50</v>
      </c>
      <c r="AK3536" s="132"/>
      <c r="AL3536" s="146"/>
      <c r="AM3536" s="138">
        <f>P_2_minW+(AM3533^2*R_dn)-dpdn_minQ</f>
        <v>50</v>
      </c>
      <c r="AN3536" s="132"/>
      <c r="AO3536" s="146"/>
      <c r="AP3536" s="138">
        <f>P_2_minW+(AP3533^2*R_dn)-dpdn_minQ</f>
        <v>50</v>
      </c>
      <c r="AQ3536" s="132"/>
      <c r="AR3536" s="146"/>
      <c r="AS3536" s="138">
        <f>P_2_minW+(AS3533^2*R_dn)-dpdn_minQ</f>
        <v>50</v>
      </c>
      <c r="AT3536" s="132"/>
      <c r="AU3536" s="146"/>
    </row>
    <row r="3537" spans="13:47" x14ac:dyDescent="0.25">
      <c r="M3537" s="20"/>
      <c r="N3537" s="20"/>
      <c r="O3537" s="7" t="s">
        <v>234</v>
      </c>
      <c r="P3537" s="1"/>
      <c r="Q3537" s="7"/>
      <c r="R3537" s="179">
        <f>'Valve Sizing'!G$8*R3535/P_1_maxW</f>
        <v>0.47987131848216336</v>
      </c>
      <c r="S3537" s="132"/>
      <c r="T3537" s="146"/>
      <c r="U3537" s="143">
        <f>'Valve Sizing'!$G$8*U3535/P_1_maxW</f>
        <v>0.42480506557466746</v>
      </c>
      <c r="V3537" s="132"/>
      <c r="W3537" s="146"/>
      <c r="X3537" s="143">
        <f>'Valve Sizing'!$G$8*X3535/P_1_maxW</f>
        <v>0.11731969568343181</v>
      </c>
      <c r="Y3537" s="132"/>
      <c r="Z3537" s="146"/>
      <c r="AA3537" s="143">
        <f>'Valve Sizing'!$G$8*AA3535/P_1_maxW</f>
        <v>-0.90960418806616194</v>
      </c>
      <c r="AB3537" s="132"/>
      <c r="AC3537" s="146"/>
      <c r="AD3537" s="143">
        <f>'Valve Sizing'!$G$8*AD3535/P_1_maxW</f>
        <v>-3.2869810770553349</v>
      </c>
      <c r="AE3537" s="132"/>
      <c r="AF3537" s="146"/>
      <c r="AG3537" s="143">
        <f>'Valve Sizing'!$G$8*AG3535/P_1_maxW</f>
        <v>-6.9352320928544291</v>
      </c>
      <c r="AH3537" s="132"/>
      <c r="AI3537" s="146"/>
      <c r="AJ3537" s="143">
        <f>'Valve Sizing'!$G$8*AJ3535/P_1_maxW</f>
        <v>-11.47803292491691</v>
      </c>
      <c r="AK3537" s="132"/>
      <c r="AL3537" s="146"/>
      <c r="AM3537" s="143">
        <f>'Valve Sizing'!$G$8*AM3535/P_1_maxW</f>
        <v>-15.963424622608006</v>
      </c>
      <c r="AN3537" s="132"/>
      <c r="AO3537" s="146"/>
      <c r="AP3537" s="143">
        <f>'Valve Sizing'!$G$8*AP3535/P_1_maxW</f>
        <v>-19.988591509376267</v>
      </c>
      <c r="AQ3537" s="132"/>
      <c r="AR3537" s="146"/>
      <c r="AS3537" s="143">
        <f>'Valve Sizing'!$G$8*AS3535/P_1_maxW</f>
        <v>-24.998780571480978</v>
      </c>
      <c r="AT3537" s="132"/>
      <c r="AU3537" s="146"/>
    </row>
    <row r="3538" spans="13:47" x14ac:dyDescent="0.25">
      <c r="M3538" s="20"/>
      <c r="N3538" s="20"/>
      <c r="O3538" s="7" t="s">
        <v>190</v>
      </c>
      <c r="P3538" s="1"/>
      <c r="Q3538" s="7"/>
      <c r="R3538" s="181">
        <f>R3535-R3536</f>
        <v>49.479483771268221</v>
      </c>
      <c r="S3538" s="132"/>
      <c r="T3538" s="146"/>
      <c r="U3538" s="138">
        <f>U3535-U3536</f>
        <v>38.064001742080436</v>
      </c>
      <c r="V3538" s="132"/>
      <c r="W3538" s="146"/>
      <c r="X3538" s="138">
        <f>X3535-X3536</f>
        <v>-25.679099139108303</v>
      </c>
      <c r="Y3538" s="132"/>
      <c r="Z3538" s="146"/>
      <c r="AA3538" s="138">
        <f>AA3535-AA3536</f>
        <v>-238.56504145989865</v>
      </c>
      <c r="AB3538" s="132"/>
      <c r="AC3538" s="146"/>
      <c r="AD3538" s="138">
        <f>AD3535-AD3536</f>
        <v>-731.40596888694017</v>
      </c>
      <c r="AE3538" s="132"/>
      <c r="AF3538" s="146"/>
      <c r="AG3538" s="138">
        <f>AG3535-AG3536</f>
        <v>-1487.7048218120053</v>
      </c>
      <c r="AH3538" s="132"/>
      <c r="AI3538" s="146"/>
      <c r="AJ3538" s="138">
        <f>AJ3535-AJ3536</f>
        <v>-2429.4478771766717</v>
      </c>
      <c r="AK3538" s="132"/>
      <c r="AL3538" s="146"/>
      <c r="AM3538" s="138">
        <f>AM3535-AM3536</f>
        <v>-3359.2897606415772</v>
      </c>
      <c r="AN3538" s="132"/>
      <c r="AO3538" s="146"/>
      <c r="AP3538" s="138">
        <f>AP3535-AP3536</f>
        <v>-4193.7249697627349</v>
      </c>
      <c r="AQ3538" s="132"/>
      <c r="AR3538" s="146"/>
      <c r="AS3538" s="138">
        <f>AS3535-AS3536</f>
        <v>-5232.3597084904195</v>
      </c>
      <c r="AT3538" s="132"/>
      <c r="AU3538" s="146"/>
    </row>
    <row r="3539" spans="13:47" ht="14.5" x14ac:dyDescent="0.35">
      <c r="M3539" s="27"/>
      <c r="N3539" s="27"/>
      <c r="O3539" s="2" t="s">
        <v>191</v>
      </c>
      <c r="P3539" s="10"/>
      <c r="Q3539" s="2"/>
      <c r="R3539" s="181">
        <f>R3538/R3535</f>
        <v>0.49738380111657698</v>
      </c>
      <c r="S3539" s="132"/>
      <c r="T3539" s="146"/>
      <c r="U3539" s="138">
        <f>U3538/U3535</f>
        <v>0.43223111588275648</v>
      </c>
      <c r="V3539" s="132"/>
      <c r="W3539" s="146"/>
      <c r="X3539" s="138">
        <f>X3538/X3535</f>
        <v>-1.0558449000711403</v>
      </c>
      <c r="Y3539" s="132"/>
      <c r="Z3539" s="146"/>
      <c r="AA3539" s="138">
        <f>AA3538/AA3535</f>
        <v>1.2651604964148844</v>
      </c>
      <c r="AB3539" s="132"/>
      <c r="AC3539" s="146"/>
      <c r="AD3539" s="138">
        <f>AD3538/AD3535</f>
        <v>1.073377695944862</v>
      </c>
      <c r="AE3539" s="132"/>
      <c r="AF3539" s="146"/>
      <c r="AG3539" s="138">
        <f>AG3538/AG3535</f>
        <v>1.0347776534107904</v>
      </c>
      <c r="AH3539" s="132"/>
      <c r="AI3539" s="146"/>
      <c r="AJ3539" s="138">
        <f>AJ3538/AJ3535</f>
        <v>1.0210132781136301</v>
      </c>
      <c r="AK3539" s="132"/>
      <c r="AL3539" s="146"/>
      <c r="AM3539" s="138">
        <f>AM3538/AM3535</f>
        <v>1.015108982173355</v>
      </c>
      <c r="AN3539" s="132"/>
      <c r="AO3539" s="146"/>
      <c r="AP3539" s="138">
        <f>AP3538/AP3535</f>
        <v>1.0120664378946131</v>
      </c>
      <c r="AQ3539" s="132"/>
      <c r="AR3539" s="146"/>
      <c r="AS3539" s="138">
        <f>AS3538/AS3535</f>
        <v>1.0096481145293876</v>
      </c>
      <c r="AT3539" s="132"/>
      <c r="AU3539" s="146"/>
    </row>
    <row r="3540" spans="13:47" x14ac:dyDescent="0.25">
      <c r="M3540" s="27"/>
      <c r="N3540" s="27"/>
      <c r="O3540" s="2" t="s">
        <v>26</v>
      </c>
      <c r="P3540" s="7">
        <v>12</v>
      </c>
      <c r="Q3540" s="2"/>
      <c r="R3540" s="181">
        <f>1-R3539/(3*F_GAMMA*R$29)</f>
        <v>0.74095681679351677</v>
      </c>
      <c r="S3540" s="133"/>
      <c r="T3540" s="146"/>
      <c r="U3540" s="138">
        <f>1-U3539/(3*F_GAMMA*U$29)</f>
        <v>0.77493864567472703</v>
      </c>
      <c r="V3540" s="133"/>
      <c r="W3540" s="146"/>
      <c r="X3540" s="138">
        <f>1-X3539/(3*F_GAMMA*X$29)</f>
        <v>1.5580225502958887</v>
      </c>
      <c r="Y3540" s="133"/>
      <c r="Z3540" s="146"/>
      <c r="AA3540" s="138">
        <f>1-AA3539/(3*F_GAMMA*AA$29)</f>
        <v>0.32218437969299007</v>
      </c>
      <c r="AB3540" s="133"/>
      <c r="AC3540" s="146"/>
      <c r="AD3540" s="138">
        <f>1-AD3539/(3*F_GAMMA*AD$29)</f>
        <v>0.40916579015809673</v>
      </c>
      <c r="AE3540" s="133"/>
      <c r="AF3540" s="146"/>
      <c r="AG3540" s="138">
        <f>1-AG3539/(3*F_GAMMA*AG$29)</f>
        <v>0.39792280345142661</v>
      </c>
      <c r="AH3540" s="133"/>
      <c r="AI3540" s="146"/>
      <c r="AJ3540" s="138">
        <f>1-AJ3539/(3*F_GAMMA*AJ$29)</f>
        <v>0.36493271611651501</v>
      </c>
      <c r="AK3540" s="133"/>
      <c r="AL3540" s="146"/>
      <c r="AM3540" s="138">
        <f>1-AM3539/(3*F_GAMMA*AM$29)</f>
        <v>0.31013694351137022</v>
      </c>
      <c r="AN3540" s="133"/>
      <c r="AO3540" s="146"/>
      <c r="AP3540" s="138">
        <f>1-AP3539/(3*F_GAMMA*AP$29)</f>
        <v>0.43161154690201786</v>
      </c>
      <c r="AQ3540" s="133"/>
      <c r="AR3540" s="146"/>
      <c r="AS3540" s="138">
        <f>1-AS3539/(3*F_GAMMA*AS$29)</f>
        <v>0.13919874222436934</v>
      </c>
      <c r="AT3540" s="133"/>
      <c r="AU3540" s="146"/>
    </row>
    <row r="3541" spans="13:47" x14ac:dyDescent="0.25">
      <c r="M3541" s="27"/>
      <c r="N3541" s="27"/>
      <c r="O3541" s="2" t="s">
        <v>71</v>
      </c>
      <c r="P3541" s="85">
        <v>5</v>
      </c>
      <c r="Q3541" s="2"/>
      <c r="R3541" s="179">
        <f>R3533/((N_6*R$27*R3540)*SQRT(R3539*R3535*R3537))</f>
        <v>7.0782891919188007</v>
      </c>
      <c r="S3541" s="133"/>
      <c r="T3541" s="146"/>
      <c r="U3541" s="143">
        <f>U3533/((N_6*U$27*U3540)*SQRT(U3539*U3535*U3537))</f>
        <v>28.358246907115117</v>
      </c>
      <c r="V3541" s="133"/>
      <c r="W3541" s="146"/>
      <c r="X3541" s="143" t="e">
        <f>X3533/((N_6*X$27*X3540)*SQRT(X3539*X3535*X3537))</f>
        <v>#NUM!</v>
      </c>
      <c r="Y3541" s="133"/>
      <c r="Z3541" s="146"/>
      <c r="AA3541" s="143">
        <f>AA3533/((N_6*AA$27*AA3540)*SQRT(AA3539*AA3535*AA3537))</f>
        <v>90.40526412456569</v>
      </c>
      <c r="AB3541" s="133"/>
      <c r="AC3541" s="146"/>
      <c r="AD3541" s="143">
        <f>AD3533/((N_6*AD$27*AD3540)*SQRT(AD3539*AD3535*AD3537))</f>
        <v>35.592953676838135</v>
      </c>
      <c r="AE3541" s="133"/>
      <c r="AF3541" s="146"/>
      <c r="AG3541" s="143">
        <f>AG3533/((N_6*AG$27*AG3540)*SQRT(AG3539*AG3535*AG3537))</f>
        <v>25.313425241780745</v>
      </c>
      <c r="AH3541" s="133"/>
      <c r="AI3541" s="146"/>
      <c r="AJ3541" s="143">
        <f>AJ3533/((N_6*AJ$27*AJ3540)*SQRT(AJ3539*AJ3535*AJ3537))</f>
        <v>22.050114486425471</v>
      </c>
      <c r="AK3541" s="133"/>
      <c r="AL3541" s="146"/>
      <c r="AM3541" s="143">
        <f>AM3533/((N_6*AM$27*AM3540)*SQRT(AM3539*AM3535*AM3537))</f>
        <v>23.286119938041189</v>
      </c>
      <c r="AN3541" s="133"/>
      <c r="AO3541" s="146"/>
      <c r="AP3541" s="143">
        <f>AP3533/((N_6*AP$27*AP3540)*SQRT(AP3539*AP3535*AP3537))</f>
        <v>16.960650658622491</v>
      </c>
      <c r="AQ3541" s="133"/>
      <c r="AR3541" s="146"/>
      <c r="AS3541" s="143">
        <f>AS3533/((N_6*AS$27*AS3540)*SQRT(AS3539*AS3535*AS3537))</f>
        <v>61.717118828596853</v>
      </c>
      <c r="AT3541" s="133"/>
      <c r="AU3541" s="146"/>
    </row>
    <row r="3542" spans="13:47" x14ac:dyDescent="0.25">
      <c r="M3542" s="27"/>
      <c r="N3542" s="27"/>
      <c r="O3542" s="2" t="s">
        <v>73</v>
      </c>
      <c r="P3542" s="85">
        <v>5</v>
      </c>
      <c r="Q3542" s="2"/>
      <c r="R3542" s="179">
        <f>R3533/((N_6*R$27*0.667)*SQRT(R3543*R3535*R3537))</f>
        <v>6.9317370177393256</v>
      </c>
      <c r="S3542" s="133"/>
      <c r="T3542" s="155"/>
      <c r="U3542" s="143">
        <f>U3533/((N_6*U$27*0.667)*SQRT(U3543*U3535*U3537))</f>
        <v>27.072724033514465</v>
      </c>
      <c r="V3542" s="133"/>
      <c r="W3542" s="155"/>
      <c r="X3542" s="143">
        <f>X3533/((N_6*X$27*0.667)*SQRT(X3543*X3535*X3537))</f>
        <v>244.78822021713839</v>
      </c>
      <c r="Y3542" s="133"/>
      <c r="Z3542" s="155"/>
      <c r="AA3542" s="143">
        <f>AA3533/((N_6*AA$27*0.667)*SQRT(AA3543*AA3535*AA3537))</f>
        <v>62.271421570256749</v>
      </c>
      <c r="AB3542" s="133"/>
      <c r="AC3542" s="155"/>
      <c r="AD3542" s="143">
        <f>AD3533/((N_6*AD$27*0.667)*SQRT(AD3543*AD3535*AD3537))</f>
        <v>29.06905778799517</v>
      </c>
      <c r="AE3542" s="133"/>
      <c r="AF3542" s="155"/>
      <c r="AG3542" s="143">
        <f>AG3533/((N_6*AG$27*0.667)*SQRT(AG3543*AG3535*AG3537))</f>
        <v>20.296007999944578</v>
      </c>
      <c r="AH3542" s="133"/>
      <c r="AI3542" s="155"/>
      <c r="AJ3542" s="143">
        <f>AJ3533/((N_6*AJ$27*0.667)*SQRT(AJ3543*AJ3535*AJ3537))</f>
        <v>16.652073216686567</v>
      </c>
      <c r="AK3542" s="133"/>
      <c r="AL3542" s="155"/>
      <c r="AM3542" s="143">
        <f>AM3533/((N_6*AM$27*0.667)*SQRT(AM3543*AM3535*AM3537))</f>
        <v>15.576392065704944</v>
      </c>
      <c r="AN3542" s="133"/>
      <c r="AO3542" s="155"/>
      <c r="AP3542" s="143">
        <f>AP3533/((N_6*AP$27*0.667)*SQRT(AP3543*AP3535*AP3537))</f>
        <v>14.331543974351323</v>
      </c>
      <c r="AQ3542" s="133"/>
      <c r="AR3542" s="155"/>
      <c r="AS3542" s="143">
        <f>AS3533/((N_6*AS$27*0.667)*SQRT(AS3543*AS3535*AS3537))</f>
        <v>20.697943373762151</v>
      </c>
      <c r="AT3542" s="133"/>
      <c r="AU3542" s="155"/>
    </row>
    <row r="3543" spans="13:47" ht="15.5" x14ac:dyDescent="0.4">
      <c r="M3543" s="27"/>
      <c r="N3543" s="27"/>
      <c r="O3543" s="2" t="s">
        <v>192</v>
      </c>
      <c r="P3543" s="85">
        <v>10</v>
      </c>
      <c r="Q3543" s="2"/>
      <c r="R3543" s="181">
        <f>F_GAMMA*R$29</f>
        <v>0.64002688015162901</v>
      </c>
      <c r="S3543" s="133"/>
      <c r="T3543" s="155"/>
      <c r="U3543" s="138">
        <f>F_GAMMA*U$29</f>
        <v>0.64016782916606918</v>
      </c>
      <c r="V3543" s="133"/>
      <c r="W3543" s="155"/>
      <c r="X3543" s="138">
        <f>F_GAMMA*X$29</f>
        <v>0.6307062319203669</v>
      </c>
      <c r="Y3543" s="133"/>
      <c r="Z3543" s="155"/>
      <c r="AA3543" s="138">
        <f>F_GAMMA*AA$29</f>
        <v>0.62217534213893466</v>
      </c>
      <c r="AB3543" s="133"/>
      <c r="AC3543" s="155"/>
      <c r="AD3543" s="138">
        <f>F_GAMMA*AD$29</f>
        <v>0.60557184969146072</v>
      </c>
      <c r="AE3543" s="133"/>
      <c r="AF3543" s="155"/>
      <c r="AG3543" s="138">
        <f>F_GAMMA*AG$29</f>
        <v>0.57289312142622573</v>
      </c>
      <c r="AH3543" s="133"/>
      <c r="AI3543" s="155"/>
      <c r="AJ3543" s="138">
        <f>F_GAMMA*AJ$29</f>
        <v>0.53590819116049981</v>
      </c>
      <c r="AK3543" s="133"/>
      <c r="AL3543" s="155"/>
      <c r="AM3543" s="138">
        <f>F_GAMMA*AM$29</f>
        <v>0.49048815926850342</v>
      </c>
      <c r="AN3543" s="133"/>
      <c r="AO3543" s="155"/>
      <c r="AP3543" s="138">
        <f>F_GAMMA*AP$29</f>
        <v>0.59352979016280105</v>
      </c>
      <c r="AQ3543" s="133"/>
      <c r="AR3543" s="155"/>
      <c r="AS3543" s="138">
        <f>F_GAMMA*AS$29</f>
        <v>0.39097221161068291</v>
      </c>
      <c r="AT3543" s="133"/>
      <c r="AU3543" s="155"/>
    </row>
    <row r="3544" spans="13:47" x14ac:dyDescent="0.25">
      <c r="M3544" s="27"/>
      <c r="N3544" s="27"/>
      <c r="O3544" s="2" t="s">
        <v>193</v>
      </c>
      <c r="P3544" s="134"/>
      <c r="Q3544" s="2"/>
      <c r="R3544" s="181">
        <f>IF(R3539&lt;R3543,R3541,R3542)</f>
        <v>7.0782891919188007</v>
      </c>
      <c r="S3544" s="133"/>
      <c r="T3544" s="155"/>
      <c r="U3544" s="138">
        <f>IF(U3539&lt;U3543,U3541,U3542)</f>
        <v>28.358246907115117</v>
      </c>
      <c r="V3544" s="133"/>
      <c r="W3544" s="155"/>
      <c r="X3544" s="138" t="e">
        <f>IF(X3539&lt;X3543,X3541,X3542)</f>
        <v>#NUM!</v>
      </c>
      <c r="Y3544" s="133"/>
      <c r="Z3544" s="155"/>
      <c r="AA3544" s="138">
        <f>IF(AA3539&lt;AA3543,AA3541,AA3542)</f>
        <v>62.271421570256749</v>
      </c>
      <c r="AB3544" s="133"/>
      <c r="AC3544" s="155"/>
      <c r="AD3544" s="138">
        <f>IF(AD3539&lt;AD3543,AD3541,AD3542)</f>
        <v>29.06905778799517</v>
      </c>
      <c r="AE3544" s="133"/>
      <c r="AF3544" s="155"/>
      <c r="AG3544" s="138">
        <f>IF(AG3539&lt;AG3543,AG3541,AG3542)</f>
        <v>20.296007999944578</v>
      </c>
      <c r="AH3544" s="133"/>
      <c r="AI3544" s="155"/>
      <c r="AJ3544" s="138">
        <f>IF(AJ3539&lt;AJ3543,AJ3541,AJ3542)</f>
        <v>16.652073216686567</v>
      </c>
      <c r="AK3544" s="133"/>
      <c r="AL3544" s="155"/>
      <c r="AM3544" s="138">
        <f>IF(AM3539&lt;AM3543,AM3541,AM3542)</f>
        <v>15.576392065704944</v>
      </c>
      <c r="AN3544" s="133"/>
      <c r="AO3544" s="155"/>
      <c r="AP3544" s="138">
        <f>IF(AP3539&lt;AP3543,AP3541,AP3542)</f>
        <v>14.331543974351323</v>
      </c>
      <c r="AQ3544" s="133"/>
      <c r="AR3544" s="155"/>
      <c r="AS3544" s="138">
        <f>IF(AS3539&lt;AS3543,AS3541,AS3542)</f>
        <v>20.697943373762151</v>
      </c>
      <c r="AT3544" s="133"/>
      <c r="AU3544" s="155"/>
    </row>
    <row r="3545" spans="13:47" ht="13" x14ac:dyDescent="0.3">
      <c r="M3545" s="28"/>
      <c r="N3545" s="28"/>
      <c r="O3545" s="9" t="s">
        <v>194</v>
      </c>
      <c r="P3545" s="1"/>
      <c r="Q3545" s="1"/>
      <c r="R3545" s="135"/>
      <c r="S3545" s="132">
        <f>IF(R3538&lt;=0,W_max,ABS(R$23-R3544))</f>
        <v>5.0782891919188007</v>
      </c>
      <c r="T3545" s="151">
        <f>R3533</f>
        <v>1617.515411079846</v>
      </c>
      <c r="U3545" s="135"/>
      <c r="V3545" s="132">
        <f>IF(U3538&lt;=0,W_max,ABS(U$23-U3544))</f>
        <v>23.358246907115117</v>
      </c>
      <c r="W3545" s="151">
        <f>U3533</f>
        <v>5589.6041387629539</v>
      </c>
      <c r="X3545" s="135"/>
      <c r="Y3545" s="132">
        <f>IF(X3538&lt;=0,W_max,ABS(X$23-X3544))</f>
        <v>7174</v>
      </c>
      <c r="Z3545" s="151">
        <f>X3533</f>
        <v>13823.756205850603</v>
      </c>
      <c r="AA3545" s="135"/>
      <c r="AB3545" s="132">
        <f>IF(AA3538&lt;=0,W_max,ABS(AA$23-AA3544))</f>
        <v>7174</v>
      </c>
      <c r="AC3545" s="151">
        <f>AA3533</f>
        <v>26925.148638630228</v>
      </c>
      <c r="AD3545" s="135"/>
      <c r="AE3545" s="132">
        <f>IF(AD3538&lt;=0,W_max,ABS(AD$23-AD3544))</f>
        <v>7174</v>
      </c>
      <c r="AF3545" s="151">
        <f>AD3533</f>
        <v>44281.956258967759</v>
      </c>
      <c r="AG3545" s="135"/>
      <c r="AH3545" s="132">
        <f>IF(AG3538&lt;=0,W_max,ABS(AG$23-AG3544))</f>
        <v>7174</v>
      </c>
      <c r="AI3545" s="151">
        <f>AG3533</f>
        <v>62108.852751395832</v>
      </c>
      <c r="AJ3545" s="135"/>
      <c r="AK3545" s="132">
        <f>IF(AJ3538&lt;=0,W_max,ABS(AJ$23-AJ3544))</f>
        <v>7174</v>
      </c>
      <c r="AL3545" s="151">
        <f>AJ3533</f>
        <v>78861.762319014</v>
      </c>
      <c r="AM3545" s="135"/>
      <c r="AN3545" s="132">
        <f>IF(AM3538&lt;=0,W_max,ABS(AM$23-AM3544))</f>
        <v>7174</v>
      </c>
      <c r="AO3545" s="151">
        <f>AM3533</f>
        <v>92471.618396324237</v>
      </c>
      <c r="AP3545" s="135"/>
      <c r="AQ3545" s="132">
        <f>IF(AP3538&lt;=0,W_max,ABS(AP$23-AP3544))</f>
        <v>7174</v>
      </c>
      <c r="AR3545" s="151">
        <f>AP3533</f>
        <v>103167.65760969311</v>
      </c>
      <c r="AS3545" s="135"/>
      <c r="AT3545" s="132">
        <f>IF(AS3538&lt;=0,W_max,ABS(AS$23-AS3544))</f>
        <v>7174</v>
      </c>
      <c r="AU3545" s="151">
        <f>AS3533</f>
        <v>115100.88999473979</v>
      </c>
    </row>
    <row r="3546" spans="13:47" ht="13" x14ac:dyDescent="0.25">
      <c r="M3546" s="12"/>
      <c r="N3546" s="12"/>
      <c r="O3546" s="2"/>
      <c r="P3546" s="85"/>
      <c r="Q3546" s="2"/>
      <c r="R3546" s="18"/>
      <c r="S3546" s="150"/>
      <c r="T3546" s="152"/>
      <c r="U3546" s="157"/>
      <c r="V3546" s="1"/>
      <c r="W3546" s="147"/>
      <c r="X3546" s="157"/>
      <c r="Y3546" s="1"/>
      <c r="Z3546" s="147"/>
      <c r="AA3546" s="157"/>
      <c r="AB3546" s="1"/>
      <c r="AC3546" s="147"/>
      <c r="AD3546" s="157"/>
      <c r="AE3546" s="1"/>
      <c r="AF3546" s="147"/>
      <c r="AG3546" s="157"/>
      <c r="AH3546" s="1"/>
      <c r="AI3546" s="147"/>
      <c r="AJ3546" s="157"/>
      <c r="AK3546" s="1"/>
      <c r="AL3546" s="147"/>
      <c r="AM3546" s="157"/>
      <c r="AN3546" s="1"/>
      <c r="AO3546" s="147"/>
      <c r="AP3546" s="157"/>
      <c r="AQ3546" s="1"/>
      <c r="AR3546" s="147"/>
      <c r="AS3546" s="157"/>
      <c r="AT3546" s="1"/>
      <c r="AU3546" s="147"/>
    </row>
    <row r="3547" spans="13:47" ht="14" x14ac:dyDescent="0.3">
      <c r="M3547" s="23"/>
      <c r="N3547" s="23"/>
      <c r="O3547" s="23" t="s">
        <v>238</v>
      </c>
      <c r="P3547" s="20"/>
      <c r="Q3547" s="20"/>
      <c r="R3547" s="181">
        <f>R3533*1.02</f>
        <v>1649.8657193014431</v>
      </c>
      <c r="S3547" s="128" t="s">
        <v>185</v>
      </c>
      <c r="T3547" s="153" t="s">
        <v>186</v>
      </c>
      <c r="U3547" s="143">
        <f>U3533*1.01</f>
        <v>5645.5001801505832</v>
      </c>
      <c r="V3547" s="128" t="s">
        <v>185</v>
      </c>
      <c r="W3547" s="153" t="s">
        <v>186</v>
      </c>
      <c r="X3547" s="143">
        <f>X3533*1.01</f>
        <v>13961.993767909109</v>
      </c>
      <c r="Y3547" s="128" t="s">
        <v>185</v>
      </c>
      <c r="Z3547" s="153" t="s">
        <v>186</v>
      </c>
      <c r="AA3547" s="143">
        <f>AA3533*1.01</f>
        <v>27194.400125016531</v>
      </c>
      <c r="AB3547" s="128" t="s">
        <v>185</v>
      </c>
      <c r="AC3547" s="153" t="s">
        <v>186</v>
      </c>
      <c r="AD3547" s="143">
        <f>AD3533*1.01</f>
        <v>44724.775821557436</v>
      </c>
      <c r="AE3547" s="128" t="s">
        <v>185</v>
      </c>
      <c r="AF3547" s="153" t="s">
        <v>186</v>
      </c>
      <c r="AG3547" s="143">
        <f>AG3533*1.01</f>
        <v>62729.941278909791</v>
      </c>
      <c r="AH3547" s="128" t="s">
        <v>185</v>
      </c>
      <c r="AI3547" s="153" t="s">
        <v>186</v>
      </c>
      <c r="AJ3547" s="143">
        <f>AJ3533*1.01</f>
        <v>79650.379942204134</v>
      </c>
      <c r="AK3547" s="128" t="s">
        <v>185</v>
      </c>
      <c r="AL3547" s="153" t="s">
        <v>186</v>
      </c>
      <c r="AM3547" s="143">
        <f>AM3533*1.01</f>
        <v>93396.334580287483</v>
      </c>
      <c r="AN3547" s="128" t="s">
        <v>185</v>
      </c>
      <c r="AO3547" s="153" t="s">
        <v>186</v>
      </c>
      <c r="AP3547" s="143">
        <f>AP3533*1.01</f>
        <v>104199.33418579004</v>
      </c>
      <c r="AQ3547" s="128" t="s">
        <v>185</v>
      </c>
      <c r="AR3547" s="153" t="s">
        <v>186</v>
      </c>
      <c r="AS3547" s="143">
        <f>AS3533*1.01</f>
        <v>116251.89889468718</v>
      </c>
      <c r="AT3547" s="128" t="s">
        <v>185</v>
      </c>
      <c r="AU3547" s="153" t="s">
        <v>186</v>
      </c>
    </row>
    <row r="3548" spans="13:47" ht="14" x14ac:dyDescent="0.3">
      <c r="M3548" s="12"/>
      <c r="N3548" s="12"/>
      <c r="O3548" s="20"/>
      <c r="P3548" s="20"/>
      <c r="Q3548" s="23"/>
      <c r="R3548" s="139"/>
      <c r="S3548" s="130" t="s">
        <v>228</v>
      </c>
      <c r="T3548" s="154" t="s">
        <v>187</v>
      </c>
      <c r="U3548" s="144"/>
      <c r="V3548" s="130" t="s">
        <v>228</v>
      </c>
      <c r="W3548" s="154" t="s">
        <v>187</v>
      </c>
      <c r="X3548" s="144"/>
      <c r="Y3548" s="130" t="s">
        <v>228</v>
      </c>
      <c r="Z3548" s="154" t="s">
        <v>187</v>
      </c>
      <c r="AA3548" s="144"/>
      <c r="AB3548" s="130" t="s">
        <v>228</v>
      </c>
      <c r="AC3548" s="154" t="s">
        <v>187</v>
      </c>
      <c r="AD3548" s="144"/>
      <c r="AE3548" s="130" t="s">
        <v>228</v>
      </c>
      <c r="AF3548" s="154" t="s">
        <v>187</v>
      </c>
      <c r="AG3548" s="144"/>
      <c r="AH3548" s="130" t="s">
        <v>228</v>
      </c>
      <c r="AI3548" s="154" t="s">
        <v>187</v>
      </c>
      <c r="AJ3548" s="144"/>
      <c r="AK3548" s="130" t="s">
        <v>228</v>
      </c>
      <c r="AL3548" s="154" t="s">
        <v>187</v>
      </c>
      <c r="AM3548" s="144"/>
      <c r="AN3548" s="130" t="s">
        <v>228</v>
      </c>
      <c r="AO3548" s="154" t="s">
        <v>187</v>
      </c>
      <c r="AP3548" s="144"/>
      <c r="AQ3548" s="130" t="s">
        <v>228</v>
      </c>
      <c r="AR3548" s="154" t="s">
        <v>187</v>
      </c>
      <c r="AS3548" s="144"/>
      <c r="AT3548" s="130" t="s">
        <v>228</v>
      </c>
      <c r="AU3548" s="154" t="s">
        <v>187</v>
      </c>
    </row>
    <row r="3549" spans="13:47" x14ac:dyDescent="0.25">
      <c r="M3549" s="20"/>
      <c r="N3549" s="20"/>
      <c r="O3549" s="7" t="s">
        <v>188</v>
      </c>
      <c r="P3549" s="7"/>
      <c r="Q3549" s="7"/>
      <c r="R3549" s="181">
        <f>P_1_minW-(R3547^2*R_up)+dpup_minQ</f>
        <v>99.437334331463688</v>
      </c>
      <c r="S3549" s="132"/>
      <c r="T3549" s="145"/>
      <c r="U3549" s="138">
        <f>P_1_minW-(U3547^2*R_up)+dpup_minQ</f>
        <v>87.813580163688044</v>
      </c>
      <c r="V3549" s="132"/>
      <c r="W3549" s="145"/>
      <c r="X3549" s="138">
        <f>P_1_minW-(X3547^2*R_up)+dpup_minQ</f>
        <v>22.789242954787412</v>
      </c>
      <c r="Y3549" s="132"/>
      <c r="Z3549" s="145"/>
      <c r="AA3549" s="138">
        <f>P_1_minW-(AA3547^2*R_up)+dpup_minQ</f>
        <v>-194.37570680665092</v>
      </c>
      <c r="AB3549" s="132"/>
      <c r="AC3549" s="145"/>
      <c r="AD3549" s="138">
        <f>P_1_minW-(AD3547^2*R_up)+dpup_minQ</f>
        <v>-697.12273687497589</v>
      </c>
      <c r="AE3549" s="132"/>
      <c r="AF3549" s="145"/>
      <c r="AG3549" s="138">
        <f>P_1_minW-(AG3547^2*R_up)+dpup_minQ</f>
        <v>-1468.6231967438348</v>
      </c>
      <c r="AH3549" s="132"/>
      <c r="AI3549" s="145"/>
      <c r="AJ3549" s="138">
        <f>P_1_minW-(AJ3547^2*R_up)+dpup_minQ</f>
        <v>-2429.2952875213305</v>
      </c>
      <c r="AK3549" s="132"/>
      <c r="AL3549" s="145"/>
      <c r="AM3549" s="138">
        <f>P_1_minW-(AM3547^2*R_up)+dpup_minQ</f>
        <v>-3377.8269928438813</v>
      </c>
      <c r="AN3549" s="132"/>
      <c r="AO3549" s="145"/>
      <c r="AP3549" s="138">
        <f>P_1_minW-(AP3547^2*R_up)+dpup_minQ</f>
        <v>-4229.0343496683745</v>
      </c>
      <c r="AQ3549" s="132"/>
      <c r="AR3549" s="145"/>
      <c r="AS3549" s="138">
        <f>P_1_minW-(AS3547^2*R_up)+dpup_minQ</f>
        <v>-5288.5456466444848</v>
      </c>
      <c r="AT3549" s="132"/>
      <c r="AU3549" s="145"/>
    </row>
    <row r="3550" spans="13:47" x14ac:dyDescent="0.25">
      <c r="M3550" s="20"/>
      <c r="N3550" s="20"/>
      <c r="O3550" s="7" t="s">
        <v>189</v>
      </c>
      <c r="P3550" s="1"/>
      <c r="Q3550" s="7"/>
      <c r="R3550" s="181">
        <f>P_2_minW+(R3547^2*R_dn)-dpdn_minQ</f>
        <v>50</v>
      </c>
      <c r="S3550" s="132"/>
      <c r="T3550" s="146"/>
      <c r="U3550" s="138">
        <f>P_2_minW+(U3547^2*R_dn)-dpdn_minQ</f>
        <v>50</v>
      </c>
      <c r="V3550" s="132"/>
      <c r="W3550" s="146"/>
      <c r="X3550" s="138">
        <f>P_2_minW+(X3547^2*R_dn)-dpdn_minQ</f>
        <v>50</v>
      </c>
      <c r="Y3550" s="132"/>
      <c r="Z3550" s="146"/>
      <c r="AA3550" s="138">
        <f>P_2_minW+(AA3547^2*R_dn)-dpdn_minQ</f>
        <v>50</v>
      </c>
      <c r="AB3550" s="132"/>
      <c r="AC3550" s="146"/>
      <c r="AD3550" s="138">
        <f>P_2_minW+(AD3547^2*R_dn)-dpdn_minQ</f>
        <v>50</v>
      </c>
      <c r="AE3550" s="132"/>
      <c r="AF3550" s="146"/>
      <c r="AG3550" s="138">
        <f>P_2_minW+(AG3547^2*R_dn)-dpdn_minQ</f>
        <v>50</v>
      </c>
      <c r="AH3550" s="132"/>
      <c r="AI3550" s="146"/>
      <c r="AJ3550" s="138">
        <f>P_2_minW+(AJ3547^2*R_dn)-dpdn_minQ</f>
        <v>50</v>
      </c>
      <c r="AK3550" s="132"/>
      <c r="AL3550" s="146"/>
      <c r="AM3550" s="138">
        <f>P_2_minW+(AM3547^2*R_dn)-dpdn_minQ</f>
        <v>50</v>
      </c>
      <c r="AN3550" s="132"/>
      <c r="AO3550" s="146"/>
      <c r="AP3550" s="138">
        <f>P_2_minW+(AP3547^2*R_dn)-dpdn_minQ</f>
        <v>50</v>
      </c>
      <c r="AQ3550" s="132"/>
      <c r="AR3550" s="146"/>
      <c r="AS3550" s="138">
        <f>P_2_minW+(AS3547^2*R_dn)-dpdn_minQ</f>
        <v>50</v>
      </c>
      <c r="AT3550" s="132"/>
      <c r="AU3550" s="146"/>
    </row>
    <row r="3551" spans="13:47" x14ac:dyDescent="0.25">
      <c r="M3551" s="20"/>
      <c r="N3551" s="20"/>
      <c r="O3551" s="7" t="s">
        <v>234</v>
      </c>
      <c r="P3551" s="1"/>
      <c r="Q3551" s="7"/>
      <c r="R3551" s="179">
        <f>'Valve Sizing'!G$8*R3549/P_1_maxW</f>
        <v>0.47966799708879149</v>
      </c>
      <c r="S3551" s="132"/>
      <c r="T3551" s="146"/>
      <c r="U3551" s="143">
        <f>'Valve Sizing'!$G$8*U3549/P_1_maxW</f>
        <v>0.42359707646531664</v>
      </c>
      <c r="V3551" s="132"/>
      <c r="W3551" s="146"/>
      <c r="X3551" s="143">
        <f>'Valve Sizing'!$G$8*X3549/P_1_maxW</f>
        <v>0.10993125063926708</v>
      </c>
      <c r="Y3551" s="132"/>
      <c r="Z3551" s="146"/>
      <c r="AA3551" s="143">
        <f>'Valve Sizing'!$G$8*AA3549/P_1_maxW</f>
        <v>-0.93763380317369405</v>
      </c>
      <c r="AB3551" s="132"/>
      <c r="AC3551" s="146"/>
      <c r="AD3551" s="143">
        <f>'Valve Sizing'!$G$8*AD3549/P_1_maxW</f>
        <v>-3.3627959676315493</v>
      </c>
      <c r="AE3551" s="132"/>
      <c r="AF3551" s="146"/>
      <c r="AG3551" s="143">
        <f>'Valve Sizing'!$G$8*AG3549/P_1_maxW</f>
        <v>-7.084376828848205</v>
      </c>
      <c r="AH3551" s="132"/>
      <c r="AI3551" s="146"/>
      <c r="AJ3551" s="143">
        <f>'Valve Sizing'!$G$8*AJ3549/P_1_maxW</f>
        <v>-11.718487957635139</v>
      </c>
      <c r="AK3551" s="132"/>
      <c r="AL3551" s="146"/>
      <c r="AM3551" s="143">
        <f>'Valve Sizing'!$G$8*AM3549/P_1_maxW</f>
        <v>-16.294036028449828</v>
      </c>
      <c r="AN3551" s="132"/>
      <c r="AO3551" s="146"/>
      <c r="AP3551" s="143">
        <f>'Valve Sizing'!$G$8*AP3549/P_1_maxW</f>
        <v>-20.400108769642134</v>
      </c>
      <c r="AQ3551" s="132"/>
      <c r="AR3551" s="146"/>
      <c r="AS3551" s="143">
        <f>'Valve Sizing'!$G$8*AS3549/P_1_maxW</f>
        <v>-25.511002631895145</v>
      </c>
      <c r="AT3551" s="132"/>
      <c r="AU3551" s="146"/>
    </row>
    <row r="3552" spans="13:47" x14ac:dyDescent="0.25">
      <c r="M3552" s="20"/>
      <c r="N3552" s="20"/>
      <c r="O3552" s="7" t="s">
        <v>190</v>
      </c>
      <c r="P3552" s="1"/>
      <c r="Q3552" s="7"/>
      <c r="R3552" s="181">
        <f>R3549-R3550</f>
        <v>49.437334331463688</v>
      </c>
      <c r="S3552" s="132"/>
      <c r="T3552" s="146"/>
      <c r="U3552" s="138">
        <f>U3549-U3550</f>
        <v>37.813580163688044</v>
      </c>
      <c r="V3552" s="132"/>
      <c r="W3552" s="146"/>
      <c r="X3552" s="138">
        <f>X3549-X3550</f>
        <v>-27.210757045212588</v>
      </c>
      <c r="Y3552" s="132"/>
      <c r="Z3552" s="146"/>
      <c r="AA3552" s="138">
        <f>AA3549-AA3550</f>
        <v>-244.37570680665092</v>
      </c>
      <c r="AB3552" s="132"/>
      <c r="AC3552" s="146"/>
      <c r="AD3552" s="138">
        <f>AD3549-AD3550</f>
        <v>-747.12273687497589</v>
      </c>
      <c r="AE3552" s="132"/>
      <c r="AF3552" s="146"/>
      <c r="AG3552" s="138">
        <f>AG3549-AG3550</f>
        <v>-1518.6231967438348</v>
      </c>
      <c r="AH3552" s="132"/>
      <c r="AI3552" s="146"/>
      <c r="AJ3552" s="138">
        <f>AJ3549-AJ3550</f>
        <v>-2479.2952875213305</v>
      </c>
      <c r="AK3552" s="132"/>
      <c r="AL3552" s="146"/>
      <c r="AM3552" s="138">
        <f>AM3549-AM3550</f>
        <v>-3427.8269928438813</v>
      </c>
      <c r="AN3552" s="132"/>
      <c r="AO3552" s="146"/>
      <c r="AP3552" s="138">
        <f>AP3549-AP3550</f>
        <v>-4279.0343496683745</v>
      </c>
      <c r="AQ3552" s="132"/>
      <c r="AR3552" s="146"/>
      <c r="AS3552" s="138">
        <f>AS3549-AS3550</f>
        <v>-5338.5456466444848</v>
      </c>
      <c r="AT3552" s="132"/>
      <c r="AU3552" s="146"/>
    </row>
    <row r="3553" spans="13:47" ht="14.5" x14ac:dyDescent="0.35">
      <c r="M3553" s="27"/>
      <c r="N3553" s="27"/>
      <c r="O3553" s="2" t="s">
        <v>191</v>
      </c>
      <c r="P3553" s="10"/>
      <c r="Q3553" s="2"/>
      <c r="R3553" s="181">
        <f>R3552/R3549</f>
        <v>0.49717075245269182</v>
      </c>
      <c r="S3553" s="132"/>
      <c r="T3553" s="146"/>
      <c r="U3553" s="138">
        <f>U3552/U3549</f>
        <v>0.43061198613246393</v>
      </c>
      <c r="V3553" s="132"/>
      <c r="W3553" s="146"/>
      <c r="X3553" s="138">
        <f>X3552/X3549</f>
        <v>-1.1940175941428688</v>
      </c>
      <c r="Y3553" s="132"/>
      <c r="Z3553" s="146"/>
      <c r="AA3553" s="138">
        <f>AA3552/AA3549</f>
        <v>1.257233791307758</v>
      </c>
      <c r="AB3553" s="132"/>
      <c r="AC3553" s="146"/>
      <c r="AD3553" s="138">
        <f>AD3552/AD3549</f>
        <v>1.0717233814867915</v>
      </c>
      <c r="AE3553" s="132"/>
      <c r="AF3553" s="146"/>
      <c r="AG3553" s="138">
        <f>AG3552/AG3549</f>
        <v>1.0340454924795262</v>
      </c>
      <c r="AH3553" s="132"/>
      <c r="AI3553" s="146"/>
      <c r="AJ3553" s="138">
        <f>AJ3552/AJ3549</f>
        <v>1.0205821006021119</v>
      </c>
      <c r="AK3553" s="132"/>
      <c r="AL3553" s="146"/>
      <c r="AM3553" s="138">
        <f>AM3552/AM3549</f>
        <v>1.0148024159040494</v>
      </c>
      <c r="AN3553" s="132"/>
      <c r="AO3553" s="146"/>
      <c r="AP3553" s="138">
        <f>AP3552/AP3549</f>
        <v>1.0118230300030362</v>
      </c>
      <c r="AQ3553" s="132"/>
      <c r="AR3553" s="146"/>
      <c r="AS3553" s="138">
        <f>AS3552/AS3549</f>
        <v>1.0094543950909689</v>
      </c>
      <c r="AT3553" s="132"/>
      <c r="AU3553" s="146"/>
    </row>
    <row r="3554" spans="13:47" x14ac:dyDescent="0.25">
      <c r="M3554" s="27"/>
      <c r="N3554" s="27"/>
      <c r="O3554" s="2" t="s">
        <v>26</v>
      </c>
      <c r="P3554" s="7">
        <v>12</v>
      </c>
      <c r="Q3554" s="2"/>
      <c r="R3554" s="181">
        <f>1-R3553/(3*F_GAMMA*R$29)</f>
        <v>0.74106777497902021</v>
      </c>
      <c r="S3554" s="133"/>
      <c r="T3554" s="146"/>
      <c r="U3554" s="138">
        <f>1-U3553/(3*F_GAMMA*U$29)</f>
        <v>0.77578172133735013</v>
      </c>
      <c r="V3554" s="133"/>
      <c r="W3554" s="146"/>
      <c r="X3554" s="138">
        <f>1-X3553/(3*F_GAMMA*X$29)</f>
        <v>1.6310479341585797</v>
      </c>
      <c r="Y3554" s="133"/>
      <c r="Z3554" s="146"/>
      <c r="AA3554" s="138">
        <f>1-AA3553/(3*F_GAMMA*AA$29)</f>
        <v>0.32643114882181035</v>
      </c>
      <c r="AB3554" s="133"/>
      <c r="AC3554" s="146"/>
      <c r="AD3554" s="138">
        <f>1-AD3553/(3*F_GAMMA*AD$29)</f>
        <v>0.41007639746748725</v>
      </c>
      <c r="AE3554" s="133"/>
      <c r="AF3554" s="146"/>
      <c r="AG3554" s="138">
        <f>1-AG3553/(3*F_GAMMA*AG$29)</f>
        <v>0.39834880550072183</v>
      </c>
      <c r="AH3554" s="133"/>
      <c r="AI3554" s="146"/>
      <c r="AJ3554" s="138">
        <f>1-AJ3553/(3*F_GAMMA*AJ$29)</f>
        <v>0.36520090727228283</v>
      </c>
      <c r="AK3554" s="133"/>
      <c r="AL3554" s="146"/>
      <c r="AM3554" s="138">
        <f>1-AM3553/(3*F_GAMMA*AM$29)</f>
        <v>0.31034528443561915</v>
      </c>
      <c r="AN3554" s="133"/>
      <c r="AO3554" s="146"/>
      <c r="AP3554" s="138">
        <f>1-AP3553/(3*F_GAMMA*AP$29)</f>
        <v>0.43174824764594644</v>
      </c>
      <c r="AQ3554" s="133"/>
      <c r="AR3554" s="146"/>
      <c r="AS3554" s="138">
        <f>1-AS3553/(3*F_GAMMA*AS$29)</f>
        <v>0.13936390267368504</v>
      </c>
      <c r="AT3554" s="133"/>
      <c r="AU3554" s="146"/>
    </row>
    <row r="3555" spans="13:47" x14ac:dyDescent="0.25">
      <c r="M3555" s="27"/>
      <c r="N3555" s="27"/>
      <c r="O3555" s="2" t="s">
        <v>71</v>
      </c>
      <c r="P3555" s="85">
        <v>5</v>
      </c>
      <c r="Q3555" s="2"/>
      <c r="R3555" s="179">
        <f>R3547/((N_6*R$27*R3554)*SQRT(R3553*R3549*R3551))</f>
        <v>7.2233810470811939</v>
      </c>
      <c r="S3555" s="133"/>
      <c r="T3555" s="146"/>
      <c r="U3555" s="143">
        <f>U3547/((N_6*U$27*U3554)*SQRT(U3553*U3549*U3551))</f>
        <v>28.746185224826416</v>
      </c>
      <c r="V3555" s="133"/>
      <c r="W3555" s="146"/>
      <c r="X3555" s="143" t="e">
        <f>X3547/((N_6*X$27*X3554)*SQRT(X3553*X3549*X3551))</f>
        <v>#NUM!</v>
      </c>
      <c r="Y3555" s="133"/>
      <c r="Z3555" s="146"/>
      <c r="AA3555" s="143">
        <f>AA3547/((N_6*AA$27*AA3554)*SQRT(AA3553*AA3549*AA3551))</f>
        <v>87.702498278120174</v>
      </c>
      <c r="AB3555" s="133"/>
      <c r="AC3555" s="146"/>
      <c r="AD3555" s="143">
        <f>AD3547/((N_6*AD$27*AD3554)*SQRT(AD3553*AD3549*AD3551))</f>
        <v>35.087430203136627</v>
      </c>
      <c r="AE3555" s="133"/>
      <c r="AF3555" s="146"/>
      <c r="AG3555" s="143">
        <f>AG3547/((N_6*AG$27*AG3554)*SQRT(AG3553*AG3549*AG3551))</f>
        <v>25.010400173000939</v>
      </c>
      <c r="AH3555" s="133"/>
      <c r="AI3555" s="146"/>
      <c r="AJ3555" s="143">
        <f>AJ3547/((N_6*AJ$27*AJ3554)*SQRT(AJ3553*AJ3549*AJ3551))</f>
        <v>21.802223316849343</v>
      </c>
      <c r="AK3555" s="133"/>
      <c r="AL3555" s="146"/>
      <c r="AM3555" s="143">
        <f>AM3547/((N_6*AM$27*AM3554)*SQRT(AM3553*AM3549*AM3551))</f>
        <v>23.029782594346155</v>
      </c>
      <c r="AN3555" s="133"/>
      <c r="AO3555" s="146"/>
      <c r="AP3555" s="143">
        <f>AP3547/((N_6*AP$27*AP3554)*SQRT(AP3553*AP3549*AP3551))</f>
        <v>16.781404094416416</v>
      </c>
      <c r="AQ3555" s="133"/>
      <c r="AR3555" s="146"/>
      <c r="AS3555" s="143">
        <f>AS3547/((N_6*AS$27*AS3554)*SQRT(AS3553*AS3549*AS3551))</f>
        <v>61.016177021461836</v>
      </c>
      <c r="AT3555" s="133"/>
      <c r="AU3555" s="146"/>
    </row>
    <row r="3556" spans="13:47" x14ac:dyDescent="0.25">
      <c r="M3556" s="27"/>
      <c r="N3556" s="27"/>
      <c r="O3556" s="2" t="s">
        <v>73</v>
      </c>
      <c r="P3556" s="85">
        <v>5</v>
      </c>
      <c r="Q3556" s="2"/>
      <c r="R3556" s="179">
        <f>R3547/((N_6*R$27*0.667)*SQRT(R3557*R3549*R3551))</f>
        <v>7.0733687431884649</v>
      </c>
      <c r="S3556" s="133"/>
      <c r="T3556" s="155"/>
      <c r="U3556" s="143">
        <f>U3547/((N_6*U$27*0.667)*SQRT(U3557*U3549*U3551))</f>
        <v>27.421427712276653</v>
      </c>
      <c r="V3556" s="133"/>
      <c r="W3556" s="155"/>
      <c r="X3556" s="143">
        <f>X3547/((N_6*X$27*0.667)*SQRT(X3557*X3549*X3551))</f>
        <v>263.85276369657231</v>
      </c>
      <c r="Y3556" s="133"/>
      <c r="Z3556" s="155"/>
      <c r="AA3556" s="143">
        <f>AA3547/((N_6*AA$27*0.667)*SQRT(AA3557*AA3549*AA3551))</f>
        <v>61.013979148438082</v>
      </c>
      <c r="AB3556" s="133"/>
      <c r="AC3556" s="155"/>
      <c r="AD3556" s="143">
        <f>AD3547/((N_6*AD$27*0.667)*SQRT(AD3557*AD3549*AD3551))</f>
        <v>28.697827116079011</v>
      </c>
      <c r="AE3556" s="133"/>
      <c r="AF3556" s="155"/>
      <c r="AG3556" s="143">
        <f>AG3547/((N_6*AG$27*0.667)*SQRT(AG3557*AG3549*AG3551))</f>
        <v>20.067410971070537</v>
      </c>
      <c r="AH3556" s="133"/>
      <c r="AI3556" s="155"/>
      <c r="AJ3556" s="143">
        <f>AJ3547/((N_6*AJ$27*0.667)*SQRT(AJ3557*AJ3549*AJ3551))</f>
        <v>16.473488370995046</v>
      </c>
      <c r="AK3556" s="133"/>
      <c r="AL3556" s="155"/>
      <c r="AM3556" s="143">
        <f>AM3547/((N_6*AM$27*0.667)*SQRT(AM3557*AM3549*AM3551))</f>
        <v>15.412945313297783</v>
      </c>
      <c r="AN3556" s="133"/>
      <c r="AO3556" s="155"/>
      <c r="AP3556" s="143">
        <f>AP3547/((N_6*AP$27*0.667)*SQRT(AP3557*AP3549*AP3551))</f>
        <v>14.182868103848188</v>
      </c>
      <c r="AQ3556" s="133"/>
      <c r="AR3556" s="155"/>
      <c r="AS3556" s="143">
        <f>AS3547/((N_6*AS$27*0.667)*SQRT(AS3557*AS3549*AS3551))</f>
        <v>20.485183811437381</v>
      </c>
      <c r="AT3556" s="133"/>
      <c r="AU3556" s="155"/>
    </row>
    <row r="3557" spans="13:47" ht="15.5" x14ac:dyDescent="0.4">
      <c r="M3557" s="27"/>
      <c r="N3557" s="27"/>
      <c r="O3557" s="2" t="s">
        <v>192</v>
      </c>
      <c r="P3557" s="85">
        <v>10</v>
      </c>
      <c r="Q3557" s="2"/>
      <c r="R3557" s="181">
        <f>F_GAMMA*R$29</f>
        <v>0.64002688015162901</v>
      </c>
      <c r="S3557" s="133"/>
      <c r="T3557" s="155"/>
      <c r="U3557" s="138">
        <f>F_GAMMA*U$29</f>
        <v>0.64016782916606918</v>
      </c>
      <c r="V3557" s="133"/>
      <c r="W3557" s="155"/>
      <c r="X3557" s="138">
        <f>F_GAMMA*X$29</f>
        <v>0.6307062319203669</v>
      </c>
      <c r="Y3557" s="133"/>
      <c r="Z3557" s="155"/>
      <c r="AA3557" s="138">
        <f>F_GAMMA*AA$29</f>
        <v>0.62217534213893466</v>
      </c>
      <c r="AB3557" s="133"/>
      <c r="AC3557" s="155"/>
      <c r="AD3557" s="138">
        <f>F_GAMMA*AD$29</f>
        <v>0.60557184969146072</v>
      </c>
      <c r="AE3557" s="133"/>
      <c r="AF3557" s="155"/>
      <c r="AG3557" s="138">
        <f>F_GAMMA*AG$29</f>
        <v>0.57289312142622573</v>
      </c>
      <c r="AH3557" s="133"/>
      <c r="AI3557" s="155"/>
      <c r="AJ3557" s="138">
        <f>F_GAMMA*AJ$29</f>
        <v>0.53590819116049981</v>
      </c>
      <c r="AK3557" s="133"/>
      <c r="AL3557" s="155"/>
      <c r="AM3557" s="138">
        <f>F_GAMMA*AM$29</f>
        <v>0.49048815926850342</v>
      </c>
      <c r="AN3557" s="133"/>
      <c r="AO3557" s="155"/>
      <c r="AP3557" s="138">
        <f>F_GAMMA*AP$29</f>
        <v>0.59352979016280105</v>
      </c>
      <c r="AQ3557" s="133"/>
      <c r="AR3557" s="155"/>
      <c r="AS3557" s="138">
        <f>F_GAMMA*AS$29</f>
        <v>0.39097221161068291</v>
      </c>
      <c r="AT3557" s="133"/>
      <c r="AU3557" s="155"/>
    </row>
    <row r="3558" spans="13:47" x14ac:dyDescent="0.25">
      <c r="M3558" s="27"/>
      <c r="N3558" s="27"/>
      <c r="O3558" s="2" t="s">
        <v>193</v>
      </c>
      <c r="P3558" s="134"/>
      <c r="Q3558" s="2"/>
      <c r="R3558" s="181">
        <f>IF(R3553&lt;R3557,R3555,R3556)</f>
        <v>7.2233810470811939</v>
      </c>
      <c r="S3558" s="133"/>
      <c r="T3558" s="155"/>
      <c r="U3558" s="138">
        <f>IF(U3553&lt;U3557,U3555,U3556)</f>
        <v>28.746185224826416</v>
      </c>
      <c r="V3558" s="133"/>
      <c r="W3558" s="155"/>
      <c r="X3558" s="138" t="e">
        <f>IF(X3553&lt;X3557,X3555,X3556)</f>
        <v>#NUM!</v>
      </c>
      <c r="Y3558" s="133"/>
      <c r="Z3558" s="155"/>
      <c r="AA3558" s="138">
        <f>IF(AA3553&lt;AA3557,AA3555,AA3556)</f>
        <v>61.013979148438082</v>
      </c>
      <c r="AB3558" s="133"/>
      <c r="AC3558" s="155"/>
      <c r="AD3558" s="138">
        <f>IF(AD3553&lt;AD3557,AD3555,AD3556)</f>
        <v>28.697827116079011</v>
      </c>
      <c r="AE3558" s="133"/>
      <c r="AF3558" s="155"/>
      <c r="AG3558" s="138">
        <f>IF(AG3553&lt;AG3557,AG3555,AG3556)</f>
        <v>20.067410971070537</v>
      </c>
      <c r="AH3558" s="133"/>
      <c r="AI3558" s="155"/>
      <c r="AJ3558" s="138">
        <f>IF(AJ3553&lt;AJ3557,AJ3555,AJ3556)</f>
        <v>16.473488370995046</v>
      </c>
      <c r="AK3558" s="133"/>
      <c r="AL3558" s="155"/>
      <c r="AM3558" s="138">
        <f>IF(AM3553&lt;AM3557,AM3555,AM3556)</f>
        <v>15.412945313297783</v>
      </c>
      <c r="AN3558" s="133"/>
      <c r="AO3558" s="155"/>
      <c r="AP3558" s="138">
        <f>IF(AP3553&lt;AP3557,AP3555,AP3556)</f>
        <v>14.182868103848188</v>
      </c>
      <c r="AQ3558" s="133"/>
      <c r="AR3558" s="155"/>
      <c r="AS3558" s="138">
        <f>IF(AS3553&lt;AS3557,AS3555,AS3556)</f>
        <v>20.485183811437381</v>
      </c>
      <c r="AT3558" s="133"/>
      <c r="AU3558" s="155"/>
    </row>
    <row r="3559" spans="13:47" ht="13" x14ac:dyDescent="0.3">
      <c r="M3559" s="28"/>
      <c r="N3559" s="28"/>
      <c r="O3559" s="9" t="s">
        <v>194</v>
      </c>
      <c r="P3559" s="1"/>
      <c r="Q3559" s="1"/>
      <c r="R3559" s="135"/>
      <c r="S3559" s="132">
        <f>IF(R3552&lt;=0,W_max,ABS(R$23-R3558))</f>
        <v>5.2233810470811939</v>
      </c>
      <c r="T3559" s="151">
        <f>R3547</f>
        <v>1649.8657193014431</v>
      </c>
      <c r="U3559" s="135"/>
      <c r="V3559" s="132">
        <f>IF(U3552&lt;=0,W_max,ABS(U$23-U3558))</f>
        <v>23.746185224826416</v>
      </c>
      <c r="W3559" s="151">
        <f>U3547</f>
        <v>5645.5001801505832</v>
      </c>
      <c r="X3559" s="135"/>
      <c r="Y3559" s="132">
        <f>IF(X3552&lt;=0,W_max,ABS(X$23-X3558))</f>
        <v>7174</v>
      </c>
      <c r="Z3559" s="151">
        <f>X3547</f>
        <v>13961.993767909109</v>
      </c>
      <c r="AA3559" s="135"/>
      <c r="AB3559" s="132">
        <f>IF(AA3552&lt;=0,W_max,ABS(AA$23-AA3558))</f>
        <v>7174</v>
      </c>
      <c r="AC3559" s="151">
        <f>AA3547</f>
        <v>27194.400125016531</v>
      </c>
      <c r="AD3559" s="135"/>
      <c r="AE3559" s="132">
        <f>IF(AD3552&lt;=0,W_max,ABS(AD$23-AD3558))</f>
        <v>7174</v>
      </c>
      <c r="AF3559" s="151">
        <f>AD3547</f>
        <v>44724.775821557436</v>
      </c>
      <c r="AG3559" s="135"/>
      <c r="AH3559" s="132">
        <f>IF(AG3552&lt;=0,W_max,ABS(AG$23-AG3558))</f>
        <v>7174</v>
      </c>
      <c r="AI3559" s="151">
        <f>AG3547</f>
        <v>62729.941278909791</v>
      </c>
      <c r="AJ3559" s="135"/>
      <c r="AK3559" s="132">
        <f>IF(AJ3552&lt;=0,W_max,ABS(AJ$23-AJ3558))</f>
        <v>7174</v>
      </c>
      <c r="AL3559" s="151">
        <f>AJ3547</f>
        <v>79650.379942204134</v>
      </c>
      <c r="AM3559" s="135"/>
      <c r="AN3559" s="132">
        <f>IF(AM3552&lt;=0,W_max,ABS(AM$23-AM3558))</f>
        <v>7174</v>
      </c>
      <c r="AO3559" s="151">
        <f>AM3547</f>
        <v>93396.334580287483</v>
      </c>
      <c r="AP3559" s="135"/>
      <c r="AQ3559" s="132">
        <f>IF(AP3552&lt;=0,W_max,ABS(AP$23-AP3558))</f>
        <v>7174</v>
      </c>
      <c r="AR3559" s="151">
        <f>AP3547</f>
        <v>104199.33418579004</v>
      </c>
      <c r="AS3559" s="135"/>
      <c r="AT3559" s="132">
        <f>IF(AS3552&lt;=0,W_max,ABS(AS$23-AS3558))</f>
        <v>7174</v>
      </c>
      <c r="AU3559" s="151">
        <f>AS3547</f>
        <v>116251.89889468718</v>
      </c>
    </row>
    <row r="3560" spans="13:47" ht="13" x14ac:dyDescent="0.25">
      <c r="M3560" s="12"/>
      <c r="N3560" s="12"/>
      <c r="O3560" s="2"/>
      <c r="P3560" s="85"/>
      <c r="Q3560" s="2"/>
      <c r="R3560" s="18"/>
      <c r="S3560" s="150"/>
      <c r="T3560" s="148"/>
      <c r="U3560" s="157"/>
      <c r="V3560" s="1"/>
      <c r="W3560" s="147"/>
      <c r="X3560" s="157"/>
      <c r="Y3560" s="1"/>
      <c r="Z3560" s="147"/>
      <c r="AA3560" s="157"/>
      <c r="AB3560" s="1"/>
      <c r="AC3560" s="147"/>
      <c r="AD3560" s="157"/>
      <c r="AE3560" s="1"/>
      <c r="AF3560" s="147"/>
      <c r="AG3560" s="157"/>
      <c r="AH3560" s="1"/>
      <c r="AI3560" s="147"/>
      <c r="AJ3560" s="157"/>
      <c r="AK3560" s="1"/>
      <c r="AL3560" s="147"/>
      <c r="AM3560" s="157"/>
      <c r="AN3560" s="1"/>
      <c r="AO3560" s="147"/>
      <c r="AP3560" s="157"/>
      <c r="AQ3560" s="1"/>
      <c r="AR3560" s="147"/>
      <c r="AS3560" s="157"/>
      <c r="AT3560" s="1"/>
      <c r="AU3560" s="147"/>
    </row>
    <row r="3561" spans="13:47" ht="14" x14ac:dyDescent="0.3">
      <c r="M3561" s="23"/>
      <c r="N3561" s="23"/>
      <c r="O3561" s="23" t="s">
        <v>238</v>
      </c>
      <c r="P3561" s="20"/>
      <c r="Q3561" s="20"/>
      <c r="R3561" s="181">
        <f>R3547*1.02</f>
        <v>1682.8630336874719</v>
      </c>
      <c r="S3561" s="128" t="s">
        <v>185</v>
      </c>
      <c r="T3561" s="149" t="s">
        <v>186</v>
      </c>
      <c r="U3561" s="143">
        <f>U3547*1.01</f>
        <v>5701.9551819520893</v>
      </c>
      <c r="V3561" s="128" t="s">
        <v>185</v>
      </c>
      <c r="W3561" s="153" t="s">
        <v>186</v>
      </c>
      <c r="X3561" s="143">
        <f>X3547*1.01</f>
        <v>14101.613705588201</v>
      </c>
      <c r="Y3561" s="128" t="s">
        <v>185</v>
      </c>
      <c r="Z3561" s="153" t="s">
        <v>186</v>
      </c>
      <c r="AA3561" s="143">
        <f>AA3547*1.01</f>
        <v>27466.344126266697</v>
      </c>
      <c r="AB3561" s="128" t="s">
        <v>185</v>
      </c>
      <c r="AC3561" s="153" t="s">
        <v>186</v>
      </c>
      <c r="AD3561" s="143">
        <f>AD3547*1.01</f>
        <v>45172.023579773013</v>
      </c>
      <c r="AE3561" s="128" t="s">
        <v>185</v>
      </c>
      <c r="AF3561" s="153" t="s">
        <v>186</v>
      </c>
      <c r="AG3561" s="143">
        <f>AG3547*1.01</f>
        <v>63357.240691698891</v>
      </c>
      <c r="AH3561" s="128" t="s">
        <v>185</v>
      </c>
      <c r="AI3561" s="153" t="s">
        <v>186</v>
      </c>
      <c r="AJ3561" s="143">
        <f>AJ3547*1.01</f>
        <v>80446.883741626181</v>
      </c>
      <c r="AK3561" s="128" t="s">
        <v>185</v>
      </c>
      <c r="AL3561" s="153" t="s">
        <v>186</v>
      </c>
      <c r="AM3561" s="143">
        <f>AM3547*1.01</f>
        <v>94330.297926090352</v>
      </c>
      <c r="AN3561" s="128" t="s">
        <v>185</v>
      </c>
      <c r="AO3561" s="153" t="s">
        <v>186</v>
      </c>
      <c r="AP3561" s="143">
        <f>AP3547*1.01</f>
        <v>105241.32752764794</v>
      </c>
      <c r="AQ3561" s="128" t="s">
        <v>185</v>
      </c>
      <c r="AR3561" s="153" t="s">
        <v>186</v>
      </c>
      <c r="AS3561" s="143">
        <f>AS3547*1.01</f>
        <v>117414.41788363406</v>
      </c>
      <c r="AT3561" s="128" t="s">
        <v>185</v>
      </c>
      <c r="AU3561" s="153" t="s">
        <v>186</v>
      </c>
    </row>
    <row r="3562" spans="13:47" ht="14" x14ac:dyDescent="0.3">
      <c r="M3562" s="12"/>
      <c r="N3562" s="12"/>
      <c r="O3562" s="20"/>
      <c r="P3562" s="20"/>
      <c r="Q3562" s="23"/>
      <c r="R3562" s="139"/>
      <c r="S3562" s="130" t="s">
        <v>228</v>
      </c>
      <c r="T3562" s="131" t="s">
        <v>187</v>
      </c>
      <c r="U3562" s="144"/>
      <c r="V3562" s="130" t="s">
        <v>228</v>
      </c>
      <c r="W3562" s="154" t="s">
        <v>187</v>
      </c>
      <c r="X3562" s="144"/>
      <c r="Y3562" s="130" t="s">
        <v>228</v>
      </c>
      <c r="Z3562" s="154" t="s">
        <v>187</v>
      </c>
      <c r="AA3562" s="144"/>
      <c r="AB3562" s="130" t="s">
        <v>228</v>
      </c>
      <c r="AC3562" s="154" t="s">
        <v>187</v>
      </c>
      <c r="AD3562" s="144"/>
      <c r="AE3562" s="130" t="s">
        <v>228</v>
      </c>
      <c r="AF3562" s="154" t="s">
        <v>187</v>
      </c>
      <c r="AG3562" s="144"/>
      <c r="AH3562" s="130" t="s">
        <v>228</v>
      </c>
      <c r="AI3562" s="154" t="s">
        <v>187</v>
      </c>
      <c r="AJ3562" s="144"/>
      <c r="AK3562" s="130" t="s">
        <v>228</v>
      </c>
      <c r="AL3562" s="154" t="s">
        <v>187</v>
      </c>
      <c r="AM3562" s="144"/>
      <c r="AN3562" s="130" t="s">
        <v>228</v>
      </c>
      <c r="AO3562" s="154" t="s">
        <v>187</v>
      </c>
      <c r="AP3562" s="144"/>
      <c r="AQ3562" s="130" t="s">
        <v>228</v>
      </c>
      <c r="AR3562" s="154" t="s">
        <v>187</v>
      </c>
      <c r="AS3562" s="144"/>
      <c r="AT3562" s="130" t="s">
        <v>228</v>
      </c>
      <c r="AU3562" s="154" t="s">
        <v>187</v>
      </c>
    </row>
    <row r="3563" spans="13:47" x14ac:dyDescent="0.25">
      <c r="M3563" s="20"/>
      <c r="N3563" s="20"/>
      <c r="O3563" s="7" t="s">
        <v>188</v>
      </c>
      <c r="P3563" s="7"/>
      <c r="Q3563" s="7"/>
      <c r="R3563" s="181">
        <f>P_1_minW-(R3561^2*R_up)+dpup_minQ</f>
        <v>99.39348205429107</v>
      </c>
      <c r="S3563" s="132"/>
      <c r="T3563" s="145"/>
      <c r="U3563" s="138">
        <f>P_1_minW-(U3561^2*R_up)+dpup_minQ</f>
        <v>87.558125111569964</v>
      </c>
      <c r="V3563" s="132"/>
      <c r="W3563" s="145"/>
      <c r="X3563" s="138">
        <f>P_1_minW-(X3561^2*R_up)+dpup_minQ</f>
        <v>21.226798724770418</v>
      </c>
      <c r="Y3563" s="132"/>
      <c r="Z3563" s="145"/>
      <c r="AA3563" s="138">
        <f>P_1_minW-(AA3561^2*R_up)+dpup_minQ</f>
        <v>-200.30316652687279</v>
      </c>
      <c r="AB3563" s="132"/>
      <c r="AC3563" s="145"/>
      <c r="AD3563" s="138">
        <f>P_1_minW-(AD3561^2*R_up)+dpup_minQ</f>
        <v>-713.15541189957116</v>
      </c>
      <c r="AE3563" s="132"/>
      <c r="AF3563" s="145"/>
      <c r="AG3563" s="138">
        <f>P_1_minW-(AG3561^2*R_up)+dpup_minQ</f>
        <v>-1500.1630310117944</v>
      </c>
      <c r="AH3563" s="132"/>
      <c r="AI3563" s="145"/>
      <c r="AJ3563" s="138">
        <f>P_1_minW-(AJ3561^2*R_up)+dpup_minQ</f>
        <v>-2480.144630813918</v>
      </c>
      <c r="AK3563" s="132"/>
      <c r="AL3563" s="145"/>
      <c r="AM3563" s="138">
        <f>P_1_minW-(AM3561^2*R_up)+dpup_minQ</f>
        <v>-3447.7418234134516</v>
      </c>
      <c r="AN3563" s="132"/>
      <c r="AO3563" s="145"/>
      <c r="AP3563" s="138">
        <f>P_1_minW-(AP3561^2*R_up)+dpup_minQ</f>
        <v>-4316.0584481101168</v>
      </c>
      <c r="AQ3563" s="132"/>
      <c r="AR3563" s="145"/>
      <c r="AS3563" s="138">
        <f>P_1_minW-(AS3561^2*R_up)+dpup_minQ</f>
        <v>-5396.8659221554472</v>
      </c>
      <c r="AT3563" s="132"/>
      <c r="AU3563" s="145"/>
    </row>
    <row r="3564" spans="13:47" x14ac:dyDescent="0.25">
      <c r="M3564" s="20"/>
      <c r="N3564" s="20"/>
      <c r="O3564" s="7" t="s">
        <v>189</v>
      </c>
      <c r="P3564" s="1"/>
      <c r="Q3564" s="7"/>
      <c r="R3564" s="181">
        <f>P_2_minW+(R3561^2*R_dn)-dpdn_minQ</f>
        <v>50</v>
      </c>
      <c r="S3564" s="132"/>
      <c r="T3564" s="146"/>
      <c r="U3564" s="138">
        <f>P_2_minW+(U3561^2*R_dn)-dpdn_minQ</f>
        <v>50</v>
      </c>
      <c r="V3564" s="132"/>
      <c r="W3564" s="146"/>
      <c r="X3564" s="138">
        <f>P_2_minW+(X3561^2*R_dn)-dpdn_minQ</f>
        <v>50</v>
      </c>
      <c r="Y3564" s="132"/>
      <c r="Z3564" s="146"/>
      <c r="AA3564" s="138">
        <f>P_2_minW+(AA3561^2*R_dn)-dpdn_minQ</f>
        <v>50</v>
      </c>
      <c r="AB3564" s="132"/>
      <c r="AC3564" s="146"/>
      <c r="AD3564" s="138">
        <f>P_2_minW+(AD3561^2*R_dn)-dpdn_minQ</f>
        <v>50</v>
      </c>
      <c r="AE3564" s="132"/>
      <c r="AF3564" s="146"/>
      <c r="AG3564" s="138">
        <f>P_2_minW+(AG3561^2*R_dn)-dpdn_minQ</f>
        <v>50</v>
      </c>
      <c r="AH3564" s="132"/>
      <c r="AI3564" s="146"/>
      <c r="AJ3564" s="138">
        <f>P_2_minW+(AJ3561^2*R_dn)-dpdn_minQ</f>
        <v>50</v>
      </c>
      <c r="AK3564" s="132"/>
      <c r="AL3564" s="146"/>
      <c r="AM3564" s="138">
        <f>P_2_minW+(AM3561^2*R_dn)-dpdn_minQ</f>
        <v>50</v>
      </c>
      <c r="AN3564" s="132"/>
      <c r="AO3564" s="146"/>
      <c r="AP3564" s="138">
        <f>P_2_minW+(AP3561^2*R_dn)-dpdn_minQ</f>
        <v>50</v>
      </c>
      <c r="AQ3564" s="132"/>
      <c r="AR3564" s="146"/>
      <c r="AS3564" s="138">
        <f>P_2_minW+(AS3561^2*R_dn)-dpdn_minQ</f>
        <v>50</v>
      </c>
      <c r="AT3564" s="132"/>
      <c r="AU3564" s="146"/>
    </row>
    <row r="3565" spans="13:47" x14ac:dyDescent="0.25">
      <c r="M3565" s="20"/>
      <c r="N3565" s="20"/>
      <c r="O3565" s="7" t="s">
        <v>234</v>
      </c>
      <c r="P3565" s="1"/>
      <c r="Q3565" s="7"/>
      <c r="R3565" s="179">
        <f>'Valve Sizing'!G$8*R3563/P_1_maxW</f>
        <v>0.47945646151112753</v>
      </c>
      <c r="S3565" s="132"/>
      <c r="T3565" s="146"/>
      <c r="U3565" s="143">
        <f>'Valve Sizing'!$G$8*U3563/P_1_maxW</f>
        <v>0.42236480677486776</v>
      </c>
      <c r="V3565" s="132"/>
      <c r="W3565" s="146"/>
      <c r="X3565" s="143">
        <f>'Valve Sizing'!$G$8*X3563/P_1_maxW</f>
        <v>0.10239429784971457</v>
      </c>
      <c r="Y3565" s="132"/>
      <c r="Z3565" s="146"/>
      <c r="AA3565" s="143">
        <f>'Valve Sizing'!$G$8*AA3563/P_1_maxW</f>
        <v>-0.96622681354488671</v>
      </c>
      <c r="AB3565" s="132"/>
      <c r="AC3565" s="146"/>
      <c r="AD3565" s="143">
        <f>'Valve Sizing'!$G$8*AD3563/P_1_maxW</f>
        <v>-3.4401347375083455</v>
      </c>
      <c r="AE3565" s="132"/>
      <c r="AF3565" s="146"/>
      <c r="AG3565" s="143">
        <f>'Valve Sizing'!$G$8*AG3563/P_1_maxW</f>
        <v>-7.2365193740354572</v>
      </c>
      <c r="AH3565" s="132"/>
      <c r="AI3565" s="146"/>
      <c r="AJ3565" s="143">
        <f>'Valve Sizing'!$G$8*AJ3563/P_1_maxW</f>
        <v>-11.963776136511012</v>
      </c>
      <c r="AK3565" s="132"/>
      <c r="AL3565" s="146"/>
      <c r="AM3565" s="143">
        <f>'Valve Sizing'!$G$8*AM3563/P_1_maxW</f>
        <v>-16.631292723549073</v>
      </c>
      <c r="AN3565" s="132"/>
      <c r="AO3565" s="146"/>
      <c r="AP3565" s="143">
        <f>'Valve Sizing'!$G$8*AP3563/P_1_maxW</f>
        <v>-20.819897526839341</v>
      </c>
      <c r="AQ3565" s="132"/>
      <c r="AR3565" s="146"/>
      <c r="AS3565" s="143">
        <f>'Valve Sizing'!$G$8*AS3563/P_1_maxW</f>
        <v>-26.033520355723642</v>
      </c>
      <c r="AT3565" s="132"/>
      <c r="AU3565" s="146"/>
    </row>
    <row r="3566" spans="13:47" x14ac:dyDescent="0.25">
      <c r="M3566" s="20"/>
      <c r="N3566" s="20"/>
      <c r="O3566" s="7" t="s">
        <v>190</v>
      </c>
      <c r="P3566" s="1"/>
      <c r="Q3566" s="7"/>
      <c r="R3566" s="181">
        <f>R3563-R3564</f>
        <v>49.39348205429107</v>
      </c>
      <c r="S3566" s="132"/>
      <c r="T3566" s="146"/>
      <c r="U3566" s="138">
        <f>U3563-U3564</f>
        <v>37.558125111569964</v>
      </c>
      <c r="V3566" s="132"/>
      <c r="W3566" s="146"/>
      <c r="X3566" s="138">
        <f>X3563-X3564</f>
        <v>-28.773201275229582</v>
      </c>
      <c r="Y3566" s="132"/>
      <c r="Z3566" s="146"/>
      <c r="AA3566" s="138">
        <f>AA3563-AA3564</f>
        <v>-250.30316652687279</v>
      </c>
      <c r="AB3566" s="132"/>
      <c r="AC3566" s="146"/>
      <c r="AD3566" s="138">
        <f>AD3563-AD3564</f>
        <v>-763.15541189957116</v>
      </c>
      <c r="AE3566" s="132"/>
      <c r="AF3566" s="146"/>
      <c r="AG3566" s="138">
        <f>AG3563-AG3564</f>
        <v>-1550.1630310117944</v>
      </c>
      <c r="AH3566" s="132"/>
      <c r="AI3566" s="146"/>
      <c r="AJ3566" s="138">
        <f>AJ3563-AJ3564</f>
        <v>-2530.144630813918</v>
      </c>
      <c r="AK3566" s="132"/>
      <c r="AL3566" s="146"/>
      <c r="AM3566" s="138">
        <f>AM3563-AM3564</f>
        <v>-3497.7418234134516</v>
      </c>
      <c r="AN3566" s="132"/>
      <c r="AO3566" s="146"/>
      <c r="AP3566" s="138">
        <f>AP3563-AP3564</f>
        <v>-4366.0584481101168</v>
      </c>
      <c r="AQ3566" s="132"/>
      <c r="AR3566" s="146"/>
      <c r="AS3566" s="138">
        <f>AS3563-AS3564</f>
        <v>-5446.8659221554472</v>
      </c>
      <c r="AT3566" s="132"/>
      <c r="AU3566" s="146"/>
    </row>
    <row r="3567" spans="13:47" ht="14.5" x14ac:dyDescent="0.35">
      <c r="M3567" s="27"/>
      <c r="N3567" s="27"/>
      <c r="O3567" s="2" t="s">
        <v>191</v>
      </c>
      <c r="P3567" s="10"/>
      <c r="Q3567" s="2"/>
      <c r="R3567" s="181">
        <f>R3566/R3563</f>
        <v>0.49694890483171905</v>
      </c>
      <c r="S3567" s="132"/>
      <c r="T3567" s="146"/>
      <c r="U3567" s="138">
        <f>U3566/U3563</f>
        <v>0.42895076914577535</v>
      </c>
      <c r="V3567" s="132"/>
      <c r="W3567" s="146"/>
      <c r="X3567" s="138">
        <f>X3566/X3563</f>
        <v>-1.3555129837667399</v>
      </c>
      <c r="Y3567" s="132"/>
      <c r="Z3567" s="146"/>
      <c r="AA3567" s="138">
        <f>AA3566/AA3563</f>
        <v>1.2496216154091202</v>
      </c>
      <c r="AB3567" s="132"/>
      <c r="AC3567" s="146"/>
      <c r="AD3567" s="138">
        <f>AD3566/AD3563</f>
        <v>1.0701109451961099</v>
      </c>
      <c r="AE3567" s="132"/>
      <c r="AF3567" s="146"/>
      <c r="AG3567" s="138">
        <f>AG3566/AG3563</f>
        <v>1.033329710815682</v>
      </c>
      <c r="AH3567" s="132"/>
      <c r="AI3567" s="146"/>
      <c r="AJ3567" s="138">
        <f>AJ3566/AJ3563</f>
        <v>1.0201601146073451</v>
      </c>
      <c r="AK3567" s="132"/>
      <c r="AL3567" s="146"/>
      <c r="AM3567" s="138">
        <f>AM3566/AM3563</f>
        <v>1.0145022459803841</v>
      </c>
      <c r="AN3567" s="132"/>
      <c r="AO3567" s="146"/>
      <c r="AP3567" s="138">
        <f>AP3566/AP3563</f>
        <v>1.0115846438599305</v>
      </c>
      <c r="AQ3567" s="132"/>
      <c r="AR3567" s="146"/>
      <c r="AS3567" s="138">
        <f>AS3566/AS3563</f>
        <v>1.0092646363132236</v>
      </c>
      <c r="AT3567" s="132"/>
      <c r="AU3567" s="146"/>
    </row>
    <row r="3568" spans="13:47" x14ac:dyDescent="0.25">
      <c r="M3568" s="27"/>
      <c r="N3568" s="27"/>
      <c r="O3568" s="2" t="s">
        <v>26</v>
      </c>
      <c r="P3568" s="7">
        <v>12</v>
      </c>
      <c r="Q3568" s="2"/>
      <c r="R3568" s="181">
        <f>1-R3567/(3*F_GAMMA*R$29)</f>
        <v>0.7411833157622032</v>
      </c>
      <c r="S3568" s="133"/>
      <c r="T3568" s="146"/>
      <c r="U3568" s="138">
        <f>1-U3567/(3*F_GAMMA*U$29)</f>
        <v>0.77664671168884003</v>
      </c>
      <c r="V3568" s="133"/>
      <c r="W3568" s="146"/>
      <c r="X3568" s="138">
        <f>1-X3567/(3*F_GAMMA*X$29)</f>
        <v>1.7163995508334047</v>
      </c>
      <c r="Y3568" s="133"/>
      <c r="Z3568" s="146"/>
      <c r="AA3568" s="138">
        <f>1-AA3567/(3*F_GAMMA*AA$29)</f>
        <v>0.3305094074642847</v>
      </c>
      <c r="AB3568" s="133"/>
      <c r="AC3568" s="146"/>
      <c r="AD3568" s="138">
        <f>1-AD3567/(3*F_GAMMA*AD$29)</f>
        <v>0.41096395319491141</v>
      </c>
      <c r="AE3568" s="133"/>
      <c r="AF3568" s="146"/>
      <c r="AG3568" s="138">
        <f>1-AG3567/(3*F_GAMMA*AG$29)</f>
        <v>0.39876527740276546</v>
      </c>
      <c r="AH3568" s="133"/>
      <c r="AI3568" s="146"/>
      <c r="AJ3568" s="138">
        <f>1-AJ3567/(3*F_GAMMA*AJ$29)</f>
        <v>0.36546338133141409</v>
      </c>
      <c r="AK3568" s="133"/>
      <c r="AL3568" s="146"/>
      <c r="AM3568" s="138">
        <f>1-AM3567/(3*F_GAMMA*AM$29)</f>
        <v>0.31054927843492586</v>
      </c>
      <c r="AN3568" s="133"/>
      <c r="AO3568" s="146"/>
      <c r="AP3568" s="138">
        <f>1-AP3567/(3*F_GAMMA*AP$29)</f>
        <v>0.43188212811668081</v>
      </c>
      <c r="AQ3568" s="133"/>
      <c r="AR3568" s="146"/>
      <c r="AS3568" s="138">
        <f>1-AS3567/(3*F_GAMMA*AS$29)</f>
        <v>0.13952568636070084</v>
      </c>
      <c r="AT3568" s="133"/>
      <c r="AU3568" s="146"/>
    </row>
    <row r="3569" spans="13:47" x14ac:dyDescent="0.25">
      <c r="M3569" s="27"/>
      <c r="N3569" s="27"/>
      <c r="O3569" s="2" t="s">
        <v>71</v>
      </c>
      <c r="P3569" s="85">
        <v>5</v>
      </c>
      <c r="Q3569" s="2"/>
      <c r="R3569" s="179">
        <f>R3561/((N_6*R$27*R3568)*SQRT(R3567*R3563*R3565))</f>
        <v>7.3715951562274347</v>
      </c>
      <c r="S3569" s="133"/>
      <c r="T3569" s="146"/>
      <c r="U3569" s="143">
        <f>U3561/((N_6*U$27*U3568)*SQRT(U3567*U3563*U3565))</f>
        <v>29.142190332497705</v>
      </c>
      <c r="V3569" s="133"/>
      <c r="W3569" s="146"/>
      <c r="X3569" s="143" t="e">
        <f>X3561/((N_6*X$27*X3568)*SQRT(X3567*X3563*X3565))</f>
        <v>#NUM!</v>
      </c>
      <c r="Y3569" s="133"/>
      <c r="Z3569" s="146"/>
      <c r="AA3569" s="143">
        <f>AA3561/((N_6*AA$27*AA3568)*SQRT(AA3567*AA3563*AA3565))</f>
        <v>85.155761176795238</v>
      </c>
      <c r="AB3569" s="133"/>
      <c r="AC3569" s="146"/>
      <c r="AD3569" s="143">
        <f>AD3561/((N_6*AD$27*AD3568)*SQRT(AD3567*AD3563*AD3565))</f>
        <v>34.592822136203878</v>
      </c>
      <c r="AE3569" s="133"/>
      <c r="AF3569" s="146"/>
      <c r="AG3569" s="143">
        <f>AG3561/((N_6*AG$27*AG3568)*SQRT(AG3567*AG3563*AG3565))</f>
        <v>24.712147528842131</v>
      </c>
      <c r="AH3569" s="133"/>
      <c r="AI3569" s="146"/>
      <c r="AJ3569" s="143">
        <f>AJ3561/((N_6*AJ$27*AJ3568)*SQRT(AJ3567*AJ3563*AJ3565))</f>
        <v>21.557740557347877</v>
      </c>
      <c r="AK3569" s="133"/>
      <c r="AL3569" s="146"/>
      <c r="AM3569" s="143">
        <f>AM3561/((N_6*AM$27*AM3568)*SQRT(AM3567*AM3563*AM3565))</f>
        <v>22.776801809284208</v>
      </c>
      <c r="AN3569" s="133"/>
      <c r="AO3569" s="146"/>
      <c r="AP3569" s="143">
        <f>AP3561/((N_6*AP$27*AP3568)*SQRT(AP3567*AP3563*AP3565))</f>
        <v>16.6042812623466</v>
      </c>
      <c r="AQ3569" s="133"/>
      <c r="AR3569" s="146"/>
      <c r="AS3569" s="143">
        <f>AS3561/((N_6*AS$27*AS3568)*SQRT(AS3567*AS3563*AS3565))</f>
        <v>60.325086194055885</v>
      </c>
      <c r="AT3569" s="133"/>
      <c r="AU3569" s="146"/>
    </row>
    <row r="3570" spans="13:47" x14ac:dyDescent="0.25">
      <c r="M3570" s="27"/>
      <c r="N3570" s="27"/>
      <c r="O3570" s="2" t="s">
        <v>73</v>
      </c>
      <c r="P3570" s="85">
        <v>5</v>
      </c>
      <c r="Q3570" s="2"/>
      <c r="R3570" s="179">
        <f>R3561/((N_6*R$27*0.667)*SQRT(R3571*R3563*R3565))</f>
        <v>7.218019294520797</v>
      </c>
      <c r="S3570" s="133"/>
      <c r="T3570" s="147"/>
      <c r="U3570" s="143">
        <f>U3561/((N_6*U$27*0.667)*SQRT(U3571*U3563*U3565))</f>
        <v>27.776445360403887</v>
      </c>
      <c r="V3570" s="133"/>
      <c r="W3570" s="155"/>
      <c r="X3570" s="143">
        <f>X3561/((N_6*X$27*0.667)*SQRT(X3571*X3563*X3565))</f>
        <v>286.10695669564353</v>
      </c>
      <c r="Y3570" s="133"/>
      <c r="Z3570" s="155"/>
      <c r="AA3570" s="143">
        <f>AA3561/((N_6*AA$27*0.667)*SQRT(AA3571*AA3563*AA3565))</f>
        <v>59.800510810584456</v>
      </c>
      <c r="AB3570" s="133"/>
      <c r="AC3570" s="155"/>
      <c r="AD3570" s="143">
        <f>AD3561/((N_6*AD$27*0.667)*SQRT(AD3571*AD3563*AD3565))</f>
        <v>28.333188702193599</v>
      </c>
      <c r="AE3570" s="133"/>
      <c r="AF3570" s="155"/>
      <c r="AG3570" s="143">
        <f>AG3561/((N_6*AG$27*0.667)*SQRT(AG3571*AG3563*AG3565))</f>
        <v>19.841963365233031</v>
      </c>
      <c r="AH3570" s="133"/>
      <c r="AI3570" s="155"/>
      <c r="AJ3570" s="143">
        <f>AJ3561/((N_6*AJ$27*0.667)*SQRT(AJ3571*AJ3563*AJ3565))</f>
        <v>16.297096888304523</v>
      </c>
      <c r="AK3570" s="133"/>
      <c r="AL3570" s="155"/>
      <c r="AM3570" s="143">
        <f>AM3561/((N_6*AM$27*0.667)*SQRT(AM3571*AM3563*AM3565))</f>
        <v>15.251398752824469</v>
      </c>
      <c r="AN3570" s="133"/>
      <c r="AO3570" s="155"/>
      <c r="AP3570" s="143">
        <f>AP3561/((N_6*AP$27*0.667)*SQRT(AP3571*AP3563*AP3565))</f>
        <v>14.035869875301623</v>
      </c>
      <c r="AQ3570" s="133"/>
      <c r="AR3570" s="155"/>
      <c r="AS3570" s="143">
        <f>AS3561/((N_6*AS$27*0.667)*SQRT(AS3571*AS3563*AS3565))</f>
        <v>20.274766789028352</v>
      </c>
      <c r="AT3570" s="133"/>
      <c r="AU3570" s="155"/>
    </row>
    <row r="3571" spans="13:47" ht="15.5" x14ac:dyDescent="0.4">
      <c r="M3571" s="27"/>
      <c r="N3571" s="27"/>
      <c r="O3571" s="2" t="s">
        <v>192</v>
      </c>
      <c r="P3571" s="85">
        <v>10</v>
      </c>
      <c r="Q3571" s="2"/>
      <c r="R3571" s="181">
        <f>F_GAMMA*R$29</f>
        <v>0.64002688015162901</v>
      </c>
      <c r="S3571" s="133"/>
      <c r="T3571" s="147"/>
      <c r="U3571" s="138">
        <f>F_GAMMA*U$29</f>
        <v>0.64016782916606918</v>
      </c>
      <c r="V3571" s="133"/>
      <c r="W3571" s="155"/>
      <c r="X3571" s="138">
        <f>F_GAMMA*X$29</f>
        <v>0.6307062319203669</v>
      </c>
      <c r="Y3571" s="133"/>
      <c r="Z3571" s="155"/>
      <c r="AA3571" s="138">
        <f>F_GAMMA*AA$29</f>
        <v>0.62217534213893466</v>
      </c>
      <c r="AB3571" s="133"/>
      <c r="AC3571" s="155"/>
      <c r="AD3571" s="138">
        <f>F_GAMMA*AD$29</f>
        <v>0.60557184969146072</v>
      </c>
      <c r="AE3571" s="133"/>
      <c r="AF3571" s="155"/>
      <c r="AG3571" s="138">
        <f>F_GAMMA*AG$29</f>
        <v>0.57289312142622573</v>
      </c>
      <c r="AH3571" s="133"/>
      <c r="AI3571" s="155"/>
      <c r="AJ3571" s="138">
        <f>F_GAMMA*AJ$29</f>
        <v>0.53590819116049981</v>
      </c>
      <c r="AK3571" s="133"/>
      <c r="AL3571" s="155"/>
      <c r="AM3571" s="138">
        <f>F_GAMMA*AM$29</f>
        <v>0.49048815926850342</v>
      </c>
      <c r="AN3571" s="133"/>
      <c r="AO3571" s="155"/>
      <c r="AP3571" s="138">
        <f>F_GAMMA*AP$29</f>
        <v>0.59352979016280105</v>
      </c>
      <c r="AQ3571" s="133"/>
      <c r="AR3571" s="155"/>
      <c r="AS3571" s="138">
        <f>F_GAMMA*AS$29</f>
        <v>0.39097221161068291</v>
      </c>
      <c r="AT3571" s="133"/>
      <c r="AU3571" s="155"/>
    </row>
    <row r="3572" spans="13:47" x14ac:dyDescent="0.25">
      <c r="M3572" s="27"/>
      <c r="N3572" s="27"/>
      <c r="O3572" s="2" t="s">
        <v>193</v>
      </c>
      <c r="P3572" s="134"/>
      <c r="Q3572" s="2"/>
      <c r="R3572" s="181">
        <f>IF(R3567&lt;R3571,R3569,R3570)</f>
        <v>7.3715951562274347</v>
      </c>
      <c r="S3572" s="133"/>
      <c r="T3572" s="147"/>
      <c r="U3572" s="138">
        <f>IF(U3567&lt;U3571,U3569,U3570)</f>
        <v>29.142190332497705</v>
      </c>
      <c r="V3572" s="133"/>
      <c r="W3572" s="155"/>
      <c r="X3572" s="138" t="e">
        <f>IF(X3567&lt;X3571,X3569,X3570)</f>
        <v>#NUM!</v>
      </c>
      <c r="Y3572" s="133"/>
      <c r="Z3572" s="155"/>
      <c r="AA3572" s="138">
        <f>IF(AA3567&lt;AA3571,AA3569,AA3570)</f>
        <v>59.800510810584456</v>
      </c>
      <c r="AB3572" s="133"/>
      <c r="AC3572" s="155"/>
      <c r="AD3572" s="138">
        <f>IF(AD3567&lt;AD3571,AD3569,AD3570)</f>
        <v>28.333188702193599</v>
      </c>
      <c r="AE3572" s="133"/>
      <c r="AF3572" s="155"/>
      <c r="AG3572" s="138">
        <f>IF(AG3567&lt;AG3571,AG3569,AG3570)</f>
        <v>19.841963365233031</v>
      </c>
      <c r="AH3572" s="133"/>
      <c r="AI3572" s="155"/>
      <c r="AJ3572" s="138">
        <f>IF(AJ3567&lt;AJ3571,AJ3569,AJ3570)</f>
        <v>16.297096888304523</v>
      </c>
      <c r="AK3572" s="133"/>
      <c r="AL3572" s="155"/>
      <c r="AM3572" s="138">
        <f>IF(AM3567&lt;AM3571,AM3569,AM3570)</f>
        <v>15.251398752824469</v>
      </c>
      <c r="AN3572" s="133"/>
      <c r="AO3572" s="155"/>
      <c r="AP3572" s="138">
        <f>IF(AP3567&lt;AP3571,AP3569,AP3570)</f>
        <v>14.035869875301623</v>
      </c>
      <c r="AQ3572" s="133"/>
      <c r="AR3572" s="155"/>
      <c r="AS3572" s="138">
        <f>IF(AS3567&lt;AS3571,AS3569,AS3570)</f>
        <v>20.274766789028352</v>
      </c>
      <c r="AT3572" s="133"/>
      <c r="AU3572" s="155"/>
    </row>
    <row r="3573" spans="13:47" ht="13" x14ac:dyDescent="0.3">
      <c r="M3573" s="28"/>
      <c r="N3573" s="28"/>
      <c r="O3573" s="9" t="s">
        <v>194</v>
      </c>
      <c r="P3573" s="1"/>
      <c r="Q3573" s="1"/>
      <c r="R3573" s="135"/>
      <c r="S3573" s="132">
        <f>IF(R3566&lt;=0,W_max,ABS(R$23-R3572))</f>
        <v>5.3715951562274347</v>
      </c>
      <c r="T3573" s="151">
        <f>R3561</f>
        <v>1682.8630336874719</v>
      </c>
      <c r="U3573" s="135"/>
      <c r="V3573" s="132">
        <f>IF(U3566&lt;=0,W_max,ABS(U$23-U3572))</f>
        <v>24.142190332497705</v>
      </c>
      <c r="W3573" s="151">
        <f>U3561</f>
        <v>5701.9551819520893</v>
      </c>
      <c r="X3573" s="135"/>
      <c r="Y3573" s="132">
        <f>IF(X3566&lt;=0,W_max,ABS(X$23-X3572))</f>
        <v>7174</v>
      </c>
      <c r="Z3573" s="151">
        <f>X3561</f>
        <v>14101.613705588201</v>
      </c>
      <c r="AA3573" s="135"/>
      <c r="AB3573" s="132">
        <f>IF(AA3566&lt;=0,W_max,ABS(AA$23-AA3572))</f>
        <v>7174</v>
      </c>
      <c r="AC3573" s="151">
        <f>AA3561</f>
        <v>27466.344126266697</v>
      </c>
      <c r="AD3573" s="135"/>
      <c r="AE3573" s="132">
        <f>IF(AD3566&lt;=0,W_max,ABS(AD$23-AD3572))</f>
        <v>7174</v>
      </c>
      <c r="AF3573" s="151">
        <f>AD3561</f>
        <v>45172.023579773013</v>
      </c>
      <c r="AG3573" s="135"/>
      <c r="AH3573" s="132">
        <f>IF(AG3566&lt;=0,W_max,ABS(AG$23-AG3572))</f>
        <v>7174</v>
      </c>
      <c r="AI3573" s="151">
        <f>AG3561</f>
        <v>63357.240691698891</v>
      </c>
      <c r="AJ3573" s="135"/>
      <c r="AK3573" s="132">
        <f>IF(AJ3566&lt;=0,W_max,ABS(AJ$23-AJ3572))</f>
        <v>7174</v>
      </c>
      <c r="AL3573" s="151">
        <f>AJ3561</f>
        <v>80446.883741626181</v>
      </c>
      <c r="AM3573" s="135"/>
      <c r="AN3573" s="132">
        <f>IF(AM3566&lt;=0,W_max,ABS(AM$23-AM3572))</f>
        <v>7174</v>
      </c>
      <c r="AO3573" s="151">
        <f>AM3561</f>
        <v>94330.297926090352</v>
      </c>
      <c r="AP3573" s="135"/>
      <c r="AQ3573" s="132">
        <f>IF(AP3566&lt;=0,W_max,ABS(AP$23-AP3572))</f>
        <v>7174</v>
      </c>
      <c r="AR3573" s="151">
        <f>AP3561</f>
        <v>105241.32752764794</v>
      </c>
      <c r="AS3573" s="135"/>
      <c r="AT3573" s="132">
        <f>IF(AS3566&lt;=0,W_max,ABS(AS$23-AS3572))</f>
        <v>7174</v>
      </c>
      <c r="AU3573" s="151">
        <f>AS3561</f>
        <v>117414.41788363406</v>
      </c>
    </row>
    <row r="3574" spans="13:47" ht="13" x14ac:dyDescent="0.25">
      <c r="M3574" s="12"/>
      <c r="N3574" s="12"/>
      <c r="O3574" s="12"/>
      <c r="P3574" s="12"/>
      <c r="Q3574" s="12"/>
      <c r="R3574" s="182"/>
      <c r="S3574" s="22"/>
      <c r="T3574" s="152"/>
      <c r="U3574" s="157"/>
      <c r="V3574" s="1"/>
      <c r="W3574" s="147"/>
      <c r="X3574" s="157"/>
      <c r="Y3574" s="1"/>
      <c r="Z3574" s="147"/>
      <c r="AA3574" s="157"/>
      <c r="AB3574" s="1"/>
      <c r="AC3574" s="147"/>
      <c r="AD3574" s="157"/>
      <c r="AE3574" s="1"/>
      <c r="AF3574" s="147"/>
      <c r="AG3574" s="157"/>
      <c r="AH3574" s="1"/>
      <c r="AI3574" s="147"/>
      <c r="AJ3574" s="157"/>
      <c r="AK3574" s="1"/>
      <c r="AL3574" s="147"/>
      <c r="AM3574" s="157"/>
      <c r="AN3574" s="1"/>
      <c r="AO3574" s="147"/>
      <c r="AP3574" s="157"/>
      <c r="AQ3574" s="1"/>
      <c r="AR3574" s="147"/>
      <c r="AS3574" s="157"/>
      <c r="AT3574" s="1"/>
      <c r="AU3574" s="147"/>
    </row>
    <row r="3575" spans="13:47" ht="14" x14ac:dyDescent="0.3">
      <c r="M3575" s="23"/>
      <c r="N3575" s="23"/>
      <c r="O3575" s="23" t="s">
        <v>238</v>
      </c>
      <c r="P3575" s="20"/>
      <c r="Q3575" s="20"/>
      <c r="R3575" s="18">
        <f>R3561*1.02</f>
        <v>1716.5202943612214</v>
      </c>
      <c r="S3575" s="128" t="s">
        <v>185</v>
      </c>
      <c r="T3575" s="153" t="s">
        <v>186</v>
      </c>
      <c r="U3575" s="143">
        <f>U3561*1.01</f>
        <v>5758.9747337716099</v>
      </c>
      <c r="V3575" s="128" t="s">
        <v>185</v>
      </c>
      <c r="W3575" s="153" t="s">
        <v>186</v>
      </c>
      <c r="X3575" s="143">
        <f>X3561*1.01</f>
        <v>14242.629842644083</v>
      </c>
      <c r="Y3575" s="128" t="s">
        <v>185</v>
      </c>
      <c r="Z3575" s="153" t="s">
        <v>186</v>
      </c>
      <c r="AA3575" s="143">
        <f>AA3561*1.01</f>
        <v>27741.007567529363</v>
      </c>
      <c r="AB3575" s="128" t="s">
        <v>185</v>
      </c>
      <c r="AC3575" s="153" t="s">
        <v>186</v>
      </c>
      <c r="AD3575" s="143">
        <f>AD3561*1.01</f>
        <v>45623.743815570742</v>
      </c>
      <c r="AE3575" s="128" t="s">
        <v>185</v>
      </c>
      <c r="AF3575" s="153" t="s">
        <v>186</v>
      </c>
      <c r="AG3575" s="143">
        <f>AG3561*1.01</f>
        <v>63990.813098615879</v>
      </c>
      <c r="AH3575" s="128" t="s">
        <v>185</v>
      </c>
      <c r="AI3575" s="153" t="s">
        <v>186</v>
      </c>
      <c r="AJ3575" s="143">
        <f>AJ3561*1.01</f>
        <v>81251.352579042446</v>
      </c>
      <c r="AK3575" s="128" t="s">
        <v>185</v>
      </c>
      <c r="AL3575" s="153" t="s">
        <v>186</v>
      </c>
      <c r="AM3575" s="143">
        <f>AM3561*1.01</f>
        <v>95273.600905351253</v>
      </c>
      <c r="AN3575" s="128" t="s">
        <v>185</v>
      </c>
      <c r="AO3575" s="153" t="s">
        <v>186</v>
      </c>
      <c r="AP3575" s="143">
        <f>AP3561*1.01</f>
        <v>106293.74080292443</v>
      </c>
      <c r="AQ3575" s="128" t="s">
        <v>185</v>
      </c>
      <c r="AR3575" s="153" t="s">
        <v>186</v>
      </c>
      <c r="AS3575" s="143">
        <f>AS3561*1.01</f>
        <v>118588.5620624704</v>
      </c>
      <c r="AT3575" s="128" t="s">
        <v>185</v>
      </c>
      <c r="AU3575" s="153" t="s">
        <v>186</v>
      </c>
    </row>
    <row r="3576" spans="13:47" ht="14" x14ac:dyDescent="0.3">
      <c r="M3576" s="12"/>
      <c r="N3576" s="12"/>
      <c r="O3576" s="20"/>
      <c r="P3576" s="20"/>
      <c r="Q3576" s="23"/>
      <c r="R3576" s="139"/>
      <c r="S3576" s="130" t="s">
        <v>228</v>
      </c>
      <c r="T3576" s="154" t="s">
        <v>187</v>
      </c>
      <c r="U3576" s="144"/>
      <c r="V3576" s="130" t="s">
        <v>228</v>
      </c>
      <c r="W3576" s="154" t="s">
        <v>187</v>
      </c>
      <c r="X3576" s="144"/>
      <c r="Y3576" s="130" t="s">
        <v>228</v>
      </c>
      <c r="Z3576" s="154" t="s">
        <v>187</v>
      </c>
      <c r="AA3576" s="144"/>
      <c r="AB3576" s="130" t="s">
        <v>228</v>
      </c>
      <c r="AC3576" s="154" t="s">
        <v>187</v>
      </c>
      <c r="AD3576" s="144"/>
      <c r="AE3576" s="130" t="s">
        <v>228</v>
      </c>
      <c r="AF3576" s="154" t="s">
        <v>187</v>
      </c>
      <c r="AG3576" s="144"/>
      <c r="AH3576" s="130" t="s">
        <v>228</v>
      </c>
      <c r="AI3576" s="154" t="s">
        <v>187</v>
      </c>
      <c r="AJ3576" s="144"/>
      <c r="AK3576" s="130" t="s">
        <v>228</v>
      </c>
      <c r="AL3576" s="154" t="s">
        <v>187</v>
      </c>
      <c r="AM3576" s="144"/>
      <c r="AN3576" s="130" t="s">
        <v>228</v>
      </c>
      <c r="AO3576" s="154" t="s">
        <v>187</v>
      </c>
      <c r="AP3576" s="144"/>
      <c r="AQ3576" s="130" t="s">
        <v>228</v>
      </c>
      <c r="AR3576" s="154" t="s">
        <v>187</v>
      </c>
      <c r="AS3576" s="144"/>
      <c r="AT3576" s="130" t="s">
        <v>228</v>
      </c>
      <c r="AU3576" s="154" t="s">
        <v>187</v>
      </c>
    </row>
    <row r="3577" spans="13:47" x14ac:dyDescent="0.25">
      <c r="M3577" s="20"/>
      <c r="N3577" s="20"/>
      <c r="O3577" s="7" t="s">
        <v>188</v>
      </c>
      <c r="P3577" s="7"/>
      <c r="Q3577" s="7"/>
      <c r="R3577" s="181">
        <f>P_1_minW-(R3575^2*R_up)+dpup_minQ</f>
        <v>99.347858145120668</v>
      </c>
      <c r="S3577" s="132"/>
      <c r="T3577" s="145"/>
      <c r="U3577" s="138">
        <f>P_1_minW-(U3575^2*R_up)+dpup_minQ</f>
        <v>87.29753541290431</v>
      </c>
      <c r="V3577" s="132"/>
      <c r="W3577" s="145"/>
      <c r="X3577" s="138">
        <f>P_1_minW-(X3575^2*R_up)+dpup_minQ</f>
        <v>19.632949365730099</v>
      </c>
      <c r="Y3577" s="132"/>
      <c r="Z3577" s="145"/>
      <c r="AA3577" s="138">
        <f>P_1_minW-(AA3575^2*R_up)+dpup_minQ</f>
        <v>-206.34976818747114</v>
      </c>
      <c r="AB3577" s="132"/>
      <c r="AC3577" s="145"/>
      <c r="AD3577" s="138">
        <f>P_1_minW-(AD3575^2*R_up)+dpup_minQ</f>
        <v>-729.51034369216086</v>
      </c>
      <c r="AE3577" s="132"/>
      <c r="AF3577" s="145"/>
      <c r="AG3577" s="138">
        <f>P_1_minW-(AG3575^2*R_up)+dpup_minQ</f>
        <v>-1532.3368159485397</v>
      </c>
      <c r="AH3577" s="132"/>
      <c r="AI3577" s="145"/>
      <c r="AJ3577" s="138">
        <f>P_1_minW-(AJ3575^2*R_up)+dpup_minQ</f>
        <v>-2532.016045906686</v>
      </c>
      <c r="AK3577" s="132"/>
      <c r="AL3577" s="145"/>
      <c r="AM3577" s="138">
        <f>P_1_minW-(AM3575^2*R_up)+dpup_minQ</f>
        <v>-3519.0619420774697</v>
      </c>
      <c r="AN3577" s="132"/>
      <c r="AO3577" s="145"/>
      <c r="AP3577" s="138">
        <f>P_1_minW-(AP3575^2*R_up)+dpup_minQ</f>
        <v>-4404.8317309305385</v>
      </c>
      <c r="AQ3577" s="132"/>
      <c r="AR3577" s="145"/>
      <c r="AS3577" s="138">
        <f>P_1_minW-(AS3575^2*R_up)+dpup_minQ</f>
        <v>-5507.36343520418</v>
      </c>
      <c r="AT3577" s="132"/>
      <c r="AU3577" s="145"/>
    </row>
    <row r="3578" spans="13:47" x14ac:dyDescent="0.25">
      <c r="M3578" s="20"/>
      <c r="N3578" s="20"/>
      <c r="O3578" s="7" t="s">
        <v>189</v>
      </c>
      <c r="P3578" s="1"/>
      <c r="Q3578" s="7"/>
      <c r="R3578" s="181">
        <f>P_2_minW+(R3575^2*R_dn)-dpdn_minQ</f>
        <v>50</v>
      </c>
      <c r="S3578" s="132"/>
      <c r="T3578" s="146"/>
      <c r="U3578" s="138">
        <f>P_2_minW+(U3575^2*R_dn)-dpdn_minQ</f>
        <v>50</v>
      </c>
      <c r="V3578" s="132"/>
      <c r="W3578" s="146"/>
      <c r="X3578" s="138">
        <f>P_2_minW+(X3575^2*R_dn)-dpdn_minQ</f>
        <v>50</v>
      </c>
      <c r="Y3578" s="132"/>
      <c r="Z3578" s="146"/>
      <c r="AA3578" s="138">
        <f>P_2_minW+(AA3575^2*R_dn)-dpdn_minQ</f>
        <v>50</v>
      </c>
      <c r="AB3578" s="132"/>
      <c r="AC3578" s="146"/>
      <c r="AD3578" s="138">
        <f>P_2_minW+(AD3575^2*R_dn)-dpdn_minQ</f>
        <v>50</v>
      </c>
      <c r="AE3578" s="132"/>
      <c r="AF3578" s="146"/>
      <c r="AG3578" s="138">
        <f>P_2_minW+(AG3575^2*R_dn)-dpdn_minQ</f>
        <v>50</v>
      </c>
      <c r="AH3578" s="132"/>
      <c r="AI3578" s="146"/>
      <c r="AJ3578" s="138">
        <f>P_2_minW+(AJ3575^2*R_dn)-dpdn_minQ</f>
        <v>50</v>
      </c>
      <c r="AK3578" s="132"/>
      <c r="AL3578" s="146"/>
      <c r="AM3578" s="138">
        <f>P_2_minW+(AM3575^2*R_dn)-dpdn_minQ</f>
        <v>50</v>
      </c>
      <c r="AN3578" s="132"/>
      <c r="AO3578" s="146"/>
      <c r="AP3578" s="138">
        <f>P_2_minW+(AP3575^2*R_dn)-dpdn_minQ</f>
        <v>50</v>
      </c>
      <c r="AQ3578" s="132"/>
      <c r="AR3578" s="146"/>
      <c r="AS3578" s="138">
        <f>P_2_minW+(AS3575^2*R_dn)-dpdn_minQ</f>
        <v>50</v>
      </c>
      <c r="AT3578" s="132"/>
      <c r="AU3578" s="146"/>
    </row>
    <row r="3579" spans="13:47" x14ac:dyDescent="0.25">
      <c r="M3579" s="20"/>
      <c r="N3579" s="20"/>
      <c r="O3579" s="7" t="s">
        <v>234</v>
      </c>
      <c r="P3579" s="1"/>
      <c r="Q3579" s="7"/>
      <c r="R3579" s="179">
        <f>'Valve Sizing'!G$8*R3577/P_1_maxW</f>
        <v>0.47923637989612589</v>
      </c>
      <c r="S3579" s="132"/>
      <c r="T3579" s="146"/>
      <c r="U3579" s="143">
        <f>'Valve Sizing'!$G$8*U3577/P_1_maxW</f>
        <v>0.42110776846364084</v>
      </c>
      <c r="V3579" s="132"/>
      <c r="W3579" s="146"/>
      <c r="X3579" s="143">
        <f>'Valve Sizing'!$G$8*X3577/P_1_maxW</f>
        <v>9.4705852309092134E-2</v>
      </c>
      <c r="Y3579" s="132"/>
      <c r="Z3579" s="146"/>
      <c r="AA3579" s="143">
        <f>'Valve Sizing'!$G$8*AA3577/P_1_maxW</f>
        <v>-0.99539454342454081</v>
      </c>
      <c r="AB3579" s="132"/>
      <c r="AC3579" s="146"/>
      <c r="AD3579" s="143">
        <f>'Valve Sizing'!$G$8*AD3577/P_1_maxW</f>
        <v>-3.5190280166596652</v>
      </c>
      <c r="AE3579" s="132"/>
      <c r="AF3579" s="146"/>
      <c r="AG3579" s="143">
        <f>'Valve Sizing'!$G$8*AG3577/P_1_maxW</f>
        <v>-7.3917199843809716</v>
      </c>
      <c r="AH3579" s="132"/>
      <c r="AI3579" s="146"/>
      <c r="AJ3579" s="143">
        <f>'Valve Sizing'!$G$8*AJ3577/P_1_maxW</f>
        <v>-12.213994607782285</v>
      </c>
      <c r="AK3579" s="132"/>
      <c r="AL3579" s="146"/>
      <c r="AM3579" s="143">
        <f>'Valve Sizing'!$G$8*AM3577/P_1_maxW</f>
        <v>-16.975328278219806</v>
      </c>
      <c r="AN3579" s="132"/>
      <c r="AO3579" s="146"/>
      <c r="AP3579" s="143">
        <f>'Valve Sizing'!$G$8*AP3577/P_1_maxW</f>
        <v>-21.248124038056211</v>
      </c>
      <c r="AQ3579" s="132"/>
      <c r="AR3579" s="146"/>
      <c r="AS3579" s="143">
        <f>'Valve Sizing'!$G$8*AS3577/P_1_maxW</f>
        <v>-26.56654068580109</v>
      </c>
      <c r="AT3579" s="132"/>
      <c r="AU3579" s="146"/>
    </row>
    <row r="3580" spans="13:47" x14ac:dyDescent="0.25">
      <c r="M3580" s="20"/>
      <c r="N3580" s="20"/>
      <c r="O3580" s="7" t="s">
        <v>190</v>
      </c>
      <c r="P3580" s="1"/>
      <c r="Q3580" s="7"/>
      <c r="R3580" s="181">
        <f>R3577-R3578</f>
        <v>49.347858145120668</v>
      </c>
      <c r="S3580" s="132"/>
      <c r="T3580" s="146"/>
      <c r="U3580" s="138">
        <f>U3577-U3578</f>
        <v>37.29753541290431</v>
      </c>
      <c r="V3580" s="132"/>
      <c r="W3580" s="146"/>
      <c r="X3580" s="138">
        <f>X3577-X3578</f>
        <v>-30.367050634269901</v>
      </c>
      <c r="Y3580" s="132"/>
      <c r="Z3580" s="146"/>
      <c r="AA3580" s="138">
        <f>AA3577-AA3578</f>
        <v>-256.34976818747111</v>
      </c>
      <c r="AB3580" s="132"/>
      <c r="AC3580" s="146"/>
      <c r="AD3580" s="138">
        <f>AD3577-AD3578</f>
        <v>-779.51034369216086</v>
      </c>
      <c r="AE3580" s="132"/>
      <c r="AF3580" s="146"/>
      <c r="AG3580" s="138">
        <f>AG3577-AG3578</f>
        <v>-1582.3368159485397</v>
      </c>
      <c r="AH3580" s="132"/>
      <c r="AI3580" s="146"/>
      <c r="AJ3580" s="138">
        <f>AJ3577-AJ3578</f>
        <v>-2582.016045906686</v>
      </c>
      <c r="AK3580" s="132"/>
      <c r="AL3580" s="146"/>
      <c r="AM3580" s="138">
        <f>AM3577-AM3578</f>
        <v>-3569.0619420774697</v>
      </c>
      <c r="AN3580" s="132"/>
      <c r="AO3580" s="146"/>
      <c r="AP3580" s="138">
        <f>AP3577-AP3578</f>
        <v>-4454.8317309305385</v>
      </c>
      <c r="AQ3580" s="132"/>
      <c r="AR3580" s="146"/>
      <c r="AS3580" s="138">
        <f>AS3577-AS3578</f>
        <v>-5557.36343520418</v>
      </c>
      <c r="AT3580" s="132"/>
      <c r="AU3580" s="146"/>
    </row>
    <row r="3581" spans="13:47" ht="14.5" x14ac:dyDescent="0.35">
      <c r="M3581" s="27"/>
      <c r="N3581" s="27"/>
      <c r="O3581" s="2" t="s">
        <v>191</v>
      </c>
      <c r="P3581" s="10"/>
      <c r="Q3581" s="2"/>
      <c r="R3581" s="181">
        <f>R3580/R3577</f>
        <v>0.49671788669099071</v>
      </c>
      <c r="S3581" s="132"/>
      <c r="T3581" s="146"/>
      <c r="U3581" s="138">
        <f>U3580/U3577</f>
        <v>0.42724614430971658</v>
      </c>
      <c r="V3581" s="132"/>
      <c r="W3581" s="146"/>
      <c r="X3581" s="138">
        <f>X3580/X3577</f>
        <v>-1.5467391102875505</v>
      </c>
      <c r="Y3581" s="132"/>
      <c r="Z3581" s="146"/>
      <c r="AA3581" s="138">
        <f>AA3580/AA3577</f>
        <v>1.2423070325650882</v>
      </c>
      <c r="AB3581" s="132"/>
      <c r="AC3581" s="146"/>
      <c r="AD3581" s="138">
        <f>AD3580/AD3577</f>
        <v>1.0685391241294024</v>
      </c>
      <c r="AE3581" s="132"/>
      <c r="AF3581" s="146"/>
      <c r="AG3581" s="138">
        <f>AG3580/AG3577</f>
        <v>1.0326299019116429</v>
      </c>
      <c r="AH3581" s="132"/>
      <c r="AI3581" s="146"/>
      <c r="AJ3581" s="138">
        <f>AJ3580/AJ3577</f>
        <v>1.019747110244752</v>
      </c>
      <c r="AK3581" s="132"/>
      <c r="AL3581" s="146"/>
      <c r="AM3581" s="138">
        <f>AM3580/AM3577</f>
        <v>1.0142083318858783</v>
      </c>
      <c r="AN3581" s="132"/>
      <c r="AO3581" s="146"/>
      <c r="AP3581" s="138">
        <f>AP3580/AP3577</f>
        <v>1.0113511714077299</v>
      </c>
      <c r="AQ3581" s="132"/>
      <c r="AR3581" s="146"/>
      <c r="AS3581" s="138">
        <f>AS3580/AS3577</f>
        <v>1.0090787543964121</v>
      </c>
      <c r="AT3581" s="132"/>
      <c r="AU3581" s="146"/>
    </row>
    <row r="3582" spans="13:47" x14ac:dyDescent="0.25">
      <c r="M3582" s="27"/>
      <c r="N3582" s="27"/>
      <c r="O3582" s="2" t="s">
        <v>26</v>
      </c>
      <c r="P3582" s="7">
        <v>12</v>
      </c>
      <c r="Q3582" s="2"/>
      <c r="R3582" s="181">
        <f>1-R3581/(3*F_GAMMA*R$29)</f>
        <v>0.74130363265716115</v>
      </c>
      <c r="S3582" s="133"/>
      <c r="T3582" s="146"/>
      <c r="U3582" s="138">
        <f>1-U3581/(3*F_GAMMA*U$29)</f>
        <v>0.77753430436813242</v>
      </c>
      <c r="V3582" s="133"/>
      <c r="W3582" s="146"/>
      <c r="X3582" s="138">
        <f>1-X3581/(3*F_GAMMA*X$29)</f>
        <v>1.8174641018836177</v>
      </c>
      <c r="Y3582" s="133"/>
      <c r="Z3582" s="146"/>
      <c r="AA3582" s="138">
        <f>1-AA3581/(3*F_GAMMA*AA$29)</f>
        <v>0.33442822924362736</v>
      </c>
      <c r="AB3582" s="133"/>
      <c r="AC3582" s="146"/>
      <c r="AD3582" s="138">
        <f>1-AD3581/(3*F_GAMMA*AD$29)</f>
        <v>0.41182915251987373</v>
      </c>
      <c r="AE3582" s="133"/>
      <c r="AF3582" s="146"/>
      <c r="AG3582" s="138">
        <f>1-AG3581/(3*F_GAMMA*AG$29)</f>
        <v>0.39917245568079918</v>
      </c>
      <c r="AH3582" s="133"/>
      <c r="AI3582" s="146"/>
      <c r="AJ3582" s="138">
        <f>1-AJ3581/(3*F_GAMMA*AJ$29)</f>
        <v>0.36572026884150466</v>
      </c>
      <c r="AK3582" s="133"/>
      <c r="AL3582" s="146"/>
      <c r="AM3582" s="138">
        <f>1-AM3581/(3*F_GAMMA*AM$29)</f>
        <v>0.31074902100359736</v>
      </c>
      <c r="AN3582" s="133"/>
      <c r="AO3582" s="146"/>
      <c r="AP3582" s="138">
        <f>1-AP3581/(3*F_GAMMA*AP$29)</f>
        <v>0.43201324900062532</v>
      </c>
      <c r="AQ3582" s="133"/>
      <c r="AR3582" s="146"/>
      <c r="AS3582" s="138">
        <f>1-AS3581/(3*F_GAMMA*AS$29)</f>
        <v>0.13968416473102263</v>
      </c>
      <c r="AT3582" s="133"/>
      <c r="AU3582" s="146"/>
    </row>
    <row r="3583" spans="13:47" x14ac:dyDescent="0.25">
      <c r="M3583" s="27"/>
      <c r="N3583" s="27"/>
      <c r="O3583" s="2" t="s">
        <v>71</v>
      </c>
      <c r="P3583" s="85">
        <v>5</v>
      </c>
      <c r="Q3583" s="2"/>
      <c r="R3583" s="179">
        <f>R3575/((N_6*R$27*R3582)*SQRT(R3581*R3577*R3579))</f>
        <v>7.523007944681332</v>
      </c>
      <c r="S3583" s="133"/>
      <c r="T3583" s="146"/>
      <c r="U3583" s="143">
        <f>U3575/((N_6*U$27*U3582)*SQRT(U3581*U3577*U3579))</f>
        <v>29.546540139310476</v>
      </c>
      <c r="V3583" s="133"/>
      <c r="W3583" s="146"/>
      <c r="X3583" s="143" t="e">
        <f>X3575/((N_6*X$27*X3582)*SQRT(X3581*X3577*X3579))</f>
        <v>#NUM!</v>
      </c>
      <c r="Y3583" s="133"/>
      <c r="Z3583" s="146"/>
      <c r="AA3583" s="143">
        <f>AA3575/((N_6*AA$27*AA3582)*SQRT(AA3581*AA3577*AA3579))</f>
        <v>82.751319504996744</v>
      </c>
      <c r="AB3583" s="133"/>
      <c r="AC3583" s="146"/>
      <c r="AD3583" s="143">
        <f>AD3575/((N_6*AD$27*AD3582)*SQRT(AD3581*AD3577*AD3579))</f>
        <v>34.108759817491674</v>
      </c>
      <c r="AE3583" s="133"/>
      <c r="AF3583" s="146"/>
      <c r="AG3583" s="143">
        <f>AG3575/((N_6*AG$27*AG3582)*SQRT(AG3581*AG3577*AG3579))</f>
        <v>24.418555179374067</v>
      </c>
      <c r="AH3583" s="133"/>
      <c r="AI3583" s="146"/>
      <c r="AJ3583" s="143">
        <f>AJ3575/((N_6*AJ$27*AJ3582)*SQRT(AJ3581*AJ3577*AJ3579))</f>
        <v>21.316599950301381</v>
      </c>
      <c r="AK3583" s="133"/>
      <c r="AL3583" s="146"/>
      <c r="AM3583" s="143">
        <f>AM3575/((N_6*AM$27*AM3582)*SQRT(AM3581*AM3577*AM3579))</f>
        <v>22.527117136634974</v>
      </c>
      <c r="AN3583" s="133"/>
      <c r="AO3583" s="146"/>
      <c r="AP3583" s="143">
        <f>AP3575/((N_6*AP$27*AP3582)*SQRT(AP3581*AP3577*AP3579))</f>
        <v>16.429250054082406</v>
      </c>
      <c r="AQ3583" s="133"/>
      <c r="AR3583" s="146"/>
      <c r="AS3583" s="143">
        <f>AS3575/((N_6*AS$27*AS3582)*SQRT(AS3581*AS3577*AS3579))</f>
        <v>59.643649046992678</v>
      </c>
      <c r="AT3583" s="133"/>
      <c r="AU3583" s="146"/>
    </row>
    <row r="3584" spans="13:47" x14ac:dyDescent="0.25">
      <c r="M3584" s="27"/>
      <c r="N3584" s="27"/>
      <c r="O3584" s="2" t="s">
        <v>73</v>
      </c>
      <c r="P3584" s="85">
        <v>5</v>
      </c>
      <c r="Q3584" s="2"/>
      <c r="R3584" s="179">
        <f>R3575/((N_6*R$27*0.667)*SQRT(R3585*R3577*R3579))</f>
        <v>7.3657607351021612</v>
      </c>
      <c r="S3584" s="133"/>
      <c r="T3584" s="155"/>
      <c r="U3584" s="143">
        <f>U3575/((N_6*U$27*0.667)*SQRT(U3585*U3577*U3579))</f>
        <v>28.137953736985331</v>
      </c>
      <c r="V3584" s="133"/>
      <c r="W3584" s="155"/>
      <c r="X3584" s="143">
        <f>X3575/((N_6*X$27*0.667)*SQRT(X3585*X3577*X3579))</f>
        <v>312.42713548058288</v>
      </c>
      <c r="Y3584" s="133"/>
      <c r="Z3584" s="155"/>
      <c r="AA3584" s="143">
        <f>AA3575/((N_6*AA$27*0.667)*SQRT(AA3585*AA3577*AA3579))</f>
        <v>58.628677406830001</v>
      </c>
      <c r="AB3584" s="133"/>
      <c r="AC3584" s="155"/>
      <c r="AD3584" s="143">
        <f>AD3575/((N_6*AD$27*0.667)*SQRT(AD3585*AD3577*AD3579))</f>
        <v>27.974965268684876</v>
      </c>
      <c r="AE3584" s="133"/>
      <c r="AF3584" s="155"/>
      <c r="AG3584" s="143">
        <f>AG3575/((N_6*AG$27*0.667)*SQRT(AG3585*AG3577*AG3579))</f>
        <v>19.619604116628317</v>
      </c>
      <c r="AH3584" s="133"/>
      <c r="AI3584" s="155"/>
      <c r="AJ3584" s="143">
        <f>AJ3575/((N_6*AJ$27*0.667)*SQRT(AJ3585*AJ3577*AJ3579))</f>
        <v>16.122863433204717</v>
      </c>
      <c r="AK3584" s="133"/>
      <c r="AL3584" s="155"/>
      <c r="AM3584" s="143">
        <f>AM3575/((N_6*AM$27*0.667)*SQRT(AM3585*AM3577*AM3579))</f>
        <v>15.091724747468573</v>
      </c>
      <c r="AN3584" s="133"/>
      <c r="AO3584" s="155"/>
      <c r="AP3584" s="143">
        <f>AP3575/((N_6*AP$27*0.667)*SQRT(AP3585*AP3577*AP3579))</f>
        <v>13.89052632130011</v>
      </c>
      <c r="AQ3584" s="133"/>
      <c r="AR3584" s="155"/>
      <c r="AS3584" s="143">
        <f>AS3575/((N_6*AS$27*0.667)*SQRT(AS3585*AS3577*AS3579))</f>
        <v>20.066661886985582</v>
      </c>
      <c r="AT3584" s="133"/>
      <c r="AU3584" s="155"/>
    </row>
    <row r="3585" spans="13:47" ht="15.5" x14ac:dyDescent="0.4">
      <c r="M3585" s="27"/>
      <c r="N3585" s="27"/>
      <c r="O3585" s="2" t="s">
        <v>192</v>
      </c>
      <c r="P3585" s="85">
        <v>10</v>
      </c>
      <c r="Q3585" s="2"/>
      <c r="R3585" s="181">
        <f>F_GAMMA*R$29</f>
        <v>0.64002688015162901</v>
      </c>
      <c r="S3585" s="133"/>
      <c r="T3585" s="155"/>
      <c r="U3585" s="138">
        <f>F_GAMMA*U$29</f>
        <v>0.64016782916606918</v>
      </c>
      <c r="V3585" s="133"/>
      <c r="W3585" s="155"/>
      <c r="X3585" s="138">
        <f>F_GAMMA*X$29</f>
        <v>0.6307062319203669</v>
      </c>
      <c r="Y3585" s="133"/>
      <c r="Z3585" s="155"/>
      <c r="AA3585" s="138">
        <f>F_GAMMA*AA$29</f>
        <v>0.62217534213893466</v>
      </c>
      <c r="AB3585" s="133"/>
      <c r="AC3585" s="155"/>
      <c r="AD3585" s="138">
        <f>F_GAMMA*AD$29</f>
        <v>0.60557184969146072</v>
      </c>
      <c r="AE3585" s="133"/>
      <c r="AF3585" s="155"/>
      <c r="AG3585" s="138">
        <f>F_GAMMA*AG$29</f>
        <v>0.57289312142622573</v>
      </c>
      <c r="AH3585" s="133"/>
      <c r="AI3585" s="155"/>
      <c r="AJ3585" s="138">
        <f>F_GAMMA*AJ$29</f>
        <v>0.53590819116049981</v>
      </c>
      <c r="AK3585" s="133"/>
      <c r="AL3585" s="155"/>
      <c r="AM3585" s="138">
        <f>F_GAMMA*AM$29</f>
        <v>0.49048815926850342</v>
      </c>
      <c r="AN3585" s="133"/>
      <c r="AO3585" s="155"/>
      <c r="AP3585" s="138">
        <f>F_GAMMA*AP$29</f>
        <v>0.59352979016280105</v>
      </c>
      <c r="AQ3585" s="133"/>
      <c r="AR3585" s="155"/>
      <c r="AS3585" s="138">
        <f>F_GAMMA*AS$29</f>
        <v>0.39097221161068291</v>
      </c>
      <c r="AT3585" s="133"/>
      <c r="AU3585" s="155"/>
    </row>
    <row r="3586" spans="13:47" x14ac:dyDescent="0.25">
      <c r="M3586" s="27"/>
      <c r="N3586" s="27"/>
      <c r="O3586" s="2" t="s">
        <v>193</v>
      </c>
      <c r="P3586" s="134"/>
      <c r="Q3586" s="2"/>
      <c r="R3586" s="181">
        <f>IF(R3581&lt;R3585,R3583,R3584)</f>
        <v>7.523007944681332</v>
      </c>
      <c r="S3586" s="133"/>
      <c r="T3586" s="155"/>
      <c r="U3586" s="138">
        <f>IF(U3581&lt;U3585,U3583,U3584)</f>
        <v>29.546540139310476</v>
      </c>
      <c r="V3586" s="133"/>
      <c r="W3586" s="155"/>
      <c r="X3586" s="138" t="e">
        <f>IF(X3581&lt;X3585,X3583,X3584)</f>
        <v>#NUM!</v>
      </c>
      <c r="Y3586" s="133"/>
      <c r="Z3586" s="155"/>
      <c r="AA3586" s="138">
        <f>IF(AA3581&lt;AA3585,AA3583,AA3584)</f>
        <v>58.628677406830001</v>
      </c>
      <c r="AB3586" s="133"/>
      <c r="AC3586" s="155"/>
      <c r="AD3586" s="138">
        <f>IF(AD3581&lt;AD3585,AD3583,AD3584)</f>
        <v>27.974965268684876</v>
      </c>
      <c r="AE3586" s="133"/>
      <c r="AF3586" s="155"/>
      <c r="AG3586" s="138">
        <f>IF(AG3581&lt;AG3585,AG3583,AG3584)</f>
        <v>19.619604116628317</v>
      </c>
      <c r="AH3586" s="133"/>
      <c r="AI3586" s="155"/>
      <c r="AJ3586" s="138">
        <f>IF(AJ3581&lt;AJ3585,AJ3583,AJ3584)</f>
        <v>16.122863433204717</v>
      </c>
      <c r="AK3586" s="133"/>
      <c r="AL3586" s="155"/>
      <c r="AM3586" s="138">
        <f>IF(AM3581&lt;AM3585,AM3583,AM3584)</f>
        <v>15.091724747468573</v>
      </c>
      <c r="AN3586" s="133"/>
      <c r="AO3586" s="155"/>
      <c r="AP3586" s="138">
        <f>IF(AP3581&lt;AP3585,AP3583,AP3584)</f>
        <v>13.89052632130011</v>
      </c>
      <c r="AQ3586" s="133"/>
      <c r="AR3586" s="155"/>
      <c r="AS3586" s="138">
        <f>IF(AS3581&lt;AS3585,AS3583,AS3584)</f>
        <v>20.066661886985582</v>
      </c>
      <c r="AT3586" s="133"/>
      <c r="AU3586" s="155"/>
    </row>
    <row r="3587" spans="13:47" ht="13" x14ac:dyDescent="0.3">
      <c r="M3587" s="28"/>
      <c r="N3587" s="28"/>
      <c r="O3587" s="9" t="s">
        <v>194</v>
      </c>
      <c r="P3587" s="1"/>
      <c r="Q3587" s="1"/>
      <c r="R3587" s="135"/>
      <c r="S3587" s="132">
        <f>IF(R3580&lt;=0,W_max,ABS(R$23-R3586))</f>
        <v>5.523007944681332</v>
      </c>
      <c r="T3587" s="151">
        <f>R3575</f>
        <v>1716.5202943612214</v>
      </c>
      <c r="U3587" s="135"/>
      <c r="V3587" s="132">
        <f>IF(U3580&lt;=0,W_max,ABS(U$23-U3586))</f>
        <v>24.546540139310476</v>
      </c>
      <c r="W3587" s="151">
        <f>U3575</f>
        <v>5758.9747337716099</v>
      </c>
      <c r="X3587" s="135"/>
      <c r="Y3587" s="132">
        <f>IF(X3580&lt;=0,W_max,ABS(X$23-X3586))</f>
        <v>7174</v>
      </c>
      <c r="Z3587" s="151">
        <f>X3575</f>
        <v>14242.629842644083</v>
      </c>
      <c r="AA3587" s="135"/>
      <c r="AB3587" s="132">
        <f>IF(AA3580&lt;=0,W_max,ABS(AA$23-AA3586))</f>
        <v>7174</v>
      </c>
      <c r="AC3587" s="151">
        <f>AA3575</f>
        <v>27741.007567529363</v>
      </c>
      <c r="AD3587" s="135"/>
      <c r="AE3587" s="132">
        <f>IF(AD3580&lt;=0,W_max,ABS(AD$23-AD3586))</f>
        <v>7174</v>
      </c>
      <c r="AF3587" s="151">
        <f>AD3575</f>
        <v>45623.743815570742</v>
      </c>
      <c r="AG3587" s="135"/>
      <c r="AH3587" s="132">
        <f>IF(AG3580&lt;=0,W_max,ABS(AG$23-AG3586))</f>
        <v>7174</v>
      </c>
      <c r="AI3587" s="151">
        <f>AG3575</f>
        <v>63990.813098615879</v>
      </c>
      <c r="AJ3587" s="135"/>
      <c r="AK3587" s="132">
        <f>IF(AJ3580&lt;=0,W_max,ABS(AJ$23-AJ3586))</f>
        <v>7174</v>
      </c>
      <c r="AL3587" s="151">
        <f>AJ3575</f>
        <v>81251.352579042446</v>
      </c>
      <c r="AM3587" s="135"/>
      <c r="AN3587" s="132">
        <f>IF(AM3580&lt;=0,W_max,ABS(AM$23-AM3586))</f>
        <v>7174</v>
      </c>
      <c r="AO3587" s="151">
        <f>AM3575</f>
        <v>95273.600905351253</v>
      </c>
      <c r="AP3587" s="135"/>
      <c r="AQ3587" s="132">
        <f>IF(AP3580&lt;=0,W_max,ABS(AP$23-AP3586))</f>
        <v>7174</v>
      </c>
      <c r="AR3587" s="151">
        <f>AP3575</f>
        <v>106293.74080292443</v>
      </c>
      <c r="AS3587" s="135"/>
      <c r="AT3587" s="132">
        <f>IF(AS3580&lt;=0,W_max,ABS(AS$23-AS3586))</f>
        <v>7174</v>
      </c>
      <c r="AU3587" s="151">
        <f>AS3575</f>
        <v>118588.5620624704</v>
      </c>
    </row>
    <row r="3588" spans="13:47" ht="13" x14ac:dyDescent="0.25">
      <c r="M3588" s="12"/>
      <c r="N3588" s="12"/>
      <c r="O3588" s="2"/>
      <c r="P3588" s="85"/>
      <c r="Q3588" s="2"/>
      <c r="R3588" s="18"/>
      <c r="S3588" s="150"/>
      <c r="T3588" s="152"/>
      <c r="U3588" s="157"/>
      <c r="V3588" s="1"/>
      <c r="W3588" s="147"/>
      <c r="X3588" s="157"/>
      <c r="Y3588" s="1"/>
      <c r="Z3588" s="147"/>
      <c r="AA3588" s="157"/>
      <c r="AB3588" s="1"/>
      <c r="AC3588" s="147"/>
      <c r="AD3588" s="157"/>
      <c r="AE3588" s="1"/>
      <c r="AF3588" s="147"/>
      <c r="AG3588" s="157"/>
      <c r="AH3588" s="1"/>
      <c r="AI3588" s="147"/>
      <c r="AJ3588" s="157"/>
      <c r="AK3588" s="1"/>
      <c r="AL3588" s="147"/>
      <c r="AM3588" s="157"/>
      <c r="AN3588" s="1"/>
      <c r="AO3588" s="147"/>
      <c r="AP3588" s="157"/>
      <c r="AQ3588" s="1"/>
      <c r="AR3588" s="147"/>
      <c r="AS3588" s="157"/>
      <c r="AT3588" s="1"/>
      <c r="AU3588" s="147"/>
    </row>
    <row r="3589" spans="13:47" ht="14" x14ac:dyDescent="0.3">
      <c r="M3589" s="23"/>
      <c r="N3589" s="23"/>
      <c r="O3589" s="23" t="s">
        <v>238</v>
      </c>
      <c r="P3589" s="20"/>
      <c r="Q3589" s="20"/>
      <c r="R3589" s="181">
        <f>R3575*1.02</f>
        <v>1750.8507002484459</v>
      </c>
      <c r="S3589" s="128" t="s">
        <v>185</v>
      </c>
      <c r="T3589" s="153" t="s">
        <v>186</v>
      </c>
      <c r="U3589" s="143">
        <f>U3575*1.01</f>
        <v>5816.5644811093262</v>
      </c>
      <c r="V3589" s="128" t="s">
        <v>185</v>
      </c>
      <c r="W3589" s="153" t="s">
        <v>186</v>
      </c>
      <c r="X3589" s="143">
        <f>X3575*1.01</f>
        <v>14385.056141070523</v>
      </c>
      <c r="Y3589" s="128" t="s">
        <v>185</v>
      </c>
      <c r="Z3589" s="153" t="s">
        <v>186</v>
      </c>
      <c r="AA3589" s="143">
        <f>AA3575*1.01</f>
        <v>28018.417643204655</v>
      </c>
      <c r="AB3589" s="128" t="s">
        <v>185</v>
      </c>
      <c r="AC3589" s="153" t="s">
        <v>186</v>
      </c>
      <c r="AD3589" s="143">
        <f>AD3575*1.01</f>
        <v>46079.981253726452</v>
      </c>
      <c r="AE3589" s="128" t="s">
        <v>185</v>
      </c>
      <c r="AF3589" s="153" t="s">
        <v>186</v>
      </c>
      <c r="AG3589" s="143">
        <f>AG3575*1.01</f>
        <v>64630.721229602037</v>
      </c>
      <c r="AH3589" s="128" t="s">
        <v>185</v>
      </c>
      <c r="AI3589" s="153" t="s">
        <v>186</v>
      </c>
      <c r="AJ3589" s="143">
        <f>AJ3575*1.01</f>
        <v>82063.866104832865</v>
      </c>
      <c r="AK3589" s="128" t="s">
        <v>185</v>
      </c>
      <c r="AL3589" s="153" t="s">
        <v>186</v>
      </c>
      <c r="AM3589" s="143">
        <f>AM3575*1.01</f>
        <v>96226.336914404761</v>
      </c>
      <c r="AN3589" s="128" t="s">
        <v>185</v>
      </c>
      <c r="AO3589" s="153" t="s">
        <v>186</v>
      </c>
      <c r="AP3589" s="143">
        <f>AP3575*1.01</f>
        <v>107356.67821095367</v>
      </c>
      <c r="AQ3589" s="128" t="s">
        <v>185</v>
      </c>
      <c r="AR3589" s="153" t="s">
        <v>186</v>
      </c>
      <c r="AS3589" s="143">
        <f>AS3575*1.01</f>
        <v>119774.4476830951</v>
      </c>
      <c r="AT3589" s="128" t="s">
        <v>185</v>
      </c>
      <c r="AU3589" s="153" t="s">
        <v>186</v>
      </c>
    </row>
    <row r="3590" spans="13:47" ht="14" x14ac:dyDescent="0.3">
      <c r="M3590" s="12"/>
      <c r="N3590" s="12"/>
      <c r="O3590" s="20"/>
      <c r="P3590" s="20"/>
      <c r="Q3590" s="23"/>
      <c r="R3590" s="139"/>
      <c r="S3590" s="130" t="s">
        <v>228</v>
      </c>
      <c r="T3590" s="154" t="s">
        <v>187</v>
      </c>
      <c r="U3590" s="144"/>
      <c r="V3590" s="130" t="s">
        <v>228</v>
      </c>
      <c r="W3590" s="154" t="s">
        <v>187</v>
      </c>
      <c r="X3590" s="144"/>
      <c r="Y3590" s="130" t="s">
        <v>228</v>
      </c>
      <c r="Z3590" s="154" t="s">
        <v>187</v>
      </c>
      <c r="AA3590" s="144"/>
      <c r="AB3590" s="130" t="s">
        <v>228</v>
      </c>
      <c r="AC3590" s="154" t="s">
        <v>187</v>
      </c>
      <c r="AD3590" s="144"/>
      <c r="AE3590" s="130" t="s">
        <v>228</v>
      </c>
      <c r="AF3590" s="154" t="s">
        <v>187</v>
      </c>
      <c r="AG3590" s="144"/>
      <c r="AH3590" s="130" t="s">
        <v>228</v>
      </c>
      <c r="AI3590" s="154" t="s">
        <v>187</v>
      </c>
      <c r="AJ3590" s="144"/>
      <c r="AK3590" s="130" t="s">
        <v>228</v>
      </c>
      <c r="AL3590" s="154" t="s">
        <v>187</v>
      </c>
      <c r="AM3590" s="144"/>
      <c r="AN3590" s="130" t="s">
        <v>228</v>
      </c>
      <c r="AO3590" s="154" t="s">
        <v>187</v>
      </c>
      <c r="AP3590" s="144"/>
      <c r="AQ3590" s="130" t="s">
        <v>228</v>
      </c>
      <c r="AR3590" s="154" t="s">
        <v>187</v>
      </c>
      <c r="AS3590" s="144"/>
      <c r="AT3590" s="130" t="s">
        <v>228</v>
      </c>
      <c r="AU3590" s="154" t="s">
        <v>187</v>
      </c>
    </row>
    <row r="3591" spans="13:47" x14ac:dyDescent="0.25">
      <c r="M3591" s="20"/>
      <c r="N3591" s="20"/>
      <c r="O3591" s="7" t="s">
        <v>188</v>
      </c>
      <c r="P3591" s="7"/>
      <c r="Q3591" s="7"/>
      <c r="R3591" s="181">
        <f>P_1_minW-(R3589^2*R_up)+dpup_minQ</f>
        <v>99.300391030019782</v>
      </c>
      <c r="S3591" s="132"/>
      <c r="T3591" s="145"/>
      <c r="U3591" s="138">
        <f>P_1_minW-(U3589^2*R_up)+dpup_minQ</f>
        <v>87.031707861295473</v>
      </c>
      <c r="V3591" s="132"/>
      <c r="W3591" s="145"/>
      <c r="X3591" s="138">
        <f>P_1_minW-(X3589^2*R_up)+dpup_minQ</f>
        <v>18.007063634573072</v>
      </c>
      <c r="Y3591" s="132"/>
      <c r="Z3591" s="145"/>
      <c r="AA3591" s="138">
        <f>P_1_minW-(AA3589^2*R_up)+dpup_minQ</f>
        <v>-212.51790654144745</v>
      </c>
      <c r="AB3591" s="132"/>
      <c r="AC3591" s="145"/>
      <c r="AD3591" s="138">
        <f>P_1_minW-(AD3589^2*R_up)+dpup_minQ</f>
        <v>-746.19400961378153</v>
      </c>
      <c r="AE3591" s="132"/>
      <c r="AF3591" s="145"/>
      <c r="AG3591" s="138">
        <f>P_1_minW-(AG3589^2*R_up)+dpup_minQ</f>
        <v>-1565.1572939625132</v>
      </c>
      <c r="AH3591" s="132"/>
      <c r="AI3591" s="145"/>
      <c r="AJ3591" s="138">
        <f>P_1_minW-(AJ3589^2*R_up)+dpup_minQ</f>
        <v>-2584.9300764428185</v>
      </c>
      <c r="AK3591" s="132"/>
      <c r="AL3591" s="145"/>
      <c r="AM3591" s="138">
        <f>P_1_minW-(AM3589^2*R_up)+dpup_minQ</f>
        <v>-3591.8155951266349</v>
      </c>
      <c r="AN3591" s="132"/>
      <c r="AO3591" s="145"/>
      <c r="AP3591" s="138">
        <f>P_1_minW-(AP3589^2*R_up)+dpup_minQ</f>
        <v>-4495.3893567356508</v>
      </c>
      <c r="AQ3591" s="132"/>
      <c r="AR3591" s="145"/>
      <c r="AS3591" s="138">
        <f>P_1_minW-(AS3589^2*R_up)+dpup_minQ</f>
        <v>-5620.0819482651923</v>
      </c>
      <c r="AT3591" s="132"/>
      <c r="AU3591" s="145"/>
    </row>
    <row r="3592" spans="13:47" x14ac:dyDescent="0.25">
      <c r="M3592" s="20"/>
      <c r="N3592" s="20"/>
      <c r="O3592" s="7" t="s">
        <v>189</v>
      </c>
      <c r="P3592" s="1"/>
      <c r="Q3592" s="7"/>
      <c r="R3592" s="181">
        <f>P_2_minW+(R3589^2*R_dn)-dpdn_minQ</f>
        <v>50</v>
      </c>
      <c r="S3592" s="132"/>
      <c r="T3592" s="146"/>
      <c r="U3592" s="138">
        <f>P_2_minW+(U3589^2*R_dn)-dpdn_minQ</f>
        <v>50</v>
      </c>
      <c r="V3592" s="132"/>
      <c r="W3592" s="146"/>
      <c r="X3592" s="138">
        <f>P_2_minW+(X3589^2*R_dn)-dpdn_minQ</f>
        <v>50</v>
      </c>
      <c r="Y3592" s="132"/>
      <c r="Z3592" s="146"/>
      <c r="AA3592" s="138">
        <f>P_2_minW+(AA3589^2*R_dn)-dpdn_minQ</f>
        <v>50</v>
      </c>
      <c r="AB3592" s="132"/>
      <c r="AC3592" s="146"/>
      <c r="AD3592" s="138">
        <f>P_2_minW+(AD3589^2*R_dn)-dpdn_minQ</f>
        <v>50</v>
      </c>
      <c r="AE3592" s="132"/>
      <c r="AF3592" s="146"/>
      <c r="AG3592" s="138">
        <f>P_2_minW+(AG3589^2*R_dn)-dpdn_minQ</f>
        <v>50</v>
      </c>
      <c r="AH3592" s="132"/>
      <c r="AI3592" s="146"/>
      <c r="AJ3592" s="138">
        <f>P_2_minW+(AJ3589^2*R_dn)-dpdn_minQ</f>
        <v>50</v>
      </c>
      <c r="AK3592" s="132"/>
      <c r="AL3592" s="146"/>
      <c r="AM3592" s="138">
        <f>P_2_minW+(AM3589^2*R_dn)-dpdn_minQ</f>
        <v>50</v>
      </c>
      <c r="AN3592" s="132"/>
      <c r="AO3592" s="146"/>
      <c r="AP3592" s="138">
        <f>P_2_minW+(AP3589^2*R_dn)-dpdn_minQ</f>
        <v>50</v>
      </c>
      <c r="AQ3592" s="132"/>
      <c r="AR3592" s="146"/>
      <c r="AS3592" s="138">
        <f>P_2_minW+(AS3589^2*R_dn)-dpdn_minQ</f>
        <v>50</v>
      </c>
      <c r="AT3592" s="132"/>
      <c r="AU3592" s="146"/>
    </row>
    <row r="3593" spans="13:47" x14ac:dyDescent="0.25">
      <c r="M3593" s="20"/>
      <c r="N3593" s="20"/>
      <c r="O3593" s="7" t="s">
        <v>234</v>
      </c>
      <c r="P3593" s="1"/>
      <c r="Q3593" s="7"/>
      <c r="R3593" s="179">
        <f>'Valve Sizing'!G$8*R3591/P_1_maxW</f>
        <v>0.47900740698387817</v>
      </c>
      <c r="S3593" s="132"/>
      <c r="T3593" s="146"/>
      <c r="U3593" s="143">
        <f>'Valve Sizing'!$G$8*U3591/P_1_maxW</f>
        <v>0.41982546368235835</v>
      </c>
      <c r="V3593" s="132"/>
      <c r="W3593" s="146"/>
      <c r="X3593" s="143">
        <f>'Valve Sizing'!$G$8*X3591/P_1_maxW</f>
        <v>8.6862869013103194E-2</v>
      </c>
      <c r="Y3593" s="132"/>
      <c r="Z3593" s="146"/>
      <c r="AA3593" s="143">
        <f>'Valve Sizing'!$G$8*AA3591/P_1_maxW</f>
        <v>-1.0251485446747755</v>
      </c>
      <c r="AB3593" s="132"/>
      <c r="AC3593" s="146"/>
      <c r="AD3593" s="143">
        <f>'Valve Sizing'!$G$8*AD3591/P_1_maxW</f>
        <v>-3.5995070507219267</v>
      </c>
      <c r="AE3593" s="132"/>
      <c r="AF3593" s="146"/>
      <c r="AG3593" s="143">
        <f>'Valve Sizing'!$G$8*AG3591/P_1_maxW</f>
        <v>-7.5500401269944293</v>
      </c>
      <c r="AH3593" s="132"/>
      <c r="AI3593" s="146"/>
      <c r="AJ3593" s="143">
        <f>'Valve Sizing'!$G$8*AJ3591/P_1_maxW</f>
        <v>-12.46924247032611</v>
      </c>
      <c r="AK3593" s="132"/>
      <c r="AL3593" s="146"/>
      <c r="AM3593" s="143">
        <f>'Valve Sizing'!$G$8*AM3591/P_1_maxW</f>
        <v>-17.326278947539425</v>
      </c>
      <c r="AN3593" s="132"/>
      <c r="AO3593" s="146"/>
      <c r="AP3593" s="143">
        <f>'Valve Sizing'!$G$8*AP3591/P_1_maxW</f>
        <v>-21.684957902148547</v>
      </c>
      <c r="AQ3593" s="132"/>
      <c r="AR3593" s="146"/>
      <c r="AS3593" s="143">
        <f>'Valve Sizing'!$G$8*AS3591/P_1_maxW</f>
        <v>-27.11027472451309</v>
      </c>
      <c r="AT3593" s="132"/>
      <c r="AU3593" s="146"/>
    </row>
    <row r="3594" spans="13:47" x14ac:dyDescent="0.25">
      <c r="M3594" s="20"/>
      <c r="N3594" s="20"/>
      <c r="O3594" s="7" t="s">
        <v>190</v>
      </c>
      <c r="P3594" s="1"/>
      <c r="Q3594" s="7"/>
      <c r="R3594" s="181">
        <f>R3591-R3592</f>
        <v>49.300391030019782</v>
      </c>
      <c r="S3594" s="132"/>
      <c r="T3594" s="146"/>
      <c r="U3594" s="138">
        <f>U3591-U3592</f>
        <v>37.031707861295473</v>
      </c>
      <c r="V3594" s="132"/>
      <c r="W3594" s="146"/>
      <c r="X3594" s="138">
        <f>X3591-X3592</f>
        <v>-31.992936365426928</v>
      </c>
      <c r="Y3594" s="132"/>
      <c r="Z3594" s="146"/>
      <c r="AA3594" s="138">
        <f>AA3591-AA3592</f>
        <v>-262.51790654144747</v>
      </c>
      <c r="AB3594" s="132"/>
      <c r="AC3594" s="146"/>
      <c r="AD3594" s="138">
        <f>AD3591-AD3592</f>
        <v>-796.19400961378153</v>
      </c>
      <c r="AE3594" s="132"/>
      <c r="AF3594" s="146"/>
      <c r="AG3594" s="138">
        <f>AG3591-AG3592</f>
        <v>-1615.1572939625132</v>
      </c>
      <c r="AH3594" s="132"/>
      <c r="AI3594" s="146"/>
      <c r="AJ3594" s="138">
        <f>AJ3591-AJ3592</f>
        <v>-2634.9300764428185</v>
      </c>
      <c r="AK3594" s="132"/>
      <c r="AL3594" s="146"/>
      <c r="AM3594" s="138">
        <f>AM3591-AM3592</f>
        <v>-3641.8155951266349</v>
      </c>
      <c r="AN3594" s="132"/>
      <c r="AO3594" s="146"/>
      <c r="AP3594" s="138">
        <f>AP3591-AP3592</f>
        <v>-4545.3893567356508</v>
      </c>
      <c r="AQ3594" s="132"/>
      <c r="AR3594" s="146"/>
      <c r="AS3594" s="138">
        <f>AS3591-AS3592</f>
        <v>-5670.0819482651923</v>
      </c>
      <c r="AT3594" s="132"/>
      <c r="AU3594" s="146"/>
    </row>
    <row r="3595" spans="13:47" ht="14.5" x14ac:dyDescent="0.35">
      <c r="M3595" s="27"/>
      <c r="N3595" s="27"/>
      <c r="O3595" s="2" t="s">
        <v>191</v>
      </c>
      <c r="P3595" s="10"/>
      <c r="Q3595" s="2"/>
      <c r="R3595" s="181">
        <f>R3594/R3591</f>
        <v>0.49647731009554275</v>
      </c>
      <c r="S3595" s="132"/>
      <c r="T3595" s="146"/>
      <c r="U3595" s="138">
        <f>U3594/U3591</f>
        <v>0.4254967387324376</v>
      </c>
      <c r="V3595" s="132"/>
      <c r="W3595" s="146"/>
      <c r="X3595" s="138">
        <f>X3594/X3591</f>
        <v>-1.7766881383148645</v>
      </c>
      <c r="Y3595" s="132"/>
      <c r="Z3595" s="146"/>
      <c r="AA3595" s="138">
        <f>AA3594/AA3591</f>
        <v>1.2352742920053588</v>
      </c>
      <c r="AB3595" s="132"/>
      <c r="AC3595" s="146"/>
      <c r="AD3595" s="138">
        <f>AD3594/AD3591</f>
        <v>1.0670067024873051</v>
      </c>
      <c r="AE3595" s="132"/>
      <c r="AF3595" s="146"/>
      <c r="AG3595" s="138">
        <f>AG3594/AG3591</f>
        <v>1.0319456710152211</v>
      </c>
      <c r="AH3595" s="132"/>
      <c r="AI3595" s="146"/>
      <c r="AJ3595" s="138">
        <f>AJ3594/AJ3591</f>
        <v>1.0193428829876923</v>
      </c>
      <c r="AK3595" s="132"/>
      <c r="AL3595" s="146"/>
      <c r="AM3595" s="138">
        <f>AM3594/AM3591</f>
        <v>1.0139205364740438</v>
      </c>
      <c r="AN3595" s="132"/>
      <c r="AO3595" s="146"/>
      <c r="AP3595" s="138">
        <f>AP3594/AP3591</f>
        <v>1.0111225070916454</v>
      </c>
      <c r="AQ3595" s="132"/>
      <c r="AR3595" s="146"/>
      <c r="AS3595" s="138">
        <f>AS3594/AS3591</f>
        <v>1.0088966674258966</v>
      </c>
      <c r="AT3595" s="132"/>
      <c r="AU3595" s="146"/>
    </row>
    <row r="3596" spans="13:47" x14ac:dyDescent="0.25">
      <c r="M3596" s="27"/>
      <c r="N3596" s="27"/>
      <c r="O3596" s="2" t="s">
        <v>26</v>
      </c>
      <c r="P3596" s="7">
        <v>12</v>
      </c>
      <c r="Q3596" s="2"/>
      <c r="R3596" s="181">
        <f>1-R3595/(3*F_GAMMA*R$29)</f>
        <v>0.74142892770486868</v>
      </c>
      <c r="S3596" s="133"/>
      <c r="T3596" s="146"/>
      <c r="U3596" s="138">
        <f>1-U3595/(3*F_GAMMA*U$29)</f>
        <v>0.77844521423560564</v>
      </c>
      <c r="V3596" s="133"/>
      <c r="W3596" s="146"/>
      <c r="X3596" s="138">
        <f>1-X3595/(3*F_GAMMA*X$29)</f>
        <v>1.9389940188716308</v>
      </c>
      <c r="Y3596" s="133"/>
      <c r="Z3596" s="146"/>
      <c r="AA3596" s="138">
        <f>1-AA3595/(3*F_GAMMA*AA$29)</f>
        <v>0.33819605270828612</v>
      </c>
      <c r="AB3596" s="133"/>
      <c r="AC3596" s="146"/>
      <c r="AD3596" s="138">
        <f>1-AD3595/(3*F_GAMMA*AD$29)</f>
        <v>0.4126726646717227</v>
      </c>
      <c r="AE3596" s="133"/>
      <c r="AF3596" s="146"/>
      <c r="AG3596" s="138">
        <f>1-AG3595/(3*F_GAMMA*AG$29)</f>
        <v>0.39957057001826257</v>
      </c>
      <c r="AH3596" s="133"/>
      <c r="AI3596" s="146"/>
      <c r="AJ3596" s="138">
        <f>1-AJ3595/(3*F_GAMMA*AJ$29)</f>
        <v>0.36597169701752885</v>
      </c>
      <c r="AK3596" s="133"/>
      <c r="AL3596" s="146"/>
      <c r="AM3596" s="138">
        <f>1-AM3595/(3*F_GAMMA*AM$29)</f>
        <v>0.31094460534571067</v>
      </c>
      <c r="AN3596" s="133"/>
      <c r="AO3596" s="146"/>
      <c r="AP3596" s="138">
        <f>1-AP3595/(3*F_GAMMA*AP$29)</f>
        <v>0.43214166957859479</v>
      </c>
      <c r="AQ3596" s="133"/>
      <c r="AR3596" s="146"/>
      <c r="AS3596" s="138">
        <f>1-AS3595/(3*F_GAMMA*AS$29)</f>
        <v>0.13983940762306468</v>
      </c>
      <c r="AT3596" s="133"/>
      <c r="AU3596" s="146"/>
    </row>
    <row r="3597" spans="13:47" x14ac:dyDescent="0.25">
      <c r="M3597" s="27"/>
      <c r="N3597" s="27"/>
      <c r="O3597" s="2" t="s">
        <v>71</v>
      </c>
      <c r="P3597" s="85">
        <v>5</v>
      </c>
      <c r="Q3597" s="2"/>
      <c r="R3597" s="179">
        <f>R3589/((N_6*R$27*R3596)*SQRT(R3595*R3591*R3593))</f>
        <v>7.6776982745302504</v>
      </c>
      <c r="S3597" s="133"/>
      <c r="T3597" s="146"/>
      <c r="U3597" s="143">
        <f>U3589/((N_6*U$27*U3596)*SQRT(U3595*U3591*U3593))</f>
        <v>29.959526671927545</v>
      </c>
      <c r="V3597" s="133"/>
      <c r="W3597" s="146"/>
      <c r="X3597" s="143" t="e">
        <f>X3589/((N_6*X$27*X3596)*SQRT(X3595*X3591*X3593))</f>
        <v>#NUM!</v>
      </c>
      <c r="Y3597" s="133"/>
      <c r="Z3597" s="146"/>
      <c r="AA3597" s="143">
        <f>AA3589/((N_6*AA$27*AA3596)*SQRT(AA3595*AA3591*AA3593))</f>
        <v>80.477026721973729</v>
      </c>
      <c r="AB3597" s="133"/>
      <c r="AC3597" s="146"/>
      <c r="AD3597" s="143">
        <f>AD3589/((N_6*AD$27*AD3596)*SQRT(AD3595*AD3591*AD3593))</f>
        <v>33.634890863978292</v>
      </c>
      <c r="AE3597" s="133"/>
      <c r="AF3597" s="146"/>
      <c r="AG3597" s="143">
        <f>AG3589/((N_6*AG$27*AG3596)*SQRT(AG3595*AG3591*AG3593))</f>
        <v>24.129514749064381</v>
      </c>
      <c r="AH3597" s="133"/>
      <c r="AI3597" s="146"/>
      <c r="AJ3597" s="143">
        <f>AJ3589/((N_6*AJ$27*AJ3596)*SQRT(AJ3595*AJ3591*AJ3593))</f>
        <v>21.078737092701033</v>
      </c>
      <c r="AK3597" s="133"/>
      <c r="AL3597" s="146"/>
      <c r="AM3597" s="143">
        <f>AM3589/((N_6*AM$27*AM3596)*SQRT(AM3595*AM3591*AM3593))</f>
        <v>22.280669696501075</v>
      </c>
      <c r="AN3597" s="133"/>
      <c r="AO3597" s="146"/>
      <c r="AP3597" s="143">
        <f>AP3589/((N_6*AP$27*AP3596)*SQRT(AP3595*AP3591*AP3593))</f>
        <v>16.256279047178587</v>
      </c>
      <c r="AQ3597" s="133"/>
      <c r="AR3597" s="146"/>
      <c r="AS3597" s="143">
        <f>AS3589/((N_6*AS$27*AS3596)*SQRT(AS3595*AS3591*AS3593))</f>
        <v>58.971673940533059</v>
      </c>
      <c r="AT3597" s="133"/>
      <c r="AU3597" s="146"/>
    </row>
    <row r="3598" spans="13:47" x14ac:dyDescent="0.25">
      <c r="M3598" s="27"/>
      <c r="N3598" s="27"/>
      <c r="O3598" s="2" t="s">
        <v>73</v>
      </c>
      <c r="P3598" s="85">
        <v>5</v>
      </c>
      <c r="Q3598" s="2"/>
      <c r="R3598" s="179">
        <f>R3589/((N_6*R$27*0.667)*SQRT(R3599*R3591*R3593))</f>
        <v>7.5166673157310839</v>
      </c>
      <c r="S3598" s="133"/>
      <c r="T3598" s="155"/>
      <c r="U3598" s="143">
        <f>U3589/((N_6*U$27*0.667)*SQRT(U3599*U3591*U3593))</f>
        <v>28.506136601192313</v>
      </c>
      <c r="V3598" s="133"/>
      <c r="W3598" s="155"/>
      <c r="X3598" s="143">
        <f>X3589/((N_6*X$27*0.667)*SQRT(X3599*X3591*X3593))</f>
        <v>344.04303324554604</v>
      </c>
      <c r="Y3598" s="133"/>
      <c r="Z3598" s="155"/>
      <c r="AA3598" s="143">
        <f>AA3589/((N_6*AA$27*0.667)*SQRT(AA3599*AA3591*AA3593))</f>
        <v>57.496303868279895</v>
      </c>
      <c r="AB3598" s="133"/>
      <c r="AC3598" s="155"/>
      <c r="AD3598" s="143">
        <f>AD3589/((N_6*AD$27*0.667)*SQRT(AD3599*AD3591*AD3593))</f>
        <v>27.622986150588932</v>
      </c>
      <c r="AE3598" s="133"/>
      <c r="AF3598" s="155"/>
      <c r="AG3598" s="143">
        <f>AG3589/((N_6*AG$27*0.667)*SQRT(AG3599*AG3591*AG3593))</f>
        <v>19.400273848766794</v>
      </c>
      <c r="AH3598" s="133"/>
      <c r="AI3598" s="155"/>
      <c r="AJ3598" s="143">
        <f>AJ3589/((N_6*AJ$27*0.667)*SQRT(AJ3599*AJ3591*AJ3593))</f>
        <v>15.950753478316356</v>
      </c>
      <c r="AK3598" s="133"/>
      <c r="AL3598" s="155"/>
      <c r="AM3598" s="143">
        <f>AM3589/((N_6*AM$27*0.667)*SQRT(AM3599*AM3591*AM3593))</f>
        <v>14.933896220589649</v>
      </c>
      <c r="AN3598" s="133"/>
      <c r="AO3598" s="155"/>
      <c r="AP3598" s="143">
        <f>AP3589/((N_6*AP$27*0.667)*SQRT(AP3599*AP3591*AP3593))</f>
        <v>13.746814904428399</v>
      </c>
      <c r="AQ3598" s="133"/>
      <c r="AR3598" s="155"/>
      <c r="AS3598" s="143">
        <f>AS3589/((N_6*AS$27*0.667)*SQRT(AS3599*AS3591*AS3593))</f>
        <v>19.860839213718997</v>
      </c>
      <c r="AT3598" s="133"/>
      <c r="AU3598" s="155"/>
    </row>
    <row r="3599" spans="13:47" ht="15.5" x14ac:dyDescent="0.4">
      <c r="M3599" s="27"/>
      <c r="N3599" s="27"/>
      <c r="O3599" s="2" t="s">
        <v>192</v>
      </c>
      <c r="P3599" s="85">
        <v>10</v>
      </c>
      <c r="Q3599" s="2"/>
      <c r="R3599" s="181">
        <f>F_GAMMA*R$29</f>
        <v>0.64002688015162901</v>
      </c>
      <c r="S3599" s="133"/>
      <c r="T3599" s="155"/>
      <c r="U3599" s="138">
        <f>F_GAMMA*U$29</f>
        <v>0.64016782916606918</v>
      </c>
      <c r="V3599" s="133"/>
      <c r="W3599" s="155"/>
      <c r="X3599" s="138">
        <f>F_GAMMA*X$29</f>
        <v>0.6307062319203669</v>
      </c>
      <c r="Y3599" s="133"/>
      <c r="Z3599" s="155"/>
      <c r="AA3599" s="138">
        <f>F_GAMMA*AA$29</f>
        <v>0.62217534213893466</v>
      </c>
      <c r="AB3599" s="133"/>
      <c r="AC3599" s="155"/>
      <c r="AD3599" s="138">
        <f>F_GAMMA*AD$29</f>
        <v>0.60557184969146072</v>
      </c>
      <c r="AE3599" s="133"/>
      <c r="AF3599" s="155"/>
      <c r="AG3599" s="138">
        <f>F_GAMMA*AG$29</f>
        <v>0.57289312142622573</v>
      </c>
      <c r="AH3599" s="133"/>
      <c r="AI3599" s="155"/>
      <c r="AJ3599" s="138">
        <f>F_GAMMA*AJ$29</f>
        <v>0.53590819116049981</v>
      </c>
      <c r="AK3599" s="133"/>
      <c r="AL3599" s="155"/>
      <c r="AM3599" s="138">
        <f>F_GAMMA*AM$29</f>
        <v>0.49048815926850342</v>
      </c>
      <c r="AN3599" s="133"/>
      <c r="AO3599" s="155"/>
      <c r="AP3599" s="138">
        <f>F_GAMMA*AP$29</f>
        <v>0.59352979016280105</v>
      </c>
      <c r="AQ3599" s="133"/>
      <c r="AR3599" s="155"/>
      <c r="AS3599" s="138">
        <f>F_GAMMA*AS$29</f>
        <v>0.39097221161068291</v>
      </c>
      <c r="AT3599" s="133"/>
      <c r="AU3599" s="155"/>
    </row>
    <row r="3600" spans="13:47" x14ac:dyDescent="0.25">
      <c r="M3600" s="27"/>
      <c r="N3600" s="27"/>
      <c r="O3600" s="2" t="s">
        <v>193</v>
      </c>
      <c r="P3600" s="134"/>
      <c r="Q3600" s="2"/>
      <c r="R3600" s="181">
        <f>IF(R3595&lt;R3599,R3597,R3598)</f>
        <v>7.6776982745302504</v>
      </c>
      <c r="S3600" s="133"/>
      <c r="T3600" s="155"/>
      <c r="U3600" s="138">
        <f>IF(U3595&lt;U3599,U3597,U3598)</f>
        <v>29.959526671927545</v>
      </c>
      <c r="V3600" s="133"/>
      <c r="W3600" s="155"/>
      <c r="X3600" s="138" t="e">
        <f>IF(X3595&lt;X3599,X3597,X3598)</f>
        <v>#NUM!</v>
      </c>
      <c r="Y3600" s="133"/>
      <c r="Z3600" s="155"/>
      <c r="AA3600" s="138">
        <f>IF(AA3595&lt;AA3599,AA3597,AA3598)</f>
        <v>57.496303868279895</v>
      </c>
      <c r="AB3600" s="133"/>
      <c r="AC3600" s="155"/>
      <c r="AD3600" s="138">
        <f>IF(AD3595&lt;AD3599,AD3597,AD3598)</f>
        <v>27.622986150588932</v>
      </c>
      <c r="AE3600" s="133"/>
      <c r="AF3600" s="155"/>
      <c r="AG3600" s="138">
        <f>IF(AG3595&lt;AG3599,AG3597,AG3598)</f>
        <v>19.400273848766794</v>
      </c>
      <c r="AH3600" s="133"/>
      <c r="AI3600" s="155"/>
      <c r="AJ3600" s="138">
        <f>IF(AJ3595&lt;AJ3599,AJ3597,AJ3598)</f>
        <v>15.950753478316356</v>
      </c>
      <c r="AK3600" s="133"/>
      <c r="AL3600" s="155"/>
      <c r="AM3600" s="138">
        <f>IF(AM3595&lt;AM3599,AM3597,AM3598)</f>
        <v>14.933896220589649</v>
      </c>
      <c r="AN3600" s="133"/>
      <c r="AO3600" s="155"/>
      <c r="AP3600" s="138">
        <f>IF(AP3595&lt;AP3599,AP3597,AP3598)</f>
        <v>13.746814904428399</v>
      </c>
      <c r="AQ3600" s="133"/>
      <c r="AR3600" s="155"/>
      <c r="AS3600" s="138">
        <f>IF(AS3595&lt;AS3599,AS3597,AS3598)</f>
        <v>19.860839213718997</v>
      </c>
      <c r="AT3600" s="133"/>
      <c r="AU3600" s="155"/>
    </row>
    <row r="3601" spans="13:47" ht="13" x14ac:dyDescent="0.3">
      <c r="M3601" s="28"/>
      <c r="N3601" s="28"/>
      <c r="O3601" s="9" t="s">
        <v>194</v>
      </c>
      <c r="P3601" s="1"/>
      <c r="Q3601" s="1"/>
      <c r="R3601" s="135"/>
      <c r="S3601" s="132">
        <f>IF(R3594&lt;=0,W_max,ABS(R$23-R3600))</f>
        <v>5.6776982745302504</v>
      </c>
      <c r="T3601" s="151">
        <f>R3589</f>
        <v>1750.8507002484459</v>
      </c>
      <c r="U3601" s="135"/>
      <c r="V3601" s="132">
        <f>IF(U3594&lt;=0,W_max,ABS(U$23-U3600))</f>
        <v>24.959526671927545</v>
      </c>
      <c r="W3601" s="151">
        <f>U3589</f>
        <v>5816.5644811093262</v>
      </c>
      <c r="X3601" s="135"/>
      <c r="Y3601" s="132">
        <f>IF(X3594&lt;=0,W_max,ABS(X$23-X3600))</f>
        <v>7174</v>
      </c>
      <c r="Z3601" s="151">
        <f>X3589</f>
        <v>14385.056141070523</v>
      </c>
      <c r="AA3601" s="135"/>
      <c r="AB3601" s="132">
        <f>IF(AA3594&lt;=0,W_max,ABS(AA$23-AA3600))</f>
        <v>7174</v>
      </c>
      <c r="AC3601" s="151">
        <f>AA3589</f>
        <v>28018.417643204655</v>
      </c>
      <c r="AD3601" s="135"/>
      <c r="AE3601" s="132">
        <f>IF(AD3594&lt;=0,W_max,ABS(AD$23-AD3600))</f>
        <v>7174</v>
      </c>
      <c r="AF3601" s="151">
        <f>AD3589</f>
        <v>46079.981253726452</v>
      </c>
      <c r="AG3601" s="135"/>
      <c r="AH3601" s="132">
        <f>IF(AG3594&lt;=0,W_max,ABS(AG$23-AG3600))</f>
        <v>7174</v>
      </c>
      <c r="AI3601" s="151">
        <f>AG3589</f>
        <v>64630.721229602037</v>
      </c>
      <c r="AJ3601" s="135"/>
      <c r="AK3601" s="132">
        <f>IF(AJ3594&lt;=0,W_max,ABS(AJ$23-AJ3600))</f>
        <v>7174</v>
      </c>
      <c r="AL3601" s="151">
        <f>AJ3589</f>
        <v>82063.866104832865</v>
      </c>
      <c r="AM3601" s="135"/>
      <c r="AN3601" s="132">
        <f>IF(AM3594&lt;=0,W_max,ABS(AM$23-AM3600))</f>
        <v>7174</v>
      </c>
      <c r="AO3601" s="151">
        <f>AM3589</f>
        <v>96226.336914404761</v>
      </c>
      <c r="AP3601" s="135"/>
      <c r="AQ3601" s="132">
        <f>IF(AP3594&lt;=0,W_max,ABS(AP$23-AP3600))</f>
        <v>7174</v>
      </c>
      <c r="AR3601" s="151">
        <f>AP3589</f>
        <v>107356.67821095367</v>
      </c>
      <c r="AS3601" s="135"/>
      <c r="AT3601" s="132">
        <f>IF(AS3594&lt;=0,W_max,ABS(AS$23-AS3600))</f>
        <v>7174</v>
      </c>
      <c r="AU3601" s="151">
        <f>AS3589</f>
        <v>119774.4476830951</v>
      </c>
    </row>
    <row r="3602" spans="13:47" ht="13" x14ac:dyDescent="0.25">
      <c r="M3602" s="12"/>
      <c r="N3602" s="12"/>
      <c r="O3602" s="2"/>
      <c r="P3602" s="85"/>
      <c r="Q3602" s="2"/>
      <c r="R3602" s="18"/>
      <c r="S3602" s="150"/>
      <c r="T3602" s="148"/>
      <c r="U3602" s="157"/>
      <c r="V3602" s="1"/>
      <c r="W3602" s="147"/>
      <c r="X3602" s="157"/>
      <c r="Y3602" s="1"/>
      <c r="Z3602" s="147"/>
      <c r="AA3602" s="157"/>
      <c r="AB3602" s="1"/>
      <c r="AC3602" s="147"/>
      <c r="AD3602" s="157"/>
      <c r="AE3602" s="1"/>
      <c r="AF3602" s="147"/>
      <c r="AG3602" s="157"/>
      <c r="AH3602" s="1"/>
      <c r="AI3602" s="147"/>
      <c r="AJ3602" s="157"/>
      <c r="AK3602" s="1"/>
      <c r="AL3602" s="147"/>
      <c r="AM3602" s="157"/>
      <c r="AN3602" s="1"/>
      <c r="AO3602" s="147"/>
      <c r="AP3602" s="157"/>
      <c r="AQ3602" s="1"/>
      <c r="AR3602" s="147"/>
      <c r="AS3602" s="157"/>
      <c r="AT3602" s="1"/>
      <c r="AU3602" s="147"/>
    </row>
    <row r="3603" spans="13:47" ht="14" x14ac:dyDescent="0.3">
      <c r="M3603" s="23"/>
      <c r="N3603" s="23"/>
      <c r="O3603" s="23" t="s">
        <v>238</v>
      </c>
      <c r="P3603" s="20"/>
      <c r="Q3603" s="20"/>
      <c r="R3603" s="181">
        <f>R3589*1.02</f>
        <v>1785.867714253415</v>
      </c>
      <c r="S3603" s="128" t="s">
        <v>185</v>
      </c>
      <c r="T3603" s="149" t="s">
        <v>186</v>
      </c>
      <c r="U3603" s="143">
        <f>U3589*1.01</f>
        <v>5874.7301259204196</v>
      </c>
      <c r="V3603" s="128" t="s">
        <v>185</v>
      </c>
      <c r="W3603" s="153" t="s">
        <v>186</v>
      </c>
      <c r="X3603" s="143">
        <f>X3589*1.01</f>
        <v>14528.906702481228</v>
      </c>
      <c r="Y3603" s="128" t="s">
        <v>185</v>
      </c>
      <c r="Z3603" s="153" t="s">
        <v>186</v>
      </c>
      <c r="AA3603" s="143">
        <f>AA3589*1.01</f>
        <v>28298.6018196367</v>
      </c>
      <c r="AB3603" s="128" t="s">
        <v>185</v>
      </c>
      <c r="AC3603" s="153" t="s">
        <v>186</v>
      </c>
      <c r="AD3603" s="143">
        <f>AD3589*1.01</f>
        <v>46540.781066263713</v>
      </c>
      <c r="AE3603" s="128" t="s">
        <v>185</v>
      </c>
      <c r="AF3603" s="153" t="s">
        <v>186</v>
      </c>
      <c r="AG3603" s="143">
        <f>AG3589*1.01</f>
        <v>65277.028441898059</v>
      </c>
      <c r="AH3603" s="128" t="s">
        <v>185</v>
      </c>
      <c r="AI3603" s="153" t="s">
        <v>186</v>
      </c>
      <c r="AJ3603" s="143">
        <f>AJ3589*1.01</f>
        <v>82884.504765881196</v>
      </c>
      <c r="AK3603" s="128" t="s">
        <v>185</v>
      </c>
      <c r="AL3603" s="153" t="s">
        <v>186</v>
      </c>
      <c r="AM3603" s="143">
        <f>AM3589*1.01</f>
        <v>97188.600283548803</v>
      </c>
      <c r="AN3603" s="128" t="s">
        <v>185</v>
      </c>
      <c r="AO3603" s="153" t="s">
        <v>186</v>
      </c>
      <c r="AP3603" s="143">
        <f>AP3589*1.01</f>
        <v>108430.24499306321</v>
      </c>
      <c r="AQ3603" s="128" t="s">
        <v>185</v>
      </c>
      <c r="AR3603" s="153" t="s">
        <v>186</v>
      </c>
      <c r="AS3603" s="143">
        <f>AS3589*1.01</f>
        <v>120972.19215992605</v>
      </c>
      <c r="AT3603" s="128" t="s">
        <v>185</v>
      </c>
      <c r="AU3603" s="153" t="s">
        <v>186</v>
      </c>
    </row>
    <row r="3604" spans="13:47" ht="14" x14ac:dyDescent="0.3">
      <c r="M3604" s="12"/>
      <c r="N3604" s="12"/>
      <c r="O3604" s="20"/>
      <c r="P3604" s="20"/>
      <c r="Q3604" s="23"/>
      <c r="R3604" s="139"/>
      <c r="S3604" s="130" t="s">
        <v>228</v>
      </c>
      <c r="T3604" s="131" t="s">
        <v>187</v>
      </c>
      <c r="U3604" s="144"/>
      <c r="V3604" s="130" t="s">
        <v>228</v>
      </c>
      <c r="W3604" s="154" t="s">
        <v>187</v>
      </c>
      <c r="X3604" s="144"/>
      <c r="Y3604" s="130" t="s">
        <v>228</v>
      </c>
      <c r="Z3604" s="154" t="s">
        <v>187</v>
      </c>
      <c r="AA3604" s="144"/>
      <c r="AB3604" s="130" t="s">
        <v>228</v>
      </c>
      <c r="AC3604" s="154" t="s">
        <v>187</v>
      </c>
      <c r="AD3604" s="144"/>
      <c r="AE3604" s="130" t="s">
        <v>228</v>
      </c>
      <c r="AF3604" s="154" t="s">
        <v>187</v>
      </c>
      <c r="AG3604" s="144"/>
      <c r="AH3604" s="130" t="s">
        <v>228</v>
      </c>
      <c r="AI3604" s="154" t="s">
        <v>187</v>
      </c>
      <c r="AJ3604" s="144"/>
      <c r="AK3604" s="130" t="s">
        <v>228</v>
      </c>
      <c r="AL3604" s="154" t="s">
        <v>187</v>
      </c>
      <c r="AM3604" s="144"/>
      <c r="AN3604" s="130" t="s">
        <v>228</v>
      </c>
      <c r="AO3604" s="154" t="s">
        <v>187</v>
      </c>
      <c r="AP3604" s="144"/>
      <c r="AQ3604" s="130" t="s">
        <v>228</v>
      </c>
      <c r="AR3604" s="154" t="s">
        <v>187</v>
      </c>
      <c r="AS3604" s="144"/>
      <c r="AT3604" s="130" t="s">
        <v>228</v>
      </c>
      <c r="AU3604" s="154" t="s">
        <v>187</v>
      </c>
    </row>
    <row r="3605" spans="13:47" x14ac:dyDescent="0.25">
      <c r="M3605" s="20"/>
      <c r="N3605" s="20"/>
      <c r="O3605" s="7" t="s">
        <v>188</v>
      </c>
      <c r="P3605" s="7"/>
      <c r="Q3605" s="7"/>
      <c r="R3605" s="181">
        <f>P_1_minW-(R3603^2*R_up)+dpup_minQ</f>
        <v>99.251006243468822</v>
      </c>
      <c r="S3605" s="132"/>
      <c r="T3605" s="145"/>
      <c r="U3605" s="138">
        <f>P_1_minW-(U3603^2*R_up)+dpup_minQ</f>
        <v>86.760537175899316</v>
      </c>
      <c r="V3605" s="132"/>
      <c r="W3605" s="145"/>
      <c r="X3605" s="138">
        <f>P_1_minW-(X3603^2*R_up)+dpup_minQ</f>
        <v>16.348497600219787</v>
      </c>
      <c r="Y3605" s="132"/>
      <c r="Z3605" s="145"/>
      <c r="AA3605" s="138">
        <f>P_1_minW-(AA3603^2*R_up)+dpup_minQ</f>
        <v>-218.81002447633873</v>
      </c>
      <c r="AB3605" s="132"/>
      <c r="AC3605" s="145"/>
      <c r="AD3605" s="138">
        <f>P_1_minW-(AD3603^2*R_up)+dpup_minQ</f>
        <v>-763.21301722042654</v>
      </c>
      <c r="AE3605" s="132"/>
      <c r="AF3605" s="145"/>
      <c r="AG3605" s="138">
        <f>P_1_minW-(AG3603^2*R_up)+dpup_minQ</f>
        <v>-1598.637463584568</v>
      </c>
      <c r="AH3605" s="132"/>
      <c r="AI3605" s="145"/>
      <c r="AJ3605" s="138">
        <f>P_1_minW-(AJ3603^2*R_up)+dpup_minQ</f>
        <v>-2638.9076789927276</v>
      </c>
      <c r="AK3605" s="132"/>
      <c r="AL3605" s="145"/>
      <c r="AM3605" s="138">
        <f>P_1_minW-(AM3603^2*R_up)+dpup_minQ</f>
        <v>-3666.0315966020876</v>
      </c>
      <c r="AN3605" s="132"/>
      <c r="AO3605" s="145"/>
      <c r="AP3605" s="138">
        <f>P_1_minW-(AP3603^2*R_up)+dpup_minQ</f>
        <v>-4587.7671908194461</v>
      </c>
      <c r="AQ3605" s="132"/>
      <c r="AR3605" s="145"/>
      <c r="AS3605" s="138">
        <f>P_1_minW-(AS3603^2*R_up)+dpup_minQ</f>
        <v>-5735.0661034387313</v>
      </c>
      <c r="AT3605" s="132"/>
      <c r="AU3605" s="145"/>
    </row>
    <row r="3606" spans="13:47" x14ac:dyDescent="0.25">
      <c r="M3606" s="20"/>
      <c r="N3606" s="20"/>
      <c r="O3606" s="7" t="s">
        <v>189</v>
      </c>
      <c r="P3606" s="1"/>
      <c r="Q3606" s="7"/>
      <c r="R3606" s="181">
        <f>P_2_minW+(R3603^2*R_dn)-dpdn_minQ</f>
        <v>50</v>
      </c>
      <c r="S3606" s="132"/>
      <c r="T3606" s="146"/>
      <c r="U3606" s="138">
        <f>P_2_minW+(U3603^2*R_dn)-dpdn_minQ</f>
        <v>50</v>
      </c>
      <c r="V3606" s="132"/>
      <c r="W3606" s="146"/>
      <c r="X3606" s="138">
        <f>P_2_minW+(X3603^2*R_dn)-dpdn_minQ</f>
        <v>50</v>
      </c>
      <c r="Y3606" s="132"/>
      <c r="Z3606" s="146"/>
      <c r="AA3606" s="138">
        <f>P_2_minW+(AA3603^2*R_dn)-dpdn_minQ</f>
        <v>50</v>
      </c>
      <c r="AB3606" s="132"/>
      <c r="AC3606" s="146"/>
      <c r="AD3606" s="138">
        <f>P_2_minW+(AD3603^2*R_dn)-dpdn_minQ</f>
        <v>50</v>
      </c>
      <c r="AE3606" s="132"/>
      <c r="AF3606" s="146"/>
      <c r="AG3606" s="138">
        <f>P_2_minW+(AG3603^2*R_dn)-dpdn_minQ</f>
        <v>50</v>
      </c>
      <c r="AH3606" s="132"/>
      <c r="AI3606" s="146"/>
      <c r="AJ3606" s="138">
        <f>P_2_minW+(AJ3603^2*R_dn)-dpdn_minQ</f>
        <v>50</v>
      </c>
      <c r="AK3606" s="132"/>
      <c r="AL3606" s="146"/>
      <c r="AM3606" s="138">
        <f>P_2_minW+(AM3603^2*R_dn)-dpdn_minQ</f>
        <v>50</v>
      </c>
      <c r="AN3606" s="132"/>
      <c r="AO3606" s="146"/>
      <c r="AP3606" s="138">
        <f>P_2_minW+(AP3603^2*R_dn)-dpdn_minQ</f>
        <v>50</v>
      </c>
      <c r="AQ3606" s="132"/>
      <c r="AR3606" s="146"/>
      <c r="AS3606" s="138">
        <f>P_2_minW+(AS3603^2*R_dn)-dpdn_minQ</f>
        <v>50</v>
      </c>
      <c r="AT3606" s="132"/>
      <c r="AU3606" s="146"/>
    </row>
    <row r="3607" spans="13:47" x14ac:dyDescent="0.25">
      <c r="M3607" s="20"/>
      <c r="N3607" s="20"/>
      <c r="O3607" s="7" t="s">
        <v>234</v>
      </c>
      <c r="P3607" s="1"/>
      <c r="Q3607" s="7"/>
      <c r="R3607" s="179">
        <f>'Valve Sizing'!G$8*R3605/P_1_maxW</f>
        <v>0.47876918356597564</v>
      </c>
      <c r="S3607" s="132"/>
      <c r="T3607" s="146"/>
      <c r="U3607" s="143">
        <f>'Valve Sizing'!$G$8*U3605/P_1_maxW</f>
        <v>0.41851738457497206</v>
      </c>
      <c r="V3607" s="132"/>
      <c r="W3607" s="146"/>
      <c r="X3607" s="143">
        <f>'Valve Sizing'!$G$8*X3605/P_1_maxW</f>
        <v>7.8862241752864881E-2</v>
      </c>
      <c r="Y3607" s="132"/>
      <c r="Z3607" s="146"/>
      <c r="AA3607" s="143">
        <f>'Valve Sizing'!$G$8*AA3605/P_1_maxW</f>
        <v>-1.05550060135014</v>
      </c>
      <c r="AB3607" s="132"/>
      <c r="AC3607" s="146"/>
      <c r="AD3607" s="143">
        <f>'Valve Sizing'!$G$8*AD3605/P_1_maxW</f>
        <v>-3.6816037133688377</v>
      </c>
      <c r="AE3607" s="132"/>
      <c r="AF3607" s="146"/>
      <c r="AG3607" s="143">
        <f>'Valve Sizing'!$G$8*AG3605/P_1_maxW</f>
        <v>-7.7115425044744184</v>
      </c>
      <c r="AH3607" s="132"/>
      <c r="AI3607" s="146"/>
      <c r="AJ3607" s="143">
        <f>'Valve Sizing'!$G$8*AJ3605/P_1_maxW</f>
        <v>-12.729620814907067</v>
      </c>
      <c r="AK3607" s="132"/>
      <c r="AL3607" s="146"/>
      <c r="AM3607" s="143">
        <f>'Valve Sizing'!$G$8*AM3605/P_1_maxW</f>
        <v>-17.684283725312365</v>
      </c>
      <c r="AN3607" s="132"/>
      <c r="AO3607" s="146"/>
      <c r="AP3607" s="143">
        <f>'Valve Sizing'!$G$8*AP3605/P_1_maxW</f>
        <v>-22.130572126909136</v>
      </c>
      <c r="AQ3607" s="132"/>
      <c r="AR3607" s="146"/>
      <c r="AS3607" s="143">
        <f>'Valve Sizing'!$G$8*AS3605/P_1_maxW</f>
        <v>-27.66493781740321</v>
      </c>
      <c r="AT3607" s="132"/>
      <c r="AU3607" s="146"/>
    </row>
    <row r="3608" spans="13:47" x14ac:dyDescent="0.25">
      <c r="M3608" s="20"/>
      <c r="N3608" s="20"/>
      <c r="O3608" s="7" t="s">
        <v>190</v>
      </c>
      <c r="P3608" s="1"/>
      <c r="Q3608" s="7"/>
      <c r="R3608" s="181">
        <f>R3605-R3606</f>
        <v>49.251006243468822</v>
      </c>
      <c r="S3608" s="132"/>
      <c r="T3608" s="146"/>
      <c r="U3608" s="138">
        <f>U3605-U3606</f>
        <v>36.760537175899316</v>
      </c>
      <c r="V3608" s="132"/>
      <c r="W3608" s="146"/>
      <c r="X3608" s="138">
        <f>X3605-X3606</f>
        <v>-33.651502399780213</v>
      </c>
      <c r="Y3608" s="132"/>
      <c r="Z3608" s="146"/>
      <c r="AA3608" s="138">
        <f>AA3605-AA3606</f>
        <v>-268.81002447633875</v>
      </c>
      <c r="AB3608" s="132"/>
      <c r="AC3608" s="146"/>
      <c r="AD3608" s="138">
        <f>AD3605-AD3606</f>
        <v>-813.21301722042654</v>
      </c>
      <c r="AE3608" s="132"/>
      <c r="AF3608" s="146"/>
      <c r="AG3608" s="138">
        <f>AG3605-AG3606</f>
        <v>-1648.637463584568</v>
      </c>
      <c r="AH3608" s="132"/>
      <c r="AI3608" s="146"/>
      <c r="AJ3608" s="138">
        <f>AJ3605-AJ3606</f>
        <v>-2688.9076789927276</v>
      </c>
      <c r="AK3608" s="132"/>
      <c r="AL3608" s="146"/>
      <c r="AM3608" s="138">
        <f>AM3605-AM3606</f>
        <v>-3716.0315966020876</v>
      </c>
      <c r="AN3608" s="132"/>
      <c r="AO3608" s="146"/>
      <c r="AP3608" s="138">
        <f>AP3605-AP3606</f>
        <v>-4637.7671908194461</v>
      </c>
      <c r="AQ3608" s="132"/>
      <c r="AR3608" s="146"/>
      <c r="AS3608" s="138">
        <f>AS3605-AS3606</f>
        <v>-5785.0661034387313</v>
      </c>
      <c r="AT3608" s="132"/>
      <c r="AU3608" s="146"/>
    </row>
    <row r="3609" spans="13:47" ht="14.5" x14ac:dyDescent="0.35">
      <c r="M3609" s="27"/>
      <c r="N3609" s="27"/>
      <c r="O3609" s="2" t="s">
        <v>191</v>
      </c>
      <c r="P3609" s="10"/>
      <c r="Q3609" s="2"/>
      <c r="R3609" s="181">
        <f>R3608/R3605</f>
        <v>0.49622676995992437</v>
      </c>
      <c r="S3609" s="132"/>
      <c r="T3609" s="146"/>
      <c r="U3609" s="138">
        <f>U3608/U3605</f>
        <v>0.42370112464115545</v>
      </c>
      <c r="V3609" s="132"/>
      <c r="W3609" s="146"/>
      <c r="X3609" s="138">
        <f>X3608/X3605</f>
        <v>-2.0583850102120582</v>
      </c>
      <c r="Y3609" s="132"/>
      <c r="Z3609" s="146"/>
      <c r="AA3609" s="138">
        <f>AA3608/AA3605</f>
        <v>1.2285087263239478</v>
      </c>
      <c r="AB3609" s="132"/>
      <c r="AC3609" s="146"/>
      <c r="AD3609" s="138">
        <f>AD3608/AD3605</f>
        <v>1.065512509446048</v>
      </c>
      <c r="AE3609" s="132"/>
      <c r="AF3609" s="146"/>
      <c r="AG3609" s="138">
        <f>AG3608/AG3605</f>
        <v>1.0312766347210998</v>
      </c>
      <c r="AH3609" s="132"/>
      <c r="AI3609" s="146"/>
      <c r="AJ3609" s="138">
        <f>AJ3608/AJ3605</f>
        <v>1.0189472335080267</v>
      </c>
      <c r="AK3609" s="132"/>
      <c r="AL3609" s="146"/>
      <c r="AM3609" s="138">
        <f>AM3608/AM3605</f>
        <v>1.0136387258763244</v>
      </c>
      <c r="AN3609" s="132"/>
      <c r="AO3609" s="146"/>
      <c r="AP3609" s="138">
        <f>AP3608/AP3605</f>
        <v>1.0108985477946777</v>
      </c>
      <c r="AQ3609" s="132"/>
      <c r="AR3609" s="146"/>
      <c r="AS3609" s="138">
        <f>AS3608/AS3605</f>
        <v>1.008718295325318</v>
      </c>
      <c r="AT3609" s="132"/>
      <c r="AU3609" s="146"/>
    </row>
    <row r="3610" spans="13:47" x14ac:dyDescent="0.25">
      <c r="M3610" s="27"/>
      <c r="N3610" s="27"/>
      <c r="O3610" s="2" t="s">
        <v>26</v>
      </c>
      <c r="P3610" s="7">
        <v>12</v>
      </c>
      <c r="Q3610" s="2"/>
      <c r="R3610" s="181">
        <f>1-R3609/(3*F_GAMMA*R$29)</f>
        <v>0.7415594118784703</v>
      </c>
      <c r="S3610" s="133"/>
      <c r="T3610" s="146"/>
      <c r="U3610" s="138">
        <f>1-U3609/(3*F_GAMMA*U$29)</f>
        <v>0.779380184727964</v>
      </c>
      <c r="V3610" s="133"/>
      <c r="W3610" s="146"/>
      <c r="X3610" s="138">
        <f>1-X3609/(3*F_GAMMA*X$29)</f>
        <v>2.0878730889470321</v>
      </c>
      <c r="Y3610" s="133"/>
      <c r="Z3610" s="146"/>
      <c r="AA3610" s="138">
        <f>1-AA3609/(3*F_GAMMA*AA$29)</f>
        <v>0.34182073598923601</v>
      </c>
      <c r="AB3610" s="133"/>
      <c r="AC3610" s="146"/>
      <c r="AD3610" s="138">
        <f>1-AD3609/(3*F_GAMMA*AD$29)</f>
        <v>0.41349513412326588</v>
      </c>
      <c r="AE3610" s="133"/>
      <c r="AF3610" s="146"/>
      <c r="AG3610" s="138">
        <f>1-AG3609/(3*F_GAMMA*AG$29)</f>
        <v>0.39995984349650793</v>
      </c>
      <c r="AH3610" s="133"/>
      <c r="AI3610" s="146"/>
      <c r="AJ3610" s="138">
        <f>1-AJ3609/(3*F_GAMMA*AJ$29)</f>
        <v>0.36621778984100839</v>
      </c>
      <c r="AK3610" s="133"/>
      <c r="AL3610" s="146"/>
      <c r="AM3610" s="138">
        <f>1-AM3609/(3*F_GAMMA*AM$29)</f>
        <v>0.31113612243767574</v>
      </c>
      <c r="AN3610" s="133"/>
      <c r="AO3610" s="146"/>
      <c r="AP3610" s="138">
        <f>1-AP3609/(3*F_GAMMA*AP$29)</f>
        <v>0.43226744776231285</v>
      </c>
      <c r="AQ3610" s="133"/>
      <c r="AR3610" s="146"/>
      <c r="AS3610" s="138">
        <f>1-AS3609/(3*F_GAMMA*AS$29)</f>
        <v>0.13999148330796973</v>
      </c>
      <c r="AT3610" s="133"/>
      <c r="AU3610" s="146"/>
    </row>
    <row r="3611" spans="13:47" x14ac:dyDescent="0.25">
      <c r="M3611" s="27"/>
      <c r="N3611" s="27"/>
      <c r="O3611" s="2" t="s">
        <v>71</v>
      </c>
      <c r="P3611" s="85">
        <v>5</v>
      </c>
      <c r="Q3611" s="2"/>
      <c r="R3611" s="179">
        <f>R3603/((N_6*R$27*R3610)*SQRT(R3609*R3605*R3607))</f>
        <v>7.8357475546779316</v>
      </c>
      <c r="S3611" s="133"/>
      <c r="T3611" s="146"/>
      <c r="U3611" s="143">
        <f>U3603/((N_6*U$27*U3610)*SQRT(U3609*U3605*U3607))</f>
        <v>30.381457021084888</v>
      </c>
      <c r="V3611" s="133"/>
      <c r="W3611" s="146"/>
      <c r="X3611" s="143" t="e">
        <f>X3603/((N_6*X$27*X3610)*SQRT(X3609*X3605*X3607))</f>
        <v>#NUM!</v>
      </c>
      <c r="Y3611" s="133"/>
      <c r="Z3611" s="146"/>
      <c r="AA3611" s="143">
        <f>AA3603/((N_6*AA$27*AA3610)*SQRT(AA3609*AA3605*AA3607))</f>
        <v>78.322099219269006</v>
      </c>
      <c r="AB3611" s="133"/>
      <c r="AC3611" s="146"/>
      <c r="AD3611" s="143">
        <f>AD3603/((N_6*AD$27*AD3610)*SQRT(AD3609*AD3605*AD3607))</f>
        <v>33.170879159474985</v>
      </c>
      <c r="AE3611" s="133"/>
      <c r="AF3611" s="146"/>
      <c r="AG3611" s="143">
        <f>AG3603/((N_6*AG$27*AG3610)*SQRT(AG3609*AG3605*AG3607))</f>
        <v>23.844921456956779</v>
      </c>
      <c r="AH3611" s="133"/>
      <c r="AI3611" s="146"/>
      <c r="AJ3611" s="143">
        <f>AJ3603/((N_6*AJ$27*AJ3610)*SQRT(AJ3609*AJ3605*AJ3607))</f>
        <v>20.844089368809122</v>
      </c>
      <c r="AK3611" s="133"/>
      <c r="AL3611" s="146"/>
      <c r="AM3611" s="143">
        <f>AM3603/((N_6*AM$27*AM3610)*SQRT(AM3609*AM3605*AM3607))</f>
        <v>22.037402122097642</v>
      </c>
      <c r="AN3611" s="133"/>
      <c r="AO3611" s="146"/>
      <c r="AP3611" s="143">
        <f>AP3603/((N_6*AP$27*AP3610)*SQRT(AP3609*AP3605*AP3607))</f>
        <v>16.085337485246875</v>
      </c>
      <c r="AQ3611" s="133"/>
      <c r="AR3611" s="146"/>
      <c r="AS3611" s="143">
        <f>AS3603/((N_6*AS$27*AS3610)*SQRT(AS3609*AS3605*AS3607))</f>
        <v>58.308974685735826</v>
      </c>
      <c r="AT3611" s="133"/>
      <c r="AU3611" s="146"/>
    </row>
    <row r="3612" spans="13:47" x14ac:dyDescent="0.25">
      <c r="M3612" s="27"/>
      <c r="N3612" s="27"/>
      <c r="O3612" s="2" t="s">
        <v>73</v>
      </c>
      <c r="P3612" s="85">
        <v>5</v>
      </c>
      <c r="Q3612" s="2"/>
      <c r="R3612" s="179">
        <f>R3603/((N_6*R$27*0.667)*SQRT(R3613*R3605*R3607))</f>
        <v>7.6708155673601413</v>
      </c>
      <c r="S3612" s="133"/>
      <c r="T3612" s="147"/>
      <c r="U3612" s="143">
        <f>U3603/((N_6*U$27*0.667)*SQRT(U3613*U3605*U3607))</f>
        <v>28.881185064337053</v>
      </c>
      <c r="V3612" s="133"/>
      <c r="W3612" s="155"/>
      <c r="X3612" s="143">
        <f>X3603/((N_6*X$27*0.667)*SQRT(X3613*X3605*X3607))</f>
        <v>382.73589375740596</v>
      </c>
      <c r="Y3612" s="133"/>
      <c r="Z3612" s="155"/>
      <c r="AA3612" s="143">
        <f>AA3603/((N_6*AA$27*0.667)*SQRT(AA3613*AA3605*AA3607))</f>
        <v>56.401365078279937</v>
      </c>
      <c r="AB3612" s="133"/>
      <c r="AC3612" s="155"/>
      <c r="AD3612" s="143">
        <f>AD3603/((N_6*AD$27*0.667)*SQRT(AD3613*AD3605*AD3607))</f>
        <v>27.277086988066213</v>
      </c>
      <c r="AE3612" s="133"/>
      <c r="AF3612" s="155"/>
      <c r="AG3612" s="143">
        <f>AG3603/((N_6*AG$27*0.667)*SQRT(AG3613*AG3605*AG3607))</f>
        <v>19.183914814365842</v>
      </c>
      <c r="AH3612" s="133"/>
      <c r="AI3612" s="155"/>
      <c r="AJ3612" s="143">
        <f>AJ3603/((N_6*AJ$27*0.667)*SQRT(AJ3613*AJ3605*AJ3607))</f>
        <v>15.780733279763924</v>
      </c>
      <c r="AK3612" s="133"/>
      <c r="AL3612" s="155"/>
      <c r="AM3612" s="143">
        <f>AM3603/((N_6*AM$27*0.667)*SQRT(AM3613*AM3605*AM3607))</f>
        <v>14.77788664035022</v>
      </c>
      <c r="AN3612" s="133"/>
      <c r="AO3612" s="155"/>
      <c r="AP3612" s="143">
        <f>AP3603/((N_6*AP$27*0.667)*SQRT(AP3613*AP3605*AP3607))</f>
        <v>13.604713506253125</v>
      </c>
      <c r="AQ3612" s="133"/>
      <c r="AR3612" s="155"/>
      <c r="AS3612" s="143">
        <f>AS3603/((N_6*AS$27*0.667)*SQRT(AS3613*AS3605*AS3607))</f>
        <v>19.657269392980098</v>
      </c>
      <c r="AT3612" s="133"/>
      <c r="AU3612" s="155"/>
    </row>
    <row r="3613" spans="13:47" ht="15.5" x14ac:dyDescent="0.4">
      <c r="M3613" s="27"/>
      <c r="N3613" s="27"/>
      <c r="O3613" s="2" t="s">
        <v>192</v>
      </c>
      <c r="P3613" s="85">
        <v>10</v>
      </c>
      <c r="Q3613" s="2"/>
      <c r="R3613" s="181">
        <f>F_GAMMA*R$29</f>
        <v>0.64002688015162901</v>
      </c>
      <c r="S3613" s="133"/>
      <c r="T3613" s="147"/>
      <c r="U3613" s="138">
        <f>F_GAMMA*U$29</f>
        <v>0.64016782916606918</v>
      </c>
      <c r="V3613" s="133"/>
      <c r="W3613" s="155"/>
      <c r="X3613" s="138">
        <f>F_GAMMA*X$29</f>
        <v>0.6307062319203669</v>
      </c>
      <c r="Y3613" s="133"/>
      <c r="Z3613" s="155"/>
      <c r="AA3613" s="138">
        <f>F_GAMMA*AA$29</f>
        <v>0.62217534213893466</v>
      </c>
      <c r="AB3613" s="133"/>
      <c r="AC3613" s="155"/>
      <c r="AD3613" s="138">
        <f>F_GAMMA*AD$29</f>
        <v>0.60557184969146072</v>
      </c>
      <c r="AE3613" s="133"/>
      <c r="AF3613" s="155"/>
      <c r="AG3613" s="138">
        <f>F_GAMMA*AG$29</f>
        <v>0.57289312142622573</v>
      </c>
      <c r="AH3613" s="133"/>
      <c r="AI3613" s="155"/>
      <c r="AJ3613" s="138">
        <f>F_GAMMA*AJ$29</f>
        <v>0.53590819116049981</v>
      </c>
      <c r="AK3613" s="133"/>
      <c r="AL3613" s="155"/>
      <c r="AM3613" s="138">
        <f>F_GAMMA*AM$29</f>
        <v>0.49048815926850342</v>
      </c>
      <c r="AN3613" s="133"/>
      <c r="AO3613" s="155"/>
      <c r="AP3613" s="138">
        <f>F_GAMMA*AP$29</f>
        <v>0.59352979016280105</v>
      </c>
      <c r="AQ3613" s="133"/>
      <c r="AR3613" s="155"/>
      <c r="AS3613" s="138">
        <f>F_GAMMA*AS$29</f>
        <v>0.39097221161068291</v>
      </c>
      <c r="AT3613" s="133"/>
      <c r="AU3613" s="155"/>
    </row>
    <row r="3614" spans="13:47" x14ac:dyDescent="0.25">
      <c r="M3614" s="27"/>
      <c r="N3614" s="27"/>
      <c r="O3614" s="2" t="s">
        <v>193</v>
      </c>
      <c r="P3614" s="134"/>
      <c r="Q3614" s="2"/>
      <c r="R3614" s="181">
        <f>IF(R3609&lt;R3613,R3611,R3612)</f>
        <v>7.8357475546779316</v>
      </c>
      <c r="S3614" s="133"/>
      <c r="T3614" s="147"/>
      <c r="U3614" s="138">
        <f>IF(U3609&lt;U3613,U3611,U3612)</f>
        <v>30.381457021084888</v>
      </c>
      <c r="V3614" s="133"/>
      <c r="W3614" s="155"/>
      <c r="X3614" s="138" t="e">
        <f>IF(X3609&lt;X3613,X3611,X3612)</f>
        <v>#NUM!</v>
      </c>
      <c r="Y3614" s="133"/>
      <c r="Z3614" s="155"/>
      <c r="AA3614" s="138">
        <f>IF(AA3609&lt;AA3613,AA3611,AA3612)</f>
        <v>56.401365078279937</v>
      </c>
      <c r="AB3614" s="133"/>
      <c r="AC3614" s="155"/>
      <c r="AD3614" s="138">
        <f>IF(AD3609&lt;AD3613,AD3611,AD3612)</f>
        <v>27.277086988066213</v>
      </c>
      <c r="AE3614" s="133"/>
      <c r="AF3614" s="155"/>
      <c r="AG3614" s="138">
        <f>IF(AG3609&lt;AG3613,AG3611,AG3612)</f>
        <v>19.183914814365842</v>
      </c>
      <c r="AH3614" s="133"/>
      <c r="AI3614" s="155"/>
      <c r="AJ3614" s="138">
        <f>IF(AJ3609&lt;AJ3613,AJ3611,AJ3612)</f>
        <v>15.780733279763924</v>
      </c>
      <c r="AK3614" s="133"/>
      <c r="AL3614" s="155"/>
      <c r="AM3614" s="138">
        <f>IF(AM3609&lt;AM3613,AM3611,AM3612)</f>
        <v>14.77788664035022</v>
      </c>
      <c r="AN3614" s="133"/>
      <c r="AO3614" s="155"/>
      <c r="AP3614" s="138">
        <f>IF(AP3609&lt;AP3613,AP3611,AP3612)</f>
        <v>13.604713506253125</v>
      </c>
      <c r="AQ3614" s="133"/>
      <c r="AR3614" s="155"/>
      <c r="AS3614" s="138">
        <f>IF(AS3609&lt;AS3613,AS3611,AS3612)</f>
        <v>19.657269392980098</v>
      </c>
      <c r="AT3614" s="133"/>
      <c r="AU3614" s="155"/>
    </row>
    <row r="3615" spans="13:47" ht="13" x14ac:dyDescent="0.3">
      <c r="M3615" s="28"/>
      <c r="N3615" s="28"/>
      <c r="O3615" s="9" t="s">
        <v>194</v>
      </c>
      <c r="P3615" s="1"/>
      <c r="Q3615" s="1"/>
      <c r="R3615" s="135"/>
      <c r="S3615" s="132">
        <f>IF(R3608&lt;=0,W_max,ABS(R$23-R3614))</f>
        <v>5.8357475546779316</v>
      </c>
      <c r="T3615" s="151">
        <f>R3603</f>
        <v>1785.867714253415</v>
      </c>
      <c r="U3615" s="135"/>
      <c r="V3615" s="132">
        <f>IF(U3608&lt;=0,W_max,ABS(U$23-U3614))</f>
        <v>25.381457021084888</v>
      </c>
      <c r="W3615" s="151">
        <f>U3603</f>
        <v>5874.7301259204196</v>
      </c>
      <c r="X3615" s="135"/>
      <c r="Y3615" s="132">
        <f>IF(X3608&lt;=0,W_max,ABS(X$23-X3614))</f>
        <v>7174</v>
      </c>
      <c r="Z3615" s="151">
        <f>X3603</f>
        <v>14528.906702481228</v>
      </c>
      <c r="AA3615" s="135"/>
      <c r="AB3615" s="132">
        <f>IF(AA3608&lt;=0,W_max,ABS(AA$23-AA3614))</f>
        <v>7174</v>
      </c>
      <c r="AC3615" s="151">
        <f>AA3603</f>
        <v>28298.6018196367</v>
      </c>
      <c r="AD3615" s="135"/>
      <c r="AE3615" s="132">
        <f>IF(AD3608&lt;=0,W_max,ABS(AD$23-AD3614))</f>
        <v>7174</v>
      </c>
      <c r="AF3615" s="151">
        <f>AD3603</f>
        <v>46540.781066263713</v>
      </c>
      <c r="AG3615" s="135"/>
      <c r="AH3615" s="132">
        <f>IF(AG3608&lt;=0,W_max,ABS(AG$23-AG3614))</f>
        <v>7174</v>
      </c>
      <c r="AI3615" s="151">
        <f>AG3603</f>
        <v>65277.028441898059</v>
      </c>
      <c r="AJ3615" s="135"/>
      <c r="AK3615" s="132">
        <f>IF(AJ3608&lt;=0,W_max,ABS(AJ$23-AJ3614))</f>
        <v>7174</v>
      </c>
      <c r="AL3615" s="151">
        <f>AJ3603</f>
        <v>82884.504765881196</v>
      </c>
      <c r="AM3615" s="135"/>
      <c r="AN3615" s="132">
        <f>IF(AM3608&lt;=0,W_max,ABS(AM$23-AM3614))</f>
        <v>7174</v>
      </c>
      <c r="AO3615" s="151">
        <f>AM3603</f>
        <v>97188.600283548803</v>
      </c>
      <c r="AP3615" s="135"/>
      <c r="AQ3615" s="132">
        <f>IF(AP3608&lt;=0,W_max,ABS(AP$23-AP3614))</f>
        <v>7174</v>
      </c>
      <c r="AR3615" s="151">
        <f>AP3603</f>
        <v>108430.24499306321</v>
      </c>
      <c r="AS3615" s="135"/>
      <c r="AT3615" s="132">
        <f>IF(AS3608&lt;=0,W_max,ABS(AS$23-AS3614))</f>
        <v>7174</v>
      </c>
      <c r="AU3615" s="151">
        <f>AS3603</f>
        <v>120972.19215992605</v>
      </c>
    </row>
    <row r="3616" spans="13:47" ht="13" x14ac:dyDescent="0.25">
      <c r="M3616" s="12"/>
      <c r="N3616" s="12"/>
      <c r="O3616" s="12"/>
      <c r="P3616" s="12"/>
      <c r="Q3616" s="12"/>
      <c r="R3616" s="182"/>
      <c r="S3616" s="22"/>
      <c r="T3616" s="152"/>
      <c r="U3616" s="157"/>
      <c r="V3616" s="1"/>
      <c r="W3616" s="147"/>
      <c r="X3616" s="157"/>
      <c r="Y3616" s="1"/>
      <c r="Z3616" s="147"/>
      <c r="AA3616" s="157"/>
      <c r="AB3616" s="1"/>
      <c r="AC3616" s="147"/>
      <c r="AD3616" s="157"/>
      <c r="AE3616" s="1"/>
      <c r="AF3616" s="147"/>
      <c r="AG3616" s="157"/>
      <c r="AH3616" s="1"/>
      <c r="AI3616" s="147"/>
      <c r="AJ3616" s="157"/>
      <c r="AK3616" s="1"/>
      <c r="AL3616" s="147"/>
      <c r="AM3616" s="157"/>
      <c r="AN3616" s="1"/>
      <c r="AO3616" s="147"/>
      <c r="AP3616" s="157"/>
      <c r="AQ3616" s="1"/>
      <c r="AR3616" s="147"/>
      <c r="AS3616" s="157"/>
      <c r="AT3616" s="1"/>
      <c r="AU3616" s="147"/>
    </row>
    <row r="3617" spans="13:47" ht="14" x14ac:dyDescent="0.3">
      <c r="M3617" s="23"/>
      <c r="N3617" s="23"/>
      <c r="O3617" s="23" t="s">
        <v>238</v>
      </c>
      <c r="P3617" s="20"/>
      <c r="Q3617" s="20"/>
      <c r="R3617" s="18">
        <f>R3603*1.02</f>
        <v>1821.5850685384833</v>
      </c>
      <c r="S3617" s="128" t="s">
        <v>185</v>
      </c>
      <c r="T3617" s="153" t="s">
        <v>186</v>
      </c>
      <c r="U3617" s="143">
        <f>U3603*1.01</f>
        <v>5933.4774271796241</v>
      </c>
      <c r="V3617" s="128" t="s">
        <v>185</v>
      </c>
      <c r="W3617" s="153" t="s">
        <v>186</v>
      </c>
      <c r="X3617" s="143">
        <f>X3603*1.01</f>
        <v>14674.195769506041</v>
      </c>
      <c r="Y3617" s="128" t="s">
        <v>185</v>
      </c>
      <c r="Z3617" s="153" t="s">
        <v>186</v>
      </c>
      <c r="AA3617" s="143">
        <f>AA3603*1.01</f>
        <v>28581.587837833067</v>
      </c>
      <c r="AB3617" s="128" t="s">
        <v>185</v>
      </c>
      <c r="AC3617" s="153" t="s">
        <v>186</v>
      </c>
      <c r="AD3617" s="143">
        <f>AD3603*1.01</f>
        <v>47006.188876926353</v>
      </c>
      <c r="AE3617" s="128" t="s">
        <v>185</v>
      </c>
      <c r="AF3617" s="153" t="s">
        <v>186</v>
      </c>
      <c r="AG3617" s="143">
        <f>AG3603*1.01</f>
        <v>65929.798726317036</v>
      </c>
      <c r="AH3617" s="128" t="s">
        <v>185</v>
      </c>
      <c r="AI3617" s="153" t="s">
        <v>186</v>
      </c>
      <c r="AJ3617" s="143">
        <f>AJ3603*1.01</f>
        <v>83713.349813540015</v>
      </c>
      <c r="AK3617" s="128" t="s">
        <v>185</v>
      </c>
      <c r="AL3617" s="153" t="s">
        <v>186</v>
      </c>
      <c r="AM3617" s="143">
        <f>AM3603*1.01</f>
        <v>98160.486286384286</v>
      </c>
      <c r="AN3617" s="128" t="s">
        <v>185</v>
      </c>
      <c r="AO3617" s="153" t="s">
        <v>186</v>
      </c>
      <c r="AP3617" s="143">
        <f>AP3603*1.01</f>
        <v>109514.54744299385</v>
      </c>
      <c r="AQ3617" s="128" t="s">
        <v>185</v>
      </c>
      <c r="AR3617" s="153" t="s">
        <v>186</v>
      </c>
      <c r="AS3617" s="143">
        <f>AS3603*1.01</f>
        <v>122181.91408152532</v>
      </c>
      <c r="AT3617" s="128" t="s">
        <v>185</v>
      </c>
      <c r="AU3617" s="153" t="s">
        <v>186</v>
      </c>
    </row>
    <row r="3618" spans="13:47" ht="14" x14ac:dyDescent="0.3">
      <c r="M3618" s="12"/>
      <c r="N3618" s="12"/>
      <c r="O3618" s="20"/>
      <c r="P3618" s="20"/>
      <c r="Q3618" s="23"/>
      <c r="R3618" s="139"/>
      <c r="S3618" s="130" t="s">
        <v>228</v>
      </c>
      <c r="T3618" s="154" t="s">
        <v>187</v>
      </c>
      <c r="U3618" s="144"/>
      <c r="V3618" s="130" t="s">
        <v>228</v>
      </c>
      <c r="W3618" s="154" t="s">
        <v>187</v>
      </c>
      <c r="X3618" s="144"/>
      <c r="Y3618" s="130" t="s">
        <v>228</v>
      </c>
      <c r="Z3618" s="154" t="s">
        <v>187</v>
      </c>
      <c r="AA3618" s="144"/>
      <c r="AB3618" s="130" t="s">
        <v>228</v>
      </c>
      <c r="AC3618" s="154" t="s">
        <v>187</v>
      </c>
      <c r="AD3618" s="144"/>
      <c r="AE3618" s="130" t="s">
        <v>228</v>
      </c>
      <c r="AF3618" s="154" t="s">
        <v>187</v>
      </c>
      <c r="AG3618" s="144"/>
      <c r="AH3618" s="130" t="s">
        <v>228</v>
      </c>
      <c r="AI3618" s="154" t="s">
        <v>187</v>
      </c>
      <c r="AJ3618" s="144"/>
      <c r="AK3618" s="130" t="s">
        <v>228</v>
      </c>
      <c r="AL3618" s="154" t="s">
        <v>187</v>
      </c>
      <c r="AM3618" s="144"/>
      <c r="AN3618" s="130" t="s">
        <v>228</v>
      </c>
      <c r="AO3618" s="154" t="s">
        <v>187</v>
      </c>
      <c r="AP3618" s="144"/>
      <c r="AQ3618" s="130" t="s">
        <v>228</v>
      </c>
      <c r="AR3618" s="154" t="s">
        <v>187</v>
      </c>
      <c r="AS3618" s="144"/>
      <c r="AT3618" s="130" t="s">
        <v>228</v>
      </c>
      <c r="AU3618" s="154" t="s">
        <v>187</v>
      </c>
    </row>
    <row r="3619" spans="13:47" x14ac:dyDescent="0.25">
      <c r="M3619" s="20"/>
      <c r="N3619" s="20"/>
      <c r="O3619" s="7" t="s">
        <v>188</v>
      </c>
      <c r="P3619" s="7"/>
      <c r="Q3619" s="7"/>
      <c r="R3619" s="181">
        <f>P_1_minW-(R3617^2*R_up)+dpup_minQ</f>
        <v>99.199626311541195</v>
      </c>
      <c r="S3619" s="132"/>
      <c r="T3619" s="145"/>
      <c r="U3619" s="138">
        <f>P_1_minW-(U3617^2*R_up)+dpup_minQ</f>
        <v>86.483915959726673</v>
      </c>
      <c r="V3619" s="132"/>
      <c r="W3619" s="145"/>
      <c r="X3619" s="138">
        <f>P_1_minW-(X3617^2*R_up)+dpup_minQ</f>
        <v>14.656594388575982</v>
      </c>
      <c r="Y3619" s="132"/>
      <c r="Z3619" s="145"/>
      <c r="AA3619" s="138">
        <f>P_1_minW-(AA3617^2*R_up)+dpup_minQ</f>
        <v>-225.22861398172134</v>
      </c>
      <c r="AB3619" s="132"/>
      <c r="AC3619" s="145"/>
      <c r="AD3619" s="138">
        <f>P_1_minW-(AD3617^2*R_up)+dpup_minQ</f>
        <v>-780.5741068799656</v>
      </c>
      <c r="AE3619" s="132"/>
      <c r="AF3619" s="145"/>
      <c r="AG3619" s="138">
        <f>P_1_minW-(AG3617^2*R_up)+dpup_minQ</f>
        <v>-1632.7905846160259</v>
      </c>
      <c r="AH3619" s="132"/>
      <c r="AI3619" s="145"/>
      <c r="AJ3619" s="138">
        <f>P_1_minW-(AJ3617^2*R_up)+dpup_minQ</f>
        <v>-2693.9702313538896</v>
      </c>
      <c r="AK3619" s="132"/>
      <c r="AL3619" s="145"/>
      <c r="AM3619" s="138">
        <f>P_1_minW-(AM3617^2*R_up)+dpup_minQ</f>
        <v>-3741.7393397071974</v>
      </c>
      <c r="AN3619" s="132"/>
      <c r="AO3619" s="145"/>
      <c r="AP3619" s="138">
        <f>P_1_minW-(AP3617^2*R_up)+dpup_minQ</f>
        <v>-4682.0018193683254</v>
      </c>
      <c r="AQ3619" s="132"/>
      <c r="AR3619" s="145"/>
      <c r="AS3619" s="138">
        <f>P_1_minW-(AS3617^2*R_up)+dpup_minQ</f>
        <v>-5852.361440131258</v>
      </c>
      <c r="AT3619" s="132"/>
      <c r="AU3619" s="145"/>
    </row>
    <row r="3620" spans="13:47" x14ac:dyDescent="0.25">
      <c r="M3620" s="20"/>
      <c r="N3620" s="20"/>
      <c r="O3620" s="7" t="s">
        <v>189</v>
      </c>
      <c r="P3620" s="1"/>
      <c r="Q3620" s="7"/>
      <c r="R3620" s="181">
        <f>P_2_minW+(R3617^2*R_dn)-dpdn_minQ</f>
        <v>50</v>
      </c>
      <c r="S3620" s="132"/>
      <c r="T3620" s="146"/>
      <c r="U3620" s="138">
        <f>P_2_minW+(U3617^2*R_dn)-dpdn_minQ</f>
        <v>50</v>
      </c>
      <c r="V3620" s="132"/>
      <c r="W3620" s="146"/>
      <c r="X3620" s="138">
        <f>P_2_minW+(X3617^2*R_dn)-dpdn_minQ</f>
        <v>50</v>
      </c>
      <c r="Y3620" s="132"/>
      <c r="Z3620" s="146"/>
      <c r="AA3620" s="138">
        <f>P_2_minW+(AA3617^2*R_dn)-dpdn_minQ</f>
        <v>50</v>
      </c>
      <c r="AB3620" s="132"/>
      <c r="AC3620" s="146"/>
      <c r="AD3620" s="138">
        <f>P_2_minW+(AD3617^2*R_dn)-dpdn_minQ</f>
        <v>50</v>
      </c>
      <c r="AE3620" s="132"/>
      <c r="AF3620" s="146"/>
      <c r="AG3620" s="138">
        <f>P_2_minW+(AG3617^2*R_dn)-dpdn_minQ</f>
        <v>50</v>
      </c>
      <c r="AH3620" s="132"/>
      <c r="AI3620" s="146"/>
      <c r="AJ3620" s="138">
        <f>P_2_minW+(AJ3617^2*R_dn)-dpdn_minQ</f>
        <v>50</v>
      </c>
      <c r="AK3620" s="132"/>
      <c r="AL3620" s="146"/>
      <c r="AM3620" s="138">
        <f>P_2_minW+(AM3617^2*R_dn)-dpdn_minQ</f>
        <v>50</v>
      </c>
      <c r="AN3620" s="132"/>
      <c r="AO3620" s="146"/>
      <c r="AP3620" s="138">
        <f>P_2_minW+(AP3617^2*R_dn)-dpdn_minQ</f>
        <v>50</v>
      </c>
      <c r="AQ3620" s="132"/>
      <c r="AR3620" s="146"/>
      <c r="AS3620" s="138">
        <f>P_2_minW+(AS3617^2*R_dn)-dpdn_minQ</f>
        <v>50</v>
      </c>
      <c r="AT3620" s="132"/>
      <c r="AU3620" s="146"/>
    </row>
    <row r="3621" spans="13:47" x14ac:dyDescent="0.25">
      <c r="M3621" s="20"/>
      <c r="N3621" s="20"/>
      <c r="O3621" s="7" t="s">
        <v>234</v>
      </c>
      <c r="P3621" s="1"/>
      <c r="Q3621" s="7"/>
      <c r="R3621" s="179">
        <f>'Valve Sizing'!G$8*R3619/P_1_maxW</f>
        <v>0.47852133592198981</v>
      </c>
      <c r="S3621" s="132"/>
      <c r="T3621" s="146"/>
      <c r="U3621" s="143">
        <f>'Valve Sizing'!$G$8*U3619/P_1_maxW</f>
        <v>0.41718301307752725</v>
      </c>
      <c r="V3621" s="132"/>
      <c r="W3621" s="146"/>
      <c r="X3621" s="143">
        <f>'Valve Sizing'!$G$8*X3619/P_1_maxW</f>
        <v>7.0700801884695672E-2</v>
      </c>
      <c r="Y3621" s="132"/>
      <c r="Z3621" s="146"/>
      <c r="AA3621" s="143">
        <f>'Valve Sizing'!$G$8*AA3619/P_1_maxW</f>
        <v>-1.0864627343646795</v>
      </c>
      <c r="AB3621" s="132"/>
      <c r="AC3621" s="146"/>
      <c r="AD3621" s="143">
        <f>'Valve Sizing'!$G$8*AD3619/P_1_maxW</f>
        <v>-3.7653505189349543</v>
      </c>
      <c r="AE3621" s="132"/>
      <c r="AF3621" s="146"/>
      <c r="AG3621" s="143">
        <f>'Valve Sizing'!$G$8*AG3619/P_1_maxW</f>
        <v>-7.8762910797417565</v>
      </c>
      <c r="AH3621" s="132"/>
      <c r="AI3621" s="146"/>
      <c r="AJ3621" s="143">
        <f>'Valve Sizing'!$G$8*AJ3619/P_1_maxW</f>
        <v>-12.9952327642141</v>
      </c>
      <c r="AK3621" s="132"/>
      <c r="AL3621" s="146"/>
      <c r="AM3621" s="143">
        <f>'Valve Sizing'!$G$8*AM3619/P_1_maxW</f>
        <v>-18.049484399118544</v>
      </c>
      <c r="AN3621" s="132"/>
      <c r="AO3621" s="146"/>
      <c r="AP3621" s="143">
        <f>'Valve Sizing'!$G$8*AP3619/P_1_maxW</f>
        <v>-22.585143197587414</v>
      </c>
      <c r="AQ3621" s="132"/>
      <c r="AR3621" s="146"/>
      <c r="AS3621" s="143">
        <f>'Valve Sizing'!$G$8*AS3619/P_1_maxW</f>
        <v>-28.230749638460416</v>
      </c>
      <c r="AT3621" s="132"/>
      <c r="AU3621" s="146"/>
    </row>
    <row r="3622" spans="13:47" x14ac:dyDescent="0.25">
      <c r="M3622" s="20"/>
      <c r="N3622" s="20"/>
      <c r="O3622" s="7" t="s">
        <v>190</v>
      </c>
      <c r="P3622" s="1"/>
      <c r="Q3622" s="7"/>
      <c r="R3622" s="181">
        <f>R3619-R3620</f>
        <v>49.199626311541195</v>
      </c>
      <c r="S3622" s="132"/>
      <c r="T3622" s="146"/>
      <c r="U3622" s="138">
        <f>U3619-U3620</f>
        <v>36.483915959726673</v>
      </c>
      <c r="V3622" s="132"/>
      <c r="W3622" s="146"/>
      <c r="X3622" s="138">
        <f>X3619-X3620</f>
        <v>-35.343405611424018</v>
      </c>
      <c r="Y3622" s="132"/>
      <c r="Z3622" s="146"/>
      <c r="AA3622" s="138">
        <f>AA3619-AA3620</f>
        <v>-275.22861398172131</v>
      </c>
      <c r="AB3622" s="132"/>
      <c r="AC3622" s="146"/>
      <c r="AD3622" s="138">
        <f>AD3619-AD3620</f>
        <v>-830.5741068799656</v>
      </c>
      <c r="AE3622" s="132"/>
      <c r="AF3622" s="146"/>
      <c r="AG3622" s="138">
        <f>AG3619-AG3620</f>
        <v>-1682.7905846160259</v>
      </c>
      <c r="AH3622" s="132"/>
      <c r="AI3622" s="146"/>
      <c r="AJ3622" s="138">
        <f>AJ3619-AJ3620</f>
        <v>-2743.9702313538896</v>
      </c>
      <c r="AK3622" s="132"/>
      <c r="AL3622" s="146"/>
      <c r="AM3622" s="138">
        <f>AM3619-AM3620</f>
        <v>-3791.7393397071974</v>
      </c>
      <c r="AN3622" s="132"/>
      <c r="AO3622" s="146"/>
      <c r="AP3622" s="138">
        <f>AP3619-AP3620</f>
        <v>-4732.0018193683254</v>
      </c>
      <c r="AQ3622" s="132"/>
      <c r="AR3622" s="146"/>
      <c r="AS3622" s="138">
        <f>AS3619-AS3620</f>
        <v>-5902.361440131258</v>
      </c>
      <c r="AT3622" s="132"/>
      <c r="AU3622" s="146"/>
    </row>
    <row r="3623" spans="13:47" ht="14.5" x14ac:dyDescent="0.35">
      <c r="M3623" s="27"/>
      <c r="N3623" s="27"/>
      <c r="O3623" s="2" t="s">
        <v>191</v>
      </c>
      <c r="P3623" s="10"/>
      <c r="Q3623" s="2"/>
      <c r="R3623" s="181">
        <f>R3622/R3619</f>
        <v>0.49596584322835452</v>
      </c>
      <c r="S3623" s="132"/>
      <c r="T3623" s="146"/>
      <c r="U3623" s="138">
        <f>U3622/U3619</f>
        <v>0.42185781662241439</v>
      </c>
      <c r="V3623" s="132"/>
      <c r="W3623" s="146"/>
      <c r="X3623" s="138">
        <f>X3622/X3619</f>
        <v>-2.4114336983339242</v>
      </c>
      <c r="Y3623" s="132"/>
      <c r="Z3623" s="146"/>
      <c r="AA3623" s="138">
        <f>AA3622/AA3619</f>
        <v>1.2219966598207535</v>
      </c>
      <c r="AB3623" s="132"/>
      <c r="AC3623" s="146"/>
      <c r="AD3623" s="138">
        <f>AD3622/AD3619</f>
        <v>1.0640554171081271</v>
      </c>
      <c r="AE3623" s="132"/>
      <c r="AF3623" s="146"/>
      <c r="AG3623" s="138">
        <f>AG3622/AG3619</f>
        <v>1.0306224205792798</v>
      </c>
      <c r="AH3623" s="132"/>
      <c r="AI3623" s="146"/>
      <c r="AJ3623" s="138">
        <f>AJ3622/AJ3619</f>
        <v>1.0185599675223107</v>
      </c>
      <c r="AK3623" s="132"/>
      <c r="AL3623" s="146"/>
      <c r="AM3623" s="138">
        <f>AM3622/AM3619</f>
        <v>1.0133627694129845</v>
      </c>
      <c r="AN3623" s="132"/>
      <c r="AO3623" s="146"/>
      <c r="AP3623" s="138">
        <f>AP3622/AP3619</f>
        <v>1.0106791927745866</v>
      </c>
      <c r="AQ3623" s="132"/>
      <c r="AR3623" s="146"/>
      <c r="AS3623" s="138">
        <f>AS3622/AS3619</f>
        <v>1.0085435598111108</v>
      </c>
      <c r="AT3623" s="132"/>
      <c r="AU3623" s="146"/>
    </row>
    <row r="3624" spans="13:47" x14ac:dyDescent="0.25">
      <c r="M3624" s="27"/>
      <c r="N3624" s="27"/>
      <c r="O3624" s="2" t="s">
        <v>26</v>
      </c>
      <c r="P3624" s="7">
        <v>12</v>
      </c>
      <c r="Q3624" s="2"/>
      <c r="R3624" s="181">
        <f>1-R3623/(3*F_GAMMA*R$29)</f>
        <v>0.74169530551026486</v>
      </c>
      <c r="S3624" s="133"/>
      <c r="T3624" s="146"/>
      <c r="U3624" s="138">
        <f>1-U3623/(3*F_GAMMA*U$29)</f>
        <v>0.78033998929522475</v>
      </c>
      <c r="V3624" s="133"/>
      <c r="W3624" s="146"/>
      <c r="X3624" s="138">
        <f>1-X3623/(3*F_GAMMA*X$29)</f>
        <v>2.2744621697022716</v>
      </c>
      <c r="Y3624" s="133"/>
      <c r="Z3624" s="146"/>
      <c r="AA3624" s="138">
        <f>1-AA3623/(3*F_GAMMA*AA$29)</f>
        <v>0.34530960590641346</v>
      </c>
      <c r="AB3624" s="133"/>
      <c r="AC3624" s="146"/>
      <c r="AD3624" s="138">
        <f>1-AD3623/(3*F_GAMMA*AD$29)</f>
        <v>0.41429718171880892</v>
      </c>
      <c r="AE3624" s="133"/>
      <c r="AF3624" s="146"/>
      <c r="AG3624" s="138">
        <f>1-AG3623/(3*F_GAMMA*AG$29)</f>
        <v>0.40034049282262263</v>
      </c>
      <c r="AH3624" s="133"/>
      <c r="AI3624" s="146"/>
      <c r="AJ3624" s="138">
        <f>1-AJ3623/(3*F_GAMMA*AJ$29)</f>
        <v>0.36645866815567985</v>
      </c>
      <c r="AK3624" s="133"/>
      <c r="AL3624" s="146"/>
      <c r="AM3624" s="138">
        <f>1-AM3623/(3*F_GAMMA*AM$29)</f>
        <v>0.31132366108879661</v>
      </c>
      <c r="AN3624" s="133"/>
      <c r="AO3624" s="146"/>
      <c r="AP3624" s="138">
        <f>1-AP3623/(3*F_GAMMA*AP$29)</f>
        <v>0.43239064012981021</v>
      </c>
      <c r="AQ3624" s="133"/>
      <c r="AR3624" s="146"/>
      <c r="AS3624" s="138">
        <f>1-AS3623/(3*F_GAMMA*AS$29)</f>
        <v>0.14014045852838874</v>
      </c>
      <c r="AT3624" s="133"/>
      <c r="AU3624" s="146"/>
    </row>
    <row r="3625" spans="13:47" x14ac:dyDescent="0.25">
      <c r="M3625" s="27"/>
      <c r="N3625" s="27"/>
      <c r="O3625" s="2" t="s">
        <v>71</v>
      </c>
      <c r="P3625" s="85">
        <v>5</v>
      </c>
      <c r="Q3625" s="2"/>
      <c r="R3625" s="179">
        <f>R3617/((N_6*R$27*R3624)*SQRT(R3623*R3619*R3621))</f>
        <v>7.9972398574868384</v>
      </c>
      <c r="S3625" s="133"/>
      <c r="T3625" s="146"/>
      <c r="U3625" s="143">
        <f>U3617/((N_6*U$27*U3624)*SQRT(U3623*U3619*U3621))</f>
        <v>30.812654367490843</v>
      </c>
      <c r="V3625" s="133"/>
      <c r="W3625" s="146"/>
      <c r="X3625" s="143" t="e">
        <f>X3617/((N_6*X$27*X3624)*SQRT(X3623*X3619*X3621))</f>
        <v>#NUM!</v>
      </c>
      <c r="Y3625" s="133"/>
      <c r="Z3625" s="146"/>
      <c r="AA3625" s="143">
        <f>AA3617/((N_6*AA$27*AA3624)*SQRT(AA3623*AA3619*AA3621))</f>
        <v>76.276929413312644</v>
      </c>
      <c r="AB3625" s="133"/>
      <c r="AC3625" s="146"/>
      <c r="AD3625" s="143">
        <f>AD3617/((N_6*AD$27*AD3624)*SQRT(AD3623*AD3619*AD3621))</f>
        <v>32.716403916099317</v>
      </c>
      <c r="AE3625" s="133"/>
      <c r="AF3625" s="146"/>
      <c r="AG3625" s="143">
        <f>AG3617/((N_6*AG$27*AG3624)*SQRT(AG3623*AG3619*AG3621))</f>
        <v>23.564673964960217</v>
      </c>
      <c r="AH3625" s="133"/>
      <c r="AI3625" s="146"/>
      <c r="AJ3625" s="143">
        <f>AJ3617/((N_6*AJ$27*AJ3624)*SQRT(AJ3623*AJ3619*AJ3621))</f>
        <v>20.612595885741978</v>
      </c>
      <c r="AK3625" s="133"/>
      <c r="AL3625" s="146"/>
      <c r="AM3625" s="143">
        <f>AM3617/((N_6*AM$27*AM3624)*SQRT(AM3623*AM3619*AM3621))</f>
        <v>21.797258508708229</v>
      </c>
      <c r="AN3625" s="133"/>
      <c r="AO3625" s="146"/>
      <c r="AP3625" s="143">
        <f>AP3617/((N_6*AP$27*AP3624)*SQRT(AP3623*AP3619*AP3621))</f>
        <v>15.916395258827157</v>
      </c>
      <c r="AQ3625" s="133"/>
      <c r="AR3625" s="146"/>
      <c r="AS3625" s="143">
        <f>AS3617/((N_6*AS$27*AS3624)*SQRT(AS3623*AS3619*AS3621))</f>
        <v>57.655370344782391</v>
      </c>
      <c r="AT3625" s="133"/>
      <c r="AU3625" s="146"/>
    </row>
    <row r="3626" spans="13:47" x14ac:dyDescent="0.25">
      <c r="M3626" s="27"/>
      <c r="N3626" s="27"/>
      <c r="O3626" s="2" t="s">
        <v>73</v>
      </c>
      <c r="P3626" s="85">
        <v>5</v>
      </c>
      <c r="Q3626" s="2"/>
      <c r="R3626" s="179">
        <f>R3617/((N_6*R$27*0.667)*SQRT(R3627*R3619*R3621))</f>
        <v>7.8282843990268409</v>
      </c>
      <c r="S3626" s="133"/>
      <c r="T3626" s="155"/>
      <c r="U3626" s="143">
        <f>U3617/((N_6*U$27*0.667)*SQRT(U3627*U3619*U3621))</f>
        <v>29.263297963306361</v>
      </c>
      <c r="V3626" s="133"/>
      <c r="W3626" s="155"/>
      <c r="X3626" s="143">
        <f>X3617/((N_6*X$27*0.667)*SQRT(X3627*X3619*X3621))</f>
        <v>431.18668917677917</v>
      </c>
      <c r="Y3626" s="133"/>
      <c r="Z3626" s="155"/>
      <c r="AA3626" s="143">
        <f>AA3617/((N_6*AA$27*0.667)*SQRT(AA3627*AA3619*AA3621))</f>
        <v>55.341973178513186</v>
      </c>
      <c r="AB3626" s="133"/>
      <c r="AC3626" s="155"/>
      <c r="AD3626" s="143">
        <f>AD3617/((N_6*AD$27*0.667)*SQRT(AD3627*AD3619*AD3621))</f>
        <v>26.937109435774421</v>
      </c>
      <c r="AE3626" s="133"/>
      <c r="AF3626" s="155"/>
      <c r="AG3626" s="143">
        <f>AG3617/((N_6*AG$27*0.667)*SQRT(AG3627*AG3619*AG3621))</f>
        <v>18.970470837782909</v>
      </c>
      <c r="AH3626" s="133"/>
      <c r="AI3626" s="155"/>
      <c r="AJ3626" s="143">
        <f>AJ3617/((N_6*AJ$27*0.667)*SQRT(AJ3627*AJ3619*AJ3621))</f>
        <v>15.612769853543705</v>
      </c>
      <c r="AK3626" s="133"/>
      <c r="AL3626" s="155"/>
      <c r="AM3626" s="143">
        <f>AM3617/((N_6*AM$27*0.667)*SQRT(AM3627*AM3619*AM3621))</f>
        <v>14.623670004857928</v>
      </c>
      <c r="AN3626" s="133"/>
      <c r="AO3626" s="155"/>
      <c r="AP3626" s="143">
        <f>AP3617/((N_6*AP$27*0.667)*SQRT(AP3627*AP3619*AP3621))</f>
        <v>13.464200416657706</v>
      </c>
      <c r="AQ3626" s="133"/>
      <c r="AR3626" s="155"/>
      <c r="AS3626" s="143">
        <f>AS3617/((N_6*AS$27*0.667)*SQRT(AS3627*AS3619*AS3621))</f>
        <v>19.455923551623375</v>
      </c>
      <c r="AT3626" s="133"/>
      <c r="AU3626" s="155"/>
    </row>
    <row r="3627" spans="13:47" ht="15.5" x14ac:dyDescent="0.4">
      <c r="M3627" s="27"/>
      <c r="N3627" s="27"/>
      <c r="O3627" s="2" t="s">
        <v>192</v>
      </c>
      <c r="P3627" s="85">
        <v>10</v>
      </c>
      <c r="Q3627" s="2"/>
      <c r="R3627" s="181">
        <f>F_GAMMA*R$29</f>
        <v>0.64002688015162901</v>
      </c>
      <c r="S3627" s="133"/>
      <c r="T3627" s="155"/>
      <c r="U3627" s="138">
        <f>F_GAMMA*U$29</f>
        <v>0.64016782916606918</v>
      </c>
      <c r="V3627" s="133"/>
      <c r="W3627" s="155"/>
      <c r="X3627" s="138">
        <f>F_GAMMA*X$29</f>
        <v>0.6307062319203669</v>
      </c>
      <c r="Y3627" s="133"/>
      <c r="Z3627" s="155"/>
      <c r="AA3627" s="138">
        <f>F_GAMMA*AA$29</f>
        <v>0.62217534213893466</v>
      </c>
      <c r="AB3627" s="133"/>
      <c r="AC3627" s="155"/>
      <c r="AD3627" s="138">
        <f>F_GAMMA*AD$29</f>
        <v>0.60557184969146072</v>
      </c>
      <c r="AE3627" s="133"/>
      <c r="AF3627" s="155"/>
      <c r="AG3627" s="138">
        <f>F_GAMMA*AG$29</f>
        <v>0.57289312142622573</v>
      </c>
      <c r="AH3627" s="133"/>
      <c r="AI3627" s="155"/>
      <c r="AJ3627" s="138">
        <f>F_GAMMA*AJ$29</f>
        <v>0.53590819116049981</v>
      </c>
      <c r="AK3627" s="133"/>
      <c r="AL3627" s="155"/>
      <c r="AM3627" s="138">
        <f>F_GAMMA*AM$29</f>
        <v>0.49048815926850342</v>
      </c>
      <c r="AN3627" s="133"/>
      <c r="AO3627" s="155"/>
      <c r="AP3627" s="138">
        <f>F_GAMMA*AP$29</f>
        <v>0.59352979016280105</v>
      </c>
      <c r="AQ3627" s="133"/>
      <c r="AR3627" s="155"/>
      <c r="AS3627" s="138">
        <f>F_GAMMA*AS$29</f>
        <v>0.39097221161068291</v>
      </c>
      <c r="AT3627" s="133"/>
      <c r="AU3627" s="155"/>
    </row>
    <row r="3628" spans="13:47" x14ac:dyDescent="0.25">
      <c r="M3628" s="27"/>
      <c r="N3628" s="27"/>
      <c r="O3628" s="2" t="s">
        <v>193</v>
      </c>
      <c r="P3628" s="134"/>
      <c r="Q3628" s="2"/>
      <c r="R3628" s="181">
        <f>IF(R3623&lt;R3627,R3625,R3626)</f>
        <v>7.9972398574868384</v>
      </c>
      <c r="S3628" s="133"/>
      <c r="T3628" s="155"/>
      <c r="U3628" s="138">
        <f>IF(U3623&lt;U3627,U3625,U3626)</f>
        <v>30.812654367490843</v>
      </c>
      <c r="V3628" s="133"/>
      <c r="W3628" s="155"/>
      <c r="X3628" s="138" t="e">
        <f>IF(X3623&lt;X3627,X3625,X3626)</f>
        <v>#NUM!</v>
      </c>
      <c r="Y3628" s="133"/>
      <c r="Z3628" s="155"/>
      <c r="AA3628" s="138">
        <f>IF(AA3623&lt;AA3627,AA3625,AA3626)</f>
        <v>55.341973178513186</v>
      </c>
      <c r="AB3628" s="133"/>
      <c r="AC3628" s="155"/>
      <c r="AD3628" s="138">
        <f>IF(AD3623&lt;AD3627,AD3625,AD3626)</f>
        <v>26.937109435774421</v>
      </c>
      <c r="AE3628" s="133"/>
      <c r="AF3628" s="155"/>
      <c r="AG3628" s="138">
        <f>IF(AG3623&lt;AG3627,AG3625,AG3626)</f>
        <v>18.970470837782909</v>
      </c>
      <c r="AH3628" s="133"/>
      <c r="AI3628" s="155"/>
      <c r="AJ3628" s="138">
        <f>IF(AJ3623&lt;AJ3627,AJ3625,AJ3626)</f>
        <v>15.612769853543705</v>
      </c>
      <c r="AK3628" s="133"/>
      <c r="AL3628" s="155"/>
      <c r="AM3628" s="138">
        <f>IF(AM3623&lt;AM3627,AM3625,AM3626)</f>
        <v>14.623670004857928</v>
      </c>
      <c r="AN3628" s="133"/>
      <c r="AO3628" s="155"/>
      <c r="AP3628" s="138">
        <f>IF(AP3623&lt;AP3627,AP3625,AP3626)</f>
        <v>13.464200416657706</v>
      </c>
      <c r="AQ3628" s="133"/>
      <c r="AR3628" s="155"/>
      <c r="AS3628" s="138">
        <f>IF(AS3623&lt;AS3627,AS3625,AS3626)</f>
        <v>19.455923551623375</v>
      </c>
      <c r="AT3628" s="133"/>
      <c r="AU3628" s="155"/>
    </row>
    <row r="3629" spans="13:47" ht="13" x14ac:dyDescent="0.3">
      <c r="M3629" s="28"/>
      <c r="N3629" s="28"/>
      <c r="O3629" s="9" t="s">
        <v>194</v>
      </c>
      <c r="P3629" s="1"/>
      <c r="Q3629" s="1"/>
      <c r="R3629" s="135"/>
      <c r="S3629" s="132">
        <f>IF(R3622&lt;=0,W_max,ABS(R$23-R3628))</f>
        <v>5.9972398574868384</v>
      </c>
      <c r="T3629" s="151">
        <f>R3617</f>
        <v>1821.5850685384833</v>
      </c>
      <c r="U3629" s="135"/>
      <c r="V3629" s="132">
        <f>IF(U3622&lt;=0,W_max,ABS(U$23-U3628))</f>
        <v>25.812654367490843</v>
      </c>
      <c r="W3629" s="151">
        <f>U3617</f>
        <v>5933.4774271796241</v>
      </c>
      <c r="X3629" s="135"/>
      <c r="Y3629" s="132">
        <f>IF(X3622&lt;=0,W_max,ABS(X$23-X3628))</f>
        <v>7174</v>
      </c>
      <c r="Z3629" s="151">
        <f>X3617</f>
        <v>14674.195769506041</v>
      </c>
      <c r="AA3629" s="135"/>
      <c r="AB3629" s="132">
        <f>IF(AA3622&lt;=0,W_max,ABS(AA$23-AA3628))</f>
        <v>7174</v>
      </c>
      <c r="AC3629" s="151">
        <f>AA3617</f>
        <v>28581.587837833067</v>
      </c>
      <c r="AD3629" s="135"/>
      <c r="AE3629" s="132">
        <f>IF(AD3622&lt;=0,W_max,ABS(AD$23-AD3628))</f>
        <v>7174</v>
      </c>
      <c r="AF3629" s="151">
        <f>AD3617</f>
        <v>47006.188876926353</v>
      </c>
      <c r="AG3629" s="135"/>
      <c r="AH3629" s="132">
        <f>IF(AG3622&lt;=0,W_max,ABS(AG$23-AG3628))</f>
        <v>7174</v>
      </c>
      <c r="AI3629" s="151">
        <f>AG3617</f>
        <v>65929.798726317036</v>
      </c>
      <c r="AJ3629" s="135"/>
      <c r="AK3629" s="132">
        <f>IF(AJ3622&lt;=0,W_max,ABS(AJ$23-AJ3628))</f>
        <v>7174</v>
      </c>
      <c r="AL3629" s="151">
        <f>AJ3617</f>
        <v>83713.349813540015</v>
      </c>
      <c r="AM3629" s="135"/>
      <c r="AN3629" s="132">
        <f>IF(AM3622&lt;=0,W_max,ABS(AM$23-AM3628))</f>
        <v>7174</v>
      </c>
      <c r="AO3629" s="151">
        <f>AM3617</f>
        <v>98160.486286384286</v>
      </c>
      <c r="AP3629" s="135"/>
      <c r="AQ3629" s="132">
        <f>IF(AP3622&lt;=0,W_max,ABS(AP$23-AP3628))</f>
        <v>7174</v>
      </c>
      <c r="AR3629" s="151">
        <f>AP3617</f>
        <v>109514.54744299385</v>
      </c>
      <c r="AS3629" s="135"/>
      <c r="AT3629" s="132">
        <f>IF(AS3622&lt;=0,W_max,ABS(AS$23-AS3628))</f>
        <v>7174</v>
      </c>
      <c r="AU3629" s="151">
        <f>AS3617</f>
        <v>122181.91408152532</v>
      </c>
    </row>
    <row r="3630" spans="13:47" ht="13" x14ac:dyDescent="0.25">
      <c r="M3630" s="12"/>
      <c r="N3630" s="12"/>
      <c r="O3630" s="2"/>
      <c r="P3630" s="85"/>
      <c r="Q3630" s="2"/>
      <c r="R3630" s="18"/>
      <c r="S3630" s="150"/>
      <c r="T3630" s="152"/>
      <c r="U3630" s="157"/>
      <c r="V3630" s="1"/>
      <c r="W3630" s="147"/>
      <c r="X3630" s="157"/>
      <c r="Y3630" s="1"/>
      <c r="Z3630" s="147"/>
      <c r="AA3630" s="157"/>
      <c r="AB3630" s="1"/>
      <c r="AC3630" s="147"/>
      <c r="AD3630" s="157"/>
      <c r="AE3630" s="1"/>
      <c r="AF3630" s="147"/>
      <c r="AG3630" s="157"/>
      <c r="AH3630" s="1"/>
      <c r="AI3630" s="147"/>
      <c r="AJ3630" s="157"/>
      <c r="AK3630" s="1"/>
      <c r="AL3630" s="147"/>
      <c r="AM3630" s="157"/>
      <c r="AN3630" s="1"/>
      <c r="AO3630" s="147"/>
      <c r="AP3630" s="157"/>
      <c r="AQ3630" s="1"/>
      <c r="AR3630" s="147"/>
      <c r="AS3630" s="157"/>
      <c r="AT3630" s="1"/>
      <c r="AU3630" s="147"/>
    </row>
    <row r="3631" spans="13:47" ht="14" x14ac:dyDescent="0.3">
      <c r="M3631" s="23"/>
      <c r="N3631" s="23"/>
      <c r="O3631" s="23" t="s">
        <v>238</v>
      </c>
      <c r="P3631" s="20"/>
      <c r="Q3631" s="20"/>
      <c r="R3631" s="181">
        <f>R3617*1.02</f>
        <v>1858.0167699092528</v>
      </c>
      <c r="S3631" s="128" t="s">
        <v>185</v>
      </c>
      <c r="T3631" s="153" t="s">
        <v>186</v>
      </c>
      <c r="U3631" s="143">
        <f>U3617*1.01</f>
        <v>5992.8122014514202</v>
      </c>
      <c r="V3631" s="128" t="s">
        <v>185</v>
      </c>
      <c r="W3631" s="153" t="s">
        <v>186</v>
      </c>
      <c r="X3631" s="143">
        <f>X3617*1.01</f>
        <v>14820.937727201101</v>
      </c>
      <c r="Y3631" s="128" t="s">
        <v>185</v>
      </c>
      <c r="Z3631" s="153" t="s">
        <v>186</v>
      </c>
      <c r="AA3631" s="143">
        <f>AA3617*1.01</f>
        <v>28867.403716211396</v>
      </c>
      <c r="AB3631" s="128" t="s">
        <v>185</v>
      </c>
      <c r="AC3631" s="153" t="s">
        <v>186</v>
      </c>
      <c r="AD3631" s="143">
        <f>AD3617*1.01</f>
        <v>47476.250765695615</v>
      </c>
      <c r="AE3631" s="128" t="s">
        <v>185</v>
      </c>
      <c r="AF3631" s="153" t="s">
        <v>186</v>
      </c>
      <c r="AG3631" s="143">
        <f>AG3617*1.01</f>
        <v>66589.096713580206</v>
      </c>
      <c r="AH3631" s="128" t="s">
        <v>185</v>
      </c>
      <c r="AI3631" s="153" t="s">
        <v>186</v>
      </c>
      <c r="AJ3631" s="143">
        <f>AJ3617*1.01</f>
        <v>84550.483311675416</v>
      </c>
      <c r="AK3631" s="128" t="s">
        <v>185</v>
      </c>
      <c r="AL3631" s="153" t="s">
        <v>186</v>
      </c>
      <c r="AM3631" s="143">
        <f>AM3617*1.01</f>
        <v>99142.091149248125</v>
      </c>
      <c r="AN3631" s="128" t="s">
        <v>185</v>
      </c>
      <c r="AO3631" s="153" t="s">
        <v>186</v>
      </c>
      <c r="AP3631" s="143">
        <f>AP3617*1.01</f>
        <v>110609.69291742379</v>
      </c>
      <c r="AQ3631" s="128" t="s">
        <v>185</v>
      </c>
      <c r="AR3631" s="153" t="s">
        <v>186</v>
      </c>
      <c r="AS3631" s="143">
        <f>AS3617*1.01</f>
        <v>123403.73322234057</v>
      </c>
      <c r="AT3631" s="128" t="s">
        <v>185</v>
      </c>
      <c r="AU3631" s="153" t="s">
        <v>186</v>
      </c>
    </row>
    <row r="3632" spans="13:47" ht="14" x14ac:dyDescent="0.3">
      <c r="M3632" s="12"/>
      <c r="N3632" s="12"/>
      <c r="O3632" s="20"/>
      <c r="P3632" s="20"/>
      <c r="Q3632" s="23"/>
      <c r="R3632" s="139"/>
      <c r="S3632" s="130" t="s">
        <v>228</v>
      </c>
      <c r="T3632" s="154" t="s">
        <v>187</v>
      </c>
      <c r="U3632" s="144"/>
      <c r="V3632" s="130" t="s">
        <v>228</v>
      </c>
      <c r="W3632" s="154" t="s">
        <v>187</v>
      </c>
      <c r="X3632" s="144"/>
      <c r="Y3632" s="130" t="s">
        <v>228</v>
      </c>
      <c r="Z3632" s="154" t="s">
        <v>187</v>
      </c>
      <c r="AA3632" s="144"/>
      <c r="AB3632" s="130" t="s">
        <v>228</v>
      </c>
      <c r="AC3632" s="154" t="s">
        <v>187</v>
      </c>
      <c r="AD3632" s="144"/>
      <c r="AE3632" s="130" t="s">
        <v>228</v>
      </c>
      <c r="AF3632" s="154" t="s">
        <v>187</v>
      </c>
      <c r="AG3632" s="144"/>
      <c r="AH3632" s="130" t="s">
        <v>228</v>
      </c>
      <c r="AI3632" s="154" t="s">
        <v>187</v>
      </c>
      <c r="AJ3632" s="144"/>
      <c r="AK3632" s="130" t="s">
        <v>228</v>
      </c>
      <c r="AL3632" s="154" t="s">
        <v>187</v>
      </c>
      <c r="AM3632" s="144"/>
      <c r="AN3632" s="130" t="s">
        <v>228</v>
      </c>
      <c r="AO3632" s="154" t="s">
        <v>187</v>
      </c>
      <c r="AP3632" s="144"/>
      <c r="AQ3632" s="130" t="s">
        <v>228</v>
      </c>
      <c r="AR3632" s="154" t="s">
        <v>187</v>
      </c>
      <c r="AS3632" s="144"/>
      <c r="AT3632" s="130" t="s">
        <v>228</v>
      </c>
      <c r="AU3632" s="154" t="s">
        <v>187</v>
      </c>
    </row>
    <row r="3633" spans="13:47" x14ac:dyDescent="0.25">
      <c r="M3633" s="20"/>
      <c r="N3633" s="20"/>
      <c r="O3633" s="7" t="s">
        <v>188</v>
      </c>
      <c r="P3633" s="7"/>
      <c r="Q3633" s="7"/>
      <c r="R3633" s="181">
        <f>P_1_minW-(R3631^2*R_up)+dpup_minQ</f>
        <v>99.146170630363699</v>
      </c>
      <c r="S3633" s="132"/>
      <c r="T3633" s="145"/>
      <c r="U3633" s="138">
        <f>P_1_minW-(U3631^2*R_up)+dpup_minQ</f>
        <v>86.201734657108972</v>
      </c>
      <c r="V3633" s="132"/>
      <c r="W3633" s="145"/>
      <c r="X3633" s="138">
        <f>P_1_minW-(X3631^2*R_up)+dpup_minQ</f>
        <v>12.930683922378165</v>
      </c>
      <c r="Y3633" s="132"/>
      <c r="Z3633" s="145"/>
      <c r="AA3633" s="138">
        <f>P_1_minW-(AA3631^2*R_up)+dpup_minQ</f>
        <v>-231.7762171361621</v>
      </c>
      <c r="AB3633" s="132"/>
      <c r="AC3633" s="145"/>
      <c r="AD3633" s="138">
        <f>P_1_minW-(AD3631^2*R_up)+dpup_minQ</f>
        <v>-798.28415444166092</v>
      </c>
      <c r="AE3633" s="132"/>
      <c r="AF3633" s="145"/>
      <c r="AG3633" s="138">
        <f>P_1_minW-(AG3631^2*R_up)+dpup_minQ</f>
        <v>-1667.6301833802161</v>
      </c>
      <c r="AH3633" s="132"/>
      <c r="AI3633" s="145"/>
      <c r="AJ3633" s="138">
        <f>P_1_minW-(AJ3631^2*R_up)+dpup_minQ</f>
        <v>-2750.139541017511</v>
      </c>
      <c r="AK3633" s="132"/>
      <c r="AL3633" s="145"/>
      <c r="AM3633" s="138">
        <f>P_1_minW-(AM3631^2*R_up)+dpup_minQ</f>
        <v>-3818.9688084487202</v>
      </c>
      <c r="AN3633" s="132"/>
      <c r="AO3633" s="145"/>
      <c r="AP3633" s="138">
        <f>P_1_minW-(AP3631^2*R_up)+dpup_minQ</f>
        <v>-4778.1305639510374</v>
      </c>
      <c r="AQ3633" s="132"/>
      <c r="AR3633" s="145"/>
      <c r="AS3633" s="138">
        <f>P_1_minW-(AS3631^2*R_up)+dpup_minQ</f>
        <v>-5972.014413091304</v>
      </c>
      <c r="AT3633" s="132"/>
      <c r="AU3633" s="145"/>
    </row>
    <row r="3634" spans="13:47" x14ac:dyDescent="0.25">
      <c r="M3634" s="20"/>
      <c r="N3634" s="20"/>
      <c r="O3634" s="7" t="s">
        <v>189</v>
      </c>
      <c r="P3634" s="1"/>
      <c r="Q3634" s="7"/>
      <c r="R3634" s="181">
        <f>P_2_minW+(R3631^2*R_dn)-dpdn_minQ</f>
        <v>50</v>
      </c>
      <c r="S3634" s="132"/>
      <c r="T3634" s="146"/>
      <c r="U3634" s="138">
        <f>P_2_minW+(U3631^2*R_dn)-dpdn_minQ</f>
        <v>50</v>
      </c>
      <c r="V3634" s="132"/>
      <c r="W3634" s="146"/>
      <c r="X3634" s="138">
        <f>P_2_minW+(X3631^2*R_dn)-dpdn_minQ</f>
        <v>50</v>
      </c>
      <c r="Y3634" s="132"/>
      <c r="Z3634" s="146"/>
      <c r="AA3634" s="138">
        <f>P_2_minW+(AA3631^2*R_dn)-dpdn_minQ</f>
        <v>50</v>
      </c>
      <c r="AB3634" s="132"/>
      <c r="AC3634" s="146"/>
      <c r="AD3634" s="138">
        <f>P_2_minW+(AD3631^2*R_dn)-dpdn_minQ</f>
        <v>50</v>
      </c>
      <c r="AE3634" s="132"/>
      <c r="AF3634" s="146"/>
      <c r="AG3634" s="138">
        <f>P_2_minW+(AG3631^2*R_dn)-dpdn_minQ</f>
        <v>50</v>
      </c>
      <c r="AH3634" s="132"/>
      <c r="AI3634" s="146"/>
      <c r="AJ3634" s="138">
        <f>P_2_minW+(AJ3631^2*R_dn)-dpdn_minQ</f>
        <v>50</v>
      </c>
      <c r="AK3634" s="132"/>
      <c r="AL3634" s="146"/>
      <c r="AM3634" s="138">
        <f>P_2_minW+(AM3631^2*R_dn)-dpdn_minQ</f>
        <v>50</v>
      </c>
      <c r="AN3634" s="132"/>
      <c r="AO3634" s="146"/>
      <c r="AP3634" s="138">
        <f>P_2_minW+(AP3631^2*R_dn)-dpdn_minQ</f>
        <v>50</v>
      </c>
      <c r="AQ3634" s="132"/>
      <c r="AR3634" s="146"/>
      <c r="AS3634" s="138">
        <f>P_2_minW+(AS3631^2*R_dn)-dpdn_minQ</f>
        <v>50</v>
      </c>
      <c r="AT3634" s="132"/>
      <c r="AU3634" s="146"/>
    </row>
    <row r="3635" spans="13:47" x14ac:dyDescent="0.25">
      <c r="M3635" s="20"/>
      <c r="N3635" s="20"/>
      <c r="O3635" s="7" t="s">
        <v>234</v>
      </c>
      <c r="P3635" s="1"/>
      <c r="Q3635" s="7"/>
      <c r="R3635" s="179">
        <f>'Valve Sizing'!G$8*R3633/P_1_maxW</f>
        <v>0.47826347523318702</v>
      </c>
      <c r="S3635" s="132"/>
      <c r="T3635" s="146"/>
      <c r="U3635" s="143">
        <f>'Valve Sizing'!$G$8*U3633/P_1_maxW</f>
        <v>0.41582182071298385</v>
      </c>
      <c r="V3635" s="132"/>
      <c r="W3635" s="146"/>
      <c r="X3635" s="143">
        <f>'Valve Sizing'!$G$8*X3633/P_1_maxW</f>
        <v>6.237531707517642E-2</v>
      </c>
      <c r="Y3635" s="132"/>
      <c r="Z3635" s="146"/>
      <c r="AA3635" s="143">
        <f>'Valve Sizing'!$G$8*AA3633/P_1_maxW</f>
        <v>-1.1180472062528111</v>
      </c>
      <c r="AB3635" s="132"/>
      <c r="AC3635" s="146"/>
      <c r="AD3635" s="143">
        <f>'Valve Sizing'!$G$8*AD3633/P_1_maxW</f>
        <v>-3.8507806352929479</v>
      </c>
      <c r="AE3635" s="132"/>
      <c r="AF3635" s="146"/>
      <c r="AG3635" s="143">
        <f>'Valve Sizing'!$G$8*AG3633/P_1_maxW</f>
        <v>-8.0443511013719657</v>
      </c>
      <c r="AH3635" s="132"/>
      <c r="AI3635" s="146"/>
      <c r="AJ3635" s="143">
        <f>'Valve Sizing'!$G$8*AJ3633/P_1_maxW</f>
        <v>-13.266183513702206</v>
      </c>
      <c r="AK3635" s="132"/>
      <c r="AL3635" s="146"/>
      <c r="AM3635" s="143">
        <f>'Valve Sizing'!$G$8*AM3633/P_1_maxW</f>
        <v>-18.422025606468228</v>
      </c>
      <c r="AN3635" s="132"/>
      <c r="AO3635" s="146"/>
      <c r="AP3635" s="143">
        <f>'Valve Sizing'!$G$8*AP3633/P_1_maxW</f>
        <v>-23.048851146786326</v>
      </c>
      <c r="AQ3635" s="132"/>
      <c r="AR3635" s="146"/>
      <c r="AS3635" s="143">
        <f>'Valve Sizing'!$G$8*AS3633/P_1_maxW</f>
        <v>-28.807934277120872</v>
      </c>
      <c r="AT3635" s="132"/>
      <c r="AU3635" s="146"/>
    </row>
    <row r="3636" spans="13:47" x14ac:dyDescent="0.25">
      <c r="M3636" s="20"/>
      <c r="N3636" s="20"/>
      <c r="O3636" s="7" t="s">
        <v>190</v>
      </c>
      <c r="P3636" s="1"/>
      <c r="Q3636" s="7"/>
      <c r="R3636" s="181">
        <f>R3633-R3634</f>
        <v>49.146170630363699</v>
      </c>
      <c r="S3636" s="132"/>
      <c r="T3636" s="146"/>
      <c r="U3636" s="138">
        <f>U3633-U3634</f>
        <v>36.201734657108972</v>
      </c>
      <c r="V3636" s="132"/>
      <c r="W3636" s="146"/>
      <c r="X3636" s="138">
        <f>X3633-X3634</f>
        <v>-37.069316077621835</v>
      </c>
      <c r="Y3636" s="132"/>
      <c r="Z3636" s="146"/>
      <c r="AA3636" s="138">
        <f>AA3633-AA3634</f>
        <v>-281.77621713616213</v>
      </c>
      <c r="AB3636" s="132"/>
      <c r="AC3636" s="146"/>
      <c r="AD3636" s="138">
        <f>AD3633-AD3634</f>
        <v>-848.28415444166092</v>
      </c>
      <c r="AE3636" s="132"/>
      <c r="AF3636" s="146"/>
      <c r="AG3636" s="138">
        <f>AG3633-AG3634</f>
        <v>-1717.6301833802161</v>
      </c>
      <c r="AH3636" s="132"/>
      <c r="AI3636" s="146"/>
      <c r="AJ3636" s="138">
        <f>AJ3633-AJ3634</f>
        <v>-2800.139541017511</v>
      </c>
      <c r="AK3636" s="132"/>
      <c r="AL3636" s="146"/>
      <c r="AM3636" s="138">
        <f>AM3633-AM3634</f>
        <v>-3868.9688084487202</v>
      </c>
      <c r="AN3636" s="132"/>
      <c r="AO3636" s="146"/>
      <c r="AP3636" s="138">
        <f>AP3633-AP3634</f>
        <v>-4828.1305639510374</v>
      </c>
      <c r="AQ3636" s="132"/>
      <c r="AR3636" s="146"/>
      <c r="AS3636" s="138">
        <f>AS3633-AS3634</f>
        <v>-6022.014413091304</v>
      </c>
      <c r="AT3636" s="132"/>
      <c r="AU3636" s="146"/>
    </row>
    <row r="3637" spans="13:47" ht="14.5" x14ac:dyDescent="0.35">
      <c r="M3637" s="27"/>
      <c r="N3637" s="27"/>
      <c r="O3637" s="2" t="s">
        <v>191</v>
      </c>
      <c r="P3637" s="10"/>
      <c r="Q3637" s="2"/>
      <c r="R3637" s="181">
        <f>R3636/R3633</f>
        <v>0.49569408801062248</v>
      </c>
      <c r="S3637" s="132"/>
      <c r="T3637" s="146"/>
      <c r="U3637" s="138">
        <f>U3636/U3633</f>
        <v>0.41996526869338874</v>
      </c>
      <c r="V3637" s="132"/>
      <c r="W3637" s="146"/>
      <c r="X3637" s="138">
        <f>X3636/X3633</f>
        <v>-2.866771494852546</v>
      </c>
      <c r="Y3637" s="132"/>
      <c r="Z3637" s="146"/>
      <c r="AA3637" s="138">
        <f>AA3636/AA3633</f>
        <v>1.2157253259967842</v>
      </c>
      <c r="AB3637" s="132"/>
      <c r="AC3637" s="146"/>
      <c r="AD3637" s="138">
        <f>AD3636/AD3633</f>
        <v>1.0626343385645318</v>
      </c>
      <c r="AE3637" s="132"/>
      <c r="AF3637" s="146"/>
      <c r="AG3637" s="138">
        <f>AG3636/AG3633</f>
        <v>1.0299826667196992</v>
      </c>
      <c r="AH3637" s="132"/>
      <c r="AI3637" s="146"/>
      <c r="AJ3637" s="138">
        <f>AJ3636/AJ3633</f>
        <v>1.01818089564339</v>
      </c>
      <c r="AK3637" s="132"/>
      <c r="AL3637" s="146"/>
      <c r="AM3637" s="138">
        <f>AM3636/AM3633</f>
        <v>1.0130925395068389</v>
      </c>
      <c r="AN3637" s="132"/>
      <c r="AO3637" s="146"/>
      <c r="AP3637" s="138">
        <f>AP3636/AP3633</f>
        <v>1.0104643436027532</v>
      </c>
      <c r="AQ3637" s="132"/>
      <c r="AR3637" s="146"/>
      <c r="AS3637" s="138">
        <f>AS3636/AS3633</f>
        <v>1.0083723843483021</v>
      </c>
      <c r="AT3637" s="132"/>
      <c r="AU3637" s="146"/>
    </row>
    <row r="3638" spans="13:47" x14ac:dyDescent="0.25">
      <c r="M3638" s="27"/>
      <c r="N3638" s="27"/>
      <c r="O3638" s="2" t="s">
        <v>26</v>
      </c>
      <c r="P3638" s="7">
        <v>12</v>
      </c>
      <c r="Q3638" s="2"/>
      <c r="R3638" s="181">
        <f>1-R3637/(3*F_GAMMA*R$29)</f>
        <v>0.74183683874173778</v>
      </c>
      <c r="S3638" s="133"/>
      <c r="T3638" s="146"/>
      <c r="U3638" s="138">
        <f>1-U3637/(3*F_GAMMA*U$29)</f>
        <v>0.7813254329256818</v>
      </c>
      <c r="V3638" s="133"/>
      <c r="W3638" s="146"/>
      <c r="X3638" s="138">
        <f>1-X3637/(3*F_GAMMA*X$29)</f>
        <v>2.515111869712483</v>
      </c>
      <c r="Y3638" s="133"/>
      <c r="Z3638" s="146"/>
      <c r="AA3638" s="138">
        <f>1-AA3637/(3*F_GAMMA*AA$29)</f>
        <v>0.3486695021710311</v>
      </c>
      <c r="AB3638" s="133"/>
      <c r="AC3638" s="146"/>
      <c r="AD3638" s="138">
        <f>1-AD3637/(3*F_GAMMA*AD$29)</f>
        <v>0.41507940574079161</v>
      </c>
      <c r="AE3638" s="133"/>
      <c r="AF3638" s="146"/>
      <c r="AG3638" s="138">
        <f>1-AG3637/(3*F_GAMMA*AG$29)</f>
        <v>0.40071272854784135</v>
      </c>
      <c r="AH3638" s="133"/>
      <c r="AI3638" s="146"/>
      <c r="AJ3638" s="138">
        <f>1-AJ3637/(3*F_GAMMA*AJ$29)</f>
        <v>0.36669444975980114</v>
      </c>
      <c r="AK3638" s="133"/>
      <c r="AL3638" s="146"/>
      <c r="AM3638" s="138">
        <f>1-AM3637/(3*F_GAMMA*AM$29)</f>
        <v>0.3115073079998989</v>
      </c>
      <c r="AN3638" s="133"/>
      <c r="AO3638" s="146"/>
      <c r="AP3638" s="138">
        <f>1-AP3637/(3*F_GAMMA*AP$29)</f>
        <v>0.43251130195976073</v>
      </c>
      <c r="AQ3638" s="133"/>
      <c r="AR3638" s="146"/>
      <c r="AS3638" s="138">
        <f>1-AS3637/(3*F_GAMMA*AS$29)</f>
        <v>0.14028639853616531</v>
      </c>
      <c r="AT3638" s="133"/>
      <c r="AU3638" s="146"/>
    </row>
    <row r="3639" spans="13:47" x14ac:dyDescent="0.25">
      <c r="M3639" s="27"/>
      <c r="N3639" s="27"/>
      <c r="O3639" s="2" t="s">
        <v>71</v>
      </c>
      <c r="P3639" s="85">
        <v>5</v>
      </c>
      <c r="Q3639" s="2"/>
      <c r="R3639" s="179">
        <f>R3631/((N_6*R$27*R3638)*SQRT(R3637*R3633*R3635))</f>
        <v>8.1622620424827854</v>
      </c>
      <c r="S3639" s="133"/>
      <c r="T3639" s="146"/>
      <c r="U3639" s="143">
        <f>U3631/((N_6*U$27*U3638)*SQRT(U3637*U3633*U3635))</f>
        <v>31.253459095057803</v>
      </c>
      <c r="V3639" s="133"/>
      <c r="W3639" s="146"/>
      <c r="X3639" s="143" t="e">
        <f>X3631/((N_6*X$27*X3638)*SQRT(X3637*X3633*X3635))</f>
        <v>#NUM!</v>
      </c>
      <c r="Y3639" s="133"/>
      <c r="Z3639" s="146"/>
      <c r="AA3639" s="143">
        <f>AA3631/((N_6*AA$27*AA3638)*SQRT(AA3637*AA3633*AA3635))</f>
        <v>74.332928846097957</v>
      </c>
      <c r="AB3639" s="133"/>
      <c r="AC3639" s="146"/>
      <c r="AD3639" s="143">
        <f>AD3631/((N_6*AD$27*AD3638)*SQRT(AD3637*AD3633*AD3635))</f>
        <v>32.271158800264871</v>
      </c>
      <c r="AE3639" s="133"/>
      <c r="AF3639" s="146"/>
      <c r="AG3639" s="143">
        <f>AG3631/((N_6*AG$27*AG3638)*SQRT(AG3637*AG3633*AG3635))</f>
        <v>23.288674233771953</v>
      </c>
      <c r="AH3639" s="133"/>
      <c r="AI3639" s="146"/>
      <c r="AJ3639" s="143">
        <f>AJ3631/((N_6*AJ$27*AJ3638)*SQRT(AJ3637*AJ3633*AJ3635))</f>
        <v>20.384197411829195</v>
      </c>
      <c r="AK3639" s="133"/>
      <c r="AL3639" s="146"/>
      <c r="AM3639" s="143">
        <f>AM3631/((N_6*AM$27*AM3638)*SQRT(AM3637*AM3633*AM3635))</f>
        <v>21.560184364705883</v>
      </c>
      <c r="AN3639" s="133"/>
      <c r="AO3639" s="146"/>
      <c r="AP3639" s="143">
        <f>AP3631/((N_6*AP$27*AP3638)*SQRT(AP3637*AP3633*AP3635))</f>
        <v>15.749422886929962</v>
      </c>
      <c r="AQ3639" s="133"/>
      <c r="AR3639" s="146"/>
      <c r="AS3639" s="143">
        <f>AS3631/((N_6*AS$27*AS3638)*SQRT(AS3637*AS3633*AS3635))</f>
        <v>57.010685040007658</v>
      </c>
      <c r="AT3639" s="133"/>
      <c r="AU3639" s="146"/>
    </row>
    <row r="3640" spans="13:47" x14ac:dyDescent="0.25">
      <c r="M3640" s="27"/>
      <c r="N3640" s="27"/>
      <c r="O3640" s="2" t="s">
        <v>73</v>
      </c>
      <c r="P3640" s="85">
        <v>5</v>
      </c>
      <c r="Q3640" s="2"/>
      <c r="R3640" s="179">
        <f>R3631/((N_6*R$27*0.667)*SQRT(R3641*R3633*R3635))</f>
        <v>7.9891552013429825</v>
      </c>
      <c r="S3640" s="133"/>
      <c r="T3640" s="155"/>
      <c r="U3640" s="143">
        <f>U3631/((N_6*U$27*0.667)*SQRT(U3641*U3633*U3635))</f>
        <v>29.652682256897695</v>
      </c>
      <c r="V3640" s="133"/>
      <c r="W3640" s="155"/>
      <c r="X3640" s="143">
        <f>X3631/((N_6*X$27*0.667)*SQRT(X3641*X3633*X3635))</f>
        <v>493.62630247737746</v>
      </c>
      <c r="Y3640" s="133"/>
      <c r="Z3640" s="155"/>
      <c r="AA3640" s="143">
        <f>AA3631/((N_6*AA$27*0.667)*SQRT(AA3641*AA3633*AA3635))</f>
        <v>54.316366142753942</v>
      </c>
      <c r="AB3640" s="133"/>
      <c r="AC3640" s="155"/>
      <c r="AD3640" s="143">
        <f>AD3631/((N_6*AD$27*0.667)*SQRT(AD3641*AD3633*AD3635))</f>
        <v>26.602900888103591</v>
      </c>
      <c r="AE3640" s="133"/>
      <c r="AF3640" s="155"/>
      <c r="AG3640" s="143">
        <f>AG3631/((N_6*AG$27*0.667)*SQRT(AG3641*AG3633*AG3635))</f>
        <v>18.759887259865373</v>
      </c>
      <c r="AH3640" s="133"/>
      <c r="AI3640" s="155"/>
      <c r="AJ3640" s="143">
        <f>AJ3631/((N_6*AJ$27*0.667)*SQRT(AJ3641*AJ3633*AJ3635))</f>
        <v>15.446830952749803</v>
      </c>
      <c r="AK3640" s="133"/>
      <c r="AL3640" s="155"/>
      <c r="AM3640" s="143">
        <f>AM3631/((N_6*AM$27*0.667)*SQRT(AM3641*AM3633*AM3635))</f>
        <v>14.471220827803171</v>
      </c>
      <c r="AN3640" s="133"/>
      <c r="AO3640" s="155"/>
      <c r="AP3640" s="143">
        <f>AP3631/((N_6*AP$27*0.667)*SQRT(AP3641*AP3633*AP3635))</f>
        <v>13.325254323513896</v>
      </c>
      <c r="AQ3640" s="133"/>
      <c r="AR3640" s="155"/>
      <c r="AS3640" s="143">
        <f>AS3631/((N_6*AS$27*0.667)*SQRT(AS3641*AS3633*AS3635))</f>
        <v>19.256773307733919</v>
      </c>
      <c r="AT3640" s="133"/>
      <c r="AU3640" s="155"/>
    </row>
    <row r="3641" spans="13:47" ht="15.5" x14ac:dyDescent="0.4">
      <c r="M3641" s="27"/>
      <c r="N3641" s="27"/>
      <c r="O3641" s="2" t="s">
        <v>192</v>
      </c>
      <c r="P3641" s="85">
        <v>10</v>
      </c>
      <c r="Q3641" s="2"/>
      <c r="R3641" s="181">
        <f>F_GAMMA*R$29</f>
        <v>0.64002688015162901</v>
      </c>
      <c r="S3641" s="133"/>
      <c r="T3641" s="155"/>
      <c r="U3641" s="138">
        <f>F_GAMMA*U$29</f>
        <v>0.64016782916606918</v>
      </c>
      <c r="V3641" s="133"/>
      <c r="W3641" s="155"/>
      <c r="X3641" s="138">
        <f>F_GAMMA*X$29</f>
        <v>0.6307062319203669</v>
      </c>
      <c r="Y3641" s="133"/>
      <c r="Z3641" s="155"/>
      <c r="AA3641" s="138">
        <f>F_GAMMA*AA$29</f>
        <v>0.62217534213893466</v>
      </c>
      <c r="AB3641" s="133"/>
      <c r="AC3641" s="155"/>
      <c r="AD3641" s="138">
        <f>F_GAMMA*AD$29</f>
        <v>0.60557184969146072</v>
      </c>
      <c r="AE3641" s="133"/>
      <c r="AF3641" s="155"/>
      <c r="AG3641" s="138">
        <f>F_GAMMA*AG$29</f>
        <v>0.57289312142622573</v>
      </c>
      <c r="AH3641" s="133"/>
      <c r="AI3641" s="155"/>
      <c r="AJ3641" s="138">
        <f>F_GAMMA*AJ$29</f>
        <v>0.53590819116049981</v>
      </c>
      <c r="AK3641" s="133"/>
      <c r="AL3641" s="155"/>
      <c r="AM3641" s="138">
        <f>F_GAMMA*AM$29</f>
        <v>0.49048815926850342</v>
      </c>
      <c r="AN3641" s="133"/>
      <c r="AO3641" s="155"/>
      <c r="AP3641" s="138">
        <f>F_GAMMA*AP$29</f>
        <v>0.59352979016280105</v>
      </c>
      <c r="AQ3641" s="133"/>
      <c r="AR3641" s="155"/>
      <c r="AS3641" s="138">
        <f>F_GAMMA*AS$29</f>
        <v>0.39097221161068291</v>
      </c>
      <c r="AT3641" s="133"/>
      <c r="AU3641" s="155"/>
    </row>
    <row r="3642" spans="13:47" x14ac:dyDescent="0.25">
      <c r="M3642" s="27"/>
      <c r="N3642" s="27"/>
      <c r="O3642" s="2" t="s">
        <v>193</v>
      </c>
      <c r="P3642" s="134"/>
      <c r="Q3642" s="2"/>
      <c r="R3642" s="181">
        <f>IF(R3637&lt;R3641,R3639,R3640)</f>
        <v>8.1622620424827854</v>
      </c>
      <c r="S3642" s="133"/>
      <c r="T3642" s="155"/>
      <c r="U3642" s="138">
        <f>IF(U3637&lt;U3641,U3639,U3640)</f>
        <v>31.253459095057803</v>
      </c>
      <c r="V3642" s="133"/>
      <c r="W3642" s="155"/>
      <c r="X3642" s="138" t="e">
        <f>IF(X3637&lt;X3641,X3639,X3640)</f>
        <v>#NUM!</v>
      </c>
      <c r="Y3642" s="133"/>
      <c r="Z3642" s="155"/>
      <c r="AA3642" s="138">
        <f>IF(AA3637&lt;AA3641,AA3639,AA3640)</f>
        <v>54.316366142753942</v>
      </c>
      <c r="AB3642" s="133"/>
      <c r="AC3642" s="155"/>
      <c r="AD3642" s="138">
        <f>IF(AD3637&lt;AD3641,AD3639,AD3640)</f>
        <v>26.602900888103591</v>
      </c>
      <c r="AE3642" s="133"/>
      <c r="AF3642" s="155"/>
      <c r="AG3642" s="138">
        <f>IF(AG3637&lt;AG3641,AG3639,AG3640)</f>
        <v>18.759887259865373</v>
      </c>
      <c r="AH3642" s="133"/>
      <c r="AI3642" s="155"/>
      <c r="AJ3642" s="138">
        <f>IF(AJ3637&lt;AJ3641,AJ3639,AJ3640)</f>
        <v>15.446830952749803</v>
      </c>
      <c r="AK3642" s="133"/>
      <c r="AL3642" s="155"/>
      <c r="AM3642" s="138">
        <f>IF(AM3637&lt;AM3641,AM3639,AM3640)</f>
        <v>14.471220827803171</v>
      </c>
      <c r="AN3642" s="133"/>
      <c r="AO3642" s="155"/>
      <c r="AP3642" s="138">
        <f>IF(AP3637&lt;AP3641,AP3639,AP3640)</f>
        <v>13.325254323513896</v>
      </c>
      <c r="AQ3642" s="133"/>
      <c r="AR3642" s="155"/>
      <c r="AS3642" s="138">
        <f>IF(AS3637&lt;AS3641,AS3639,AS3640)</f>
        <v>19.256773307733919</v>
      </c>
      <c r="AT3642" s="133"/>
      <c r="AU3642" s="155"/>
    </row>
    <row r="3643" spans="13:47" ht="13" x14ac:dyDescent="0.3">
      <c r="M3643" s="28"/>
      <c r="N3643" s="28"/>
      <c r="O3643" s="9" t="s">
        <v>194</v>
      </c>
      <c r="P3643" s="1"/>
      <c r="Q3643" s="1"/>
      <c r="R3643" s="135"/>
      <c r="S3643" s="132">
        <f>IF(R3636&lt;=0,W_max,ABS(R$23-R3642))</f>
        <v>6.1622620424827854</v>
      </c>
      <c r="T3643" s="151">
        <f>R3631</f>
        <v>1858.0167699092528</v>
      </c>
      <c r="U3643" s="135"/>
      <c r="V3643" s="132">
        <f>IF(U3636&lt;=0,W_max,ABS(U$23-U3642))</f>
        <v>26.253459095057803</v>
      </c>
      <c r="W3643" s="151">
        <f>U3631</f>
        <v>5992.8122014514202</v>
      </c>
      <c r="X3643" s="135"/>
      <c r="Y3643" s="132">
        <f>IF(X3636&lt;=0,W_max,ABS(X$23-X3642))</f>
        <v>7174</v>
      </c>
      <c r="Z3643" s="151">
        <f>X3631</f>
        <v>14820.937727201101</v>
      </c>
      <c r="AA3643" s="135"/>
      <c r="AB3643" s="132">
        <f>IF(AA3636&lt;=0,W_max,ABS(AA$23-AA3642))</f>
        <v>7174</v>
      </c>
      <c r="AC3643" s="151">
        <f>AA3631</f>
        <v>28867.403716211396</v>
      </c>
      <c r="AD3643" s="135"/>
      <c r="AE3643" s="132">
        <f>IF(AD3636&lt;=0,W_max,ABS(AD$23-AD3642))</f>
        <v>7174</v>
      </c>
      <c r="AF3643" s="151">
        <f>AD3631</f>
        <v>47476.250765695615</v>
      </c>
      <c r="AG3643" s="135"/>
      <c r="AH3643" s="132">
        <f>IF(AG3636&lt;=0,W_max,ABS(AG$23-AG3642))</f>
        <v>7174</v>
      </c>
      <c r="AI3643" s="151">
        <f>AG3631</f>
        <v>66589.096713580206</v>
      </c>
      <c r="AJ3643" s="135"/>
      <c r="AK3643" s="132">
        <f>IF(AJ3636&lt;=0,W_max,ABS(AJ$23-AJ3642))</f>
        <v>7174</v>
      </c>
      <c r="AL3643" s="151">
        <f>AJ3631</f>
        <v>84550.483311675416</v>
      </c>
      <c r="AM3643" s="135"/>
      <c r="AN3643" s="132">
        <f>IF(AM3636&lt;=0,W_max,ABS(AM$23-AM3642))</f>
        <v>7174</v>
      </c>
      <c r="AO3643" s="151">
        <f>AM3631</f>
        <v>99142.091149248125</v>
      </c>
      <c r="AP3643" s="135"/>
      <c r="AQ3643" s="132">
        <f>IF(AP3636&lt;=0,W_max,ABS(AP$23-AP3642))</f>
        <v>7174</v>
      </c>
      <c r="AR3643" s="151">
        <f>AP3631</f>
        <v>110609.69291742379</v>
      </c>
      <c r="AS3643" s="135"/>
      <c r="AT3643" s="132">
        <f>IF(AS3636&lt;=0,W_max,ABS(AS$23-AS3642))</f>
        <v>7174</v>
      </c>
      <c r="AU3643" s="151">
        <f>AS3631</f>
        <v>123403.73322234057</v>
      </c>
    </row>
    <row r="3644" spans="13:47" ht="13" x14ac:dyDescent="0.25">
      <c r="M3644" s="12"/>
      <c r="N3644" s="12"/>
      <c r="O3644" s="2"/>
      <c r="P3644" s="85"/>
      <c r="Q3644" s="2"/>
      <c r="R3644" s="18"/>
      <c r="S3644" s="150"/>
      <c r="T3644" s="148"/>
      <c r="U3644" s="157"/>
      <c r="V3644" s="1"/>
      <c r="W3644" s="147"/>
      <c r="X3644" s="157"/>
      <c r="Y3644" s="1"/>
      <c r="Z3644" s="147"/>
      <c r="AA3644" s="157"/>
      <c r="AB3644" s="1"/>
      <c r="AC3644" s="147"/>
      <c r="AD3644" s="157"/>
      <c r="AE3644" s="1"/>
      <c r="AF3644" s="147"/>
      <c r="AG3644" s="157"/>
      <c r="AH3644" s="1"/>
      <c r="AI3644" s="147"/>
      <c r="AJ3644" s="157"/>
      <c r="AK3644" s="1"/>
      <c r="AL3644" s="147"/>
      <c r="AM3644" s="157"/>
      <c r="AN3644" s="1"/>
      <c r="AO3644" s="147"/>
      <c r="AP3644" s="157"/>
      <c r="AQ3644" s="1"/>
      <c r="AR3644" s="147"/>
      <c r="AS3644" s="157"/>
      <c r="AT3644" s="1"/>
      <c r="AU3644" s="147"/>
    </row>
    <row r="3645" spans="13:47" ht="14" x14ac:dyDescent="0.3">
      <c r="M3645" s="23"/>
      <c r="N3645" s="23"/>
      <c r="O3645" s="23" t="s">
        <v>238</v>
      </c>
      <c r="P3645" s="20"/>
      <c r="Q3645" s="20"/>
      <c r="R3645" s="181">
        <f>R3631*1.02</f>
        <v>1895.1771053074378</v>
      </c>
      <c r="S3645" s="128" t="s">
        <v>185</v>
      </c>
      <c r="T3645" s="149" t="s">
        <v>186</v>
      </c>
      <c r="U3645" s="143">
        <f>U3631*1.01</f>
        <v>6052.7403234659341</v>
      </c>
      <c r="V3645" s="128" t="s">
        <v>185</v>
      </c>
      <c r="W3645" s="153" t="s">
        <v>186</v>
      </c>
      <c r="X3645" s="143">
        <f>X3631*1.01</f>
        <v>14969.147104473112</v>
      </c>
      <c r="Y3645" s="128" t="s">
        <v>185</v>
      </c>
      <c r="Z3645" s="153" t="s">
        <v>186</v>
      </c>
      <c r="AA3645" s="143">
        <f>AA3631*1.01</f>
        <v>29156.077753373509</v>
      </c>
      <c r="AB3645" s="128" t="s">
        <v>185</v>
      </c>
      <c r="AC3645" s="153" t="s">
        <v>186</v>
      </c>
      <c r="AD3645" s="143">
        <f>AD3631*1.01</f>
        <v>47951.013273352568</v>
      </c>
      <c r="AE3645" s="128" t="s">
        <v>185</v>
      </c>
      <c r="AF3645" s="153" t="s">
        <v>186</v>
      </c>
      <c r="AG3645" s="143">
        <f>AG3631*1.01</f>
        <v>67254.987680716004</v>
      </c>
      <c r="AH3645" s="128" t="s">
        <v>185</v>
      </c>
      <c r="AI3645" s="153" t="s">
        <v>186</v>
      </c>
      <c r="AJ3645" s="143">
        <f>AJ3631*1.01</f>
        <v>85395.988144792165</v>
      </c>
      <c r="AK3645" s="128" t="s">
        <v>185</v>
      </c>
      <c r="AL3645" s="153" t="s">
        <v>186</v>
      </c>
      <c r="AM3645" s="143">
        <f>AM3631*1.01</f>
        <v>100133.51206074061</v>
      </c>
      <c r="AN3645" s="128" t="s">
        <v>185</v>
      </c>
      <c r="AO3645" s="153" t="s">
        <v>186</v>
      </c>
      <c r="AP3645" s="143">
        <f>AP3631*1.01</f>
        <v>111715.78984659803</v>
      </c>
      <c r="AQ3645" s="128" t="s">
        <v>185</v>
      </c>
      <c r="AR3645" s="153" t="s">
        <v>186</v>
      </c>
      <c r="AS3645" s="143">
        <f>AS3631*1.01</f>
        <v>124637.77055456398</v>
      </c>
      <c r="AT3645" s="128" t="s">
        <v>185</v>
      </c>
      <c r="AU3645" s="153" t="s">
        <v>186</v>
      </c>
    </row>
    <row r="3646" spans="13:47" ht="14" x14ac:dyDescent="0.3">
      <c r="M3646" s="12"/>
      <c r="N3646" s="12"/>
      <c r="O3646" s="20"/>
      <c r="P3646" s="20"/>
      <c r="Q3646" s="23"/>
      <c r="R3646" s="139"/>
      <c r="S3646" s="130" t="s">
        <v>228</v>
      </c>
      <c r="T3646" s="131" t="s">
        <v>187</v>
      </c>
      <c r="U3646" s="144"/>
      <c r="V3646" s="130" t="s">
        <v>228</v>
      </c>
      <c r="W3646" s="154" t="s">
        <v>187</v>
      </c>
      <c r="X3646" s="144"/>
      <c r="Y3646" s="130" t="s">
        <v>228</v>
      </c>
      <c r="Z3646" s="154" t="s">
        <v>187</v>
      </c>
      <c r="AA3646" s="144"/>
      <c r="AB3646" s="130" t="s">
        <v>228</v>
      </c>
      <c r="AC3646" s="154" t="s">
        <v>187</v>
      </c>
      <c r="AD3646" s="144"/>
      <c r="AE3646" s="130" t="s">
        <v>228</v>
      </c>
      <c r="AF3646" s="154" t="s">
        <v>187</v>
      </c>
      <c r="AG3646" s="144"/>
      <c r="AH3646" s="130" t="s">
        <v>228</v>
      </c>
      <c r="AI3646" s="154" t="s">
        <v>187</v>
      </c>
      <c r="AJ3646" s="144"/>
      <c r="AK3646" s="130" t="s">
        <v>228</v>
      </c>
      <c r="AL3646" s="154" t="s">
        <v>187</v>
      </c>
      <c r="AM3646" s="144"/>
      <c r="AN3646" s="130" t="s">
        <v>228</v>
      </c>
      <c r="AO3646" s="154" t="s">
        <v>187</v>
      </c>
      <c r="AP3646" s="144"/>
      <c r="AQ3646" s="130" t="s">
        <v>228</v>
      </c>
      <c r="AR3646" s="154" t="s">
        <v>187</v>
      </c>
      <c r="AS3646" s="144"/>
      <c r="AT3646" s="130" t="s">
        <v>228</v>
      </c>
      <c r="AU3646" s="154" t="s">
        <v>187</v>
      </c>
    </row>
    <row r="3647" spans="13:47" x14ac:dyDescent="0.25">
      <c r="M3647" s="20"/>
      <c r="N3647" s="20"/>
      <c r="O3647" s="7" t="s">
        <v>188</v>
      </c>
      <c r="P3647" s="7"/>
      <c r="Q3647" s="7"/>
      <c r="R3647" s="181">
        <f>P_1_minW-(R3645^2*R_up)+dpup_minQ</f>
        <v>99.090555339666636</v>
      </c>
      <c r="S3647" s="132"/>
      <c r="T3647" s="145"/>
      <c r="U3647" s="138">
        <f>P_1_minW-(U3645^2*R_up)+dpup_minQ</f>
        <v>85.913881510308656</v>
      </c>
      <c r="V3647" s="132"/>
      <c r="W3647" s="145"/>
      <c r="X3647" s="138">
        <f>P_1_minW-(X3645^2*R_up)+dpup_minQ</f>
        <v>11.17008265580975</v>
      </c>
      <c r="Y3647" s="132"/>
      <c r="Z3647" s="145"/>
      <c r="AA3647" s="138">
        <f>P_1_minW-(AA3645^2*R_up)+dpup_minQ</f>
        <v>-238.45542711400716</v>
      </c>
      <c r="AB3647" s="132"/>
      <c r="AC3647" s="145"/>
      <c r="AD3647" s="138">
        <f>P_1_minW-(AD3645^2*R_up)+dpup_minQ</f>
        <v>-816.35017395934642</v>
      </c>
      <c r="AE3647" s="132"/>
      <c r="AF3647" s="145"/>
      <c r="AG3647" s="138">
        <f>P_1_minW-(AG3645^2*R_up)+dpup_minQ</f>
        <v>-1703.1700580795666</v>
      </c>
      <c r="AH3647" s="132"/>
      <c r="AI3647" s="145"/>
      <c r="AJ3647" s="138">
        <f>P_1_minW-(AJ3645^2*R_up)+dpup_minQ</f>
        <v>-2807.4378538053711</v>
      </c>
      <c r="AK3647" s="132"/>
      <c r="AL3647" s="145"/>
      <c r="AM3647" s="138">
        <f>P_1_minW-(AM3645^2*R_up)+dpup_minQ</f>
        <v>-3897.7505895119484</v>
      </c>
      <c r="AN3647" s="132"/>
      <c r="AO3647" s="145"/>
      <c r="AP3647" s="138">
        <f>P_1_minW-(AP3645^2*R_up)+dpup_minQ</f>
        <v>-4876.1914962998608</v>
      </c>
      <c r="AQ3647" s="132"/>
      <c r="AR3647" s="145"/>
      <c r="AS3647" s="138">
        <f>P_1_minW-(AS3645^2*R_up)+dpup_minQ</f>
        <v>-6094.0724108078475</v>
      </c>
      <c r="AT3647" s="132"/>
      <c r="AU3647" s="145"/>
    </row>
    <row r="3648" spans="13:47" x14ac:dyDescent="0.25">
      <c r="M3648" s="20"/>
      <c r="N3648" s="20"/>
      <c r="O3648" s="7" t="s">
        <v>189</v>
      </c>
      <c r="P3648" s="1"/>
      <c r="Q3648" s="7"/>
      <c r="R3648" s="181">
        <f>P_2_minW+(R3645^2*R_dn)-dpdn_minQ</f>
        <v>50</v>
      </c>
      <c r="S3648" s="132"/>
      <c r="T3648" s="146"/>
      <c r="U3648" s="138">
        <f>P_2_minW+(U3645^2*R_dn)-dpdn_minQ</f>
        <v>50</v>
      </c>
      <c r="V3648" s="132"/>
      <c r="W3648" s="146"/>
      <c r="X3648" s="138">
        <f>P_2_minW+(X3645^2*R_dn)-dpdn_minQ</f>
        <v>50</v>
      </c>
      <c r="Y3648" s="132"/>
      <c r="Z3648" s="146"/>
      <c r="AA3648" s="138">
        <f>P_2_minW+(AA3645^2*R_dn)-dpdn_minQ</f>
        <v>50</v>
      </c>
      <c r="AB3648" s="132"/>
      <c r="AC3648" s="146"/>
      <c r="AD3648" s="138">
        <f>P_2_minW+(AD3645^2*R_dn)-dpdn_minQ</f>
        <v>50</v>
      </c>
      <c r="AE3648" s="132"/>
      <c r="AF3648" s="146"/>
      <c r="AG3648" s="138">
        <f>P_2_minW+(AG3645^2*R_dn)-dpdn_minQ</f>
        <v>50</v>
      </c>
      <c r="AH3648" s="132"/>
      <c r="AI3648" s="146"/>
      <c r="AJ3648" s="138">
        <f>P_2_minW+(AJ3645^2*R_dn)-dpdn_minQ</f>
        <v>50</v>
      </c>
      <c r="AK3648" s="132"/>
      <c r="AL3648" s="146"/>
      <c r="AM3648" s="138">
        <f>P_2_minW+(AM3645^2*R_dn)-dpdn_minQ</f>
        <v>50</v>
      </c>
      <c r="AN3648" s="132"/>
      <c r="AO3648" s="146"/>
      <c r="AP3648" s="138">
        <f>P_2_minW+(AP3645^2*R_dn)-dpdn_minQ</f>
        <v>50</v>
      </c>
      <c r="AQ3648" s="132"/>
      <c r="AR3648" s="146"/>
      <c r="AS3648" s="138">
        <f>P_2_minW+(AS3645^2*R_dn)-dpdn_minQ</f>
        <v>50</v>
      </c>
      <c r="AT3648" s="132"/>
      <c r="AU3648" s="146"/>
    </row>
    <row r="3649" spans="13:47" x14ac:dyDescent="0.25">
      <c r="M3649" s="20"/>
      <c r="N3649" s="20"/>
      <c r="O3649" s="7" t="s">
        <v>234</v>
      </c>
      <c r="P3649" s="1"/>
      <c r="Q3649" s="7"/>
      <c r="R3649" s="179">
        <f>'Valve Sizing'!G$8*R3647/P_1_maxW</f>
        <v>0.4779951969725566</v>
      </c>
      <c r="S3649" s="132"/>
      <c r="T3649" s="146"/>
      <c r="U3649" s="143">
        <f>'Valve Sizing'!$G$8*U3647/P_1_maxW</f>
        <v>0.41443326838191308</v>
      </c>
      <c r="V3649" s="132"/>
      <c r="W3649" s="146"/>
      <c r="X3649" s="143">
        <f>'Valve Sizing'!$G$8*X3647/P_1_maxW</f>
        <v>5.3882490020985704E-2</v>
      </c>
      <c r="Y3649" s="132"/>
      <c r="Z3649" s="146"/>
      <c r="AA3649" s="143">
        <f>'Valve Sizing'!$G$8*AA3647/P_1_maxW</f>
        <v>-1.1502665260258942</v>
      </c>
      <c r="AB3649" s="132"/>
      <c r="AC3649" s="146"/>
      <c r="AD3649" s="143">
        <f>'Valve Sizing'!$G$8*AD3647/P_1_maxW</f>
        <v>-3.9379278969897378</v>
      </c>
      <c r="AE3649" s="132"/>
      <c r="AF3649" s="146"/>
      <c r="AG3649" s="143">
        <f>'Valve Sizing'!$G$8*AG3647/P_1_maxW</f>
        <v>-8.2157891294369456</v>
      </c>
      <c r="AH3649" s="132"/>
      <c r="AI3649" s="146"/>
      <c r="AJ3649" s="143">
        <f>'Valve Sizing'!$G$8*AJ3647/P_1_maxW</f>
        <v>-13.542580373255021</v>
      </c>
      <c r="AK3649" s="132"/>
      <c r="AL3649" s="146"/>
      <c r="AM3649" s="143">
        <f>'Valve Sizing'!$G$8*AM3647/P_1_maxW</f>
        <v>-18.802054892085643</v>
      </c>
      <c r="AN3649" s="132"/>
      <c r="AO3649" s="146"/>
      <c r="AP3649" s="143">
        <f>'Valve Sizing'!$G$8*AP3647/P_1_maxW</f>
        <v>-23.521879625764129</v>
      </c>
      <c r="AQ3649" s="132"/>
      <c r="AR3649" s="146"/>
      <c r="AS3649" s="143">
        <f>'Valve Sizing'!$G$8*AS3647/P_1_maxW</f>
        <v>-29.396720327018404</v>
      </c>
      <c r="AT3649" s="132"/>
      <c r="AU3649" s="146"/>
    </row>
    <row r="3650" spans="13:47" x14ac:dyDescent="0.25">
      <c r="M3650" s="20"/>
      <c r="N3650" s="20"/>
      <c r="O3650" s="7" t="s">
        <v>190</v>
      </c>
      <c r="P3650" s="1"/>
      <c r="Q3650" s="7"/>
      <c r="R3650" s="181">
        <f>R3647-R3648</f>
        <v>49.090555339666636</v>
      </c>
      <c r="S3650" s="132"/>
      <c r="T3650" s="146"/>
      <c r="U3650" s="138">
        <f>U3647-U3648</f>
        <v>35.913881510308656</v>
      </c>
      <c r="V3650" s="132"/>
      <c r="W3650" s="146"/>
      <c r="X3650" s="138">
        <f>X3647-X3648</f>
        <v>-38.82991734419025</v>
      </c>
      <c r="Y3650" s="132"/>
      <c r="Z3650" s="146"/>
      <c r="AA3650" s="138">
        <f>AA3647-AA3648</f>
        <v>-288.45542711400719</v>
      </c>
      <c r="AB3650" s="132"/>
      <c r="AC3650" s="146"/>
      <c r="AD3650" s="138">
        <f>AD3647-AD3648</f>
        <v>-866.35017395934642</v>
      </c>
      <c r="AE3650" s="132"/>
      <c r="AF3650" s="146"/>
      <c r="AG3650" s="138">
        <f>AG3647-AG3648</f>
        <v>-1753.1700580795666</v>
      </c>
      <c r="AH3650" s="132"/>
      <c r="AI3650" s="146"/>
      <c r="AJ3650" s="138">
        <f>AJ3647-AJ3648</f>
        <v>-2857.4378538053711</v>
      </c>
      <c r="AK3650" s="132"/>
      <c r="AL3650" s="146"/>
      <c r="AM3650" s="138">
        <f>AM3647-AM3648</f>
        <v>-3947.7505895119484</v>
      </c>
      <c r="AN3650" s="132"/>
      <c r="AO3650" s="146"/>
      <c r="AP3650" s="138">
        <f>AP3647-AP3648</f>
        <v>-4926.1914962998608</v>
      </c>
      <c r="AQ3650" s="132"/>
      <c r="AR3650" s="146"/>
      <c r="AS3650" s="138">
        <f>AS3647-AS3648</f>
        <v>-6144.0724108078475</v>
      </c>
      <c r="AT3650" s="132"/>
      <c r="AU3650" s="146"/>
    </row>
    <row r="3651" spans="13:47" ht="14.5" x14ac:dyDescent="0.35">
      <c r="M3651" s="27"/>
      <c r="N3651" s="27"/>
      <c r="O3651" s="2" t="s">
        <v>191</v>
      </c>
      <c r="P3651" s="10"/>
      <c r="Q3651" s="2"/>
      <c r="R3651" s="181">
        <f>R3650/R3647</f>
        <v>0.49541104267093905</v>
      </c>
      <c r="S3651" s="132"/>
      <c r="T3651" s="146"/>
      <c r="U3651" s="138">
        <f>U3650/U3647</f>
        <v>0.41802187119201933</v>
      </c>
      <c r="V3651" s="132"/>
      <c r="W3651" s="146"/>
      <c r="X3651" s="138">
        <f>X3650/X3647</f>
        <v>-3.4762426152678598</v>
      </c>
      <c r="Y3651" s="132"/>
      <c r="Z3651" s="146"/>
      <c r="AA3651" s="138">
        <f>AA3650/AA3647</f>
        <v>1.2096827931540208</v>
      </c>
      <c r="AB3651" s="132"/>
      <c r="AC3651" s="146"/>
      <c r="AD3651" s="138">
        <f>AD3650/AD3647</f>
        <v>1.0612482260614915</v>
      </c>
      <c r="AE3651" s="132"/>
      <c r="AF3651" s="146"/>
      <c r="AG3651" s="138">
        <f>AG3650/AG3647</f>
        <v>1.0293570214922509</v>
      </c>
      <c r="AH3651" s="132"/>
      <c r="AI3651" s="146"/>
      <c r="AJ3651" s="138">
        <f>AJ3650/AJ3647</f>
        <v>1.0178098332371728</v>
      </c>
      <c r="AK3651" s="132"/>
      <c r="AL3651" s="146"/>
      <c r="AM3651" s="138">
        <f>AM3650/AM3647</f>
        <v>1.0128279115997159</v>
      </c>
      <c r="AN3651" s="132"/>
      <c r="AO3651" s="146"/>
      <c r="AP3651" s="138">
        <f>AP3650/AP3647</f>
        <v>1.0102539041048615</v>
      </c>
      <c r="AQ3651" s="132"/>
      <c r="AR3651" s="146"/>
      <c r="AS3651" s="138">
        <f>AS3650/AS3647</f>
        <v>1.0082046941075602</v>
      </c>
      <c r="AT3651" s="132"/>
      <c r="AU3651" s="146"/>
    </row>
    <row r="3652" spans="13:47" x14ac:dyDescent="0.25">
      <c r="M3652" s="27"/>
      <c r="N3652" s="27"/>
      <c r="O3652" s="2" t="s">
        <v>26</v>
      </c>
      <c r="P3652" s="7">
        <v>12</v>
      </c>
      <c r="Q3652" s="2"/>
      <c r="R3652" s="181">
        <f>1-R3651/(3*F_GAMMA*R$29)</f>
        <v>0.74198425199809781</v>
      </c>
      <c r="S3652" s="133"/>
      <c r="T3652" s="146"/>
      <c r="U3652" s="138">
        <f>1-U3651/(3*F_GAMMA*U$29)</f>
        <v>0.78233735376520142</v>
      </c>
      <c r="V3652" s="133"/>
      <c r="W3652" s="146"/>
      <c r="X3652" s="138">
        <f>1-X3651/(3*F_GAMMA*X$29)</f>
        <v>2.8372222752492537</v>
      </c>
      <c r="Y3652" s="133"/>
      <c r="Z3652" s="146"/>
      <c r="AA3652" s="138">
        <f>1-AA3651/(3*F_GAMMA*AA$29)</f>
        <v>0.35190681724579764</v>
      </c>
      <c r="AB3652" s="133"/>
      <c r="AC3652" s="146"/>
      <c r="AD3652" s="138">
        <f>1-AD3651/(3*F_GAMMA*AD$29)</f>
        <v>0.41584238291888997</v>
      </c>
      <c r="AE3652" s="133"/>
      <c r="AF3652" s="146"/>
      <c r="AG3652" s="138">
        <f>1-AG3651/(3*F_GAMMA*AG$29)</f>
        <v>0.40107675527699849</v>
      </c>
      <c r="AH3652" s="133"/>
      <c r="AI3652" s="146"/>
      <c r="AJ3652" s="138">
        <f>1-AJ3651/(3*F_GAMMA*AJ$29)</f>
        <v>0.36692524949523941</v>
      </c>
      <c r="AK3652" s="133"/>
      <c r="AL3652" s="146"/>
      <c r="AM3652" s="138">
        <f>1-AM3651/(3*F_GAMMA*AM$29)</f>
        <v>0.31168714782010143</v>
      </c>
      <c r="AN3652" s="133"/>
      <c r="AO3652" s="146"/>
      <c r="AP3652" s="138">
        <f>1-AP3651/(3*F_GAMMA*AP$29)</f>
        <v>0.43262948726479478</v>
      </c>
      <c r="AQ3652" s="133"/>
      <c r="AR3652" s="146"/>
      <c r="AS3652" s="138">
        <f>1-AS3651/(3*F_GAMMA*AS$29)</f>
        <v>0.14042936712895526</v>
      </c>
      <c r="AT3652" s="133"/>
      <c r="AU3652" s="146"/>
    </row>
    <row r="3653" spans="13:47" x14ac:dyDescent="0.25">
      <c r="M3653" s="27"/>
      <c r="N3653" s="27"/>
      <c r="O3653" s="2" t="s">
        <v>71</v>
      </c>
      <c r="P3653" s="85">
        <v>5</v>
      </c>
      <c r="Q3653" s="2"/>
      <c r="R3653" s="179">
        <f>R3645/((N_6*R$27*R3652)*SQRT(R3651*R3647*R3649))</f>
        <v>8.3309038876334114</v>
      </c>
      <c r="S3653" s="133"/>
      <c r="T3653" s="146"/>
      <c r="U3653" s="143">
        <f>U3645/((N_6*U$27*U3652)*SQRT(U3651*U3647*U3649))</f>
        <v>31.70423000044855</v>
      </c>
      <c r="V3653" s="133"/>
      <c r="W3653" s="146"/>
      <c r="X3653" s="143" t="e">
        <f>X3645/((N_6*X$27*X3652)*SQRT(X3651*X3647*X3649))</f>
        <v>#NUM!</v>
      </c>
      <c r="Y3653" s="133"/>
      <c r="Z3653" s="146"/>
      <c r="AA3653" s="143">
        <f>AA3645/((N_6*AA$27*AA3652)*SQRT(AA3651*AA3647*AA3649))</f>
        <v>72.482395813577199</v>
      </c>
      <c r="AB3653" s="133"/>
      <c r="AC3653" s="146"/>
      <c r="AD3653" s="143">
        <f>AD3645/((N_6*AD$27*AD3652)*SQRT(AD3651*AD3647*AD3649))</f>
        <v>31.83485111805193</v>
      </c>
      <c r="AE3653" s="133"/>
      <c r="AF3653" s="146"/>
      <c r="AG3653" s="143">
        <f>AG3645/((N_6*AG$27*AG3652)*SQRT(AG3651*AG3647*AG3649))</f>
        <v>23.016827385989782</v>
      </c>
      <c r="AH3653" s="133"/>
      <c r="AI3653" s="146"/>
      <c r="AJ3653" s="143">
        <f>AJ3645/((N_6*AJ$27*AJ3652)*SQRT(AJ3651*AJ3647*AJ3649))</f>
        <v>20.158836317610767</v>
      </c>
      <c r="AK3653" s="133"/>
      <c r="AL3653" s="146"/>
      <c r="AM3653" s="143">
        <f>AM3645/((N_6*AM$27*AM3652)*SQRT(AM3651*AM3647*AM3649))</f>
        <v>21.326126564542719</v>
      </c>
      <c r="AN3653" s="133"/>
      <c r="AO3653" s="146"/>
      <c r="AP3653" s="143">
        <f>AP3645/((N_6*AP$27*AP3652)*SQRT(AP3651*AP3647*AP3649))</f>
        <v>15.584391499223006</v>
      </c>
      <c r="AQ3653" s="133"/>
      <c r="AR3653" s="146"/>
      <c r="AS3653" s="143">
        <f>AS3645/((N_6*AS$27*AS3652)*SQRT(AS3651*AS3647*AS3649))</f>
        <v>56.37474777120201</v>
      </c>
      <c r="AT3653" s="133"/>
      <c r="AU3653" s="146"/>
    </row>
    <row r="3654" spans="13:47" x14ac:dyDescent="0.25">
      <c r="M3654" s="27"/>
      <c r="N3654" s="27"/>
      <c r="O3654" s="2" t="s">
        <v>73</v>
      </c>
      <c r="P3654" s="85">
        <v>5</v>
      </c>
      <c r="Q3654" s="2"/>
      <c r="R3654" s="179">
        <f>R3645/((N_6*R$27*0.667)*SQRT(R3655*R3647*R3649))</f>
        <v>8.1535119559177875</v>
      </c>
      <c r="S3654" s="133"/>
      <c r="T3654" s="147"/>
      <c r="U3654" s="143">
        <f>U3645/((N_6*U$27*0.667)*SQRT(U3655*U3647*U3649))</f>
        <v>30.049553446711567</v>
      </c>
      <c r="V3654" s="133"/>
      <c r="W3654" s="155"/>
      <c r="X3654" s="143">
        <f>X3645/((N_6*X$27*0.667)*SQRT(X3655*X3647*X3649))</f>
        <v>577.14478475100736</v>
      </c>
      <c r="Y3654" s="133"/>
      <c r="Z3654" s="155"/>
      <c r="AA3654" s="143">
        <f>AA3645/((N_6*AA$27*0.667)*SQRT(AA3655*AA3647*AA3649))</f>
        <v>53.322897473004595</v>
      </c>
      <c r="AB3654" s="133"/>
      <c r="AC3654" s="155"/>
      <c r="AD3654" s="143">
        <f>AD3645/((N_6*AD$27*0.667)*SQRT(AD3655*AD3647*AD3649))</f>
        <v>26.274314219273727</v>
      </c>
      <c r="AE3654" s="133"/>
      <c r="AF3654" s="155"/>
      <c r="AG3654" s="143">
        <f>AG3645/((N_6*AG$27*0.667)*SQRT(AG3655*AG3647*AG3649))</f>
        <v>18.552110885100447</v>
      </c>
      <c r="AH3654" s="133"/>
      <c r="AI3654" s="155"/>
      <c r="AJ3654" s="143">
        <f>AJ3645/((N_6*AJ$27*0.667)*SQRT(AJ3655*AJ3647*AJ3649))</f>
        <v>15.28288504562232</v>
      </c>
      <c r="AK3654" s="133"/>
      <c r="AL3654" s="155"/>
      <c r="AM3654" s="143">
        <f>AM3645/((N_6*AM$27*0.667)*SQRT(AM3655*AM3647*AM3649))</f>
        <v>14.320514124573187</v>
      </c>
      <c r="AN3654" s="133"/>
      <c r="AO3654" s="155"/>
      <c r="AP3654" s="143">
        <f>AP3645/((N_6*AP$27*0.667)*SQRT(AP3655*AP3647*AP3649))</f>
        <v>13.187854302677689</v>
      </c>
      <c r="AQ3654" s="133"/>
      <c r="AR3654" s="155"/>
      <c r="AS3654" s="143">
        <f>AS3645/((N_6*AS$27*0.667)*SQRT(AS3655*AS3647*AS3649))</f>
        <v>19.059790759108427</v>
      </c>
      <c r="AT3654" s="133"/>
      <c r="AU3654" s="155"/>
    </row>
    <row r="3655" spans="13:47" ht="15.5" x14ac:dyDescent="0.4">
      <c r="M3655" s="27"/>
      <c r="N3655" s="27"/>
      <c r="O3655" s="2" t="s">
        <v>192</v>
      </c>
      <c r="P3655" s="85">
        <v>10</v>
      </c>
      <c r="Q3655" s="2"/>
      <c r="R3655" s="181">
        <f>F_GAMMA*R$29</f>
        <v>0.64002688015162901</v>
      </c>
      <c r="S3655" s="133"/>
      <c r="T3655" s="147"/>
      <c r="U3655" s="138">
        <f>F_GAMMA*U$29</f>
        <v>0.64016782916606918</v>
      </c>
      <c r="V3655" s="133"/>
      <c r="W3655" s="155"/>
      <c r="X3655" s="138">
        <f>F_GAMMA*X$29</f>
        <v>0.6307062319203669</v>
      </c>
      <c r="Y3655" s="133"/>
      <c r="Z3655" s="155"/>
      <c r="AA3655" s="138">
        <f>F_GAMMA*AA$29</f>
        <v>0.62217534213893466</v>
      </c>
      <c r="AB3655" s="133"/>
      <c r="AC3655" s="155"/>
      <c r="AD3655" s="138">
        <f>F_GAMMA*AD$29</f>
        <v>0.60557184969146072</v>
      </c>
      <c r="AE3655" s="133"/>
      <c r="AF3655" s="155"/>
      <c r="AG3655" s="138">
        <f>F_GAMMA*AG$29</f>
        <v>0.57289312142622573</v>
      </c>
      <c r="AH3655" s="133"/>
      <c r="AI3655" s="155"/>
      <c r="AJ3655" s="138">
        <f>F_GAMMA*AJ$29</f>
        <v>0.53590819116049981</v>
      </c>
      <c r="AK3655" s="133"/>
      <c r="AL3655" s="155"/>
      <c r="AM3655" s="138">
        <f>F_GAMMA*AM$29</f>
        <v>0.49048815926850342</v>
      </c>
      <c r="AN3655" s="133"/>
      <c r="AO3655" s="155"/>
      <c r="AP3655" s="138">
        <f>F_GAMMA*AP$29</f>
        <v>0.59352979016280105</v>
      </c>
      <c r="AQ3655" s="133"/>
      <c r="AR3655" s="155"/>
      <c r="AS3655" s="138">
        <f>F_GAMMA*AS$29</f>
        <v>0.39097221161068291</v>
      </c>
      <c r="AT3655" s="133"/>
      <c r="AU3655" s="155"/>
    </row>
    <row r="3656" spans="13:47" x14ac:dyDescent="0.25">
      <c r="M3656" s="27"/>
      <c r="N3656" s="27"/>
      <c r="O3656" s="2" t="s">
        <v>193</v>
      </c>
      <c r="P3656" s="134"/>
      <c r="Q3656" s="2"/>
      <c r="R3656" s="181">
        <f>IF(R3651&lt;R3655,R3653,R3654)</f>
        <v>8.3309038876334114</v>
      </c>
      <c r="S3656" s="133"/>
      <c r="T3656" s="147"/>
      <c r="U3656" s="138">
        <f>IF(U3651&lt;U3655,U3653,U3654)</f>
        <v>31.70423000044855</v>
      </c>
      <c r="V3656" s="133"/>
      <c r="W3656" s="155"/>
      <c r="X3656" s="138" t="e">
        <f>IF(X3651&lt;X3655,X3653,X3654)</f>
        <v>#NUM!</v>
      </c>
      <c r="Y3656" s="133"/>
      <c r="Z3656" s="155"/>
      <c r="AA3656" s="138">
        <f>IF(AA3651&lt;AA3655,AA3653,AA3654)</f>
        <v>53.322897473004595</v>
      </c>
      <c r="AB3656" s="133"/>
      <c r="AC3656" s="155"/>
      <c r="AD3656" s="138">
        <f>IF(AD3651&lt;AD3655,AD3653,AD3654)</f>
        <v>26.274314219273727</v>
      </c>
      <c r="AE3656" s="133"/>
      <c r="AF3656" s="155"/>
      <c r="AG3656" s="138">
        <f>IF(AG3651&lt;AG3655,AG3653,AG3654)</f>
        <v>18.552110885100447</v>
      </c>
      <c r="AH3656" s="133"/>
      <c r="AI3656" s="155"/>
      <c r="AJ3656" s="138">
        <f>IF(AJ3651&lt;AJ3655,AJ3653,AJ3654)</f>
        <v>15.28288504562232</v>
      </c>
      <c r="AK3656" s="133"/>
      <c r="AL3656" s="155"/>
      <c r="AM3656" s="138">
        <f>IF(AM3651&lt;AM3655,AM3653,AM3654)</f>
        <v>14.320514124573187</v>
      </c>
      <c r="AN3656" s="133"/>
      <c r="AO3656" s="155"/>
      <c r="AP3656" s="138">
        <f>IF(AP3651&lt;AP3655,AP3653,AP3654)</f>
        <v>13.187854302677689</v>
      </c>
      <c r="AQ3656" s="133"/>
      <c r="AR3656" s="155"/>
      <c r="AS3656" s="138">
        <f>IF(AS3651&lt;AS3655,AS3653,AS3654)</f>
        <v>19.059790759108427</v>
      </c>
      <c r="AT3656" s="133"/>
      <c r="AU3656" s="155"/>
    </row>
    <row r="3657" spans="13:47" ht="13" x14ac:dyDescent="0.3">
      <c r="M3657" s="28"/>
      <c r="N3657" s="28"/>
      <c r="O3657" s="9" t="s">
        <v>194</v>
      </c>
      <c r="P3657" s="1"/>
      <c r="Q3657" s="1"/>
      <c r="R3657" s="135"/>
      <c r="S3657" s="132">
        <f>IF(R3650&lt;=0,W_max,ABS(R$23-R3656))</f>
        <v>6.3309038876334114</v>
      </c>
      <c r="T3657" s="151">
        <f>R3645</f>
        <v>1895.1771053074378</v>
      </c>
      <c r="U3657" s="135"/>
      <c r="V3657" s="132">
        <f>IF(U3650&lt;=0,W_max,ABS(U$23-U3656))</f>
        <v>26.70423000044855</v>
      </c>
      <c r="W3657" s="151">
        <f>U3645</f>
        <v>6052.7403234659341</v>
      </c>
      <c r="X3657" s="135"/>
      <c r="Y3657" s="132">
        <f>IF(X3650&lt;=0,W_max,ABS(X$23-X3656))</f>
        <v>7174</v>
      </c>
      <c r="Z3657" s="151">
        <f>X3645</f>
        <v>14969.147104473112</v>
      </c>
      <c r="AA3657" s="135"/>
      <c r="AB3657" s="132">
        <f>IF(AA3650&lt;=0,W_max,ABS(AA$23-AA3656))</f>
        <v>7174</v>
      </c>
      <c r="AC3657" s="151">
        <f>AA3645</f>
        <v>29156.077753373509</v>
      </c>
      <c r="AD3657" s="135"/>
      <c r="AE3657" s="132">
        <f>IF(AD3650&lt;=0,W_max,ABS(AD$23-AD3656))</f>
        <v>7174</v>
      </c>
      <c r="AF3657" s="151">
        <f>AD3645</f>
        <v>47951.013273352568</v>
      </c>
      <c r="AG3657" s="135"/>
      <c r="AH3657" s="132">
        <f>IF(AG3650&lt;=0,W_max,ABS(AG$23-AG3656))</f>
        <v>7174</v>
      </c>
      <c r="AI3657" s="151">
        <f>AG3645</f>
        <v>67254.987680716004</v>
      </c>
      <c r="AJ3657" s="135"/>
      <c r="AK3657" s="132">
        <f>IF(AJ3650&lt;=0,W_max,ABS(AJ$23-AJ3656))</f>
        <v>7174</v>
      </c>
      <c r="AL3657" s="151">
        <f>AJ3645</f>
        <v>85395.988144792165</v>
      </c>
      <c r="AM3657" s="135"/>
      <c r="AN3657" s="132">
        <f>IF(AM3650&lt;=0,W_max,ABS(AM$23-AM3656))</f>
        <v>7174</v>
      </c>
      <c r="AO3657" s="151">
        <f>AM3645</f>
        <v>100133.51206074061</v>
      </c>
      <c r="AP3657" s="135"/>
      <c r="AQ3657" s="132">
        <f>IF(AP3650&lt;=0,W_max,ABS(AP$23-AP3656))</f>
        <v>7174</v>
      </c>
      <c r="AR3657" s="151">
        <f>AP3645</f>
        <v>111715.78984659803</v>
      </c>
      <c r="AS3657" s="135"/>
      <c r="AT3657" s="132">
        <f>IF(AS3650&lt;=0,W_max,ABS(AS$23-AS3656))</f>
        <v>7174</v>
      </c>
      <c r="AU3657" s="151">
        <f>AS3645</f>
        <v>124637.77055456398</v>
      </c>
    </row>
    <row r="3658" spans="13:47" ht="13" x14ac:dyDescent="0.25">
      <c r="M3658" s="12"/>
      <c r="N3658" s="12"/>
      <c r="O3658" s="12"/>
      <c r="P3658" s="12"/>
      <c r="Q3658" s="12"/>
      <c r="R3658" s="182"/>
      <c r="S3658" s="22"/>
      <c r="T3658" s="152"/>
      <c r="U3658" s="157"/>
      <c r="V3658" s="1"/>
      <c r="W3658" s="147"/>
      <c r="X3658" s="157"/>
      <c r="Y3658" s="1"/>
      <c r="Z3658" s="147"/>
      <c r="AA3658" s="157"/>
      <c r="AB3658" s="1"/>
      <c r="AC3658" s="147"/>
      <c r="AD3658" s="157"/>
      <c r="AE3658" s="1"/>
      <c r="AF3658" s="147"/>
      <c r="AG3658" s="157"/>
      <c r="AH3658" s="1"/>
      <c r="AI3658" s="147"/>
      <c r="AJ3658" s="157"/>
      <c r="AK3658" s="1"/>
      <c r="AL3658" s="147"/>
      <c r="AM3658" s="157"/>
      <c r="AN3658" s="1"/>
      <c r="AO3658" s="147"/>
      <c r="AP3658" s="157"/>
      <c r="AQ3658" s="1"/>
      <c r="AR3658" s="147"/>
      <c r="AS3658" s="157"/>
      <c r="AT3658" s="1"/>
      <c r="AU3658" s="147"/>
    </row>
    <row r="3659" spans="13:47" ht="14" x14ac:dyDescent="0.3">
      <c r="M3659" s="23"/>
      <c r="N3659" s="23"/>
      <c r="O3659" s="23" t="s">
        <v>238</v>
      </c>
      <c r="P3659" s="20"/>
      <c r="Q3659" s="20"/>
      <c r="R3659" s="18">
        <f>R3645*1.02</f>
        <v>1933.0806474135866</v>
      </c>
      <c r="S3659" s="128" t="s">
        <v>185</v>
      </c>
      <c r="T3659" s="153" t="s">
        <v>186</v>
      </c>
      <c r="U3659" s="143">
        <f>U3645*1.01</f>
        <v>6113.2677267005938</v>
      </c>
      <c r="V3659" s="128" t="s">
        <v>185</v>
      </c>
      <c r="W3659" s="153" t="s">
        <v>186</v>
      </c>
      <c r="X3659" s="143">
        <f>X3645*1.01</f>
        <v>15118.838575517842</v>
      </c>
      <c r="Y3659" s="128" t="s">
        <v>185</v>
      </c>
      <c r="Z3659" s="153" t="s">
        <v>186</v>
      </c>
      <c r="AA3659" s="143">
        <f>AA3645*1.01</f>
        <v>29447.638530907243</v>
      </c>
      <c r="AB3659" s="128" t="s">
        <v>185</v>
      </c>
      <c r="AC3659" s="153" t="s">
        <v>186</v>
      </c>
      <c r="AD3659" s="143">
        <f>AD3645*1.01</f>
        <v>48430.523406086097</v>
      </c>
      <c r="AE3659" s="128" t="s">
        <v>185</v>
      </c>
      <c r="AF3659" s="153" t="s">
        <v>186</v>
      </c>
      <c r="AG3659" s="143">
        <f>AG3645*1.01</f>
        <v>67927.537557523159</v>
      </c>
      <c r="AH3659" s="128" t="s">
        <v>185</v>
      </c>
      <c r="AI3659" s="153" t="s">
        <v>186</v>
      </c>
      <c r="AJ3659" s="143">
        <f>AJ3645*1.01</f>
        <v>86249.94802624009</v>
      </c>
      <c r="AK3659" s="128" t="s">
        <v>185</v>
      </c>
      <c r="AL3659" s="153" t="s">
        <v>186</v>
      </c>
      <c r="AM3659" s="143">
        <f>AM3645*1.01</f>
        <v>101134.84718134801</v>
      </c>
      <c r="AN3659" s="128" t="s">
        <v>185</v>
      </c>
      <c r="AO3659" s="153" t="s">
        <v>186</v>
      </c>
      <c r="AP3659" s="143">
        <f>AP3645*1.01</f>
        <v>112832.94774506401</v>
      </c>
      <c r="AQ3659" s="128" t="s">
        <v>185</v>
      </c>
      <c r="AR3659" s="153" t="s">
        <v>186</v>
      </c>
      <c r="AS3659" s="143">
        <f>AS3645*1.01</f>
        <v>125884.14826010962</v>
      </c>
      <c r="AT3659" s="128" t="s">
        <v>185</v>
      </c>
      <c r="AU3659" s="153" t="s">
        <v>186</v>
      </c>
    </row>
    <row r="3660" spans="13:47" ht="14" x14ac:dyDescent="0.3">
      <c r="M3660" s="12"/>
      <c r="N3660" s="12"/>
      <c r="O3660" s="20"/>
      <c r="P3660" s="20"/>
      <c r="Q3660" s="23"/>
      <c r="R3660" s="139"/>
      <c r="S3660" s="130" t="s">
        <v>228</v>
      </c>
      <c r="T3660" s="154" t="s">
        <v>187</v>
      </c>
      <c r="U3660" s="144"/>
      <c r="V3660" s="130" t="s">
        <v>228</v>
      </c>
      <c r="W3660" s="154" t="s">
        <v>187</v>
      </c>
      <c r="X3660" s="144"/>
      <c r="Y3660" s="130" t="s">
        <v>228</v>
      </c>
      <c r="Z3660" s="154" t="s">
        <v>187</v>
      </c>
      <c r="AA3660" s="144"/>
      <c r="AB3660" s="130" t="s">
        <v>228</v>
      </c>
      <c r="AC3660" s="154" t="s">
        <v>187</v>
      </c>
      <c r="AD3660" s="144"/>
      <c r="AE3660" s="130" t="s">
        <v>228</v>
      </c>
      <c r="AF3660" s="154" t="s">
        <v>187</v>
      </c>
      <c r="AG3660" s="144"/>
      <c r="AH3660" s="130" t="s">
        <v>228</v>
      </c>
      <c r="AI3660" s="154" t="s">
        <v>187</v>
      </c>
      <c r="AJ3660" s="144"/>
      <c r="AK3660" s="130" t="s">
        <v>228</v>
      </c>
      <c r="AL3660" s="154" t="s">
        <v>187</v>
      </c>
      <c r="AM3660" s="144"/>
      <c r="AN3660" s="130" t="s">
        <v>228</v>
      </c>
      <c r="AO3660" s="154" t="s">
        <v>187</v>
      </c>
      <c r="AP3660" s="144"/>
      <c r="AQ3660" s="130" t="s">
        <v>228</v>
      </c>
      <c r="AR3660" s="154" t="s">
        <v>187</v>
      </c>
      <c r="AS3660" s="144"/>
      <c r="AT3660" s="130" t="s">
        <v>228</v>
      </c>
      <c r="AU3660" s="154" t="s">
        <v>187</v>
      </c>
    </row>
    <row r="3661" spans="13:47" x14ac:dyDescent="0.25">
      <c r="M3661" s="20"/>
      <c r="N3661" s="20"/>
      <c r="O3661" s="7" t="s">
        <v>188</v>
      </c>
      <c r="P3661" s="7"/>
      <c r="Q3661" s="7"/>
      <c r="R3661" s="181">
        <f>P_1_minW-(R3659^2*R_up)+dpup_minQ</f>
        <v>99.032693191225405</v>
      </c>
      <c r="S3661" s="132"/>
      <c r="T3661" s="145"/>
      <c r="U3661" s="138">
        <f>P_1_minW-(U3659^2*R_up)+dpup_minQ</f>
        <v>85.620242515257658</v>
      </c>
      <c r="V3661" s="132"/>
      <c r="W3661" s="145"/>
      <c r="X3661" s="138">
        <f>P_1_minW-(X3659^2*R_up)+dpup_minQ</f>
        <v>9.37409330378334</v>
      </c>
      <c r="Y3661" s="132"/>
      <c r="Z3661" s="145"/>
      <c r="AA3661" s="138">
        <f>P_1_minW-(AA3659^2*R_up)+dpup_minQ</f>
        <v>-245.26888921240689</v>
      </c>
      <c r="AB3661" s="132"/>
      <c r="AC3661" s="145"/>
      <c r="AD3661" s="138">
        <f>P_1_minW-(AD3659^2*R_up)+dpup_minQ</f>
        <v>-834.77932046933756</v>
      </c>
      <c r="AE3661" s="132"/>
      <c r="AF3661" s="145"/>
      <c r="AG3661" s="138">
        <f>P_1_minW-(AG3659^2*R_up)+dpup_minQ</f>
        <v>-1739.4242842603737</v>
      </c>
      <c r="AH3661" s="132"/>
      <c r="AI3661" s="145"/>
      <c r="AJ3661" s="138">
        <f>P_1_minW-(AJ3659^2*R_up)+dpup_minQ</f>
        <v>-2865.8878626802675</v>
      </c>
      <c r="AK3661" s="132"/>
      <c r="AL3661" s="145"/>
      <c r="AM3661" s="138">
        <f>P_1_minW-(AM3659^2*R_up)+dpup_minQ</f>
        <v>-3978.1158843745466</v>
      </c>
      <c r="AN3661" s="132"/>
      <c r="AO3661" s="145"/>
      <c r="AP3661" s="138">
        <f>P_1_minW-(AP3659^2*R_up)+dpup_minQ</f>
        <v>-4976.2234533888968</v>
      </c>
      <c r="AQ3661" s="132"/>
      <c r="AR3661" s="145"/>
      <c r="AS3661" s="138">
        <f>P_1_minW-(AS3659^2*R_up)+dpup_minQ</f>
        <v>-6218.5837742784943</v>
      </c>
      <c r="AT3661" s="132"/>
      <c r="AU3661" s="145"/>
    </row>
    <row r="3662" spans="13:47" x14ac:dyDescent="0.25">
      <c r="M3662" s="20"/>
      <c r="N3662" s="20"/>
      <c r="O3662" s="7" t="s">
        <v>189</v>
      </c>
      <c r="P3662" s="1"/>
      <c r="Q3662" s="7"/>
      <c r="R3662" s="181">
        <f>P_2_minW+(R3659^2*R_dn)-dpdn_minQ</f>
        <v>50</v>
      </c>
      <c r="S3662" s="132"/>
      <c r="T3662" s="146"/>
      <c r="U3662" s="138">
        <f>P_2_minW+(U3659^2*R_dn)-dpdn_minQ</f>
        <v>50</v>
      </c>
      <c r="V3662" s="132"/>
      <c r="W3662" s="146"/>
      <c r="X3662" s="138">
        <f>P_2_minW+(X3659^2*R_dn)-dpdn_minQ</f>
        <v>50</v>
      </c>
      <c r="Y3662" s="132"/>
      <c r="Z3662" s="146"/>
      <c r="AA3662" s="138">
        <f>P_2_minW+(AA3659^2*R_dn)-dpdn_minQ</f>
        <v>50</v>
      </c>
      <c r="AB3662" s="132"/>
      <c r="AC3662" s="146"/>
      <c r="AD3662" s="138">
        <f>P_2_minW+(AD3659^2*R_dn)-dpdn_minQ</f>
        <v>50</v>
      </c>
      <c r="AE3662" s="132"/>
      <c r="AF3662" s="146"/>
      <c r="AG3662" s="138">
        <f>P_2_minW+(AG3659^2*R_dn)-dpdn_minQ</f>
        <v>50</v>
      </c>
      <c r="AH3662" s="132"/>
      <c r="AI3662" s="146"/>
      <c r="AJ3662" s="138">
        <f>P_2_minW+(AJ3659^2*R_dn)-dpdn_minQ</f>
        <v>50</v>
      </c>
      <c r="AK3662" s="132"/>
      <c r="AL3662" s="146"/>
      <c r="AM3662" s="138">
        <f>P_2_minW+(AM3659^2*R_dn)-dpdn_minQ</f>
        <v>50</v>
      </c>
      <c r="AN3662" s="132"/>
      <c r="AO3662" s="146"/>
      <c r="AP3662" s="138">
        <f>P_2_minW+(AP3659^2*R_dn)-dpdn_minQ</f>
        <v>50</v>
      </c>
      <c r="AQ3662" s="132"/>
      <c r="AR3662" s="146"/>
      <c r="AS3662" s="138">
        <f>P_2_minW+(AS3659^2*R_dn)-dpdn_minQ</f>
        <v>50</v>
      </c>
      <c r="AT3662" s="132"/>
      <c r="AU3662" s="146"/>
    </row>
    <row r="3663" spans="13:47" x14ac:dyDescent="0.25">
      <c r="M3663" s="20"/>
      <c r="N3663" s="20"/>
      <c r="O3663" s="7" t="s">
        <v>234</v>
      </c>
      <c r="P3663" s="1"/>
      <c r="Q3663" s="7"/>
      <c r="R3663" s="179">
        <f>'Valve Sizing'!G$8*R3661/P_1_maxW</f>
        <v>0.47771608027019663</v>
      </c>
      <c r="S3663" s="132"/>
      <c r="T3663" s="146"/>
      <c r="U3663" s="143">
        <f>'Valve Sizing'!$G$8*U3661/P_1_maxW</f>
        <v>0.41301680614898784</v>
      </c>
      <c r="V3663" s="132"/>
      <c r="W3663" s="146"/>
      <c r="X3663" s="143">
        <f>'Valve Sizing'!$G$8*X3661/P_1_maxW</f>
        <v>4.5218957143005917E-2</v>
      </c>
      <c r="Y3663" s="132"/>
      <c r="Z3663" s="146"/>
      <c r="AA3663" s="143">
        <f>'Valve Sizing'!$G$8*AA3661/P_1_maxW</f>
        <v>-1.1831334541264162</v>
      </c>
      <c r="AB3663" s="132"/>
      <c r="AC3663" s="146"/>
      <c r="AD3663" s="143">
        <f>'Valve Sizing'!$G$8*AD3661/P_1_maxW</f>
        <v>-4.0268268186466329</v>
      </c>
      <c r="AE3663" s="132"/>
      <c r="AF3663" s="146"/>
      <c r="AG3663" s="143">
        <f>'Valve Sizing'!$G$8*AG3661/P_1_maxW</f>
        <v>-8.3906730618660266</v>
      </c>
      <c r="AH3663" s="132"/>
      <c r="AI3663" s="146"/>
      <c r="AJ3663" s="143">
        <f>'Valve Sizing'!$G$8*AJ3661/P_1_maxW</f>
        <v>-13.82453280968485</v>
      </c>
      <c r="AK3663" s="132"/>
      <c r="AL3663" s="146"/>
      <c r="AM3663" s="143">
        <f>'Valve Sizing'!$G$8*AM3661/P_1_maxW</f>
        <v>-19.189722766343969</v>
      </c>
      <c r="AN3663" s="132"/>
      <c r="AO3663" s="146"/>
      <c r="AP3663" s="143">
        <f>'Valve Sizing'!$G$8*AP3661/P_1_maxW</f>
        <v>-24.004415977169394</v>
      </c>
      <c r="AQ3663" s="132"/>
      <c r="AR3663" s="146"/>
      <c r="AS3663" s="143">
        <f>'Valve Sizing'!$G$8*AS3661/P_1_maxW</f>
        <v>-29.997340976518878</v>
      </c>
      <c r="AT3663" s="132"/>
      <c r="AU3663" s="146"/>
    </row>
    <row r="3664" spans="13:47" x14ac:dyDescent="0.25">
      <c r="M3664" s="20"/>
      <c r="N3664" s="20"/>
      <c r="O3664" s="7" t="s">
        <v>190</v>
      </c>
      <c r="P3664" s="1"/>
      <c r="Q3664" s="7"/>
      <c r="R3664" s="181">
        <f>R3661-R3662</f>
        <v>49.032693191225405</v>
      </c>
      <c r="S3664" s="132"/>
      <c r="T3664" s="146"/>
      <c r="U3664" s="138">
        <f>U3661-U3662</f>
        <v>35.620242515257658</v>
      </c>
      <c r="V3664" s="132"/>
      <c r="W3664" s="146"/>
      <c r="X3664" s="138">
        <f>X3661-X3662</f>
        <v>-40.62590669621666</v>
      </c>
      <c r="Y3664" s="132"/>
      <c r="Z3664" s="146"/>
      <c r="AA3664" s="138">
        <f>AA3661-AA3662</f>
        <v>-295.26888921240686</v>
      </c>
      <c r="AB3664" s="132"/>
      <c r="AC3664" s="146"/>
      <c r="AD3664" s="138">
        <f>AD3661-AD3662</f>
        <v>-884.77932046933756</v>
      </c>
      <c r="AE3664" s="132"/>
      <c r="AF3664" s="146"/>
      <c r="AG3664" s="138">
        <f>AG3661-AG3662</f>
        <v>-1789.4242842603737</v>
      </c>
      <c r="AH3664" s="132"/>
      <c r="AI3664" s="146"/>
      <c r="AJ3664" s="138">
        <f>AJ3661-AJ3662</f>
        <v>-2915.8878626802675</v>
      </c>
      <c r="AK3664" s="132"/>
      <c r="AL3664" s="146"/>
      <c r="AM3664" s="138">
        <f>AM3661-AM3662</f>
        <v>-4028.1158843745466</v>
      </c>
      <c r="AN3664" s="132"/>
      <c r="AO3664" s="146"/>
      <c r="AP3664" s="138">
        <f>AP3661-AP3662</f>
        <v>-5026.2234533888968</v>
      </c>
      <c r="AQ3664" s="132"/>
      <c r="AR3664" s="146"/>
      <c r="AS3664" s="138">
        <f>AS3661-AS3662</f>
        <v>-6268.5837742784943</v>
      </c>
      <c r="AT3664" s="132"/>
      <c r="AU3664" s="146"/>
    </row>
    <row r="3665" spans="13:47" ht="14.5" x14ac:dyDescent="0.35">
      <c r="M3665" s="27"/>
      <c r="N3665" s="27"/>
      <c r="O3665" s="2" t="s">
        <v>191</v>
      </c>
      <c r="P3665" s="10"/>
      <c r="Q3665" s="2"/>
      <c r="R3665" s="181">
        <f>R3664/R3661</f>
        <v>0.49511622486673773</v>
      </c>
      <c r="S3665" s="132"/>
      <c r="T3665" s="146"/>
      <c r="U3665" s="138">
        <f>U3664/U3661</f>
        <v>0.41602594747276123</v>
      </c>
      <c r="V3665" s="132"/>
      <c r="W3665" s="146"/>
      <c r="X3665" s="138">
        <f>X3664/X3661</f>
        <v>-4.3338491926275404</v>
      </c>
      <c r="Y3665" s="132"/>
      <c r="Z3665" s="146"/>
      <c r="AA3665" s="138">
        <f>AA3664/AA3661</f>
        <v>1.2038578971860519</v>
      </c>
      <c r="AB3665" s="132"/>
      <c r="AC3665" s="146"/>
      <c r="AD3665" s="138">
        <f>AD3664/AD3661</f>
        <v>1.0598960692652144</v>
      </c>
      <c r="AE3665" s="132"/>
      <c r="AF3665" s="146"/>
      <c r="AG3665" s="138">
        <f>AG3664/AG3661</f>
        <v>1.0287451431214556</v>
      </c>
      <c r="AH3665" s="132"/>
      <c r="AI3665" s="146"/>
      <c r="AJ3665" s="138">
        <f>AJ3664/AJ3661</f>
        <v>1.0174466002843665</v>
      </c>
      <c r="AK3665" s="132"/>
      <c r="AL3665" s="146"/>
      <c r="AM3665" s="138">
        <f>AM3664/AM3661</f>
        <v>1.0125687640715528</v>
      </c>
      <c r="AN3665" s="132"/>
      <c r="AO3665" s="146"/>
      <c r="AP3665" s="138">
        <f>AP3664/AP3661</f>
        <v>1.0100477803033441</v>
      </c>
      <c r="AQ3665" s="132"/>
      <c r="AR3665" s="146"/>
      <c r="AS3665" s="138">
        <f>AS3664/AS3661</f>
        <v>1.0080404159234473</v>
      </c>
      <c r="AT3665" s="132"/>
      <c r="AU3665" s="146"/>
    </row>
    <row r="3666" spans="13:47" x14ac:dyDescent="0.25">
      <c r="M3666" s="27"/>
      <c r="N3666" s="27"/>
      <c r="O3666" s="2" t="s">
        <v>26</v>
      </c>
      <c r="P3666" s="7">
        <v>12</v>
      </c>
      <c r="Q3666" s="2"/>
      <c r="R3666" s="181">
        <f>1-R3665/(3*F_GAMMA*R$29)</f>
        <v>0.74213779648888101</v>
      </c>
      <c r="S3666" s="133"/>
      <c r="T3666" s="146"/>
      <c r="U3666" s="138">
        <f>1-U3665/(3*F_GAMMA*U$29)</f>
        <v>0.78337662483773562</v>
      </c>
      <c r="V3666" s="133"/>
      <c r="W3666" s="146"/>
      <c r="X3666" s="138">
        <f>1-X3665/(3*F_GAMMA*X$29)</f>
        <v>3.2904742722201465</v>
      </c>
      <c r="Y3666" s="133"/>
      <c r="Z3666" s="146"/>
      <c r="AA3666" s="138">
        <f>1-AA3665/(3*F_GAMMA*AA$29)</f>
        <v>0.35502753235264839</v>
      </c>
      <c r="AB3666" s="133"/>
      <c r="AC3666" s="146"/>
      <c r="AD3666" s="138">
        <f>1-AD3665/(3*F_GAMMA*AD$29)</f>
        <v>0.4165866693851813</v>
      </c>
      <c r="AE3666" s="133"/>
      <c r="AF3666" s="146"/>
      <c r="AG3666" s="138">
        <f>1-AG3665/(3*F_GAMMA*AG$29)</f>
        <v>0.4014327718694547</v>
      </c>
      <c r="AH3666" s="133"/>
      <c r="AI3666" s="146"/>
      <c r="AJ3666" s="138">
        <f>1-AJ3665/(3*F_GAMMA*AJ$29)</f>
        <v>0.36715117933347019</v>
      </c>
      <c r="AK3666" s="133"/>
      <c r="AL3666" s="146"/>
      <c r="AM3666" s="138">
        <f>1-AM3665/(3*F_GAMMA*AM$29)</f>
        <v>0.31186326320179891</v>
      </c>
      <c r="AN3666" s="133"/>
      <c r="AO3666" s="146"/>
      <c r="AP3666" s="138">
        <f>1-AP3665/(3*F_GAMMA*AP$29)</f>
        <v>0.43274524882382337</v>
      </c>
      <c r="AQ3666" s="133"/>
      <c r="AR3666" s="146"/>
      <c r="AS3666" s="138">
        <f>1-AS3665/(3*F_GAMMA*AS$29)</f>
        <v>0.14056942668581929</v>
      </c>
      <c r="AT3666" s="133"/>
      <c r="AU3666" s="146"/>
    </row>
    <row r="3667" spans="13:47" x14ac:dyDescent="0.25">
      <c r="M3667" s="27"/>
      <c r="N3667" s="27"/>
      <c r="O3667" s="2" t="s">
        <v>71</v>
      </c>
      <c r="P3667" s="85">
        <v>5</v>
      </c>
      <c r="Q3667" s="2"/>
      <c r="R3667" s="179">
        <f>R3659/((N_6*R$27*R3666)*SQRT(R3665*R3661*R3663))</f>
        <v>8.5032582287545146</v>
      </c>
      <c r="S3667" s="133"/>
      <c r="T3667" s="146"/>
      <c r="U3667" s="143">
        <f>U3659/((N_6*U$27*U3666)*SQRT(U3665*U3661*U3663))</f>
        <v>32.165345609006202</v>
      </c>
      <c r="V3667" s="133"/>
      <c r="W3667" s="146"/>
      <c r="X3667" s="143" t="e">
        <f>X3659/((N_6*X$27*X3666)*SQRT(X3665*X3661*X3663))</f>
        <v>#NUM!</v>
      </c>
      <c r="Y3667" s="133"/>
      <c r="Z3667" s="146"/>
      <c r="AA3667" s="143">
        <f>AA3659/((N_6*AA$27*AA3666)*SQRT(AA3665*AA3661*AA3663))</f>
        <v>70.718403156773178</v>
      </c>
      <c r="AB3667" s="133"/>
      <c r="AC3667" s="146"/>
      <c r="AD3667" s="143">
        <f>AD3659/((N_6*AD$27*AD3666)*SQRT(AD3665*AD3661*AD3663))</f>
        <v>31.407201055287683</v>
      </c>
      <c r="AE3667" s="133"/>
      <c r="AF3667" s="146"/>
      <c r="AG3667" s="143">
        <f>AG3659/((N_6*AG$27*AG3666)*SQRT(AG3665*AG3661*AG3663))</f>
        <v>22.749041575997595</v>
      </c>
      <c r="AH3667" s="133"/>
      <c r="AI3667" s="146"/>
      <c r="AJ3667" s="143">
        <f>AJ3659/((N_6*AJ$27*AJ3666)*SQRT(AJ3665*AJ3661*AJ3663))</f>
        <v>19.936456519341679</v>
      </c>
      <c r="AK3667" s="133"/>
      <c r="AL3667" s="146"/>
      <c r="AM3667" s="143">
        <f>AM3659/((N_6*AM$27*AM3666)*SQRT(AM3665*AM3661*AM3663))</f>
        <v>21.095033303616738</v>
      </c>
      <c r="AN3667" s="133"/>
      <c r="AO3667" s="146"/>
      <c r="AP3667" s="143">
        <f>AP3659/((N_6*AP$27*AP3666)*SQRT(AP3665*AP3661*AP3663))</f>
        <v>15.421272818835854</v>
      </c>
      <c r="AQ3667" s="133"/>
      <c r="AR3667" s="146"/>
      <c r="AS3667" s="143">
        <f>AS3659/((N_6*AS$27*AS3666)*SQRT(AS3665*AS3661*AS3663))</f>
        <v>55.74739224077004</v>
      </c>
      <c r="AT3667" s="133"/>
      <c r="AU3667" s="146"/>
    </row>
    <row r="3668" spans="13:47" x14ac:dyDescent="0.25">
      <c r="M3668" s="27"/>
      <c r="N3668" s="27"/>
      <c r="O3668" s="2" t="s">
        <v>73</v>
      </c>
      <c r="P3668" s="85">
        <v>5</v>
      </c>
      <c r="Q3668" s="2"/>
      <c r="R3668" s="179">
        <f>R3659/((N_6*R$27*0.667)*SQRT(R3669*R3661*R3663))</f>
        <v>8.3214413511187075</v>
      </c>
      <c r="S3668" s="133"/>
      <c r="T3668" s="155"/>
      <c r="U3668" s="143">
        <f>U3659/((N_6*U$27*0.667)*SQRT(U3669*U3661*U3663))</f>
        <v>30.454136024391552</v>
      </c>
      <c r="V3668" s="133"/>
      <c r="W3668" s="155"/>
      <c r="X3668" s="143">
        <f>X3659/((N_6*X$27*0.667)*SQRT(X3669*X3661*X3663))</f>
        <v>694.59757744365118</v>
      </c>
      <c r="Y3668" s="133"/>
      <c r="Z3668" s="155"/>
      <c r="AA3668" s="143">
        <f>AA3659/((N_6*AA$27*0.667)*SQRT(AA3669*AA3661*AA3663))</f>
        <v>52.360026891461594</v>
      </c>
      <c r="AB3668" s="133"/>
      <c r="AC3668" s="155"/>
      <c r="AD3668" s="143">
        <f>AD3659/((N_6*AD$27*0.667)*SQRT(AD3669*AD3661*AD3663))</f>
        <v>25.951207537367395</v>
      </c>
      <c r="AE3668" s="133"/>
      <c r="AF3668" s="155"/>
      <c r="AG3668" s="143">
        <f>AG3659/((N_6*AG$27*0.667)*SQRT(AG3669*AG3661*AG3663))</f>
        <v>18.347089930954841</v>
      </c>
      <c r="AH3668" s="133"/>
      <c r="AI3668" s="155"/>
      <c r="AJ3668" s="143">
        <f>AJ3659/((N_6*AJ$27*0.667)*SQRT(AJ3669*AJ3661*AJ3663))</f>
        <v>15.120901294383668</v>
      </c>
      <c r="AK3668" s="133"/>
      <c r="AL3668" s="155"/>
      <c r="AM3668" s="143">
        <f>AM3659/((N_6*AM$27*0.667)*SQRT(AM3669*AM3661*AM3663))</f>
        <v>14.171525398824482</v>
      </c>
      <c r="AN3668" s="133"/>
      <c r="AO3668" s="155"/>
      <c r="AP3668" s="143">
        <f>AP3659/((N_6*AP$27*0.667)*SQRT(AP3669*AP3661*AP3663))</f>
        <v>13.051979808297846</v>
      </c>
      <c r="AQ3668" s="133"/>
      <c r="AR3668" s="155"/>
      <c r="AS3668" s="143">
        <f>AS3659/((N_6*AS$27*0.667)*SQRT(AS3669*AS3661*AS3663))</f>
        <v>18.864948472077593</v>
      </c>
      <c r="AT3668" s="133"/>
      <c r="AU3668" s="155"/>
    </row>
    <row r="3669" spans="13:47" ht="15.5" x14ac:dyDescent="0.4">
      <c r="M3669" s="27"/>
      <c r="N3669" s="27"/>
      <c r="O3669" s="2" t="s">
        <v>192</v>
      </c>
      <c r="P3669" s="85">
        <v>10</v>
      </c>
      <c r="Q3669" s="2"/>
      <c r="R3669" s="181">
        <f>F_GAMMA*R$29</f>
        <v>0.64002688015162901</v>
      </c>
      <c r="S3669" s="133"/>
      <c r="T3669" s="155"/>
      <c r="U3669" s="138">
        <f>F_GAMMA*U$29</f>
        <v>0.64016782916606918</v>
      </c>
      <c r="V3669" s="133"/>
      <c r="W3669" s="155"/>
      <c r="X3669" s="138">
        <f>F_GAMMA*X$29</f>
        <v>0.6307062319203669</v>
      </c>
      <c r="Y3669" s="133"/>
      <c r="Z3669" s="155"/>
      <c r="AA3669" s="138">
        <f>F_GAMMA*AA$29</f>
        <v>0.62217534213893466</v>
      </c>
      <c r="AB3669" s="133"/>
      <c r="AC3669" s="155"/>
      <c r="AD3669" s="138">
        <f>F_GAMMA*AD$29</f>
        <v>0.60557184969146072</v>
      </c>
      <c r="AE3669" s="133"/>
      <c r="AF3669" s="155"/>
      <c r="AG3669" s="138">
        <f>F_GAMMA*AG$29</f>
        <v>0.57289312142622573</v>
      </c>
      <c r="AH3669" s="133"/>
      <c r="AI3669" s="155"/>
      <c r="AJ3669" s="138">
        <f>F_GAMMA*AJ$29</f>
        <v>0.53590819116049981</v>
      </c>
      <c r="AK3669" s="133"/>
      <c r="AL3669" s="155"/>
      <c r="AM3669" s="138">
        <f>F_GAMMA*AM$29</f>
        <v>0.49048815926850342</v>
      </c>
      <c r="AN3669" s="133"/>
      <c r="AO3669" s="155"/>
      <c r="AP3669" s="138">
        <f>F_GAMMA*AP$29</f>
        <v>0.59352979016280105</v>
      </c>
      <c r="AQ3669" s="133"/>
      <c r="AR3669" s="155"/>
      <c r="AS3669" s="138">
        <f>F_GAMMA*AS$29</f>
        <v>0.39097221161068291</v>
      </c>
      <c r="AT3669" s="133"/>
      <c r="AU3669" s="155"/>
    </row>
    <row r="3670" spans="13:47" x14ac:dyDescent="0.25">
      <c r="M3670" s="27"/>
      <c r="N3670" s="27"/>
      <c r="O3670" s="2" t="s">
        <v>193</v>
      </c>
      <c r="P3670" s="134"/>
      <c r="Q3670" s="2"/>
      <c r="R3670" s="181">
        <f>IF(R3665&lt;R3669,R3667,R3668)</f>
        <v>8.5032582287545146</v>
      </c>
      <c r="S3670" s="133"/>
      <c r="T3670" s="155"/>
      <c r="U3670" s="138">
        <f>IF(U3665&lt;U3669,U3667,U3668)</f>
        <v>32.165345609006202</v>
      </c>
      <c r="V3670" s="133"/>
      <c r="W3670" s="155"/>
      <c r="X3670" s="138" t="e">
        <f>IF(X3665&lt;X3669,X3667,X3668)</f>
        <v>#NUM!</v>
      </c>
      <c r="Y3670" s="133"/>
      <c r="Z3670" s="155"/>
      <c r="AA3670" s="138">
        <f>IF(AA3665&lt;AA3669,AA3667,AA3668)</f>
        <v>52.360026891461594</v>
      </c>
      <c r="AB3670" s="133"/>
      <c r="AC3670" s="155"/>
      <c r="AD3670" s="138">
        <f>IF(AD3665&lt;AD3669,AD3667,AD3668)</f>
        <v>25.951207537367395</v>
      </c>
      <c r="AE3670" s="133"/>
      <c r="AF3670" s="155"/>
      <c r="AG3670" s="138">
        <f>IF(AG3665&lt;AG3669,AG3667,AG3668)</f>
        <v>18.347089930954841</v>
      </c>
      <c r="AH3670" s="133"/>
      <c r="AI3670" s="155"/>
      <c r="AJ3670" s="138">
        <f>IF(AJ3665&lt;AJ3669,AJ3667,AJ3668)</f>
        <v>15.120901294383668</v>
      </c>
      <c r="AK3670" s="133"/>
      <c r="AL3670" s="155"/>
      <c r="AM3670" s="138">
        <f>IF(AM3665&lt;AM3669,AM3667,AM3668)</f>
        <v>14.171525398824482</v>
      </c>
      <c r="AN3670" s="133"/>
      <c r="AO3670" s="155"/>
      <c r="AP3670" s="138">
        <f>IF(AP3665&lt;AP3669,AP3667,AP3668)</f>
        <v>13.051979808297846</v>
      </c>
      <c r="AQ3670" s="133"/>
      <c r="AR3670" s="155"/>
      <c r="AS3670" s="138">
        <f>IF(AS3665&lt;AS3669,AS3667,AS3668)</f>
        <v>18.864948472077593</v>
      </c>
      <c r="AT3670" s="133"/>
      <c r="AU3670" s="155"/>
    </row>
    <row r="3671" spans="13:47" ht="13" x14ac:dyDescent="0.3">
      <c r="M3671" s="28"/>
      <c r="N3671" s="28"/>
      <c r="O3671" s="9" t="s">
        <v>194</v>
      </c>
      <c r="P3671" s="1"/>
      <c r="Q3671" s="1"/>
      <c r="R3671" s="135"/>
      <c r="S3671" s="132">
        <f>IF(R3664&lt;=0,W_max,ABS(R$23-R3670))</f>
        <v>6.5032582287545146</v>
      </c>
      <c r="T3671" s="151">
        <f>R3659</f>
        <v>1933.0806474135866</v>
      </c>
      <c r="U3671" s="135"/>
      <c r="V3671" s="132">
        <f>IF(U3664&lt;=0,W_max,ABS(U$23-U3670))</f>
        <v>27.165345609006202</v>
      </c>
      <c r="W3671" s="151">
        <f>U3659</f>
        <v>6113.2677267005938</v>
      </c>
      <c r="X3671" s="135"/>
      <c r="Y3671" s="132">
        <f>IF(X3664&lt;=0,W_max,ABS(X$23-X3670))</f>
        <v>7174</v>
      </c>
      <c r="Z3671" s="151">
        <f>X3659</f>
        <v>15118.838575517842</v>
      </c>
      <c r="AA3671" s="135"/>
      <c r="AB3671" s="132">
        <f>IF(AA3664&lt;=0,W_max,ABS(AA$23-AA3670))</f>
        <v>7174</v>
      </c>
      <c r="AC3671" s="151">
        <f>AA3659</f>
        <v>29447.638530907243</v>
      </c>
      <c r="AD3671" s="135"/>
      <c r="AE3671" s="132">
        <f>IF(AD3664&lt;=0,W_max,ABS(AD$23-AD3670))</f>
        <v>7174</v>
      </c>
      <c r="AF3671" s="151">
        <f>AD3659</f>
        <v>48430.523406086097</v>
      </c>
      <c r="AG3671" s="135"/>
      <c r="AH3671" s="132">
        <f>IF(AG3664&lt;=0,W_max,ABS(AG$23-AG3670))</f>
        <v>7174</v>
      </c>
      <c r="AI3671" s="151">
        <f>AG3659</f>
        <v>67927.537557523159</v>
      </c>
      <c r="AJ3671" s="135"/>
      <c r="AK3671" s="132">
        <f>IF(AJ3664&lt;=0,W_max,ABS(AJ$23-AJ3670))</f>
        <v>7174</v>
      </c>
      <c r="AL3671" s="151">
        <f>AJ3659</f>
        <v>86249.94802624009</v>
      </c>
      <c r="AM3671" s="135"/>
      <c r="AN3671" s="132">
        <f>IF(AM3664&lt;=0,W_max,ABS(AM$23-AM3670))</f>
        <v>7174</v>
      </c>
      <c r="AO3671" s="151">
        <f>AM3659</f>
        <v>101134.84718134801</v>
      </c>
      <c r="AP3671" s="135"/>
      <c r="AQ3671" s="132">
        <f>IF(AP3664&lt;=0,W_max,ABS(AP$23-AP3670))</f>
        <v>7174</v>
      </c>
      <c r="AR3671" s="151">
        <f>AP3659</f>
        <v>112832.94774506401</v>
      </c>
      <c r="AS3671" s="135"/>
      <c r="AT3671" s="132">
        <f>IF(AS3664&lt;=0,W_max,ABS(AS$23-AS3670))</f>
        <v>7174</v>
      </c>
      <c r="AU3671" s="151">
        <f>AS3659</f>
        <v>125884.14826010962</v>
      </c>
    </row>
    <row r="3672" spans="13:47" ht="13" x14ac:dyDescent="0.25">
      <c r="M3672" s="12"/>
      <c r="N3672" s="12"/>
      <c r="O3672" s="2"/>
      <c r="P3672" s="85"/>
      <c r="Q3672" s="2"/>
      <c r="R3672" s="18"/>
      <c r="S3672" s="150"/>
      <c r="T3672" s="152"/>
      <c r="U3672" s="157"/>
      <c r="V3672" s="1"/>
      <c r="W3672" s="147"/>
      <c r="X3672" s="157"/>
      <c r="Y3672" s="1"/>
      <c r="Z3672" s="147"/>
      <c r="AA3672" s="157"/>
      <c r="AB3672" s="1"/>
      <c r="AC3672" s="147"/>
      <c r="AD3672" s="157"/>
      <c r="AE3672" s="1"/>
      <c r="AF3672" s="147"/>
      <c r="AG3672" s="157"/>
      <c r="AH3672" s="1"/>
      <c r="AI3672" s="147"/>
      <c r="AJ3672" s="157"/>
      <c r="AK3672" s="1"/>
      <c r="AL3672" s="147"/>
      <c r="AM3672" s="157"/>
      <c r="AN3672" s="1"/>
      <c r="AO3672" s="147"/>
      <c r="AP3672" s="157"/>
      <c r="AQ3672" s="1"/>
      <c r="AR3672" s="147"/>
      <c r="AS3672" s="157"/>
      <c r="AT3672" s="1"/>
      <c r="AU3672" s="147"/>
    </row>
    <row r="3673" spans="13:47" ht="14" x14ac:dyDescent="0.3">
      <c r="M3673" s="23"/>
      <c r="N3673" s="23"/>
      <c r="O3673" s="23" t="s">
        <v>238</v>
      </c>
      <c r="P3673" s="20"/>
      <c r="Q3673" s="20"/>
      <c r="R3673" s="181">
        <f>R3659*1.02</f>
        <v>1971.7422603618584</v>
      </c>
      <c r="S3673" s="128" t="s">
        <v>185</v>
      </c>
      <c r="T3673" s="153" t="s">
        <v>186</v>
      </c>
      <c r="U3673" s="143">
        <f>U3659*1.01</f>
        <v>6174.4004039676001</v>
      </c>
      <c r="V3673" s="128" t="s">
        <v>185</v>
      </c>
      <c r="W3673" s="153" t="s">
        <v>186</v>
      </c>
      <c r="X3673" s="143">
        <f>X3659*1.01</f>
        <v>15270.026961273021</v>
      </c>
      <c r="Y3673" s="128" t="s">
        <v>185</v>
      </c>
      <c r="Z3673" s="153" t="s">
        <v>186</v>
      </c>
      <c r="AA3673" s="143">
        <f>AA3659*1.01</f>
        <v>29742.114916216316</v>
      </c>
      <c r="AB3673" s="128" t="s">
        <v>185</v>
      </c>
      <c r="AC3673" s="153" t="s">
        <v>186</v>
      </c>
      <c r="AD3673" s="143">
        <f>AD3659*1.01</f>
        <v>48914.82864014696</v>
      </c>
      <c r="AE3673" s="128" t="s">
        <v>185</v>
      </c>
      <c r="AF3673" s="153" t="s">
        <v>186</v>
      </c>
      <c r="AG3673" s="143">
        <f>AG3659*1.01</f>
        <v>68606.812933098394</v>
      </c>
      <c r="AH3673" s="128" t="s">
        <v>185</v>
      </c>
      <c r="AI3673" s="153" t="s">
        <v>186</v>
      </c>
      <c r="AJ3673" s="143">
        <f>AJ3659*1.01</f>
        <v>87112.447506502489</v>
      </c>
      <c r="AK3673" s="128" t="s">
        <v>185</v>
      </c>
      <c r="AL3673" s="153" t="s">
        <v>186</v>
      </c>
      <c r="AM3673" s="143">
        <f>AM3659*1.01</f>
        <v>102146.1956531615</v>
      </c>
      <c r="AN3673" s="128" t="s">
        <v>185</v>
      </c>
      <c r="AO3673" s="153" t="s">
        <v>186</v>
      </c>
      <c r="AP3673" s="143">
        <f>AP3659*1.01</f>
        <v>113961.27722251465</v>
      </c>
      <c r="AQ3673" s="128" t="s">
        <v>185</v>
      </c>
      <c r="AR3673" s="153" t="s">
        <v>186</v>
      </c>
      <c r="AS3673" s="143">
        <f>AS3659*1.01</f>
        <v>127142.98974271072</v>
      </c>
      <c r="AT3673" s="128" t="s">
        <v>185</v>
      </c>
      <c r="AU3673" s="153" t="s">
        <v>186</v>
      </c>
    </row>
    <row r="3674" spans="13:47" ht="14" x14ac:dyDescent="0.3">
      <c r="M3674" s="12"/>
      <c r="N3674" s="12"/>
      <c r="O3674" s="20"/>
      <c r="P3674" s="20"/>
      <c r="Q3674" s="23"/>
      <c r="R3674" s="139"/>
      <c r="S3674" s="130" t="s">
        <v>228</v>
      </c>
      <c r="T3674" s="154" t="s">
        <v>187</v>
      </c>
      <c r="U3674" s="144"/>
      <c r="V3674" s="130" t="s">
        <v>228</v>
      </c>
      <c r="W3674" s="154" t="s">
        <v>187</v>
      </c>
      <c r="X3674" s="144"/>
      <c r="Y3674" s="130" t="s">
        <v>228</v>
      </c>
      <c r="Z3674" s="154" t="s">
        <v>187</v>
      </c>
      <c r="AA3674" s="144"/>
      <c r="AB3674" s="130" t="s">
        <v>228</v>
      </c>
      <c r="AC3674" s="154" t="s">
        <v>187</v>
      </c>
      <c r="AD3674" s="144"/>
      <c r="AE3674" s="130" t="s">
        <v>228</v>
      </c>
      <c r="AF3674" s="154" t="s">
        <v>187</v>
      </c>
      <c r="AG3674" s="144"/>
      <c r="AH3674" s="130" t="s">
        <v>228</v>
      </c>
      <c r="AI3674" s="154" t="s">
        <v>187</v>
      </c>
      <c r="AJ3674" s="144"/>
      <c r="AK3674" s="130" t="s">
        <v>228</v>
      </c>
      <c r="AL3674" s="154" t="s">
        <v>187</v>
      </c>
      <c r="AM3674" s="144"/>
      <c r="AN3674" s="130" t="s">
        <v>228</v>
      </c>
      <c r="AO3674" s="154" t="s">
        <v>187</v>
      </c>
      <c r="AP3674" s="144"/>
      <c r="AQ3674" s="130" t="s">
        <v>228</v>
      </c>
      <c r="AR3674" s="154" t="s">
        <v>187</v>
      </c>
      <c r="AS3674" s="144"/>
      <c r="AT3674" s="130" t="s">
        <v>228</v>
      </c>
      <c r="AU3674" s="154" t="s">
        <v>187</v>
      </c>
    </row>
    <row r="3675" spans="13:47" x14ac:dyDescent="0.25">
      <c r="M3675" s="20"/>
      <c r="N3675" s="20"/>
      <c r="O3675" s="7" t="s">
        <v>188</v>
      </c>
      <c r="P3675" s="7"/>
      <c r="Q3675" s="7"/>
      <c r="R3675" s="181">
        <f>P_1_minW-(R3673^2*R_up)+dpup_minQ</f>
        <v>98.972493411987159</v>
      </c>
      <c r="S3675" s="132"/>
      <c r="T3675" s="145"/>
      <c r="U3675" s="138">
        <f>P_1_minW-(U3673^2*R_up)+dpup_minQ</f>
        <v>85.32070137640612</v>
      </c>
      <c r="V3675" s="132"/>
      <c r="W3675" s="145"/>
      <c r="X3675" s="138">
        <f>P_1_minW-(X3673^2*R_up)+dpup_minQ</f>
        <v>7.542004565781169</v>
      </c>
      <c r="Y3675" s="132"/>
      <c r="Z3675" s="145"/>
      <c r="AA3675" s="138">
        <f>P_1_minW-(AA3673^2*R_up)+dpup_minQ</f>
        <v>-252.21930189898447</v>
      </c>
      <c r="AB3675" s="132"/>
      <c r="AC3675" s="145"/>
      <c r="AD3675" s="138">
        <f>P_1_minW-(AD3673^2*R_up)+dpup_minQ</f>
        <v>-853.57889282417966</v>
      </c>
      <c r="AE3675" s="132"/>
      <c r="AF3675" s="145"/>
      <c r="AG3675" s="138">
        <f>P_1_minW-(AG3673^2*R_up)+dpup_minQ</f>
        <v>-1776.4072203874157</v>
      </c>
      <c r="AH3675" s="132"/>
      <c r="AI3675" s="145"/>
      <c r="AJ3675" s="138">
        <f>P_1_minW-(AJ3673^2*R_up)+dpup_minQ</f>
        <v>-2925.512716733549</v>
      </c>
      <c r="AK3675" s="132"/>
      <c r="AL3675" s="145"/>
      <c r="AM3675" s="138">
        <f>P_1_minW-(AM3673^2*R_up)+dpup_minQ</f>
        <v>-4060.0965216638833</v>
      </c>
      <c r="AN3675" s="132"/>
      <c r="AO3675" s="145"/>
      <c r="AP3675" s="138">
        <f>P_1_minW-(AP3673^2*R_up)+dpup_minQ</f>
        <v>-5078.266052815422</v>
      </c>
      <c r="AQ3675" s="132"/>
      <c r="AR3675" s="145"/>
      <c r="AS3675" s="138">
        <f>P_1_minW-(AS3673^2*R_up)+dpup_minQ</f>
        <v>-6345.597816154901</v>
      </c>
      <c r="AT3675" s="132"/>
      <c r="AU3675" s="145"/>
    </row>
    <row r="3676" spans="13:47" x14ac:dyDescent="0.25">
      <c r="M3676" s="20"/>
      <c r="N3676" s="20"/>
      <c r="O3676" s="7" t="s">
        <v>189</v>
      </c>
      <c r="P3676" s="1"/>
      <c r="Q3676" s="7"/>
      <c r="R3676" s="181">
        <f>P_2_minW+(R3673^2*R_dn)-dpdn_minQ</f>
        <v>50</v>
      </c>
      <c r="S3676" s="132"/>
      <c r="T3676" s="146"/>
      <c r="U3676" s="138">
        <f>P_2_minW+(U3673^2*R_dn)-dpdn_minQ</f>
        <v>50</v>
      </c>
      <c r="V3676" s="132"/>
      <c r="W3676" s="146"/>
      <c r="X3676" s="138">
        <f>P_2_minW+(X3673^2*R_dn)-dpdn_minQ</f>
        <v>50</v>
      </c>
      <c r="Y3676" s="132"/>
      <c r="Z3676" s="146"/>
      <c r="AA3676" s="138">
        <f>P_2_minW+(AA3673^2*R_dn)-dpdn_minQ</f>
        <v>50</v>
      </c>
      <c r="AB3676" s="132"/>
      <c r="AC3676" s="146"/>
      <c r="AD3676" s="138">
        <f>P_2_minW+(AD3673^2*R_dn)-dpdn_minQ</f>
        <v>50</v>
      </c>
      <c r="AE3676" s="132"/>
      <c r="AF3676" s="146"/>
      <c r="AG3676" s="138">
        <f>P_2_minW+(AG3673^2*R_dn)-dpdn_minQ</f>
        <v>50</v>
      </c>
      <c r="AH3676" s="132"/>
      <c r="AI3676" s="146"/>
      <c r="AJ3676" s="138">
        <f>P_2_minW+(AJ3673^2*R_dn)-dpdn_minQ</f>
        <v>50</v>
      </c>
      <c r="AK3676" s="132"/>
      <c r="AL3676" s="146"/>
      <c r="AM3676" s="138">
        <f>P_2_minW+(AM3673^2*R_dn)-dpdn_minQ</f>
        <v>50</v>
      </c>
      <c r="AN3676" s="132"/>
      <c r="AO3676" s="146"/>
      <c r="AP3676" s="138">
        <f>P_2_minW+(AP3673^2*R_dn)-dpdn_minQ</f>
        <v>50</v>
      </c>
      <c r="AQ3676" s="132"/>
      <c r="AR3676" s="146"/>
      <c r="AS3676" s="138">
        <f>P_2_minW+(AS3673^2*R_dn)-dpdn_minQ</f>
        <v>50</v>
      </c>
      <c r="AT3676" s="132"/>
      <c r="AU3676" s="146"/>
    </row>
    <row r="3677" spans="13:47" x14ac:dyDescent="0.25">
      <c r="M3677" s="20"/>
      <c r="N3677" s="20"/>
      <c r="O3677" s="7" t="s">
        <v>234</v>
      </c>
      <c r="P3677" s="1"/>
      <c r="Q3677" s="7"/>
      <c r="R3677" s="179">
        <f>'Valve Sizing'!G$8*R3675/P_1_maxW</f>
        <v>0.47742568725306145</v>
      </c>
      <c r="S3677" s="132"/>
      <c r="T3677" s="146"/>
      <c r="U3677" s="143">
        <f>'Valve Sizing'!$G$8*U3675/P_1_maxW</f>
        <v>0.41157187302518078</v>
      </c>
      <c r="V3677" s="132"/>
      <c r="W3677" s="146"/>
      <c r="X3677" s="143">
        <f>'Valve Sizing'!$G$8*X3675/P_1_maxW</f>
        <v>3.6381287254178579E-2</v>
      </c>
      <c r="Y3677" s="132"/>
      <c r="Z3677" s="146"/>
      <c r="AA3677" s="143">
        <f>'Valve Sizing'!$G$8*AA3675/P_1_maxW</f>
        <v>-1.216661007481759</v>
      </c>
      <c r="AB3677" s="132"/>
      <c r="AC3677" s="146"/>
      <c r="AD3677" s="143">
        <f>'Valve Sizing'!$G$8*AD3675/P_1_maxW</f>
        <v>-4.1175126086288332</v>
      </c>
      <c r="AE3677" s="132"/>
      <c r="AF3677" s="146"/>
      <c r="AG3677" s="143">
        <f>'Valve Sizing'!$G$8*AG3675/P_1_maxW</f>
        <v>-8.5690721613369369</v>
      </c>
      <c r="AH3677" s="132"/>
      <c r="AI3677" s="146"/>
      <c r="AJ3677" s="143">
        <f>'Valve Sizing'!$G$8*AJ3675/P_1_maxW</f>
        <v>-14.112152490086917</v>
      </c>
      <c r="AK3677" s="132"/>
      <c r="AL3677" s="146"/>
      <c r="AM3677" s="143">
        <f>'Valve Sizing'!$G$8*AM3675/P_1_maxW</f>
        <v>-19.585182764874883</v>
      </c>
      <c r="AN3677" s="132"/>
      <c r="AO3677" s="146"/>
      <c r="AP3677" s="143">
        <f>'Valve Sizing'!$G$8*AP3675/P_1_maxW</f>
        <v>-24.496651309237897</v>
      </c>
      <c r="AQ3677" s="132"/>
      <c r="AR3677" s="146"/>
      <c r="AS3677" s="143">
        <f>'Valve Sizing'!$G$8*AS3675/P_1_maxW</f>
        <v>-30.610034101074312</v>
      </c>
      <c r="AT3677" s="132"/>
      <c r="AU3677" s="146"/>
    </row>
    <row r="3678" spans="13:47" x14ac:dyDescent="0.25">
      <c r="M3678" s="20"/>
      <c r="N3678" s="20"/>
      <c r="O3678" s="7" t="s">
        <v>190</v>
      </c>
      <c r="P3678" s="1"/>
      <c r="Q3678" s="7"/>
      <c r="R3678" s="181">
        <f>R3675-R3676</f>
        <v>48.972493411987159</v>
      </c>
      <c r="S3678" s="132"/>
      <c r="T3678" s="146"/>
      <c r="U3678" s="138">
        <f>U3675-U3676</f>
        <v>35.32070137640612</v>
      </c>
      <c r="V3678" s="132"/>
      <c r="W3678" s="146"/>
      <c r="X3678" s="138">
        <f>X3675-X3676</f>
        <v>-42.45799543421883</v>
      </c>
      <c r="Y3678" s="132"/>
      <c r="Z3678" s="146"/>
      <c r="AA3678" s="138">
        <f>AA3675-AA3676</f>
        <v>-302.21930189898444</v>
      </c>
      <c r="AB3678" s="132"/>
      <c r="AC3678" s="146"/>
      <c r="AD3678" s="138">
        <f>AD3675-AD3676</f>
        <v>-903.57889282417966</v>
      </c>
      <c r="AE3678" s="132"/>
      <c r="AF3678" s="146"/>
      <c r="AG3678" s="138">
        <f>AG3675-AG3676</f>
        <v>-1826.4072203874157</v>
      </c>
      <c r="AH3678" s="132"/>
      <c r="AI3678" s="146"/>
      <c r="AJ3678" s="138">
        <f>AJ3675-AJ3676</f>
        <v>-2975.512716733549</v>
      </c>
      <c r="AK3678" s="132"/>
      <c r="AL3678" s="146"/>
      <c r="AM3678" s="138">
        <f>AM3675-AM3676</f>
        <v>-4110.0965216638833</v>
      </c>
      <c r="AN3678" s="132"/>
      <c r="AO3678" s="146"/>
      <c r="AP3678" s="138">
        <f>AP3675-AP3676</f>
        <v>-5128.266052815422</v>
      </c>
      <c r="AQ3678" s="132"/>
      <c r="AR3678" s="146"/>
      <c r="AS3678" s="138">
        <f>AS3675-AS3676</f>
        <v>-6395.597816154901</v>
      </c>
      <c r="AT3678" s="132"/>
      <c r="AU3678" s="146"/>
    </row>
    <row r="3679" spans="13:47" ht="14.5" x14ac:dyDescent="0.35">
      <c r="M3679" s="27"/>
      <c r="N3679" s="27"/>
      <c r="O3679" s="2" t="s">
        <v>191</v>
      </c>
      <c r="P3679" s="10"/>
      <c r="Q3679" s="2"/>
      <c r="R3679" s="181">
        <f>R3678/R3675</f>
        <v>0.49480913053419956</v>
      </c>
      <c r="S3679" s="132"/>
      <c r="T3679" s="146"/>
      <c r="U3679" s="138">
        <f>U3678/U3675</f>
        <v>0.41397575039360157</v>
      </c>
      <c r="V3679" s="132"/>
      <c r="W3679" s="146"/>
      <c r="X3679" s="138">
        <f>X3678/X3675</f>
        <v>-5.6295372223526634</v>
      </c>
      <c r="Y3679" s="132"/>
      <c r="Z3679" s="146"/>
      <c r="AA3679" s="138">
        <f>AA3678/AA3675</f>
        <v>1.1982401807615235</v>
      </c>
      <c r="AB3679" s="132"/>
      <c r="AC3679" s="146"/>
      <c r="AD3679" s="138">
        <f>AD3678/AD3675</f>
        <v>1.058576893618548</v>
      </c>
      <c r="AE3679" s="132"/>
      <c r="AF3679" s="146"/>
      <c r="AG3679" s="138">
        <f>AG3678/AG3675</f>
        <v>1.0281466993750992</v>
      </c>
      <c r="AH3679" s="132"/>
      <c r="AI3679" s="146"/>
      <c r="AJ3679" s="138">
        <f>AJ3678/AJ3675</f>
        <v>1.0170910212469788</v>
      </c>
      <c r="AK3679" s="132"/>
      <c r="AL3679" s="146"/>
      <c r="AM3679" s="138">
        <f>AM3678/AM3675</f>
        <v>1.012314978162024</v>
      </c>
      <c r="AN3679" s="132"/>
      <c r="AO3679" s="146"/>
      <c r="AP3679" s="138">
        <f>AP3678/AP3675</f>
        <v>1.0098458803615222</v>
      </c>
      <c r="AQ3679" s="132"/>
      <c r="AR3679" s="146"/>
      <c r="AS3679" s="138">
        <f>AS3678/AS3675</f>
        <v>1.0078794782538389</v>
      </c>
      <c r="AT3679" s="132"/>
      <c r="AU3679" s="146"/>
    </row>
    <row r="3680" spans="13:47" x14ac:dyDescent="0.25">
      <c r="M3680" s="27"/>
      <c r="N3680" s="27"/>
      <c r="O3680" s="2" t="s">
        <v>26</v>
      </c>
      <c r="P3680" s="7">
        <v>12</v>
      </c>
      <c r="Q3680" s="2"/>
      <c r="R3680" s="181">
        <f>1-R3679/(3*F_GAMMA*R$29)</f>
        <v>0.74229773473630034</v>
      </c>
      <c r="S3680" s="133"/>
      <c r="T3680" s="146"/>
      <c r="U3680" s="138">
        <f>1-U3679/(3*F_GAMMA*U$29)</f>
        <v>0.78444415587452143</v>
      </c>
      <c r="V3680" s="133"/>
      <c r="W3680" s="146"/>
      <c r="X3680" s="138">
        <f>1-X3679/(3*F_GAMMA*X$29)</f>
        <v>3.9752558520585803</v>
      </c>
      <c r="Y3680" s="133"/>
      <c r="Z3680" s="146"/>
      <c r="AA3680" s="138">
        <f>1-AA3679/(3*F_GAMMA*AA$29)</f>
        <v>0.35803725005549381</v>
      </c>
      <c r="AB3680" s="133"/>
      <c r="AC3680" s="146"/>
      <c r="AD3680" s="138">
        <f>1-AD3679/(3*F_GAMMA*AD$29)</f>
        <v>0.41731280157870965</v>
      </c>
      <c r="AE3680" s="133"/>
      <c r="AF3680" s="146"/>
      <c r="AG3680" s="138">
        <f>1-AG3679/(3*F_GAMMA*AG$29)</f>
        <v>0.40178097163189708</v>
      </c>
      <c r="AH3680" s="133"/>
      <c r="AI3680" s="146"/>
      <c r="AJ3680" s="138">
        <f>1-AJ3679/(3*F_GAMMA*AJ$29)</f>
        <v>0.36737234845861311</v>
      </c>
      <c r="AK3680" s="133"/>
      <c r="AL3680" s="146"/>
      <c r="AM3680" s="138">
        <f>1-AM3679/(3*F_GAMMA*AM$29)</f>
        <v>0.31203573485392289</v>
      </c>
      <c r="AN3680" s="133"/>
      <c r="AO3680" s="146"/>
      <c r="AP3680" s="138">
        <f>1-AP3679/(3*F_GAMMA*AP$29)</f>
        <v>0.43285863821340875</v>
      </c>
      <c r="AQ3680" s="133"/>
      <c r="AR3680" s="146"/>
      <c r="AS3680" s="138">
        <f>1-AS3679/(3*F_GAMMA*AS$29)</f>
        <v>0.14070663820182039</v>
      </c>
      <c r="AT3680" s="133"/>
      <c r="AU3680" s="146"/>
    </row>
    <row r="3681" spans="13:47" x14ac:dyDescent="0.25">
      <c r="M3681" s="27"/>
      <c r="N3681" s="27"/>
      <c r="O3681" s="2" t="s">
        <v>71</v>
      </c>
      <c r="P3681" s="85">
        <v>5</v>
      </c>
      <c r="Q3681" s="2"/>
      <c r="R3681" s="179">
        <f>R3673/((N_6*R$27*R3680)*SQRT(R3679*R3675*R3677))</f>
        <v>8.6794211076447461</v>
      </c>
      <c r="S3681" s="133"/>
      <c r="T3681" s="146"/>
      <c r="U3681" s="143">
        <f>U3673/((N_6*U$27*U3680)*SQRT(U3679*U3675*U3677))</f>
        <v>32.637205608377158</v>
      </c>
      <c r="V3681" s="133"/>
      <c r="W3681" s="146"/>
      <c r="X3681" s="143" t="e">
        <f>X3673/((N_6*X$27*X3680)*SQRT(X3679*X3675*X3677))</f>
        <v>#NUM!</v>
      </c>
      <c r="Y3681" s="133"/>
      <c r="Z3681" s="146"/>
      <c r="AA3681" s="143">
        <f>AA3673/((N_6*AA$27*AA3680)*SQRT(AA3679*AA3675*AA3677))</f>
        <v>69.034702716863848</v>
      </c>
      <c r="AB3681" s="133"/>
      <c r="AC3681" s="146"/>
      <c r="AD3681" s="143">
        <f>AD3673/((N_6*AD$27*AD3680)*SQRT(AD3679*AD3675*AD3677))</f>
        <v>30.98794096808038</v>
      </c>
      <c r="AE3681" s="133"/>
      <c r="AF3681" s="146"/>
      <c r="AG3681" s="143">
        <f>AG3673/((N_6*AG$27*AG3680)*SQRT(AG3679*AG3675*AG3677))</f>
        <v>22.485227866236148</v>
      </c>
      <c r="AH3681" s="133"/>
      <c r="AI3681" s="146"/>
      <c r="AJ3681" s="143">
        <f>AJ3673/((N_6*AJ$27*AJ3680)*SQRT(AJ3679*AJ3675*AJ3677))</f>
        <v>19.717003424880993</v>
      </c>
      <c r="AK3681" s="133"/>
      <c r="AL3681" s="146"/>
      <c r="AM3681" s="143">
        <f>AM3673/((N_6*AM$27*AM3680)*SQRT(AM3679*AM3675*AM3677))</f>
        <v>20.866854054929625</v>
      </c>
      <c r="AN3681" s="133"/>
      <c r="AO3681" s="146"/>
      <c r="AP3681" s="143">
        <f>AP3673/((N_6*AP$27*AP3680)*SQRT(AP3679*AP3675*AP3677))</f>
        <v>15.260039145758093</v>
      </c>
      <c r="AQ3681" s="133"/>
      <c r="AR3681" s="146"/>
      <c r="AS3681" s="143">
        <f>AS3673/((N_6*AS$27*AS3680)*SQRT(AS3679*AS3675*AS3677))</f>
        <v>55.128456686357673</v>
      </c>
      <c r="AT3681" s="133"/>
      <c r="AU3681" s="146"/>
    </row>
    <row r="3682" spans="13:47" x14ac:dyDescent="0.25">
      <c r="M3682" s="27"/>
      <c r="N3682" s="27"/>
      <c r="O3682" s="2" t="s">
        <v>73</v>
      </c>
      <c r="P3682" s="85">
        <v>5</v>
      </c>
      <c r="Q3682" s="2"/>
      <c r="R3682" s="179">
        <f>R3673/((N_6*R$27*0.667)*SQRT(R3683*R3675*R3677))</f>
        <v>8.4930329046048882</v>
      </c>
      <c r="S3682" s="133"/>
      <c r="T3682" s="155"/>
      <c r="U3682" s="143">
        <f>U3673/((N_6*U$27*0.667)*SQRT(U3683*U3675*U3677))</f>
        <v>30.86666394715461</v>
      </c>
      <c r="V3682" s="133"/>
      <c r="W3682" s="155"/>
      <c r="X3682" s="143">
        <f>X3673/((N_6*X$27*0.667)*SQRT(X3683*X3675*X3677))</f>
        <v>871.96111685897642</v>
      </c>
      <c r="Y3682" s="133"/>
      <c r="Z3682" s="155"/>
      <c r="AA3682" s="143">
        <f>AA3673/((N_6*AA$27*0.667)*SQRT(AA3683*AA3675*AA3677))</f>
        <v>51.426311917806366</v>
      </c>
      <c r="AB3682" s="133"/>
      <c r="AC3682" s="155"/>
      <c r="AD3682" s="143">
        <f>AD3673/((N_6*AD$27*0.667)*SQRT(AD3683*AD3675*AD3677))</f>
        <v>25.633443951434739</v>
      </c>
      <c r="AE3682" s="133"/>
      <c r="AF3682" s="155"/>
      <c r="AG3682" s="143">
        <f>AG3673/((N_6*AG$27*0.667)*SQRT(AG3683*AG3675*AG3677))</f>
        <v>18.144773979299849</v>
      </c>
      <c r="AH3682" s="133"/>
      <c r="AI3682" s="155"/>
      <c r="AJ3682" s="143">
        <f>AJ3673/((N_6*AJ$27*0.667)*SQRT(AJ3683*AJ3675*AJ3677))</f>
        <v>14.960849534830592</v>
      </c>
      <c r="AK3682" s="133"/>
      <c r="AL3682" s="155"/>
      <c r="AM3682" s="143">
        <f>AM3673/((N_6*AM$27*0.667)*SQRT(AM3683*AM3675*AM3677))</f>
        <v>14.024230629496254</v>
      </c>
      <c r="AN3682" s="133"/>
      <c r="AO3682" s="155"/>
      <c r="AP3682" s="143">
        <f>AP3673/((N_6*AP$27*0.667)*SQRT(AP3683*AP3675*AP3677))</f>
        <v>12.917610663425881</v>
      </c>
      <c r="AQ3682" s="133"/>
      <c r="AR3682" s="155"/>
      <c r="AS3682" s="143">
        <f>AS3673/((N_6*AS$27*0.667)*SQRT(AS3683*AS3675*AS3677))</f>
        <v>18.672219470657964</v>
      </c>
      <c r="AT3682" s="133"/>
      <c r="AU3682" s="155"/>
    </row>
    <row r="3683" spans="13:47" ht="15.5" x14ac:dyDescent="0.4">
      <c r="M3683" s="27"/>
      <c r="N3683" s="27"/>
      <c r="O3683" s="2" t="s">
        <v>192</v>
      </c>
      <c r="P3683" s="85">
        <v>10</v>
      </c>
      <c r="Q3683" s="2"/>
      <c r="R3683" s="181">
        <f>F_GAMMA*R$29</f>
        <v>0.64002688015162901</v>
      </c>
      <c r="S3683" s="133"/>
      <c r="T3683" s="155"/>
      <c r="U3683" s="138">
        <f>F_GAMMA*U$29</f>
        <v>0.64016782916606918</v>
      </c>
      <c r="V3683" s="133"/>
      <c r="W3683" s="155"/>
      <c r="X3683" s="138">
        <f>F_GAMMA*X$29</f>
        <v>0.6307062319203669</v>
      </c>
      <c r="Y3683" s="133"/>
      <c r="Z3683" s="155"/>
      <c r="AA3683" s="138">
        <f>F_GAMMA*AA$29</f>
        <v>0.62217534213893466</v>
      </c>
      <c r="AB3683" s="133"/>
      <c r="AC3683" s="155"/>
      <c r="AD3683" s="138">
        <f>F_GAMMA*AD$29</f>
        <v>0.60557184969146072</v>
      </c>
      <c r="AE3683" s="133"/>
      <c r="AF3683" s="155"/>
      <c r="AG3683" s="138">
        <f>F_GAMMA*AG$29</f>
        <v>0.57289312142622573</v>
      </c>
      <c r="AH3683" s="133"/>
      <c r="AI3683" s="155"/>
      <c r="AJ3683" s="138">
        <f>F_GAMMA*AJ$29</f>
        <v>0.53590819116049981</v>
      </c>
      <c r="AK3683" s="133"/>
      <c r="AL3683" s="155"/>
      <c r="AM3683" s="138">
        <f>F_GAMMA*AM$29</f>
        <v>0.49048815926850342</v>
      </c>
      <c r="AN3683" s="133"/>
      <c r="AO3683" s="155"/>
      <c r="AP3683" s="138">
        <f>F_GAMMA*AP$29</f>
        <v>0.59352979016280105</v>
      </c>
      <c r="AQ3683" s="133"/>
      <c r="AR3683" s="155"/>
      <c r="AS3683" s="138">
        <f>F_GAMMA*AS$29</f>
        <v>0.39097221161068291</v>
      </c>
      <c r="AT3683" s="133"/>
      <c r="AU3683" s="155"/>
    </row>
    <row r="3684" spans="13:47" x14ac:dyDescent="0.25">
      <c r="M3684" s="27"/>
      <c r="N3684" s="27"/>
      <c r="O3684" s="2" t="s">
        <v>193</v>
      </c>
      <c r="P3684" s="134"/>
      <c r="Q3684" s="2"/>
      <c r="R3684" s="181">
        <f>IF(R3679&lt;R3683,R3681,R3682)</f>
        <v>8.6794211076447461</v>
      </c>
      <c r="S3684" s="133"/>
      <c r="T3684" s="155"/>
      <c r="U3684" s="138">
        <f>IF(U3679&lt;U3683,U3681,U3682)</f>
        <v>32.637205608377158</v>
      </c>
      <c r="V3684" s="133"/>
      <c r="W3684" s="155"/>
      <c r="X3684" s="138" t="e">
        <f>IF(X3679&lt;X3683,X3681,X3682)</f>
        <v>#NUM!</v>
      </c>
      <c r="Y3684" s="133"/>
      <c r="Z3684" s="155"/>
      <c r="AA3684" s="138">
        <f>IF(AA3679&lt;AA3683,AA3681,AA3682)</f>
        <v>51.426311917806366</v>
      </c>
      <c r="AB3684" s="133"/>
      <c r="AC3684" s="155"/>
      <c r="AD3684" s="138">
        <f>IF(AD3679&lt;AD3683,AD3681,AD3682)</f>
        <v>25.633443951434739</v>
      </c>
      <c r="AE3684" s="133"/>
      <c r="AF3684" s="155"/>
      <c r="AG3684" s="138">
        <f>IF(AG3679&lt;AG3683,AG3681,AG3682)</f>
        <v>18.144773979299849</v>
      </c>
      <c r="AH3684" s="133"/>
      <c r="AI3684" s="155"/>
      <c r="AJ3684" s="138">
        <f>IF(AJ3679&lt;AJ3683,AJ3681,AJ3682)</f>
        <v>14.960849534830592</v>
      </c>
      <c r="AK3684" s="133"/>
      <c r="AL3684" s="155"/>
      <c r="AM3684" s="138">
        <f>IF(AM3679&lt;AM3683,AM3681,AM3682)</f>
        <v>14.024230629496254</v>
      </c>
      <c r="AN3684" s="133"/>
      <c r="AO3684" s="155"/>
      <c r="AP3684" s="138">
        <f>IF(AP3679&lt;AP3683,AP3681,AP3682)</f>
        <v>12.917610663425881</v>
      </c>
      <c r="AQ3684" s="133"/>
      <c r="AR3684" s="155"/>
      <c r="AS3684" s="138">
        <f>IF(AS3679&lt;AS3683,AS3681,AS3682)</f>
        <v>18.672219470657964</v>
      </c>
      <c r="AT3684" s="133"/>
      <c r="AU3684" s="155"/>
    </row>
    <row r="3685" spans="13:47" ht="13" x14ac:dyDescent="0.3">
      <c r="M3685" s="28"/>
      <c r="N3685" s="28"/>
      <c r="O3685" s="9" t="s">
        <v>194</v>
      </c>
      <c r="P3685" s="1"/>
      <c r="Q3685" s="1"/>
      <c r="R3685" s="135"/>
      <c r="S3685" s="132">
        <f>IF(R3678&lt;=0,W_max,ABS(R$23-R3684))</f>
        <v>6.6794211076447461</v>
      </c>
      <c r="T3685" s="151">
        <f>R3673</f>
        <v>1971.7422603618584</v>
      </c>
      <c r="U3685" s="135"/>
      <c r="V3685" s="132">
        <f>IF(U3678&lt;=0,W_max,ABS(U$23-U3684))</f>
        <v>27.637205608377158</v>
      </c>
      <c r="W3685" s="151">
        <f>U3673</f>
        <v>6174.4004039676001</v>
      </c>
      <c r="X3685" s="135"/>
      <c r="Y3685" s="132">
        <f>IF(X3678&lt;=0,W_max,ABS(X$23-X3684))</f>
        <v>7174</v>
      </c>
      <c r="Z3685" s="151">
        <f>X3673</f>
        <v>15270.026961273021</v>
      </c>
      <c r="AA3685" s="135"/>
      <c r="AB3685" s="132">
        <f>IF(AA3678&lt;=0,W_max,ABS(AA$23-AA3684))</f>
        <v>7174</v>
      </c>
      <c r="AC3685" s="151">
        <f>AA3673</f>
        <v>29742.114916216316</v>
      </c>
      <c r="AD3685" s="135"/>
      <c r="AE3685" s="132">
        <f>IF(AD3678&lt;=0,W_max,ABS(AD$23-AD3684))</f>
        <v>7174</v>
      </c>
      <c r="AF3685" s="151">
        <f>AD3673</f>
        <v>48914.82864014696</v>
      </c>
      <c r="AG3685" s="135"/>
      <c r="AH3685" s="132">
        <f>IF(AG3678&lt;=0,W_max,ABS(AG$23-AG3684))</f>
        <v>7174</v>
      </c>
      <c r="AI3685" s="151">
        <f>AG3673</f>
        <v>68606.812933098394</v>
      </c>
      <c r="AJ3685" s="135"/>
      <c r="AK3685" s="132">
        <f>IF(AJ3678&lt;=0,W_max,ABS(AJ$23-AJ3684))</f>
        <v>7174</v>
      </c>
      <c r="AL3685" s="151">
        <f>AJ3673</f>
        <v>87112.447506502489</v>
      </c>
      <c r="AM3685" s="135"/>
      <c r="AN3685" s="132">
        <f>IF(AM3678&lt;=0,W_max,ABS(AM$23-AM3684))</f>
        <v>7174</v>
      </c>
      <c r="AO3685" s="151">
        <f>AM3673</f>
        <v>102146.1956531615</v>
      </c>
      <c r="AP3685" s="135"/>
      <c r="AQ3685" s="132">
        <f>IF(AP3678&lt;=0,W_max,ABS(AP$23-AP3684))</f>
        <v>7174</v>
      </c>
      <c r="AR3685" s="151">
        <f>AP3673</f>
        <v>113961.27722251465</v>
      </c>
      <c r="AS3685" s="135"/>
      <c r="AT3685" s="132">
        <f>IF(AS3678&lt;=0,W_max,ABS(AS$23-AS3684))</f>
        <v>7174</v>
      </c>
      <c r="AU3685" s="151">
        <f>AS3673</f>
        <v>127142.98974271072</v>
      </c>
    </row>
    <row r="3686" spans="13:47" ht="13" x14ac:dyDescent="0.25">
      <c r="M3686" s="12"/>
      <c r="N3686" s="12"/>
      <c r="O3686" s="2"/>
      <c r="P3686" s="85"/>
      <c r="Q3686" s="2"/>
      <c r="R3686" s="18"/>
      <c r="S3686" s="150"/>
      <c r="T3686" s="148"/>
      <c r="U3686" s="157"/>
      <c r="V3686" s="1"/>
      <c r="W3686" s="147"/>
      <c r="X3686" s="157"/>
      <c r="Y3686" s="1"/>
      <c r="Z3686" s="147"/>
      <c r="AA3686" s="157"/>
      <c r="AB3686" s="1"/>
      <c r="AC3686" s="147"/>
      <c r="AD3686" s="157"/>
      <c r="AE3686" s="1"/>
      <c r="AF3686" s="147"/>
      <c r="AG3686" s="157"/>
      <c r="AH3686" s="1"/>
      <c r="AI3686" s="147"/>
      <c r="AJ3686" s="157"/>
      <c r="AK3686" s="1"/>
      <c r="AL3686" s="147"/>
      <c r="AM3686" s="157"/>
      <c r="AN3686" s="1"/>
      <c r="AO3686" s="147"/>
      <c r="AP3686" s="157"/>
      <c r="AQ3686" s="1"/>
      <c r="AR3686" s="147"/>
      <c r="AS3686" s="157"/>
      <c r="AT3686" s="1"/>
      <c r="AU3686" s="147"/>
    </row>
    <row r="3687" spans="13:47" ht="14" x14ac:dyDescent="0.3">
      <c r="M3687" s="23"/>
      <c r="N3687" s="23"/>
      <c r="O3687" s="23" t="s">
        <v>238</v>
      </c>
      <c r="P3687" s="20"/>
      <c r="Q3687" s="20"/>
      <c r="R3687" s="181">
        <f>R3673*1.02</f>
        <v>2011.1771055690956</v>
      </c>
      <c r="S3687" s="128" t="s">
        <v>185</v>
      </c>
      <c r="T3687" s="149" t="s">
        <v>186</v>
      </c>
      <c r="U3687" s="143">
        <f>U3673*1.01</f>
        <v>6236.1444080072761</v>
      </c>
      <c r="V3687" s="128" t="s">
        <v>185</v>
      </c>
      <c r="W3687" s="153" t="s">
        <v>186</v>
      </c>
      <c r="X3687" s="143">
        <f>X3673*1.01</f>
        <v>15422.727230885752</v>
      </c>
      <c r="Y3687" s="128" t="s">
        <v>185</v>
      </c>
      <c r="Z3687" s="153" t="s">
        <v>186</v>
      </c>
      <c r="AA3687" s="143">
        <f>AA3673*1.01</f>
        <v>30039.536065378481</v>
      </c>
      <c r="AB3687" s="128" t="s">
        <v>185</v>
      </c>
      <c r="AC3687" s="153" t="s">
        <v>186</v>
      </c>
      <c r="AD3687" s="143">
        <f>AD3673*1.01</f>
        <v>49403.976926548428</v>
      </c>
      <c r="AE3687" s="128" t="s">
        <v>185</v>
      </c>
      <c r="AF3687" s="153" t="s">
        <v>186</v>
      </c>
      <c r="AG3687" s="143">
        <f>AG3673*1.01</f>
        <v>69292.881062429384</v>
      </c>
      <c r="AH3687" s="128" t="s">
        <v>185</v>
      </c>
      <c r="AI3687" s="153" t="s">
        <v>186</v>
      </c>
      <c r="AJ3687" s="143">
        <f>AJ3673*1.01</f>
        <v>87983.571981567511</v>
      </c>
      <c r="AK3687" s="128" t="s">
        <v>185</v>
      </c>
      <c r="AL3687" s="153" t="s">
        <v>186</v>
      </c>
      <c r="AM3687" s="143">
        <f>AM3673*1.01</f>
        <v>103167.65760969311</v>
      </c>
      <c r="AN3687" s="128" t="s">
        <v>185</v>
      </c>
      <c r="AO3687" s="153" t="s">
        <v>186</v>
      </c>
      <c r="AP3687" s="143">
        <f>AP3673*1.01</f>
        <v>115100.88999473979</v>
      </c>
      <c r="AQ3687" s="128" t="s">
        <v>185</v>
      </c>
      <c r="AR3687" s="153" t="s">
        <v>186</v>
      </c>
      <c r="AS3687" s="143">
        <f>AS3673*1.01</f>
        <v>128414.41964013783</v>
      </c>
      <c r="AT3687" s="128" t="s">
        <v>185</v>
      </c>
      <c r="AU3687" s="153" t="s">
        <v>186</v>
      </c>
    </row>
    <row r="3688" spans="13:47" ht="14" x14ac:dyDescent="0.3">
      <c r="M3688" s="12"/>
      <c r="N3688" s="12"/>
      <c r="O3688" s="20"/>
      <c r="P3688" s="20"/>
      <c r="Q3688" s="23"/>
      <c r="R3688" s="139"/>
      <c r="S3688" s="130" t="s">
        <v>228</v>
      </c>
      <c r="T3688" s="131" t="s">
        <v>187</v>
      </c>
      <c r="U3688" s="144"/>
      <c r="V3688" s="130" t="s">
        <v>228</v>
      </c>
      <c r="W3688" s="154" t="s">
        <v>187</v>
      </c>
      <c r="X3688" s="144"/>
      <c r="Y3688" s="130" t="s">
        <v>228</v>
      </c>
      <c r="Z3688" s="154" t="s">
        <v>187</v>
      </c>
      <c r="AA3688" s="144"/>
      <c r="AB3688" s="130" t="s">
        <v>228</v>
      </c>
      <c r="AC3688" s="154" t="s">
        <v>187</v>
      </c>
      <c r="AD3688" s="144"/>
      <c r="AE3688" s="130" t="s">
        <v>228</v>
      </c>
      <c r="AF3688" s="154" t="s">
        <v>187</v>
      </c>
      <c r="AG3688" s="144"/>
      <c r="AH3688" s="130" t="s">
        <v>228</v>
      </c>
      <c r="AI3688" s="154" t="s">
        <v>187</v>
      </c>
      <c r="AJ3688" s="144"/>
      <c r="AK3688" s="130" t="s">
        <v>228</v>
      </c>
      <c r="AL3688" s="154" t="s">
        <v>187</v>
      </c>
      <c r="AM3688" s="144"/>
      <c r="AN3688" s="130" t="s">
        <v>228</v>
      </c>
      <c r="AO3688" s="154" t="s">
        <v>187</v>
      </c>
      <c r="AP3688" s="144"/>
      <c r="AQ3688" s="130" t="s">
        <v>228</v>
      </c>
      <c r="AR3688" s="154" t="s">
        <v>187</v>
      </c>
      <c r="AS3688" s="144"/>
      <c r="AT3688" s="130" t="s">
        <v>228</v>
      </c>
      <c r="AU3688" s="154" t="s">
        <v>187</v>
      </c>
    </row>
    <row r="3689" spans="13:47" x14ac:dyDescent="0.25">
      <c r="M3689" s="20"/>
      <c r="N3689" s="20"/>
      <c r="O3689" s="7" t="s">
        <v>188</v>
      </c>
      <c r="P3689" s="7"/>
      <c r="Q3689" s="7"/>
      <c r="R3689" s="181">
        <f>P_1_minW-(R3687^2*R_up)+dpup_minQ</f>
        <v>98.909861561667682</v>
      </c>
      <c r="S3689" s="132"/>
      <c r="T3689" s="145"/>
      <c r="U3689" s="138">
        <f>P_1_minW-(U3687^2*R_up)+dpup_minQ</f>
        <v>85.015139460663676</v>
      </c>
      <c r="V3689" s="132"/>
      <c r="W3689" s="145"/>
      <c r="X3689" s="138">
        <f>P_1_minW-(X3687^2*R_up)+dpup_minQ</f>
        <v>5.6730908441451495</v>
      </c>
      <c r="Y3689" s="132"/>
      <c r="Z3689" s="145"/>
      <c r="AA3689" s="138">
        <f>P_1_minW-(AA3687^2*R_up)+dpup_minQ</f>
        <v>-259.30941788056231</v>
      </c>
      <c r="AB3689" s="132"/>
      <c r="AC3689" s="145"/>
      <c r="AD3689" s="138">
        <f>P_1_minW-(AD3687^2*R_up)+dpup_minQ</f>
        <v>-872.75633658335369</v>
      </c>
      <c r="AE3689" s="132"/>
      <c r="AF3689" s="145"/>
      <c r="AG3689" s="138">
        <f>P_1_minW-(AG3687^2*R_up)+dpup_minQ</f>
        <v>-1814.1335135306113</v>
      </c>
      <c r="AH3689" s="132"/>
      <c r="AI3689" s="145"/>
      <c r="AJ3689" s="138">
        <f>P_1_minW-(AJ3687^2*R_up)+dpup_minQ</f>
        <v>-2986.3360303533013</v>
      </c>
      <c r="AK3689" s="132"/>
      <c r="AL3689" s="145"/>
      <c r="AM3689" s="138">
        <f>P_1_minW-(AM3687^2*R_up)+dpup_minQ</f>
        <v>-4143.7249697627349</v>
      </c>
      <c r="AN3689" s="132"/>
      <c r="AO3689" s="145"/>
      <c r="AP3689" s="138">
        <f>P_1_minW-(AP3687^2*R_up)+dpup_minQ</f>
        <v>-5182.3597084904195</v>
      </c>
      <c r="AQ3689" s="132"/>
      <c r="AR3689" s="145"/>
      <c r="AS3689" s="138">
        <f>P_1_minW-(AS3687^2*R_up)+dpup_minQ</f>
        <v>-6475.1648402730225</v>
      </c>
      <c r="AT3689" s="132"/>
      <c r="AU3689" s="145"/>
    </row>
    <row r="3690" spans="13:47" x14ac:dyDescent="0.25">
      <c r="M3690" s="20"/>
      <c r="N3690" s="20"/>
      <c r="O3690" s="7" t="s">
        <v>189</v>
      </c>
      <c r="P3690" s="1"/>
      <c r="Q3690" s="7"/>
      <c r="R3690" s="181">
        <f>P_2_minW+(R3687^2*R_dn)-dpdn_minQ</f>
        <v>50</v>
      </c>
      <c r="S3690" s="132"/>
      <c r="T3690" s="146"/>
      <c r="U3690" s="138">
        <f>P_2_minW+(U3687^2*R_dn)-dpdn_minQ</f>
        <v>50</v>
      </c>
      <c r="V3690" s="132"/>
      <c r="W3690" s="146"/>
      <c r="X3690" s="138">
        <f>P_2_minW+(X3687^2*R_dn)-dpdn_minQ</f>
        <v>50</v>
      </c>
      <c r="Y3690" s="132"/>
      <c r="Z3690" s="146"/>
      <c r="AA3690" s="138">
        <f>P_2_minW+(AA3687^2*R_dn)-dpdn_minQ</f>
        <v>50</v>
      </c>
      <c r="AB3690" s="132"/>
      <c r="AC3690" s="146"/>
      <c r="AD3690" s="138">
        <f>P_2_minW+(AD3687^2*R_dn)-dpdn_minQ</f>
        <v>50</v>
      </c>
      <c r="AE3690" s="132"/>
      <c r="AF3690" s="146"/>
      <c r="AG3690" s="138">
        <f>P_2_minW+(AG3687^2*R_dn)-dpdn_minQ</f>
        <v>50</v>
      </c>
      <c r="AH3690" s="132"/>
      <c r="AI3690" s="146"/>
      <c r="AJ3690" s="138">
        <f>P_2_minW+(AJ3687^2*R_dn)-dpdn_minQ</f>
        <v>50</v>
      </c>
      <c r="AK3690" s="132"/>
      <c r="AL3690" s="146"/>
      <c r="AM3690" s="138">
        <f>P_2_minW+(AM3687^2*R_dn)-dpdn_minQ</f>
        <v>50</v>
      </c>
      <c r="AN3690" s="132"/>
      <c r="AO3690" s="146"/>
      <c r="AP3690" s="138">
        <f>P_2_minW+(AP3687^2*R_dn)-dpdn_minQ</f>
        <v>50</v>
      </c>
      <c r="AQ3690" s="132"/>
      <c r="AR3690" s="146"/>
      <c r="AS3690" s="138">
        <f>P_2_minW+(AS3687^2*R_dn)-dpdn_minQ</f>
        <v>50</v>
      </c>
      <c r="AT3690" s="132"/>
      <c r="AU3690" s="146"/>
    </row>
    <row r="3691" spans="13:47" x14ac:dyDescent="0.25">
      <c r="M3691" s="20"/>
      <c r="N3691" s="20"/>
      <c r="O3691" s="7" t="s">
        <v>234</v>
      </c>
      <c r="P3691" s="1"/>
      <c r="Q3691" s="7"/>
      <c r="R3691" s="179">
        <f>'Valve Sizing'!G$8*R3689/P_1_maxW</f>
        <v>0.47712356235803394</v>
      </c>
      <c r="S3691" s="132"/>
      <c r="T3691" s="146"/>
      <c r="U3691" s="143">
        <f>'Valve Sizing'!$G$8*U3689/P_1_maxW</f>
        <v>0.41009789674558517</v>
      </c>
      <c r="V3691" s="132"/>
      <c r="W3691" s="146"/>
      <c r="X3691" s="143">
        <f>'Valve Sizing'!$G$8*X3689/P_1_maxW</f>
        <v>2.7365980200585793E-2</v>
      </c>
      <c r="Y3691" s="132"/>
      <c r="Z3691" s="146"/>
      <c r="AA3691" s="143">
        <f>'Valve Sizing'!$G$8*AA3689/P_1_maxW</f>
        <v>-1.2508624646595443</v>
      </c>
      <c r="AB3691" s="132"/>
      <c r="AC3691" s="146"/>
      <c r="AD3691" s="143">
        <f>'Valve Sizing'!$G$8*AD3689/P_1_maxW</f>
        <v>-4.2100211829896734</v>
      </c>
      <c r="AE3691" s="132"/>
      <c r="AF3691" s="146"/>
      <c r="AG3691" s="143">
        <f>'Valve Sizing'!$G$8*AG3689/P_1_maxW</f>
        <v>-8.7510570827072129</v>
      </c>
      <c r="AH3691" s="132"/>
      <c r="AI3691" s="146"/>
      <c r="AJ3691" s="143">
        <f>'Valve Sizing'!$G$8*AJ3689/P_1_maxW</f>
        <v>-14.405553326065064</v>
      </c>
      <c r="AK3691" s="132"/>
      <c r="AL3691" s="146"/>
      <c r="AM3691" s="143">
        <f>'Valve Sizing'!$G$8*AM3689/P_1_maxW</f>
        <v>-19.988591509376267</v>
      </c>
      <c r="AN3691" s="132"/>
      <c r="AO3691" s="146"/>
      <c r="AP3691" s="143">
        <f>'Valve Sizing'!$G$8*AP3689/P_1_maxW</f>
        <v>-24.998780571480978</v>
      </c>
      <c r="AQ3691" s="132"/>
      <c r="AR3691" s="146"/>
      <c r="AS3691" s="143">
        <f>'Valve Sizing'!$G$8*AS3689/P_1_maxW</f>
        <v>-31.235042357433304</v>
      </c>
      <c r="AT3691" s="132"/>
      <c r="AU3691" s="146"/>
    </row>
    <row r="3692" spans="13:47" x14ac:dyDescent="0.25">
      <c r="M3692" s="20"/>
      <c r="N3692" s="20"/>
      <c r="O3692" s="7" t="s">
        <v>190</v>
      </c>
      <c r="P3692" s="1"/>
      <c r="Q3692" s="7"/>
      <c r="R3692" s="181">
        <f>R3689-R3690</f>
        <v>48.909861561667682</v>
      </c>
      <c r="S3692" s="132"/>
      <c r="T3692" s="146"/>
      <c r="U3692" s="138">
        <f>U3689-U3690</f>
        <v>35.015139460663676</v>
      </c>
      <c r="V3692" s="132"/>
      <c r="W3692" s="146"/>
      <c r="X3692" s="138">
        <f>X3689-X3690</f>
        <v>-44.32690915585485</v>
      </c>
      <c r="Y3692" s="132"/>
      <c r="Z3692" s="146"/>
      <c r="AA3692" s="138">
        <f>AA3689-AA3690</f>
        <v>-309.30941788056231</v>
      </c>
      <c r="AB3692" s="132"/>
      <c r="AC3692" s="146"/>
      <c r="AD3692" s="138">
        <f>AD3689-AD3690</f>
        <v>-922.75633658335369</v>
      </c>
      <c r="AE3692" s="132"/>
      <c r="AF3692" s="146"/>
      <c r="AG3692" s="138">
        <f>AG3689-AG3690</f>
        <v>-1864.1335135306113</v>
      </c>
      <c r="AH3692" s="132"/>
      <c r="AI3692" s="146"/>
      <c r="AJ3692" s="138">
        <f>AJ3689-AJ3690</f>
        <v>-3036.3360303533013</v>
      </c>
      <c r="AK3692" s="132"/>
      <c r="AL3692" s="146"/>
      <c r="AM3692" s="138">
        <f>AM3689-AM3690</f>
        <v>-4193.7249697627349</v>
      </c>
      <c r="AN3692" s="132"/>
      <c r="AO3692" s="146"/>
      <c r="AP3692" s="138">
        <f>AP3689-AP3690</f>
        <v>-5232.3597084904195</v>
      </c>
      <c r="AQ3692" s="132"/>
      <c r="AR3692" s="146"/>
      <c r="AS3692" s="138">
        <f>AS3689-AS3690</f>
        <v>-6525.1648402730225</v>
      </c>
      <c r="AT3692" s="132"/>
      <c r="AU3692" s="146"/>
    </row>
    <row r="3693" spans="13:47" ht="14.5" x14ac:dyDescent="0.35">
      <c r="M3693" s="27"/>
      <c r="N3693" s="27"/>
      <c r="O3693" s="2" t="s">
        <v>191</v>
      </c>
      <c r="P3693" s="10"/>
      <c r="Q3693" s="2"/>
      <c r="R3693" s="181">
        <f>R3692/R3689</f>
        <v>0.49448923281702983</v>
      </c>
      <c r="S3693" s="132"/>
      <c r="T3693" s="146"/>
      <c r="U3693" s="138">
        <f>U3692/U3689</f>
        <v>0.41186945857878771</v>
      </c>
      <c r="V3693" s="132"/>
      <c r="W3693" s="146"/>
      <c r="X3693" s="138">
        <f>X3692/X3689</f>
        <v>-7.8135376946417043</v>
      </c>
      <c r="Y3693" s="132"/>
      <c r="Z3693" s="146"/>
      <c r="AA3693" s="138">
        <f>AA3692/AA3689</f>
        <v>1.1928198382020585</v>
      </c>
      <c r="AB3693" s="132"/>
      <c r="AC3693" s="146"/>
      <c r="AD3693" s="138">
        <f>AD3692/AD3689</f>
        <v>1.0572897587839223</v>
      </c>
      <c r="AE3693" s="132"/>
      <c r="AF3693" s="146"/>
      <c r="AG3693" s="138">
        <f>AG3692/AG3689</f>
        <v>1.027561367246169</v>
      </c>
      <c r="AH3693" s="132"/>
      <c r="AI3693" s="146"/>
      <c r="AJ3693" s="138">
        <f>AJ3692/AJ3689</f>
        <v>1.0167429249393896</v>
      </c>
      <c r="AK3693" s="132"/>
      <c r="AL3693" s="146"/>
      <c r="AM3693" s="138">
        <f>AM3692/AM3689</f>
        <v>1.0120664378946131</v>
      </c>
      <c r="AN3693" s="132"/>
      <c r="AO3693" s="146"/>
      <c r="AP3693" s="138">
        <f>AP3692/AP3689</f>
        <v>1.0096481145293876</v>
      </c>
      <c r="AQ3693" s="132"/>
      <c r="AR3693" s="146"/>
      <c r="AS3693" s="138">
        <f>AS3692/AS3689</f>
        <v>1.00772181114047</v>
      </c>
      <c r="AT3693" s="132"/>
      <c r="AU3693" s="146"/>
    </row>
    <row r="3694" spans="13:47" x14ac:dyDescent="0.25">
      <c r="M3694" s="27"/>
      <c r="N3694" s="27"/>
      <c r="O3694" s="2" t="s">
        <v>26</v>
      </c>
      <c r="P3694" s="7">
        <v>12</v>
      </c>
      <c r="Q3694" s="2"/>
      <c r="R3694" s="181">
        <f>1-R3693/(3*F_GAMMA*R$29)</f>
        <v>0.74246434113315152</v>
      </c>
      <c r="S3694" s="133"/>
      <c r="T3694" s="146"/>
      <c r="U3694" s="138">
        <f>1-U3693/(3*F_GAMMA*U$29)</f>
        <v>0.78554089526006543</v>
      </c>
      <c r="V3694" s="133"/>
      <c r="W3694" s="146"/>
      <c r="X3694" s="138">
        <f>1-X3693/(3*F_GAMMA*X$29)</f>
        <v>5.1295177264229324</v>
      </c>
      <c r="Y3694" s="133"/>
      <c r="Z3694" s="146"/>
      <c r="AA3694" s="138">
        <f>1-AA3693/(3*F_GAMMA*AA$29)</f>
        <v>0.36094122379213145</v>
      </c>
      <c r="AB3694" s="133"/>
      <c r="AC3694" s="146"/>
      <c r="AD3694" s="138">
        <f>1-AD3693/(3*F_GAMMA*AD$29)</f>
        <v>0.41802129710255842</v>
      </c>
      <c r="AE3694" s="133"/>
      <c r="AF3694" s="146"/>
      <c r="AG3694" s="138">
        <f>1-AG3693/(3*F_GAMMA*AG$29)</f>
        <v>0.40212154250340215</v>
      </c>
      <c r="AH3694" s="133"/>
      <c r="AI3694" s="146"/>
      <c r="AJ3694" s="138">
        <f>1-AJ3693/(3*F_GAMMA*AJ$29)</f>
        <v>0.36758886334762519</v>
      </c>
      <c r="AK3694" s="133"/>
      <c r="AL3694" s="146"/>
      <c r="AM3694" s="138">
        <f>1-AM3693/(3*F_GAMMA*AM$29)</f>
        <v>0.31220464159354155</v>
      </c>
      <c r="AN3694" s="133"/>
      <c r="AO3694" s="146"/>
      <c r="AP3694" s="138">
        <f>1-AP3693/(3*F_GAMMA*AP$29)</f>
        <v>0.43296970583821448</v>
      </c>
      <c r="AQ3694" s="133"/>
      <c r="AR3694" s="146"/>
      <c r="AS3694" s="138">
        <f>1-AS3693/(3*F_GAMMA*AS$29)</f>
        <v>0.14084106132166263</v>
      </c>
      <c r="AT3694" s="133"/>
      <c r="AU3694" s="146"/>
    </row>
    <row r="3695" spans="13:47" x14ac:dyDescent="0.25">
      <c r="M3695" s="27"/>
      <c r="N3695" s="27"/>
      <c r="O3695" s="2" t="s">
        <v>71</v>
      </c>
      <c r="P3695" s="85">
        <v>5</v>
      </c>
      <c r="Q3695" s="2"/>
      <c r="R3695" s="179">
        <f>R3687/((N_6*R$27*R3694)*SQRT(R3693*R3689*R3691))</f>
        <v>8.85949192960007</v>
      </c>
      <c r="S3695" s="133"/>
      <c r="T3695" s="146"/>
      <c r="U3695" s="143">
        <f>U3687/((N_6*U$27*U3694)*SQRT(U3693*U3689*U3691))</f>
        <v>33.120232412552461</v>
      </c>
      <c r="V3695" s="133"/>
      <c r="W3695" s="146"/>
      <c r="X3695" s="143" t="e">
        <f>X3687/((N_6*X$27*X3694)*SQRT(X3693*X3689*X3691))</f>
        <v>#NUM!</v>
      </c>
      <c r="Y3695" s="133"/>
      <c r="Z3695" s="146"/>
      <c r="AA3695" s="143">
        <f>AA3687/((N_6*AA$27*AA3694)*SQRT(AA3693*AA3689*AA3691))</f>
        <v>67.425643632979956</v>
      </c>
      <c r="AB3695" s="133"/>
      <c r="AC3695" s="146"/>
      <c r="AD3695" s="143">
        <f>AD3687/((N_6*AD$27*AD3694)*SQRT(AD3693*AD3689*AD3691))</f>
        <v>30.57681471992775</v>
      </c>
      <c r="AE3695" s="133"/>
      <c r="AF3695" s="146"/>
      <c r="AG3695" s="143">
        <f>AG3687/((N_6*AG$27*AG3694)*SQRT(AG3693*AG3689*AG3691))</f>
        <v>22.225300109496089</v>
      </c>
      <c r="AH3695" s="133"/>
      <c r="AI3695" s="146"/>
      <c r="AJ3695" s="143">
        <f>AJ3687/((N_6*AJ$27*AJ3694)*SQRT(AJ3693*AJ3689*AJ3691))</f>
        <v>19.500423881849056</v>
      </c>
      <c r="AK3695" s="133"/>
      <c r="AL3695" s="146"/>
      <c r="AM3695" s="143">
        <f>AM3687/((N_6*AM$27*AM3694)*SQRT(AM3693*AM3689*AM3691))</f>
        <v>20.641539527453364</v>
      </c>
      <c r="AN3695" s="133"/>
      <c r="AO3695" s="146"/>
      <c r="AP3695" s="143">
        <f>AP3687/((N_6*AP$27*AP3694)*SQRT(AP3693*AP3689*AP3691))</f>
        <v>15.100663340807264</v>
      </c>
      <c r="AQ3695" s="133"/>
      <c r="AR3695" s="146"/>
      <c r="AS3695" s="143">
        <f>AS3687/((N_6*AS$27*AS3694)*SQRT(AS3693*AS3689*AS3691))</f>
        <v>54.517783720578066</v>
      </c>
      <c r="AT3695" s="133"/>
      <c r="AU3695" s="146"/>
    </row>
    <row r="3696" spans="13:47" x14ac:dyDescent="0.25">
      <c r="M3696" s="27"/>
      <c r="N3696" s="27"/>
      <c r="O3696" s="2" t="s">
        <v>73</v>
      </c>
      <c r="P3696" s="85">
        <v>5</v>
      </c>
      <c r="Q3696" s="2"/>
      <c r="R3696" s="179">
        <f>R3687/((N_6*R$27*0.667)*SQRT(R3697*R3689*R3691))</f>
        <v>8.6683790931020024</v>
      </c>
      <c r="S3696" s="133"/>
      <c r="T3696" s="147"/>
      <c r="U3696" s="143">
        <f>U3687/((N_6*U$27*0.667)*SQRT(U3697*U3689*U3691))</f>
        <v>31.28738114371972</v>
      </c>
      <c r="V3696" s="133"/>
      <c r="W3696" s="155"/>
      <c r="X3696" s="143">
        <f>X3687/((N_6*X$27*0.667)*SQRT(X3697*X3689*X3691))</f>
        <v>1170.8076345426925</v>
      </c>
      <c r="Y3696" s="133"/>
      <c r="Z3696" s="155"/>
      <c r="AA3696" s="143">
        <f>AA3687/((N_6*AA$27*0.667)*SQRT(AA3697*AA3689*AA3691))</f>
        <v>50.520400235112454</v>
      </c>
      <c r="AB3696" s="133"/>
      <c r="AC3696" s="155"/>
      <c r="AD3696" s="143">
        <f>AD3687/((N_6*AD$27*0.667)*SQRT(AD3697*AD3689*AD3691))</f>
        <v>25.320891350869157</v>
      </c>
      <c r="AE3696" s="133"/>
      <c r="AF3696" s="155"/>
      <c r="AG3696" s="143">
        <f>AG3687/((N_6*AG$27*0.667)*SQRT(AG3697*AG3689*AG3691))</f>
        <v>17.945113929823169</v>
      </c>
      <c r="AH3696" s="133"/>
      <c r="AI3696" s="155"/>
      <c r="AJ3696" s="143">
        <f>AJ3687/((N_6*AJ$27*0.667)*SQRT(AJ3697*AJ3689*AJ3691))</f>
        <v>14.802700256650999</v>
      </c>
      <c r="AK3696" s="133"/>
      <c r="AL3696" s="155"/>
      <c r="AM3696" s="143">
        <f>AM3687/((N_6*AM$27*0.667)*SQRT(AM3697*AM3689*AM3691))</f>
        <v>13.878606258248128</v>
      </c>
      <c r="AN3696" s="133"/>
      <c r="AO3696" s="155"/>
      <c r="AP3696" s="143">
        <f>AP3687/((N_6*AP$27*0.667)*SQRT(AP3697*AP3689*AP3691))</f>
        <v>12.78472705091661</v>
      </c>
      <c r="AQ3696" s="133"/>
      <c r="AR3696" s="155"/>
      <c r="AS3696" s="143">
        <f>AS3687/((N_6*AS$27*0.667)*SQRT(AS3697*AS3689*AS3691))</f>
        <v>18.481577226022257</v>
      </c>
      <c r="AT3696" s="133"/>
      <c r="AU3696" s="155"/>
    </row>
    <row r="3697" spans="13:47" ht="15.5" x14ac:dyDescent="0.4">
      <c r="M3697" s="27"/>
      <c r="N3697" s="27"/>
      <c r="O3697" s="2" t="s">
        <v>192</v>
      </c>
      <c r="P3697" s="85">
        <v>10</v>
      </c>
      <c r="Q3697" s="2"/>
      <c r="R3697" s="181">
        <f>F_GAMMA*R$29</f>
        <v>0.64002688015162901</v>
      </c>
      <c r="S3697" s="133"/>
      <c r="T3697" s="147"/>
      <c r="U3697" s="138">
        <f>F_GAMMA*U$29</f>
        <v>0.64016782916606918</v>
      </c>
      <c r="V3697" s="133"/>
      <c r="W3697" s="155"/>
      <c r="X3697" s="138">
        <f>F_GAMMA*X$29</f>
        <v>0.6307062319203669</v>
      </c>
      <c r="Y3697" s="133"/>
      <c r="Z3697" s="155"/>
      <c r="AA3697" s="138">
        <f>F_GAMMA*AA$29</f>
        <v>0.62217534213893466</v>
      </c>
      <c r="AB3697" s="133"/>
      <c r="AC3697" s="155"/>
      <c r="AD3697" s="138">
        <f>F_GAMMA*AD$29</f>
        <v>0.60557184969146072</v>
      </c>
      <c r="AE3697" s="133"/>
      <c r="AF3697" s="155"/>
      <c r="AG3697" s="138">
        <f>F_GAMMA*AG$29</f>
        <v>0.57289312142622573</v>
      </c>
      <c r="AH3697" s="133"/>
      <c r="AI3697" s="155"/>
      <c r="AJ3697" s="138">
        <f>F_GAMMA*AJ$29</f>
        <v>0.53590819116049981</v>
      </c>
      <c r="AK3697" s="133"/>
      <c r="AL3697" s="155"/>
      <c r="AM3697" s="138">
        <f>F_GAMMA*AM$29</f>
        <v>0.49048815926850342</v>
      </c>
      <c r="AN3697" s="133"/>
      <c r="AO3697" s="155"/>
      <c r="AP3697" s="138">
        <f>F_GAMMA*AP$29</f>
        <v>0.59352979016280105</v>
      </c>
      <c r="AQ3697" s="133"/>
      <c r="AR3697" s="155"/>
      <c r="AS3697" s="138">
        <f>F_GAMMA*AS$29</f>
        <v>0.39097221161068291</v>
      </c>
      <c r="AT3697" s="133"/>
      <c r="AU3697" s="155"/>
    </row>
    <row r="3698" spans="13:47" x14ac:dyDescent="0.25">
      <c r="M3698" s="27"/>
      <c r="N3698" s="27"/>
      <c r="O3698" s="2" t="s">
        <v>193</v>
      </c>
      <c r="P3698" s="134"/>
      <c r="Q3698" s="2"/>
      <c r="R3698" s="181">
        <f>IF(R3693&lt;R3697,R3695,R3696)</f>
        <v>8.85949192960007</v>
      </c>
      <c r="S3698" s="133"/>
      <c r="T3698" s="147"/>
      <c r="U3698" s="138">
        <f>IF(U3693&lt;U3697,U3695,U3696)</f>
        <v>33.120232412552461</v>
      </c>
      <c r="V3698" s="133"/>
      <c r="W3698" s="155"/>
      <c r="X3698" s="138" t="e">
        <f>IF(X3693&lt;X3697,X3695,X3696)</f>
        <v>#NUM!</v>
      </c>
      <c r="Y3698" s="133"/>
      <c r="Z3698" s="155"/>
      <c r="AA3698" s="138">
        <f>IF(AA3693&lt;AA3697,AA3695,AA3696)</f>
        <v>50.520400235112454</v>
      </c>
      <c r="AB3698" s="133"/>
      <c r="AC3698" s="155"/>
      <c r="AD3698" s="138">
        <f>IF(AD3693&lt;AD3697,AD3695,AD3696)</f>
        <v>25.320891350869157</v>
      </c>
      <c r="AE3698" s="133"/>
      <c r="AF3698" s="155"/>
      <c r="AG3698" s="138">
        <f>IF(AG3693&lt;AG3697,AG3695,AG3696)</f>
        <v>17.945113929823169</v>
      </c>
      <c r="AH3698" s="133"/>
      <c r="AI3698" s="155"/>
      <c r="AJ3698" s="138">
        <f>IF(AJ3693&lt;AJ3697,AJ3695,AJ3696)</f>
        <v>14.802700256650999</v>
      </c>
      <c r="AK3698" s="133"/>
      <c r="AL3698" s="155"/>
      <c r="AM3698" s="138">
        <f>IF(AM3693&lt;AM3697,AM3695,AM3696)</f>
        <v>13.878606258248128</v>
      </c>
      <c r="AN3698" s="133"/>
      <c r="AO3698" s="155"/>
      <c r="AP3698" s="138">
        <f>IF(AP3693&lt;AP3697,AP3695,AP3696)</f>
        <v>12.78472705091661</v>
      </c>
      <c r="AQ3698" s="133"/>
      <c r="AR3698" s="155"/>
      <c r="AS3698" s="138">
        <f>IF(AS3693&lt;AS3697,AS3695,AS3696)</f>
        <v>18.481577226022257</v>
      </c>
      <c r="AT3698" s="133"/>
      <c r="AU3698" s="155"/>
    </row>
    <row r="3699" spans="13:47" ht="13" x14ac:dyDescent="0.3">
      <c r="M3699" s="28"/>
      <c r="N3699" s="28"/>
      <c r="O3699" s="9" t="s">
        <v>194</v>
      </c>
      <c r="P3699" s="1"/>
      <c r="Q3699" s="1"/>
      <c r="R3699" s="135"/>
      <c r="S3699" s="132">
        <f>IF(R3692&lt;=0,W_max,ABS(R$23-R3698))</f>
        <v>6.85949192960007</v>
      </c>
      <c r="T3699" s="151">
        <f>R3687</f>
        <v>2011.1771055690956</v>
      </c>
      <c r="U3699" s="135"/>
      <c r="V3699" s="132">
        <f>IF(U3692&lt;=0,W_max,ABS(U$23-U3698))</f>
        <v>28.120232412552461</v>
      </c>
      <c r="W3699" s="151">
        <f>U3687</f>
        <v>6236.1444080072761</v>
      </c>
      <c r="X3699" s="135"/>
      <c r="Y3699" s="132">
        <f>IF(X3692&lt;=0,W_max,ABS(X$23-X3698))</f>
        <v>7174</v>
      </c>
      <c r="Z3699" s="151">
        <f>X3687</f>
        <v>15422.727230885752</v>
      </c>
      <c r="AA3699" s="135"/>
      <c r="AB3699" s="132">
        <f>IF(AA3692&lt;=0,W_max,ABS(AA$23-AA3698))</f>
        <v>7174</v>
      </c>
      <c r="AC3699" s="151">
        <f>AA3687</f>
        <v>30039.536065378481</v>
      </c>
      <c r="AD3699" s="135"/>
      <c r="AE3699" s="132">
        <f>IF(AD3692&lt;=0,W_max,ABS(AD$23-AD3698))</f>
        <v>7174</v>
      </c>
      <c r="AF3699" s="151">
        <f>AD3687</f>
        <v>49403.976926548428</v>
      </c>
      <c r="AG3699" s="135"/>
      <c r="AH3699" s="132">
        <f>IF(AG3692&lt;=0,W_max,ABS(AG$23-AG3698))</f>
        <v>7174</v>
      </c>
      <c r="AI3699" s="151">
        <f>AG3687</f>
        <v>69292.881062429384</v>
      </c>
      <c r="AJ3699" s="135"/>
      <c r="AK3699" s="132">
        <f>IF(AJ3692&lt;=0,W_max,ABS(AJ$23-AJ3698))</f>
        <v>7174</v>
      </c>
      <c r="AL3699" s="151">
        <f>AJ3687</f>
        <v>87983.571981567511</v>
      </c>
      <c r="AM3699" s="135"/>
      <c r="AN3699" s="132">
        <f>IF(AM3692&lt;=0,W_max,ABS(AM$23-AM3698))</f>
        <v>7174</v>
      </c>
      <c r="AO3699" s="151">
        <f>AM3687</f>
        <v>103167.65760969311</v>
      </c>
      <c r="AP3699" s="135"/>
      <c r="AQ3699" s="132">
        <f>IF(AP3692&lt;=0,W_max,ABS(AP$23-AP3698))</f>
        <v>7174</v>
      </c>
      <c r="AR3699" s="151">
        <f>AP3687</f>
        <v>115100.88999473979</v>
      </c>
      <c r="AS3699" s="135"/>
      <c r="AT3699" s="132">
        <f>IF(AS3692&lt;=0,W_max,ABS(AS$23-AS3698))</f>
        <v>7174</v>
      </c>
      <c r="AU3699" s="151">
        <f>AS3687</f>
        <v>128414.41964013783</v>
      </c>
    </row>
    <row r="3700" spans="13:47" ht="13" x14ac:dyDescent="0.25">
      <c r="M3700" s="12"/>
      <c r="N3700" s="12"/>
      <c r="O3700" s="12"/>
      <c r="P3700" s="12"/>
      <c r="Q3700" s="12"/>
      <c r="R3700" s="182"/>
      <c r="S3700" s="22"/>
      <c r="T3700" s="152"/>
      <c r="U3700" s="157"/>
      <c r="V3700" s="1"/>
      <c r="W3700" s="147"/>
      <c r="X3700" s="157"/>
      <c r="Y3700" s="1"/>
      <c r="Z3700" s="147"/>
      <c r="AA3700" s="157"/>
      <c r="AB3700" s="1"/>
      <c r="AC3700" s="147"/>
      <c r="AD3700" s="157"/>
      <c r="AE3700" s="1"/>
      <c r="AF3700" s="147"/>
      <c r="AG3700" s="157"/>
      <c r="AH3700" s="1"/>
      <c r="AI3700" s="147"/>
      <c r="AJ3700" s="157"/>
      <c r="AK3700" s="1"/>
      <c r="AL3700" s="147"/>
      <c r="AM3700" s="157"/>
      <c r="AN3700" s="1"/>
      <c r="AO3700" s="147"/>
      <c r="AP3700" s="157"/>
      <c r="AQ3700" s="1"/>
      <c r="AR3700" s="147"/>
      <c r="AS3700" s="157"/>
      <c r="AT3700" s="1"/>
      <c r="AU3700" s="147"/>
    </row>
    <row r="3701" spans="13:47" ht="14" x14ac:dyDescent="0.3">
      <c r="M3701" s="23"/>
      <c r="N3701" s="23"/>
      <c r="O3701" s="23" t="s">
        <v>238</v>
      </c>
      <c r="P3701" s="20"/>
      <c r="Q3701" s="20"/>
      <c r="R3701" s="18">
        <f>R3687*1.02</f>
        <v>2051.4006476804775</v>
      </c>
      <c r="S3701" s="128" t="s">
        <v>185</v>
      </c>
      <c r="T3701" s="153" t="s">
        <v>186</v>
      </c>
      <c r="U3701" s="143">
        <f>U3687*1.01</f>
        <v>6298.505852087349</v>
      </c>
      <c r="V3701" s="128" t="s">
        <v>185</v>
      </c>
      <c r="W3701" s="153" t="s">
        <v>186</v>
      </c>
      <c r="X3701" s="143">
        <f>X3687*1.01</f>
        <v>15576.954503194609</v>
      </c>
      <c r="Y3701" s="128" t="s">
        <v>185</v>
      </c>
      <c r="Z3701" s="153" t="s">
        <v>186</v>
      </c>
      <c r="AA3701" s="143">
        <f>AA3687*1.01</f>
        <v>30339.931426032264</v>
      </c>
      <c r="AB3701" s="128" t="s">
        <v>185</v>
      </c>
      <c r="AC3701" s="153" t="s">
        <v>186</v>
      </c>
      <c r="AD3701" s="143">
        <f>AD3687*1.01</f>
        <v>49898.016695813916</v>
      </c>
      <c r="AE3701" s="128" t="s">
        <v>185</v>
      </c>
      <c r="AF3701" s="153" t="s">
        <v>186</v>
      </c>
      <c r="AG3701" s="143">
        <f>AG3687*1.01</f>
        <v>69985.809873053673</v>
      </c>
      <c r="AH3701" s="128" t="s">
        <v>185</v>
      </c>
      <c r="AI3701" s="153" t="s">
        <v>186</v>
      </c>
      <c r="AJ3701" s="143">
        <f>AJ3687*1.01</f>
        <v>88863.407701383185</v>
      </c>
      <c r="AK3701" s="128" t="s">
        <v>185</v>
      </c>
      <c r="AL3701" s="153" t="s">
        <v>186</v>
      </c>
      <c r="AM3701" s="143">
        <f>AM3687*1.01</f>
        <v>104199.33418579004</v>
      </c>
      <c r="AN3701" s="128" t="s">
        <v>185</v>
      </c>
      <c r="AO3701" s="153" t="s">
        <v>186</v>
      </c>
      <c r="AP3701" s="143">
        <f>AP3687*1.01</f>
        <v>116251.89889468718</v>
      </c>
      <c r="AQ3701" s="128" t="s">
        <v>185</v>
      </c>
      <c r="AR3701" s="153" t="s">
        <v>186</v>
      </c>
      <c r="AS3701" s="143">
        <f>AS3687*1.01</f>
        <v>129698.56383653921</v>
      </c>
      <c r="AT3701" s="128" t="s">
        <v>185</v>
      </c>
      <c r="AU3701" s="153" t="s">
        <v>186</v>
      </c>
    </row>
    <row r="3702" spans="13:47" ht="14" x14ac:dyDescent="0.3">
      <c r="M3702" s="12"/>
      <c r="N3702" s="12"/>
      <c r="O3702" s="20"/>
      <c r="P3702" s="20"/>
      <c r="Q3702" s="23"/>
      <c r="R3702" s="139"/>
      <c r="S3702" s="130" t="s">
        <v>228</v>
      </c>
      <c r="T3702" s="154" t="s">
        <v>187</v>
      </c>
      <c r="U3702" s="144"/>
      <c r="V3702" s="130" t="s">
        <v>228</v>
      </c>
      <c r="W3702" s="154" t="s">
        <v>187</v>
      </c>
      <c r="X3702" s="144"/>
      <c r="Y3702" s="130" t="s">
        <v>228</v>
      </c>
      <c r="Z3702" s="154" t="s">
        <v>187</v>
      </c>
      <c r="AA3702" s="144"/>
      <c r="AB3702" s="130" t="s">
        <v>228</v>
      </c>
      <c r="AC3702" s="154" t="s">
        <v>187</v>
      </c>
      <c r="AD3702" s="144"/>
      <c r="AE3702" s="130" t="s">
        <v>228</v>
      </c>
      <c r="AF3702" s="154" t="s">
        <v>187</v>
      </c>
      <c r="AG3702" s="144"/>
      <c r="AH3702" s="130" t="s">
        <v>228</v>
      </c>
      <c r="AI3702" s="154" t="s">
        <v>187</v>
      </c>
      <c r="AJ3702" s="144"/>
      <c r="AK3702" s="130" t="s">
        <v>228</v>
      </c>
      <c r="AL3702" s="154" t="s">
        <v>187</v>
      </c>
      <c r="AM3702" s="144"/>
      <c r="AN3702" s="130" t="s">
        <v>228</v>
      </c>
      <c r="AO3702" s="154" t="s">
        <v>187</v>
      </c>
      <c r="AP3702" s="144"/>
      <c r="AQ3702" s="130" t="s">
        <v>228</v>
      </c>
      <c r="AR3702" s="154" t="s">
        <v>187</v>
      </c>
      <c r="AS3702" s="144"/>
      <c r="AT3702" s="130" t="s">
        <v>228</v>
      </c>
      <c r="AU3702" s="154" t="s">
        <v>187</v>
      </c>
    </row>
    <row r="3703" spans="13:47" x14ac:dyDescent="0.25">
      <c r="M3703" s="20"/>
      <c r="N3703" s="20"/>
      <c r="O3703" s="7" t="s">
        <v>188</v>
      </c>
      <c r="P3703" s="7"/>
      <c r="Q3703" s="7"/>
      <c r="R3703" s="181">
        <f>P_1_minW-(R3701^2*R_up)+dpup_minQ</f>
        <v>98.844699384595287</v>
      </c>
      <c r="S3703" s="132"/>
      <c r="T3703" s="145"/>
      <c r="U3703" s="138">
        <f>P_1_minW-(U3701^2*R_up)+dpup_minQ</f>
        <v>84.703435750414812</v>
      </c>
      <c r="V3703" s="132"/>
      <c r="W3703" s="145"/>
      <c r="X3703" s="138">
        <f>P_1_minW-(X3701^2*R_up)+dpup_minQ</f>
        <v>3.7666119567042666</v>
      </c>
      <c r="Y3703" s="132"/>
      <c r="Z3703" s="145"/>
      <c r="AA3703" s="138">
        <f>P_1_minW-(AA3701^2*R_up)+dpup_minQ</f>
        <v>-266.54204519336974</v>
      </c>
      <c r="AB3703" s="132"/>
      <c r="AC3703" s="145"/>
      <c r="AD3703" s="138">
        <f>P_1_minW-(AD3701^2*R_up)+dpup_minQ</f>
        <v>-892.31924696208762</v>
      </c>
      <c r="AE3703" s="132"/>
      <c r="AF3703" s="145"/>
      <c r="AG3703" s="138">
        <f>P_1_minW-(AG3701^2*R_up)+dpup_minQ</f>
        <v>-1852.6181051659846</v>
      </c>
      <c r="AH3703" s="132"/>
      <c r="AI3703" s="145"/>
      <c r="AJ3703" s="138">
        <f>P_1_minW-(AJ3701^2*R_up)+dpup_minQ</f>
        <v>-3048.3818925768105</v>
      </c>
      <c r="AK3703" s="132"/>
      <c r="AL3703" s="145"/>
      <c r="AM3703" s="138">
        <f>P_1_minW-(AM3701^2*R_up)+dpup_minQ</f>
        <v>-4229.0343496683745</v>
      </c>
      <c r="AN3703" s="132"/>
      <c r="AO3703" s="145"/>
      <c r="AP3703" s="138">
        <f>P_1_minW-(AP3701^2*R_up)+dpup_minQ</f>
        <v>-5288.5456466444848</v>
      </c>
      <c r="AQ3703" s="132"/>
      <c r="AR3703" s="145"/>
      <c r="AS3703" s="138">
        <f>P_1_minW-(AS3701^2*R_up)+dpup_minQ</f>
        <v>-6607.3361615759177</v>
      </c>
      <c r="AT3703" s="132"/>
      <c r="AU3703" s="145"/>
    </row>
    <row r="3704" spans="13:47" x14ac:dyDescent="0.25">
      <c r="M3704" s="20"/>
      <c r="N3704" s="20"/>
      <c r="O3704" s="7" t="s">
        <v>189</v>
      </c>
      <c r="P3704" s="1"/>
      <c r="Q3704" s="7"/>
      <c r="R3704" s="181">
        <f>P_2_minW+(R3701^2*R_dn)-dpdn_minQ</f>
        <v>50</v>
      </c>
      <c r="S3704" s="132"/>
      <c r="T3704" s="146"/>
      <c r="U3704" s="138">
        <f>P_2_minW+(U3701^2*R_dn)-dpdn_minQ</f>
        <v>50</v>
      </c>
      <c r="V3704" s="132"/>
      <c r="W3704" s="146"/>
      <c r="X3704" s="138">
        <f>P_2_minW+(X3701^2*R_dn)-dpdn_minQ</f>
        <v>50</v>
      </c>
      <c r="Y3704" s="132"/>
      <c r="Z3704" s="146"/>
      <c r="AA3704" s="138">
        <f>P_2_minW+(AA3701^2*R_dn)-dpdn_minQ</f>
        <v>50</v>
      </c>
      <c r="AB3704" s="132"/>
      <c r="AC3704" s="146"/>
      <c r="AD3704" s="138">
        <f>P_2_minW+(AD3701^2*R_dn)-dpdn_minQ</f>
        <v>50</v>
      </c>
      <c r="AE3704" s="132"/>
      <c r="AF3704" s="146"/>
      <c r="AG3704" s="138">
        <f>P_2_minW+(AG3701^2*R_dn)-dpdn_minQ</f>
        <v>50</v>
      </c>
      <c r="AH3704" s="132"/>
      <c r="AI3704" s="146"/>
      <c r="AJ3704" s="138">
        <f>P_2_minW+(AJ3701^2*R_dn)-dpdn_minQ</f>
        <v>50</v>
      </c>
      <c r="AK3704" s="132"/>
      <c r="AL3704" s="146"/>
      <c r="AM3704" s="138">
        <f>P_2_minW+(AM3701^2*R_dn)-dpdn_minQ</f>
        <v>50</v>
      </c>
      <c r="AN3704" s="132"/>
      <c r="AO3704" s="146"/>
      <c r="AP3704" s="138">
        <f>P_2_minW+(AP3701^2*R_dn)-dpdn_minQ</f>
        <v>50</v>
      </c>
      <c r="AQ3704" s="132"/>
      <c r="AR3704" s="146"/>
      <c r="AS3704" s="138">
        <f>P_2_minW+(AS3701^2*R_dn)-dpdn_minQ</f>
        <v>50</v>
      </c>
      <c r="AT3704" s="132"/>
      <c r="AU3704" s="146"/>
    </row>
    <row r="3705" spans="13:47" x14ac:dyDescent="0.25">
      <c r="M3705" s="20"/>
      <c r="N3705" s="20"/>
      <c r="O3705" s="7" t="s">
        <v>234</v>
      </c>
      <c r="P3705" s="1"/>
      <c r="Q3705" s="7"/>
      <c r="R3705" s="179">
        <f>'Valve Sizing'!G$8*R3703/P_1_maxW</f>
        <v>0.47680923161724725</v>
      </c>
      <c r="S3705" s="132"/>
      <c r="T3705" s="146"/>
      <c r="U3705" s="143">
        <f>'Valve Sizing'!$G$8*U3703/P_1_maxW</f>
        <v>0.40859429354276972</v>
      </c>
      <c r="V3705" s="132"/>
      <c r="W3705" s="146"/>
      <c r="X3705" s="143">
        <f>'Valve Sizing'!$G$8*X3703/P_1_maxW</f>
        <v>1.8169465475215894E-2</v>
      </c>
      <c r="Y3705" s="132"/>
      <c r="Z3705" s="146"/>
      <c r="AA3705" s="143">
        <f>'Valve Sizing'!$G$8*AA3703/P_1_maxW</f>
        <v>-1.2857513711266024</v>
      </c>
      <c r="AB3705" s="132"/>
      <c r="AC3705" s="146"/>
      <c r="AD3705" s="143">
        <f>'Valve Sizing'!$G$8*AD3703/P_1_maxW</f>
        <v>-4.3043891796951694</v>
      </c>
      <c r="AE3705" s="132"/>
      <c r="AF3705" s="146"/>
      <c r="AG3705" s="143">
        <f>'Valve Sizing'!$G$8*AG3703/P_1_maxW</f>
        <v>-8.9366999009970289</v>
      </c>
      <c r="AH3705" s="132"/>
      <c r="AI3705" s="146"/>
      <c r="AJ3705" s="143">
        <f>'Valve Sizing'!$G$8*AJ3703/P_1_maxW</f>
        <v>-14.704851518846372</v>
      </c>
      <c r="AK3705" s="132"/>
      <c r="AL3705" s="146"/>
      <c r="AM3705" s="143">
        <f>'Valve Sizing'!$G$8*AM3703/P_1_maxW</f>
        <v>-20.400108769642134</v>
      </c>
      <c r="AN3705" s="132"/>
      <c r="AO3705" s="146"/>
      <c r="AP3705" s="143">
        <f>'Valve Sizing'!$G$8*AP3703/P_1_maxW</f>
        <v>-25.511002631895145</v>
      </c>
      <c r="AQ3705" s="132"/>
      <c r="AR3705" s="146"/>
      <c r="AS3705" s="143">
        <f>'Valve Sizing'!$G$8*AS3703/P_1_maxW</f>
        <v>-31.87261327974511</v>
      </c>
      <c r="AT3705" s="132"/>
      <c r="AU3705" s="146"/>
    </row>
    <row r="3706" spans="13:47" x14ac:dyDescent="0.25">
      <c r="M3706" s="20"/>
      <c r="N3706" s="20"/>
      <c r="O3706" s="7" t="s">
        <v>190</v>
      </c>
      <c r="P3706" s="1"/>
      <c r="Q3706" s="7"/>
      <c r="R3706" s="181">
        <f>R3703-R3704</f>
        <v>48.844699384595287</v>
      </c>
      <c r="S3706" s="132"/>
      <c r="T3706" s="146"/>
      <c r="U3706" s="138">
        <f>U3703-U3704</f>
        <v>34.703435750414812</v>
      </c>
      <c r="V3706" s="132"/>
      <c r="W3706" s="146"/>
      <c r="X3706" s="138">
        <f>X3703-X3704</f>
        <v>-46.233388043295733</v>
      </c>
      <c r="Y3706" s="132"/>
      <c r="Z3706" s="146"/>
      <c r="AA3706" s="138">
        <f>AA3703-AA3704</f>
        <v>-316.54204519336974</v>
      </c>
      <c r="AB3706" s="132"/>
      <c r="AC3706" s="146"/>
      <c r="AD3706" s="138">
        <f>AD3703-AD3704</f>
        <v>-942.31924696208762</v>
      </c>
      <c r="AE3706" s="132"/>
      <c r="AF3706" s="146"/>
      <c r="AG3706" s="138">
        <f>AG3703-AG3704</f>
        <v>-1902.6181051659846</v>
      </c>
      <c r="AH3706" s="132"/>
      <c r="AI3706" s="146"/>
      <c r="AJ3706" s="138">
        <f>AJ3703-AJ3704</f>
        <v>-3098.3818925768105</v>
      </c>
      <c r="AK3706" s="132"/>
      <c r="AL3706" s="146"/>
      <c r="AM3706" s="138">
        <f>AM3703-AM3704</f>
        <v>-4279.0343496683745</v>
      </c>
      <c r="AN3706" s="132"/>
      <c r="AO3706" s="146"/>
      <c r="AP3706" s="138">
        <f>AP3703-AP3704</f>
        <v>-5338.5456466444848</v>
      </c>
      <c r="AQ3706" s="132"/>
      <c r="AR3706" s="146"/>
      <c r="AS3706" s="138">
        <f>AS3703-AS3704</f>
        <v>-6657.3361615759177</v>
      </c>
      <c r="AT3706" s="132"/>
      <c r="AU3706" s="146"/>
    </row>
    <row r="3707" spans="13:47" ht="14.5" x14ac:dyDescent="0.35">
      <c r="M3707" s="27"/>
      <c r="N3707" s="27"/>
      <c r="O3707" s="2" t="s">
        <v>191</v>
      </c>
      <c r="P3707" s="10"/>
      <c r="Q3707" s="2"/>
      <c r="R3707" s="181">
        <f>R3706/R3703</f>
        <v>0.49415598093475127</v>
      </c>
      <c r="S3707" s="132"/>
      <c r="T3707" s="146"/>
      <c r="U3707" s="138">
        <f>U3706/U3703</f>
        <v>0.40970517244036186</v>
      </c>
      <c r="V3707" s="132"/>
      <c r="W3707" s="146"/>
      <c r="X3707" s="138">
        <f>X3706/X3703</f>
        <v>-12.274529092651559</v>
      </c>
      <c r="Y3707" s="132"/>
      <c r="Z3707" s="146"/>
      <c r="AA3707" s="138">
        <f>AA3706/AA3703</f>
        <v>1.1875876654421489</v>
      </c>
      <c r="AB3707" s="132"/>
      <c r="AC3707" s="146"/>
      <c r="AD3707" s="138">
        <f>AD3706/AD3703</f>
        <v>1.0560337571673206</v>
      </c>
      <c r="AE3707" s="132"/>
      <c r="AF3707" s="146"/>
      <c r="AG3707" s="138">
        <f>AG3706/AG3703</f>
        <v>1.0269888326474712</v>
      </c>
      <c r="AH3707" s="132"/>
      <c r="AI3707" s="146"/>
      <c r="AJ3707" s="138">
        <f>AJ3706/AJ3703</f>
        <v>1.0164021444038085</v>
      </c>
      <c r="AK3707" s="132"/>
      <c r="AL3707" s="146"/>
      <c r="AM3707" s="138">
        <f>AM3706/AM3703</f>
        <v>1.0118230300030362</v>
      </c>
      <c r="AN3707" s="132"/>
      <c r="AO3707" s="146"/>
      <c r="AP3707" s="138">
        <f>AP3706/AP3703</f>
        <v>1.0094543950909689</v>
      </c>
      <c r="AQ3707" s="132"/>
      <c r="AR3707" s="146"/>
      <c r="AS3707" s="138">
        <f>AS3706/AS3703</f>
        <v>1.0075673461705745</v>
      </c>
      <c r="AT3707" s="132"/>
      <c r="AU3707" s="146"/>
    </row>
    <row r="3708" spans="13:47" x14ac:dyDescent="0.25">
      <c r="M3708" s="27"/>
      <c r="N3708" s="27"/>
      <c r="O3708" s="2" t="s">
        <v>26</v>
      </c>
      <c r="P3708" s="7">
        <v>12</v>
      </c>
      <c r="Q3708" s="2"/>
      <c r="R3708" s="181">
        <f>1-R3707/(3*F_GAMMA*R$29)</f>
        <v>0.74263790253221829</v>
      </c>
      <c r="S3708" s="133"/>
      <c r="T3708" s="146"/>
      <c r="U3708" s="138">
        <f>1-U3707/(3*F_GAMMA*U$29)</f>
        <v>0.78666783210371849</v>
      </c>
      <c r="V3708" s="133"/>
      <c r="W3708" s="146"/>
      <c r="X3708" s="138">
        <f>1-X3707/(3*F_GAMMA*X$29)</f>
        <v>7.487187680217998</v>
      </c>
      <c r="Y3708" s="133"/>
      <c r="Z3708" s="146"/>
      <c r="AA3708" s="138">
        <f>1-AA3707/(3*F_GAMMA*AA$29)</f>
        <v>0.36374438468346593</v>
      </c>
      <c r="AB3708" s="133"/>
      <c r="AC3708" s="146"/>
      <c r="AD3708" s="138">
        <f>1-AD3707/(3*F_GAMMA*AD$29)</f>
        <v>0.41871265553632186</v>
      </c>
      <c r="AE3708" s="133"/>
      <c r="AF3708" s="146"/>
      <c r="AG3708" s="138">
        <f>1-AG3707/(3*F_GAMMA*AG$29)</f>
        <v>0.40245466723312051</v>
      </c>
      <c r="AH3708" s="133"/>
      <c r="AI3708" s="146"/>
      <c r="AJ3708" s="138">
        <f>1-AJ3707/(3*F_GAMMA*AJ$29)</f>
        <v>0.36780082784776535</v>
      </c>
      <c r="AK3708" s="133"/>
      <c r="AL3708" s="146"/>
      <c r="AM3708" s="138">
        <f>1-AM3707/(3*F_GAMMA*AM$29)</f>
        <v>0.3123700603958629</v>
      </c>
      <c r="AN3708" s="133"/>
      <c r="AO3708" s="146"/>
      <c r="AP3708" s="138">
        <f>1-AP3707/(3*F_GAMMA*AP$29)</f>
        <v>0.43307850096056522</v>
      </c>
      <c r="AQ3708" s="133"/>
      <c r="AR3708" s="146"/>
      <c r="AS3708" s="138">
        <f>1-AS3707/(3*F_GAMMA*AS$29)</f>
        <v>0.14097275437239476</v>
      </c>
      <c r="AT3708" s="133"/>
      <c r="AU3708" s="146"/>
    </row>
    <row r="3709" spans="13:47" x14ac:dyDescent="0.25">
      <c r="M3709" s="27"/>
      <c r="N3709" s="27"/>
      <c r="O3709" s="2" t="s">
        <v>71</v>
      </c>
      <c r="P3709" s="85">
        <v>5</v>
      </c>
      <c r="Q3709" s="2"/>
      <c r="R3709" s="179">
        <f>R3701/((N_6*R$27*R3708)*SQRT(R3707*R3703*R3705))</f>
        <v>9.0435736310151427</v>
      </c>
      <c r="S3709" s="133"/>
      <c r="T3709" s="146"/>
      <c r="U3709" s="143">
        <f>U3701/((N_6*U$27*U3708)*SQRT(U3707*U3703*U3705))</f>
        <v>33.614872870673736</v>
      </c>
      <c r="V3709" s="133"/>
      <c r="W3709" s="146"/>
      <c r="X3709" s="143" t="e">
        <f>X3701/((N_6*X$27*X3708)*SQRT(X3707*X3703*X3705))</f>
        <v>#NUM!</v>
      </c>
      <c r="Y3709" s="133"/>
      <c r="Z3709" s="146"/>
      <c r="AA3709" s="143">
        <f>AA3701/((N_6*AA$27*AA3708)*SQRT(AA3707*AA3703*AA3705))</f>
        <v>65.88610219480249</v>
      </c>
      <c r="AB3709" s="133"/>
      <c r="AC3709" s="146"/>
      <c r="AD3709" s="143">
        <f>AD3701/((N_6*AD$27*AD3708)*SQRT(AD3707*AD3703*AD3705))</f>
        <v>30.173577061857284</v>
      </c>
      <c r="AE3709" s="133"/>
      <c r="AF3709" s="146"/>
      <c r="AG3709" s="143">
        <f>AG3701/((N_6*AG$27*AG3708)*SQRT(AG3707*AG3703*AG3705))</f>
        <v>21.96917483689381</v>
      </c>
      <c r="AH3709" s="133"/>
      <c r="AI3709" s="146"/>
      <c r="AJ3709" s="143">
        <f>AJ3701/((N_6*AJ$27*AJ3708)*SQRT(AJ3707*AJ3703*AJ3705))</f>
        <v>19.286666127943004</v>
      </c>
      <c r="AK3709" s="133"/>
      <c r="AL3709" s="146"/>
      <c r="AM3709" s="143">
        <f>AM3701/((N_6*AM$27*AM3708)*SQRT(AM3707*AM3703*AM3705))</f>
        <v>20.419041626128266</v>
      </c>
      <c r="AN3709" s="133"/>
      <c r="AO3709" s="146"/>
      <c r="AP3709" s="143">
        <f>AP3701/((N_6*AP$27*AP3708)*SQRT(AP3707*AP3703*AP3705))</f>
        <v>14.943118810144089</v>
      </c>
      <c r="AQ3709" s="133"/>
      <c r="AR3709" s="146"/>
      <c r="AS3709" s="143">
        <f>AS3701/((N_6*AS$27*AS3708)*SQRT(AS3707*AS3703*AS3705))</f>
        <v>53.915220177492429</v>
      </c>
      <c r="AT3709" s="133"/>
      <c r="AU3709" s="146"/>
    </row>
    <row r="3710" spans="13:47" x14ac:dyDescent="0.25">
      <c r="M3710" s="27"/>
      <c r="N3710" s="27"/>
      <c r="O3710" s="2" t="s">
        <v>73</v>
      </c>
      <c r="P3710" s="85">
        <v>5</v>
      </c>
      <c r="Q3710" s="2"/>
      <c r="R3710" s="179">
        <f>R3701/((N_6*R$27*0.667)*SQRT(R3711*R3703*R3705))</f>
        <v>8.8475754899237753</v>
      </c>
      <c r="S3710" s="133"/>
      <c r="T3710" s="155"/>
      <c r="U3710" s="143">
        <f>U3701/((N_6*U$27*0.667)*SQRT(U3711*U3703*U3705))</f>
        <v>31.716542052924186</v>
      </c>
      <c r="V3710" s="133"/>
      <c r="W3710" s="155"/>
      <c r="X3710" s="143">
        <f>X3701/((N_6*X$27*0.667)*SQRT(X3711*X3703*X3705))</f>
        <v>1781.0486266196222</v>
      </c>
      <c r="Y3710" s="133"/>
      <c r="Z3710" s="155"/>
      <c r="AA3710" s="143">
        <f>AA3701/((N_6*AA$27*0.667)*SQRT(AA3711*AA3703*AA3705))</f>
        <v>49.641022759548356</v>
      </c>
      <c r="AB3710" s="133"/>
      <c r="AC3710" s="155"/>
      <c r="AD3710" s="143">
        <f>AD3701/((N_6*AD$27*0.667)*SQRT(AD3711*AD3703*AD3705))</f>
        <v>25.013422196307399</v>
      </c>
      <c r="AE3710" s="133"/>
      <c r="AF3710" s="155"/>
      <c r="AG3710" s="143">
        <f>AG3701/((N_6*AG$27*0.667)*SQRT(AG3711*AG3703*AG3705))</f>
        <v>17.748061955334006</v>
      </c>
      <c r="AH3710" s="133"/>
      <c r="AI3710" s="155"/>
      <c r="AJ3710" s="143">
        <f>AJ3701/((N_6*AJ$27*0.667)*SQRT(AJ3711*AJ3703*AJ3705))</f>
        <v>14.646424584435989</v>
      </c>
      <c r="AK3710" s="133"/>
      <c r="AL3710" s="155"/>
      <c r="AM3710" s="143">
        <f>AM3701/((N_6*AM$27*0.667)*SQRT(AM3711*AM3703*AM3705))</f>
        <v>13.734629177306388</v>
      </c>
      <c r="AN3710" s="133"/>
      <c r="AO3710" s="155"/>
      <c r="AP3710" s="143">
        <f>AP3701/((N_6*AP$27*0.667)*SQRT(AP3711*AP3703*AP3705))</f>
        <v>12.653309504608952</v>
      </c>
      <c r="AQ3710" s="133"/>
      <c r="AR3710" s="155"/>
      <c r="AS3710" s="143">
        <f>AS3701/((N_6*AS$27*0.667)*SQRT(AS3711*AS3703*AS3705))</f>
        <v>18.292995646277056</v>
      </c>
      <c r="AT3710" s="133"/>
      <c r="AU3710" s="155"/>
    </row>
    <row r="3711" spans="13:47" ht="15.5" x14ac:dyDescent="0.4">
      <c r="M3711" s="27"/>
      <c r="N3711" s="27"/>
      <c r="O3711" s="2" t="s">
        <v>192</v>
      </c>
      <c r="P3711" s="85">
        <v>10</v>
      </c>
      <c r="Q3711" s="2"/>
      <c r="R3711" s="181">
        <f>F_GAMMA*R$29</f>
        <v>0.64002688015162901</v>
      </c>
      <c r="S3711" s="133"/>
      <c r="T3711" s="155"/>
      <c r="U3711" s="138">
        <f>F_GAMMA*U$29</f>
        <v>0.64016782916606918</v>
      </c>
      <c r="V3711" s="133"/>
      <c r="W3711" s="155"/>
      <c r="X3711" s="138">
        <f>F_GAMMA*X$29</f>
        <v>0.6307062319203669</v>
      </c>
      <c r="Y3711" s="133"/>
      <c r="Z3711" s="155"/>
      <c r="AA3711" s="138">
        <f>F_GAMMA*AA$29</f>
        <v>0.62217534213893466</v>
      </c>
      <c r="AB3711" s="133"/>
      <c r="AC3711" s="155"/>
      <c r="AD3711" s="138">
        <f>F_GAMMA*AD$29</f>
        <v>0.60557184969146072</v>
      </c>
      <c r="AE3711" s="133"/>
      <c r="AF3711" s="155"/>
      <c r="AG3711" s="138">
        <f>F_GAMMA*AG$29</f>
        <v>0.57289312142622573</v>
      </c>
      <c r="AH3711" s="133"/>
      <c r="AI3711" s="155"/>
      <c r="AJ3711" s="138">
        <f>F_GAMMA*AJ$29</f>
        <v>0.53590819116049981</v>
      </c>
      <c r="AK3711" s="133"/>
      <c r="AL3711" s="155"/>
      <c r="AM3711" s="138">
        <f>F_GAMMA*AM$29</f>
        <v>0.49048815926850342</v>
      </c>
      <c r="AN3711" s="133"/>
      <c r="AO3711" s="155"/>
      <c r="AP3711" s="138">
        <f>F_GAMMA*AP$29</f>
        <v>0.59352979016280105</v>
      </c>
      <c r="AQ3711" s="133"/>
      <c r="AR3711" s="155"/>
      <c r="AS3711" s="138">
        <f>F_GAMMA*AS$29</f>
        <v>0.39097221161068291</v>
      </c>
      <c r="AT3711" s="133"/>
      <c r="AU3711" s="155"/>
    </row>
    <row r="3712" spans="13:47" x14ac:dyDescent="0.25">
      <c r="M3712" s="27"/>
      <c r="N3712" s="27"/>
      <c r="O3712" s="2" t="s">
        <v>193</v>
      </c>
      <c r="P3712" s="134"/>
      <c r="Q3712" s="2"/>
      <c r="R3712" s="181">
        <f>IF(R3707&lt;R3711,R3709,R3710)</f>
        <v>9.0435736310151427</v>
      </c>
      <c r="S3712" s="133"/>
      <c r="T3712" s="155"/>
      <c r="U3712" s="138">
        <f>IF(U3707&lt;U3711,U3709,U3710)</f>
        <v>33.614872870673736</v>
      </c>
      <c r="V3712" s="133"/>
      <c r="W3712" s="155"/>
      <c r="X3712" s="138" t="e">
        <f>IF(X3707&lt;X3711,X3709,X3710)</f>
        <v>#NUM!</v>
      </c>
      <c r="Y3712" s="133"/>
      <c r="Z3712" s="155"/>
      <c r="AA3712" s="138">
        <f>IF(AA3707&lt;AA3711,AA3709,AA3710)</f>
        <v>49.641022759548356</v>
      </c>
      <c r="AB3712" s="133"/>
      <c r="AC3712" s="155"/>
      <c r="AD3712" s="138">
        <f>IF(AD3707&lt;AD3711,AD3709,AD3710)</f>
        <v>25.013422196307399</v>
      </c>
      <c r="AE3712" s="133"/>
      <c r="AF3712" s="155"/>
      <c r="AG3712" s="138">
        <f>IF(AG3707&lt;AG3711,AG3709,AG3710)</f>
        <v>17.748061955334006</v>
      </c>
      <c r="AH3712" s="133"/>
      <c r="AI3712" s="155"/>
      <c r="AJ3712" s="138">
        <f>IF(AJ3707&lt;AJ3711,AJ3709,AJ3710)</f>
        <v>14.646424584435989</v>
      </c>
      <c r="AK3712" s="133"/>
      <c r="AL3712" s="155"/>
      <c r="AM3712" s="138">
        <f>IF(AM3707&lt;AM3711,AM3709,AM3710)</f>
        <v>13.734629177306388</v>
      </c>
      <c r="AN3712" s="133"/>
      <c r="AO3712" s="155"/>
      <c r="AP3712" s="138">
        <f>IF(AP3707&lt;AP3711,AP3709,AP3710)</f>
        <v>12.653309504608952</v>
      </c>
      <c r="AQ3712" s="133"/>
      <c r="AR3712" s="155"/>
      <c r="AS3712" s="138">
        <f>IF(AS3707&lt;AS3711,AS3709,AS3710)</f>
        <v>18.292995646277056</v>
      </c>
      <c r="AT3712" s="133"/>
      <c r="AU3712" s="155"/>
    </row>
    <row r="3713" spans="13:47" ht="13" x14ac:dyDescent="0.3">
      <c r="M3713" s="28"/>
      <c r="N3713" s="28"/>
      <c r="O3713" s="9" t="s">
        <v>194</v>
      </c>
      <c r="P3713" s="1"/>
      <c r="Q3713" s="1"/>
      <c r="R3713" s="135"/>
      <c r="S3713" s="132">
        <f>IF(R3706&lt;=0,W_max,ABS(R$23-R3712))</f>
        <v>7.0435736310151427</v>
      </c>
      <c r="T3713" s="151">
        <f>R3701</f>
        <v>2051.4006476804775</v>
      </c>
      <c r="U3713" s="135"/>
      <c r="V3713" s="132">
        <f>IF(U3706&lt;=0,W_max,ABS(U$23-U3712))</f>
        <v>28.614872870673736</v>
      </c>
      <c r="W3713" s="151">
        <f>U3701</f>
        <v>6298.505852087349</v>
      </c>
      <c r="X3713" s="135"/>
      <c r="Y3713" s="132">
        <f>IF(X3706&lt;=0,W_max,ABS(X$23-X3712))</f>
        <v>7174</v>
      </c>
      <c r="Z3713" s="151">
        <f>X3701</f>
        <v>15576.954503194609</v>
      </c>
      <c r="AA3713" s="135"/>
      <c r="AB3713" s="132">
        <f>IF(AA3706&lt;=0,W_max,ABS(AA$23-AA3712))</f>
        <v>7174</v>
      </c>
      <c r="AC3713" s="151">
        <f>AA3701</f>
        <v>30339.931426032264</v>
      </c>
      <c r="AD3713" s="135"/>
      <c r="AE3713" s="132">
        <f>IF(AD3706&lt;=0,W_max,ABS(AD$23-AD3712))</f>
        <v>7174</v>
      </c>
      <c r="AF3713" s="151">
        <f>AD3701</f>
        <v>49898.016695813916</v>
      </c>
      <c r="AG3713" s="135"/>
      <c r="AH3713" s="132">
        <f>IF(AG3706&lt;=0,W_max,ABS(AG$23-AG3712))</f>
        <v>7174</v>
      </c>
      <c r="AI3713" s="151">
        <f>AG3701</f>
        <v>69985.809873053673</v>
      </c>
      <c r="AJ3713" s="135"/>
      <c r="AK3713" s="132">
        <f>IF(AJ3706&lt;=0,W_max,ABS(AJ$23-AJ3712))</f>
        <v>7174</v>
      </c>
      <c r="AL3713" s="151">
        <f>AJ3701</f>
        <v>88863.407701383185</v>
      </c>
      <c r="AM3713" s="135"/>
      <c r="AN3713" s="132">
        <f>IF(AM3706&lt;=0,W_max,ABS(AM$23-AM3712))</f>
        <v>7174</v>
      </c>
      <c r="AO3713" s="151">
        <f>AM3701</f>
        <v>104199.33418579004</v>
      </c>
      <c r="AP3713" s="135"/>
      <c r="AQ3713" s="132">
        <f>IF(AP3706&lt;=0,W_max,ABS(AP$23-AP3712))</f>
        <v>7174</v>
      </c>
      <c r="AR3713" s="151">
        <f>AP3701</f>
        <v>116251.89889468718</v>
      </c>
      <c r="AS3713" s="135"/>
      <c r="AT3713" s="132">
        <f>IF(AS3706&lt;=0,W_max,ABS(AS$23-AS3712))</f>
        <v>7174</v>
      </c>
      <c r="AU3713" s="151">
        <f>AS3701</f>
        <v>129698.56383653921</v>
      </c>
    </row>
    <row r="3714" spans="13:47" ht="13" x14ac:dyDescent="0.25">
      <c r="M3714" s="12"/>
      <c r="N3714" s="12"/>
      <c r="O3714" s="2"/>
      <c r="P3714" s="85"/>
      <c r="Q3714" s="2"/>
      <c r="R3714" s="18"/>
      <c r="S3714" s="150"/>
      <c r="T3714" s="152"/>
      <c r="U3714" s="157"/>
      <c r="V3714" s="1"/>
      <c r="W3714" s="147"/>
      <c r="X3714" s="157"/>
      <c r="Y3714" s="1"/>
      <c r="Z3714" s="147"/>
      <c r="AA3714" s="157"/>
      <c r="AB3714" s="1"/>
      <c r="AC3714" s="147"/>
      <c r="AD3714" s="157"/>
      <c r="AE3714" s="1"/>
      <c r="AF3714" s="147"/>
      <c r="AG3714" s="157"/>
      <c r="AH3714" s="1"/>
      <c r="AI3714" s="147"/>
      <c r="AJ3714" s="157"/>
      <c r="AK3714" s="1"/>
      <c r="AL3714" s="147"/>
      <c r="AM3714" s="157"/>
      <c r="AN3714" s="1"/>
      <c r="AO3714" s="147"/>
      <c r="AP3714" s="157"/>
      <c r="AQ3714" s="1"/>
      <c r="AR3714" s="147"/>
      <c r="AS3714" s="157"/>
      <c r="AT3714" s="1"/>
      <c r="AU3714" s="147"/>
    </row>
    <row r="3715" spans="13:47" ht="14" x14ac:dyDescent="0.3">
      <c r="M3715" s="23"/>
      <c r="N3715" s="23"/>
      <c r="O3715" s="23" t="s">
        <v>238</v>
      </c>
      <c r="P3715" s="20"/>
      <c r="Q3715" s="20"/>
      <c r="R3715" s="181">
        <f>R3701*1.02</f>
        <v>2092.428660634087</v>
      </c>
      <c r="S3715" s="128" t="s">
        <v>185</v>
      </c>
      <c r="T3715" s="153" t="s">
        <v>186</v>
      </c>
      <c r="U3715" s="143">
        <f>U3701*1.01</f>
        <v>6361.4909106082223</v>
      </c>
      <c r="V3715" s="128" t="s">
        <v>185</v>
      </c>
      <c r="W3715" s="153" t="s">
        <v>186</v>
      </c>
      <c r="X3715" s="143">
        <f>X3701*1.01</f>
        <v>15732.724048226555</v>
      </c>
      <c r="Y3715" s="128" t="s">
        <v>185</v>
      </c>
      <c r="Z3715" s="153" t="s">
        <v>186</v>
      </c>
      <c r="AA3715" s="143">
        <f>AA3701*1.01</f>
        <v>30643.330740292586</v>
      </c>
      <c r="AB3715" s="128" t="s">
        <v>185</v>
      </c>
      <c r="AC3715" s="153" t="s">
        <v>186</v>
      </c>
      <c r="AD3715" s="143">
        <f>AD3701*1.01</f>
        <v>50396.996862772059</v>
      </c>
      <c r="AE3715" s="128" t="s">
        <v>185</v>
      </c>
      <c r="AF3715" s="153" t="s">
        <v>186</v>
      </c>
      <c r="AG3715" s="143">
        <f>AG3701*1.01</f>
        <v>70685.667971784205</v>
      </c>
      <c r="AH3715" s="128" t="s">
        <v>185</v>
      </c>
      <c r="AI3715" s="153" t="s">
        <v>186</v>
      </c>
      <c r="AJ3715" s="143">
        <f>AJ3701*1.01</f>
        <v>89752.041778397019</v>
      </c>
      <c r="AK3715" s="128" t="s">
        <v>185</v>
      </c>
      <c r="AL3715" s="153" t="s">
        <v>186</v>
      </c>
      <c r="AM3715" s="143">
        <f>AM3701*1.01</f>
        <v>105241.32752764794</v>
      </c>
      <c r="AN3715" s="128" t="s">
        <v>185</v>
      </c>
      <c r="AO3715" s="153" t="s">
        <v>186</v>
      </c>
      <c r="AP3715" s="143">
        <f>AP3701*1.01</f>
        <v>117414.41788363406</v>
      </c>
      <c r="AQ3715" s="128" t="s">
        <v>185</v>
      </c>
      <c r="AR3715" s="153" t="s">
        <v>186</v>
      </c>
      <c r="AS3715" s="143">
        <f>AS3701*1.01</f>
        <v>130995.5494749046</v>
      </c>
      <c r="AT3715" s="128" t="s">
        <v>185</v>
      </c>
      <c r="AU3715" s="153" t="s">
        <v>186</v>
      </c>
    </row>
    <row r="3716" spans="13:47" ht="14" x14ac:dyDescent="0.3">
      <c r="M3716" s="12"/>
      <c r="N3716" s="12"/>
      <c r="O3716" s="20"/>
      <c r="P3716" s="20"/>
      <c r="Q3716" s="23"/>
      <c r="R3716" s="139"/>
      <c r="S3716" s="130" t="s">
        <v>228</v>
      </c>
      <c r="T3716" s="154" t="s">
        <v>187</v>
      </c>
      <c r="U3716" s="144"/>
      <c r="V3716" s="130" t="s">
        <v>228</v>
      </c>
      <c r="W3716" s="154" t="s">
        <v>187</v>
      </c>
      <c r="X3716" s="144"/>
      <c r="Y3716" s="130" t="s">
        <v>228</v>
      </c>
      <c r="Z3716" s="154" t="s">
        <v>187</v>
      </c>
      <c r="AA3716" s="144"/>
      <c r="AB3716" s="130" t="s">
        <v>228</v>
      </c>
      <c r="AC3716" s="154" t="s">
        <v>187</v>
      </c>
      <c r="AD3716" s="144"/>
      <c r="AE3716" s="130" t="s">
        <v>228</v>
      </c>
      <c r="AF3716" s="154" t="s">
        <v>187</v>
      </c>
      <c r="AG3716" s="144"/>
      <c r="AH3716" s="130" t="s">
        <v>228</v>
      </c>
      <c r="AI3716" s="154" t="s">
        <v>187</v>
      </c>
      <c r="AJ3716" s="144"/>
      <c r="AK3716" s="130" t="s">
        <v>228</v>
      </c>
      <c r="AL3716" s="154" t="s">
        <v>187</v>
      </c>
      <c r="AM3716" s="144"/>
      <c r="AN3716" s="130" t="s">
        <v>228</v>
      </c>
      <c r="AO3716" s="154" t="s">
        <v>187</v>
      </c>
      <c r="AP3716" s="144"/>
      <c r="AQ3716" s="130" t="s">
        <v>228</v>
      </c>
      <c r="AR3716" s="154" t="s">
        <v>187</v>
      </c>
      <c r="AS3716" s="144"/>
      <c r="AT3716" s="130" t="s">
        <v>228</v>
      </c>
      <c r="AU3716" s="154" t="s">
        <v>187</v>
      </c>
    </row>
    <row r="3717" spans="13:47" x14ac:dyDescent="0.25">
      <c r="M3717" s="20"/>
      <c r="N3717" s="20"/>
      <c r="O3717" s="7" t="s">
        <v>188</v>
      </c>
      <c r="P3717" s="7"/>
      <c r="Q3717" s="7"/>
      <c r="R3717" s="181">
        <f>P_1_minW-(R3715^2*R_up)+dpup_minQ</f>
        <v>98.776904655569183</v>
      </c>
      <c r="S3717" s="132"/>
      <c r="T3717" s="145"/>
      <c r="U3717" s="138">
        <f>P_1_minW-(U3715^2*R_up)+dpup_minQ</f>
        <v>84.385466795589949</v>
      </c>
      <c r="V3717" s="132"/>
      <c r="W3717" s="145"/>
      <c r="X3717" s="138">
        <f>P_1_minW-(X3715^2*R_up)+dpup_minQ</f>
        <v>1.8218128436258065</v>
      </c>
      <c r="Y3717" s="132"/>
      <c r="Z3717" s="145"/>
      <c r="AA3717" s="138">
        <f>P_1_minW-(AA3715^2*R_up)+dpup_minQ</f>
        <v>-273.92004831516465</v>
      </c>
      <c r="AB3717" s="132"/>
      <c r="AC3717" s="145"/>
      <c r="AD3717" s="138">
        <f>P_1_minW-(AD3715^2*R_up)+dpup_minQ</f>
        <v>-912.27537183943389</v>
      </c>
      <c r="AE3717" s="132"/>
      <c r="AF3717" s="145"/>
      <c r="AG3717" s="138">
        <f>P_1_minW-(AG3715^2*R_up)+dpup_minQ</f>
        <v>-1891.8762370932286</v>
      </c>
      <c r="AH3717" s="132"/>
      <c r="AI3717" s="145"/>
      <c r="AJ3717" s="138">
        <f>P_1_minW-(AJ3715^2*R_up)+dpup_minQ</f>
        <v>-3111.6748766310129</v>
      </c>
      <c r="AK3717" s="132"/>
      <c r="AL3717" s="145"/>
      <c r="AM3717" s="138">
        <f>P_1_minW-(AM3715^2*R_up)+dpup_minQ</f>
        <v>-4316.0584481101168</v>
      </c>
      <c r="AN3717" s="132"/>
      <c r="AO3717" s="145"/>
      <c r="AP3717" s="138">
        <f>P_1_minW-(AP3715^2*R_up)+dpup_minQ</f>
        <v>-5396.8659221554472</v>
      </c>
      <c r="AQ3717" s="132"/>
      <c r="AR3717" s="145"/>
      <c r="AS3717" s="138">
        <f>P_1_minW-(AS3715^2*R_up)+dpup_minQ</f>
        <v>-6742.1641264370028</v>
      </c>
      <c r="AT3717" s="132"/>
      <c r="AU3717" s="145"/>
    </row>
    <row r="3718" spans="13:47" x14ac:dyDescent="0.25">
      <c r="M3718" s="20"/>
      <c r="N3718" s="20"/>
      <c r="O3718" s="7" t="s">
        <v>189</v>
      </c>
      <c r="P3718" s="1"/>
      <c r="Q3718" s="7"/>
      <c r="R3718" s="181">
        <f>P_2_minW+(R3715^2*R_dn)-dpdn_minQ</f>
        <v>50</v>
      </c>
      <c r="S3718" s="132"/>
      <c r="T3718" s="146"/>
      <c r="U3718" s="138">
        <f>P_2_minW+(U3715^2*R_dn)-dpdn_minQ</f>
        <v>50</v>
      </c>
      <c r="V3718" s="132"/>
      <c r="W3718" s="146"/>
      <c r="X3718" s="138">
        <f>P_2_minW+(X3715^2*R_dn)-dpdn_minQ</f>
        <v>50</v>
      </c>
      <c r="Y3718" s="132"/>
      <c r="Z3718" s="146"/>
      <c r="AA3718" s="138">
        <f>P_2_minW+(AA3715^2*R_dn)-dpdn_minQ</f>
        <v>50</v>
      </c>
      <c r="AB3718" s="132"/>
      <c r="AC3718" s="146"/>
      <c r="AD3718" s="138">
        <f>P_2_minW+(AD3715^2*R_dn)-dpdn_minQ</f>
        <v>50</v>
      </c>
      <c r="AE3718" s="132"/>
      <c r="AF3718" s="146"/>
      <c r="AG3718" s="138">
        <f>P_2_minW+(AG3715^2*R_dn)-dpdn_minQ</f>
        <v>50</v>
      </c>
      <c r="AH3718" s="132"/>
      <c r="AI3718" s="146"/>
      <c r="AJ3718" s="138">
        <f>P_2_minW+(AJ3715^2*R_dn)-dpdn_minQ</f>
        <v>50</v>
      </c>
      <c r="AK3718" s="132"/>
      <c r="AL3718" s="146"/>
      <c r="AM3718" s="138">
        <f>P_2_minW+(AM3715^2*R_dn)-dpdn_minQ</f>
        <v>50</v>
      </c>
      <c r="AN3718" s="132"/>
      <c r="AO3718" s="146"/>
      <c r="AP3718" s="138">
        <f>P_2_minW+(AP3715^2*R_dn)-dpdn_minQ</f>
        <v>50</v>
      </c>
      <c r="AQ3718" s="132"/>
      <c r="AR3718" s="146"/>
      <c r="AS3718" s="138">
        <f>P_2_minW+(AS3715^2*R_dn)-dpdn_minQ</f>
        <v>50</v>
      </c>
      <c r="AT3718" s="132"/>
      <c r="AU3718" s="146"/>
    </row>
    <row r="3719" spans="13:47" x14ac:dyDescent="0.25">
      <c r="M3719" s="20"/>
      <c r="N3719" s="20"/>
      <c r="O3719" s="7" t="s">
        <v>234</v>
      </c>
      <c r="P3719" s="1"/>
      <c r="Q3719" s="7"/>
      <c r="R3719" s="179">
        <f>'Valve Sizing'!G$8*R3717/P_1_maxW</f>
        <v>0.47648220191453294</v>
      </c>
      <c r="S3719" s="132"/>
      <c r="T3719" s="146"/>
      <c r="U3719" s="143">
        <f>'Valve Sizing'!$G$8*U3717/P_1_maxW</f>
        <v>0.40706046791557771</v>
      </c>
      <c r="V3719" s="132"/>
      <c r="W3719" s="146"/>
      <c r="X3719" s="143">
        <f>'Valve Sizing'!$G$8*X3717/P_1_maxW</f>
        <v>8.7881008038659808E-3</v>
      </c>
      <c r="Y3719" s="132"/>
      <c r="Z3719" s="146"/>
      <c r="AA3719" s="143">
        <f>'Valve Sizing'!$G$8*AA3717/P_1_maxW</f>
        <v>-1.3213415446136487</v>
      </c>
      <c r="AB3719" s="132"/>
      <c r="AC3719" s="146"/>
      <c r="AD3719" s="143">
        <f>'Valve Sizing'!$G$8*AD3717/P_1_maxW</f>
        <v>-4.4006539731344443</v>
      </c>
      <c r="AE3719" s="132"/>
      <c r="AF3719" s="146"/>
      <c r="AG3719" s="143">
        <f>'Valve Sizing'!$G$8*AG3717/P_1_maxW</f>
        <v>-9.1260741399344685</v>
      </c>
      <c r="AH3719" s="132"/>
      <c r="AI3719" s="146"/>
      <c r="AJ3719" s="143">
        <f>'Valve Sizing'!$G$8*AJ3717/P_1_maxW</f>
        <v>-15.010165605302586</v>
      </c>
      <c r="AK3719" s="132"/>
      <c r="AL3719" s="146"/>
      <c r="AM3719" s="143">
        <f>'Valve Sizing'!$G$8*AM3717/P_1_maxW</f>
        <v>-20.819897526839341</v>
      </c>
      <c r="AN3719" s="132"/>
      <c r="AO3719" s="146"/>
      <c r="AP3719" s="143">
        <f>'Valve Sizing'!$G$8*AP3717/P_1_maxW</f>
        <v>-26.033520355723642</v>
      </c>
      <c r="AQ3719" s="132"/>
      <c r="AR3719" s="146"/>
      <c r="AS3719" s="143">
        <f>'Valve Sizing'!$G$8*AS3717/P_1_maxW</f>
        <v>-32.522999377595397</v>
      </c>
      <c r="AT3719" s="132"/>
      <c r="AU3719" s="146"/>
    </row>
    <row r="3720" spans="13:47" x14ac:dyDescent="0.25">
      <c r="M3720" s="20"/>
      <c r="N3720" s="20"/>
      <c r="O3720" s="7" t="s">
        <v>190</v>
      </c>
      <c r="P3720" s="1"/>
      <c r="Q3720" s="7"/>
      <c r="R3720" s="181">
        <f>R3717-R3718</f>
        <v>48.776904655569183</v>
      </c>
      <c r="S3720" s="132"/>
      <c r="T3720" s="146"/>
      <c r="U3720" s="138">
        <f>U3717-U3718</f>
        <v>34.385466795589949</v>
      </c>
      <c r="V3720" s="132"/>
      <c r="W3720" s="146"/>
      <c r="X3720" s="138">
        <f>X3717-X3718</f>
        <v>-48.178187156374193</v>
      </c>
      <c r="Y3720" s="132"/>
      <c r="Z3720" s="146"/>
      <c r="AA3720" s="138">
        <f>AA3717-AA3718</f>
        <v>-323.92004831516465</v>
      </c>
      <c r="AB3720" s="132"/>
      <c r="AC3720" s="146"/>
      <c r="AD3720" s="138">
        <f>AD3717-AD3718</f>
        <v>-962.27537183943389</v>
      </c>
      <c r="AE3720" s="132"/>
      <c r="AF3720" s="146"/>
      <c r="AG3720" s="138">
        <f>AG3717-AG3718</f>
        <v>-1941.8762370932286</v>
      </c>
      <c r="AH3720" s="132"/>
      <c r="AI3720" s="146"/>
      <c r="AJ3720" s="138">
        <f>AJ3717-AJ3718</f>
        <v>-3161.6748766310129</v>
      </c>
      <c r="AK3720" s="132"/>
      <c r="AL3720" s="146"/>
      <c r="AM3720" s="138">
        <f>AM3717-AM3718</f>
        <v>-4366.0584481101168</v>
      </c>
      <c r="AN3720" s="132"/>
      <c r="AO3720" s="146"/>
      <c r="AP3720" s="138">
        <f>AP3717-AP3718</f>
        <v>-5446.8659221554472</v>
      </c>
      <c r="AQ3720" s="132"/>
      <c r="AR3720" s="146"/>
      <c r="AS3720" s="138">
        <f>AS3717-AS3718</f>
        <v>-6792.1641264370028</v>
      </c>
      <c r="AT3720" s="132"/>
      <c r="AU3720" s="146"/>
    </row>
    <row r="3721" spans="13:47" ht="14.5" x14ac:dyDescent="0.35">
      <c r="M3721" s="27"/>
      <c r="N3721" s="27"/>
      <c r="O3721" s="2" t="s">
        <v>191</v>
      </c>
      <c r="P3721" s="10"/>
      <c r="Q3721" s="2"/>
      <c r="R3721" s="181">
        <f>R3720/R3717</f>
        <v>0.49380879898648528</v>
      </c>
      <c r="S3721" s="132"/>
      <c r="T3721" s="146"/>
      <c r="U3721" s="138">
        <f>U3720/U3717</f>
        <v>0.40748090994013392</v>
      </c>
      <c r="V3721" s="132"/>
      <c r="W3721" s="146"/>
      <c r="X3721" s="138">
        <f>X3720/X3717</f>
        <v>-26.445190198840102</v>
      </c>
      <c r="Y3721" s="132"/>
      <c r="Z3721" s="146"/>
      <c r="AA3721" s="138">
        <f>AA3720/AA3717</f>
        <v>1.1825350145326763</v>
      </c>
      <c r="AB3721" s="132"/>
      <c r="AC3721" s="146"/>
      <c r="AD3721" s="138">
        <f>AD3720/AD3717</f>
        <v>1.0548080125183958</v>
      </c>
      <c r="AE3721" s="132"/>
      <c r="AF3721" s="146"/>
      <c r="AG3721" s="138">
        <f>AG3720/AG3717</f>
        <v>1.0264287901183338</v>
      </c>
      <c r="AH3721" s="132"/>
      <c r="AI3721" s="146"/>
      <c r="AJ3721" s="138">
        <f>AJ3720/AJ3717</f>
        <v>1.0160685167899464</v>
      </c>
      <c r="AK3721" s="132"/>
      <c r="AL3721" s="146"/>
      <c r="AM3721" s="138">
        <f>AM3720/AM3717</f>
        <v>1.0115846438599305</v>
      </c>
      <c r="AN3721" s="132"/>
      <c r="AO3721" s="146"/>
      <c r="AP3721" s="138">
        <f>AP3720/AP3717</f>
        <v>1.0092646363132236</v>
      </c>
      <c r="AQ3721" s="132"/>
      <c r="AR3721" s="146"/>
      <c r="AS3721" s="138">
        <f>AS3720/AS3717</f>
        <v>1.0074160164395796</v>
      </c>
      <c r="AT3721" s="132"/>
      <c r="AU3721" s="146"/>
    </row>
    <row r="3722" spans="13:47" x14ac:dyDescent="0.25">
      <c r="M3722" s="27"/>
      <c r="N3722" s="27"/>
      <c r="O3722" s="2" t="s">
        <v>26</v>
      </c>
      <c r="P3722" s="7">
        <v>12</v>
      </c>
      <c r="Q3722" s="2"/>
      <c r="R3722" s="181">
        <f>1-R3721/(3*F_GAMMA*R$29)</f>
        <v>0.74281871886927786</v>
      </c>
      <c r="S3722" s="133"/>
      <c r="T3722" s="146"/>
      <c r="U3722" s="138">
        <f>1-U3721/(3*F_GAMMA*U$29)</f>
        <v>0.78782599844640266</v>
      </c>
      <c r="V3722" s="133"/>
      <c r="W3722" s="146"/>
      <c r="X3722" s="138">
        <f>1-X3721/(3*F_GAMMA*X$29)</f>
        <v>14.976496431267798</v>
      </c>
      <c r="Y3722" s="133"/>
      <c r="Z3722" s="146"/>
      <c r="AA3722" s="138">
        <f>1-AA3721/(3*F_GAMMA*AA$29)</f>
        <v>0.36645136590845973</v>
      </c>
      <c r="AB3722" s="133"/>
      <c r="AC3722" s="146"/>
      <c r="AD3722" s="138">
        <f>1-AD3721/(3*F_GAMMA*AD$29)</f>
        <v>0.41938735920666215</v>
      </c>
      <c r="AE3722" s="133"/>
      <c r="AF3722" s="146"/>
      <c r="AG3722" s="138">
        <f>1-AG3721/(3*F_GAMMA*AG$29)</f>
        <v>0.40278052355092908</v>
      </c>
      <c r="AH3722" s="133"/>
      <c r="AI3722" s="146"/>
      <c r="AJ3722" s="138">
        <f>1-AJ3721/(3*F_GAMMA*AJ$29)</f>
        <v>0.36800834325143905</v>
      </c>
      <c r="AK3722" s="133"/>
      <c r="AL3722" s="146"/>
      <c r="AM3722" s="138">
        <f>1-AM3721/(3*F_GAMMA*AM$29)</f>
        <v>0.31253206644269671</v>
      </c>
      <c r="AN3722" s="133"/>
      <c r="AO3722" s="146"/>
      <c r="AP3722" s="138">
        <f>1-AP3721/(3*F_GAMMA*AP$29)</f>
        <v>0.43318507172914922</v>
      </c>
      <c r="AQ3722" s="133"/>
      <c r="AR3722" s="146"/>
      <c r="AS3722" s="138">
        <f>1-AS3721/(3*F_GAMMA*AS$29)</f>
        <v>0.14110177439521732</v>
      </c>
      <c r="AT3722" s="133"/>
      <c r="AU3722" s="146"/>
    </row>
    <row r="3723" spans="13:47" x14ac:dyDescent="0.25">
      <c r="M3723" s="27"/>
      <c r="N3723" s="27"/>
      <c r="O3723" s="2" t="s">
        <v>71</v>
      </c>
      <c r="P3723" s="85">
        <v>5</v>
      </c>
      <c r="Q3723" s="2"/>
      <c r="R3723" s="179">
        <f>R3715/((N_6*R$27*R3722)*SQRT(R3721*R3717*R3719))</f>
        <v>9.2317728578400935</v>
      </c>
      <c r="S3723" s="133"/>
      <c r="T3723" s="146"/>
      <c r="U3723" s="143">
        <f>U3715/((N_6*U$27*U3722)*SQRT(U3721*U3717*U3719))</f>
        <v>34.121600136809853</v>
      </c>
      <c r="V3723" s="133"/>
      <c r="W3723" s="146"/>
      <c r="X3723" s="143" t="e">
        <f>X3715/((N_6*X$27*X3722)*SQRT(X3721*X3717*X3719))</f>
        <v>#NUM!</v>
      </c>
      <c r="Y3723" s="133"/>
      <c r="Z3723" s="146"/>
      <c r="AA3723" s="143">
        <f>AA3715/((N_6*AA$27*AA3722)*SQRT(AA3721*AA3717*AA3719))</f>
        <v>64.411421384541242</v>
      </c>
      <c r="AB3723" s="133"/>
      <c r="AC3723" s="146"/>
      <c r="AD3723" s="143">
        <f>AD3715/((N_6*AD$27*AD3722)*SQRT(AD3721*AD3717*AD3719))</f>
        <v>29.777993052362902</v>
      </c>
      <c r="AE3723" s="133"/>
      <c r="AF3723" s="146"/>
      <c r="AG3723" s="143">
        <f>AG3715/((N_6*AG$27*AG3722)*SQRT(AG3721*AG3717*AG3719))</f>
        <v>21.7167711512122</v>
      </c>
      <c r="AH3723" s="133"/>
      <c r="AI3723" s="146"/>
      <c r="AJ3723" s="143">
        <f>AJ3715/((N_6*AJ$27*AJ3722)*SQRT(AJ3721*AJ3717*AJ3719))</f>
        <v>19.075679743306974</v>
      </c>
      <c r="AK3723" s="133"/>
      <c r="AL3723" s="146"/>
      <c r="AM3723" s="143">
        <f>AM3715/((N_6*AM$27*AM3722)*SQRT(AM3721*AM3717*AM3719))</f>
        <v>20.199313413418434</v>
      </c>
      <c r="AN3723" s="133"/>
      <c r="AO3723" s="146"/>
      <c r="AP3723" s="143">
        <f>AP3715/((N_6*AP$27*AP3722)*SQRT(AP3721*AP3717*AP3719))</f>
        <v>14.787379490313437</v>
      </c>
      <c r="AQ3723" s="133"/>
      <c r="AR3723" s="146"/>
      <c r="AS3723" s="143">
        <f>AS3715/((N_6*AS$27*AS3722)*SQRT(AS3721*AS3717*AS3719))</f>
        <v>53.320616965514567</v>
      </c>
      <c r="AT3723" s="133"/>
      <c r="AU3723" s="146"/>
    </row>
    <row r="3724" spans="13:47" x14ac:dyDescent="0.25">
      <c r="M3724" s="27"/>
      <c r="N3724" s="27"/>
      <c r="O3724" s="2" t="s">
        <v>73</v>
      </c>
      <c r="P3724" s="85">
        <v>5</v>
      </c>
      <c r="Q3724" s="2"/>
      <c r="R3724" s="179">
        <f>R3715/((N_6*R$27*0.667)*SQRT(R3725*R3717*R3719))</f>
        <v>9.0307209107854529</v>
      </c>
      <c r="S3724" s="133"/>
      <c r="T3724" s="155"/>
      <c r="U3724" s="143">
        <f>U3715/((N_6*U$27*0.667)*SQRT(U3725*U3717*U3719))</f>
        <v>32.15441219751655</v>
      </c>
      <c r="V3724" s="133"/>
      <c r="W3724" s="155"/>
      <c r="X3724" s="143">
        <f>X3715/((N_6*X$27*0.667)*SQRT(X3725*X3717*X3719))</f>
        <v>3719.1549432362208</v>
      </c>
      <c r="Y3724" s="133"/>
      <c r="Z3724" s="155"/>
      <c r="AA3724" s="143">
        <f>AA3715/((N_6*AA$27*0.667)*SQRT(AA3725*AA3717*AA3719))</f>
        <v>48.786987339323566</v>
      </c>
      <c r="AB3724" s="133"/>
      <c r="AC3724" s="155"/>
      <c r="AD3724" s="143">
        <f>AD3715/((N_6*AD$27*0.667)*SQRT(AD3725*AD3717*AD3719))</f>
        <v>24.710913321359577</v>
      </c>
      <c r="AE3724" s="133"/>
      <c r="AF3724" s="155"/>
      <c r="AG3724" s="143">
        <f>AG3715/((N_6*AG$27*0.667)*SQRT(AG3725*AG3717*AG3719))</f>
        <v>17.553571458873122</v>
      </c>
      <c r="AH3724" s="133"/>
      <c r="AI3724" s="155"/>
      <c r="AJ3724" s="143">
        <f>AJ3715/((N_6*AJ$27*0.667)*SQRT(AJ3725*AJ3717*AJ3719))</f>
        <v>14.491994259359036</v>
      </c>
      <c r="AK3724" s="133"/>
      <c r="AL3724" s="155"/>
      <c r="AM3724" s="143">
        <f>AM3715/((N_6*AM$27*0.667)*SQRT(AM3725*AM3717*AM3719))</f>
        <v>13.592276717703365</v>
      </c>
      <c r="AN3724" s="133"/>
      <c r="AO3724" s="155"/>
      <c r="AP3724" s="143">
        <f>AP3715/((N_6*AP$27*0.667)*SQRT(AP3725*AP3717*AP3719))</f>
        <v>12.523338900777066</v>
      </c>
      <c r="AQ3724" s="133"/>
      <c r="AR3724" s="155"/>
      <c r="AS3724" s="143">
        <f>AS3715/((N_6*AS$27*0.667)*SQRT(AS3725*AS3717*AS3719))</f>
        <v>18.106449066537692</v>
      </c>
      <c r="AT3724" s="133"/>
      <c r="AU3724" s="155"/>
    </row>
    <row r="3725" spans="13:47" ht="15.5" x14ac:dyDescent="0.4">
      <c r="M3725" s="27"/>
      <c r="N3725" s="27"/>
      <c r="O3725" s="2" t="s">
        <v>192</v>
      </c>
      <c r="P3725" s="85">
        <v>10</v>
      </c>
      <c r="Q3725" s="2"/>
      <c r="R3725" s="181">
        <f>F_GAMMA*R$29</f>
        <v>0.64002688015162901</v>
      </c>
      <c r="S3725" s="133"/>
      <c r="T3725" s="155"/>
      <c r="U3725" s="138">
        <f>F_GAMMA*U$29</f>
        <v>0.64016782916606918</v>
      </c>
      <c r="V3725" s="133"/>
      <c r="W3725" s="155"/>
      <c r="X3725" s="138">
        <f>F_GAMMA*X$29</f>
        <v>0.6307062319203669</v>
      </c>
      <c r="Y3725" s="133"/>
      <c r="Z3725" s="155"/>
      <c r="AA3725" s="138">
        <f>F_GAMMA*AA$29</f>
        <v>0.62217534213893466</v>
      </c>
      <c r="AB3725" s="133"/>
      <c r="AC3725" s="155"/>
      <c r="AD3725" s="138">
        <f>F_GAMMA*AD$29</f>
        <v>0.60557184969146072</v>
      </c>
      <c r="AE3725" s="133"/>
      <c r="AF3725" s="155"/>
      <c r="AG3725" s="138">
        <f>F_GAMMA*AG$29</f>
        <v>0.57289312142622573</v>
      </c>
      <c r="AH3725" s="133"/>
      <c r="AI3725" s="155"/>
      <c r="AJ3725" s="138">
        <f>F_GAMMA*AJ$29</f>
        <v>0.53590819116049981</v>
      </c>
      <c r="AK3725" s="133"/>
      <c r="AL3725" s="155"/>
      <c r="AM3725" s="138">
        <f>F_GAMMA*AM$29</f>
        <v>0.49048815926850342</v>
      </c>
      <c r="AN3725" s="133"/>
      <c r="AO3725" s="155"/>
      <c r="AP3725" s="138">
        <f>F_GAMMA*AP$29</f>
        <v>0.59352979016280105</v>
      </c>
      <c r="AQ3725" s="133"/>
      <c r="AR3725" s="155"/>
      <c r="AS3725" s="138">
        <f>F_GAMMA*AS$29</f>
        <v>0.39097221161068291</v>
      </c>
      <c r="AT3725" s="133"/>
      <c r="AU3725" s="155"/>
    </row>
    <row r="3726" spans="13:47" x14ac:dyDescent="0.25">
      <c r="M3726" s="27"/>
      <c r="N3726" s="27"/>
      <c r="O3726" s="2" t="s">
        <v>193</v>
      </c>
      <c r="P3726" s="134"/>
      <c r="Q3726" s="2"/>
      <c r="R3726" s="181">
        <f>IF(R3721&lt;R3725,R3723,R3724)</f>
        <v>9.2317728578400935</v>
      </c>
      <c r="S3726" s="133"/>
      <c r="T3726" s="155"/>
      <c r="U3726" s="138">
        <f>IF(U3721&lt;U3725,U3723,U3724)</f>
        <v>34.121600136809853</v>
      </c>
      <c r="V3726" s="133"/>
      <c r="W3726" s="155"/>
      <c r="X3726" s="138" t="e">
        <f>IF(X3721&lt;X3725,X3723,X3724)</f>
        <v>#NUM!</v>
      </c>
      <c r="Y3726" s="133"/>
      <c r="Z3726" s="155"/>
      <c r="AA3726" s="138">
        <f>IF(AA3721&lt;AA3725,AA3723,AA3724)</f>
        <v>48.786987339323566</v>
      </c>
      <c r="AB3726" s="133"/>
      <c r="AC3726" s="155"/>
      <c r="AD3726" s="138">
        <f>IF(AD3721&lt;AD3725,AD3723,AD3724)</f>
        <v>24.710913321359577</v>
      </c>
      <c r="AE3726" s="133"/>
      <c r="AF3726" s="155"/>
      <c r="AG3726" s="138">
        <f>IF(AG3721&lt;AG3725,AG3723,AG3724)</f>
        <v>17.553571458873122</v>
      </c>
      <c r="AH3726" s="133"/>
      <c r="AI3726" s="155"/>
      <c r="AJ3726" s="138">
        <f>IF(AJ3721&lt;AJ3725,AJ3723,AJ3724)</f>
        <v>14.491994259359036</v>
      </c>
      <c r="AK3726" s="133"/>
      <c r="AL3726" s="155"/>
      <c r="AM3726" s="138">
        <f>IF(AM3721&lt;AM3725,AM3723,AM3724)</f>
        <v>13.592276717703365</v>
      </c>
      <c r="AN3726" s="133"/>
      <c r="AO3726" s="155"/>
      <c r="AP3726" s="138">
        <f>IF(AP3721&lt;AP3725,AP3723,AP3724)</f>
        <v>12.523338900777066</v>
      </c>
      <c r="AQ3726" s="133"/>
      <c r="AR3726" s="155"/>
      <c r="AS3726" s="138">
        <f>IF(AS3721&lt;AS3725,AS3723,AS3724)</f>
        <v>18.106449066537692</v>
      </c>
      <c r="AT3726" s="133"/>
      <c r="AU3726" s="155"/>
    </row>
    <row r="3727" spans="13:47" ht="13" x14ac:dyDescent="0.3">
      <c r="M3727" s="28"/>
      <c r="N3727" s="28"/>
      <c r="O3727" s="9" t="s">
        <v>194</v>
      </c>
      <c r="P3727" s="1"/>
      <c r="Q3727" s="1"/>
      <c r="R3727" s="135"/>
      <c r="S3727" s="132">
        <f>IF(R3720&lt;=0,W_max,ABS(R$23-R3726))</f>
        <v>7.2317728578400935</v>
      </c>
      <c r="T3727" s="151">
        <f>R3715</f>
        <v>2092.428660634087</v>
      </c>
      <c r="U3727" s="135"/>
      <c r="V3727" s="132">
        <f>IF(U3720&lt;=0,W_max,ABS(U$23-U3726))</f>
        <v>29.121600136809853</v>
      </c>
      <c r="W3727" s="151">
        <f>U3715</f>
        <v>6361.4909106082223</v>
      </c>
      <c r="X3727" s="135"/>
      <c r="Y3727" s="132">
        <f>IF(X3720&lt;=0,W_max,ABS(X$23-X3726))</f>
        <v>7174</v>
      </c>
      <c r="Z3727" s="151">
        <f>X3715</f>
        <v>15732.724048226555</v>
      </c>
      <c r="AA3727" s="135"/>
      <c r="AB3727" s="132">
        <f>IF(AA3720&lt;=0,W_max,ABS(AA$23-AA3726))</f>
        <v>7174</v>
      </c>
      <c r="AC3727" s="151">
        <f>AA3715</f>
        <v>30643.330740292586</v>
      </c>
      <c r="AD3727" s="135"/>
      <c r="AE3727" s="132">
        <f>IF(AD3720&lt;=0,W_max,ABS(AD$23-AD3726))</f>
        <v>7174</v>
      </c>
      <c r="AF3727" s="151">
        <f>AD3715</f>
        <v>50396.996862772059</v>
      </c>
      <c r="AG3727" s="135"/>
      <c r="AH3727" s="132">
        <f>IF(AG3720&lt;=0,W_max,ABS(AG$23-AG3726))</f>
        <v>7174</v>
      </c>
      <c r="AI3727" s="151">
        <f>AG3715</f>
        <v>70685.667971784205</v>
      </c>
      <c r="AJ3727" s="135"/>
      <c r="AK3727" s="132">
        <f>IF(AJ3720&lt;=0,W_max,ABS(AJ$23-AJ3726))</f>
        <v>7174</v>
      </c>
      <c r="AL3727" s="151">
        <f>AJ3715</f>
        <v>89752.041778397019</v>
      </c>
      <c r="AM3727" s="135"/>
      <c r="AN3727" s="132">
        <f>IF(AM3720&lt;=0,W_max,ABS(AM$23-AM3726))</f>
        <v>7174</v>
      </c>
      <c r="AO3727" s="151">
        <f>AM3715</f>
        <v>105241.32752764794</v>
      </c>
      <c r="AP3727" s="135"/>
      <c r="AQ3727" s="132">
        <f>IF(AP3720&lt;=0,W_max,ABS(AP$23-AP3726))</f>
        <v>7174</v>
      </c>
      <c r="AR3727" s="151">
        <f>AP3715</f>
        <v>117414.41788363406</v>
      </c>
      <c r="AS3727" s="135"/>
      <c r="AT3727" s="132">
        <f>IF(AS3720&lt;=0,W_max,ABS(AS$23-AS3726))</f>
        <v>7174</v>
      </c>
      <c r="AU3727" s="151">
        <f>AS3715</f>
        <v>130995.5494749046</v>
      </c>
    </row>
    <row r="3728" spans="13:47" ht="13" x14ac:dyDescent="0.25">
      <c r="M3728" s="12"/>
      <c r="N3728" s="12"/>
      <c r="O3728" s="2"/>
      <c r="P3728" s="85"/>
      <c r="Q3728" s="2"/>
      <c r="R3728" s="18"/>
      <c r="S3728" s="150"/>
      <c r="T3728" s="148"/>
      <c r="U3728" s="157"/>
      <c r="V3728" s="1"/>
      <c r="W3728" s="147"/>
      <c r="X3728" s="157"/>
      <c r="Y3728" s="1"/>
      <c r="Z3728" s="147"/>
      <c r="AA3728" s="157"/>
      <c r="AB3728" s="1"/>
      <c r="AC3728" s="147"/>
      <c r="AD3728" s="157"/>
      <c r="AE3728" s="1"/>
      <c r="AF3728" s="147"/>
      <c r="AG3728" s="157"/>
      <c r="AH3728" s="1"/>
      <c r="AI3728" s="147"/>
      <c r="AJ3728" s="157"/>
      <c r="AK3728" s="1"/>
      <c r="AL3728" s="147"/>
      <c r="AM3728" s="157"/>
      <c r="AN3728" s="1"/>
      <c r="AO3728" s="147"/>
      <c r="AP3728" s="157"/>
      <c r="AQ3728" s="1"/>
      <c r="AR3728" s="147"/>
      <c r="AS3728" s="157"/>
      <c r="AT3728" s="1"/>
      <c r="AU3728" s="147"/>
    </row>
    <row r="3729" spans="13:47" ht="14" x14ac:dyDescent="0.3">
      <c r="M3729" s="23"/>
      <c r="N3729" s="23"/>
      <c r="O3729" s="23" t="s">
        <v>238</v>
      </c>
      <c r="P3729" s="20"/>
      <c r="Q3729" s="20"/>
      <c r="R3729" s="181">
        <f>R3715*1.02</f>
        <v>2134.2772338467689</v>
      </c>
      <c r="S3729" s="128" t="s">
        <v>185</v>
      </c>
      <c r="T3729" s="149" t="s">
        <v>186</v>
      </c>
      <c r="U3729" s="143">
        <f>U3715*1.01</f>
        <v>6425.1058197143047</v>
      </c>
      <c r="V3729" s="128" t="s">
        <v>185</v>
      </c>
      <c r="W3729" s="153" t="s">
        <v>186</v>
      </c>
      <c r="X3729" s="143">
        <f>X3715*1.01</f>
        <v>15890.051288708821</v>
      </c>
      <c r="Y3729" s="128" t="s">
        <v>185</v>
      </c>
      <c r="Z3729" s="153" t="s">
        <v>186</v>
      </c>
      <c r="AA3729" s="143">
        <f>AA3715*1.01</f>
        <v>30949.764047695513</v>
      </c>
      <c r="AB3729" s="128" t="s">
        <v>185</v>
      </c>
      <c r="AC3729" s="153" t="s">
        <v>186</v>
      </c>
      <c r="AD3729" s="143">
        <f>AD3715*1.01</f>
        <v>50900.966831399783</v>
      </c>
      <c r="AE3729" s="128" t="s">
        <v>185</v>
      </c>
      <c r="AF3729" s="153" t="s">
        <v>186</v>
      </c>
      <c r="AG3729" s="143">
        <f>AG3715*1.01</f>
        <v>71392.524651502041</v>
      </c>
      <c r="AH3729" s="128" t="s">
        <v>185</v>
      </c>
      <c r="AI3729" s="153" t="s">
        <v>186</v>
      </c>
      <c r="AJ3729" s="143">
        <f>AJ3715*1.01</f>
        <v>90649.562196180996</v>
      </c>
      <c r="AK3729" s="128" t="s">
        <v>185</v>
      </c>
      <c r="AL3729" s="153" t="s">
        <v>186</v>
      </c>
      <c r="AM3729" s="143">
        <f>AM3715*1.01</f>
        <v>106293.74080292443</v>
      </c>
      <c r="AN3729" s="128" t="s">
        <v>185</v>
      </c>
      <c r="AO3729" s="153" t="s">
        <v>186</v>
      </c>
      <c r="AP3729" s="143">
        <f>AP3715*1.01</f>
        <v>118588.5620624704</v>
      </c>
      <c r="AQ3729" s="128" t="s">
        <v>185</v>
      </c>
      <c r="AR3729" s="153" t="s">
        <v>186</v>
      </c>
      <c r="AS3729" s="143">
        <f>AS3715*1.01</f>
        <v>132305.50496965364</v>
      </c>
      <c r="AT3729" s="128" t="s">
        <v>185</v>
      </c>
      <c r="AU3729" s="153" t="s">
        <v>186</v>
      </c>
    </row>
    <row r="3730" spans="13:47" ht="14" x14ac:dyDescent="0.3">
      <c r="M3730" s="12"/>
      <c r="N3730" s="12"/>
      <c r="O3730" s="20"/>
      <c r="P3730" s="20"/>
      <c r="Q3730" s="23"/>
      <c r="R3730" s="139"/>
      <c r="S3730" s="130" t="s">
        <v>228</v>
      </c>
      <c r="T3730" s="131" t="s">
        <v>187</v>
      </c>
      <c r="U3730" s="144"/>
      <c r="V3730" s="130" t="s">
        <v>228</v>
      </c>
      <c r="W3730" s="154" t="s">
        <v>187</v>
      </c>
      <c r="X3730" s="144"/>
      <c r="Y3730" s="130" t="s">
        <v>228</v>
      </c>
      <c r="Z3730" s="154" t="s">
        <v>187</v>
      </c>
      <c r="AA3730" s="144"/>
      <c r="AB3730" s="130" t="s">
        <v>228</v>
      </c>
      <c r="AC3730" s="154" t="s">
        <v>187</v>
      </c>
      <c r="AD3730" s="144"/>
      <c r="AE3730" s="130" t="s">
        <v>228</v>
      </c>
      <c r="AF3730" s="154" t="s">
        <v>187</v>
      </c>
      <c r="AG3730" s="144"/>
      <c r="AH3730" s="130" t="s">
        <v>228</v>
      </c>
      <c r="AI3730" s="154" t="s">
        <v>187</v>
      </c>
      <c r="AJ3730" s="144"/>
      <c r="AK3730" s="130" t="s">
        <v>228</v>
      </c>
      <c r="AL3730" s="154" t="s">
        <v>187</v>
      </c>
      <c r="AM3730" s="144"/>
      <c r="AN3730" s="130" t="s">
        <v>228</v>
      </c>
      <c r="AO3730" s="154" t="s">
        <v>187</v>
      </c>
      <c r="AP3730" s="144"/>
      <c r="AQ3730" s="130" t="s">
        <v>228</v>
      </c>
      <c r="AR3730" s="154" t="s">
        <v>187</v>
      </c>
      <c r="AS3730" s="144"/>
      <c r="AT3730" s="130" t="s">
        <v>228</v>
      </c>
      <c r="AU3730" s="154" t="s">
        <v>187</v>
      </c>
    </row>
    <row r="3731" spans="13:47" x14ac:dyDescent="0.25">
      <c r="M3731" s="20"/>
      <c r="N3731" s="20"/>
      <c r="O3731" s="7" t="s">
        <v>188</v>
      </c>
      <c r="P3731" s="7"/>
      <c r="Q3731" s="7"/>
      <c r="R3731" s="181">
        <f>P_1_minW-(R3729^2*R_up)+dpup_minQ</f>
        <v>98.706371019490419</v>
      </c>
      <c r="S3731" s="132"/>
      <c r="T3731" s="145"/>
      <c r="U3731" s="138">
        <f>P_1_minW-(U3729^2*R_up)+dpup_minQ</f>
        <v>84.061106664773092</v>
      </c>
      <c r="V3731" s="132"/>
      <c r="W3731" s="145"/>
      <c r="X3731" s="138">
        <f>P_1_minW-(X3729^2*R_up)+dpup_minQ</f>
        <v>-0.16207673162550462</v>
      </c>
      <c r="Y3731" s="132"/>
      <c r="Z3731" s="145"/>
      <c r="AA3731" s="138">
        <f>P_1_minW-(AA3729^2*R_up)+dpup_minQ</f>
        <v>-281.44634929970772</v>
      </c>
      <c r="AB3731" s="132"/>
      <c r="AC3731" s="145"/>
      <c r="AD3731" s="138">
        <f>P_1_minW-(AD3729^2*R_up)+dpup_minQ</f>
        <v>-932.6326148268148</v>
      </c>
      <c r="AE3731" s="132"/>
      <c r="AF3731" s="145"/>
      <c r="AG3731" s="138">
        <f>P_1_minW-(AG3729^2*R_up)+dpup_minQ</f>
        <v>-1931.9234574722107</v>
      </c>
      <c r="AH3731" s="132"/>
      <c r="AI3731" s="145"/>
      <c r="AJ3731" s="138">
        <f>P_1_minW-(AJ3729^2*R_up)+dpup_minQ</f>
        <v>-3176.2400496647047</v>
      </c>
      <c r="AK3731" s="132"/>
      <c r="AL3731" s="145"/>
      <c r="AM3731" s="138">
        <f>P_1_minW-(AM3729^2*R_up)+dpup_minQ</f>
        <v>-4404.8317309305385</v>
      </c>
      <c r="AN3731" s="132"/>
      <c r="AO3731" s="145"/>
      <c r="AP3731" s="138">
        <f>P_1_minW-(AP3729^2*R_up)+dpup_minQ</f>
        <v>-5507.36343520418</v>
      </c>
      <c r="AQ3731" s="132"/>
      <c r="AR3731" s="145"/>
      <c r="AS3731" s="138">
        <f>P_1_minW-(AS3729^2*R_up)+dpup_minQ</f>
        <v>-6879.7021333917937</v>
      </c>
      <c r="AT3731" s="132"/>
      <c r="AU3731" s="145"/>
    </row>
    <row r="3732" spans="13:47" x14ac:dyDescent="0.25">
      <c r="M3732" s="20"/>
      <c r="N3732" s="20"/>
      <c r="O3732" s="7" t="s">
        <v>189</v>
      </c>
      <c r="P3732" s="1"/>
      <c r="Q3732" s="7"/>
      <c r="R3732" s="181">
        <f>P_2_minW+(R3729^2*R_dn)-dpdn_minQ</f>
        <v>50</v>
      </c>
      <c r="S3732" s="132"/>
      <c r="T3732" s="146"/>
      <c r="U3732" s="138">
        <f>P_2_minW+(U3729^2*R_dn)-dpdn_minQ</f>
        <v>50</v>
      </c>
      <c r="V3732" s="132"/>
      <c r="W3732" s="146"/>
      <c r="X3732" s="138">
        <f>P_2_minW+(X3729^2*R_dn)-dpdn_minQ</f>
        <v>50</v>
      </c>
      <c r="Y3732" s="132"/>
      <c r="Z3732" s="146"/>
      <c r="AA3732" s="138">
        <f>P_2_minW+(AA3729^2*R_dn)-dpdn_minQ</f>
        <v>50</v>
      </c>
      <c r="AB3732" s="132"/>
      <c r="AC3732" s="146"/>
      <c r="AD3732" s="138">
        <f>P_2_minW+(AD3729^2*R_dn)-dpdn_minQ</f>
        <v>50</v>
      </c>
      <c r="AE3732" s="132"/>
      <c r="AF3732" s="146"/>
      <c r="AG3732" s="138">
        <f>P_2_minW+(AG3729^2*R_dn)-dpdn_minQ</f>
        <v>50</v>
      </c>
      <c r="AH3732" s="132"/>
      <c r="AI3732" s="146"/>
      <c r="AJ3732" s="138">
        <f>P_2_minW+(AJ3729^2*R_dn)-dpdn_minQ</f>
        <v>50</v>
      </c>
      <c r="AK3732" s="132"/>
      <c r="AL3732" s="146"/>
      <c r="AM3732" s="138">
        <f>P_2_minW+(AM3729^2*R_dn)-dpdn_minQ</f>
        <v>50</v>
      </c>
      <c r="AN3732" s="132"/>
      <c r="AO3732" s="146"/>
      <c r="AP3732" s="138">
        <f>P_2_minW+(AP3729^2*R_dn)-dpdn_minQ</f>
        <v>50</v>
      </c>
      <c r="AQ3732" s="132"/>
      <c r="AR3732" s="146"/>
      <c r="AS3732" s="138">
        <f>P_2_minW+(AS3729^2*R_dn)-dpdn_minQ</f>
        <v>50</v>
      </c>
      <c r="AT3732" s="132"/>
      <c r="AU3732" s="146"/>
    </row>
    <row r="3733" spans="13:47" x14ac:dyDescent="0.25">
      <c r="M3733" s="20"/>
      <c r="N3733" s="20"/>
      <c r="O3733" s="7" t="s">
        <v>234</v>
      </c>
      <c r="P3733" s="1"/>
      <c r="Q3733" s="7"/>
      <c r="R3733" s="179">
        <f>'Valve Sizing'!G$8*R3731/P_1_maxW</f>
        <v>0.47614196021182886</v>
      </c>
      <c r="S3733" s="132"/>
      <c r="T3733" s="146"/>
      <c r="U3733" s="143">
        <f>'Valve Sizing'!$G$8*U3731/P_1_maxW</f>
        <v>0.40549581239327914</v>
      </c>
      <c r="V3733" s="132"/>
      <c r="W3733" s="146"/>
      <c r="X3733" s="143">
        <f>'Valve Sizing'!$G$8*X3731/P_1_maxW</f>
        <v>-7.818292973779383E-4</v>
      </c>
      <c r="Y3733" s="132"/>
      <c r="Z3733" s="146"/>
      <c r="AA3733" s="143">
        <f>'Valve Sizing'!$G$8*AA3731/P_1_maxW</f>
        <v>-1.3576470805877849</v>
      </c>
      <c r="AB3733" s="132"/>
      <c r="AC3733" s="146"/>
      <c r="AD3733" s="143">
        <f>'Valve Sizing'!$G$8*AD3731/P_1_maxW</f>
        <v>-4.4988536889218489</v>
      </c>
      <c r="AE3733" s="132"/>
      <c r="AF3733" s="146"/>
      <c r="AG3733" s="143">
        <f>'Valve Sizing'!$G$8*AG3731/P_1_maxW</f>
        <v>-9.3192548010745533</v>
      </c>
      <c r="AH3733" s="132"/>
      <c r="AI3733" s="146"/>
      <c r="AJ3733" s="143">
        <f>'Valve Sizing'!$G$8*AJ3731/P_1_maxW</f>
        <v>-15.321616504896571</v>
      </c>
      <c r="AK3733" s="132"/>
      <c r="AL3733" s="146"/>
      <c r="AM3733" s="143">
        <f>'Valve Sizing'!$G$8*AM3731/P_1_maxW</f>
        <v>-21.248124038056211</v>
      </c>
      <c r="AN3733" s="132"/>
      <c r="AO3733" s="146"/>
      <c r="AP3733" s="143">
        <f>'Valve Sizing'!$G$8*AP3731/P_1_maxW</f>
        <v>-26.56654068580109</v>
      </c>
      <c r="AQ3733" s="132"/>
      <c r="AR3733" s="146"/>
      <c r="AS3733" s="143">
        <f>'Valve Sizing'!$G$8*AS3731/P_1_maxW</f>
        <v>-33.186458236012456</v>
      </c>
      <c r="AT3733" s="132"/>
      <c r="AU3733" s="146"/>
    </row>
    <row r="3734" spans="13:47" x14ac:dyDescent="0.25">
      <c r="M3734" s="20"/>
      <c r="N3734" s="20"/>
      <c r="O3734" s="7" t="s">
        <v>190</v>
      </c>
      <c r="P3734" s="1"/>
      <c r="Q3734" s="7"/>
      <c r="R3734" s="181">
        <f>R3731-R3732</f>
        <v>48.706371019490419</v>
      </c>
      <c r="S3734" s="132"/>
      <c r="T3734" s="146"/>
      <c r="U3734" s="138">
        <f>U3731-U3732</f>
        <v>34.061106664773092</v>
      </c>
      <c r="V3734" s="132"/>
      <c r="W3734" s="146"/>
      <c r="X3734" s="138">
        <f>X3731-X3732</f>
        <v>-50.162076731625504</v>
      </c>
      <c r="Y3734" s="132"/>
      <c r="Z3734" s="146"/>
      <c r="AA3734" s="138">
        <f>AA3731-AA3732</f>
        <v>-331.44634929970772</v>
      </c>
      <c r="AB3734" s="132"/>
      <c r="AC3734" s="146"/>
      <c r="AD3734" s="138">
        <f>AD3731-AD3732</f>
        <v>-982.6326148268148</v>
      </c>
      <c r="AE3734" s="132"/>
      <c r="AF3734" s="146"/>
      <c r="AG3734" s="138">
        <f>AG3731-AG3732</f>
        <v>-1981.9234574722107</v>
      </c>
      <c r="AH3734" s="132"/>
      <c r="AI3734" s="146"/>
      <c r="AJ3734" s="138">
        <f>AJ3731-AJ3732</f>
        <v>-3226.2400496647047</v>
      </c>
      <c r="AK3734" s="132"/>
      <c r="AL3734" s="146"/>
      <c r="AM3734" s="138">
        <f>AM3731-AM3732</f>
        <v>-4454.8317309305385</v>
      </c>
      <c r="AN3734" s="132"/>
      <c r="AO3734" s="146"/>
      <c r="AP3734" s="138">
        <f>AP3731-AP3732</f>
        <v>-5557.36343520418</v>
      </c>
      <c r="AQ3734" s="132"/>
      <c r="AR3734" s="146"/>
      <c r="AS3734" s="138">
        <f>AS3731-AS3732</f>
        <v>-6929.7021333917937</v>
      </c>
      <c r="AT3734" s="132"/>
      <c r="AU3734" s="146"/>
    </row>
    <row r="3735" spans="13:47" ht="14.5" x14ac:dyDescent="0.35">
      <c r="M3735" s="27"/>
      <c r="N3735" s="27"/>
      <c r="O3735" s="2" t="s">
        <v>191</v>
      </c>
      <c r="P3735" s="10"/>
      <c r="Q3735" s="2"/>
      <c r="R3735" s="181">
        <f>R3734/R3731</f>
        <v>0.49344708468588039</v>
      </c>
      <c r="S3735" s="132"/>
      <c r="T3735" s="146"/>
      <c r="U3735" s="138">
        <f>U3734/U3731</f>
        <v>0.40519460207210006</v>
      </c>
      <c r="V3735" s="132"/>
      <c r="W3735" s="146"/>
      <c r="X3735" s="138">
        <f>X3734/X3731</f>
        <v>309.49585562676742</v>
      </c>
      <c r="Y3735" s="132"/>
      <c r="Z3735" s="146"/>
      <c r="AA3735" s="138">
        <f>AA3734/AA3731</f>
        <v>1.1776537522139106</v>
      </c>
      <c r="AB3735" s="132"/>
      <c r="AC3735" s="146"/>
      <c r="AD3735" s="138">
        <f>AD3734/AD3731</f>
        <v>1.0536116786021736</v>
      </c>
      <c r="AE3735" s="132"/>
      <c r="AF3735" s="146"/>
      <c r="AG3735" s="138">
        <f>AG3734/AG3731</f>
        <v>1.0258809425428383</v>
      </c>
      <c r="AH3735" s="132"/>
      <c r="AI3735" s="146"/>
      <c r="AJ3735" s="138">
        <f>AJ3734/AJ3731</f>
        <v>1.0157418832387302</v>
      </c>
      <c r="AK3735" s="132"/>
      <c r="AL3735" s="146"/>
      <c r="AM3735" s="138">
        <f>AM3734/AM3731</f>
        <v>1.0113511714077299</v>
      </c>
      <c r="AN3735" s="132"/>
      <c r="AO3735" s="146"/>
      <c r="AP3735" s="138">
        <f>AP3734/AP3731</f>
        <v>1.0090787543964121</v>
      </c>
      <c r="AQ3735" s="132"/>
      <c r="AR3735" s="146"/>
      <c r="AS3735" s="138">
        <f>AS3734/AS3731</f>
        <v>1.0072677565148229</v>
      </c>
      <c r="AT3735" s="132"/>
      <c r="AU3735" s="146"/>
    </row>
    <row r="3736" spans="13:47" x14ac:dyDescent="0.25">
      <c r="M3736" s="27"/>
      <c r="N3736" s="27"/>
      <c r="O3736" s="2" t="s">
        <v>26</v>
      </c>
      <c r="P3736" s="7">
        <v>12</v>
      </c>
      <c r="Q3736" s="2"/>
      <c r="R3736" s="181">
        <f>1-R3735/(3*F_GAMMA*R$29)</f>
        <v>0.74300710382196367</v>
      </c>
      <c r="S3736" s="133"/>
      <c r="T3736" s="146"/>
      <c r="U3736" s="138">
        <f>1-U3735/(3*F_GAMMA*U$29)</f>
        <v>0.78901647161290134</v>
      </c>
      <c r="V3736" s="133"/>
      <c r="W3736" s="146"/>
      <c r="X3736" s="138">
        <f>1-X3735/(3*F_GAMMA*X$29)</f>
        <v>-162.57105731269854</v>
      </c>
      <c r="Y3736" s="133"/>
      <c r="Z3736" s="146"/>
      <c r="AA3736" s="138">
        <f>1-AA3735/(3*F_GAMMA*AA$29)</f>
        <v>0.36906652489884173</v>
      </c>
      <c r="AB3736" s="133"/>
      <c r="AC3736" s="146"/>
      <c r="AD3736" s="138">
        <f>1-AD3735/(3*F_GAMMA*AD$29)</f>
        <v>0.4200458739184626</v>
      </c>
      <c r="AE3736" s="133"/>
      <c r="AF3736" s="146"/>
      <c r="AG3736" s="138">
        <f>1-AG3735/(3*F_GAMMA*AG$29)</f>
        <v>0.40309928433137587</v>
      </c>
      <c r="AH3736" s="133"/>
      <c r="AI3736" s="146"/>
      <c r="AJ3736" s="138">
        <f>1-AJ3735/(3*F_GAMMA*AJ$29)</f>
        <v>0.36821150836852679</v>
      </c>
      <c r="AK3736" s="133"/>
      <c r="AL3736" s="146"/>
      <c r="AM3736" s="138">
        <f>1-AM3735/(3*F_GAMMA*AM$29)</f>
        <v>0.31269073316943208</v>
      </c>
      <c r="AN3736" s="133"/>
      <c r="AO3736" s="146"/>
      <c r="AP3736" s="138">
        <f>1-AP3735/(3*F_GAMMA*AP$29)</f>
        <v>0.43328946520688882</v>
      </c>
      <c r="AQ3736" s="133"/>
      <c r="AR3736" s="146"/>
      <c r="AS3736" s="138">
        <f>1-AS3735/(3*F_GAMMA*AS$29)</f>
        <v>0.14122817717641567</v>
      </c>
      <c r="AT3736" s="133"/>
      <c r="AU3736" s="146"/>
    </row>
    <row r="3737" spans="13:47" x14ac:dyDescent="0.25">
      <c r="M3737" s="27"/>
      <c r="N3737" s="27"/>
      <c r="O3737" s="2" t="s">
        <v>71</v>
      </c>
      <c r="P3737" s="85">
        <v>5</v>
      </c>
      <c r="Q3737" s="2"/>
      <c r="R3737" s="179">
        <f>R3729/((N_6*R$27*R3736)*SQRT(R3735*R3731*R3733))</f>
        <v>9.4242001557284762</v>
      </c>
      <c r="S3737" s="133"/>
      <c r="T3737" s="146"/>
      <c r="U3737" s="143">
        <f>U3729/((N_6*U$27*U3736)*SQRT(U3735*U3731*U3733))</f>
        <v>34.640915719048579</v>
      </c>
      <c r="V3737" s="133"/>
      <c r="W3737" s="146"/>
      <c r="X3737" s="143">
        <f>X3729/((N_6*X$27*X3736)*SQRT(X3735*X3731*X3733))</f>
        <v>-7.8201931652237473</v>
      </c>
      <c r="Y3737" s="133"/>
      <c r="Z3737" s="146"/>
      <c r="AA3737" s="143">
        <f>AA3729/((N_6*AA$27*AA3736)*SQRT(AA3735*AA3731*AA3733))</f>
        <v>62.997358579550699</v>
      </c>
      <c r="AB3737" s="133"/>
      <c r="AC3737" s="146"/>
      <c r="AD3737" s="143">
        <f>AD3729/((N_6*AD$27*AD3736)*SQRT(AD3735*AD3731*AD3733))</f>
        <v>29.389837514176854</v>
      </c>
      <c r="AE3737" s="133"/>
      <c r="AF3737" s="146"/>
      <c r="AG3737" s="143">
        <f>AG3729/((N_6*AG$27*AG3736)*SQRT(AG3735*AG3731*AG3733))</f>
        <v>21.468010625308999</v>
      </c>
      <c r="AH3737" s="133"/>
      <c r="AI3737" s="146"/>
      <c r="AJ3737" s="143">
        <f>AJ3729/((N_6*AJ$27*AJ3736)*SQRT(AJ3735*AJ3731*AJ3733))</f>
        <v>18.867415604858756</v>
      </c>
      <c r="AK3737" s="133"/>
      <c r="AL3737" s="146"/>
      <c r="AM3737" s="143">
        <f>AM3729/((N_6*AM$27*AM3736)*SQRT(AM3735*AM3731*AM3733))</f>
        <v>19.982309072354965</v>
      </c>
      <c r="AN3737" s="133"/>
      <c r="AO3737" s="146"/>
      <c r="AP3737" s="143">
        <f>AP3729/((N_6*AP$27*AP3736)*SQRT(AP3735*AP3731*AP3733))</f>
        <v>14.633419833790448</v>
      </c>
      <c r="AQ3737" s="133"/>
      <c r="AR3737" s="146"/>
      <c r="AS3737" s="143">
        <f>AS3729/((N_6*AS$27*AS3736)*SQRT(AS3735*AS3731*AS3733))</f>
        <v>52.733828926431848</v>
      </c>
      <c r="AT3737" s="133"/>
      <c r="AU3737" s="146"/>
    </row>
    <row r="3738" spans="13:47" x14ac:dyDescent="0.25">
      <c r="M3738" s="27"/>
      <c r="N3738" s="27"/>
      <c r="O3738" s="2" t="s">
        <v>73</v>
      </c>
      <c r="P3738" s="85">
        <v>5</v>
      </c>
      <c r="Q3738" s="2"/>
      <c r="R3738" s="179">
        <f>R3729/((N_6*R$27*0.667)*SQRT(R3739*R3731*R3733))</f>
        <v>9.2179175684978105</v>
      </c>
      <c r="S3738" s="133"/>
      <c r="T3738" s="147"/>
      <c r="U3738" s="143">
        <f>U3729/((N_6*U$27*0.667)*SQRT(U3739*U3731*U3733))</f>
        <v>32.601268795833491</v>
      </c>
      <c r="V3738" s="133"/>
      <c r="W3738" s="155"/>
      <c r="X3738" s="143">
        <f>X3729/((N_6*X$27*0.667)*SQRT(X3739*X3731*X3733))</f>
        <v>42222.9657324574</v>
      </c>
      <c r="Y3738" s="133"/>
      <c r="Z3738" s="155"/>
      <c r="AA3738" s="143">
        <f>AA3729/((N_6*AA$27*0.667)*SQRT(AA3739*AA3731*AA3733))</f>
        <v>47.957173017217187</v>
      </c>
      <c r="AB3738" s="133"/>
      <c r="AC3738" s="155"/>
      <c r="AD3738" s="143">
        <f>AD3729/((N_6*AD$27*0.667)*SQRT(AD3739*AD3731*AD3733))</f>
        <v>24.413245744521486</v>
      </c>
      <c r="AE3738" s="133"/>
      <c r="AF3738" s="155"/>
      <c r="AG3738" s="143">
        <f>AG3729/((N_6*AG$27*0.667)*SQRT(AG3739*AG3731*AG3733))</f>
        <v>17.361597032543944</v>
      </c>
      <c r="AH3738" s="133"/>
      <c r="AI3738" s="155"/>
      <c r="AJ3738" s="143">
        <f>AJ3729/((N_6*AJ$27*0.667)*SQRT(AJ3739*AJ3731*AJ3733))</f>
        <v>14.339381621495386</v>
      </c>
      <c r="AK3738" s="133"/>
      <c r="AL3738" s="155"/>
      <c r="AM3738" s="143">
        <f>AM3729/((N_6*AM$27*0.667)*SQRT(AM3739*AM3731*AM3733))</f>
        <v>13.451526637895393</v>
      </c>
      <c r="AN3738" s="133"/>
      <c r="AO3738" s="155"/>
      <c r="AP3738" s="143">
        <f>AP3729/((N_6*AP$27*0.667)*SQRT(AP3739*AP3731*AP3733))</f>
        <v>12.394796449842195</v>
      </c>
      <c r="AQ3738" s="133"/>
      <c r="AR3738" s="155"/>
      <c r="AS3738" s="143">
        <f>AS3729/((N_6*AS$27*0.667)*SQRT(AS3739*AS3731*AS3733))</f>
        <v>17.92191223929014</v>
      </c>
      <c r="AT3738" s="133"/>
      <c r="AU3738" s="155"/>
    </row>
    <row r="3739" spans="13:47" ht="15.5" x14ac:dyDescent="0.4">
      <c r="M3739" s="27"/>
      <c r="N3739" s="27"/>
      <c r="O3739" s="2" t="s">
        <v>192</v>
      </c>
      <c r="P3739" s="85">
        <v>10</v>
      </c>
      <c r="Q3739" s="2"/>
      <c r="R3739" s="181">
        <f>F_GAMMA*R$29</f>
        <v>0.64002688015162901</v>
      </c>
      <c r="S3739" s="133"/>
      <c r="T3739" s="147"/>
      <c r="U3739" s="138">
        <f>F_GAMMA*U$29</f>
        <v>0.64016782916606918</v>
      </c>
      <c r="V3739" s="133"/>
      <c r="W3739" s="155"/>
      <c r="X3739" s="138">
        <f>F_GAMMA*X$29</f>
        <v>0.6307062319203669</v>
      </c>
      <c r="Y3739" s="133"/>
      <c r="Z3739" s="155"/>
      <c r="AA3739" s="138">
        <f>F_GAMMA*AA$29</f>
        <v>0.62217534213893466</v>
      </c>
      <c r="AB3739" s="133"/>
      <c r="AC3739" s="155"/>
      <c r="AD3739" s="138">
        <f>F_GAMMA*AD$29</f>
        <v>0.60557184969146072</v>
      </c>
      <c r="AE3739" s="133"/>
      <c r="AF3739" s="155"/>
      <c r="AG3739" s="138">
        <f>F_GAMMA*AG$29</f>
        <v>0.57289312142622573</v>
      </c>
      <c r="AH3739" s="133"/>
      <c r="AI3739" s="155"/>
      <c r="AJ3739" s="138">
        <f>F_GAMMA*AJ$29</f>
        <v>0.53590819116049981</v>
      </c>
      <c r="AK3739" s="133"/>
      <c r="AL3739" s="155"/>
      <c r="AM3739" s="138">
        <f>F_GAMMA*AM$29</f>
        <v>0.49048815926850342</v>
      </c>
      <c r="AN3739" s="133"/>
      <c r="AO3739" s="155"/>
      <c r="AP3739" s="138">
        <f>F_GAMMA*AP$29</f>
        <v>0.59352979016280105</v>
      </c>
      <c r="AQ3739" s="133"/>
      <c r="AR3739" s="155"/>
      <c r="AS3739" s="138">
        <f>F_GAMMA*AS$29</f>
        <v>0.39097221161068291</v>
      </c>
      <c r="AT3739" s="133"/>
      <c r="AU3739" s="155"/>
    </row>
    <row r="3740" spans="13:47" x14ac:dyDescent="0.25">
      <c r="M3740" s="27"/>
      <c r="N3740" s="27"/>
      <c r="O3740" s="2" t="s">
        <v>193</v>
      </c>
      <c r="P3740" s="134"/>
      <c r="Q3740" s="2"/>
      <c r="R3740" s="181">
        <f>IF(R3735&lt;R3739,R3737,R3738)</f>
        <v>9.4242001557284762</v>
      </c>
      <c r="S3740" s="133"/>
      <c r="T3740" s="147"/>
      <c r="U3740" s="138">
        <f>IF(U3735&lt;U3739,U3737,U3738)</f>
        <v>34.640915719048579</v>
      </c>
      <c r="V3740" s="133"/>
      <c r="W3740" s="155"/>
      <c r="X3740" s="138">
        <f>IF(X3735&lt;X3739,X3737,X3738)</f>
        <v>42222.9657324574</v>
      </c>
      <c r="Y3740" s="133"/>
      <c r="Z3740" s="155"/>
      <c r="AA3740" s="138">
        <f>IF(AA3735&lt;AA3739,AA3737,AA3738)</f>
        <v>47.957173017217187</v>
      </c>
      <c r="AB3740" s="133"/>
      <c r="AC3740" s="155"/>
      <c r="AD3740" s="138">
        <f>IF(AD3735&lt;AD3739,AD3737,AD3738)</f>
        <v>24.413245744521486</v>
      </c>
      <c r="AE3740" s="133"/>
      <c r="AF3740" s="155"/>
      <c r="AG3740" s="138">
        <f>IF(AG3735&lt;AG3739,AG3737,AG3738)</f>
        <v>17.361597032543944</v>
      </c>
      <c r="AH3740" s="133"/>
      <c r="AI3740" s="155"/>
      <c r="AJ3740" s="138">
        <f>IF(AJ3735&lt;AJ3739,AJ3737,AJ3738)</f>
        <v>14.339381621495386</v>
      </c>
      <c r="AK3740" s="133"/>
      <c r="AL3740" s="155"/>
      <c r="AM3740" s="138">
        <f>IF(AM3735&lt;AM3739,AM3737,AM3738)</f>
        <v>13.451526637895393</v>
      </c>
      <c r="AN3740" s="133"/>
      <c r="AO3740" s="155"/>
      <c r="AP3740" s="138">
        <f>IF(AP3735&lt;AP3739,AP3737,AP3738)</f>
        <v>12.394796449842195</v>
      </c>
      <c r="AQ3740" s="133"/>
      <c r="AR3740" s="155"/>
      <c r="AS3740" s="138">
        <f>IF(AS3735&lt;AS3739,AS3737,AS3738)</f>
        <v>17.92191223929014</v>
      </c>
      <c r="AT3740" s="133"/>
      <c r="AU3740" s="155"/>
    </row>
    <row r="3741" spans="13:47" ht="13" x14ac:dyDescent="0.3">
      <c r="M3741" s="28"/>
      <c r="N3741" s="28"/>
      <c r="O3741" s="9" t="s">
        <v>194</v>
      </c>
      <c r="P3741" s="1"/>
      <c r="Q3741" s="1"/>
      <c r="R3741" s="135"/>
      <c r="S3741" s="132">
        <f>IF(R3734&lt;=0,W_max,ABS(R$23-R3740))</f>
        <v>7.4242001557284762</v>
      </c>
      <c r="T3741" s="151">
        <f>R3729</f>
        <v>2134.2772338467689</v>
      </c>
      <c r="U3741" s="135"/>
      <c r="V3741" s="132">
        <f>IF(U3734&lt;=0,W_max,ABS(U$23-U3740))</f>
        <v>29.640915719048579</v>
      </c>
      <c r="W3741" s="151">
        <f>U3729</f>
        <v>6425.1058197143047</v>
      </c>
      <c r="X3741" s="135"/>
      <c r="Y3741" s="132">
        <f>IF(X3734&lt;=0,W_max,ABS(X$23-X3740))</f>
        <v>7174</v>
      </c>
      <c r="Z3741" s="151">
        <f>X3729</f>
        <v>15890.051288708821</v>
      </c>
      <c r="AA3741" s="135"/>
      <c r="AB3741" s="132">
        <f>IF(AA3734&lt;=0,W_max,ABS(AA$23-AA3740))</f>
        <v>7174</v>
      </c>
      <c r="AC3741" s="151">
        <f>AA3729</f>
        <v>30949.764047695513</v>
      </c>
      <c r="AD3741" s="135"/>
      <c r="AE3741" s="132">
        <f>IF(AD3734&lt;=0,W_max,ABS(AD$23-AD3740))</f>
        <v>7174</v>
      </c>
      <c r="AF3741" s="151">
        <f>AD3729</f>
        <v>50900.966831399783</v>
      </c>
      <c r="AG3741" s="135"/>
      <c r="AH3741" s="132">
        <f>IF(AG3734&lt;=0,W_max,ABS(AG$23-AG3740))</f>
        <v>7174</v>
      </c>
      <c r="AI3741" s="151">
        <f>AG3729</f>
        <v>71392.524651502041</v>
      </c>
      <c r="AJ3741" s="135"/>
      <c r="AK3741" s="132">
        <f>IF(AJ3734&lt;=0,W_max,ABS(AJ$23-AJ3740))</f>
        <v>7174</v>
      </c>
      <c r="AL3741" s="151">
        <f>AJ3729</f>
        <v>90649.562196180996</v>
      </c>
      <c r="AM3741" s="135"/>
      <c r="AN3741" s="132">
        <f>IF(AM3734&lt;=0,W_max,ABS(AM$23-AM3740))</f>
        <v>7174</v>
      </c>
      <c r="AO3741" s="151">
        <f>AM3729</f>
        <v>106293.74080292443</v>
      </c>
      <c r="AP3741" s="135"/>
      <c r="AQ3741" s="132">
        <f>IF(AP3734&lt;=0,W_max,ABS(AP$23-AP3740))</f>
        <v>7174</v>
      </c>
      <c r="AR3741" s="151">
        <f>AP3729</f>
        <v>118588.5620624704</v>
      </c>
      <c r="AS3741" s="135"/>
      <c r="AT3741" s="132">
        <f>IF(AS3734&lt;=0,W_max,ABS(AS$23-AS3740))</f>
        <v>7174</v>
      </c>
      <c r="AU3741" s="151">
        <f>AS3729</f>
        <v>132305.50496965364</v>
      </c>
    </row>
    <row r="3742" spans="13:47" ht="13" x14ac:dyDescent="0.25">
      <c r="M3742" s="12"/>
      <c r="N3742" s="12"/>
      <c r="O3742" s="12"/>
      <c r="P3742" s="12"/>
      <c r="Q3742" s="12"/>
      <c r="R3742" s="182"/>
      <c r="S3742" s="22"/>
      <c r="T3742" s="152"/>
      <c r="U3742" s="157"/>
      <c r="V3742" s="1"/>
      <c r="W3742" s="147"/>
      <c r="X3742" s="157"/>
      <c r="Y3742" s="1"/>
      <c r="Z3742" s="147"/>
      <c r="AA3742" s="157"/>
      <c r="AB3742" s="1"/>
      <c r="AC3742" s="147"/>
      <c r="AD3742" s="157"/>
      <c r="AE3742" s="1"/>
      <c r="AF3742" s="147"/>
      <c r="AG3742" s="157"/>
      <c r="AH3742" s="1"/>
      <c r="AI3742" s="147"/>
      <c r="AJ3742" s="157"/>
      <c r="AK3742" s="1"/>
      <c r="AL3742" s="147"/>
      <c r="AM3742" s="157"/>
      <c r="AN3742" s="1"/>
      <c r="AO3742" s="147"/>
      <c r="AP3742" s="157"/>
      <c r="AQ3742" s="1"/>
      <c r="AR3742" s="147"/>
      <c r="AS3742" s="157"/>
      <c r="AT3742" s="1"/>
      <c r="AU3742" s="147"/>
    </row>
    <row r="3743" spans="13:47" ht="14" x14ac:dyDescent="0.3">
      <c r="M3743" s="23"/>
      <c r="N3743" s="23"/>
      <c r="O3743" s="23" t="s">
        <v>238</v>
      </c>
      <c r="P3743" s="20"/>
      <c r="Q3743" s="20"/>
      <c r="R3743" s="18">
        <f>R3729*1.02</f>
        <v>2176.9627785237044</v>
      </c>
      <c r="S3743" s="128" t="s">
        <v>185</v>
      </c>
      <c r="T3743" s="153" t="s">
        <v>186</v>
      </c>
      <c r="U3743" s="143">
        <f>U3729*1.01</f>
        <v>6489.3568779114476</v>
      </c>
      <c r="V3743" s="128" t="s">
        <v>185</v>
      </c>
      <c r="W3743" s="153" t="s">
        <v>186</v>
      </c>
      <c r="X3743" s="143">
        <f>X3729*1.01</f>
        <v>16048.951801595909</v>
      </c>
      <c r="Y3743" s="128" t="s">
        <v>185</v>
      </c>
      <c r="Z3743" s="153" t="s">
        <v>186</v>
      </c>
      <c r="AA3743" s="143">
        <f>AA3729*1.01</f>
        <v>31259.261688172468</v>
      </c>
      <c r="AB3743" s="128" t="s">
        <v>185</v>
      </c>
      <c r="AC3743" s="153" t="s">
        <v>186</v>
      </c>
      <c r="AD3743" s="143">
        <f>AD3729*1.01</f>
        <v>51409.976499713783</v>
      </c>
      <c r="AE3743" s="128" t="s">
        <v>185</v>
      </c>
      <c r="AF3743" s="153" t="s">
        <v>186</v>
      </c>
      <c r="AG3743" s="143">
        <f>AG3729*1.01</f>
        <v>72106.449898017061</v>
      </c>
      <c r="AH3743" s="128" t="s">
        <v>185</v>
      </c>
      <c r="AI3743" s="153" t="s">
        <v>186</v>
      </c>
      <c r="AJ3743" s="143">
        <f>AJ3729*1.01</f>
        <v>91556.057818142814</v>
      </c>
      <c r="AK3743" s="128" t="s">
        <v>185</v>
      </c>
      <c r="AL3743" s="153" t="s">
        <v>186</v>
      </c>
      <c r="AM3743" s="143">
        <f>AM3729*1.01</f>
        <v>107356.67821095367</v>
      </c>
      <c r="AN3743" s="128" t="s">
        <v>185</v>
      </c>
      <c r="AO3743" s="153" t="s">
        <v>186</v>
      </c>
      <c r="AP3743" s="143">
        <f>AP3729*1.01</f>
        <v>119774.4476830951</v>
      </c>
      <c r="AQ3743" s="128" t="s">
        <v>185</v>
      </c>
      <c r="AR3743" s="153" t="s">
        <v>186</v>
      </c>
      <c r="AS3743" s="143">
        <f>AS3729*1.01</f>
        <v>133628.56001935017</v>
      </c>
      <c r="AT3743" s="128" t="s">
        <v>185</v>
      </c>
      <c r="AU3743" s="153" t="s">
        <v>186</v>
      </c>
    </row>
    <row r="3744" spans="13:47" ht="14" x14ac:dyDescent="0.3">
      <c r="M3744" s="12"/>
      <c r="N3744" s="12"/>
      <c r="O3744" s="20"/>
      <c r="P3744" s="20"/>
      <c r="Q3744" s="23"/>
      <c r="R3744" s="139"/>
      <c r="S3744" s="130" t="s">
        <v>228</v>
      </c>
      <c r="T3744" s="154" t="s">
        <v>187</v>
      </c>
      <c r="U3744" s="144"/>
      <c r="V3744" s="130" t="s">
        <v>228</v>
      </c>
      <c r="W3744" s="154" t="s">
        <v>187</v>
      </c>
      <c r="X3744" s="144"/>
      <c r="Y3744" s="130" t="s">
        <v>228</v>
      </c>
      <c r="Z3744" s="154" t="s">
        <v>187</v>
      </c>
      <c r="AA3744" s="144"/>
      <c r="AB3744" s="130" t="s">
        <v>228</v>
      </c>
      <c r="AC3744" s="154" t="s">
        <v>187</v>
      </c>
      <c r="AD3744" s="144"/>
      <c r="AE3744" s="130" t="s">
        <v>228</v>
      </c>
      <c r="AF3744" s="154" t="s">
        <v>187</v>
      </c>
      <c r="AG3744" s="144"/>
      <c r="AH3744" s="130" t="s">
        <v>228</v>
      </c>
      <c r="AI3744" s="154" t="s">
        <v>187</v>
      </c>
      <c r="AJ3744" s="144"/>
      <c r="AK3744" s="130" t="s">
        <v>228</v>
      </c>
      <c r="AL3744" s="154" t="s">
        <v>187</v>
      </c>
      <c r="AM3744" s="144"/>
      <c r="AN3744" s="130" t="s">
        <v>228</v>
      </c>
      <c r="AO3744" s="154" t="s">
        <v>187</v>
      </c>
      <c r="AP3744" s="144"/>
      <c r="AQ3744" s="130" t="s">
        <v>228</v>
      </c>
      <c r="AR3744" s="154" t="s">
        <v>187</v>
      </c>
      <c r="AS3744" s="144"/>
      <c r="AT3744" s="130" t="s">
        <v>228</v>
      </c>
      <c r="AU3744" s="154" t="s">
        <v>187</v>
      </c>
    </row>
    <row r="3745" spans="13:47" x14ac:dyDescent="0.25">
      <c r="M3745" s="20"/>
      <c r="N3745" s="20"/>
      <c r="O3745" s="7" t="s">
        <v>188</v>
      </c>
      <c r="P3745" s="7"/>
      <c r="Q3745" s="7"/>
      <c r="R3745" s="181">
        <f>P_1_minW-(R3743^2*R_up)+dpup_minQ</f>
        <v>98.632987824514075</v>
      </c>
      <c r="S3745" s="132"/>
      <c r="T3745" s="145"/>
      <c r="U3745" s="138">
        <f>P_1_minW-(U3743^2*R_up)+dpup_minQ</f>
        <v>83.730226895326823</v>
      </c>
      <c r="V3745" s="132"/>
      <c r="W3745" s="145"/>
      <c r="X3745" s="138">
        <f>P_1_minW-(X3743^2*R_up)+dpup_minQ</f>
        <v>-2.1858424873393862</v>
      </c>
      <c r="Y3745" s="132"/>
      <c r="Z3745" s="145"/>
      <c r="AA3745" s="138">
        <f>P_1_minW-(AA3743^2*R_up)+dpup_minQ</f>
        <v>-289.12392893404007</v>
      </c>
      <c r="AB3745" s="132"/>
      <c r="AC3745" s="145"/>
      <c r="AD3745" s="138">
        <f>P_1_minW-(AD3743^2*R_up)+dpup_minQ</f>
        <v>-953.39903839824194</v>
      </c>
      <c r="AE3745" s="132"/>
      <c r="AF3745" s="145"/>
      <c r="AG3745" s="138">
        <f>P_1_minW-(AG3743^2*R_up)+dpup_minQ</f>
        <v>-1972.7756269808101</v>
      </c>
      <c r="AH3745" s="132"/>
      <c r="AI3745" s="145"/>
      <c r="AJ3745" s="138">
        <f>P_1_minW-(AJ3743^2*R_up)+dpup_minQ</f>
        <v>-3242.1029826763743</v>
      </c>
      <c r="AK3745" s="132"/>
      <c r="AL3745" s="145"/>
      <c r="AM3745" s="138">
        <f>P_1_minW-(AM3743^2*R_up)+dpup_minQ</f>
        <v>-4495.3893567356508</v>
      </c>
      <c r="AN3745" s="132"/>
      <c r="AO3745" s="145"/>
      <c r="AP3745" s="138">
        <f>P_1_minW-(AP3743^2*R_up)+dpup_minQ</f>
        <v>-5620.0819482651923</v>
      </c>
      <c r="AQ3745" s="132"/>
      <c r="AR3745" s="145"/>
      <c r="AS3745" s="138">
        <f>P_1_minW-(AS3743^2*R_up)+dpup_minQ</f>
        <v>-7020.0046542863774</v>
      </c>
      <c r="AT3745" s="132"/>
      <c r="AU3745" s="145"/>
    </row>
    <row r="3746" spans="13:47" x14ac:dyDescent="0.25">
      <c r="M3746" s="20"/>
      <c r="N3746" s="20"/>
      <c r="O3746" s="7" t="s">
        <v>189</v>
      </c>
      <c r="P3746" s="1"/>
      <c r="Q3746" s="7"/>
      <c r="R3746" s="181">
        <f>P_2_minW+(R3743^2*R_dn)-dpdn_minQ</f>
        <v>50</v>
      </c>
      <c r="S3746" s="132"/>
      <c r="T3746" s="146"/>
      <c r="U3746" s="138">
        <f>P_2_minW+(U3743^2*R_dn)-dpdn_minQ</f>
        <v>50</v>
      </c>
      <c r="V3746" s="132"/>
      <c r="W3746" s="146"/>
      <c r="X3746" s="138">
        <f>P_2_minW+(X3743^2*R_dn)-dpdn_minQ</f>
        <v>50</v>
      </c>
      <c r="Y3746" s="132"/>
      <c r="Z3746" s="146"/>
      <c r="AA3746" s="138">
        <f>P_2_minW+(AA3743^2*R_dn)-dpdn_minQ</f>
        <v>50</v>
      </c>
      <c r="AB3746" s="132"/>
      <c r="AC3746" s="146"/>
      <c r="AD3746" s="138">
        <f>P_2_minW+(AD3743^2*R_dn)-dpdn_minQ</f>
        <v>50</v>
      </c>
      <c r="AE3746" s="132"/>
      <c r="AF3746" s="146"/>
      <c r="AG3746" s="138">
        <f>P_2_minW+(AG3743^2*R_dn)-dpdn_minQ</f>
        <v>50</v>
      </c>
      <c r="AH3746" s="132"/>
      <c r="AI3746" s="146"/>
      <c r="AJ3746" s="138">
        <f>P_2_minW+(AJ3743^2*R_dn)-dpdn_minQ</f>
        <v>50</v>
      </c>
      <c r="AK3746" s="132"/>
      <c r="AL3746" s="146"/>
      <c r="AM3746" s="138">
        <f>P_2_minW+(AM3743^2*R_dn)-dpdn_minQ</f>
        <v>50</v>
      </c>
      <c r="AN3746" s="132"/>
      <c r="AO3746" s="146"/>
      <c r="AP3746" s="138">
        <f>P_2_minW+(AP3743^2*R_dn)-dpdn_minQ</f>
        <v>50</v>
      </c>
      <c r="AQ3746" s="132"/>
      <c r="AR3746" s="146"/>
      <c r="AS3746" s="138">
        <f>P_2_minW+(AS3743^2*R_dn)-dpdn_minQ</f>
        <v>50</v>
      </c>
      <c r="AT3746" s="132"/>
      <c r="AU3746" s="146"/>
    </row>
    <row r="3747" spans="13:47" x14ac:dyDescent="0.25">
      <c r="M3747" s="20"/>
      <c r="N3747" s="20"/>
      <c r="O3747" s="7" t="s">
        <v>234</v>
      </c>
      <c r="P3747" s="1"/>
      <c r="Q3747" s="7"/>
      <c r="R3747" s="179">
        <f>'Valve Sizing'!G$8*R3745/P_1_maxW</f>
        <v>0.47578797274433554</v>
      </c>
      <c r="S3747" s="132"/>
      <c r="T3747" s="146"/>
      <c r="U3747" s="143">
        <f>'Valve Sizing'!$G$8*U3745/P_1_maxW</f>
        <v>0.40389970729498231</v>
      </c>
      <c r="V3747" s="132"/>
      <c r="W3747" s="146"/>
      <c r="X3747" s="143">
        <f>'Valve Sizing'!$G$8*X3745/P_1_maxW</f>
        <v>-1.0544114993656952E-2</v>
      </c>
      <c r="Y3747" s="132"/>
      <c r="Z3747" s="146"/>
      <c r="AA3747" s="143">
        <f>'Valve Sizing'!$G$8*AA3745/P_1_maxW</f>
        <v>-1.3946823578350012</v>
      </c>
      <c r="AB3747" s="132"/>
      <c r="AC3747" s="146"/>
      <c r="AD3747" s="143">
        <f>'Valve Sizing'!$G$8*AD3745/P_1_maxW</f>
        <v>-4.5990272189965795</v>
      </c>
      <c r="AE3747" s="132"/>
      <c r="AF3747" s="146"/>
      <c r="AG3747" s="143">
        <f>'Valve Sizing'!$G$8*AG3745/P_1_maxW</f>
        <v>-9.5163183935035516</v>
      </c>
      <c r="AH3747" s="132"/>
      <c r="AI3747" s="146"/>
      <c r="AJ3747" s="143">
        <f>'Valve Sizing'!$G$8*AJ3745/P_1_maxW</f>
        <v>-15.6393275675724</v>
      </c>
      <c r="AK3747" s="132"/>
      <c r="AL3747" s="146"/>
      <c r="AM3747" s="143">
        <f>'Valve Sizing'!$G$8*AM3745/P_1_maxW</f>
        <v>-21.684957902148547</v>
      </c>
      <c r="AN3747" s="132"/>
      <c r="AO3747" s="146"/>
      <c r="AP3747" s="143">
        <f>'Valve Sizing'!$G$8*AP3745/P_1_maxW</f>
        <v>-27.11027472451309</v>
      </c>
      <c r="AQ3747" s="132"/>
      <c r="AR3747" s="146"/>
      <c r="AS3747" s="143">
        <f>'Valve Sizing'!$G$8*AS3745/P_1_maxW</f>
        <v>-33.863252617483717</v>
      </c>
      <c r="AT3747" s="132"/>
      <c r="AU3747" s="146"/>
    </row>
    <row r="3748" spans="13:47" x14ac:dyDescent="0.25">
      <c r="M3748" s="20"/>
      <c r="N3748" s="20"/>
      <c r="O3748" s="7" t="s">
        <v>190</v>
      </c>
      <c r="P3748" s="1"/>
      <c r="Q3748" s="7"/>
      <c r="R3748" s="181">
        <f>R3745-R3746</f>
        <v>48.632987824514075</v>
      </c>
      <c r="S3748" s="132"/>
      <c r="T3748" s="146"/>
      <c r="U3748" s="138">
        <f>U3745-U3746</f>
        <v>33.730226895326823</v>
      </c>
      <c r="V3748" s="132"/>
      <c r="W3748" s="146"/>
      <c r="X3748" s="138">
        <f>X3745-X3746</f>
        <v>-52.185842487339386</v>
      </c>
      <c r="Y3748" s="132"/>
      <c r="Z3748" s="146"/>
      <c r="AA3748" s="138">
        <f>AA3745-AA3746</f>
        <v>-339.12392893404007</v>
      </c>
      <c r="AB3748" s="132"/>
      <c r="AC3748" s="146"/>
      <c r="AD3748" s="138">
        <f>AD3745-AD3746</f>
        <v>-1003.3990383982419</v>
      </c>
      <c r="AE3748" s="132"/>
      <c r="AF3748" s="146"/>
      <c r="AG3748" s="138">
        <f>AG3745-AG3746</f>
        <v>-2022.7756269808101</v>
      </c>
      <c r="AH3748" s="132"/>
      <c r="AI3748" s="146"/>
      <c r="AJ3748" s="138">
        <f>AJ3745-AJ3746</f>
        <v>-3292.1029826763743</v>
      </c>
      <c r="AK3748" s="132"/>
      <c r="AL3748" s="146"/>
      <c r="AM3748" s="138">
        <f>AM3745-AM3746</f>
        <v>-4545.3893567356508</v>
      </c>
      <c r="AN3748" s="132"/>
      <c r="AO3748" s="146"/>
      <c r="AP3748" s="138">
        <f>AP3745-AP3746</f>
        <v>-5670.0819482651923</v>
      </c>
      <c r="AQ3748" s="132"/>
      <c r="AR3748" s="146"/>
      <c r="AS3748" s="138">
        <f>AS3745-AS3746</f>
        <v>-7070.0046542863774</v>
      </c>
      <c r="AT3748" s="132"/>
      <c r="AU3748" s="146"/>
    </row>
    <row r="3749" spans="13:47" ht="14.5" x14ac:dyDescent="0.35">
      <c r="M3749" s="27"/>
      <c r="N3749" s="27"/>
      <c r="O3749" s="2" t="s">
        <v>191</v>
      </c>
      <c r="P3749" s="10"/>
      <c r="Q3749" s="2"/>
      <c r="R3749" s="181">
        <f>R3748/R3745</f>
        <v>0.49307020802250212</v>
      </c>
      <c r="S3749" s="132"/>
      <c r="T3749" s="146"/>
      <c r="U3749" s="138">
        <f>U3748/U3745</f>
        <v>0.40284408804354244</v>
      </c>
      <c r="V3749" s="132"/>
      <c r="W3749" s="146"/>
      <c r="X3749" s="138">
        <f>X3748/X3745</f>
        <v>23.874475306251433</v>
      </c>
      <c r="Y3749" s="132"/>
      <c r="Z3749" s="146"/>
      <c r="AA3749" s="138">
        <f>AA3748/AA3745</f>
        <v>1.1729362221395616</v>
      </c>
      <c r="AB3749" s="132"/>
      <c r="AC3749" s="146"/>
      <c r="AD3749" s="138">
        <f>AD3748/AD3745</f>
        <v>1.0524439379380983</v>
      </c>
      <c r="AE3749" s="132"/>
      <c r="AF3749" s="146"/>
      <c r="AG3749" s="138">
        <f>AG3748/AG3745</f>
        <v>1.0253450008790514</v>
      </c>
      <c r="AH3749" s="132"/>
      <c r="AI3749" s="146"/>
      <c r="AJ3749" s="138">
        <f>AJ3748/AJ3745</f>
        <v>1.0154220887699024</v>
      </c>
      <c r="AK3749" s="132"/>
      <c r="AL3749" s="146"/>
      <c r="AM3749" s="138">
        <f>AM3748/AM3745</f>
        <v>1.0111225070916454</v>
      </c>
      <c r="AN3749" s="132"/>
      <c r="AO3749" s="146"/>
      <c r="AP3749" s="138">
        <f>AP3748/AP3745</f>
        <v>1.0088966674258966</v>
      </c>
      <c r="AQ3749" s="132"/>
      <c r="AR3749" s="146"/>
      <c r="AS3749" s="138">
        <f>AS3748/AS3745</f>
        <v>1.0071225024002612</v>
      </c>
      <c r="AT3749" s="132"/>
      <c r="AU3749" s="146"/>
    </row>
    <row r="3750" spans="13:47" x14ac:dyDescent="0.25">
      <c r="M3750" s="27"/>
      <c r="N3750" s="27"/>
      <c r="O3750" s="2" t="s">
        <v>26</v>
      </c>
      <c r="P3750" s="7">
        <v>12</v>
      </c>
      <c r="Q3750" s="2"/>
      <c r="R3750" s="181">
        <f>1-R3749/(3*F_GAMMA*R$29)</f>
        <v>0.7432033855069291</v>
      </c>
      <c r="S3750" s="133"/>
      <c r="T3750" s="146"/>
      <c r="U3750" s="138">
        <f>1-U3749/(3*F_GAMMA*U$29)</f>
        <v>0.79024037672104541</v>
      </c>
      <c r="V3750" s="133"/>
      <c r="W3750" s="146"/>
      <c r="X3750" s="138">
        <f>1-X3749/(3*F_GAMMA*X$29)</f>
        <v>-11.617852865011715</v>
      </c>
      <c r="Y3750" s="133"/>
      <c r="Z3750" s="146"/>
      <c r="AA3750" s="138">
        <f>1-AA3749/(3*F_GAMMA*AA$29)</f>
        <v>0.37159396357774688</v>
      </c>
      <c r="AB3750" s="133"/>
      <c r="AC3750" s="146"/>
      <c r="AD3750" s="138">
        <f>1-AD3749/(3*F_GAMMA*AD$29)</f>
        <v>0.42068864964891217</v>
      </c>
      <c r="AE3750" s="133"/>
      <c r="AF3750" s="146"/>
      <c r="AG3750" s="138">
        <f>1-AG3749/(3*F_GAMMA*AG$29)</f>
        <v>0.40341111775122496</v>
      </c>
      <c r="AH3750" s="133"/>
      <c r="AI3750" s="146"/>
      <c r="AJ3750" s="138">
        <f>1-AJ3749/(3*F_GAMMA*AJ$29)</f>
        <v>0.36841041959629706</v>
      </c>
      <c r="AK3750" s="133"/>
      <c r="AL3750" s="146"/>
      <c r="AM3750" s="138">
        <f>1-AM3749/(3*F_GAMMA*AM$29)</f>
        <v>0.31284613231058256</v>
      </c>
      <c r="AN3750" s="133"/>
      <c r="AO3750" s="146"/>
      <c r="AP3750" s="138">
        <f>1-AP3749/(3*F_GAMMA*AP$29)</f>
        <v>0.43339172739801124</v>
      </c>
      <c r="AQ3750" s="133"/>
      <c r="AR3750" s="146"/>
      <c r="AS3750" s="138">
        <f>1-AS3749/(3*F_GAMMA*AS$29)</f>
        <v>0.14135201727744939</v>
      </c>
      <c r="AT3750" s="133"/>
      <c r="AU3750" s="146"/>
    </row>
    <row r="3751" spans="13:47" x14ac:dyDescent="0.25">
      <c r="M3751" s="27"/>
      <c r="N3751" s="27"/>
      <c r="O3751" s="2" t="s">
        <v>71</v>
      </c>
      <c r="P3751" s="85">
        <v>5</v>
      </c>
      <c r="Q3751" s="2"/>
      <c r="R3751" s="179">
        <f>R3743/((N_6*R$27*R3750)*SQRT(R3749*R3745*R3747))</f>
        <v>9.6209701727861372</v>
      </c>
      <c r="S3751" s="133"/>
      <c r="T3751" s="146"/>
      <c r="U3751" s="143">
        <f>U3743/((N_6*U$27*U3750)*SQRT(U3749*U3745*U3747))</f>
        <v>35.173351728711687</v>
      </c>
      <c r="V3751" s="133"/>
      <c r="W3751" s="146"/>
      <c r="X3751" s="143">
        <f>X3743/((N_6*X$27*X3750)*SQRT(X3749*X3745*X3747))</f>
        <v>-29.506555931074878</v>
      </c>
      <c r="Y3751" s="133"/>
      <c r="Z3751" s="146"/>
      <c r="AA3751" s="143">
        <f>AA3743/((N_6*AA$27*AA3750)*SQRT(AA3749*AA3745*AA3747))</f>
        <v>61.640040156635209</v>
      </c>
      <c r="AB3751" s="133"/>
      <c r="AC3751" s="146"/>
      <c r="AD3751" s="143">
        <f>AD3743/((N_6*AD$27*AD3750)*SQRT(AD3749*AD3745*AD3747))</f>
        <v>29.008894525166976</v>
      </c>
      <c r="AE3751" s="133"/>
      <c r="AF3751" s="146"/>
      <c r="AG3751" s="143">
        <f>AG3743/((N_6*AG$27*AG3750)*SQRT(AG3749*AG3745*AG3747))</f>
        <v>21.222817205313856</v>
      </c>
      <c r="AH3751" s="133"/>
      <c r="AI3751" s="146"/>
      <c r="AJ3751" s="143">
        <f>AJ3743/((N_6*AJ$27*AJ3750)*SQRT(AJ3749*AJ3745*AJ3747))</f>
        <v>18.661825842480177</v>
      </c>
      <c r="AK3751" s="133"/>
      <c r="AL3751" s="146"/>
      <c r="AM3751" s="143">
        <f>AM3743/((N_6*AM$27*AM3750)*SQRT(AM3749*AM3745*AM3747))</f>
        <v>19.767983871000528</v>
      </c>
      <c r="AN3751" s="133"/>
      <c r="AO3751" s="146"/>
      <c r="AP3751" s="143">
        <f>AP3743/((N_6*AP$27*AP3750)*SQRT(AP3749*AP3745*AP3747))</f>
        <v>14.481214795012074</v>
      </c>
      <c r="AQ3751" s="133"/>
      <c r="AR3751" s="146"/>
      <c r="AS3751" s="143">
        <f>AS3743/((N_6*AS$27*AS3750)*SQRT(AS3749*AS3745*AS3747))</f>
        <v>52.154714700248427</v>
      </c>
      <c r="AT3751" s="133"/>
      <c r="AU3751" s="146"/>
    </row>
    <row r="3752" spans="13:47" x14ac:dyDescent="0.25">
      <c r="M3752" s="27"/>
      <c r="N3752" s="27"/>
      <c r="O3752" s="2" t="s">
        <v>73</v>
      </c>
      <c r="P3752" s="85">
        <v>5</v>
      </c>
      <c r="Q3752" s="2"/>
      <c r="R3752" s="179">
        <f>R3743/((N_6*R$27*0.667)*SQRT(R3753*R3745*R3747))</f>
        <v>9.4092712371775953</v>
      </c>
      <c r="S3752" s="133"/>
      <c r="T3752" s="155"/>
      <c r="U3752" s="143">
        <f>U3743/((N_6*U$27*0.667)*SQRT(U3753*U3745*U3747))</f>
        <v>33.057401414309503</v>
      </c>
      <c r="V3752" s="133"/>
      <c r="W3752" s="155"/>
      <c r="X3752" s="143">
        <f>X3743/((N_6*X$27*0.667)*SQRT(X3753*X3745*X3747))</f>
        <v>3162.073172399515</v>
      </c>
      <c r="Y3752" s="133"/>
      <c r="Z3752" s="155"/>
      <c r="AA3752" s="143">
        <f>AA3743/((N_6*AA$27*0.667)*SQRT(AA3753*AA3745*AA3747))</f>
        <v>47.150524798743227</v>
      </c>
      <c r="AB3752" s="133"/>
      <c r="AC3752" s="155"/>
      <c r="AD3752" s="143">
        <f>AD3743/((N_6*AD$27*0.667)*SQRT(AD3753*AD3745*AD3747))</f>
        <v>24.120304490666157</v>
      </c>
      <c r="AE3752" s="133"/>
      <c r="AF3752" s="155"/>
      <c r="AG3752" s="143">
        <f>AG3743/((N_6*AG$27*0.667)*SQRT(AG3753*AG3745*AG3747))</f>
        <v>17.172094417985544</v>
      </c>
      <c r="AH3752" s="133"/>
      <c r="AI3752" s="155"/>
      <c r="AJ3752" s="143">
        <f>AJ3743/((N_6*AJ$27*0.667)*SQRT(AJ3753*AJ3745*AJ3747))</f>
        <v>14.188559592756047</v>
      </c>
      <c r="AK3752" s="133"/>
      <c r="AL3752" s="155"/>
      <c r="AM3752" s="143">
        <f>AM3743/((N_6*AM$27*0.667)*SQRT(AM3753*AM3745*AM3747))</f>
        <v>13.312357112745355</v>
      </c>
      <c r="AN3752" s="133"/>
      <c r="AO3752" s="155"/>
      <c r="AP3752" s="143">
        <f>AP3743/((N_6*AP$27*0.667)*SQRT(AP3753*AP3745*AP3747))</f>
        <v>12.267663688336096</v>
      </c>
      <c r="AQ3752" s="133"/>
      <c r="AR3752" s="155"/>
      <c r="AS3752" s="143">
        <f>AS3743/((N_6*AS$27*0.667)*SQRT(AS3753*AS3745*AS3747))</f>
        <v>17.739360325030315</v>
      </c>
      <c r="AT3752" s="133"/>
      <c r="AU3752" s="155"/>
    </row>
    <row r="3753" spans="13:47" ht="15.5" x14ac:dyDescent="0.4">
      <c r="M3753" s="27"/>
      <c r="N3753" s="27"/>
      <c r="O3753" s="2" t="s">
        <v>192</v>
      </c>
      <c r="P3753" s="85">
        <v>10</v>
      </c>
      <c r="Q3753" s="2"/>
      <c r="R3753" s="181">
        <f>F_GAMMA*R$29</f>
        <v>0.64002688015162901</v>
      </c>
      <c r="S3753" s="133"/>
      <c r="T3753" s="155"/>
      <c r="U3753" s="138">
        <f>F_GAMMA*U$29</f>
        <v>0.64016782916606918</v>
      </c>
      <c r="V3753" s="133"/>
      <c r="W3753" s="155"/>
      <c r="X3753" s="138">
        <f>F_GAMMA*X$29</f>
        <v>0.6307062319203669</v>
      </c>
      <c r="Y3753" s="133"/>
      <c r="Z3753" s="155"/>
      <c r="AA3753" s="138">
        <f>F_GAMMA*AA$29</f>
        <v>0.62217534213893466</v>
      </c>
      <c r="AB3753" s="133"/>
      <c r="AC3753" s="155"/>
      <c r="AD3753" s="138">
        <f>F_GAMMA*AD$29</f>
        <v>0.60557184969146072</v>
      </c>
      <c r="AE3753" s="133"/>
      <c r="AF3753" s="155"/>
      <c r="AG3753" s="138">
        <f>F_GAMMA*AG$29</f>
        <v>0.57289312142622573</v>
      </c>
      <c r="AH3753" s="133"/>
      <c r="AI3753" s="155"/>
      <c r="AJ3753" s="138">
        <f>F_GAMMA*AJ$29</f>
        <v>0.53590819116049981</v>
      </c>
      <c r="AK3753" s="133"/>
      <c r="AL3753" s="155"/>
      <c r="AM3753" s="138">
        <f>F_GAMMA*AM$29</f>
        <v>0.49048815926850342</v>
      </c>
      <c r="AN3753" s="133"/>
      <c r="AO3753" s="155"/>
      <c r="AP3753" s="138">
        <f>F_GAMMA*AP$29</f>
        <v>0.59352979016280105</v>
      </c>
      <c r="AQ3753" s="133"/>
      <c r="AR3753" s="155"/>
      <c r="AS3753" s="138">
        <f>F_GAMMA*AS$29</f>
        <v>0.39097221161068291</v>
      </c>
      <c r="AT3753" s="133"/>
      <c r="AU3753" s="155"/>
    </row>
    <row r="3754" spans="13:47" x14ac:dyDescent="0.25">
      <c r="M3754" s="27"/>
      <c r="N3754" s="27"/>
      <c r="O3754" s="2" t="s">
        <v>193</v>
      </c>
      <c r="P3754" s="134"/>
      <c r="Q3754" s="2"/>
      <c r="R3754" s="181">
        <f>IF(R3749&lt;R3753,R3751,R3752)</f>
        <v>9.6209701727861372</v>
      </c>
      <c r="S3754" s="133"/>
      <c r="T3754" s="155"/>
      <c r="U3754" s="138">
        <f>IF(U3749&lt;U3753,U3751,U3752)</f>
        <v>35.173351728711687</v>
      </c>
      <c r="V3754" s="133"/>
      <c r="W3754" s="155"/>
      <c r="X3754" s="138">
        <f>IF(X3749&lt;X3753,X3751,X3752)</f>
        <v>3162.073172399515</v>
      </c>
      <c r="Y3754" s="133"/>
      <c r="Z3754" s="155"/>
      <c r="AA3754" s="138">
        <f>IF(AA3749&lt;AA3753,AA3751,AA3752)</f>
        <v>47.150524798743227</v>
      </c>
      <c r="AB3754" s="133"/>
      <c r="AC3754" s="155"/>
      <c r="AD3754" s="138">
        <f>IF(AD3749&lt;AD3753,AD3751,AD3752)</f>
        <v>24.120304490666157</v>
      </c>
      <c r="AE3754" s="133"/>
      <c r="AF3754" s="155"/>
      <c r="AG3754" s="138">
        <f>IF(AG3749&lt;AG3753,AG3751,AG3752)</f>
        <v>17.172094417985544</v>
      </c>
      <c r="AH3754" s="133"/>
      <c r="AI3754" s="155"/>
      <c r="AJ3754" s="138">
        <f>IF(AJ3749&lt;AJ3753,AJ3751,AJ3752)</f>
        <v>14.188559592756047</v>
      </c>
      <c r="AK3754" s="133"/>
      <c r="AL3754" s="155"/>
      <c r="AM3754" s="138">
        <f>IF(AM3749&lt;AM3753,AM3751,AM3752)</f>
        <v>13.312357112745355</v>
      </c>
      <c r="AN3754" s="133"/>
      <c r="AO3754" s="155"/>
      <c r="AP3754" s="138">
        <f>IF(AP3749&lt;AP3753,AP3751,AP3752)</f>
        <v>12.267663688336096</v>
      </c>
      <c r="AQ3754" s="133"/>
      <c r="AR3754" s="155"/>
      <c r="AS3754" s="138">
        <f>IF(AS3749&lt;AS3753,AS3751,AS3752)</f>
        <v>17.739360325030315</v>
      </c>
      <c r="AT3754" s="133"/>
      <c r="AU3754" s="155"/>
    </row>
    <row r="3755" spans="13:47" ht="13" x14ac:dyDescent="0.3">
      <c r="M3755" s="28"/>
      <c r="N3755" s="28"/>
      <c r="O3755" s="9" t="s">
        <v>194</v>
      </c>
      <c r="P3755" s="1"/>
      <c r="Q3755" s="1"/>
      <c r="R3755" s="135"/>
      <c r="S3755" s="132">
        <f>IF(R3748&lt;=0,W_max,ABS(R$23-R3754))</f>
        <v>7.6209701727861372</v>
      </c>
      <c r="T3755" s="151">
        <f>R3743</f>
        <v>2176.9627785237044</v>
      </c>
      <c r="U3755" s="135"/>
      <c r="V3755" s="132">
        <f>IF(U3748&lt;=0,W_max,ABS(U$23-U3754))</f>
        <v>30.173351728711687</v>
      </c>
      <c r="W3755" s="151">
        <f>U3743</f>
        <v>6489.3568779114476</v>
      </c>
      <c r="X3755" s="135"/>
      <c r="Y3755" s="132">
        <f>IF(X3748&lt;=0,W_max,ABS(X$23-X3754))</f>
        <v>7174</v>
      </c>
      <c r="Z3755" s="151">
        <f>X3743</f>
        <v>16048.951801595909</v>
      </c>
      <c r="AA3755" s="135"/>
      <c r="AB3755" s="132">
        <f>IF(AA3748&lt;=0,W_max,ABS(AA$23-AA3754))</f>
        <v>7174</v>
      </c>
      <c r="AC3755" s="151">
        <f>AA3743</f>
        <v>31259.261688172468</v>
      </c>
      <c r="AD3755" s="135"/>
      <c r="AE3755" s="132">
        <f>IF(AD3748&lt;=0,W_max,ABS(AD$23-AD3754))</f>
        <v>7174</v>
      </c>
      <c r="AF3755" s="151">
        <f>AD3743</f>
        <v>51409.976499713783</v>
      </c>
      <c r="AG3755" s="135"/>
      <c r="AH3755" s="132">
        <f>IF(AG3748&lt;=0,W_max,ABS(AG$23-AG3754))</f>
        <v>7174</v>
      </c>
      <c r="AI3755" s="151">
        <f>AG3743</f>
        <v>72106.449898017061</v>
      </c>
      <c r="AJ3755" s="135"/>
      <c r="AK3755" s="132">
        <f>IF(AJ3748&lt;=0,W_max,ABS(AJ$23-AJ3754))</f>
        <v>7174</v>
      </c>
      <c r="AL3755" s="151">
        <f>AJ3743</f>
        <v>91556.057818142814</v>
      </c>
      <c r="AM3755" s="135"/>
      <c r="AN3755" s="132">
        <f>IF(AM3748&lt;=0,W_max,ABS(AM$23-AM3754))</f>
        <v>7174</v>
      </c>
      <c r="AO3755" s="151">
        <f>AM3743</f>
        <v>107356.67821095367</v>
      </c>
      <c r="AP3755" s="135"/>
      <c r="AQ3755" s="132">
        <f>IF(AP3748&lt;=0,W_max,ABS(AP$23-AP3754))</f>
        <v>7174</v>
      </c>
      <c r="AR3755" s="151">
        <f>AP3743</f>
        <v>119774.4476830951</v>
      </c>
      <c r="AS3755" s="135"/>
      <c r="AT3755" s="132">
        <f>IF(AS3748&lt;=0,W_max,ABS(AS$23-AS3754))</f>
        <v>7174</v>
      </c>
      <c r="AU3755" s="151">
        <f>AS3743</f>
        <v>133628.56001935017</v>
      </c>
    </row>
    <row r="3756" spans="13:47" ht="13" x14ac:dyDescent="0.25">
      <c r="M3756" s="12"/>
      <c r="N3756" s="12"/>
      <c r="O3756" s="2"/>
      <c r="P3756" s="85"/>
      <c r="Q3756" s="2"/>
      <c r="R3756" s="18"/>
      <c r="S3756" s="150"/>
      <c r="T3756" s="152"/>
      <c r="U3756" s="157"/>
      <c r="V3756" s="1"/>
      <c r="W3756" s="147"/>
      <c r="X3756" s="157"/>
      <c r="Y3756" s="1"/>
      <c r="Z3756" s="147"/>
      <c r="AA3756" s="157"/>
      <c r="AB3756" s="1"/>
      <c r="AC3756" s="147"/>
      <c r="AD3756" s="157"/>
      <c r="AE3756" s="1"/>
      <c r="AF3756" s="147"/>
      <c r="AG3756" s="157"/>
      <c r="AH3756" s="1"/>
      <c r="AI3756" s="147"/>
      <c r="AJ3756" s="157"/>
      <c r="AK3756" s="1"/>
      <c r="AL3756" s="147"/>
      <c r="AM3756" s="157"/>
      <c r="AN3756" s="1"/>
      <c r="AO3756" s="147"/>
      <c r="AP3756" s="157"/>
      <c r="AQ3756" s="1"/>
      <c r="AR3756" s="147"/>
      <c r="AS3756" s="157"/>
      <c r="AT3756" s="1"/>
      <c r="AU3756" s="147"/>
    </row>
    <row r="3757" spans="13:47" ht="14" x14ac:dyDescent="0.3">
      <c r="M3757" s="23"/>
      <c r="N3757" s="23"/>
      <c r="O3757" s="23" t="s">
        <v>238</v>
      </c>
      <c r="P3757" s="20"/>
      <c r="Q3757" s="20"/>
      <c r="R3757" s="181">
        <f>R3743*1.02</f>
        <v>2220.5020340941787</v>
      </c>
      <c r="S3757" s="128" t="s">
        <v>185</v>
      </c>
      <c r="T3757" s="153" t="s">
        <v>186</v>
      </c>
      <c r="U3757" s="143">
        <f>U3743*1.01</f>
        <v>6554.2504466905621</v>
      </c>
      <c r="V3757" s="128" t="s">
        <v>185</v>
      </c>
      <c r="W3757" s="153" t="s">
        <v>186</v>
      </c>
      <c r="X3757" s="143">
        <f>X3743*1.01</f>
        <v>16209.441319611869</v>
      </c>
      <c r="Y3757" s="128" t="s">
        <v>185</v>
      </c>
      <c r="Z3757" s="153" t="s">
        <v>186</v>
      </c>
      <c r="AA3757" s="143">
        <f>AA3743*1.01</f>
        <v>31571.854305054192</v>
      </c>
      <c r="AB3757" s="128" t="s">
        <v>185</v>
      </c>
      <c r="AC3757" s="153" t="s">
        <v>186</v>
      </c>
      <c r="AD3757" s="143">
        <f>AD3743*1.01</f>
        <v>51924.076264710922</v>
      </c>
      <c r="AE3757" s="128" t="s">
        <v>185</v>
      </c>
      <c r="AF3757" s="153" t="s">
        <v>186</v>
      </c>
      <c r="AG3757" s="143">
        <f>AG3743*1.01</f>
        <v>72827.514396997227</v>
      </c>
      <c r="AH3757" s="128" t="s">
        <v>185</v>
      </c>
      <c r="AI3757" s="153" t="s">
        <v>186</v>
      </c>
      <c r="AJ3757" s="143">
        <f>AJ3743*1.01</f>
        <v>92471.618396324237</v>
      </c>
      <c r="AK3757" s="128" t="s">
        <v>185</v>
      </c>
      <c r="AL3757" s="153" t="s">
        <v>186</v>
      </c>
      <c r="AM3757" s="143">
        <f>AM3743*1.01</f>
        <v>108430.24499306321</v>
      </c>
      <c r="AN3757" s="128" t="s">
        <v>185</v>
      </c>
      <c r="AO3757" s="153" t="s">
        <v>186</v>
      </c>
      <c r="AP3757" s="143">
        <f>AP3743*1.01</f>
        <v>120972.19215992605</v>
      </c>
      <c r="AQ3757" s="128" t="s">
        <v>185</v>
      </c>
      <c r="AR3757" s="153" t="s">
        <v>186</v>
      </c>
      <c r="AS3757" s="143">
        <f>AS3743*1.01</f>
        <v>134964.84561954369</v>
      </c>
      <c r="AT3757" s="128" t="s">
        <v>185</v>
      </c>
      <c r="AU3757" s="153" t="s">
        <v>186</v>
      </c>
    </row>
    <row r="3758" spans="13:47" ht="14" x14ac:dyDescent="0.3">
      <c r="M3758" s="12"/>
      <c r="N3758" s="12"/>
      <c r="O3758" s="20"/>
      <c r="P3758" s="20"/>
      <c r="Q3758" s="23"/>
      <c r="R3758" s="139"/>
      <c r="S3758" s="130" t="s">
        <v>228</v>
      </c>
      <c r="T3758" s="154" t="s">
        <v>187</v>
      </c>
      <c r="U3758" s="144"/>
      <c r="V3758" s="130" t="s">
        <v>228</v>
      </c>
      <c r="W3758" s="154" t="s">
        <v>187</v>
      </c>
      <c r="X3758" s="144"/>
      <c r="Y3758" s="130" t="s">
        <v>228</v>
      </c>
      <c r="Z3758" s="154" t="s">
        <v>187</v>
      </c>
      <c r="AA3758" s="144"/>
      <c r="AB3758" s="130" t="s">
        <v>228</v>
      </c>
      <c r="AC3758" s="154" t="s">
        <v>187</v>
      </c>
      <c r="AD3758" s="144"/>
      <c r="AE3758" s="130" t="s">
        <v>228</v>
      </c>
      <c r="AF3758" s="154" t="s">
        <v>187</v>
      </c>
      <c r="AG3758" s="144"/>
      <c r="AH3758" s="130" t="s">
        <v>228</v>
      </c>
      <c r="AI3758" s="154" t="s">
        <v>187</v>
      </c>
      <c r="AJ3758" s="144"/>
      <c r="AK3758" s="130" t="s">
        <v>228</v>
      </c>
      <c r="AL3758" s="154" t="s">
        <v>187</v>
      </c>
      <c r="AM3758" s="144"/>
      <c r="AN3758" s="130" t="s">
        <v>228</v>
      </c>
      <c r="AO3758" s="154" t="s">
        <v>187</v>
      </c>
      <c r="AP3758" s="144"/>
      <c r="AQ3758" s="130" t="s">
        <v>228</v>
      </c>
      <c r="AR3758" s="154" t="s">
        <v>187</v>
      </c>
      <c r="AS3758" s="144"/>
      <c r="AT3758" s="130" t="s">
        <v>228</v>
      </c>
      <c r="AU3758" s="154" t="s">
        <v>187</v>
      </c>
    </row>
    <row r="3759" spans="13:47" x14ac:dyDescent="0.25">
      <c r="M3759" s="20"/>
      <c r="N3759" s="20"/>
      <c r="O3759" s="7" t="s">
        <v>188</v>
      </c>
      <c r="P3759" s="7"/>
      <c r="Q3759" s="7"/>
      <c r="R3759" s="181">
        <f>P_1_minW-(R3757^2*R_up)+dpup_minQ</f>
        <v>98.556639948460671</v>
      </c>
      <c r="S3759" s="132"/>
      <c r="T3759" s="145"/>
      <c r="U3759" s="138">
        <f>P_1_minW-(U3757^2*R_up)+dpup_minQ</f>
        <v>83.392696442514691</v>
      </c>
      <c r="V3759" s="132"/>
      <c r="W3759" s="145"/>
      <c r="X3759" s="138">
        <f>P_1_minW-(X3757^2*R_up)+dpup_minQ</f>
        <v>-4.2502859347431334</v>
      </c>
      <c r="Y3759" s="132"/>
      <c r="Z3759" s="145"/>
      <c r="AA3759" s="138">
        <f>P_1_minW-(AA3757^2*R_up)+dpup_minQ</f>
        <v>-296.95582791902245</v>
      </c>
      <c r="AB3759" s="132"/>
      <c r="AC3759" s="145"/>
      <c r="AD3759" s="138">
        <f>P_1_minW-(AD3757^2*R_up)+dpup_minQ</f>
        <v>-974.58286708345497</v>
      </c>
      <c r="AE3759" s="132"/>
      <c r="AF3759" s="145"/>
      <c r="AG3759" s="138">
        <f>P_1_minW-(AG3757^2*R_up)+dpup_minQ</f>
        <v>-2014.4489250965325</v>
      </c>
      <c r="AH3759" s="132"/>
      <c r="AI3759" s="145"/>
      <c r="AJ3759" s="138">
        <f>P_1_minW-(AJ3757^2*R_up)+dpup_minQ</f>
        <v>-3309.2897606415772</v>
      </c>
      <c r="AK3759" s="132"/>
      <c r="AL3759" s="145"/>
      <c r="AM3759" s="138">
        <f>P_1_minW-(AM3757^2*R_up)+dpup_minQ</f>
        <v>-4587.7671908194461</v>
      </c>
      <c r="AN3759" s="132"/>
      <c r="AO3759" s="145"/>
      <c r="AP3759" s="138">
        <f>P_1_minW-(AP3757^2*R_up)+dpup_minQ</f>
        <v>-5735.0661034387313</v>
      </c>
      <c r="AQ3759" s="132"/>
      <c r="AR3759" s="145"/>
      <c r="AS3759" s="138">
        <f>P_1_minW-(AS3757^2*R_up)+dpup_minQ</f>
        <v>-7163.1272558509427</v>
      </c>
      <c r="AT3759" s="132"/>
      <c r="AU3759" s="145"/>
    </row>
    <row r="3760" spans="13:47" x14ac:dyDescent="0.25">
      <c r="M3760" s="20"/>
      <c r="N3760" s="20"/>
      <c r="O3760" s="7" t="s">
        <v>189</v>
      </c>
      <c r="P3760" s="1"/>
      <c r="Q3760" s="7"/>
      <c r="R3760" s="181">
        <f>P_2_minW+(R3757^2*R_dn)-dpdn_minQ</f>
        <v>50</v>
      </c>
      <c r="S3760" s="132"/>
      <c r="T3760" s="146"/>
      <c r="U3760" s="138">
        <f>P_2_minW+(U3757^2*R_dn)-dpdn_minQ</f>
        <v>50</v>
      </c>
      <c r="V3760" s="132"/>
      <c r="W3760" s="146"/>
      <c r="X3760" s="138">
        <f>P_2_minW+(X3757^2*R_dn)-dpdn_minQ</f>
        <v>50</v>
      </c>
      <c r="Y3760" s="132"/>
      <c r="Z3760" s="146"/>
      <c r="AA3760" s="138">
        <f>P_2_minW+(AA3757^2*R_dn)-dpdn_minQ</f>
        <v>50</v>
      </c>
      <c r="AB3760" s="132"/>
      <c r="AC3760" s="146"/>
      <c r="AD3760" s="138">
        <f>P_2_minW+(AD3757^2*R_dn)-dpdn_minQ</f>
        <v>50</v>
      </c>
      <c r="AE3760" s="132"/>
      <c r="AF3760" s="146"/>
      <c r="AG3760" s="138">
        <f>P_2_minW+(AG3757^2*R_dn)-dpdn_minQ</f>
        <v>50</v>
      </c>
      <c r="AH3760" s="132"/>
      <c r="AI3760" s="146"/>
      <c r="AJ3760" s="138">
        <f>P_2_minW+(AJ3757^2*R_dn)-dpdn_minQ</f>
        <v>50</v>
      </c>
      <c r="AK3760" s="132"/>
      <c r="AL3760" s="146"/>
      <c r="AM3760" s="138">
        <f>P_2_minW+(AM3757^2*R_dn)-dpdn_minQ</f>
        <v>50</v>
      </c>
      <c r="AN3760" s="132"/>
      <c r="AO3760" s="146"/>
      <c r="AP3760" s="138">
        <f>P_2_minW+(AP3757^2*R_dn)-dpdn_minQ</f>
        <v>50</v>
      </c>
      <c r="AQ3760" s="132"/>
      <c r="AR3760" s="146"/>
      <c r="AS3760" s="138">
        <f>P_2_minW+(AS3757^2*R_dn)-dpdn_minQ</f>
        <v>50</v>
      </c>
      <c r="AT3760" s="132"/>
      <c r="AU3760" s="146"/>
    </row>
    <row r="3761" spans="13:47" x14ac:dyDescent="0.25">
      <c r="M3761" s="20"/>
      <c r="N3761" s="20"/>
      <c r="O3761" s="7" t="s">
        <v>234</v>
      </c>
      <c r="P3761" s="1"/>
      <c r="Q3761" s="7"/>
      <c r="R3761" s="179">
        <f>'Valve Sizing'!G$8*R3759/P_1_maxW</f>
        <v>0.47541968418315539</v>
      </c>
      <c r="S3761" s="132"/>
      <c r="T3761" s="146"/>
      <c r="U3761" s="143">
        <f>'Valve Sizing'!$G$8*U3759/P_1_maxW</f>
        <v>0.40227152048420978</v>
      </c>
      <c r="V3761" s="132"/>
      <c r="W3761" s="146"/>
      <c r="X3761" s="143">
        <f>'Valve Sizing'!$G$8*X3759/P_1_maxW</f>
        <v>-2.0502622632431255E-2</v>
      </c>
      <c r="Y3761" s="132"/>
      <c r="Z3761" s="146"/>
      <c r="AA3761" s="143">
        <f>'Valve Sizing'!$G$8*AA3759/P_1_maxW</f>
        <v>-1.4324620441548865</v>
      </c>
      <c r="AB3761" s="132"/>
      <c r="AC3761" s="146"/>
      <c r="AD3761" s="143">
        <f>'Valve Sizing'!$G$8*AD3759/P_1_maxW</f>
        <v>-4.7012142370258134</v>
      </c>
      <c r="AE3761" s="132"/>
      <c r="AF3761" s="146"/>
      <c r="AG3761" s="143">
        <f>'Valve Sizing'!$G$8*AG3759/P_1_maxW</f>
        <v>-9.717342964140375</v>
      </c>
      <c r="AH3761" s="132"/>
      <c r="AI3761" s="146"/>
      <c r="AJ3761" s="143">
        <f>'Valve Sizing'!$G$8*AJ3759/P_1_maxW</f>
        <v>-15.963424622608006</v>
      </c>
      <c r="AK3761" s="132"/>
      <c r="AL3761" s="146"/>
      <c r="AM3761" s="143">
        <f>'Valve Sizing'!$G$8*AM3759/P_1_maxW</f>
        <v>-22.130572126909136</v>
      </c>
      <c r="AN3761" s="132"/>
      <c r="AO3761" s="146"/>
      <c r="AP3761" s="143">
        <f>'Valve Sizing'!$G$8*AP3759/P_1_maxW</f>
        <v>-27.66493781740321</v>
      </c>
      <c r="AQ3761" s="132"/>
      <c r="AR3761" s="146"/>
      <c r="AS3761" s="143">
        <f>'Valve Sizing'!$G$8*AS3759/P_1_maxW</f>
        <v>-34.55365056602254</v>
      </c>
      <c r="AT3761" s="132"/>
      <c r="AU3761" s="146"/>
    </row>
    <row r="3762" spans="13:47" x14ac:dyDescent="0.25">
      <c r="M3762" s="20"/>
      <c r="N3762" s="20"/>
      <c r="O3762" s="7" t="s">
        <v>190</v>
      </c>
      <c r="P3762" s="1"/>
      <c r="Q3762" s="7"/>
      <c r="R3762" s="181">
        <f>R3759-R3760</f>
        <v>48.556639948460671</v>
      </c>
      <c r="S3762" s="132"/>
      <c r="T3762" s="146"/>
      <c r="U3762" s="138">
        <f>U3759-U3760</f>
        <v>33.392696442514691</v>
      </c>
      <c r="V3762" s="132"/>
      <c r="W3762" s="146"/>
      <c r="X3762" s="138">
        <f>X3759-X3760</f>
        <v>-54.250285934743133</v>
      </c>
      <c r="Y3762" s="132"/>
      <c r="Z3762" s="146"/>
      <c r="AA3762" s="138">
        <f>AA3759-AA3760</f>
        <v>-346.95582791902245</v>
      </c>
      <c r="AB3762" s="132"/>
      <c r="AC3762" s="146"/>
      <c r="AD3762" s="138">
        <f>AD3759-AD3760</f>
        <v>-1024.5828670834549</v>
      </c>
      <c r="AE3762" s="132"/>
      <c r="AF3762" s="146"/>
      <c r="AG3762" s="138">
        <f>AG3759-AG3760</f>
        <v>-2064.4489250965325</v>
      </c>
      <c r="AH3762" s="132"/>
      <c r="AI3762" s="146"/>
      <c r="AJ3762" s="138">
        <f>AJ3759-AJ3760</f>
        <v>-3359.2897606415772</v>
      </c>
      <c r="AK3762" s="132"/>
      <c r="AL3762" s="146"/>
      <c r="AM3762" s="138">
        <f>AM3759-AM3760</f>
        <v>-4637.7671908194461</v>
      </c>
      <c r="AN3762" s="132"/>
      <c r="AO3762" s="146"/>
      <c r="AP3762" s="138">
        <f>AP3759-AP3760</f>
        <v>-5785.0661034387313</v>
      </c>
      <c r="AQ3762" s="132"/>
      <c r="AR3762" s="146"/>
      <c r="AS3762" s="138">
        <f>AS3759-AS3760</f>
        <v>-7213.1272558509427</v>
      </c>
      <c r="AT3762" s="132"/>
      <c r="AU3762" s="146"/>
    </row>
    <row r="3763" spans="13:47" ht="14.5" x14ac:dyDescent="0.35">
      <c r="M3763" s="27"/>
      <c r="N3763" s="27"/>
      <c r="O3763" s="2" t="s">
        <v>191</v>
      </c>
      <c r="P3763" s="10"/>
      <c r="Q3763" s="2"/>
      <c r="R3763" s="181">
        <f>R3762/R3759</f>
        <v>0.49267750984462272</v>
      </c>
      <c r="S3763" s="132"/>
      <c r="T3763" s="146"/>
      <c r="U3763" s="138">
        <f>U3762/U3759</f>
        <v>0.40042711013108162</v>
      </c>
      <c r="V3763" s="132"/>
      <c r="W3763" s="146"/>
      <c r="X3763" s="138">
        <f>X3762/X3759</f>
        <v>12.763914420741614</v>
      </c>
      <c r="Y3763" s="132"/>
      <c r="Z3763" s="146"/>
      <c r="AA3763" s="138">
        <f>AA3762/AA3759</f>
        <v>1.1683752103819112</v>
      </c>
      <c r="AB3763" s="132"/>
      <c r="AC3763" s="146"/>
      <c r="AD3763" s="138">
        <f>AD3762/AD3759</f>
        <v>1.0513040006024632</v>
      </c>
      <c r="AE3763" s="132"/>
      <c r="AF3763" s="146"/>
      <c r="AG3763" s="138">
        <f>AG3762/AG3759</f>
        <v>1.024820683898751</v>
      </c>
      <c r="AH3763" s="132"/>
      <c r="AI3763" s="146"/>
      <c r="AJ3763" s="138">
        <f>AJ3762/AJ3759</f>
        <v>1.015108982173355</v>
      </c>
      <c r="AK3763" s="132"/>
      <c r="AL3763" s="146"/>
      <c r="AM3763" s="138">
        <f>AM3762/AM3759</f>
        <v>1.0108985477946777</v>
      </c>
      <c r="AN3763" s="132"/>
      <c r="AO3763" s="146"/>
      <c r="AP3763" s="138">
        <f>AP3762/AP3759</f>
        <v>1.008718295325318</v>
      </c>
      <c r="AQ3763" s="132"/>
      <c r="AR3763" s="146"/>
      <c r="AS3763" s="138">
        <f>AS3762/AS3759</f>
        <v>1.0069801915021346</v>
      </c>
      <c r="AT3763" s="132"/>
      <c r="AU3763" s="146"/>
    </row>
    <row r="3764" spans="13:47" x14ac:dyDescent="0.25">
      <c r="M3764" s="27"/>
      <c r="N3764" s="27"/>
      <c r="O3764" s="2" t="s">
        <v>26</v>
      </c>
      <c r="P3764" s="7">
        <v>12</v>
      </c>
      <c r="Q3764" s="2"/>
      <c r="R3764" s="181">
        <f>1-R3763/(3*F_GAMMA*R$29)</f>
        <v>0.74340790721794769</v>
      </c>
      <c r="S3764" s="133"/>
      <c r="T3764" s="146"/>
      <c r="U3764" s="138">
        <f>1-U3763/(3*F_GAMMA*U$29)</f>
        <v>0.79149888936015</v>
      </c>
      <c r="V3764" s="133"/>
      <c r="W3764" s="146"/>
      <c r="X3764" s="138">
        <f>1-X3763/(3*F_GAMMA*X$29)</f>
        <v>-5.7458317754253549</v>
      </c>
      <c r="Y3764" s="133"/>
      <c r="Z3764" s="146"/>
      <c r="AA3764" s="138">
        <f>1-AA3763/(3*F_GAMMA*AA$29)</f>
        <v>0.37403754684050272</v>
      </c>
      <c r="AB3764" s="133"/>
      <c r="AC3764" s="146"/>
      <c r="AD3764" s="138">
        <f>1-AD3763/(3*F_GAMMA*AD$29)</f>
        <v>0.42131612120670003</v>
      </c>
      <c r="AE3764" s="133"/>
      <c r="AF3764" s="146"/>
      <c r="AG3764" s="138">
        <f>1-AG3763/(3*F_GAMMA*AG$29)</f>
        <v>0.40371618744089355</v>
      </c>
      <c r="AH3764" s="133"/>
      <c r="AI3764" s="146"/>
      <c r="AJ3764" s="138">
        <f>1-AJ3763/(3*F_GAMMA*AJ$29)</f>
        <v>0.36860517098699663</v>
      </c>
      <c r="AK3764" s="133"/>
      <c r="AL3764" s="146"/>
      <c r="AM3764" s="138">
        <f>1-AM3763/(3*F_GAMMA*AM$29)</f>
        <v>0.31299833394395238</v>
      </c>
      <c r="AN3764" s="133"/>
      <c r="AO3764" s="146"/>
      <c r="AP3764" s="138">
        <f>1-AP3763/(3*F_GAMMA*AP$29)</f>
        <v>0.43349190327434461</v>
      </c>
      <c r="AQ3764" s="133"/>
      <c r="AR3764" s="146"/>
      <c r="AS3764" s="138">
        <f>1-AS3763/(3*F_GAMMA*AS$29)</f>
        <v>0.14147334806422518</v>
      </c>
      <c r="AT3764" s="133"/>
      <c r="AU3764" s="146"/>
    </row>
    <row r="3765" spans="13:47" x14ac:dyDescent="0.25">
      <c r="M3765" s="27"/>
      <c r="N3765" s="27"/>
      <c r="O3765" s="2" t="s">
        <v>71</v>
      </c>
      <c r="P3765" s="85">
        <v>5</v>
      </c>
      <c r="Q3765" s="2"/>
      <c r="R3765" s="179">
        <f>R3757/((N_6*R$27*R3764)*SQRT(R3763*R3759*R3761))</f>
        <v>9.8222018759123646</v>
      </c>
      <c r="S3765" s="133"/>
      <c r="T3765" s="146"/>
      <c r="U3765" s="143">
        <f>U3757/((N_6*U$27*U3764)*SQRT(U3763*U3759*U3761))</f>
        <v>35.719473353349798</v>
      </c>
      <c r="V3765" s="133"/>
      <c r="W3765" s="146"/>
      <c r="X3765" s="143">
        <f>X3757/((N_6*X$27*X3764)*SQRT(X3763*X3759*X3761))</f>
        <v>-42.382693283939616</v>
      </c>
      <c r="Y3765" s="133"/>
      <c r="Z3765" s="146"/>
      <c r="AA3765" s="143">
        <f>AA3757/((N_6*AA$27*AA3764)*SQRT(AA3763*AA3759*AA3761))</f>
        <v>60.335921956460403</v>
      </c>
      <c r="AB3765" s="133"/>
      <c r="AC3765" s="146"/>
      <c r="AD3765" s="143">
        <f>AD3757/((N_6*AD$27*AD3764)*SQRT(AD3763*AD3759*AD3761))</f>
        <v>28.63495694087468</v>
      </c>
      <c r="AE3765" s="133"/>
      <c r="AF3765" s="146"/>
      <c r="AG3765" s="143">
        <f>AG3757/((N_6*AG$27*AG3764)*SQRT(AG3763*AG3759*AG3761))</f>
        <v>20.98111711835277</v>
      </c>
      <c r="AH3765" s="133"/>
      <c r="AI3765" s="146"/>
      <c r="AJ3765" s="143">
        <f>AJ3757/((N_6*AJ$27*AJ3764)*SQRT(AJ3763*AJ3759*AJ3761))</f>
        <v>18.458863796983415</v>
      </c>
      <c r="AK3765" s="133"/>
      <c r="AL3765" s="146"/>
      <c r="AM3765" s="143">
        <f>AM3757/((N_6*AM$27*AM3764)*SQRT(AM3763*AM3759*AM3761))</f>
        <v>19.556294128272196</v>
      </c>
      <c r="AN3765" s="133"/>
      <c r="AO3765" s="146"/>
      <c r="AP3765" s="143">
        <f>AP3757/((N_6*AP$27*AP3764)*SQRT(AP3763*AP3759*AP3761))</f>
        <v>14.330739816875308</v>
      </c>
      <c r="AQ3765" s="133"/>
      <c r="AR3765" s="146"/>
      <c r="AS3765" s="143">
        <f>AS3757/((N_6*AS$27*AS3764)*SQRT(AS3763*AS3759*AS3761))</f>
        <v>51.583136595574189</v>
      </c>
      <c r="AT3765" s="133"/>
      <c r="AU3765" s="146"/>
    </row>
    <row r="3766" spans="13:47" x14ac:dyDescent="0.25">
      <c r="M3766" s="27"/>
      <c r="N3766" s="27"/>
      <c r="O3766" s="2" t="s">
        <v>73</v>
      </c>
      <c r="P3766" s="85">
        <v>5</v>
      </c>
      <c r="Q3766" s="2"/>
      <c r="R3766" s="179">
        <f>R3757/((N_6*R$27*0.667)*SQRT(R3767*R3759*R3761))</f>
        <v>9.6048914266618652</v>
      </c>
      <c r="S3766" s="133"/>
      <c r="T3766" s="155"/>
      <c r="U3766" s="143">
        <f>U3757/((N_6*U$27*0.667)*SQRT(U3767*U3759*U3761))</f>
        <v>33.523112664033107</v>
      </c>
      <c r="V3766" s="133"/>
      <c r="W3766" s="155"/>
      <c r="X3766" s="143">
        <f>X3757/((N_6*X$27*0.667)*SQRT(X3767*X3759*X3761))</f>
        <v>1642.4569862761152</v>
      </c>
      <c r="Y3766" s="133"/>
      <c r="Z3766" s="155"/>
      <c r="AA3766" s="143">
        <f>AA3757/((N_6*AA$27*0.667)*SQRT(AA3767*AA3759*AA3761))</f>
        <v>46.366048874717769</v>
      </c>
      <c r="AB3766" s="133"/>
      <c r="AC3766" s="155"/>
      <c r="AD3766" s="143">
        <f>AD3757/((N_6*AD$27*0.667)*SQRT(AD3767*AD3759*AD3761))</f>
        <v>23.831978421551458</v>
      </c>
      <c r="AE3766" s="133"/>
      <c r="AF3766" s="155"/>
      <c r="AG3766" s="143">
        <f>AG3757/((N_6*AG$27*0.667)*SQRT(AG3767*AG3759*AG3761))</f>
        <v>16.985020468412038</v>
      </c>
      <c r="AH3766" s="133"/>
      <c r="AI3766" s="155"/>
      <c r="AJ3766" s="143">
        <f>AJ3757/((N_6*AJ$27*0.667)*SQRT(AJ3767*AJ3759*AJ3761))</f>
        <v>14.039501660411869</v>
      </c>
      <c r="AK3766" s="133"/>
      <c r="AL3766" s="155"/>
      <c r="AM3766" s="143">
        <f>AM3757/((N_6*AM$27*0.667)*SQRT(AM3767*AM3759*AM3761))</f>
        <v>13.174746722856398</v>
      </c>
      <c r="AN3766" s="133"/>
      <c r="AO3766" s="155"/>
      <c r="AP3766" s="143">
        <f>AP3757/((N_6*AP$27*0.667)*SQRT(AP3767*AP3759*AP3761))</f>
        <v>12.141922471107234</v>
      </c>
      <c r="AQ3766" s="133"/>
      <c r="AR3766" s="155"/>
      <c r="AS3766" s="143">
        <f>AS3757/((N_6*AS$27*0.667)*SQRT(AS3767*AS3759*AS3761))</f>
        <v>17.55876888317157</v>
      </c>
      <c r="AT3766" s="133"/>
      <c r="AU3766" s="155"/>
    </row>
    <row r="3767" spans="13:47" ht="15.5" x14ac:dyDescent="0.4">
      <c r="M3767" s="27"/>
      <c r="N3767" s="27"/>
      <c r="O3767" s="2" t="s">
        <v>192</v>
      </c>
      <c r="P3767" s="85">
        <v>10</v>
      </c>
      <c r="Q3767" s="2"/>
      <c r="R3767" s="181">
        <f>F_GAMMA*R$29</f>
        <v>0.64002688015162901</v>
      </c>
      <c r="S3767" s="133"/>
      <c r="T3767" s="155"/>
      <c r="U3767" s="138">
        <f>F_GAMMA*U$29</f>
        <v>0.64016782916606918</v>
      </c>
      <c r="V3767" s="133"/>
      <c r="W3767" s="155"/>
      <c r="X3767" s="138">
        <f>F_GAMMA*X$29</f>
        <v>0.6307062319203669</v>
      </c>
      <c r="Y3767" s="133"/>
      <c r="Z3767" s="155"/>
      <c r="AA3767" s="138">
        <f>F_GAMMA*AA$29</f>
        <v>0.62217534213893466</v>
      </c>
      <c r="AB3767" s="133"/>
      <c r="AC3767" s="155"/>
      <c r="AD3767" s="138">
        <f>F_GAMMA*AD$29</f>
        <v>0.60557184969146072</v>
      </c>
      <c r="AE3767" s="133"/>
      <c r="AF3767" s="155"/>
      <c r="AG3767" s="138">
        <f>F_GAMMA*AG$29</f>
        <v>0.57289312142622573</v>
      </c>
      <c r="AH3767" s="133"/>
      <c r="AI3767" s="155"/>
      <c r="AJ3767" s="138">
        <f>F_GAMMA*AJ$29</f>
        <v>0.53590819116049981</v>
      </c>
      <c r="AK3767" s="133"/>
      <c r="AL3767" s="155"/>
      <c r="AM3767" s="138">
        <f>F_GAMMA*AM$29</f>
        <v>0.49048815926850342</v>
      </c>
      <c r="AN3767" s="133"/>
      <c r="AO3767" s="155"/>
      <c r="AP3767" s="138">
        <f>F_GAMMA*AP$29</f>
        <v>0.59352979016280105</v>
      </c>
      <c r="AQ3767" s="133"/>
      <c r="AR3767" s="155"/>
      <c r="AS3767" s="138">
        <f>F_GAMMA*AS$29</f>
        <v>0.39097221161068291</v>
      </c>
      <c r="AT3767" s="133"/>
      <c r="AU3767" s="155"/>
    </row>
    <row r="3768" spans="13:47" x14ac:dyDescent="0.25">
      <c r="M3768" s="27"/>
      <c r="N3768" s="27"/>
      <c r="O3768" s="2" t="s">
        <v>193</v>
      </c>
      <c r="P3768" s="134"/>
      <c r="Q3768" s="2"/>
      <c r="R3768" s="181">
        <f>IF(R3763&lt;R3767,R3765,R3766)</f>
        <v>9.8222018759123646</v>
      </c>
      <c r="S3768" s="133"/>
      <c r="T3768" s="155"/>
      <c r="U3768" s="138">
        <f>IF(U3763&lt;U3767,U3765,U3766)</f>
        <v>35.719473353349798</v>
      </c>
      <c r="V3768" s="133"/>
      <c r="W3768" s="155"/>
      <c r="X3768" s="138">
        <f>IF(X3763&lt;X3767,X3765,X3766)</f>
        <v>1642.4569862761152</v>
      </c>
      <c r="Y3768" s="133"/>
      <c r="Z3768" s="155"/>
      <c r="AA3768" s="138">
        <f>IF(AA3763&lt;AA3767,AA3765,AA3766)</f>
        <v>46.366048874717769</v>
      </c>
      <c r="AB3768" s="133"/>
      <c r="AC3768" s="155"/>
      <c r="AD3768" s="138">
        <f>IF(AD3763&lt;AD3767,AD3765,AD3766)</f>
        <v>23.831978421551458</v>
      </c>
      <c r="AE3768" s="133"/>
      <c r="AF3768" s="155"/>
      <c r="AG3768" s="138">
        <f>IF(AG3763&lt;AG3767,AG3765,AG3766)</f>
        <v>16.985020468412038</v>
      </c>
      <c r="AH3768" s="133"/>
      <c r="AI3768" s="155"/>
      <c r="AJ3768" s="138">
        <f>IF(AJ3763&lt;AJ3767,AJ3765,AJ3766)</f>
        <v>14.039501660411869</v>
      </c>
      <c r="AK3768" s="133"/>
      <c r="AL3768" s="155"/>
      <c r="AM3768" s="138">
        <f>IF(AM3763&lt;AM3767,AM3765,AM3766)</f>
        <v>13.174746722856398</v>
      </c>
      <c r="AN3768" s="133"/>
      <c r="AO3768" s="155"/>
      <c r="AP3768" s="138">
        <f>IF(AP3763&lt;AP3767,AP3765,AP3766)</f>
        <v>12.141922471107234</v>
      </c>
      <c r="AQ3768" s="133"/>
      <c r="AR3768" s="155"/>
      <c r="AS3768" s="138">
        <f>IF(AS3763&lt;AS3767,AS3765,AS3766)</f>
        <v>17.55876888317157</v>
      </c>
      <c r="AT3768" s="133"/>
      <c r="AU3768" s="155"/>
    </row>
    <row r="3769" spans="13:47" ht="13" x14ac:dyDescent="0.3">
      <c r="M3769" s="28"/>
      <c r="N3769" s="28"/>
      <c r="O3769" s="9" t="s">
        <v>194</v>
      </c>
      <c r="P3769" s="1"/>
      <c r="Q3769" s="1"/>
      <c r="R3769" s="135"/>
      <c r="S3769" s="132">
        <f>IF(R3762&lt;=0,W_max,ABS(R$23-R3768))</f>
        <v>7.8222018759123646</v>
      </c>
      <c r="T3769" s="151">
        <f>R3757</f>
        <v>2220.5020340941787</v>
      </c>
      <c r="U3769" s="135"/>
      <c r="V3769" s="132">
        <f>IF(U3762&lt;=0,W_max,ABS(U$23-U3768))</f>
        <v>30.719473353349798</v>
      </c>
      <c r="W3769" s="151">
        <f>U3757</f>
        <v>6554.2504466905621</v>
      </c>
      <c r="X3769" s="135"/>
      <c r="Y3769" s="132">
        <f>IF(X3762&lt;=0,W_max,ABS(X$23-X3768))</f>
        <v>7174</v>
      </c>
      <c r="Z3769" s="151">
        <f>X3757</f>
        <v>16209.441319611869</v>
      </c>
      <c r="AA3769" s="135"/>
      <c r="AB3769" s="132">
        <f>IF(AA3762&lt;=0,W_max,ABS(AA$23-AA3768))</f>
        <v>7174</v>
      </c>
      <c r="AC3769" s="151">
        <f>AA3757</f>
        <v>31571.854305054192</v>
      </c>
      <c r="AD3769" s="135"/>
      <c r="AE3769" s="132">
        <f>IF(AD3762&lt;=0,W_max,ABS(AD$23-AD3768))</f>
        <v>7174</v>
      </c>
      <c r="AF3769" s="151">
        <f>AD3757</f>
        <v>51924.076264710922</v>
      </c>
      <c r="AG3769" s="135"/>
      <c r="AH3769" s="132">
        <f>IF(AG3762&lt;=0,W_max,ABS(AG$23-AG3768))</f>
        <v>7174</v>
      </c>
      <c r="AI3769" s="151">
        <f>AG3757</f>
        <v>72827.514396997227</v>
      </c>
      <c r="AJ3769" s="135"/>
      <c r="AK3769" s="132">
        <f>IF(AJ3762&lt;=0,W_max,ABS(AJ$23-AJ3768))</f>
        <v>7174</v>
      </c>
      <c r="AL3769" s="151">
        <f>AJ3757</f>
        <v>92471.618396324237</v>
      </c>
      <c r="AM3769" s="135"/>
      <c r="AN3769" s="132">
        <f>IF(AM3762&lt;=0,W_max,ABS(AM$23-AM3768))</f>
        <v>7174</v>
      </c>
      <c r="AO3769" s="151">
        <f>AM3757</f>
        <v>108430.24499306321</v>
      </c>
      <c r="AP3769" s="135"/>
      <c r="AQ3769" s="132">
        <f>IF(AP3762&lt;=0,W_max,ABS(AP$23-AP3768))</f>
        <v>7174</v>
      </c>
      <c r="AR3769" s="151">
        <f>AP3757</f>
        <v>120972.19215992605</v>
      </c>
      <c r="AS3769" s="135"/>
      <c r="AT3769" s="132">
        <f>IF(AS3762&lt;=0,W_max,ABS(AS$23-AS3768))</f>
        <v>7174</v>
      </c>
      <c r="AU3769" s="151">
        <f>AS3757</f>
        <v>134964.84561954369</v>
      </c>
    </row>
    <row r="3770" spans="13:47" ht="13" x14ac:dyDescent="0.25">
      <c r="M3770" s="12"/>
      <c r="N3770" s="12"/>
      <c r="O3770" s="2"/>
      <c r="P3770" s="85"/>
      <c r="Q3770" s="2"/>
      <c r="R3770" s="18"/>
      <c r="S3770" s="150"/>
      <c r="T3770" s="148"/>
      <c r="U3770" s="157"/>
      <c r="V3770" s="1"/>
      <c r="W3770" s="147"/>
      <c r="X3770" s="157"/>
      <c r="Y3770" s="1"/>
      <c r="Z3770" s="147"/>
      <c r="AA3770" s="157"/>
      <c r="AB3770" s="1"/>
      <c r="AC3770" s="147"/>
      <c r="AD3770" s="157"/>
      <c r="AE3770" s="1"/>
      <c r="AF3770" s="147"/>
      <c r="AG3770" s="157"/>
      <c r="AH3770" s="1"/>
      <c r="AI3770" s="147"/>
      <c r="AJ3770" s="157"/>
      <c r="AK3770" s="1"/>
      <c r="AL3770" s="147"/>
      <c r="AM3770" s="157"/>
      <c r="AN3770" s="1"/>
      <c r="AO3770" s="147"/>
      <c r="AP3770" s="157"/>
      <c r="AQ3770" s="1"/>
      <c r="AR3770" s="147"/>
      <c r="AS3770" s="157"/>
      <c r="AT3770" s="1"/>
      <c r="AU3770" s="147"/>
    </row>
    <row r="3771" spans="13:47" ht="14" x14ac:dyDescent="0.3">
      <c r="M3771" s="23"/>
      <c r="N3771" s="23"/>
      <c r="O3771" s="23" t="s">
        <v>238</v>
      </c>
      <c r="P3771" s="20"/>
      <c r="Q3771" s="20"/>
      <c r="R3771" s="181">
        <f>R3757*1.02</f>
        <v>2264.9120747760621</v>
      </c>
      <c r="S3771" s="128" t="s">
        <v>185</v>
      </c>
      <c r="T3771" s="149" t="s">
        <v>186</v>
      </c>
      <c r="U3771" s="143">
        <f>U3757*1.01</f>
        <v>6619.7929511574675</v>
      </c>
      <c r="V3771" s="128" t="s">
        <v>185</v>
      </c>
      <c r="W3771" s="153" t="s">
        <v>186</v>
      </c>
      <c r="X3771" s="143">
        <f>X3757*1.01</f>
        <v>16371.535732807988</v>
      </c>
      <c r="Y3771" s="128" t="s">
        <v>185</v>
      </c>
      <c r="Z3771" s="153" t="s">
        <v>186</v>
      </c>
      <c r="AA3771" s="143">
        <f>AA3757*1.01</f>
        <v>31887.572848104734</v>
      </c>
      <c r="AB3771" s="128" t="s">
        <v>185</v>
      </c>
      <c r="AC3771" s="153" t="s">
        <v>186</v>
      </c>
      <c r="AD3771" s="143">
        <f>AD3757*1.01</f>
        <v>52443.317027358033</v>
      </c>
      <c r="AE3771" s="128" t="s">
        <v>185</v>
      </c>
      <c r="AF3771" s="153" t="s">
        <v>186</v>
      </c>
      <c r="AG3771" s="143">
        <f>AG3757*1.01</f>
        <v>73555.789540967206</v>
      </c>
      <c r="AH3771" s="128" t="s">
        <v>185</v>
      </c>
      <c r="AI3771" s="153" t="s">
        <v>186</v>
      </c>
      <c r="AJ3771" s="143">
        <f>AJ3757*1.01</f>
        <v>93396.334580287483</v>
      </c>
      <c r="AK3771" s="128" t="s">
        <v>185</v>
      </c>
      <c r="AL3771" s="153" t="s">
        <v>186</v>
      </c>
      <c r="AM3771" s="143">
        <f>AM3757*1.01</f>
        <v>109514.54744299385</v>
      </c>
      <c r="AN3771" s="128" t="s">
        <v>185</v>
      </c>
      <c r="AO3771" s="153" t="s">
        <v>186</v>
      </c>
      <c r="AP3771" s="143">
        <f>AP3757*1.01</f>
        <v>122181.91408152532</v>
      </c>
      <c r="AQ3771" s="128" t="s">
        <v>185</v>
      </c>
      <c r="AR3771" s="153" t="s">
        <v>186</v>
      </c>
      <c r="AS3771" s="143">
        <f>AS3757*1.01</f>
        <v>136314.49407573912</v>
      </c>
      <c r="AT3771" s="128" t="s">
        <v>185</v>
      </c>
      <c r="AU3771" s="153" t="s">
        <v>186</v>
      </c>
    </row>
    <row r="3772" spans="13:47" ht="14" x14ac:dyDescent="0.3">
      <c r="M3772" s="12"/>
      <c r="N3772" s="12"/>
      <c r="O3772" s="20"/>
      <c r="P3772" s="20"/>
      <c r="Q3772" s="23"/>
      <c r="R3772" s="139"/>
      <c r="S3772" s="130" t="s">
        <v>228</v>
      </c>
      <c r="T3772" s="131" t="s">
        <v>187</v>
      </c>
      <c r="U3772" s="144"/>
      <c r="V3772" s="130" t="s">
        <v>228</v>
      </c>
      <c r="W3772" s="154" t="s">
        <v>187</v>
      </c>
      <c r="X3772" s="144"/>
      <c r="Y3772" s="130" t="s">
        <v>228</v>
      </c>
      <c r="Z3772" s="154" t="s">
        <v>187</v>
      </c>
      <c r="AA3772" s="144"/>
      <c r="AB3772" s="130" t="s">
        <v>228</v>
      </c>
      <c r="AC3772" s="154" t="s">
        <v>187</v>
      </c>
      <c r="AD3772" s="144"/>
      <c r="AE3772" s="130" t="s">
        <v>228</v>
      </c>
      <c r="AF3772" s="154" t="s">
        <v>187</v>
      </c>
      <c r="AG3772" s="144"/>
      <c r="AH3772" s="130" t="s">
        <v>228</v>
      </c>
      <c r="AI3772" s="154" t="s">
        <v>187</v>
      </c>
      <c r="AJ3772" s="144"/>
      <c r="AK3772" s="130" t="s">
        <v>228</v>
      </c>
      <c r="AL3772" s="154" t="s">
        <v>187</v>
      </c>
      <c r="AM3772" s="144"/>
      <c r="AN3772" s="130" t="s">
        <v>228</v>
      </c>
      <c r="AO3772" s="154" t="s">
        <v>187</v>
      </c>
      <c r="AP3772" s="144"/>
      <c r="AQ3772" s="130" t="s">
        <v>228</v>
      </c>
      <c r="AR3772" s="154" t="s">
        <v>187</v>
      </c>
      <c r="AS3772" s="144"/>
      <c r="AT3772" s="130" t="s">
        <v>228</v>
      </c>
      <c r="AU3772" s="154" t="s">
        <v>187</v>
      </c>
    </row>
    <row r="3773" spans="13:47" x14ac:dyDescent="0.25">
      <c r="M3773" s="20"/>
      <c r="N3773" s="20"/>
      <c r="O3773" s="7" t="s">
        <v>188</v>
      </c>
      <c r="P3773" s="7"/>
      <c r="Q3773" s="7"/>
      <c r="R3773" s="181">
        <f>P_1_minW-(R3771^2*R_up)+dpup_minQ</f>
        <v>98.477207618214734</v>
      </c>
      <c r="S3773" s="132"/>
      <c r="T3773" s="145"/>
      <c r="U3773" s="138">
        <f>P_1_minW-(U3771^2*R_up)+dpup_minQ</f>
        <v>83.048381627601032</v>
      </c>
      <c r="V3773" s="132"/>
      <c r="W3773" s="145"/>
      <c r="X3773" s="138">
        <f>P_1_minW-(X3771^2*R_up)+dpup_minQ</f>
        <v>-6.3562246954396935</v>
      </c>
      <c r="Y3773" s="132"/>
      <c r="Z3773" s="145"/>
      <c r="AA3773" s="138">
        <f>P_1_minW-(AA3771^2*R_up)+dpup_minQ</f>
        <v>-304.94514807360298</v>
      </c>
      <c r="AB3773" s="132"/>
      <c r="AC3773" s="145"/>
      <c r="AD3773" s="138">
        <f>P_1_minW-(AD3771^2*R_up)+dpup_minQ</f>
        <v>-996.19249072524087</v>
      </c>
      <c r="AE3773" s="132"/>
      <c r="AF3773" s="145"/>
      <c r="AG3773" s="138">
        <f>P_1_minW-(AG3771^2*R_up)+dpup_minQ</f>
        <v>-2056.9598565043812</v>
      </c>
      <c r="AH3773" s="132"/>
      <c r="AI3773" s="145"/>
      <c r="AJ3773" s="138">
        <f>P_1_minW-(AJ3771^2*R_up)+dpup_minQ</f>
        <v>-3377.8269928438813</v>
      </c>
      <c r="AK3773" s="132"/>
      <c r="AL3773" s="145"/>
      <c r="AM3773" s="138">
        <f>P_1_minW-(AM3771^2*R_up)+dpup_minQ</f>
        <v>-4682.0018193683254</v>
      </c>
      <c r="AN3773" s="132"/>
      <c r="AO3773" s="145"/>
      <c r="AP3773" s="138">
        <f>P_1_minW-(AP3771^2*R_up)+dpup_minQ</f>
        <v>-5852.361440131258</v>
      </c>
      <c r="AQ3773" s="132"/>
      <c r="AR3773" s="145"/>
      <c r="AS3773" s="138">
        <f>P_1_minW-(AS3771^2*R_up)+dpup_minQ</f>
        <v>-7309.1266217069533</v>
      </c>
      <c r="AT3773" s="132"/>
      <c r="AU3773" s="145"/>
    </row>
    <row r="3774" spans="13:47" x14ac:dyDescent="0.25">
      <c r="M3774" s="20"/>
      <c r="N3774" s="20"/>
      <c r="O3774" s="7" t="s">
        <v>189</v>
      </c>
      <c r="P3774" s="1"/>
      <c r="Q3774" s="7"/>
      <c r="R3774" s="181">
        <f>P_2_minW+(R3771^2*R_dn)-dpdn_minQ</f>
        <v>50</v>
      </c>
      <c r="S3774" s="132"/>
      <c r="T3774" s="146"/>
      <c r="U3774" s="138">
        <f>P_2_minW+(U3771^2*R_dn)-dpdn_minQ</f>
        <v>50</v>
      </c>
      <c r="V3774" s="132"/>
      <c r="W3774" s="146"/>
      <c r="X3774" s="138">
        <f>P_2_minW+(X3771^2*R_dn)-dpdn_minQ</f>
        <v>50</v>
      </c>
      <c r="Y3774" s="132"/>
      <c r="Z3774" s="146"/>
      <c r="AA3774" s="138">
        <f>P_2_minW+(AA3771^2*R_dn)-dpdn_minQ</f>
        <v>50</v>
      </c>
      <c r="AB3774" s="132"/>
      <c r="AC3774" s="146"/>
      <c r="AD3774" s="138">
        <f>P_2_minW+(AD3771^2*R_dn)-dpdn_minQ</f>
        <v>50</v>
      </c>
      <c r="AE3774" s="132"/>
      <c r="AF3774" s="146"/>
      <c r="AG3774" s="138">
        <f>P_2_minW+(AG3771^2*R_dn)-dpdn_minQ</f>
        <v>50</v>
      </c>
      <c r="AH3774" s="132"/>
      <c r="AI3774" s="146"/>
      <c r="AJ3774" s="138">
        <f>P_2_minW+(AJ3771^2*R_dn)-dpdn_minQ</f>
        <v>50</v>
      </c>
      <c r="AK3774" s="132"/>
      <c r="AL3774" s="146"/>
      <c r="AM3774" s="138">
        <f>P_2_minW+(AM3771^2*R_dn)-dpdn_minQ</f>
        <v>50</v>
      </c>
      <c r="AN3774" s="132"/>
      <c r="AO3774" s="146"/>
      <c r="AP3774" s="138">
        <f>P_2_minW+(AP3771^2*R_dn)-dpdn_minQ</f>
        <v>50</v>
      </c>
      <c r="AQ3774" s="132"/>
      <c r="AR3774" s="146"/>
      <c r="AS3774" s="138">
        <f>P_2_minW+(AS3771^2*R_dn)-dpdn_minQ</f>
        <v>50</v>
      </c>
      <c r="AT3774" s="132"/>
      <c r="AU3774" s="146"/>
    </row>
    <row r="3775" spans="13:47" x14ac:dyDescent="0.25">
      <c r="M3775" s="20"/>
      <c r="N3775" s="20"/>
      <c r="O3775" s="7" t="s">
        <v>234</v>
      </c>
      <c r="P3775" s="1"/>
      <c r="Q3775" s="7"/>
      <c r="R3775" s="179">
        <f>'Valve Sizing'!G$8*R3773/P_1_maxW</f>
        <v>0.47503651676410374</v>
      </c>
      <c r="S3775" s="132"/>
      <c r="T3775" s="146"/>
      <c r="U3775" s="143">
        <f>'Valve Sizing'!$G$8*U3773/P_1_maxW</f>
        <v>0.40061060711854068</v>
      </c>
      <c r="V3775" s="132"/>
      <c r="W3775" s="146"/>
      <c r="X3775" s="143">
        <f>'Valve Sizing'!$G$8*X3773/P_1_maxW</f>
        <v>-3.0661296274744908E-2</v>
      </c>
      <c r="Y3775" s="132"/>
      <c r="Z3775" s="146"/>
      <c r="AA3775" s="143">
        <f>'Valve Sizing'!$G$8*AA3773/P_1_maxW</f>
        <v>-1.4710011021698013</v>
      </c>
      <c r="AB3775" s="132"/>
      <c r="AC3775" s="146"/>
      <c r="AD3775" s="143">
        <f>'Valve Sizing'!$G$8*AD3773/P_1_maxW</f>
        <v>-4.8054552141174351</v>
      </c>
      <c r="AE3775" s="132"/>
      <c r="AF3775" s="146"/>
      <c r="AG3775" s="143">
        <f>'Valve Sizing'!$G$8*AG3773/P_1_maxW</f>
        <v>-9.9224081286469978</v>
      </c>
      <c r="AH3775" s="132"/>
      <c r="AI3775" s="146"/>
      <c r="AJ3775" s="143">
        <f>'Valve Sizing'!$G$8*AJ3773/P_1_maxW</f>
        <v>-16.294036028449828</v>
      </c>
      <c r="AK3775" s="132"/>
      <c r="AL3775" s="146"/>
      <c r="AM3775" s="143">
        <f>'Valve Sizing'!$G$8*AM3773/P_1_maxW</f>
        <v>-22.585143197587414</v>
      </c>
      <c r="AN3775" s="132"/>
      <c r="AO3775" s="146"/>
      <c r="AP3775" s="143">
        <f>'Valve Sizing'!$G$8*AP3773/P_1_maxW</f>
        <v>-28.230749638460416</v>
      </c>
      <c r="AQ3775" s="132"/>
      <c r="AR3775" s="146"/>
      <c r="AS3775" s="143">
        <f>'Valve Sizing'!$G$8*AS3773/P_1_maxW</f>
        <v>-35.257925513326988</v>
      </c>
      <c r="AT3775" s="132"/>
      <c r="AU3775" s="146"/>
    </row>
    <row r="3776" spans="13:47" x14ac:dyDescent="0.25">
      <c r="M3776" s="20"/>
      <c r="N3776" s="20"/>
      <c r="O3776" s="7" t="s">
        <v>190</v>
      </c>
      <c r="P3776" s="1"/>
      <c r="Q3776" s="7"/>
      <c r="R3776" s="181">
        <f>R3773-R3774</f>
        <v>48.477207618214734</v>
      </c>
      <c r="S3776" s="132"/>
      <c r="T3776" s="146"/>
      <c r="U3776" s="138">
        <f>U3773-U3774</f>
        <v>33.048381627601032</v>
      </c>
      <c r="V3776" s="132"/>
      <c r="W3776" s="146"/>
      <c r="X3776" s="138">
        <f>X3773-X3774</f>
        <v>-56.356224695439693</v>
      </c>
      <c r="Y3776" s="132"/>
      <c r="Z3776" s="146"/>
      <c r="AA3776" s="138">
        <f>AA3773-AA3774</f>
        <v>-354.94514807360298</v>
      </c>
      <c r="AB3776" s="132"/>
      <c r="AC3776" s="146"/>
      <c r="AD3776" s="138">
        <f>AD3773-AD3774</f>
        <v>-1046.192490725241</v>
      </c>
      <c r="AE3776" s="132"/>
      <c r="AF3776" s="146"/>
      <c r="AG3776" s="138">
        <f>AG3773-AG3774</f>
        <v>-2106.9598565043812</v>
      </c>
      <c r="AH3776" s="132"/>
      <c r="AI3776" s="146"/>
      <c r="AJ3776" s="138">
        <f>AJ3773-AJ3774</f>
        <v>-3427.8269928438813</v>
      </c>
      <c r="AK3776" s="132"/>
      <c r="AL3776" s="146"/>
      <c r="AM3776" s="138">
        <f>AM3773-AM3774</f>
        <v>-4732.0018193683254</v>
      </c>
      <c r="AN3776" s="132"/>
      <c r="AO3776" s="146"/>
      <c r="AP3776" s="138">
        <f>AP3773-AP3774</f>
        <v>-5902.361440131258</v>
      </c>
      <c r="AQ3776" s="132"/>
      <c r="AR3776" s="146"/>
      <c r="AS3776" s="138">
        <f>AS3773-AS3774</f>
        <v>-7359.1266217069533</v>
      </c>
      <c r="AT3776" s="132"/>
      <c r="AU3776" s="146"/>
    </row>
    <row r="3777" spans="13:47" ht="14.5" x14ac:dyDescent="0.35">
      <c r="M3777" s="27"/>
      <c r="N3777" s="27"/>
      <c r="O3777" s="2" t="s">
        <v>191</v>
      </c>
      <c r="P3777" s="10"/>
      <c r="Q3777" s="2"/>
      <c r="R3777" s="181">
        <f>R3776/R3773</f>
        <v>0.49226830035794189</v>
      </c>
      <c r="S3777" s="132"/>
      <c r="T3777" s="146"/>
      <c r="U3777" s="138">
        <f>U3776/U3773</f>
        <v>0.39794130818579904</v>
      </c>
      <c r="V3777" s="132"/>
      <c r="W3777" s="146"/>
      <c r="X3777" s="138">
        <f>X3776/X3773</f>
        <v>8.8663046691651353</v>
      </c>
      <c r="Y3777" s="132"/>
      <c r="Z3777" s="146"/>
      <c r="AA3777" s="138">
        <f>AA3776/AA3773</f>
        <v>1.1639639138902835</v>
      </c>
      <c r="AB3777" s="132"/>
      <c r="AC3777" s="146"/>
      <c r="AD3777" s="138">
        <f>AD3776/AD3773</f>
        <v>1.0501911030905278</v>
      </c>
      <c r="AE3777" s="132"/>
      <c r="AF3777" s="146"/>
      <c r="AG3777" s="138">
        <f>AG3776/AG3773</f>
        <v>1.0243077179371747</v>
      </c>
      <c r="AH3777" s="132"/>
      <c r="AI3777" s="146"/>
      <c r="AJ3777" s="138">
        <f>AJ3776/AJ3773</f>
        <v>1.0148024159040494</v>
      </c>
      <c r="AK3777" s="132"/>
      <c r="AL3777" s="146"/>
      <c r="AM3777" s="138">
        <f>AM3776/AM3773</f>
        <v>1.0106791927745866</v>
      </c>
      <c r="AN3777" s="132"/>
      <c r="AO3777" s="146"/>
      <c r="AP3777" s="138">
        <f>AP3776/AP3773</f>
        <v>1.0085435598111108</v>
      </c>
      <c r="AQ3777" s="132"/>
      <c r="AR3777" s="146"/>
      <c r="AS3777" s="138">
        <f>AS3776/AS3773</f>
        <v>1.006840762595562</v>
      </c>
      <c r="AT3777" s="132"/>
      <c r="AU3777" s="146"/>
    </row>
    <row r="3778" spans="13:47" x14ac:dyDescent="0.25">
      <c r="M3778" s="27"/>
      <c r="N3778" s="27"/>
      <c r="O3778" s="2" t="s">
        <v>26</v>
      </c>
      <c r="P3778" s="7">
        <v>12</v>
      </c>
      <c r="Q3778" s="2"/>
      <c r="R3778" s="181">
        <f>1-R3777/(3*F_GAMMA*R$29)</f>
        <v>0.7436210282077953</v>
      </c>
      <c r="S3778" s="133"/>
      <c r="T3778" s="146"/>
      <c r="U3778" s="138">
        <f>1-U3777/(3*F_GAMMA*U$29)</f>
        <v>0.79279323845217942</v>
      </c>
      <c r="V3778" s="133"/>
      <c r="W3778" s="146"/>
      <c r="X3778" s="138">
        <f>1-X3777/(3*F_GAMMA*X$29)</f>
        <v>-3.6859135682281723</v>
      </c>
      <c r="Y3778" s="133"/>
      <c r="Z3778" s="146"/>
      <c r="AA3778" s="138">
        <f>1-AA3777/(3*F_GAMMA*AA$29)</f>
        <v>0.37640091945315046</v>
      </c>
      <c r="AB3778" s="133"/>
      <c r="AC3778" s="146"/>
      <c r="AD3778" s="138">
        <f>1-AD3777/(3*F_GAMMA*AD$29)</f>
        <v>0.42192870885835665</v>
      </c>
      <c r="AE3778" s="133"/>
      <c r="AF3778" s="146"/>
      <c r="AG3778" s="138">
        <f>1-AG3777/(3*F_GAMMA*AG$29)</f>
        <v>0.40401465263006031</v>
      </c>
      <c r="AH3778" s="133"/>
      <c r="AI3778" s="146"/>
      <c r="AJ3778" s="138">
        <f>1-AJ3777/(3*F_GAMMA*AJ$29)</f>
        <v>0.36879585431320949</v>
      </c>
      <c r="AK3778" s="133"/>
      <c r="AL3778" s="146"/>
      <c r="AM3778" s="138">
        <f>1-AM3777/(3*F_GAMMA*AM$29)</f>
        <v>0.31314740653347095</v>
      </c>
      <c r="AN3778" s="133"/>
      <c r="AO3778" s="146"/>
      <c r="AP3778" s="138">
        <f>1-AP3777/(3*F_GAMMA*AP$29)</f>
        <v>0.43359003680086305</v>
      </c>
      <c r="AQ3778" s="133"/>
      <c r="AR3778" s="146"/>
      <c r="AS3778" s="138">
        <f>1-AS3777/(3*F_GAMMA*AS$29)</f>
        <v>0.14159222173557751</v>
      </c>
      <c r="AT3778" s="133"/>
      <c r="AU3778" s="146"/>
    </row>
    <row r="3779" spans="13:47" x14ac:dyDescent="0.25">
      <c r="M3779" s="27"/>
      <c r="N3779" s="27"/>
      <c r="O3779" s="2" t="s">
        <v>71</v>
      </c>
      <c r="P3779" s="85">
        <v>5</v>
      </c>
      <c r="Q3779" s="2"/>
      <c r="R3779" s="179">
        <f>R3771/((N_6*R$27*R3778)*SQRT(R3777*R3773*R3775))</f>
        <v>10.028018781814481</v>
      </c>
      <c r="S3779" s="133"/>
      <c r="T3779" s="146"/>
      <c r="U3779" s="143">
        <f>U3771/((N_6*U$27*U3778)*SQRT(U3777*U3773*U3775))</f>
        <v>36.279881580470487</v>
      </c>
      <c r="V3779" s="133"/>
      <c r="W3779" s="146"/>
      <c r="X3779" s="143">
        <f>X3771/((N_6*X$27*X3778)*SQRT(X3777*X3773*X3775))</f>
        <v>-53.537391550329467</v>
      </c>
      <c r="Y3779" s="133"/>
      <c r="Z3779" s="146"/>
      <c r="AA3779" s="143">
        <f>AA3771/((N_6*AA$27*AA3778)*SQRT(AA3777*AA3773*AA3775))</f>
        <v>59.081754742505616</v>
      </c>
      <c r="AB3779" s="133"/>
      <c r="AC3779" s="146"/>
      <c r="AD3779" s="143">
        <f>AD3771/((N_6*AD$27*AD3778)*SQRT(AD3777*AD3773*AD3775))</f>
        <v>28.26782594641486</v>
      </c>
      <c r="AE3779" s="133"/>
      <c r="AF3779" s="146"/>
      <c r="AG3779" s="143">
        <f>AG3771/((N_6*AG$27*AG3778)*SQRT(AG3777*AG3773*AG3775))</f>
        <v>20.742838784554827</v>
      </c>
      <c r="AH3779" s="133"/>
      <c r="AI3779" s="146"/>
      <c r="AJ3779" s="143">
        <f>AJ3771/((N_6*AJ$27*AJ3778)*SQRT(AJ3777*AJ3773*AJ3775))</f>
        <v>18.258483979770194</v>
      </c>
      <c r="AK3779" s="133"/>
      <c r="AL3779" s="146"/>
      <c r="AM3779" s="143">
        <f>AM3771/((N_6*AM$27*AM3778)*SQRT(AM3777*AM3773*AM3775))</f>
        <v>19.347197181062835</v>
      </c>
      <c r="AN3779" s="133"/>
      <c r="AO3779" s="146"/>
      <c r="AP3779" s="143">
        <f>AP3771/((N_6*AP$27*AP3778)*SQRT(AP3777*AP3773*AP3775))</f>
        <v>14.181970817684125</v>
      </c>
      <c r="AQ3779" s="133"/>
      <c r="AR3779" s="146"/>
      <c r="AS3779" s="143">
        <f>AS3771/((N_6*AS$27*AS3778)*SQRT(AS3777*AS3773*AS3775))</f>
        <v>51.018960465297361</v>
      </c>
      <c r="AT3779" s="133"/>
      <c r="AU3779" s="146"/>
    </row>
    <row r="3780" spans="13:47" x14ac:dyDescent="0.25">
      <c r="M3780" s="27"/>
      <c r="N3780" s="27"/>
      <c r="O3780" s="2" t="s">
        <v>73</v>
      </c>
      <c r="P3780" s="85">
        <v>5</v>
      </c>
      <c r="Q3780" s="2"/>
      <c r="R3780" s="179">
        <f>R3771/((N_6*R$27*0.667)*SQRT(R3781*R3773*R3775))</f>
        <v>9.8048915678698432</v>
      </c>
      <c r="S3780" s="133"/>
      <c r="T3780" s="147"/>
      <c r="U3780" s="143">
        <f>U3771/((N_6*U$27*0.667)*SQRT(U3781*U3773*U3775))</f>
        <v>33.998718944855781</v>
      </c>
      <c r="V3780" s="133"/>
      <c r="W3780" s="155"/>
      <c r="X3780" s="143">
        <f>X3771/((N_6*X$27*0.667)*SQRT(X3781*X3773*X3775))</f>
        <v>1109.2623818853424</v>
      </c>
      <c r="Y3780" s="133"/>
      <c r="Z3780" s="155"/>
      <c r="AA3780" s="143">
        <f>AA3771/((N_6*AA$27*0.667)*SQRT(AA3781*AA3773*AA3775))</f>
        <v>45.602808252841683</v>
      </c>
      <c r="AB3780" s="133"/>
      <c r="AC3780" s="155"/>
      <c r="AD3780" s="143">
        <f>AD3771/((N_6*AD$27*0.667)*SQRT(AD3781*AD3773*AD3775))</f>
        <v>23.548160074818501</v>
      </c>
      <c r="AE3780" s="133"/>
      <c r="AF3780" s="155"/>
      <c r="AG3780" s="143">
        <f>AG3771/((N_6*AG$27*0.667)*SQRT(AG3781*AG3773*AG3775))</f>
        <v>16.800333112147435</v>
      </c>
      <c r="AH3780" s="133"/>
      <c r="AI3780" s="155"/>
      <c r="AJ3780" s="143">
        <f>AJ3771/((N_6*AJ$27*0.667)*SQRT(AJ3781*AJ3773*AJ3775))</f>
        <v>13.892181861184314</v>
      </c>
      <c r="AK3780" s="133"/>
      <c r="AL3780" s="155"/>
      <c r="AM3780" s="143">
        <f>AM3771/((N_6*AM$27*0.667)*SQRT(AM3781*AM3773*AM3775))</f>
        <v>13.038674444243929</v>
      </c>
      <c r="AN3780" s="133"/>
      <c r="AO3780" s="155"/>
      <c r="AP3780" s="143">
        <f>AP3771/((N_6*AP$27*0.667)*SQRT(AP3781*AP3773*AP3775))</f>
        <v>12.017554963761263</v>
      </c>
      <c r="AQ3780" s="133"/>
      <c r="AR3780" s="155"/>
      <c r="AS3780" s="143">
        <f>AS3771/((N_6*AS$27*0.667)*SQRT(AS3781*AS3773*AS3775))</f>
        <v>17.380113863211331</v>
      </c>
      <c r="AT3780" s="133"/>
      <c r="AU3780" s="155"/>
    </row>
    <row r="3781" spans="13:47" ht="15.5" x14ac:dyDescent="0.4">
      <c r="M3781" s="27"/>
      <c r="N3781" s="27"/>
      <c r="O3781" s="2" t="s">
        <v>192</v>
      </c>
      <c r="P3781" s="85">
        <v>10</v>
      </c>
      <c r="Q3781" s="2"/>
      <c r="R3781" s="181">
        <f>F_GAMMA*R$29</f>
        <v>0.64002688015162901</v>
      </c>
      <c r="S3781" s="133"/>
      <c r="T3781" s="147"/>
      <c r="U3781" s="138">
        <f>F_GAMMA*U$29</f>
        <v>0.64016782916606918</v>
      </c>
      <c r="V3781" s="133"/>
      <c r="W3781" s="155"/>
      <c r="X3781" s="138">
        <f>F_GAMMA*X$29</f>
        <v>0.6307062319203669</v>
      </c>
      <c r="Y3781" s="133"/>
      <c r="Z3781" s="155"/>
      <c r="AA3781" s="138">
        <f>F_GAMMA*AA$29</f>
        <v>0.62217534213893466</v>
      </c>
      <c r="AB3781" s="133"/>
      <c r="AC3781" s="155"/>
      <c r="AD3781" s="138">
        <f>F_GAMMA*AD$29</f>
        <v>0.60557184969146072</v>
      </c>
      <c r="AE3781" s="133"/>
      <c r="AF3781" s="155"/>
      <c r="AG3781" s="138">
        <f>F_GAMMA*AG$29</f>
        <v>0.57289312142622573</v>
      </c>
      <c r="AH3781" s="133"/>
      <c r="AI3781" s="155"/>
      <c r="AJ3781" s="138">
        <f>F_GAMMA*AJ$29</f>
        <v>0.53590819116049981</v>
      </c>
      <c r="AK3781" s="133"/>
      <c r="AL3781" s="155"/>
      <c r="AM3781" s="138">
        <f>F_GAMMA*AM$29</f>
        <v>0.49048815926850342</v>
      </c>
      <c r="AN3781" s="133"/>
      <c r="AO3781" s="155"/>
      <c r="AP3781" s="138">
        <f>F_GAMMA*AP$29</f>
        <v>0.59352979016280105</v>
      </c>
      <c r="AQ3781" s="133"/>
      <c r="AR3781" s="155"/>
      <c r="AS3781" s="138">
        <f>F_GAMMA*AS$29</f>
        <v>0.39097221161068291</v>
      </c>
      <c r="AT3781" s="133"/>
      <c r="AU3781" s="155"/>
    </row>
    <row r="3782" spans="13:47" x14ac:dyDescent="0.25">
      <c r="M3782" s="27"/>
      <c r="N3782" s="27"/>
      <c r="O3782" s="2" t="s">
        <v>193</v>
      </c>
      <c r="P3782" s="134"/>
      <c r="Q3782" s="2"/>
      <c r="R3782" s="181">
        <f>IF(R3777&lt;R3781,R3779,R3780)</f>
        <v>10.028018781814481</v>
      </c>
      <c r="S3782" s="133"/>
      <c r="T3782" s="147"/>
      <c r="U3782" s="138">
        <f>IF(U3777&lt;U3781,U3779,U3780)</f>
        <v>36.279881580470487</v>
      </c>
      <c r="V3782" s="133"/>
      <c r="W3782" s="155"/>
      <c r="X3782" s="138">
        <f>IF(X3777&lt;X3781,X3779,X3780)</f>
        <v>1109.2623818853424</v>
      </c>
      <c r="Y3782" s="133"/>
      <c r="Z3782" s="155"/>
      <c r="AA3782" s="138">
        <f>IF(AA3777&lt;AA3781,AA3779,AA3780)</f>
        <v>45.602808252841683</v>
      </c>
      <c r="AB3782" s="133"/>
      <c r="AC3782" s="155"/>
      <c r="AD3782" s="138">
        <f>IF(AD3777&lt;AD3781,AD3779,AD3780)</f>
        <v>23.548160074818501</v>
      </c>
      <c r="AE3782" s="133"/>
      <c r="AF3782" s="155"/>
      <c r="AG3782" s="138">
        <f>IF(AG3777&lt;AG3781,AG3779,AG3780)</f>
        <v>16.800333112147435</v>
      </c>
      <c r="AH3782" s="133"/>
      <c r="AI3782" s="155"/>
      <c r="AJ3782" s="138">
        <f>IF(AJ3777&lt;AJ3781,AJ3779,AJ3780)</f>
        <v>13.892181861184314</v>
      </c>
      <c r="AK3782" s="133"/>
      <c r="AL3782" s="155"/>
      <c r="AM3782" s="138">
        <f>IF(AM3777&lt;AM3781,AM3779,AM3780)</f>
        <v>13.038674444243929</v>
      </c>
      <c r="AN3782" s="133"/>
      <c r="AO3782" s="155"/>
      <c r="AP3782" s="138">
        <f>IF(AP3777&lt;AP3781,AP3779,AP3780)</f>
        <v>12.017554963761263</v>
      </c>
      <c r="AQ3782" s="133"/>
      <c r="AR3782" s="155"/>
      <c r="AS3782" s="138">
        <f>IF(AS3777&lt;AS3781,AS3779,AS3780)</f>
        <v>17.380113863211331</v>
      </c>
      <c r="AT3782" s="133"/>
      <c r="AU3782" s="155"/>
    </row>
    <row r="3783" spans="13:47" ht="13" x14ac:dyDescent="0.3">
      <c r="M3783" s="28"/>
      <c r="N3783" s="28"/>
      <c r="O3783" s="9" t="s">
        <v>194</v>
      </c>
      <c r="P3783" s="1"/>
      <c r="Q3783" s="1"/>
      <c r="R3783" s="135"/>
      <c r="S3783" s="132">
        <f>IF(R3776&lt;=0,W_max,ABS(R$23-R3782))</f>
        <v>8.028018781814481</v>
      </c>
      <c r="T3783" s="151">
        <f>R3771</f>
        <v>2264.9120747760621</v>
      </c>
      <c r="U3783" s="135"/>
      <c r="V3783" s="132">
        <f>IF(U3776&lt;=0,W_max,ABS(U$23-U3782))</f>
        <v>31.279881580470487</v>
      </c>
      <c r="W3783" s="151">
        <f>U3771</f>
        <v>6619.7929511574675</v>
      </c>
      <c r="X3783" s="135"/>
      <c r="Y3783" s="132">
        <f>IF(X3776&lt;=0,W_max,ABS(X$23-X3782))</f>
        <v>7174</v>
      </c>
      <c r="Z3783" s="151">
        <f>X3771</f>
        <v>16371.535732807988</v>
      </c>
      <c r="AA3783" s="135"/>
      <c r="AB3783" s="132">
        <f>IF(AA3776&lt;=0,W_max,ABS(AA$23-AA3782))</f>
        <v>7174</v>
      </c>
      <c r="AC3783" s="151">
        <f>AA3771</f>
        <v>31887.572848104734</v>
      </c>
      <c r="AD3783" s="135"/>
      <c r="AE3783" s="132">
        <f>IF(AD3776&lt;=0,W_max,ABS(AD$23-AD3782))</f>
        <v>7174</v>
      </c>
      <c r="AF3783" s="151">
        <f>AD3771</f>
        <v>52443.317027358033</v>
      </c>
      <c r="AG3783" s="135"/>
      <c r="AH3783" s="132">
        <f>IF(AG3776&lt;=0,W_max,ABS(AG$23-AG3782))</f>
        <v>7174</v>
      </c>
      <c r="AI3783" s="151">
        <f>AG3771</f>
        <v>73555.789540967206</v>
      </c>
      <c r="AJ3783" s="135"/>
      <c r="AK3783" s="132">
        <f>IF(AJ3776&lt;=0,W_max,ABS(AJ$23-AJ3782))</f>
        <v>7174</v>
      </c>
      <c r="AL3783" s="151">
        <f>AJ3771</f>
        <v>93396.334580287483</v>
      </c>
      <c r="AM3783" s="135"/>
      <c r="AN3783" s="132">
        <f>IF(AM3776&lt;=0,W_max,ABS(AM$23-AM3782))</f>
        <v>7174</v>
      </c>
      <c r="AO3783" s="151">
        <f>AM3771</f>
        <v>109514.54744299385</v>
      </c>
      <c r="AP3783" s="135"/>
      <c r="AQ3783" s="132">
        <f>IF(AP3776&lt;=0,W_max,ABS(AP$23-AP3782))</f>
        <v>7174</v>
      </c>
      <c r="AR3783" s="151">
        <f>AP3771</f>
        <v>122181.91408152532</v>
      </c>
      <c r="AS3783" s="135"/>
      <c r="AT3783" s="132">
        <f>IF(AS3776&lt;=0,W_max,ABS(AS$23-AS3782))</f>
        <v>7174</v>
      </c>
      <c r="AU3783" s="151">
        <f>AS3771</f>
        <v>136314.49407573912</v>
      </c>
    </row>
    <row r="3784" spans="13:47" ht="13" x14ac:dyDescent="0.25">
      <c r="M3784" s="12"/>
      <c r="N3784" s="12"/>
      <c r="O3784" s="12"/>
      <c r="P3784" s="12"/>
      <c r="Q3784" s="12"/>
      <c r="R3784" s="182"/>
      <c r="S3784" s="22"/>
      <c r="T3784" s="152"/>
      <c r="U3784" s="157"/>
      <c r="V3784" s="1"/>
      <c r="W3784" s="147"/>
      <c r="X3784" s="157"/>
      <c r="Y3784" s="1"/>
      <c r="Z3784" s="147"/>
      <c r="AA3784" s="157"/>
      <c r="AB3784" s="1"/>
      <c r="AC3784" s="147"/>
      <c r="AD3784" s="157"/>
      <c r="AE3784" s="1"/>
      <c r="AF3784" s="147"/>
      <c r="AG3784" s="157"/>
      <c r="AH3784" s="1"/>
      <c r="AI3784" s="147"/>
      <c r="AJ3784" s="157"/>
      <c r="AK3784" s="1"/>
      <c r="AL3784" s="147"/>
      <c r="AM3784" s="157"/>
      <c r="AN3784" s="1"/>
      <c r="AO3784" s="147"/>
      <c r="AP3784" s="157"/>
      <c r="AQ3784" s="1"/>
      <c r="AR3784" s="147"/>
      <c r="AS3784" s="157"/>
      <c r="AT3784" s="1"/>
      <c r="AU3784" s="147"/>
    </row>
    <row r="3785" spans="13:47" ht="14" x14ac:dyDescent="0.3">
      <c r="M3785" s="23"/>
      <c r="N3785" s="23"/>
      <c r="O3785" s="23" t="s">
        <v>238</v>
      </c>
      <c r="P3785" s="20"/>
      <c r="Q3785" s="20"/>
      <c r="R3785" s="18">
        <f>R3771*1.02</f>
        <v>2310.2103162715835</v>
      </c>
      <c r="S3785" s="128" t="s">
        <v>185</v>
      </c>
      <c r="T3785" s="153" t="s">
        <v>186</v>
      </c>
      <c r="U3785" s="143">
        <f>U3771*1.01</f>
        <v>6685.9908806690419</v>
      </c>
      <c r="V3785" s="128" t="s">
        <v>185</v>
      </c>
      <c r="W3785" s="153" t="s">
        <v>186</v>
      </c>
      <c r="X3785" s="143">
        <f>X3771*1.01</f>
        <v>16535.251090136069</v>
      </c>
      <c r="Y3785" s="128" t="s">
        <v>185</v>
      </c>
      <c r="Z3785" s="153" t="s">
        <v>186</v>
      </c>
      <c r="AA3785" s="143">
        <f>AA3771*1.01</f>
        <v>32206.448576585783</v>
      </c>
      <c r="AB3785" s="128" t="s">
        <v>185</v>
      </c>
      <c r="AC3785" s="153" t="s">
        <v>186</v>
      </c>
      <c r="AD3785" s="143">
        <f>AD3771*1.01</f>
        <v>52967.750197631613</v>
      </c>
      <c r="AE3785" s="128" t="s">
        <v>185</v>
      </c>
      <c r="AF3785" s="153" t="s">
        <v>186</v>
      </c>
      <c r="AG3785" s="143">
        <f>AG3771*1.01</f>
        <v>74291.347436376876</v>
      </c>
      <c r="AH3785" s="128" t="s">
        <v>185</v>
      </c>
      <c r="AI3785" s="153" t="s">
        <v>186</v>
      </c>
      <c r="AJ3785" s="143">
        <f>AJ3771*1.01</f>
        <v>94330.297926090352</v>
      </c>
      <c r="AK3785" s="128" t="s">
        <v>185</v>
      </c>
      <c r="AL3785" s="153" t="s">
        <v>186</v>
      </c>
      <c r="AM3785" s="143">
        <f>AM3771*1.01</f>
        <v>110609.69291742379</v>
      </c>
      <c r="AN3785" s="128" t="s">
        <v>185</v>
      </c>
      <c r="AO3785" s="153" t="s">
        <v>186</v>
      </c>
      <c r="AP3785" s="143">
        <f>AP3771*1.01</f>
        <v>123403.73322234057</v>
      </c>
      <c r="AQ3785" s="128" t="s">
        <v>185</v>
      </c>
      <c r="AR3785" s="153" t="s">
        <v>186</v>
      </c>
      <c r="AS3785" s="143">
        <f>AS3771*1.01</f>
        <v>137677.63901649651</v>
      </c>
      <c r="AT3785" s="128" t="s">
        <v>185</v>
      </c>
      <c r="AU3785" s="153" t="s">
        <v>186</v>
      </c>
    </row>
    <row r="3786" spans="13:47" ht="14" x14ac:dyDescent="0.3">
      <c r="M3786" s="12"/>
      <c r="N3786" s="12"/>
      <c r="O3786" s="20"/>
      <c r="P3786" s="20"/>
      <c r="Q3786" s="23"/>
      <c r="R3786" s="139"/>
      <c r="S3786" s="130" t="s">
        <v>228</v>
      </c>
      <c r="T3786" s="154" t="s">
        <v>187</v>
      </c>
      <c r="U3786" s="144"/>
      <c r="V3786" s="130" t="s">
        <v>228</v>
      </c>
      <c r="W3786" s="154" t="s">
        <v>187</v>
      </c>
      <c r="X3786" s="144"/>
      <c r="Y3786" s="130" t="s">
        <v>228</v>
      </c>
      <c r="Z3786" s="154" t="s">
        <v>187</v>
      </c>
      <c r="AA3786" s="144"/>
      <c r="AB3786" s="130" t="s">
        <v>228</v>
      </c>
      <c r="AC3786" s="154" t="s">
        <v>187</v>
      </c>
      <c r="AD3786" s="144"/>
      <c r="AE3786" s="130" t="s">
        <v>228</v>
      </c>
      <c r="AF3786" s="154" t="s">
        <v>187</v>
      </c>
      <c r="AG3786" s="144"/>
      <c r="AH3786" s="130" t="s">
        <v>228</v>
      </c>
      <c r="AI3786" s="154" t="s">
        <v>187</v>
      </c>
      <c r="AJ3786" s="144"/>
      <c r="AK3786" s="130" t="s">
        <v>228</v>
      </c>
      <c r="AL3786" s="154" t="s">
        <v>187</v>
      </c>
      <c r="AM3786" s="144"/>
      <c r="AN3786" s="130" t="s">
        <v>228</v>
      </c>
      <c r="AO3786" s="154" t="s">
        <v>187</v>
      </c>
      <c r="AP3786" s="144"/>
      <c r="AQ3786" s="130" t="s">
        <v>228</v>
      </c>
      <c r="AR3786" s="154" t="s">
        <v>187</v>
      </c>
      <c r="AS3786" s="144"/>
      <c r="AT3786" s="130" t="s">
        <v>228</v>
      </c>
      <c r="AU3786" s="154" t="s">
        <v>187</v>
      </c>
    </row>
    <row r="3787" spans="13:47" x14ac:dyDescent="0.25">
      <c r="M3787" s="20"/>
      <c r="N3787" s="20"/>
      <c r="O3787" s="7" t="s">
        <v>188</v>
      </c>
      <c r="P3787" s="7"/>
      <c r="Q3787" s="7"/>
      <c r="R3787" s="181">
        <f>P_1_minW-(R3785^2*R_up)+dpup_minQ</f>
        <v>98.39456622182685</v>
      </c>
      <c r="S3787" s="132"/>
      <c r="T3787" s="145"/>
      <c r="U3787" s="138">
        <f>P_1_minW-(U3785^2*R_up)+dpup_minQ</f>
        <v>82.697146084907601</v>
      </c>
      <c r="V3787" s="132"/>
      <c r="W3787" s="145"/>
      <c r="X3787" s="138">
        <f>P_1_minW-(X3785^2*R_up)+dpup_minQ</f>
        <v>-8.5044928252262508</v>
      </c>
      <c r="Y3787" s="132"/>
      <c r="Z3787" s="145"/>
      <c r="AA3787" s="138">
        <f>P_1_minW-(AA3785^2*R_up)+dpup_minQ</f>
        <v>-313.09505356329066</v>
      </c>
      <c r="AB3787" s="132"/>
      <c r="AC3787" s="145"/>
      <c r="AD3787" s="138">
        <f>P_1_minW-(AD3785^2*R_up)+dpup_minQ</f>
        <v>-1018.2364678022262</v>
      </c>
      <c r="AE3787" s="132"/>
      <c r="AF3787" s="145"/>
      <c r="AG3787" s="138">
        <f>P_1_minW-(AG3785^2*R_up)+dpup_minQ</f>
        <v>-2100.3252576335276</v>
      </c>
      <c r="AH3787" s="132"/>
      <c r="AI3787" s="145"/>
      <c r="AJ3787" s="138">
        <f>P_1_minW-(AJ3785^2*R_up)+dpup_minQ</f>
        <v>-3447.7418234134516</v>
      </c>
      <c r="AK3787" s="132"/>
      <c r="AL3787" s="145"/>
      <c r="AM3787" s="138">
        <f>P_1_minW-(AM3785^2*R_up)+dpup_minQ</f>
        <v>-4778.1305639510374</v>
      </c>
      <c r="AN3787" s="132"/>
      <c r="AO3787" s="145"/>
      <c r="AP3787" s="138">
        <f>P_1_minW-(AP3785^2*R_up)+dpup_minQ</f>
        <v>-5972.014413091304</v>
      </c>
      <c r="AQ3787" s="132"/>
      <c r="AR3787" s="145"/>
      <c r="AS3787" s="138">
        <f>P_1_minW-(AS3785^2*R_up)+dpup_minQ</f>
        <v>-7458.0605748166727</v>
      </c>
      <c r="AT3787" s="132"/>
      <c r="AU3787" s="145"/>
    </row>
    <row r="3788" spans="13:47" x14ac:dyDescent="0.25">
      <c r="M3788" s="20"/>
      <c r="N3788" s="20"/>
      <c r="O3788" s="7" t="s">
        <v>189</v>
      </c>
      <c r="P3788" s="1"/>
      <c r="Q3788" s="7"/>
      <c r="R3788" s="181">
        <f>P_2_minW+(R3785^2*R_dn)-dpdn_minQ</f>
        <v>50</v>
      </c>
      <c r="S3788" s="132"/>
      <c r="T3788" s="146"/>
      <c r="U3788" s="138">
        <f>P_2_minW+(U3785^2*R_dn)-dpdn_minQ</f>
        <v>50</v>
      </c>
      <c r="V3788" s="132"/>
      <c r="W3788" s="146"/>
      <c r="X3788" s="138">
        <f>P_2_minW+(X3785^2*R_dn)-dpdn_minQ</f>
        <v>50</v>
      </c>
      <c r="Y3788" s="132"/>
      <c r="Z3788" s="146"/>
      <c r="AA3788" s="138">
        <f>P_2_minW+(AA3785^2*R_dn)-dpdn_minQ</f>
        <v>50</v>
      </c>
      <c r="AB3788" s="132"/>
      <c r="AC3788" s="146"/>
      <c r="AD3788" s="138">
        <f>P_2_minW+(AD3785^2*R_dn)-dpdn_minQ</f>
        <v>50</v>
      </c>
      <c r="AE3788" s="132"/>
      <c r="AF3788" s="146"/>
      <c r="AG3788" s="138">
        <f>P_2_minW+(AG3785^2*R_dn)-dpdn_minQ</f>
        <v>50</v>
      </c>
      <c r="AH3788" s="132"/>
      <c r="AI3788" s="146"/>
      <c r="AJ3788" s="138">
        <f>P_2_minW+(AJ3785^2*R_dn)-dpdn_minQ</f>
        <v>50</v>
      </c>
      <c r="AK3788" s="132"/>
      <c r="AL3788" s="146"/>
      <c r="AM3788" s="138">
        <f>P_2_minW+(AM3785^2*R_dn)-dpdn_minQ</f>
        <v>50</v>
      </c>
      <c r="AN3788" s="132"/>
      <c r="AO3788" s="146"/>
      <c r="AP3788" s="138">
        <f>P_2_minW+(AP3785^2*R_dn)-dpdn_minQ</f>
        <v>50</v>
      </c>
      <c r="AQ3788" s="132"/>
      <c r="AR3788" s="146"/>
      <c r="AS3788" s="138">
        <f>P_2_minW+(AS3785^2*R_dn)-dpdn_minQ</f>
        <v>50</v>
      </c>
      <c r="AT3788" s="132"/>
      <c r="AU3788" s="146"/>
    </row>
    <row r="3789" spans="13:47" x14ac:dyDescent="0.25">
      <c r="M3789" s="20"/>
      <c r="N3789" s="20"/>
      <c r="O3789" s="7" t="s">
        <v>234</v>
      </c>
      <c r="P3789" s="1"/>
      <c r="Q3789" s="7"/>
      <c r="R3789" s="179">
        <f>'Valve Sizing'!G$8*R3787/P_1_maxW</f>
        <v>0.47463786938132235</v>
      </c>
      <c r="S3789" s="132"/>
      <c r="T3789" s="146"/>
      <c r="U3789" s="143">
        <f>'Valve Sizing'!$G$8*U3787/P_1_maxW</f>
        <v>0.39891630939422162</v>
      </c>
      <c r="V3789" s="132"/>
      <c r="W3789" s="146"/>
      <c r="X3789" s="143">
        <f>'Valve Sizing'!$G$8*X3787/P_1_maxW</f>
        <v>-4.1024159257269051E-2</v>
      </c>
      <c r="Y3789" s="132"/>
      <c r="Z3789" s="146"/>
      <c r="AA3789" s="143">
        <f>'Valve Sizing'!$G$8*AA3787/P_1_maxW</f>
        <v>-1.510314795250816</v>
      </c>
      <c r="AB3789" s="132"/>
      <c r="AC3789" s="146"/>
      <c r="AD3789" s="143">
        <f>'Valve Sizing'!$G$8*AD3787/P_1_maxW</f>
        <v>-4.9117914348485963</v>
      </c>
      <c r="AE3789" s="132"/>
      <c r="AF3789" s="146"/>
      <c r="AG3789" s="143">
        <f>'Valve Sizing'!$G$8*AG3787/P_1_maxW</f>
        <v>-10.131595102960205</v>
      </c>
      <c r="AH3789" s="132"/>
      <c r="AI3789" s="146"/>
      <c r="AJ3789" s="143">
        <f>'Valve Sizing'!$G$8*AJ3787/P_1_maxW</f>
        <v>-16.631292723549073</v>
      </c>
      <c r="AK3789" s="132"/>
      <c r="AL3789" s="146"/>
      <c r="AM3789" s="143">
        <f>'Valve Sizing'!$G$8*AM3787/P_1_maxW</f>
        <v>-23.048851146786326</v>
      </c>
      <c r="AN3789" s="132"/>
      <c r="AO3789" s="146"/>
      <c r="AP3789" s="143">
        <f>'Valve Sizing'!$G$8*AP3787/P_1_maxW</f>
        <v>-28.807934277120872</v>
      </c>
      <c r="AQ3789" s="132"/>
      <c r="AR3789" s="146"/>
      <c r="AS3789" s="143">
        <f>'Valve Sizing'!$G$8*AS3787/P_1_maxW</f>
        <v>-35.976356387072272</v>
      </c>
      <c r="AT3789" s="132"/>
      <c r="AU3789" s="146"/>
    </row>
    <row r="3790" spans="13:47" x14ac:dyDescent="0.25">
      <c r="M3790" s="20"/>
      <c r="N3790" s="20"/>
      <c r="O3790" s="7" t="s">
        <v>190</v>
      </c>
      <c r="P3790" s="1"/>
      <c r="Q3790" s="7"/>
      <c r="R3790" s="181">
        <f>R3787-R3788</f>
        <v>48.39456622182685</v>
      </c>
      <c r="S3790" s="132"/>
      <c r="T3790" s="146"/>
      <c r="U3790" s="138">
        <f>U3787-U3788</f>
        <v>32.697146084907601</v>
      </c>
      <c r="V3790" s="132"/>
      <c r="W3790" s="146"/>
      <c r="X3790" s="138">
        <f>X3787-X3788</f>
        <v>-58.504492825226251</v>
      </c>
      <c r="Y3790" s="132"/>
      <c r="Z3790" s="146"/>
      <c r="AA3790" s="138">
        <f>AA3787-AA3788</f>
        <v>-363.09505356329066</v>
      </c>
      <c r="AB3790" s="132"/>
      <c r="AC3790" s="146"/>
      <c r="AD3790" s="138">
        <f>AD3787-AD3788</f>
        <v>-1068.2364678022263</v>
      </c>
      <c r="AE3790" s="132"/>
      <c r="AF3790" s="146"/>
      <c r="AG3790" s="138">
        <f>AG3787-AG3788</f>
        <v>-2150.3252576335276</v>
      </c>
      <c r="AH3790" s="132"/>
      <c r="AI3790" s="146"/>
      <c r="AJ3790" s="138">
        <f>AJ3787-AJ3788</f>
        <v>-3497.7418234134516</v>
      </c>
      <c r="AK3790" s="132"/>
      <c r="AL3790" s="146"/>
      <c r="AM3790" s="138">
        <f>AM3787-AM3788</f>
        <v>-4828.1305639510374</v>
      </c>
      <c r="AN3790" s="132"/>
      <c r="AO3790" s="146"/>
      <c r="AP3790" s="138">
        <f>AP3787-AP3788</f>
        <v>-6022.014413091304</v>
      </c>
      <c r="AQ3790" s="132"/>
      <c r="AR3790" s="146"/>
      <c r="AS3790" s="138">
        <f>AS3787-AS3788</f>
        <v>-7508.0605748166727</v>
      </c>
      <c r="AT3790" s="132"/>
      <c r="AU3790" s="146"/>
    </row>
    <row r="3791" spans="13:47" ht="14.5" x14ac:dyDescent="0.35">
      <c r="M3791" s="27"/>
      <c r="N3791" s="27"/>
      <c r="O3791" s="2" t="s">
        <v>191</v>
      </c>
      <c r="P3791" s="10"/>
      <c r="Q3791" s="2"/>
      <c r="R3791" s="181">
        <f>R3790/R3787</f>
        <v>0.49184185753431869</v>
      </c>
      <c r="S3791" s="132"/>
      <c r="T3791" s="146"/>
      <c r="U3791" s="138">
        <f>U3790/U3787</f>
        <v>0.39538421375916016</v>
      </c>
      <c r="V3791" s="132"/>
      <c r="W3791" s="146"/>
      <c r="X3791" s="138">
        <f>X3790/X3787</f>
        <v>6.8792453621324343</v>
      </c>
      <c r="Y3791" s="132"/>
      <c r="Z3791" s="146"/>
      <c r="AA3791" s="138">
        <f>AA3790/AA3787</f>
        <v>1.1596959116120074</v>
      </c>
      <c r="AB3791" s="132"/>
      <c r="AC3791" s="146"/>
      <c r="AD3791" s="138">
        <f>AD3790/AD3787</f>
        <v>1.0491045072348673</v>
      </c>
      <c r="AE3791" s="132"/>
      <c r="AF3791" s="146"/>
      <c r="AG3791" s="138">
        <f>AG3790/AG3787</f>
        <v>1.0238058366523364</v>
      </c>
      <c r="AH3791" s="132"/>
      <c r="AI3791" s="146"/>
      <c r="AJ3791" s="138">
        <f>AJ3790/AJ3787</f>
        <v>1.0145022459803841</v>
      </c>
      <c r="AK3791" s="132"/>
      <c r="AL3791" s="146"/>
      <c r="AM3791" s="138">
        <f>AM3790/AM3787</f>
        <v>1.0104643436027532</v>
      </c>
      <c r="AN3791" s="132"/>
      <c r="AO3791" s="146"/>
      <c r="AP3791" s="138">
        <f>AP3790/AP3787</f>
        <v>1.0083723843483021</v>
      </c>
      <c r="AQ3791" s="132"/>
      <c r="AR3791" s="146"/>
      <c r="AS3791" s="138">
        <f>AS3790/AS3787</f>
        <v>1.0067041557920344</v>
      </c>
      <c r="AT3791" s="132"/>
      <c r="AU3791" s="146"/>
    </row>
    <row r="3792" spans="13:47" x14ac:dyDescent="0.25">
      <c r="M3792" s="27"/>
      <c r="N3792" s="27"/>
      <c r="O3792" s="2" t="s">
        <v>26</v>
      </c>
      <c r="P3792" s="7">
        <v>12</v>
      </c>
      <c r="Q3792" s="2"/>
      <c r="R3792" s="181">
        <f>1-R3791/(3*F_GAMMA*R$29)</f>
        <v>0.74384312451700141</v>
      </c>
      <c r="S3792" s="133"/>
      <c r="T3792" s="146"/>
      <c r="U3792" s="138">
        <f>1-U3791/(3*F_GAMMA*U$29)</f>
        <v>0.79412470931036039</v>
      </c>
      <c r="V3792" s="133"/>
      <c r="W3792" s="146"/>
      <c r="X3792" s="138">
        <f>1-X3791/(3*F_GAMMA*X$29)</f>
        <v>-2.6357366890057987</v>
      </c>
      <c r="Y3792" s="133"/>
      <c r="Z3792" s="146"/>
      <c r="AA3792" s="138">
        <f>1-AA3791/(3*F_GAMMA*AA$29)</f>
        <v>0.37868752152452345</v>
      </c>
      <c r="AB3792" s="133"/>
      <c r="AC3792" s="146"/>
      <c r="AD3792" s="138">
        <f>1-AD3791/(3*F_GAMMA*AD$29)</f>
        <v>0.4225268189236413</v>
      </c>
      <c r="AE3792" s="133"/>
      <c r="AF3792" s="146"/>
      <c r="AG3792" s="138">
        <f>1-AG3791/(3*F_GAMMA*AG$29)</f>
        <v>0.4043066682877039</v>
      </c>
      <c r="AH3792" s="133"/>
      <c r="AI3792" s="146"/>
      <c r="AJ3792" s="138">
        <f>1-AJ3791/(3*F_GAMMA*AJ$29)</f>
        <v>0.36898255913107225</v>
      </c>
      <c r="AK3792" s="133"/>
      <c r="AL3792" s="146"/>
      <c r="AM3792" s="138">
        <f>1-AM3791/(3*F_GAMMA*AM$29)</f>
        <v>0.3132934169707422</v>
      </c>
      <c r="AN3792" s="133"/>
      <c r="AO3792" s="146"/>
      <c r="AP3792" s="138">
        <f>1-AP3791/(3*F_GAMMA*AP$29)</f>
        <v>0.43368617096051032</v>
      </c>
      <c r="AQ3792" s="133"/>
      <c r="AR3792" s="146"/>
      <c r="AS3792" s="138">
        <f>1-AS3791/(3*F_GAMMA*AS$29)</f>
        <v>0.14170868935098235</v>
      </c>
      <c r="AT3792" s="133"/>
      <c r="AU3792" s="146"/>
    </row>
    <row r="3793" spans="13:47" x14ac:dyDescent="0.25">
      <c r="M3793" s="27"/>
      <c r="N3793" s="27"/>
      <c r="O3793" s="2" t="s">
        <v>71</v>
      </c>
      <c r="P3793" s="85">
        <v>5</v>
      </c>
      <c r="Q3793" s="2"/>
      <c r="R3793" s="179">
        <f>R3785/((N_6*R$27*R3792)*SQRT(R3791*R3787*R3789))</f>
        <v>10.238549203876374</v>
      </c>
      <c r="S3793" s="133"/>
      <c r="T3793" s="146"/>
      <c r="U3793" s="143">
        <f>U3785/((N_6*U$27*U3792)*SQRT(U3791*U3787*U3789))</f>
        <v>36.85521620278341</v>
      </c>
      <c r="V3793" s="133"/>
      <c r="W3793" s="146"/>
      <c r="X3793" s="143">
        <f>X3785/((N_6*X$27*X3792)*SQRT(X3791*X3787*X3789))</f>
        <v>-64.161344259748077</v>
      </c>
      <c r="Y3793" s="133"/>
      <c r="Z3793" s="146"/>
      <c r="AA3793" s="143">
        <f>AA3785/((N_6*AA$27*AA3792)*SQRT(AA3791*AA3787*AA3789))</f>
        <v>57.874553932222973</v>
      </c>
      <c r="AB3793" s="133"/>
      <c r="AC3793" s="146"/>
      <c r="AD3793" s="143">
        <f>AD3785/((N_6*AD$27*AD3792)*SQRT(AD3791*AD3787*AD3789))</f>
        <v>27.90731063564477</v>
      </c>
      <c r="AE3793" s="133"/>
      <c r="AF3793" s="146"/>
      <c r="AG3793" s="143">
        <f>AG3785/((N_6*AG$27*AG3792)*SQRT(AG3791*AG3787*AG3789))</f>
        <v>20.507912733111144</v>
      </c>
      <c r="AH3793" s="133"/>
      <c r="AI3793" s="146"/>
      <c r="AJ3793" s="143">
        <f>AJ3785/((N_6*AJ$27*AJ3792)*SQRT(AJ3791*AJ3787*AJ3789))</f>
        <v>18.060642034105125</v>
      </c>
      <c r="AK3793" s="133"/>
      <c r="AL3793" s="146"/>
      <c r="AM3793" s="143">
        <f>AM3785/((N_6*AM$27*AM3792)*SQRT(AM3791*AM3787*AM3789))</f>
        <v>19.140651352604227</v>
      </c>
      <c r="AN3793" s="133"/>
      <c r="AO3793" s="146"/>
      <c r="AP3793" s="143">
        <f>AP3785/((N_6*AP$27*AP3792)*SQRT(AP3791*AP3787*AP3789))</f>
        <v>14.034884178527824</v>
      </c>
      <c r="AQ3793" s="133"/>
      <c r="AR3793" s="146"/>
      <c r="AS3793" s="143">
        <f>AS3785/((N_6*AS$27*AS3792)*SQRT(AS3791*AS3787*AS3789))</f>
        <v>50.462055587293072</v>
      </c>
      <c r="AT3793" s="133"/>
      <c r="AU3793" s="146"/>
    </row>
    <row r="3794" spans="13:47" x14ac:dyDescent="0.25">
      <c r="M3794" s="27"/>
      <c r="N3794" s="27"/>
      <c r="O3794" s="2" t="s">
        <v>73</v>
      </c>
      <c r="P3794" s="85">
        <v>5</v>
      </c>
      <c r="Q3794" s="2"/>
      <c r="R3794" s="179">
        <f>R3785/((N_6*R$27*0.667)*SQRT(R3795*R3787*R3789))</f>
        <v>10.00938920991749</v>
      </c>
      <c r="S3794" s="133"/>
      <c r="T3794" s="155"/>
      <c r="U3794" s="143">
        <f>U3785/((N_6*U$27*0.667)*SQRT(U3795*U3787*U3789))</f>
        <v>34.48455124088261</v>
      </c>
      <c r="V3794" s="133"/>
      <c r="W3794" s="155"/>
      <c r="X3794" s="143">
        <f>X3785/((N_6*X$27*0.667)*SQRT(X3795*X3787*X3789))</f>
        <v>837.34895204959344</v>
      </c>
      <c r="Y3794" s="133"/>
      <c r="Z3794" s="155"/>
      <c r="AA3794" s="143">
        <f>AA3785/((N_6*AA$27*0.667)*SQRT(AA3795*AA3787*AA3789))</f>
        <v>44.859918758020456</v>
      </c>
      <c r="AB3794" s="133"/>
      <c r="AC3794" s="155"/>
      <c r="AD3794" s="143">
        <f>AD3785/((N_6*AD$27*0.667)*SQRT(AD3795*AD3787*AD3789))</f>
        <v>23.268745510990051</v>
      </c>
      <c r="AE3794" s="133"/>
      <c r="AF3794" s="155"/>
      <c r="AG3794" s="143">
        <f>AG3785/((N_6*AG$27*0.667)*SQRT(AG3795*AG3787*AG3789))</f>
        <v>16.61799131758788</v>
      </c>
      <c r="AH3794" s="133"/>
      <c r="AI3794" s="155"/>
      <c r="AJ3794" s="143">
        <f>AJ3785/((N_6*AJ$27*0.667)*SQRT(AJ3795*AJ3787*AJ3789))</f>
        <v>13.746574765880613</v>
      </c>
      <c r="AK3794" s="133"/>
      <c r="AL3794" s="155"/>
      <c r="AM3794" s="143">
        <f>AM3785/((N_6*AM$27*0.667)*SQRT(AM3795*AM3787*AM3789))</f>
        <v>12.904119638333558</v>
      </c>
      <c r="AN3794" s="133"/>
      <c r="AO3794" s="155"/>
      <c r="AP3794" s="143">
        <f>AP3785/((N_6*AP$27*0.667)*SQRT(AP3795*AP3787*AP3789))</f>
        <v>11.894543635327651</v>
      </c>
      <c r="AQ3794" s="133"/>
      <c r="AR3794" s="155"/>
      <c r="AS3794" s="143">
        <f>AS3785/((N_6*AS$27*0.667)*SQRT(AS3795*AS3787*AS3789))</f>
        <v>17.203371596148347</v>
      </c>
      <c r="AT3794" s="133"/>
      <c r="AU3794" s="155"/>
    </row>
    <row r="3795" spans="13:47" ht="15.5" x14ac:dyDescent="0.4">
      <c r="M3795" s="27"/>
      <c r="N3795" s="27"/>
      <c r="O3795" s="2" t="s">
        <v>192</v>
      </c>
      <c r="P3795" s="85">
        <v>10</v>
      </c>
      <c r="Q3795" s="2"/>
      <c r="R3795" s="181">
        <f>F_GAMMA*R$29</f>
        <v>0.64002688015162901</v>
      </c>
      <c r="S3795" s="133"/>
      <c r="T3795" s="155"/>
      <c r="U3795" s="138">
        <f>F_GAMMA*U$29</f>
        <v>0.64016782916606918</v>
      </c>
      <c r="V3795" s="133"/>
      <c r="W3795" s="155"/>
      <c r="X3795" s="138">
        <f>F_GAMMA*X$29</f>
        <v>0.6307062319203669</v>
      </c>
      <c r="Y3795" s="133"/>
      <c r="Z3795" s="155"/>
      <c r="AA3795" s="138">
        <f>F_GAMMA*AA$29</f>
        <v>0.62217534213893466</v>
      </c>
      <c r="AB3795" s="133"/>
      <c r="AC3795" s="155"/>
      <c r="AD3795" s="138">
        <f>F_GAMMA*AD$29</f>
        <v>0.60557184969146072</v>
      </c>
      <c r="AE3795" s="133"/>
      <c r="AF3795" s="155"/>
      <c r="AG3795" s="138">
        <f>F_GAMMA*AG$29</f>
        <v>0.57289312142622573</v>
      </c>
      <c r="AH3795" s="133"/>
      <c r="AI3795" s="155"/>
      <c r="AJ3795" s="138">
        <f>F_GAMMA*AJ$29</f>
        <v>0.53590819116049981</v>
      </c>
      <c r="AK3795" s="133"/>
      <c r="AL3795" s="155"/>
      <c r="AM3795" s="138">
        <f>F_GAMMA*AM$29</f>
        <v>0.49048815926850342</v>
      </c>
      <c r="AN3795" s="133"/>
      <c r="AO3795" s="155"/>
      <c r="AP3795" s="138">
        <f>F_GAMMA*AP$29</f>
        <v>0.59352979016280105</v>
      </c>
      <c r="AQ3795" s="133"/>
      <c r="AR3795" s="155"/>
      <c r="AS3795" s="138">
        <f>F_GAMMA*AS$29</f>
        <v>0.39097221161068291</v>
      </c>
      <c r="AT3795" s="133"/>
      <c r="AU3795" s="155"/>
    </row>
    <row r="3796" spans="13:47" x14ac:dyDescent="0.25">
      <c r="M3796" s="27"/>
      <c r="N3796" s="27"/>
      <c r="O3796" s="2" t="s">
        <v>193</v>
      </c>
      <c r="P3796" s="134"/>
      <c r="Q3796" s="2"/>
      <c r="R3796" s="181">
        <f>IF(R3791&lt;R3795,R3793,R3794)</f>
        <v>10.238549203876374</v>
      </c>
      <c r="S3796" s="133"/>
      <c r="T3796" s="155"/>
      <c r="U3796" s="138">
        <f>IF(U3791&lt;U3795,U3793,U3794)</f>
        <v>36.85521620278341</v>
      </c>
      <c r="V3796" s="133"/>
      <c r="W3796" s="155"/>
      <c r="X3796" s="138">
        <f>IF(X3791&lt;X3795,X3793,X3794)</f>
        <v>837.34895204959344</v>
      </c>
      <c r="Y3796" s="133"/>
      <c r="Z3796" s="155"/>
      <c r="AA3796" s="138">
        <f>IF(AA3791&lt;AA3795,AA3793,AA3794)</f>
        <v>44.859918758020456</v>
      </c>
      <c r="AB3796" s="133"/>
      <c r="AC3796" s="155"/>
      <c r="AD3796" s="138">
        <f>IF(AD3791&lt;AD3795,AD3793,AD3794)</f>
        <v>23.268745510990051</v>
      </c>
      <c r="AE3796" s="133"/>
      <c r="AF3796" s="155"/>
      <c r="AG3796" s="138">
        <f>IF(AG3791&lt;AG3795,AG3793,AG3794)</f>
        <v>16.61799131758788</v>
      </c>
      <c r="AH3796" s="133"/>
      <c r="AI3796" s="155"/>
      <c r="AJ3796" s="138">
        <f>IF(AJ3791&lt;AJ3795,AJ3793,AJ3794)</f>
        <v>13.746574765880613</v>
      </c>
      <c r="AK3796" s="133"/>
      <c r="AL3796" s="155"/>
      <c r="AM3796" s="138">
        <f>IF(AM3791&lt;AM3795,AM3793,AM3794)</f>
        <v>12.904119638333558</v>
      </c>
      <c r="AN3796" s="133"/>
      <c r="AO3796" s="155"/>
      <c r="AP3796" s="138">
        <f>IF(AP3791&lt;AP3795,AP3793,AP3794)</f>
        <v>11.894543635327651</v>
      </c>
      <c r="AQ3796" s="133"/>
      <c r="AR3796" s="155"/>
      <c r="AS3796" s="138">
        <f>IF(AS3791&lt;AS3795,AS3793,AS3794)</f>
        <v>17.203371596148347</v>
      </c>
      <c r="AT3796" s="133"/>
      <c r="AU3796" s="155"/>
    </row>
    <row r="3797" spans="13:47" ht="13" x14ac:dyDescent="0.3">
      <c r="M3797" s="28"/>
      <c r="N3797" s="28"/>
      <c r="O3797" s="9" t="s">
        <v>194</v>
      </c>
      <c r="P3797" s="1"/>
      <c r="Q3797" s="1"/>
      <c r="R3797" s="135"/>
      <c r="S3797" s="132">
        <f>IF(R3790&lt;=0,W_max,ABS(R$23-R3796))</f>
        <v>8.2385492038763743</v>
      </c>
      <c r="T3797" s="151">
        <f>R3785</f>
        <v>2310.2103162715835</v>
      </c>
      <c r="U3797" s="135"/>
      <c r="V3797" s="132">
        <f>IF(U3790&lt;=0,W_max,ABS(U$23-U3796))</f>
        <v>31.85521620278341</v>
      </c>
      <c r="W3797" s="151">
        <f>U3785</f>
        <v>6685.9908806690419</v>
      </c>
      <c r="X3797" s="135"/>
      <c r="Y3797" s="132">
        <f>IF(X3790&lt;=0,W_max,ABS(X$23-X3796))</f>
        <v>7174</v>
      </c>
      <c r="Z3797" s="151">
        <f>X3785</f>
        <v>16535.251090136069</v>
      </c>
      <c r="AA3797" s="135"/>
      <c r="AB3797" s="132">
        <f>IF(AA3790&lt;=0,W_max,ABS(AA$23-AA3796))</f>
        <v>7174</v>
      </c>
      <c r="AC3797" s="151">
        <f>AA3785</f>
        <v>32206.448576585783</v>
      </c>
      <c r="AD3797" s="135"/>
      <c r="AE3797" s="132">
        <f>IF(AD3790&lt;=0,W_max,ABS(AD$23-AD3796))</f>
        <v>7174</v>
      </c>
      <c r="AF3797" s="151">
        <f>AD3785</f>
        <v>52967.750197631613</v>
      </c>
      <c r="AG3797" s="135"/>
      <c r="AH3797" s="132">
        <f>IF(AG3790&lt;=0,W_max,ABS(AG$23-AG3796))</f>
        <v>7174</v>
      </c>
      <c r="AI3797" s="151">
        <f>AG3785</f>
        <v>74291.347436376876</v>
      </c>
      <c r="AJ3797" s="135"/>
      <c r="AK3797" s="132">
        <f>IF(AJ3790&lt;=0,W_max,ABS(AJ$23-AJ3796))</f>
        <v>7174</v>
      </c>
      <c r="AL3797" s="151">
        <f>AJ3785</f>
        <v>94330.297926090352</v>
      </c>
      <c r="AM3797" s="135"/>
      <c r="AN3797" s="132">
        <f>IF(AM3790&lt;=0,W_max,ABS(AM$23-AM3796))</f>
        <v>7174</v>
      </c>
      <c r="AO3797" s="151">
        <f>AM3785</f>
        <v>110609.69291742379</v>
      </c>
      <c r="AP3797" s="135"/>
      <c r="AQ3797" s="132">
        <f>IF(AP3790&lt;=0,W_max,ABS(AP$23-AP3796))</f>
        <v>7174</v>
      </c>
      <c r="AR3797" s="151">
        <f>AP3785</f>
        <v>123403.73322234057</v>
      </c>
      <c r="AS3797" s="135"/>
      <c r="AT3797" s="132">
        <f>IF(AS3790&lt;=0,W_max,ABS(AS$23-AS3796))</f>
        <v>7174</v>
      </c>
      <c r="AU3797" s="151">
        <f>AS3785</f>
        <v>137677.63901649651</v>
      </c>
    </row>
    <row r="3798" spans="13:47" ht="13" x14ac:dyDescent="0.25">
      <c r="M3798" s="12"/>
      <c r="N3798" s="12"/>
      <c r="O3798" s="2"/>
      <c r="P3798" s="85"/>
      <c r="Q3798" s="2"/>
      <c r="R3798" s="18"/>
      <c r="S3798" s="150"/>
      <c r="T3798" s="152"/>
      <c r="U3798" s="157"/>
      <c r="V3798" s="1"/>
      <c r="W3798" s="147"/>
      <c r="X3798" s="157"/>
      <c r="Y3798" s="1"/>
      <c r="Z3798" s="147"/>
      <c r="AA3798" s="157"/>
      <c r="AB3798" s="1"/>
      <c r="AC3798" s="147"/>
      <c r="AD3798" s="157"/>
      <c r="AE3798" s="1"/>
      <c r="AF3798" s="147"/>
      <c r="AG3798" s="157"/>
      <c r="AH3798" s="1"/>
      <c r="AI3798" s="147"/>
      <c r="AJ3798" s="157"/>
      <c r="AK3798" s="1"/>
      <c r="AL3798" s="147"/>
      <c r="AM3798" s="157"/>
      <c r="AN3798" s="1"/>
      <c r="AO3798" s="147"/>
      <c r="AP3798" s="157"/>
      <c r="AQ3798" s="1"/>
      <c r="AR3798" s="147"/>
      <c r="AS3798" s="157"/>
      <c r="AT3798" s="1"/>
      <c r="AU3798" s="147"/>
    </row>
    <row r="3799" spans="13:47" ht="14" x14ac:dyDescent="0.3">
      <c r="M3799" s="23"/>
      <c r="N3799" s="23"/>
      <c r="O3799" s="23" t="s">
        <v>238</v>
      </c>
      <c r="P3799" s="20"/>
      <c r="Q3799" s="20"/>
      <c r="R3799" s="181">
        <f>R3785*1.02</f>
        <v>2356.4145225970151</v>
      </c>
      <c r="S3799" s="128" t="s">
        <v>185</v>
      </c>
      <c r="T3799" s="153" t="s">
        <v>186</v>
      </c>
      <c r="U3799" s="143">
        <f>U3785*1.01</f>
        <v>6752.8507894757322</v>
      </c>
      <c r="V3799" s="128" t="s">
        <v>185</v>
      </c>
      <c r="W3799" s="153" t="s">
        <v>186</v>
      </c>
      <c r="X3799" s="143">
        <f>X3785*1.01</f>
        <v>16700.60360103743</v>
      </c>
      <c r="Y3799" s="128" t="s">
        <v>185</v>
      </c>
      <c r="Z3799" s="153" t="s">
        <v>186</v>
      </c>
      <c r="AA3799" s="143">
        <f>AA3785*1.01</f>
        <v>32528.513062351642</v>
      </c>
      <c r="AB3799" s="128" t="s">
        <v>185</v>
      </c>
      <c r="AC3799" s="153" t="s">
        <v>186</v>
      </c>
      <c r="AD3799" s="143">
        <f>AD3785*1.01</f>
        <v>53497.427699607928</v>
      </c>
      <c r="AE3799" s="128" t="s">
        <v>185</v>
      </c>
      <c r="AF3799" s="153" t="s">
        <v>186</v>
      </c>
      <c r="AG3799" s="143">
        <f>AG3785*1.01</f>
        <v>75034.260910740646</v>
      </c>
      <c r="AH3799" s="128" t="s">
        <v>185</v>
      </c>
      <c r="AI3799" s="153" t="s">
        <v>186</v>
      </c>
      <c r="AJ3799" s="143">
        <f>AJ3785*1.01</f>
        <v>95273.600905351253</v>
      </c>
      <c r="AK3799" s="128" t="s">
        <v>185</v>
      </c>
      <c r="AL3799" s="153" t="s">
        <v>186</v>
      </c>
      <c r="AM3799" s="143">
        <f>AM3785*1.01</f>
        <v>111715.78984659803</v>
      </c>
      <c r="AN3799" s="128" t="s">
        <v>185</v>
      </c>
      <c r="AO3799" s="153" t="s">
        <v>186</v>
      </c>
      <c r="AP3799" s="143">
        <f>AP3785*1.01</f>
        <v>124637.77055456398</v>
      </c>
      <c r="AQ3799" s="128" t="s">
        <v>185</v>
      </c>
      <c r="AR3799" s="153" t="s">
        <v>186</v>
      </c>
      <c r="AS3799" s="143">
        <f>AS3785*1.01</f>
        <v>139054.41540666149</v>
      </c>
      <c r="AT3799" s="128" t="s">
        <v>185</v>
      </c>
      <c r="AU3799" s="153" t="s">
        <v>186</v>
      </c>
    </row>
    <row r="3800" spans="13:47" ht="14" x14ac:dyDescent="0.3">
      <c r="M3800" s="12"/>
      <c r="N3800" s="12"/>
      <c r="O3800" s="20"/>
      <c r="P3800" s="20"/>
      <c r="Q3800" s="23"/>
      <c r="R3800" s="139"/>
      <c r="S3800" s="130" t="s">
        <v>228</v>
      </c>
      <c r="T3800" s="154" t="s">
        <v>187</v>
      </c>
      <c r="U3800" s="144"/>
      <c r="V3800" s="130" t="s">
        <v>228</v>
      </c>
      <c r="W3800" s="154" t="s">
        <v>187</v>
      </c>
      <c r="X3800" s="144"/>
      <c r="Y3800" s="130" t="s">
        <v>228</v>
      </c>
      <c r="Z3800" s="154" t="s">
        <v>187</v>
      </c>
      <c r="AA3800" s="144"/>
      <c r="AB3800" s="130" t="s">
        <v>228</v>
      </c>
      <c r="AC3800" s="154" t="s">
        <v>187</v>
      </c>
      <c r="AD3800" s="144"/>
      <c r="AE3800" s="130" t="s">
        <v>228</v>
      </c>
      <c r="AF3800" s="154" t="s">
        <v>187</v>
      </c>
      <c r="AG3800" s="144"/>
      <c r="AH3800" s="130" t="s">
        <v>228</v>
      </c>
      <c r="AI3800" s="154" t="s">
        <v>187</v>
      </c>
      <c r="AJ3800" s="144"/>
      <c r="AK3800" s="130" t="s">
        <v>228</v>
      </c>
      <c r="AL3800" s="154" t="s">
        <v>187</v>
      </c>
      <c r="AM3800" s="144"/>
      <c r="AN3800" s="130" t="s">
        <v>228</v>
      </c>
      <c r="AO3800" s="154" t="s">
        <v>187</v>
      </c>
      <c r="AP3800" s="144"/>
      <c r="AQ3800" s="130" t="s">
        <v>228</v>
      </c>
      <c r="AR3800" s="154" t="s">
        <v>187</v>
      </c>
      <c r="AS3800" s="144"/>
      <c r="AT3800" s="130" t="s">
        <v>228</v>
      </c>
      <c r="AU3800" s="154" t="s">
        <v>187</v>
      </c>
    </row>
    <row r="3801" spans="13:47" x14ac:dyDescent="0.25">
      <c r="M3801" s="20"/>
      <c r="N3801" s="20"/>
      <c r="O3801" s="7" t="s">
        <v>188</v>
      </c>
      <c r="P3801" s="7"/>
      <c r="Q3801" s="7"/>
      <c r="R3801" s="181">
        <f>P_1_minW-(R3799^2*R_up)+dpup_minQ</f>
        <v>98.308586113024887</v>
      </c>
      <c r="S3801" s="132"/>
      <c r="T3801" s="145"/>
      <c r="U3801" s="138">
        <f>P_1_minW-(U3799^2*R_up)+dpup_minQ</f>
        <v>82.338850707806046</v>
      </c>
      <c r="V3801" s="132"/>
      <c r="W3801" s="145"/>
      <c r="X3801" s="138">
        <f>P_1_minW-(X3799^2*R_up)+dpup_minQ</f>
        <v>-10.695941144421511</v>
      </c>
      <c r="Y3801" s="132"/>
      <c r="Z3801" s="145"/>
      <c r="AA3801" s="138">
        <f>P_1_minW-(AA3799^2*R_up)+dpup_minQ</f>
        <v>-321.40877215332102</v>
      </c>
      <c r="AB3801" s="132"/>
      <c r="AC3801" s="145"/>
      <c r="AD3801" s="138">
        <f>P_1_minW-(AD3799^2*R_up)+dpup_minQ</f>
        <v>-1040.7235288184593</v>
      </c>
      <c r="AE3801" s="132"/>
      <c r="AF3801" s="145"/>
      <c r="AG3801" s="138">
        <f>P_1_minW-(AG3799^2*R_up)+dpup_minQ</f>
        <v>-2144.5623033253696</v>
      </c>
      <c r="AH3801" s="132"/>
      <c r="AI3801" s="145"/>
      <c r="AJ3801" s="138">
        <f>P_1_minW-(AJ3799^2*R_up)+dpup_minQ</f>
        <v>-3519.0619420774697</v>
      </c>
      <c r="AK3801" s="132"/>
      <c r="AL3801" s="145"/>
      <c r="AM3801" s="138">
        <f>P_1_minW-(AM3799^2*R_up)+dpup_minQ</f>
        <v>-4876.1914962998608</v>
      </c>
      <c r="AN3801" s="132"/>
      <c r="AO3801" s="145"/>
      <c r="AP3801" s="138">
        <f>P_1_minW-(AP3799^2*R_up)+dpup_minQ</f>
        <v>-6094.0724108078475</v>
      </c>
      <c r="AQ3801" s="132"/>
      <c r="AR3801" s="145"/>
      <c r="AS3801" s="138">
        <f>P_1_minW-(AS3799^2*R_up)+dpup_minQ</f>
        <v>-7609.9881003838964</v>
      </c>
      <c r="AT3801" s="132"/>
      <c r="AU3801" s="145"/>
    </row>
    <row r="3802" spans="13:47" x14ac:dyDescent="0.25">
      <c r="M3802" s="20"/>
      <c r="N3802" s="20"/>
      <c r="O3802" s="7" t="s">
        <v>189</v>
      </c>
      <c r="P3802" s="1"/>
      <c r="Q3802" s="7"/>
      <c r="R3802" s="181">
        <f>P_2_minW+(R3799^2*R_dn)-dpdn_minQ</f>
        <v>50</v>
      </c>
      <c r="S3802" s="132"/>
      <c r="T3802" s="146"/>
      <c r="U3802" s="138">
        <f>P_2_minW+(U3799^2*R_dn)-dpdn_minQ</f>
        <v>50</v>
      </c>
      <c r="V3802" s="132"/>
      <c r="W3802" s="146"/>
      <c r="X3802" s="138">
        <f>P_2_minW+(X3799^2*R_dn)-dpdn_minQ</f>
        <v>50</v>
      </c>
      <c r="Y3802" s="132"/>
      <c r="Z3802" s="146"/>
      <c r="AA3802" s="138">
        <f>P_2_minW+(AA3799^2*R_dn)-dpdn_minQ</f>
        <v>50</v>
      </c>
      <c r="AB3802" s="132"/>
      <c r="AC3802" s="146"/>
      <c r="AD3802" s="138">
        <f>P_2_minW+(AD3799^2*R_dn)-dpdn_minQ</f>
        <v>50</v>
      </c>
      <c r="AE3802" s="132"/>
      <c r="AF3802" s="146"/>
      <c r="AG3802" s="138">
        <f>P_2_minW+(AG3799^2*R_dn)-dpdn_minQ</f>
        <v>50</v>
      </c>
      <c r="AH3802" s="132"/>
      <c r="AI3802" s="146"/>
      <c r="AJ3802" s="138">
        <f>P_2_minW+(AJ3799^2*R_dn)-dpdn_minQ</f>
        <v>50</v>
      </c>
      <c r="AK3802" s="132"/>
      <c r="AL3802" s="146"/>
      <c r="AM3802" s="138">
        <f>P_2_minW+(AM3799^2*R_dn)-dpdn_minQ</f>
        <v>50</v>
      </c>
      <c r="AN3802" s="132"/>
      <c r="AO3802" s="146"/>
      <c r="AP3802" s="138">
        <f>P_2_minW+(AP3799^2*R_dn)-dpdn_minQ</f>
        <v>50</v>
      </c>
      <c r="AQ3802" s="132"/>
      <c r="AR3802" s="146"/>
      <c r="AS3802" s="138">
        <f>P_2_minW+(AS3799^2*R_dn)-dpdn_minQ</f>
        <v>50</v>
      </c>
      <c r="AT3802" s="132"/>
      <c r="AU3802" s="146"/>
    </row>
    <row r="3803" spans="13:47" x14ac:dyDescent="0.25">
      <c r="M3803" s="20"/>
      <c r="N3803" s="20"/>
      <c r="O3803" s="7" t="s">
        <v>234</v>
      </c>
      <c r="P3803" s="1"/>
      <c r="Q3803" s="7"/>
      <c r="R3803" s="179">
        <f>'Valve Sizing'!G$8*R3801/P_1_maxW</f>
        <v>0.47422311664427658</v>
      </c>
      <c r="S3803" s="132"/>
      <c r="T3803" s="146"/>
      <c r="U3803" s="143">
        <f>'Valve Sizing'!$G$8*U3801/P_1_maxW</f>
        <v>0.39718795628564385</v>
      </c>
      <c r="V3803" s="132"/>
      <c r="W3803" s="146"/>
      <c r="X3803" s="143">
        <f>'Valve Sizing'!$G$8*X3801/P_1_maxW</f>
        <v>-5.1595315785741891E-2</v>
      </c>
      <c r="Y3803" s="132"/>
      <c r="Z3803" s="146"/>
      <c r="AA3803" s="143">
        <f>'Valve Sizing'!$G$8*AA3801/P_1_maxW</f>
        <v>-1.5504186935627593</v>
      </c>
      <c r="AB3803" s="132"/>
      <c r="AC3803" s="146"/>
      <c r="AD3803" s="143">
        <f>'Valve Sizing'!$G$8*AD3801/P_1_maxW</f>
        <v>-5.0202650136164548</v>
      </c>
      <c r="AE3803" s="132"/>
      <c r="AF3803" s="146"/>
      <c r="AG3803" s="143">
        <f>'Valve Sizing'!$G$8*AG3801/P_1_maxW</f>
        <v>-10.344986735457107</v>
      </c>
      <c r="AH3803" s="132"/>
      <c r="AI3803" s="146"/>
      <c r="AJ3803" s="143">
        <f>'Valve Sizing'!$G$8*AJ3801/P_1_maxW</f>
        <v>-16.975328278219806</v>
      </c>
      <c r="AK3803" s="132"/>
      <c r="AL3803" s="146"/>
      <c r="AM3803" s="143">
        <f>'Valve Sizing'!$G$8*AM3801/P_1_maxW</f>
        <v>-23.521879625764129</v>
      </c>
      <c r="AN3803" s="132"/>
      <c r="AO3803" s="146"/>
      <c r="AP3803" s="143">
        <f>'Valve Sizing'!$G$8*AP3801/P_1_maxW</f>
        <v>-29.396720327018404</v>
      </c>
      <c r="AQ3803" s="132"/>
      <c r="AR3803" s="146"/>
      <c r="AS3803" s="143">
        <f>'Valve Sizing'!$G$8*AS3801/P_1_maxW</f>
        <v>-36.709227721379833</v>
      </c>
      <c r="AT3803" s="132"/>
      <c r="AU3803" s="146"/>
    </row>
    <row r="3804" spans="13:47" x14ac:dyDescent="0.25">
      <c r="M3804" s="20"/>
      <c r="N3804" s="20"/>
      <c r="O3804" s="7" t="s">
        <v>190</v>
      </c>
      <c r="P3804" s="1"/>
      <c r="Q3804" s="7"/>
      <c r="R3804" s="181">
        <f>R3801-R3802</f>
        <v>48.308586113024887</v>
      </c>
      <c r="S3804" s="132"/>
      <c r="T3804" s="146"/>
      <c r="U3804" s="138">
        <f>U3801-U3802</f>
        <v>32.338850707806046</v>
      </c>
      <c r="V3804" s="132"/>
      <c r="W3804" s="146"/>
      <c r="X3804" s="138">
        <f>X3801-X3802</f>
        <v>-60.695941144421511</v>
      </c>
      <c r="Y3804" s="132"/>
      <c r="Z3804" s="146"/>
      <c r="AA3804" s="138">
        <f>AA3801-AA3802</f>
        <v>-371.40877215332102</v>
      </c>
      <c r="AB3804" s="132"/>
      <c r="AC3804" s="146"/>
      <c r="AD3804" s="138">
        <f>AD3801-AD3802</f>
        <v>-1090.7235288184593</v>
      </c>
      <c r="AE3804" s="132"/>
      <c r="AF3804" s="146"/>
      <c r="AG3804" s="138">
        <f>AG3801-AG3802</f>
        <v>-2194.5623033253696</v>
      </c>
      <c r="AH3804" s="132"/>
      <c r="AI3804" s="146"/>
      <c r="AJ3804" s="138">
        <f>AJ3801-AJ3802</f>
        <v>-3569.0619420774697</v>
      </c>
      <c r="AK3804" s="132"/>
      <c r="AL3804" s="146"/>
      <c r="AM3804" s="138">
        <f>AM3801-AM3802</f>
        <v>-4926.1914962998608</v>
      </c>
      <c r="AN3804" s="132"/>
      <c r="AO3804" s="146"/>
      <c r="AP3804" s="138">
        <f>AP3801-AP3802</f>
        <v>-6144.0724108078475</v>
      </c>
      <c r="AQ3804" s="132"/>
      <c r="AR3804" s="146"/>
      <c r="AS3804" s="138">
        <f>AS3801-AS3802</f>
        <v>-7659.9881003838964</v>
      </c>
      <c r="AT3804" s="132"/>
      <c r="AU3804" s="146"/>
    </row>
    <row r="3805" spans="13:47" ht="14.5" x14ac:dyDescent="0.35">
      <c r="M3805" s="27"/>
      <c r="N3805" s="27"/>
      <c r="O3805" s="2" t="s">
        <v>191</v>
      </c>
      <c r="P3805" s="10"/>
      <c r="Q3805" s="2"/>
      <c r="R3805" s="181">
        <f>R3804/R3801</f>
        <v>0.49139742542411047</v>
      </c>
      <c r="S3805" s="132"/>
      <c r="T3805" s="146"/>
      <c r="U3805" s="138">
        <f>U3804/U3801</f>
        <v>0.39275324381884036</v>
      </c>
      <c r="V3805" s="132"/>
      <c r="W3805" s="146"/>
      <c r="X3805" s="138">
        <f>X3804/X3801</f>
        <v>5.6746704497413578</v>
      </c>
      <c r="Y3805" s="132"/>
      <c r="Z3805" s="146"/>
      <c r="AA3805" s="138">
        <f>AA3804/AA3801</f>
        <v>1.1555651380172929</v>
      </c>
      <c r="AB3805" s="132"/>
      <c r="AC3805" s="146"/>
      <c r="AD3805" s="138">
        <f>AD3804/AD3801</f>
        <v>1.0480434991767364</v>
      </c>
      <c r="AE3805" s="132"/>
      <c r="AF3805" s="146"/>
      <c r="AG3805" s="138">
        <f>AG3804/AG3801</f>
        <v>1.0233147807934839</v>
      </c>
      <c r="AH3805" s="132"/>
      <c r="AI3805" s="146"/>
      <c r="AJ3805" s="138">
        <f>AJ3804/AJ3801</f>
        <v>1.0142083318858783</v>
      </c>
      <c r="AK3805" s="132"/>
      <c r="AL3805" s="146"/>
      <c r="AM3805" s="138">
        <f>AM3804/AM3801</f>
        <v>1.0102539041048615</v>
      </c>
      <c r="AN3805" s="132"/>
      <c r="AO3805" s="146"/>
      <c r="AP3805" s="138">
        <f>AP3804/AP3801</f>
        <v>1.0082046941075602</v>
      </c>
      <c r="AQ3805" s="132"/>
      <c r="AR3805" s="146"/>
      <c r="AS3805" s="138">
        <f>AS3804/AS3801</f>
        <v>1.0065703125077787</v>
      </c>
      <c r="AT3805" s="132"/>
      <c r="AU3805" s="146"/>
    </row>
    <row r="3806" spans="13:47" x14ac:dyDescent="0.25">
      <c r="M3806" s="27"/>
      <c r="N3806" s="27"/>
      <c r="O3806" s="2" t="s">
        <v>26</v>
      </c>
      <c r="P3806" s="7">
        <v>12</v>
      </c>
      <c r="Q3806" s="2"/>
      <c r="R3806" s="181">
        <f>1-R3805/(3*F_GAMMA*R$29)</f>
        <v>0.7440745898528025</v>
      </c>
      <c r="S3806" s="133"/>
      <c r="T3806" s="146"/>
      <c r="U3806" s="138">
        <f>1-U3805/(3*F_GAMMA*U$29)</f>
        <v>0.79549464691133143</v>
      </c>
      <c r="V3806" s="133"/>
      <c r="W3806" s="146"/>
      <c r="X3806" s="138">
        <f>1-X3805/(3*F_GAMMA*X$29)</f>
        <v>-1.9991091269560832</v>
      </c>
      <c r="Y3806" s="133"/>
      <c r="Z3806" s="146"/>
      <c r="AA3806" s="138">
        <f>1-AA3805/(3*F_GAMMA*AA$29)</f>
        <v>0.3809006026904177</v>
      </c>
      <c r="AB3806" s="133"/>
      <c r="AC3806" s="146"/>
      <c r="AD3806" s="138">
        <f>1-AD3805/(3*F_GAMMA*AD$29)</f>
        <v>0.42311084434174884</v>
      </c>
      <c r="AE3806" s="133"/>
      <c r="AF3806" s="146"/>
      <c r="AG3806" s="138">
        <f>1-AG3805/(3*F_GAMMA*AG$29)</f>
        <v>0.40459238525682484</v>
      </c>
      <c r="AH3806" s="133"/>
      <c r="AI3806" s="146"/>
      <c r="AJ3806" s="138">
        <f>1-AJ3805/(3*F_GAMMA*AJ$29)</f>
        <v>0.36916537284142648</v>
      </c>
      <c r="AK3806" s="133"/>
      <c r="AL3806" s="146"/>
      <c r="AM3806" s="138">
        <f>1-AM3805/(3*F_GAMMA*AM$29)</f>
        <v>0.31343643061535664</v>
      </c>
      <c r="AN3806" s="133"/>
      <c r="AO3806" s="146"/>
      <c r="AP3806" s="138">
        <f>1-AP3805/(3*F_GAMMA*AP$29)</f>
        <v>0.43378034777832197</v>
      </c>
      <c r="AQ3806" s="133"/>
      <c r="AR3806" s="146"/>
      <c r="AS3806" s="138">
        <f>1-AS3805/(3*F_GAMMA*AS$29)</f>
        <v>0.14182280085753018</v>
      </c>
      <c r="AT3806" s="133"/>
      <c r="AU3806" s="146"/>
    </row>
    <row r="3807" spans="13:47" x14ac:dyDescent="0.25">
      <c r="M3807" s="27"/>
      <c r="N3807" s="27"/>
      <c r="O3807" s="2" t="s">
        <v>71</v>
      </c>
      <c r="P3807" s="85">
        <v>5</v>
      </c>
      <c r="Q3807" s="2"/>
      <c r="R3807" s="179">
        <f>R3799/((N_6*R$27*R3806)*SQRT(R3805*R3801*R3803))</f>
        <v>10.453926516170856</v>
      </c>
      <c r="S3807" s="133"/>
      <c r="T3807" s="146"/>
      <c r="U3807" s="143">
        <f>U3799/((N_6*U$27*U3806)*SQRT(U3805*U3801*U3803))</f>
        <v>37.446159140205637</v>
      </c>
      <c r="V3807" s="133"/>
      <c r="W3807" s="146"/>
      <c r="X3807" s="143">
        <f>X3799/((N_6*X$27*X3806)*SQRT(X3805*X3801*X3803))</f>
        <v>-74.797974908674348</v>
      </c>
      <c r="Y3807" s="133"/>
      <c r="Z3807" s="146"/>
      <c r="AA3807" s="143">
        <f>AA3799/((N_6*AA$27*AA3806)*SQRT(AA3805*AA3801*AA3803))</f>
        <v>56.71157299516171</v>
      </c>
      <c r="AB3807" s="133"/>
      <c r="AC3807" s="146"/>
      <c r="AD3807" s="143">
        <f>AD3799/((N_6*AD$27*AD3806)*SQRT(AD3805*AD3801*AD3803))</f>
        <v>27.553227615678534</v>
      </c>
      <c r="AE3807" s="133"/>
      <c r="AF3807" s="146"/>
      <c r="AG3807" s="143">
        <f>AG3799/((N_6*AG$27*AG3806)*SQRT(AG3805*AG3801*AG3803))</f>
        <v>20.276271522170134</v>
      </c>
      <c r="AH3807" s="133"/>
      <c r="AI3807" s="146"/>
      <c r="AJ3807" s="143">
        <f>AJ3799/((N_6*AJ$27*AJ3806)*SQRT(AJ3805*AJ3801*AJ3803))</f>
        <v>17.86529469792875</v>
      </c>
      <c r="AK3807" s="133"/>
      <c r="AL3807" s="146"/>
      <c r="AM3807" s="143">
        <f>AM3799/((N_6*AM$27*AM3806)*SQRT(AM3805*AM3801*AM3803))</f>
        <v>18.936615922017705</v>
      </c>
      <c r="AN3807" s="133"/>
      <c r="AO3807" s="146"/>
      <c r="AP3807" s="143">
        <f>AP3799/((N_6*AP$27*AP3806)*SQRT(AP3805*AP3801*AP3803))</f>
        <v>13.889456731074409</v>
      </c>
      <c r="AQ3807" s="133"/>
      <c r="AR3807" s="146"/>
      <c r="AS3807" s="143">
        <f>AS3799/((N_6*AS$27*AS3806)*SQRT(AS3805*AS3801*AS3803))</f>
        <v>49.912294549932028</v>
      </c>
      <c r="AT3807" s="133"/>
      <c r="AU3807" s="146"/>
    </row>
    <row r="3808" spans="13:47" x14ac:dyDescent="0.25">
      <c r="M3808" s="27"/>
      <c r="N3808" s="27"/>
      <c r="O3808" s="2" t="s">
        <v>73</v>
      </c>
      <c r="P3808" s="85">
        <v>5</v>
      </c>
      <c r="Q3808" s="2"/>
      <c r="R3808" s="179">
        <f>R3799/((N_6*R$27*0.667)*SQRT(R3809*R3801*R3803))</f>
        <v>10.218506229856926</v>
      </c>
      <c r="S3808" s="133"/>
      <c r="T3808" s="155"/>
      <c r="U3808" s="143">
        <f>U3799/((N_6*U$27*0.667)*SQRT(U3809*U3801*U3803))</f>
        <v>34.980955971530044</v>
      </c>
      <c r="V3808" s="133"/>
      <c r="W3808" s="155"/>
      <c r="X3808" s="143">
        <f>X3799/((N_6*X$27*0.667)*SQRT(X3809*X3801*X3803))</f>
        <v>672.44577539741658</v>
      </c>
      <c r="Y3808" s="133"/>
      <c r="Z3808" s="155"/>
      <c r="AA3808" s="143">
        <f>AA3799/((N_6*AA$27*0.667)*SQRT(AA3809*AA3801*AA3803))</f>
        <v>44.136545365613401</v>
      </c>
      <c r="AB3808" s="133"/>
      <c r="AC3808" s="155"/>
      <c r="AD3808" s="143">
        <f>AD3799/((N_6*AD$27*0.667)*SQRT(AD3809*AD3801*AD3803))</f>
        <v>22.993634168010335</v>
      </c>
      <c r="AE3808" s="133"/>
      <c r="AF3808" s="155"/>
      <c r="AG3808" s="143">
        <f>AG3799/((N_6*AG$27*0.667)*SQRT(AG3809*AG3801*AG3803))</f>
        <v>16.437955059527464</v>
      </c>
      <c r="AH3808" s="133"/>
      <c r="AI3808" s="155"/>
      <c r="AJ3808" s="143">
        <f>AJ3799/((N_6*AJ$27*0.667)*SQRT(AJ3809*AJ3801*AJ3803))</f>
        <v>13.602655464551878</v>
      </c>
      <c r="AK3808" s="133"/>
      <c r="AL3808" s="155"/>
      <c r="AM3808" s="143">
        <f>AM3799/((N_6*AM$27*0.667)*SQRT(AM3809*AM3801*AM3803))</f>
        <v>12.771062042273178</v>
      </c>
      <c r="AN3808" s="133"/>
      <c r="AO3808" s="155"/>
      <c r="AP3808" s="143">
        <f>AP3799/((N_6*AP$27*0.667)*SQRT(AP3809*AP3801*AP3803))</f>
        <v>11.772871251144631</v>
      </c>
      <c r="AQ3808" s="133"/>
      <c r="AR3808" s="155"/>
      <c r="AS3808" s="143">
        <f>AS3799/((N_6*AS$27*0.667)*SQRT(AS3809*AS3801*AS3803))</f>
        <v>17.0285187861423</v>
      </c>
      <c r="AT3808" s="133"/>
      <c r="AU3808" s="155"/>
    </row>
    <row r="3809" spans="13:47" ht="15.5" x14ac:dyDescent="0.4">
      <c r="M3809" s="27"/>
      <c r="N3809" s="27"/>
      <c r="O3809" s="2" t="s">
        <v>192</v>
      </c>
      <c r="P3809" s="85">
        <v>10</v>
      </c>
      <c r="Q3809" s="2"/>
      <c r="R3809" s="181">
        <f>F_GAMMA*R$29</f>
        <v>0.64002688015162901</v>
      </c>
      <c r="S3809" s="133"/>
      <c r="T3809" s="155"/>
      <c r="U3809" s="138">
        <f>F_GAMMA*U$29</f>
        <v>0.64016782916606918</v>
      </c>
      <c r="V3809" s="133"/>
      <c r="W3809" s="155"/>
      <c r="X3809" s="138">
        <f>F_GAMMA*X$29</f>
        <v>0.6307062319203669</v>
      </c>
      <c r="Y3809" s="133"/>
      <c r="Z3809" s="155"/>
      <c r="AA3809" s="138">
        <f>F_GAMMA*AA$29</f>
        <v>0.62217534213893466</v>
      </c>
      <c r="AB3809" s="133"/>
      <c r="AC3809" s="155"/>
      <c r="AD3809" s="138">
        <f>F_GAMMA*AD$29</f>
        <v>0.60557184969146072</v>
      </c>
      <c r="AE3809" s="133"/>
      <c r="AF3809" s="155"/>
      <c r="AG3809" s="138">
        <f>F_GAMMA*AG$29</f>
        <v>0.57289312142622573</v>
      </c>
      <c r="AH3809" s="133"/>
      <c r="AI3809" s="155"/>
      <c r="AJ3809" s="138">
        <f>F_GAMMA*AJ$29</f>
        <v>0.53590819116049981</v>
      </c>
      <c r="AK3809" s="133"/>
      <c r="AL3809" s="155"/>
      <c r="AM3809" s="138">
        <f>F_GAMMA*AM$29</f>
        <v>0.49048815926850342</v>
      </c>
      <c r="AN3809" s="133"/>
      <c r="AO3809" s="155"/>
      <c r="AP3809" s="138">
        <f>F_GAMMA*AP$29</f>
        <v>0.59352979016280105</v>
      </c>
      <c r="AQ3809" s="133"/>
      <c r="AR3809" s="155"/>
      <c r="AS3809" s="138">
        <f>F_GAMMA*AS$29</f>
        <v>0.39097221161068291</v>
      </c>
      <c r="AT3809" s="133"/>
      <c r="AU3809" s="155"/>
    </row>
    <row r="3810" spans="13:47" x14ac:dyDescent="0.25">
      <c r="M3810" s="27"/>
      <c r="N3810" s="27"/>
      <c r="O3810" s="2" t="s">
        <v>193</v>
      </c>
      <c r="P3810" s="134"/>
      <c r="Q3810" s="2"/>
      <c r="R3810" s="181">
        <f>IF(R3805&lt;R3809,R3807,R3808)</f>
        <v>10.453926516170856</v>
      </c>
      <c r="S3810" s="133"/>
      <c r="T3810" s="155"/>
      <c r="U3810" s="138">
        <f>IF(U3805&lt;U3809,U3807,U3808)</f>
        <v>37.446159140205637</v>
      </c>
      <c r="V3810" s="133"/>
      <c r="W3810" s="155"/>
      <c r="X3810" s="138">
        <f>IF(X3805&lt;X3809,X3807,X3808)</f>
        <v>672.44577539741658</v>
      </c>
      <c r="Y3810" s="133"/>
      <c r="Z3810" s="155"/>
      <c r="AA3810" s="138">
        <f>IF(AA3805&lt;AA3809,AA3807,AA3808)</f>
        <v>44.136545365613401</v>
      </c>
      <c r="AB3810" s="133"/>
      <c r="AC3810" s="155"/>
      <c r="AD3810" s="138">
        <f>IF(AD3805&lt;AD3809,AD3807,AD3808)</f>
        <v>22.993634168010335</v>
      </c>
      <c r="AE3810" s="133"/>
      <c r="AF3810" s="155"/>
      <c r="AG3810" s="138">
        <f>IF(AG3805&lt;AG3809,AG3807,AG3808)</f>
        <v>16.437955059527464</v>
      </c>
      <c r="AH3810" s="133"/>
      <c r="AI3810" s="155"/>
      <c r="AJ3810" s="138">
        <f>IF(AJ3805&lt;AJ3809,AJ3807,AJ3808)</f>
        <v>13.602655464551878</v>
      </c>
      <c r="AK3810" s="133"/>
      <c r="AL3810" s="155"/>
      <c r="AM3810" s="138">
        <f>IF(AM3805&lt;AM3809,AM3807,AM3808)</f>
        <v>12.771062042273178</v>
      </c>
      <c r="AN3810" s="133"/>
      <c r="AO3810" s="155"/>
      <c r="AP3810" s="138">
        <f>IF(AP3805&lt;AP3809,AP3807,AP3808)</f>
        <v>11.772871251144631</v>
      </c>
      <c r="AQ3810" s="133"/>
      <c r="AR3810" s="155"/>
      <c r="AS3810" s="138">
        <f>IF(AS3805&lt;AS3809,AS3807,AS3808)</f>
        <v>17.0285187861423</v>
      </c>
      <c r="AT3810" s="133"/>
      <c r="AU3810" s="155"/>
    </row>
    <row r="3811" spans="13:47" ht="13" x14ac:dyDescent="0.3">
      <c r="M3811" s="28"/>
      <c r="N3811" s="28"/>
      <c r="O3811" s="9" t="s">
        <v>194</v>
      </c>
      <c r="P3811" s="1"/>
      <c r="Q3811" s="1"/>
      <c r="R3811" s="135"/>
      <c r="S3811" s="132">
        <f>IF(R3804&lt;=0,W_max,ABS(R$23-R3810))</f>
        <v>8.4539265161708563</v>
      </c>
      <c r="T3811" s="151">
        <f>R3799</f>
        <v>2356.4145225970151</v>
      </c>
      <c r="U3811" s="135"/>
      <c r="V3811" s="132">
        <f>IF(U3804&lt;=0,W_max,ABS(U$23-U3810))</f>
        <v>32.446159140205637</v>
      </c>
      <c r="W3811" s="151">
        <f>U3799</f>
        <v>6752.8507894757322</v>
      </c>
      <c r="X3811" s="135"/>
      <c r="Y3811" s="132">
        <f>IF(X3804&lt;=0,W_max,ABS(X$23-X3810))</f>
        <v>7174</v>
      </c>
      <c r="Z3811" s="151">
        <f>X3799</f>
        <v>16700.60360103743</v>
      </c>
      <c r="AA3811" s="135"/>
      <c r="AB3811" s="132">
        <f>IF(AA3804&lt;=0,W_max,ABS(AA$23-AA3810))</f>
        <v>7174</v>
      </c>
      <c r="AC3811" s="151">
        <f>AA3799</f>
        <v>32528.513062351642</v>
      </c>
      <c r="AD3811" s="135"/>
      <c r="AE3811" s="132">
        <f>IF(AD3804&lt;=0,W_max,ABS(AD$23-AD3810))</f>
        <v>7174</v>
      </c>
      <c r="AF3811" s="151">
        <f>AD3799</f>
        <v>53497.427699607928</v>
      </c>
      <c r="AG3811" s="135"/>
      <c r="AH3811" s="132">
        <f>IF(AG3804&lt;=0,W_max,ABS(AG$23-AG3810))</f>
        <v>7174</v>
      </c>
      <c r="AI3811" s="151">
        <f>AG3799</f>
        <v>75034.260910740646</v>
      </c>
      <c r="AJ3811" s="135"/>
      <c r="AK3811" s="132">
        <f>IF(AJ3804&lt;=0,W_max,ABS(AJ$23-AJ3810))</f>
        <v>7174</v>
      </c>
      <c r="AL3811" s="151">
        <f>AJ3799</f>
        <v>95273.600905351253</v>
      </c>
      <c r="AM3811" s="135"/>
      <c r="AN3811" s="132">
        <f>IF(AM3804&lt;=0,W_max,ABS(AM$23-AM3810))</f>
        <v>7174</v>
      </c>
      <c r="AO3811" s="151">
        <f>AM3799</f>
        <v>111715.78984659803</v>
      </c>
      <c r="AP3811" s="135"/>
      <c r="AQ3811" s="132">
        <f>IF(AP3804&lt;=0,W_max,ABS(AP$23-AP3810))</f>
        <v>7174</v>
      </c>
      <c r="AR3811" s="151">
        <f>AP3799</f>
        <v>124637.77055456398</v>
      </c>
      <c r="AS3811" s="135"/>
      <c r="AT3811" s="132">
        <f>IF(AS3804&lt;=0,W_max,ABS(AS$23-AS3810))</f>
        <v>7174</v>
      </c>
      <c r="AU3811" s="151">
        <f>AS3799</f>
        <v>139054.41540666149</v>
      </c>
    </row>
    <row r="3812" spans="13:47" ht="13" x14ac:dyDescent="0.25">
      <c r="M3812" s="12"/>
      <c r="N3812" s="12"/>
      <c r="O3812" s="2"/>
      <c r="P3812" s="85"/>
      <c r="Q3812" s="2"/>
      <c r="R3812" s="18"/>
      <c r="S3812" s="150"/>
      <c r="T3812" s="148"/>
      <c r="U3812" s="157"/>
      <c r="V3812" s="1"/>
      <c r="W3812" s="147"/>
      <c r="X3812" s="157"/>
      <c r="Y3812" s="1"/>
      <c r="Z3812" s="147"/>
      <c r="AA3812" s="157"/>
      <c r="AB3812" s="1"/>
      <c r="AC3812" s="147"/>
      <c r="AD3812" s="157"/>
      <c r="AE3812" s="1"/>
      <c r="AF3812" s="147"/>
      <c r="AG3812" s="157"/>
      <c r="AH3812" s="1"/>
      <c r="AI3812" s="147"/>
      <c r="AJ3812" s="157"/>
      <c r="AK3812" s="1"/>
      <c r="AL3812" s="147"/>
      <c r="AM3812" s="157"/>
      <c r="AN3812" s="1"/>
      <c r="AO3812" s="147"/>
      <c r="AP3812" s="157"/>
      <c r="AQ3812" s="1"/>
      <c r="AR3812" s="147"/>
      <c r="AS3812" s="157"/>
      <c r="AT3812" s="1"/>
      <c r="AU3812" s="147"/>
    </row>
    <row r="3813" spans="13:47" ht="14" x14ac:dyDescent="0.3">
      <c r="M3813" s="23"/>
      <c r="N3813" s="23"/>
      <c r="O3813" s="23" t="s">
        <v>238</v>
      </c>
      <c r="P3813" s="20"/>
      <c r="Q3813" s="20"/>
      <c r="R3813" s="181">
        <f>R3799*1.02</f>
        <v>2403.5428130489554</v>
      </c>
      <c r="S3813" s="128" t="s">
        <v>185</v>
      </c>
      <c r="T3813" s="149" t="s">
        <v>186</v>
      </c>
      <c r="U3813" s="143">
        <f>U3799*1.01</f>
        <v>6820.3792973704894</v>
      </c>
      <c r="V3813" s="128" t="s">
        <v>185</v>
      </c>
      <c r="W3813" s="153" t="s">
        <v>186</v>
      </c>
      <c r="X3813" s="143">
        <f>X3799*1.01</f>
        <v>16867.609637047804</v>
      </c>
      <c r="Y3813" s="128" t="s">
        <v>185</v>
      </c>
      <c r="Z3813" s="153" t="s">
        <v>186</v>
      </c>
      <c r="AA3813" s="143">
        <f>AA3799*1.01</f>
        <v>32853.798192975155</v>
      </c>
      <c r="AB3813" s="128" t="s">
        <v>185</v>
      </c>
      <c r="AC3813" s="153" t="s">
        <v>186</v>
      </c>
      <c r="AD3813" s="143">
        <f>AD3799*1.01</f>
        <v>54032.401976604007</v>
      </c>
      <c r="AE3813" s="128" t="s">
        <v>185</v>
      </c>
      <c r="AF3813" s="153" t="s">
        <v>186</v>
      </c>
      <c r="AG3813" s="143">
        <f>AG3799*1.01</f>
        <v>75784.603519848053</v>
      </c>
      <c r="AH3813" s="128" t="s">
        <v>185</v>
      </c>
      <c r="AI3813" s="153" t="s">
        <v>186</v>
      </c>
      <c r="AJ3813" s="143">
        <f>AJ3799*1.01</f>
        <v>96226.336914404761</v>
      </c>
      <c r="AK3813" s="128" t="s">
        <v>185</v>
      </c>
      <c r="AL3813" s="153" t="s">
        <v>186</v>
      </c>
      <c r="AM3813" s="143">
        <f>AM3799*1.01</f>
        <v>112832.94774506401</v>
      </c>
      <c r="AN3813" s="128" t="s">
        <v>185</v>
      </c>
      <c r="AO3813" s="153" t="s">
        <v>186</v>
      </c>
      <c r="AP3813" s="143">
        <f>AP3799*1.01</f>
        <v>125884.14826010962</v>
      </c>
      <c r="AQ3813" s="128" t="s">
        <v>185</v>
      </c>
      <c r="AR3813" s="153" t="s">
        <v>186</v>
      </c>
      <c r="AS3813" s="143">
        <f>AS3799*1.01</f>
        <v>140444.95956072811</v>
      </c>
      <c r="AT3813" s="128" t="s">
        <v>185</v>
      </c>
      <c r="AU3813" s="153" t="s">
        <v>186</v>
      </c>
    </row>
    <row r="3814" spans="13:47" ht="14" x14ac:dyDescent="0.3">
      <c r="M3814" s="12"/>
      <c r="N3814" s="12"/>
      <c r="O3814" s="20"/>
      <c r="P3814" s="20"/>
      <c r="Q3814" s="23"/>
      <c r="R3814" s="139"/>
      <c r="S3814" s="130" t="s">
        <v>228</v>
      </c>
      <c r="T3814" s="131" t="s">
        <v>187</v>
      </c>
      <c r="U3814" s="144"/>
      <c r="V3814" s="130" t="s">
        <v>228</v>
      </c>
      <c r="W3814" s="154" t="s">
        <v>187</v>
      </c>
      <c r="X3814" s="144"/>
      <c r="Y3814" s="130" t="s">
        <v>228</v>
      </c>
      <c r="Z3814" s="154" t="s">
        <v>187</v>
      </c>
      <c r="AA3814" s="144"/>
      <c r="AB3814" s="130" t="s">
        <v>228</v>
      </c>
      <c r="AC3814" s="154" t="s">
        <v>187</v>
      </c>
      <c r="AD3814" s="144"/>
      <c r="AE3814" s="130" t="s">
        <v>228</v>
      </c>
      <c r="AF3814" s="154" t="s">
        <v>187</v>
      </c>
      <c r="AG3814" s="144"/>
      <c r="AH3814" s="130" t="s">
        <v>228</v>
      </c>
      <c r="AI3814" s="154" t="s">
        <v>187</v>
      </c>
      <c r="AJ3814" s="144"/>
      <c r="AK3814" s="130" t="s">
        <v>228</v>
      </c>
      <c r="AL3814" s="154" t="s">
        <v>187</v>
      </c>
      <c r="AM3814" s="144"/>
      <c r="AN3814" s="130" t="s">
        <v>228</v>
      </c>
      <c r="AO3814" s="154" t="s">
        <v>187</v>
      </c>
      <c r="AP3814" s="144"/>
      <c r="AQ3814" s="130" t="s">
        <v>228</v>
      </c>
      <c r="AR3814" s="154" t="s">
        <v>187</v>
      </c>
      <c r="AS3814" s="144"/>
      <c r="AT3814" s="130" t="s">
        <v>228</v>
      </c>
      <c r="AU3814" s="154" t="s">
        <v>187</v>
      </c>
    </row>
    <row r="3815" spans="13:47" x14ac:dyDescent="0.25">
      <c r="M3815" s="20"/>
      <c r="N3815" s="20"/>
      <c r="O3815" s="7" t="s">
        <v>188</v>
      </c>
      <c r="P3815" s="7"/>
      <c r="Q3815" s="7"/>
      <c r="R3815" s="181">
        <f>P_1_minW-(R3813^2*R_up)+dpup_minQ</f>
        <v>98.219132407827331</v>
      </c>
      <c r="S3815" s="132"/>
      <c r="T3815" s="145"/>
      <c r="U3815" s="138">
        <f>P_1_minW-(U3813^2*R_up)+dpup_minQ</f>
        <v>81.973353593624736</v>
      </c>
      <c r="V3815" s="132"/>
      <c r="W3815" s="145"/>
      <c r="X3815" s="138">
        <f>P_1_minW-(X3813^2*R_up)+dpup_minQ</f>
        <v>-12.931437574832572</v>
      </c>
      <c r="Y3815" s="132"/>
      <c r="Z3815" s="145"/>
      <c r="AA3815" s="138">
        <f>P_1_minW-(AA3813^2*R_up)+dpup_minQ</f>
        <v>-329.88959648701098</v>
      </c>
      <c r="AB3815" s="132"/>
      <c r="AC3815" s="145"/>
      <c r="AD3815" s="138">
        <f>P_1_minW-(AD3813^2*R_up)+dpup_minQ</f>
        <v>-1063.6625797611184</v>
      </c>
      <c r="AE3815" s="132"/>
      <c r="AF3815" s="145"/>
      <c r="AG3815" s="138">
        <f>P_1_minW-(AG3813^2*R_up)+dpup_minQ</f>
        <v>-2189.6885136356177</v>
      </c>
      <c r="AH3815" s="132"/>
      <c r="AI3815" s="145"/>
      <c r="AJ3815" s="138">
        <f>P_1_minW-(AJ3813^2*R_up)+dpup_minQ</f>
        <v>-3591.8155951266349</v>
      </c>
      <c r="AK3815" s="132"/>
      <c r="AL3815" s="145"/>
      <c r="AM3815" s="138">
        <f>P_1_minW-(AM3813^2*R_up)+dpup_minQ</f>
        <v>-4976.2234533888968</v>
      </c>
      <c r="AN3815" s="132"/>
      <c r="AO3815" s="145"/>
      <c r="AP3815" s="138">
        <f>P_1_minW-(AP3813^2*R_up)+dpup_minQ</f>
        <v>-6218.5837742784943</v>
      </c>
      <c r="AQ3815" s="132"/>
      <c r="AR3815" s="145"/>
      <c r="AS3815" s="138">
        <f>P_1_minW-(AS3813^2*R_up)+dpup_minQ</f>
        <v>-7764.9693692150213</v>
      </c>
      <c r="AT3815" s="132"/>
      <c r="AU3815" s="145"/>
    </row>
    <row r="3816" spans="13:47" x14ac:dyDescent="0.25">
      <c r="M3816" s="20"/>
      <c r="N3816" s="20"/>
      <c r="O3816" s="7" t="s">
        <v>189</v>
      </c>
      <c r="P3816" s="1"/>
      <c r="Q3816" s="7"/>
      <c r="R3816" s="181">
        <f>P_2_minW+(R3813^2*R_dn)-dpdn_minQ</f>
        <v>50</v>
      </c>
      <c r="S3816" s="132"/>
      <c r="T3816" s="146"/>
      <c r="U3816" s="138">
        <f>P_2_minW+(U3813^2*R_dn)-dpdn_minQ</f>
        <v>50</v>
      </c>
      <c r="V3816" s="132"/>
      <c r="W3816" s="146"/>
      <c r="X3816" s="138">
        <f>P_2_minW+(X3813^2*R_dn)-dpdn_minQ</f>
        <v>50</v>
      </c>
      <c r="Y3816" s="132"/>
      <c r="Z3816" s="146"/>
      <c r="AA3816" s="138">
        <f>P_2_minW+(AA3813^2*R_dn)-dpdn_minQ</f>
        <v>50</v>
      </c>
      <c r="AB3816" s="132"/>
      <c r="AC3816" s="146"/>
      <c r="AD3816" s="138">
        <f>P_2_minW+(AD3813^2*R_dn)-dpdn_minQ</f>
        <v>50</v>
      </c>
      <c r="AE3816" s="132"/>
      <c r="AF3816" s="146"/>
      <c r="AG3816" s="138">
        <f>P_2_minW+(AG3813^2*R_dn)-dpdn_minQ</f>
        <v>50</v>
      </c>
      <c r="AH3816" s="132"/>
      <c r="AI3816" s="146"/>
      <c r="AJ3816" s="138">
        <f>P_2_minW+(AJ3813^2*R_dn)-dpdn_minQ</f>
        <v>50</v>
      </c>
      <c r="AK3816" s="132"/>
      <c r="AL3816" s="146"/>
      <c r="AM3816" s="138">
        <f>P_2_minW+(AM3813^2*R_dn)-dpdn_minQ</f>
        <v>50</v>
      </c>
      <c r="AN3816" s="132"/>
      <c r="AO3816" s="146"/>
      <c r="AP3816" s="138">
        <f>P_2_minW+(AP3813^2*R_dn)-dpdn_minQ</f>
        <v>50</v>
      </c>
      <c r="AQ3816" s="132"/>
      <c r="AR3816" s="146"/>
      <c r="AS3816" s="138">
        <f>P_2_minW+(AS3813^2*R_dn)-dpdn_minQ</f>
        <v>50</v>
      </c>
      <c r="AT3816" s="132"/>
      <c r="AU3816" s="146"/>
    </row>
    <row r="3817" spans="13:47" x14ac:dyDescent="0.25">
      <c r="M3817" s="20"/>
      <c r="N3817" s="20"/>
      <c r="O3817" s="7" t="s">
        <v>234</v>
      </c>
      <c r="P3817" s="1"/>
      <c r="Q3817" s="7"/>
      <c r="R3817" s="179">
        <f>'Valve Sizing'!G$8*R3815/P_1_maxW</f>
        <v>0.47379160789665409</v>
      </c>
      <c r="S3817" s="132"/>
      <c r="T3817" s="146"/>
      <c r="U3817" s="143">
        <f>'Valve Sizing'!$G$8*U3815/P_1_maxW</f>
        <v>0.39542486327958354</v>
      </c>
      <c r="V3817" s="132"/>
      <c r="W3817" s="146"/>
      <c r="X3817" s="143">
        <f>'Valve Sizing'!$G$8*X3815/P_1_maxW</f>
        <v>-6.237895256043692E-2</v>
      </c>
      <c r="Y3817" s="132"/>
      <c r="Z3817" s="146"/>
      <c r="AA3817" s="143">
        <f>'Valve Sizing'!$G$8*AA3815/P_1_maxW</f>
        <v>-1.5913286802307725</v>
      </c>
      <c r="AB3817" s="132"/>
      <c r="AC3817" s="146"/>
      <c r="AD3817" s="143">
        <f>'Valve Sizing'!$G$8*AD3815/P_1_maxW</f>
        <v>-5.1309189113175471</v>
      </c>
      <c r="AE3817" s="132"/>
      <c r="AF3817" s="146"/>
      <c r="AG3817" s="143">
        <f>'Valve Sizing'!$G$8*AG3815/P_1_maxW</f>
        <v>-10.562667539767196</v>
      </c>
      <c r="AH3817" s="132"/>
      <c r="AI3817" s="146"/>
      <c r="AJ3817" s="143">
        <f>'Valve Sizing'!$G$8*AJ3815/P_1_maxW</f>
        <v>-17.326278947539425</v>
      </c>
      <c r="AK3817" s="132"/>
      <c r="AL3817" s="146"/>
      <c r="AM3817" s="143">
        <f>'Valve Sizing'!$G$8*AM3815/P_1_maxW</f>
        <v>-24.004415977169394</v>
      </c>
      <c r="AN3817" s="132"/>
      <c r="AO3817" s="146"/>
      <c r="AP3817" s="143">
        <f>'Valve Sizing'!$G$8*AP3815/P_1_maxW</f>
        <v>-29.997340976518878</v>
      </c>
      <c r="AQ3817" s="132"/>
      <c r="AR3817" s="146"/>
      <c r="AS3817" s="143">
        <f>'Valve Sizing'!$G$8*AS3815/P_1_maxW</f>
        <v>-37.456829769506967</v>
      </c>
      <c r="AT3817" s="132"/>
      <c r="AU3817" s="146"/>
    </row>
    <row r="3818" spans="13:47" x14ac:dyDescent="0.25">
      <c r="M3818" s="20"/>
      <c r="N3818" s="20"/>
      <c r="O3818" s="7" t="s">
        <v>190</v>
      </c>
      <c r="P3818" s="1"/>
      <c r="Q3818" s="7"/>
      <c r="R3818" s="181">
        <f>R3815-R3816</f>
        <v>48.219132407827331</v>
      </c>
      <c r="S3818" s="132"/>
      <c r="T3818" s="146"/>
      <c r="U3818" s="138">
        <f>U3815-U3816</f>
        <v>31.973353593624736</v>
      </c>
      <c r="V3818" s="132"/>
      <c r="W3818" s="146"/>
      <c r="X3818" s="138">
        <f>X3815-X3816</f>
        <v>-62.931437574832572</v>
      </c>
      <c r="Y3818" s="132"/>
      <c r="Z3818" s="146"/>
      <c r="AA3818" s="138">
        <f>AA3815-AA3816</f>
        <v>-379.88959648701098</v>
      </c>
      <c r="AB3818" s="132"/>
      <c r="AC3818" s="146"/>
      <c r="AD3818" s="138">
        <f>AD3815-AD3816</f>
        <v>-1113.6625797611184</v>
      </c>
      <c r="AE3818" s="132"/>
      <c r="AF3818" s="146"/>
      <c r="AG3818" s="138">
        <f>AG3815-AG3816</f>
        <v>-2239.6885136356177</v>
      </c>
      <c r="AH3818" s="132"/>
      <c r="AI3818" s="146"/>
      <c r="AJ3818" s="138">
        <f>AJ3815-AJ3816</f>
        <v>-3641.8155951266349</v>
      </c>
      <c r="AK3818" s="132"/>
      <c r="AL3818" s="146"/>
      <c r="AM3818" s="138">
        <f>AM3815-AM3816</f>
        <v>-5026.2234533888968</v>
      </c>
      <c r="AN3818" s="132"/>
      <c r="AO3818" s="146"/>
      <c r="AP3818" s="138">
        <f>AP3815-AP3816</f>
        <v>-6268.5837742784943</v>
      </c>
      <c r="AQ3818" s="132"/>
      <c r="AR3818" s="146"/>
      <c r="AS3818" s="138">
        <f>AS3815-AS3816</f>
        <v>-7814.9693692150213</v>
      </c>
      <c r="AT3818" s="132"/>
      <c r="AU3818" s="146"/>
    </row>
    <row r="3819" spans="13:47" ht="14.5" x14ac:dyDescent="0.35">
      <c r="M3819" s="27"/>
      <c r="N3819" s="27"/>
      <c r="O3819" s="2" t="s">
        <v>191</v>
      </c>
      <c r="P3819" s="10"/>
      <c r="Q3819" s="2"/>
      <c r="R3819" s="181">
        <f>R3818/R3815</f>
        <v>0.49093421236517282</v>
      </c>
      <c r="S3819" s="132"/>
      <c r="T3819" s="146"/>
      <c r="U3819" s="138">
        <f>U3818/U3815</f>
        <v>0.39004569402064065</v>
      </c>
      <c r="V3819" s="132"/>
      <c r="W3819" s="146"/>
      <c r="X3819" s="138">
        <f>X3818/X3815</f>
        <v>4.8665461369361616</v>
      </c>
      <c r="Y3819" s="132"/>
      <c r="Z3819" s="146"/>
      <c r="AA3819" s="138">
        <f>AA3818/AA3815</f>
        <v>1.1515658587977591</v>
      </c>
      <c r="AB3819" s="132"/>
      <c r="AC3819" s="146"/>
      <c r="AD3819" s="138">
        <f>AD3818/AD3815</f>
        <v>1.0470073883874238</v>
      </c>
      <c r="AE3819" s="132"/>
      <c r="AF3819" s="146"/>
      <c r="AG3819" s="138">
        <f>AG3818/AG3815</f>
        <v>1.0228342979782925</v>
      </c>
      <c r="AH3819" s="132"/>
      <c r="AI3819" s="146"/>
      <c r="AJ3819" s="138">
        <f>AJ3818/AJ3815</f>
        <v>1.0139205364740438</v>
      </c>
      <c r="AK3819" s="132"/>
      <c r="AL3819" s="146"/>
      <c r="AM3819" s="138">
        <f>AM3818/AM3815</f>
        <v>1.0100477803033441</v>
      </c>
      <c r="AN3819" s="132"/>
      <c r="AO3819" s="146"/>
      <c r="AP3819" s="138">
        <f>AP3818/AP3815</f>
        <v>1.0080404159234473</v>
      </c>
      <c r="AQ3819" s="132"/>
      <c r="AR3819" s="146"/>
      <c r="AS3819" s="138">
        <f>AS3818/AS3815</f>
        <v>1.0064391754329682</v>
      </c>
      <c r="AT3819" s="132"/>
      <c r="AU3819" s="146"/>
    </row>
    <row r="3820" spans="13:47" x14ac:dyDescent="0.25">
      <c r="M3820" s="27"/>
      <c r="N3820" s="27"/>
      <c r="O3820" s="2" t="s">
        <v>26</v>
      </c>
      <c r="P3820" s="7">
        <v>12</v>
      </c>
      <c r="Q3820" s="2"/>
      <c r="R3820" s="181">
        <f>1-R3819/(3*F_GAMMA*R$29)</f>
        <v>0.74431583652191535</v>
      </c>
      <c r="S3820" s="133"/>
      <c r="T3820" s="146"/>
      <c r="U3820" s="138">
        <f>1-U3819/(3*F_GAMMA*U$29)</f>
        <v>0.79690445939843435</v>
      </c>
      <c r="V3820" s="133"/>
      <c r="W3820" s="146"/>
      <c r="X3820" s="138">
        <f>1-X3819/(3*F_GAMMA*X$29)</f>
        <v>-1.5720089061212956</v>
      </c>
      <c r="Y3820" s="133"/>
      <c r="Z3820" s="146"/>
      <c r="AA3820" s="138">
        <f>1-AA3819/(3*F_GAMMA*AA$29)</f>
        <v>0.38304323513321903</v>
      </c>
      <c r="AB3820" s="133"/>
      <c r="AC3820" s="146"/>
      <c r="AD3820" s="138">
        <f>1-AD3819/(3*F_GAMMA*AD$29)</f>
        <v>0.42368116520999954</v>
      </c>
      <c r="AE3820" s="133"/>
      <c r="AF3820" s="146"/>
      <c r="AG3820" s="138">
        <f>1-AG3819/(3*F_GAMMA*AG$29)</f>
        <v>0.40487195038408352</v>
      </c>
      <c r="AH3820" s="133"/>
      <c r="AI3820" s="146"/>
      <c r="AJ3820" s="138">
        <f>1-AJ3819/(3*F_GAMMA*AJ$29)</f>
        <v>0.36934438074898823</v>
      </c>
      <c r="AK3820" s="133"/>
      <c r="AL3820" s="146"/>
      <c r="AM3820" s="138">
        <f>1-AM3819/(3*F_GAMMA*AM$29)</f>
        <v>0.31357651133400566</v>
      </c>
      <c r="AN3820" s="133"/>
      <c r="AO3820" s="146"/>
      <c r="AP3820" s="138">
        <f>1-AP3819/(3*F_GAMMA*AP$29)</f>
        <v>0.43387260834487129</v>
      </c>
      <c r="AQ3820" s="133"/>
      <c r="AR3820" s="146"/>
      <c r="AS3820" s="138">
        <f>1-AS3819/(3*F_GAMMA*AS$29)</f>
        <v>0.14193460511617573</v>
      </c>
      <c r="AT3820" s="133"/>
      <c r="AU3820" s="146"/>
    </row>
    <row r="3821" spans="13:47" x14ac:dyDescent="0.25">
      <c r="M3821" s="27"/>
      <c r="N3821" s="27"/>
      <c r="O3821" s="2" t="s">
        <v>71</v>
      </c>
      <c r="P3821" s="85">
        <v>5</v>
      </c>
      <c r="Q3821" s="2"/>
      <c r="R3821" s="179">
        <f>R3813/((N_6*R$27*R3820)*SQRT(R3819*R3815*R3817))</f>
        <v>10.67428943602736</v>
      </c>
      <c r="S3821" s="133"/>
      <c r="T3821" s="146"/>
      <c r="U3821" s="143">
        <f>U3813/((N_6*U$27*U3820)*SQRT(U3819*U3815*U3817))</f>
        <v>38.053438119078123</v>
      </c>
      <c r="V3821" s="133"/>
      <c r="W3821" s="146"/>
      <c r="X3821" s="143">
        <f>X3813/((N_6*X$27*X3820)*SQRT(X3819*X3815*X3817))</f>
        <v>-85.807413358783094</v>
      </c>
      <c r="Y3821" s="133"/>
      <c r="Z3821" s="146"/>
      <c r="AA3821" s="143">
        <f>AA3813/((N_6*AA$27*AA3820)*SQRT(AA3819*AA3815*AA3817))</f>
        <v>55.590280008968911</v>
      </c>
      <c r="AB3821" s="133"/>
      <c r="AC3821" s="146"/>
      <c r="AD3821" s="143">
        <f>AD3813/((N_6*AD$27*AD3820)*SQRT(AD3819*AD3815*AD3817))</f>
        <v>27.205400634977796</v>
      </c>
      <c r="AE3821" s="133"/>
      <c r="AF3821" s="146"/>
      <c r="AG3821" s="143">
        <f>AG3813/((N_6*AG$27*AG3820)*SQRT(AG3819*AG3815*AG3817))</f>
        <v>20.04784966236614</v>
      </c>
      <c r="AH3821" s="133"/>
      <c r="AI3821" s="146"/>
      <c r="AJ3821" s="143">
        <f>AJ3813/((N_6*AJ$27*AJ3820)*SQRT(AJ3819*AJ3815*AJ3817))</f>
        <v>17.672399768139531</v>
      </c>
      <c r="AK3821" s="133"/>
      <c r="AL3821" s="146"/>
      <c r="AM3821" s="143">
        <f>AM3813/((N_6*AM$27*AM3820)*SQRT(AM3819*AM3815*AM3817))</f>
        <v>18.735051095001225</v>
      </c>
      <c r="AN3821" s="133"/>
      <c r="AO3821" s="146"/>
      <c r="AP3821" s="143">
        <f>AP3813/((N_6*AP$27*AP3820)*SQRT(AP3819*AP3815*AP3817))</f>
        <v>13.745665745763201</v>
      </c>
      <c r="AQ3821" s="133"/>
      <c r="AR3821" s="146"/>
      <c r="AS3821" s="143">
        <f>AS3813/((N_6*AS$27*AS3820)*SQRT(AS3819*AS3815*AS3817))</f>
        <v>49.369553142168812</v>
      </c>
      <c r="AT3821" s="133"/>
      <c r="AU3821" s="146"/>
    </row>
    <row r="3822" spans="13:47" x14ac:dyDescent="0.25">
      <c r="M3822" s="27"/>
      <c r="N3822" s="27"/>
      <c r="O3822" s="2" t="s">
        <v>73</v>
      </c>
      <c r="P3822" s="85">
        <v>5</v>
      </c>
      <c r="Q3822" s="2"/>
      <c r="R3822" s="179">
        <f>R3813/((N_6*R$27*0.667)*SQRT(R3823*R3815*R3817))</f>
        <v>10.432369055986497</v>
      </c>
      <c r="S3822" s="133"/>
      <c r="T3822" s="147"/>
      <c r="U3822" s="143">
        <f>U3813/((N_6*U$27*0.667)*SQRT(U3823*U3815*U3817))</f>
        <v>35.488295902730485</v>
      </c>
      <c r="V3822" s="133"/>
      <c r="W3822" s="155"/>
      <c r="X3822" s="143">
        <f>X3813/((N_6*X$27*0.667)*SQRT(X3823*X3815*X3817))</f>
        <v>561.76003625214605</v>
      </c>
      <c r="Y3822" s="133"/>
      <c r="Z3822" s="155"/>
      <c r="AA3822" s="143">
        <f>AA3813/((N_6*AA$27*0.667)*SQRT(AA3823*AA3815*AA3817))</f>
        <v>43.431898835723977</v>
      </c>
      <c r="AB3822" s="133"/>
      <c r="AC3822" s="155"/>
      <c r="AD3822" s="143">
        <f>AD3813/((N_6*AD$27*0.667)*SQRT(AD3823*AD3815*AD3817))</f>
        <v>22.72272872289761</v>
      </c>
      <c r="AE3822" s="133"/>
      <c r="AF3822" s="155"/>
      <c r="AG3822" s="143">
        <f>AG3813/((N_6*AG$27*0.667)*SQRT(AG3823*AG3815*AG3817))</f>
        <v>16.26018528678652</v>
      </c>
      <c r="AH3822" s="133"/>
      <c r="AI3822" s="155"/>
      <c r="AJ3822" s="143">
        <f>AJ3813/((N_6*AJ$27*0.667)*SQRT(AJ3823*AJ3815*AJ3817))</f>
        <v>13.460399552153802</v>
      </c>
      <c r="AK3822" s="133"/>
      <c r="AL3822" s="155"/>
      <c r="AM3822" s="143">
        <f>AM3813/((N_6*AM$27*0.667)*SQRT(AM3823*AM3815*AM3817))</f>
        <v>12.639481759547797</v>
      </c>
      <c r="AN3822" s="133"/>
      <c r="AO3822" s="155"/>
      <c r="AP3822" s="143">
        <f>AP3813/((N_6*AP$27*0.667)*SQRT(AP3823*AP3815*AP3817))</f>
        <v>11.652520865954992</v>
      </c>
      <c r="AQ3822" s="133"/>
      <c r="AR3822" s="155"/>
      <c r="AS3822" s="143">
        <f>AS3813/((N_6*AS$27*0.667)*SQRT(AS3823*AS3815*AS3817))</f>
        <v>16.855532502407648</v>
      </c>
      <c r="AT3822" s="133"/>
      <c r="AU3822" s="155"/>
    </row>
    <row r="3823" spans="13:47" ht="15.5" x14ac:dyDescent="0.4">
      <c r="M3823" s="27"/>
      <c r="N3823" s="27"/>
      <c r="O3823" s="2" t="s">
        <v>192</v>
      </c>
      <c r="P3823" s="85">
        <v>10</v>
      </c>
      <c r="Q3823" s="2"/>
      <c r="R3823" s="181">
        <f>F_GAMMA*R$29</f>
        <v>0.64002688015162901</v>
      </c>
      <c r="S3823" s="133"/>
      <c r="T3823" s="147"/>
      <c r="U3823" s="138">
        <f>F_GAMMA*U$29</f>
        <v>0.64016782916606918</v>
      </c>
      <c r="V3823" s="133"/>
      <c r="W3823" s="155"/>
      <c r="X3823" s="138">
        <f>F_GAMMA*X$29</f>
        <v>0.6307062319203669</v>
      </c>
      <c r="Y3823" s="133"/>
      <c r="Z3823" s="155"/>
      <c r="AA3823" s="138">
        <f>F_GAMMA*AA$29</f>
        <v>0.62217534213893466</v>
      </c>
      <c r="AB3823" s="133"/>
      <c r="AC3823" s="155"/>
      <c r="AD3823" s="138">
        <f>F_GAMMA*AD$29</f>
        <v>0.60557184969146072</v>
      </c>
      <c r="AE3823" s="133"/>
      <c r="AF3823" s="155"/>
      <c r="AG3823" s="138">
        <f>F_GAMMA*AG$29</f>
        <v>0.57289312142622573</v>
      </c>
      <c r="AH3823" s="133"/>
      <c r="AI3823" s="155"/>
      <c r="AJ3823" s="138">
        <f>F_GAMMA*AJ$29</f>
        <v>0.53590819116049981</v>
      </c>
      <c r="AK3823" s="133"/>
      <c r="AL3823" s="155"/>
      <c r="AM3823" s="138">
        <f>F_GAMMA*AM$29</f>
        <v>0.49048815926850342</v>
      </c>
      <c r="AN3823" s="133"/>
      <c r="AO3823" s="155"/>
      <c r="AP3823" s="138">
        <f>F_GAMMA*AP$29</f>
        <v>0.59352979016280105</v>
      </c>
      <c r="AQ3823" s="133"/>
      <c r="AR3823" s="155"/>
      <c r="AS3823" s="138">
        <f>F_GAMMA*AS$29</f>
        <v>0.39097221161068291</v>
      </c>
      <c r="AT3823" s="133"/>
      <c r="AU3823" s="155"/>
    </row>
    <row r="3824" spans="13:47" x14ac:dyDescent="0.25">
      <c r="M3824" s="27"/>
      <c r="N3824" s="27"/>
      <c r="O3824" s="2" t="s">
        <v>193</v>
      </c>
      <c r="P3824" s="134"/>
      <c r="Q3824" s="2"/>
      <c r="R3824" s="181">
        <f>IF(R3819&lt;R3823,R3821,R3822)</f>
        <v>10.67428943602736</v>
      </c>
      <c r="S3824" s="133"/>
      <c r="T3824" s="147"/>
      <c r="U3824" s="138">
        <f>IF(U3819&lt;U3823,U3821,U3822)</f>
        <v>38.053438119078123</v>
      </c>
      <c r="V3824" s="133"/>
      <c r="W3824" s="155"/>
      <c r="X3824" s="138">
        <f>IF(X3819&lt;X3823,X3821,X3822)</f>
        <v>561.76003625214605</v>
      </c>
      <c r="Y3824" s="133"/>
      <c r="Z3824" s="155"/>
      <c r="AA3824" s="138">
        <f>IF(AA3819&lt;AA3823,AA3821,AA3822)</f>
        <v>43.431898835723977</v>
      </c>
      <c r="AB3824" s="133"/>
      <c r="AC3824" s="155"/>
      <c r="AD3824" s="138">
        <f>IF(AD3819&lt;AD3823,AD3821,AD3822)</f>
        <v>22.72272872289761</v>
      </c>
      <c r="AE3824" s="133"/>
      <c r="AF3824" s="155"/>
      <c r="AG3824" s="138">
        <f>IF(AG3819&lt;AG3823,AG3821,AG3822)</f>
        <v>16.26018528678652</v>
      </c>
      <c r="AH3824" s="133"/>
      <c r="AI3824" s="155"/>
      <c r="AJ3824" s="138">
        <f>IF(AJ3819&lt;AJ3823,AJ3821,AJ3822)</f>
        <v>13.460399552153802</v>
      </c>
      <c r="AK3824" s="133"/>
      <c r="AL3824" s="155"/>
      <c r="AM3824" s="138">
        <f>IF(AM3819&lt;AM3823,AM3821,AM3822)</f>
        <v>12.639481759547797</v>
      </c>
      <c r="AN3824" s="133"/>
      <c r="AO3824" s="155"/>
      <c r="AP3824" s="138">
        <f>IF(AP3819&lt;AP3823,AP3821,AP3822)</f>
        <v>11.652520865954992</v>
      </c>
      <c r="AQ3824" s="133"/>
      <c r="AR3824" s="155"/>
      <c r="AS3824" s="138">
        <f>IF(AS3819&lt;AS3823,AS3821,AS3822)</f>
        <v>16.855532502407648</v>
      </c>
      <c r="AT3824" s="133"/>
      <c r="AU3824" s="155"/>
    </row>
    <row r="3825" spans="13:47" ht="13" x14ac:dyDescent="0.3">
      <c r="M3825" s="28"/>
      <c r="N3825" s="28"/>
      <c r="O3825" s="9" t="s">
        <v>194</v>
      </c>
      <c r="P3825" s="1"/>
      <c r="Q3825" s="1"/>
      <c r="R3825" s="135"/>
      <c r="S3825" s="132">
        <f>IF(R3818&lt;=0,W_max,ABS(R$23-R3824))</f>
        <v>8.6742894360273599</v>
      </c>
      <c r="T3825" s="151">
        <f>R3813</f>
        <v>2403.5428130489554</v>
      </c>
      <c r="U3825" s="135"/>
      <c r="V3825" s="132">
        <f>IF(U3818&lt;=0,W_max,ABS(U$23-U3824))</f>
        <v>33.053438119078123</v>
      </c>
      <c r="W3825" s="151">
        <f>U3813</f>
        <v>6820.3792973704894</v>
      </c>
      <c r="X3825" s="135"/>
      <c r="Y3825" s="132">
        <f>IF(X3818&lt;=0,W_max,ABS(X$23-X3824))</f>
        <v>7174</v>
      </c>
      <c r="Z3825" s="151">
        <f>X3813</f>
        <v>16867.609637047804</v>
      </c>
      <c r="AA3825" s="135"/>
      <c r="AB3825" s="132">
        <f>IF(AA3818&lt;=0,W_max,ABS(AA$23-AA3824))</f>
        <v>7174</v>
      </c>
      <c r="AC3825" s="151">
        <f>AA3813</f>
        <v>32853.798192975155</v>
      </c>
      <c r="AD3825" s="135"/>
      <c r="AE3825" s="132">
        <f>IF(AD3818&lt;=0,W_max,ABS(AD$23-AD3824))</f>
        <v>7174</v>
      </c>
      <c r="AF3825" s="151">
        <f>AD3813</f>
        <v>54032.401976604007</v>
      </c>
      <c r="AG3825" s="135"/>
      <c r="AH3825" s="132">
        <f>IF(AG3818&lt;=0,W_max,ABS(AG$23-AG3824))</f>
        <v>7174</v>
      </c>
      <c r="AI3825" s="151">
        <f>AG3813</f>
        <v>75784.603519848053</v>
      </c>
      <c r="AJ3825" s="135"/>
      <c r="AK3825" s="132">
        <f>IF(AJ3818&lt;=0,W_max,ABS(AJ$23-AJ3824))</f>
        <v>7174</v>
      </c>
      <c r="AL3825" s="151">
        <f>AJ3813</f>
        <v>96226.336914404761</v>
      </c>
      <c r="AM3825" s="135"/>
      <c r="AN3825" s="132">
        <f>IF(AM3818&lt;=0,W_max,ABS(AM$23-AM3824))</f>
        <v>7174</v>
      </c>
      <c r="AO3825" s="151">
        <f>AM3813</f>
        <v>112832.94774506401</v>
      </c>
      <c r="AP3825" s="135"/>
      <c r="AQ3825" s="132">
        <f>IF(AP3818&lt;=0,W_max,ABS(AP$23-AP3824))</f>
        <v>7174</v>
      </c>
      <c r="AR3825" s="151">
        <f>AP3813</f>
        <v>125884.14826010962</v>
      </c>
      <c r="AS3825" s="135"/>
      <c r="AT3825" s="132">
        <f>IF(AS3818&lt;=0,W_max,ABS(AS$23-AS3824))</f>
        <v>7174</v>
      </c>
      <c r="AU3825" s="151">
        <f>AS3813</f>
        <v>140444.95956072811</v>
      </c>
    </row>
    <row r="3826" spans="13:47" ht="13" x14ac:dyDescent="0.25">
      <c r="M3826" s="12"/>
      <c r="N3826" s="12"/>
      <c r="O3826" s="12"/>
      <c r="P3826" s="12"/>
      <c r="Q3826" s="12"/>
      <c r="R3826" s="182"/>
      <c r="S3826" s="22"/>
      <c r="T3826" s="152"/>
      <c r="U3826" s="157"/>
      <c r="V3826" s="1"/>
      <c r="W3826" s="147"/>
      <c r="X3826" s="157"/>
      <c r="Y3826" s="1"/>
      <c r="Z3826" s="147"/>
      <c r="AA3826" s="157"/>
      <c r="AB3826" s="1"/>
      <c r="AC3826" s="147"/>
      <c r="AD3826" s="157"/>
      <c r="AE3826" s="1"/>
      <c r="AF3826" s="147"/>
      <c r="AG3826" s="157"/>
      <c r="AH3826" s="1"/>
      <c r="AI3826" s="147"/>
      <c r="AJ3826" s="157"/>
      <c r="AK3826" s="1"/>
      <c r="AL3826" s="147"/>
      <c r="AM3826" s="157"/>
      <c r="AN3826" s="1"/>
      <c r="AO3826" s="147"/>
      <c r="AP3826" s="157"/>
      <c r="AQ3826" s="1"/>
      <c r="AR3826" s="147"/>
      <c r="AS3826" s="157"/>
      <c r="AT3826" s="1"/>
      <c r="AU3826" s="147"/>
    </row>
    <row r="3827" spans="13:47" ht="14" x14ac:dyDescent="0.3">
      <c r="M3827" s="23"/>
      <c r="N3827" s="23"/>
      <c r="O3827" s="23" t="s">
        <v>238</v>
      </c>
      <c r="P3827" s="20"/>
      <c r="Q3827" s="20"/>
      <c r="R3827" s="18">
        <f>R3813*1.02</f>
        <v>2451.6136693099347</v>
      </c>
      <c r="S3827" s="128" t="s">
        <v>185</v>
      </c>
      <c r="T3827" s="153" t="s">
        <v>186</v>
      </c>
      <c r="U3827" s="143">
        <f>U3813*1.01</f>
        <v>6888.5830903441947</v>
      </c>
      <c r="V3827" s="128" t="s">
        <v>185</v>
      </c>
      <c r="W3827" s="153" t="s">
        <v>186</v>
      </c>
      <c r="X3827" s="143">
        <f>X3813*1.01</f>
        <v>17036.285733418281</v>
      </c>
      <c r="Y3827" s="128" t="s">
        <v>185</v>
      </c>
      <c r="Z3827" s="153" t="s">
        <v>186</v>
      </c>
      <c r="AA3827" s="143">
        <f>AA3813*1.01</f>
        <v>33182.336174904907</v>
      </c>
      <c r="AB3827" s="128" t="s">
        <v>185</v>
      </c>
      <c r="AC3827" s="153" t="s">
        <v>186</v>
      </c>
      <c r="AD3827" s="143">
        <f>AD3813*1.01</f>
        <v>54572.725996370049</v>
      </c>
      <c r="AE3827" s="128" t="s">
        <v>185</v>
      </c>
      <c r="AF3827" s="153" t="s">
        <v>186</v>
      </c>
      <c r="AG3827" s="143">
        <f>AG3813*1.01</f>
        <v>76542.449555046536</v>
      </c>
      <c r="AH3827" s="128" t="s">
        <v>185</v>
      </c>
      <c r="AI3827" s="153" t="s">
        <v>186</v>
      </c>
      <c r="AJ3827" s="143">
        <f>AJ3813*1.01</f>
        <v>97188.600283548803</v>
      </c>
      <c r="AK3827" s="128" t="s">
        <v>185</v>
      </c>
      <c r="AL3827" s="153" t="s">
        <v>186</v>
      </c>
      <c r="AM3827" s="143">
        <f>AM3813*1.01</f>
        <v>113961.27722251465</v>
      </c>
      <c r="AN3827" s="128" t="s">
        <v>185</v>
      </c>
      <c r="AO3827" s="153" t="s">
        <v>186</v>
      </c>
      <c r="AP3827" s="143">
        <f>AP3813*1.01</f>
        <v>127142.98974271072</v>
      </c>
      <c r="AQ3827" s="128" t="s">
        <v>185</v>
      </c>
      <c r="AR3827" s="153" t="s">
        <v>186</v>
      </c>
      <c r="AS3827" s="143">
        <f>AS3813*1.01</f>
        <v>141849.4091563354</v>
      </c>
      <c r="AT3827" s="128" t="s">
        <v>185</v>
      </c>
      <c r="AU3827" s="153" t="s">
        <v>186</v>
      </c>
    </row>
    <row r="3828" spans="13:47" ht="14" x14ac:dyDescent="0.3">
      <c r="M3828" s="12"/>
      <c r="N3828" s="12"/>
      <c r="O3828" s="20"/>
      <c r="P3828" s="20"/>
      <c r="Q3828" s="23"/>
      <c r="R3828" s="139"/>
      <c r="S3828" s="130" t="s">
        <v>228</v>
      </c>
      <c r="T3828" s="154" t="s">
        <v>187</v>
      </c>
      <c r="U3828" s="144"/>
      <c r="V3828" s="130" t="s">
        <v>228</v>
      </c>
      <c r="W3828" s="154" t="s">
        <v>187</v>
      </c>
      <c r="X3828" s="144"/>
      <c r="Y3828" s="130" t="s">
        <v>228</v>
      </c>
      <c r="Z3828" s="154" t="s">
        <v>187</v>
      </c>
      <c r="AA3828" s="144"/>
      <c r="AB3828" s="130" t="s">
        <v>228</v>
      </c>
      <c r="AC3828" s="154" t="s">
        <v>187</v>
      </c>
      <c r="AD3828" s="144"/>
      <c r="AE3828" s="130" t="s">
        <v>228</v>
      </c>
      <c r="AF3828" s="154" t="s">
        <v>187</v>
      </c>
      <c r="AG3828" s="144"/>
      <c r="AH3828" s="130" t="s">
        <v>228</v>
      </c>
      <c r="AI3828" s="154" t="s">
        <v>187</v>
      </c>
      <c r="AJ3828" s="144"/>
      <c r="AK3828" s="130" t="s">
        <v>228</v>
      </c>
      <c r="AL3828" s="154" t="s">
        <v>187</v>
      </c>
      <c r="AM3828" s="144"/>
      <c r="AN3828" s="130" t="s">
        <v>228</v>
      </c>
      <c r="AO3828" s="154" t="s">
        <v>187</v>
      </c>
      <c r="AP3828" s="144"/>
      <c r="AQ3828" s="130" t="s">
        <v>228</v>
      </c>
      <c r="AR3828" s="154" t="s">
        <v>187</v>
      </c>
      <c r="AS3828" s="144"/>
      <c r="AT3828" s="130" t="s">
        <v>228</v>
      </c>
      <c r="AU3828" s="154" t="s">
        <v>187</v>
      </c>
    </row>
    <row r="3829" spans="13:47" x14ac:dyDescent="0.25">
      <c r="M3829" s="20"/>
      <c r="N3829" s="20"/>
      <c r="O3829" s="7" t="s">
        <v>188</v>
      </c>
      <c r="P3829" s="7"/>
      <c r="Q3829" s="7"/>
      <c r="R3829" s="181">
        <f>P_1_minW-(R3827^2*R_up)+dpup_minQ</f>
        <v>98.126064772939799</v>
      </c>
      <c r="S3829" s="132"/>
      <c r="T3829" s="145"/>
      <c r="U3829" s="138">
        <f>P_1_minW-(U3827^2*R_up)+dpup_minQ</f>
        <v>81.600509987448376</v>
      </c>
      <c r="V3829" s="132"/>
      <c r="W3829" s="145"/>
      <c r="X3829" s="138">
        <f>P_1_minW-(X3827^2*R_up)+dpup_minQ</f>
        <v>-15.211867483494899</v>
      </c>
      <c r="Y3829" s="132"/>
      <c r="Z3829" s="145"/>
      <c r="AA3829" s="138">
        <f>P_1_minW-(AA3827^2*R_up)+dpup_minQ</f>
        <v>-338.54088538980807</v>
      </c>
      <c r="AB3829" s="132"/>
      <c r="AC3829" s="145"/>
      <c r="AD3829" s="138">
        <f>P_1_minW-(AD3827^2*R_up)+dpup_minQ</f>
        <v>-1087.0627056277253</v>
      </c>
      <c r="AE3829" s="132"/>
      <c r="AF3829" s="145"/>
      <c r="AG3829" s="138">
        <f>P_1_minW-(AG3827^2*R_up)+dpup_minQ</f>
        <v>-2235.7217607731018</v>
      </c>
      <c r="AH3829" s="132"/>
      <c r="AI3829" s="145"/>
      <c r="AJ3829" s="138">
        <f>P_1_minW-(AJ3827^2*R_up)+dpup_minQ</f>
        <v>-3666.0315966020876</v>
      </c>
      <c r="AK3829" s="132"/>
      <c r="AL3829" s="145"/>
      <c r="AM3829" s="138">
        <f>P_1_minW-(AM3827^2*R_up)+dpup_minQ</f>
        <v>-5078.266052815422</v>
      </c>
      <c r="AN3829" s="132"/>
      <c r="AO3829" s="145"/>
      <c r="AP3829" s="138">
        <f>P_1_minW-(AP3827^2*R_up)+dpup_minQ</f>
        <v>-6345.597816154901</v>
      </c>
      <c r="AQ3829" s="132"/>
      <c r="AR3829" s="145"/>
      <c r="AS3829" s="138">
        <f>P_1_minW-(AS3827^2*R_up)+dpup_minQ</f>
        <v>-7923.065761549653</v>
      </c>
      <c r="AT3829" s="132"/>
      <c r="AU3829" s="145"/>
    </row>
    <row r="3830" spans="13:47" x14ac:dyDescent="0.25">
      <c r="M3830" s="20"/>
      <c r="N3830" s="20"/>
      <c r="O3830" s="7" t="s">
        <v>189</v>
      </c>
      <c r="P3830" s="1"/>
      <c r="Q3830" s="7"/>
      <c r="R3830" s="181">
        <f>P_2_minW+(R3827^2*R_dn)-dpdn_minQ</f>
        <v>50</v>
      </c>
      <c r="S3830" s="132"/>
      <c r="T3830" s="146"/>
      <c r="U3830" s="138">
        <f>P_2_minW+(U3827^2*R_dn)-dpdn_minQ</f>
        <v>50</v>
      </c>
      <c r="V3830" s="132"/>
      <c r="W3830" s="146"/>
      <c r="X3830" s="138">
        <f>P_2_minW+(X3827^2*R_dn)-dpdn_minQ</f>
        <v>50</v>
      </c>
      <c r="Y3830" s="132"/>
      <c r="Z3830" s="146"/>
      <c r="AA3830" s="138">
        <f>P_2_minW+(AA3827^2*R_dn)-dpdn_minQ</f>
        <v>50</v>
      </c>
      <c r="AB3830" s="132"/>
      <c r="AC3830" s="146"/>
      <c r="AD3830" s="138">
        <f>P_2_minW+(AD3827^2*R_dn)-dpdn_minQ</f>
        <v>50</v>
      </c>
      <c r="AE3830" s="132"/>
      <c r="AF3830" s="146"/>
      <c r="AG3830" s="138">
        <f>P_2_minW+(AG3827^2*R_dn)-dpdn_minQ</f>
        <v>50</v>
      </c>
      <c r="AH3830" s="132"/>
      <c r="AI3830" s="146"/>
      <c r="AJ3830" s="138">
        <f>P_2_minW+(AJ3827^2*R_dn)-dpdn_minQ</f>
        <v>50</v>
      </c>
      <c r="AK3830" s="132"/>
      <c r="AL3830" s="146"/>
      <c r="AM3830" s="138">
        <f>P_2_minW+(AM3827^2*R_dn)-dpdn_minQ</f>
        <v>50</v>
      </c>
      <c r="AN3830" s="132"/>
      <c r="AO3830" s="146"/>
      <c r="AP3830" s="138">
        <f>P_2_minW+(AP3827^2*R_dn)-dpdn_minQ</f>
        <v>50</v>
      </c>
      <c r="AQ3830" s="132"/>
      <c r="AR3830" s="146"/>
      <c r="AS3830" s="138">
        <f>P_2_minW+(AS3827^2*R_dn)-dpdn_minQ</f>
        <v>50</v>
      </c>
      <c r="AT3830" s="132"/>
      <c r="AU3830" s="146"/>
    </row>
    <row r="3831" spans="13:47" x14ac:dyDescent="0.25">
      <c r="M3831" s="20"/>
      <c r="N3831" s="20"/>
      <c r="O3831" s="7" t="s">
        <v>234</v>
      </c>
      <c r="P3831" s="1"/>
      <c r="Q3831" s="7"/>
      <c r="R3831" s="179">
        <f>'Valve Sizing'!G$8*R3829/P_1_maxW</f>
        <v>0.47334266619562781</v>
      </c>
      <c r="S3831" s="132"/>
      <c r="T3831" s="146"/>
      <c r="U3831" s="143">
        <f>'Valve Sizing'!$G$8*U3829/P_1_maxW</f>
        <v>0.39362633210410142</v>
      </c>
      <c r="V3831" s="132"/>
      <c r="W3831" s="146"/>
      <c r="X3831" s="143">
        <f>'Valve Sizing'!$G$8*X3829/P_1_maxW</f>
        <v>-7.3379340434303345E-2</v>
      </c>
      <c r="Y3831" s="132"/>
      <c r="Z3831" s="146"/>
      <c r="AA3831" s="143">
        <f>'Valve Sizing'!$G$8*AA3829/P_1_maxW</f>
        <v>-1.6330609576308124</v>
      </c>
      <c r="AB3831" s="132"/>
      <c r="AC3831" s="146"/>
      <c r="AD3831" s="143">
        <f>'Valve Sizing'!$G$8*AD3829/P_1_maxW</f>
        <v>-5.2437969523624322</v>
      </c>
      <c r="AE3831" s="132"/>
      <c r="AF3831" s="146"/>
      <c r="AG3831" s="143">
        <f>'Valve Sizing'!$G$8*AG3829/P_1_maxW</f>
        <v>-10.784723728243918</v>
      </c>
      <c r="AH3831" s="132"/>
      <c r="AI3831" s="146"/>
      <c r="AJ3831" s="143">
        <f>'Valve Sizing'!$G$8*AJ3829/P_1_maxW</f>
        <v>-17.684283725312365</v>
      </c>
      <c r="AK3831" s="132"/>
      <c r="AL3831" s="146"/>
      <c r="AM3831" s="143">
        <f>'Valve Sizing'!$G$8*AM3829/P_1_maxW</f>
        <v>-24.496651309237897</v>
      </c>
      <c r="AN3831" s="132"/>
      <c r="AO3831" s="146"/>
      <c r="AP3831" s="143">
        <f>'Valve Sizing'!$G$8*AP3829/P_1_maxW</f>
        <v>-30.610034101074312</v>
      </c>
      <c r="AQ3831" s="132"/>
      <c r="AR3831" s="146"/>
      <c r="AS3831" s="143">
        <f>'Valve Sizing'!$G$8*AS3829/P_1_maxW</f>
        <v>-38.219458618801461</v>
      </c>
      <c r="AT3831" s="132"/>
      <c r="AU3831" s="146"/>
    </row>
    <row r="3832" spans="13:47" x14ac:dyDescent="0.25">
      <c r="M3832" s="20"/>
      <c r="N3832" s="20"/>
      <c r="O3832" s="7" t="s">
        <v>190</v>
      </c>
      <c r="P3832" s="1"/>
      <c r="Q3832" s="7"/>
      <c r="R3832" s="181">
        <f>R3829-R3830</f>
        <v>48.126064772939799</v>
      </c>
      <c r="S3832" s="132"/>
      <c r="T3832" s="146"/>
      <c r="U3832" s="138">
        <f>U3829-U3830</f>
        <v>31.600509987448376</v>
      </c>
      <c r="V3832" s="132"/>
      <c r="W3832" s="146"/>
      <c r="X3832" s="138">
        <f>X3829-X3830</f>
        <v>-65.211867483494899</v>
      </c>
      <c r="Y3832" s="132"/>
      <c r="Z3832" s="146"/>
      <c r="AA3832" s="138">
        <f>AA3829-AA3830</f>
        <v>-388.54088538980807</v>
      </c>
      <c r="AB3832" s="132"/>
      <c r="AC3832" s="146"/>
      <c r="AD3832" s="138">
        <f>AD3829-AD3830</f>
        <v>-1137.0627056277253</v>
      </c>
      <c r="AE3832" s="132"/>
      <c r="AF3832" s="146"/>
      <c r="AG3832" s="138">
        <f>AG3829-AG3830</f>
        <v>-2285.7217607731018</v>
      </c>
      <c r="AH3832" s="132"/>
      <c r="AI3832" s="146"/>
      <c r="AJ3832" s="138">
        <f>AJ3829-AJ3830</f>
        <v>-3716.0315966020876</v>
      </c>
      <c r="AK3832" s="132"/>
      <c r="AL3832" s="146"/>
      <c r="AM3832" s="138">
        <f>AM3829-AM3830</f>
        <v>-5128.266052815422</v>
      </c>
      <c r="AN3832" s="132"/>
      <c r="AO3832" s="146"/>
      <c r="AP3832" s="138">
        <f>AP3829-AP3830</f>
        <v>-6395.597816154901</v>
      </c>
      <c r="AQ3832" s="132"/>
      <c r="AR3832" s="146"/>
      <c r="AS3832" s="138">
        <f>AS3829-AS3830</f>
        <v>-7973.065761549653</v>
      </c>
      <c r="AT3832" s="132"/>
      <c r="AU3832" s="146"/>
    </row>
    <row r="3833" spans="13:47" ht="14.5" x14ac:dyDescent="0.35">
      <c r="M3833" s="27"/>
      <c r="N3833" s="27"/>
      <c r="O3833" s="2" t="s">
        <v>191</v>
      </c>
      <c r="P3833" s="10"/>
      <c r="Q3833" s="2"/>
      <c r="R3833" s="181">
        <f>R3832/R3829</f>
        <v>0.49045138908099278</v>
      </c>
      <c r="S3833" s="132"/>
      <c r="T3833" s="146"/>
      <c r="U3833" s="138">
        <f>U3832/U3829</f>
        <v>0.38725873149946122</v>
      </c>
      <c r="V3833" s="132"/>
      <c r="W3833" s="146"/>
      <c r="X3833" s="138">
        <f>X3832/X3829</f>
        <v>4.286907413192413</v>
      </c>
      <c r="Y3833" s="132"/>
      <c r="Z3833" s="146"/>
      <c r="AA3833" s="138">
        <f>AA3832/AA3829</f>
        <v>1.147692648533214</v>
      </c>
      <c r="AB3833" s="132"/>
      <c r="AC3833" s="146"/>
      <c r="AD3833" s="138">
        <f>AD3832/AD3829</f>
        <v>1.0459955067367779</v>
      </c>
      <c r="AE3833" s="132"/>
      <c r="AF3833" s="146"/>
      <c r="AG3833" s="138">
        <f>AG3832/AG3829</f>
        <v>1.0223641424784049</v>
      </c>
      <c r="AH3833" s="132"/>
      <c r="AI3833" s="146"/>
      <c r="AJ3833" s="138">
        <f>AJ3832/AJ3829</f>
        <v>1.0136387258763244</v>
      </c>
      <c r="AK3833" s="132"/>
      <c r="AL3833" s="146"/>
      <c r="AM3833" s="138">
        <f>AM3832/AM3829</f>
        <v>1.0098458803615222</v>
      </c>
      <c r="AN3833" s="132"/>
      <c r="AO3833" s="146"/>
      <c r="AP3833" s="138">
        <f>AP3832/AP3829</f>
        <v>1.0078794782538389</v>
      </c>
      <c r="AQ3833" s="132"/>
      <c r="AR3833" s="146"/>
      <c r="AS3833" s="138">
        <f>AS3832/AS3829</f>
        <v>1.0063106885017474</v>
      </c>
      <c r="AT3833" s="132"/>
      <c r="AU3833" s="146"/>
    </row>
    <row r="3834" spans="13:47" x14ac:dyDescent="0.25">
      <c r="M3834" s="27"/>
      <c r="N3834" s="27"/>
      <c r="O3834" s="2" t="s">
        <v>26</v>
      </c>
      <c r="P3834" s="7">
        <v>12</v>
      </c>
      <c r="Q3834" s="2"/>
      <c r="R3834" s="181">
        <f>1-R3833/(3*F_GAMMA*R$29)</f>
        <v>0.74456729642105035</v>
      </c>
      <c r="S3834" s="133"/>
      <c r="T3834" s="146"/>
      <c r="U3834" s="138">
        <f>1-U3833/(3*F_GAMMA*U$29)</f>
        <v>0.79835562183543152</v>
      </c>
      <c r="V3834" s="133"/>
      <c r="W3834" s="146"/>
      <c r="X3834" s="138">
        <f>1-X3833/(3*F_GAMMA*X$29)</f>
        <v>-1.2656651629711919</v>
      </c>
      <c r="Y3834" s="133"/>
      <c r="Z3834" s="146"/>
      <c r="AA3834" s="138">
        <f>1-AA3833/(3*F_GAMMA*AA$29)</f>
        <v>0.38511832554702952</v>
      </c>
      <c r="AB3834" s="133"/>
      <c r="AC3834" s="146"/>
      <c r="AD3834" s="138">
        <f>1-AD3833/(3*F_GAMMA*AD$29)</f>
        <v>0.42423814929656256</v>
      </c>
      <c r="AE3834" s="133"/>
      <c r="AF3834" s="146"/>
      <c r="AG3834" s="138">
        <f>1-AG3833/(3*F_GAMMA*AG$29)</f>
        <v>0.40514550664458171</v>
      </c>
      <c r="AH3834" s="133"/>
      <c r="AI3834" s="146"/>
      <c r="AJ3834" s="138">
        <f>1-AJ3833/(3*F_GAMMA*AJ$29)</f>
        <v>0.36951966611960929</v>
      </c>
      <c r="AK3834" s="133"/>
      <c r="AL3834" s="146"/>
      <c r="AM3834" s="138">
        <f>1-AM3833/(3*F_GAMMA*AM$29)</f>
        <v>0.3137137215384429</v>
      </c>
      <c r="AN3834" s="133"/>
      <c r="AO3834" s="146"/>
      <c r="AP3834" s="138">
        <f>1-AP3833/(3*F_GAMMA*AP$29)</f>
        <v>0.43396299283905937</v>
      </c>
      <c r="AQ3834" s="133"/>
      <c r="AR3834" s="146"/>
      <c r="AS3834" s="138">
        <f>1-AS3833/(3*F_GAMMA*AS$29)</f>
        <v>0.14204414992729453</v>
      </c>
      <c r="AT3834" s="133"/>
      <c r="AU3834" s="146"/>
    </row>
    <row r="3835" spans="13:47" x14ac:dyDescent="0.25">
      <c r="M3835" s="27"/>
      <c r="N3835" s="27"/>
      <c r="O3835" s="2" t="s">
        <v>71</v>
      </c>
      <c r="P3835" s="85">
        <v>5</v>
      </c>
      <c r="Q3835" s="2"/>
      <c r="R3835" s="179">
        <f>R3827/((N_6*R$27*R3834)*SQRT(R3833*R3829*R3831))</f>
        <v>10.899782326700601</v>
      </c>
      <c r="S3835" s="133"/>
      <c r="T3835" s="146"/>
      <c r="U3835" s="143">
        <f>U3827/((N_6*U$27*U3834)*SQRT(U3833*U3829*U3831))</f>
        <v>38.677830755142061</v>
      </c>
      <c r="V3835" s="133"/>
      <c r="W3835" s="146"/>
      <c r="X3835" s="143">
        <f>X3827/((N_6*X$27*X3834)*SQRT(X3833*X3829*X3831))</f>
        <v>-97.495597401154356</v>
      </c>
      <c r="Y3835" s="133"/>
      <c r="Z3835" s="146"/>
      <c r="AA3835" s="143">
        <f>AA3827/((N_6*AA$27*AA3834)*SQRT(AA3833*AA3829*AA3831))</f>
        <v>54.508336943470894</v>
      </c>
      <c r="AB3835" s="133"/>
      <c r="AC3835" s="146"/>
      <c r="AD3835" s="143">
        <f>AD3827/((N_6*AD$27*AD3834)*SQRT(AD3833*AD3829*AD3831))</f>
        <v>26.863660233389169</v>
      </c>
      <c r="AE3835" s="133"/>
      <c r="AF3835" s="146"/>
      <c r="AG3835" s="143">
        <f>AG3827/((N_6*AG$27*AG3834)*SQRT(AG3833*AG3829*AG3831))</f>
        <v>19.822583543790728</v>
      </c>
      <c r="AH3835" s="133"/>
      <c r="AI3835" s="146"/>
      <c r="AJ3835" s="143">
        <f>AJ3827/((N_6*AJ$27*AJ3834)*SQRT(AJ3833*AJ3829*AJ3831))</f>
        <v>17.481916066278085</v>
      </c>
      <c r="AK3835" s="133"/>
      <c r="AL3835" s="146"/>
      <c r="AM3835" s="143">
        <f>AM3827/((N_6*AM$27*AM3834)*SQRT(AM3833*AM3829*AM3831))</f>
        <v>18.535917975603816</v>
      </c>
      <c r="AN3835" s="133"/>
      <c r="AO3835" s="146"/>
      <c r="AP3835" s="143">
        <f>AP3827/((N_6*AP$27*AP3834)*SQRT(AP3833*AP3829*AP3831))</f>
        <v>13.603488920381661</v>
      </c>
      <c r="AQ3835" s="133"/>
      <c r="AR3835" s="146"/>
      <c r="AS3835" s="143">
        <f>AS3827/((N_6*AS$27*AS3834)*SQRT(AS3833*AS3829*AS3831))</f>
        <v>48.833710247996599</v>
      </c>
      <c r="AT3835" s="133"/>
      <c r="AU3835" s="146"/>
    </row>
    <row r="3836" spans="13:47" x14ac:dyDescent="0.25">
      <c r="M3836" s="27"/>
      <c r="N3836" s="27"/>
      <c r="O3836" s="2" t="s">
        <v>73</v>
      </c>
      <c r="P3836" s="85">
        <v>5</v>
      </c>
      <c r="Q3836" s="2"/>
      <c r="R3836" s="179">
        <f>R3827/((N_6*R$27*0.667)*SQRT(R3837*R3829*R3831))</f>
        <v>10.651108905757573</v>
      </c>
      <c r="S3836" s="133"/>
      <c r="T3836" s="155"/>
      <c r="U3836" s="143">
        <f>U3827/((N_6*U$27*0.667)*SQRT(U3837*U3829*U3831))</f>
        <v>36.006951123300006</v>
      </c>
      <c r="V3836" s="133"/>
      <c r="W3836" s="155"/>
      <c r="X3836" s="143">
        <f>X3827/((N_6*X$27*0.667)*SQRT(X3837*X3829*X3831))</f>
        <v>482.32135187868113</v>
      </c>
      <c r="Y3836" s="133"/>
      <c r="Z3836" s="155"/>
      <c r="AA3836" s="143">
        <f>AA3827/((N_6*AA$27*0.667)*SQRT(AA3837*AA3829*AA3831))</f>
        <v>42.745232620086774</v>
      </c>
      <c r="AB3836" s="133"/>
      <c r="AC3836" s="155"/>
      <c r="AD3836" s="143">
        <f>AD3827/((N_6*AD$27*0.667)*SQRT(AD3837*AD3829*AD3831))</f>
        <v>22.455934960108188</v>
      </c>
      <c r="AE3836" s="133"/>
      <c r="AF3836" s="155"/>
      <c r="AG3836" s="143">
        <f>AG3827/((N_6*AG$27*0.667)*SQRT(AG3837*AG3829*AG3831))</f>
        <v>16.084643891084589</v>
      </c>
      <c r="AH3836" s="133"/>
      <c r="AI3836" s="155"/>
      <c r="AJ3836" s="143">
        <f>AJ3827/((N_6*AJ$27*0.667)*SQRT(AJ3837*AJ3829*AJ3831))</f>
        <v>13.319783114690466</v>
      </c>
      <c r="AK3836" s="133"/>
      <c r="AL3836" s="155"/>
      <c r="AM3836" s="143">
        <f>AM3827/((N_6*AM$27*0.667)*SQRT(AM3837*AM3829*AM3831))</f>
        <v>12.509359250886279</v>
      </c>
      <c r="AN3836" s="133"/>
      <c r="AO3836" s="155"/>
      <c r="AP3836" s="143">
        <f>AP3827/((N_6*AP$27*0.667)*SQRT(AP3837*AP3829*AP3831))</f>
        <v>11.533475817205407</v>
      </c>
      <c r="AQ3836" s="133"/>
      <c r="AR3836" s="155"/>
      <c r="AS3836" s="143">
        <f>AS3827/((N_6*AS$27*0.667)*SQRT(AS3837*AS3829*AS3831))</f>
        <v>16.684390171334215</v>
      </c>
      <c r="AT3836" s="133"/>
      <c r="AU3836" s="155"/>
    </row>
    <row r="3837" spans="13:47" ht="15.5" x14ac:dyDescent="0.4">
      <c r="M3837" s="27"/>
      <c r="N3837" s="27"/>
      <c r="O3837" s="2" t="s">
        <v>192</v>
      </c>
      <c r="P3837" s="85">
        <v>10</v>
      </c>
      <c r="Q3837" s="2"/>
      <c r="R3837" s="181">
        <f>F_GAMMA*R$29</f>
        <v>0.64002688015162901</v>
      </c>
      <c r="S3837" s="133"/>
      <c r="T3837" s="155"/>
      <c r="U3837" s="138">
        <f>F_GAMMA*U$29</f>
        <v>0.64016782916606918</v>
      </c>
      <c r="V3837" s="133"/>
      <c r="W3837" s="155"/>
      <c r="X3837" s="138">
        <f>F_GAMMA*X$29</f>
        <v>0.6307062319203669</v>
      </c>
      <c r="Y3837" s="133"/>
      <c r="Z3837" s="155"/>
      <c r="AA3837" s="138">
        <f>F_GAMMA*AA$29</f>
        <v>0.62217534213893466</v>
      </c>
      <c r="AB3837" s="133"/>
      <c r="AC3837" s="155"/>
      <c r="AD3837" s="138">
        <f>F_GAMMA*AD$29</f>
        <v>0.60557184969146072</v>
      </c>
      <c r="AE3837" s="133"/>
      <c r="AF3837" s="155"/>
      <c r="AG3837" s="138">
        <f>F_GAMMA*AG$29</f>
        <v>0.57289312142622573</v>
      </c>
      <c r="AH3837" s="133"/>
      <c r="AI3837" s="155"/>
      <c r="AJ3837" s="138">
        <f>F_GAMMA*AJ$29</f>
        <v>0.53590819116049981</v>
      </c>
      <c r="AK3837" s="133"/>
      <c r="AL3837" s="155"/>
      <c r="AM3837" s="138">
        <f>F_GAMMA*AM$29</f>
        <v>0.49048815926850342</v>
      </c>
      <c r="AN3837" s="133"/>
      <c r="AO3837" s="155"/>
      <c r="AP3837" s="138">
        <f>F_GAMMA*AP$29</f>
        <v>0.59352979016280105</v>
      </c>
      <c r="AQ3837" s="133"/>
      <c r="AR3837" s="155"/>
      <c r="AS3837" s="138">
        <f>F_GAMMA*AS$29</f>
        <v>0.39097221161068291</v>
      </c>
      <c r="AT3837" s="133"/>
      <c r="AU3837" s="155"/>
    </row>
    <row r="3838" spans="13:47" x14ac:dyDescent="0.25">
      <c r="M3838" s="27"/>
      <c r="N3838" s="27"/>
      <c r="O3838" s="2" t="s">
        <v>193</v>
      </c>
      <c r="P3838" s="134"/>
      <c r="Q3838" s="2"/>
      <c r="R3838" s="181">
        <f>IF(R3833&lt;R3837,R3835,R3836)</f>
        <v>10.899782326700601</v>
      </c>
      <c r="S3838" s="133"/>
      <c r="T3838" s="155"/>
      <c r="U3838" s="138">
        <f>IF(U3833&lt;U3837,U3835,U3836)</f>
        <v>38.677830755142061</v>
      </c>
      <c r="V3838" s="133"/>
      <c r="W3838" s="155"/>
      <c r="X3838" s="138">
        <f>IF(X3833&lt;X3837,X3835,X3836)</f>
        <v>482.32135187868113</v>
      </c>
      <c r="Y3838" s="133"/>
      <c r="Z3838" s="155"/>
      <c r="AA3838" s="138">
        <f>IF(AA3833&lt;AA3837,AA3835,AA3836)</f>
        <v>42.745232620086774</v>
      </c>
      <c r="AB3838" s="133"/>
      <c r="AC3838" s="155"/>
      <c r="AD3838" s="138">
        <f>IF(AD3833&lt;AD3837,AD3835,AD3836)</f>
        <v>22.455934960108188</v>
      </c>
      <c r="AE3838" s="133"/>
      <c r="AF3838" s="155"/>
      <c r="AG3838" s="138">
        <f>IF(AG3833&lt;AG3837,AG3835,AG3836)</f>
        <v>16.084643891084589</v>
      </c>
      <c r="AH3838" s="133"/>
      <c r="AI3838" s="155"/>
      <c r="AJ3838" s="138">
        <f>IF(AJ3833&lt;AJ3837,AJ3835,AJ3836)</f>
        <v>13.319783114690466</v>
      </c>
      <c r="AK3838" s="133"/>
      <c r="AL3838" s="155"/>
      <c r="AM3838" s="138">
        <f>IF(AM3833&lt;AM3837,AM3835,AM3836)</f>
        <v>12.509359250886279</v>
      </c>
      <c r="AN3838" s="133"/>
      <c r="AO3838" s="155"/>
      <c r="AP3838" s="138">
        <f>IF(AP3833&lt;AP3837,AP3835,AP3836)</f>
        <v>11.533475817205407</v>
      </c>
      <c r="AQ3838" s="133"/>
      <c r="AR3838" s="155"/>
      <c r="AS3838" s="138">
        <f>IF(AS3833&lt;AS3837,AS3835,AS3836)</f>
        <v>16.684390171334215</v>
      </c>
      <c r="AT3838" s="133"/>
      <c r="AU3838" s="155"/>
    </row>
    <row r="3839" spans="13:47" ht="13" x14ac:dyDescent="0.3">
      <c r="M3839" s="28"/>
      <c r="N3839" s="28"/>
      <c r="O3839" s="9" t="s">
        <v>194</v>
      </c>
      <c r="P3839" s="1"/>
      <c r="Q3839" s="1"/>
      <c r="R3839" s="135"/>
      <c r="S3839" s="132">
        <f>IF(R3832&lt;=0,W_max,ABS(R$23-R3838))</f>
        <v>8.8997823267006009</v>
      </c>
      <c r="T3839" s="151">
        <f>R3827</f>
        <v>2451.6136693099347</v>
      </c>
      <c r="U3839" s="135"/>
      <c r="V3839" s="132">
        <f>IF(U3832&lt;=0,W_max,ABS(U$23-U3838))</f>
        <v>33.677830755142061</v>
      </c>
      <c r="W3839" s="151">
        <f>U3827</f>
        <v>6888.5830903441947</v>
      </c>
      <c r="X3839" s="135"/>
      <c r="Y3839" s="132">
        <f>IF(X3832&lt;=0,W_max,ABS(X$23-X3838))</f>
        <v>7174</v>
      </c>
      <c r="Z3839" s="151">
        <f>X3827</f>
        <v>17036.285733418281</v>
      </c>
      <c r="AA3839" s="135"/>
      <c r="AB3839" s="132">
        <f>IF(AA3832&lt;=0,W_max,ABS(AA$23-AA3838))</f>
        <v>7174</v>
      </c>
      <c r="AC3839" s="151">
        <f>AA3827</f>
        <v>33182.336174904907</v>
      </c>
      <c r="AD3839" s="135"/>
      <c r="AE3839" s="132">
        <f>IF(AD3832&lt;=0,W_max,ABS(AD$23-AD3838))</f>
        <v>7174</v>
      </c>
      <c r="AF3839" s="151">
        <f>AD3827</f>
        <v>54572.725996370049</v>
      </c>
      <c r="AG3839" s="135"/>
      <c r="AH3839" s="132">
        <f>IF(AG3832&lt;=0,W_max,ABS(AG$23-AG3838))</f>
        <v>7174</v>
      </c>
      <c r="AI3839" s="151">
        <f>AG3827</f>
        <v>76542.449555046536</v>
      </c>
      <c r="AJ3839" s="135"/>
      <c r="AK3839" s="132">
        <f>IF(AJ3832&lt;=0,W_max,ABS(AJ$23-AJ3838))</f>
        <v>7174</v>
      </c>
      <c r="AL3839" s="151">
        <f>AJ3827</f>
        <v>97188.600283548803</v>
      </c>
      <c r="AM3839" s="135"/>
      <c r="AN3839" s="132">
        <f>IF(AM3832&lt;=0,W_max,ABS(AM$23-AM3838))</f>
        <v>7174</v>
      </c>
      <c r="AO3839" s="151">
        <f>AM3827</f>
        <v>113961.27722251465</v>
      </c>
      <c r="AP3839" s="135"/>
      <c r="AQ3839" s="132">
        <f>IF(AP3832&lt;=0,W_max,ABS(AP$23-AP3838))</f>
        <v>7174</v>
      </c>
      <c r="AR3839" s="151">
        <f>AP3827</f>
        <v>127142.98974271072</v>
      </c>
      <c r="AS3839" s="135"/>
      <c r="AT3839" s="132">
        <f>IF(AS3832&lt;=0,W_max,ABS(AS$23-AS3838))</f>
        <v>7174</v>
      </c>
      <c r="AU3839" s="151">
        <f>AS3827</f>
        <v>141849.4091563354</v>
      </c>
    </row>
    <row r="3840" spans="13:47" ht="13" x14ac:dyDescent="0.25">
      <c r="M3840" s="12"/>
      <c r="N3840" s="12"/>
      <c r="O3840" s="2"/>
      <c r="P3840" s="85"/>
      <c r="Q3840" s="2"/>
      <c r="R3840" s="18"/>
      <c r="S3840" s="150"/>
      <c r="T3840" s="152"/>
      <c r="U3840" s="157"/>
      <c r="V3840" s="1"/>
      <c r="W3840" s="147"/>
      <c r="X3840" s="157"/>
      <c r="Y3840" s="1"/>
      <c r="Z3840" s="147"/>
      <c r="AA3840" s="157"/>
      <c r="AB3840" s="1"/>
      <c r="AC3840" s="147"/>
      <c r="AD3840" s="157"/>
      <c r="AE3840" s="1"/>
      <c r="AF3840" s="147"/>
      <c r="AG3840" s="157"/>
      <c r="AH3840" s="1"/>
      <c r="AI3840" s="147"/>
      <c r="AJ3840" s="157"/>
      <c r="AK3840" s="1"/>
      <c r="AL3840" s="147"/>
      <c r="AM3840" s="157"/>
      <c r="AN3840" s="1"/>
      <c r="AO3840" s="147"/>
      <c r="AP3840" s="157"/>
      <c r="AQ3840" s="1"/>
      <c r="AR3840" s="147"/>
      <c r="AS3840" s="157"/>
      <c r="AT3840" s="1"/>
      <c r="AU3840" s="147"/>
    </row>
    <row r="3841" spans="13:47" ht="14" x14ac:dyDescent="0.3">
      <c r="M3841" s="23"/>
      <c r="N3841" s="23"/>
      <c r="O3841" s="23" t="s">
        <v>238</v>
      </c>
      <c r="P3841" s="20"/>
      <c r="Q3841" s="20"/>
      <c r="R3841" s="181">
        <f>R3827*1.02</f>
        <v>2500.6459426961333</v>
      </c>
      <c r="S3841" s="128" t="s">
        <v>185</v>
      </c>
      <c r="T3841" s="153" t="s">
        <v>186</v>
      </c>
      <c r="U3841" s="143">
        <f>U3827*1.01</f>
        <v>6957.4689212476369</v>
      </c>
      <c r="V3841" s="128" t="s">
        <v>185</v>
      </c>
      <c r="W3841" s="153" t="s">
        <v>186</v>
      </c>
      <c r="X3841" s="143">
        <f>X3827*1.01</f>
        <v>17206.648590752462</v>
      </c>
      <c r="Y3841" s="128" t="s">
        <v>185</v>
      </c>
      <c r="Z3841" s="153" t="s">
        <v>186</v>
      </c>
      <c r="AA3841" s="143">
        <f>AA3827*1.01</f>
        <v>33514.159536653955</v>
      </c>
      <c r="AB3841" s="128" t="s">
        <v>185</v>
      </c>
      <c r="AC3841" s="153" t="s">
        <v>186</v>
      </c>
      <c r="AD3841" s="143">
        <f>AD3827*1.01</f>
        <v>55118.453256333749</v>
      </c>
      <c r="AE3841" s="128" t="s">
        <v>185</v>
      </c>
      <c r="AF3841" s="153" t="s">
        <v>186</v>
      </c>
      <c r="AG3841" s="143">
        <f>AG3827*1.01</f>
        <v>77307.874050597005</v>
      </c>
      <c r="AH3841" s="128" t="s">
        <v>185</v>
      </c>
      <c r="AI3841" s="153" t="s">
        <v>186</v>
      </c>
      <c r="AJ3841" s="143">
        <f>AJ3827*1.01</f>
        <v>98160.486286384286</v>
      </c>
      <c r="AK3841" s="128" t="s">
        <v>185</v>
      </c>
      <c r="AL3841" s="153" t="s">
        <v>186</v>
      </c>
      <c r="AM3841" s="143">
        <f>AM3827*1.01</f>
        <v>115100.88999473979</v>
      </c>
      <c r="AN3841" s="128" t="s">
        <v>185</v>
      </c>
      <c r="AO3841" s="153" t="s">
        <v>186</v>
      </c>
      <c r="AP3841" s="143">
        <f>AP3827*1.01</f>
        <v>128414.41964013783</v>
      </c>
      <c r="AQ3841" s="128" t="s">
        <v>185</v>
      </c>
      <c r="AR3841" s="153" t="s">
        <v>186</v>
      </c>
      <c r="AS3841" s="143">
        <f>AS3827*1.01</f>
        <v>143267.90324789876</v>
      </c>
      <c r="AT3841" s="128" t="s">
        <v>185</v>
      </c>
      <c r="AU3841" s="153" t="s">
        <v>186</v>
      </c>
    </row>
    <row r="3842" spans="13:47" ht="14" x14ac:dyDescent="0.3">
      <c r="M3842" s="12"/>
      <c r="N3842" s="12"/>
      <c r="O3842" s="20"/>
      <c r="P3842" s="20"/>
      <c r="Q3842" s="23"/>
      <c r="R3842" s="139"/>
      <c r="S3842" s="130" t="s">
        <v>228</v>
      </c>
      <c r="T3842" s="154" t="s">
        <v>187</v>
      </c>
      <c r="U3842" s="144"/>
      <c r="V3842" s="130" t="s">
        <v>228</v>
      </c>
      <c r="W3842" s="154" t="s">
        <v>187</v>
      </c>
      <c r="X3842" s="144"/>
      <c r="Y3842" s="130" t="s">
        <v>228</v>
      </c>
      <c r="Z3842" s="154" t="s">
        <v>187</v>
      </c>
      <c r="AA3842" s="144"/>
      <c r="AB3842" s="130" t="s">
        <v>228</v>
      </c>
      <c r="AC3842" s="154" t="s">
        <v>187</v>
      </c>
      <c r="AD3842" s="144"/>
      <c r="AE3842" s="130" t="s">
        <v>228</v>
      </c>
      <c r="AF3842" s="154" t="s">
        <v>187</v>
      </c>
      <c r="AG3842" s="144"/>
      <c r="AH3842" s="130" t="s">
        <v>228</v>
      </c>
      <c r="AI3842" s="154" t="s">
        <v>187</v>
      </c>
      <c r="AJ3842" s="144"/>
      <c r="AK3842" s="130" t="s">
        <v>228</v>
      </c>
      <c r="AL3842" s="154" t="s">
        <v>187</v>
      </c>
      <c r="AM3842" s="144"/>
      <c r="AN3842" s="130" t="s">
        <v>228</v>
      </c>
      <c r="AO3842" s="154" t="s">
        <v>187</v>
      </c>
      <c r="AP3842" s="144"/>
      <c r="AQ3842" s="130" t="s">
        <v>228</v>
      </c>
      <c r="AR3842" s="154" t="s">
        <v>187</v>
      </c>
      <c r="AS3842" s="144"/>
      <c r="AT3842" s="130" t="s">
        <v>228</v>
      </c>
      <c r="AU3842" s="154" t="s">
        <v>187</v>
      </c>
    </row>
    <row r="3843" spans="13:47" x14ac:dyDescent="0.25">
      <c r="M3843" s="20"/>
      <c r="N3843" s="20"/>
      <c r="O3843" s="7" t="s">
        <v>188</v>
      </c>
      <c r="P3843" s="7"/>
      <c r="Q3843" s="7"/>
      <c r="R3843" s="181">
        <f>P_1_minW-(R3841^2*R_up)+dpup_minQ</f>
        <v>98.029237205602811</v>
      </c>
      <c r="S3843" s="132"/>
      <c r="T3843" s="145"/>
      <c r="U3843" s="138">
        <f>P_1_minW-(U3841^2*R_up)+dpup_minQ</f>
        <v>81.220172224787888</v>
      </c>
      <c r="V3843" s="132"/>
      <c r="W3843" s="145"/>
      <c r="X3843" s="138">
        <f>P_1_minW-(X3841^2*R_up)+dpup_minQ</f>
        <v>-17.538134033321342</v>
      </c>
      <c r="Y3843" s="132"/>
      <c r="Z3843" s="145"/>
      <c r="AA3843" s="138">
        <f>P_1_minW-(AA3841^2*R_up)+dpup_minQ</f>
        <v>-347.36606519955137</v>
      </c>
      <c r="AB3843" s="132"/>
      <c r="AC3843" s="145"/>
      <c r="AD3843" s="138">
        <f>P_1_minW-(AD3841^2*R_up)+dpup_minQ</f>
        <v>-1110.9331740242508</v>
      </c>
      <c r="AE3843" s="132"/>
      <c r="AF3843" s="145"/>
      <c r="AG3843" s="138">
        <f>P_1_minW-(AG3841^2*R_up)+dpup_minQ</f>
        <v>-2282.68027617805</v>
      </c>
      <c r="AH3843" s="132"/>
      <c r="AI3843" s="145"/>
      <c r="AJ3843" s="138">
        <f>P_1_minW-(AJ3841^2*R_up)+dpup_minQ</f>
        <v>-3741.7393397071974</v>
      </c>
      <c r="AK3843" s="132"/>
      <c r="AL3843" s="145"/>
      <c r="AM3843" s="138">
        <f>P_1_minW-(AM3841^2*R_up)+dpup_minQ</f>
        <v>-5182.3597084904195</v>
      </c>
      <c r="AN3843" s="132"/>
      <c r="AO3843" s="145"/>
      <c r="AP3843" s="138">
        <f>P_1_minW-(AP3841^2*R_up)+dpup_minQ</f>
        <v>-6475.1648402730225</v>
      </c>
      <c r="AQ3843" s="132"/>
      <c r="AR3843" s="145"/>
      <c r="AS3843" s="138">
        <f>P_1_minW-(AS3841^2*R_up)+dpup_minQ</f>
        <v>-8084.3398913702113</v>
      </c>
      <c r="AT3843" s="132"/>
      <c r="AU3843" s="145"/>
    </row>
    <row r="3844" spans="13:47" x14ac:dyDescent="0.25">
      <c r="M3844" s="20"/>
      <c r="N3844" s="20"/>
      <c r="O3844" s="7" t="s">
        <v>189</v>
      </c>
      <c r="P3844" s="1"/>
      <c r="Q3844" s="7"/>
      <c r="R3844" s="181">
        <f>P_2_minW+(R3841^2*R_dn)-dpdn_minQ</f>
        <v>50</v>
      </c>
      <c r="S3844" s="132"/>
      <c r="T3844" s="146"/>
      <c r="U3844" s="138">
        <f>P_2_minW+(U3841^2*R_dn)-dpdn_minQ</f>
        <v>50</v>
      </c>
      <c r="V3844" s="132"/>
      <c r="W3844" s="146"/>
      <c r="X3844" s="138">
        <f>P_2_minW+(X3841^2*R_dn)-dpdn_minQ</f>
        <v>50</v>
      </c>
      <c r="Y3844" s="132"/>
      <c r="Z3844" s="146"/>
      <c r="AA3844" s="138">
        <f>P_2_minW+(AA3841^2*R_dn)-dpdn_minQ</f>
        <v>50</v>
      </c>
      <c r="AB3844" s="132"/>
      <c r="AC3844" s="146"/>
      <c r="AD3844" s="138">
        <f>P_2_minW+(AD3841^2*R_dn)-dpdn_minQ</f>
        <v>50</v>
      </c>
      <c r="AE3844" s="132"/>
      <c r="AF3844" s="146"/>
      <c r="AG3844" s="138">
        <f>P_2_minW+(AG3841^2*R_dn)-dpdn_minQ</f>
        <v>50</v>
      </c>
      <c r="AH3844" s="132"/>
      <c r="AI3844" s="146"/>
      <c r="AJ3844" s="138">
        <f>P_2_minW+(AJ3841^2*R_dn)-dpdn_minQ</f>
        <v>50</v>
      </c>
      <c r="AK3844" s="132"/>
      <c r="AL3844" s="146"/>
      <c r="AM3844" s="138">
        <f>P_2_minW+(AM3841^2*R_dn)-dpdn_minQ</f>
        <v>50</v>
      </c>
      <c r="AN3844" s="132"/>
      <c r="AO3844" s="146"/>
      <c r="AP3844" s="138">
        <f>P_2_minW+(AP3841^2*R_dn)-dpdn_minQ</f>
        <v>50</v>
      </c>
      <c r="AQ3844" s="132"/>
      <c r="AR3844" s="146"/>
      <c r="AS3844" s="138">
        <f>P_2_minW+(AS3841^2*R_dn)-dpdn_minQ</f>
        <v>50</v>
      </c>
      <c r="AT3844" s="132"/>
      <c r="AU3844" s="146"/>
    </row>
    <row r="3845" spans="13:47" x14ac:dyDescent="0.25">
      <c r="M3845" s="20"/>
      <c r="N3845" s="20"/>
      <c r="O3845" s="7" t="s">
        <v>234</v>
      </c>
      <c r="P3845" s="1"/>
      <c r="Q3845" s="7"/>
      <c r="R3845" s="179">
        <f>'Valve Sizing'!G$8*R3843/P_1_maxW</f>
        <v>0.47287558724987999</v>
      </c>
      <c r="S3845" s="132"/>
      <c r="T3845" s="146"/>
      <c r="U3845" s="143">
        <f>'Valve Sizing'!$G$8*U3843/P_1_maxW</f>
        <v>0.39179165045199216</v>
      </c>
      <c r="V3845" s="132"/>
      <c r="W3845" s="146"/>
      <c r="X3845" s="143">
        <f>'Valve Sizing'!$G$8*X3843/P_1_maxW</f>
        <v>-8.4600836104434501E-2</v>
      </c>
      <c r="Y3845" s="132"/>
      <c r="Z3845" s="146"/>
      <c r="AA3845" s="143">
        <f>'Valve Sizing'!$G$8*AA3843/P_1_maxW</f>
        <v>-1.6756320538065932</v>
      </c>
      <c r="AB3845" s="132"/>
      <c r="AC3845" s="146"/>
      <c r="AD3845" s="143">
        <f>'Valve Sizing'!$G$8*AD3843/P_1_maxW</f>
        <v>-5.3589438420323194</v>
      </c>
      <c r="AE3845" s="132"/>
      <c r="AF3845" s="146"/>
      <c r="AG3845" s="143">
        <f>'Valve Sizing'!$G$8*AG3843/P_1_maxW</f>
        <v>-11.011243246109027</v>
      </c>
      <c r="AH3845" s="132"/>
      <c r="AI3845" s="146"/>
      <c r="AJ3845" s="143">
        <f>'Valve Sizing'!$G$8*AJ3843/P_1_maxW</f>
        <v>-18.049484399118544</v>
      </c>
      <c r="AK3845" s="132"/>
      <c r="AL3845" s="146"/>
      <c r="AM3845" s="143">
        <f>'Valve Sizing'!$G$8*AM3843/P_1_maxW</f>
        <v>-24.998780571480978</v>
      </c>
      <c r="AN3845" s="132"/>
      <c r="AO3845" s="146"/>
      <c r="AP3845" s="143">
        <f>'Valve Sizing'!$G$8*AP3843/P_1_maxW</f>
        <v>-31.235042357433304</v>
      </c>
      <c r="AQ3845" s="132"/>
      <c r="AR3845" s="146"/>
      <c r="AS3845" s="143">
        <f>'Valve Sizing'!$G$8*AS3843/P_1_maxW</f>
        <v>-38.997416307966787</v>
      </c>
      <c r="AT3845" s="132"/>
      <c r="AU3845" s="146"/>
    </row>
    <row r="3846" spans="13:47" x14ac:dyDescent="0.25">
      <c r="M3846" s="20"/>
      <c r="N3846" s="20"/>
      <c r="O3846" s="7" t="s">
        <v>190</v>
      </c>
      <c r="P3846" s="1"/>
      <c r="Q3846" s="7"/>
      <c r="R3846" s="181">
        <f>R3843-R3844</f>
        <v>48.029237205602811</v>
      </c>
      <c r="S3846" s="132"/>
      <c r="T3846" s="146"/>
      <c r="U3846" s="138">
        <f>U3843-U3844</f>
        <v>31.220172224787888</v>
      </c>
      <c r="V3846" s="132"/>
      <c r="W3846" s="146"/>
      <c r="X3846" s="138">
        <f>X3843-X3844</f>
        <v>-67.538134033321342</v>
      </c>
      <c r="Y3846" s="132"/>
      <c r="Z3846" s="146"/>
      <c r="AA3846" s="138">
        <f>AA3843-AA3844</f>
        <v>-397.36606519955137</v>
      </c>
      <c r="AB3846" s="132"/>
      <c r="AC3846" s="146"/>
      <c r="AD3846" s="138">
        <f>AD3843-AD3844</f>
        <v>-1160.9331740242508</v>
      </c>
      <c r="AE3846" s="132"/>
      <c r="AF3846" s="146"/>
      <c r="AG3846" s="138">
        <f>AG3843-AG3844</f>
        <v>-2332.68027617805</v>
      </c>
      <c r="AH3846" s="132"/>
      <c r="AI3846" s="146"/>
      <c r="AJ3846" s="138">
        <f>AJ3843-AJ3844</f>
        <v>-3791.7393397071974</v>
      </c>
      <c r="AK3846" s="132"/>
      <c r="AL3846" s="146"/>
      <c r="AM3846" s="138">
        <f>AM3843-AM3844</f>
        <v>-5232.3597084904195</v>
      </c>
      <c r="AN3846" s="132"/>
      <c r="AO3846" s="146"/>
      <c r="AP3846" s="138">
        <f>AP3843-AP3844</f>
        <v>-6525.1648402730225</v>
      </c>
      <c r="AQ3846" s="132"/>
      <c r="AR3846" s="146"/>
      <c r="AS3846" s="138">
        <f>AS3843-AS3844</f>
        <v>-8134.3398913702113</v>
      </c>
      <c r="AT3846" s="132"/>
      <c r="AU3846" s="146"/>
    </row>
    <row r="3847" spans="13:47" ht="14.5" x14ac:dyDescent="0.35">
      <c r="M3847" s="27"/>
      <c r="N3847" s="27"/>
      <c r="O3847" s="2" t="s">
        <v>191</v>
      </c>
      <c r="P3847" s="10"/>
      <c r="Q3847" s="2"/>
      <c r="R3847" s="181">
        <f>R3846/R3843</f>
        <v>0.48994808665977996</v>
      </c>
      <c r="S3847" s="132"/>
      <c r="T3847" s="146"/>
      <c r="U3847" s="138">
        <f>U3846/U3843</f>
        <v>0.38438938713872473</v>
      </c>
      <c r="V3847" s="132"/>
      <c r="W3847" s="146"/>
      <c r="X3847" s="138">
        <f>X3846/X3843</f>
        <v>3.8509304299421578</v>
      </c>
      <c r="Y3847" s="132"/>
      <c r="Z3847" s="146"/>
      <c r="AA3847" s="138">
        <f>AA3846/AA3843</f>
        <v>1.1439403701431701</v>
      </c>
      <c r="AB3847" s="132"/>
      <c r="AC3847" s="146"/>
      <c r="AD3847" s="138">
        <f>AD3846/AD3843</f>
        <v>1.0450072076062682</v>
      </c>
      <c r="AE3847" s="132"/>
      <c r="AF3847" s="146"/>
      <c r="AG3847" s="138">
        <f>AG3846/AG3843</f>
        <v>1.0219040750129564</v>
      </c>
      <c r="AH3847" s="132"/>
      <c r="AI3847" s="146"/>
      <c r="AJ3847" s="138">
        <f>AJ3846/AJ3843</f>
        <v>1.0133627694129845</v>
      </c>
      <c r="AK3847" s="132"/>
      <c r="AL3847" s="146"/>
      <c r="AM3847" s="138">
        <f>AM3846/AM3843</f>
        <v>1.0096481145293876</v>
      </c>
      <c r="AN3847" s="132"/>
      <c r="AO3847" s="146"/>
      <c r="AP3847" s="138">
        <f>AP3846/AP3843</f>
        <v>1.00772181114047</v>
      </c>
      <c r="AQ3847" s="132"/>
      <c r="AR3847" s="146"/>
      <c r="AS3847" s="138">
        <f>AS3846/AS3843</f>
        <v>1.0061847968630528</v>
      </c>
      <c r="AT3847" s="132"/>
      <c r="AU3847" s="146"/>
    </row>
    <row r="3848" spans="13:47" x14ac:dyDescent="0.25">
      <c r="M3848" s="27"/>
      <c r="N3848" s="27"/>
      <c r="O3848" s="2" t="s">
        <v>26</v>
      </c>
      <c r="P3848" s="7">
        <v>12</v>
      </c>
      <c r="Q3848" s="2"/>
      <c r="R3848" s="181">
        <f>1-R3847/(3*F_GAMMA*R$29)</f>
        <v>0.74482942208942526</v>
      </c>
      <c r="S3848" s="133"/>
      <c r="T3848" s="146"/>
      <c r="U3848" s="138">
        <f>1-U3847/(3*F_GAMMA*U$29)</f>
        <v>0.79984968023179204</v>
      </c>
      <c r="V3848" s="133"/>
      <c r="W3848" s="146"/>
      <c r="X3848" s="138">
        <f>1-X3847/(3*F_GAMMA*X$29)</f>
        <v>-1.0352478090139736</v>
      </c>
      <c r="Y3848" s="133"/>
      <c r="Z3848" s="146"/>
      <c r="AA3848" s="138">
        <f>1-AA3847/(3*F_GAMMA*AA$29)</f>
        <v>0.38712862614661292</v>
      </c>
      <c r="AB3848" s="133"/>
      <c r="AC3848" s="146"/>
      <c r="AD3848" s="138">
        <f>1-AD3847/(3*F_GAMMA*AD$29)</f>
        <v>0.42478215252866636</v>
      </c>
      <c r="AE3848" s="133"/>
      <c r="AF3848" s="146"/>
      <c r="AG3848" s="138">
        <f>1-AG3847/(3*F_GAMMA*AG$29)</f>
        <v>0.40541319326199898</v>
      </c>
      <c r="AH3848" s="133"/>
      <c r="AI3848" s="146"/>
      <c r="AJ3848" s="138">
        <f>1-AJ3847/(3*F_GAMMA*AJ$29)</f>
        <v>0.36969131023570456</v>
      </c>
      <c r="AK3848" s="133"/>
      <c r="AL3848" s="146"/>
      <c r="AM3848" s="138">
        <f>1-AM3847/(3*F_GAMMA*AM$29)</f>
        <v>0.31384812222233127</v>
      </c>
      <c r="AN3848" s="133"/>
      <c r="AO3848" s="146"/>
      <c r="AP3848" s="138">
        <f>1-AP3847/(3*F_GAMMA*AP$29)</f>
        <v>0.43405154055027351</v>
      </c>
      <c r="AQ3848" s="133"/>
      <c r="AR3848" s="146"/>
      <c r="AS3848" s="138">
        <f>1-AS3847/(3*F_GAMMA*AS$29)</f>
        <v>0.14215148205556016</v>
      </c>
      <c r="AT3848" s="133"/>
      <c r="AU3848" s="146"/>
    </row>
    <row r="3849" spans="13:47" x14ac:dyDescent="0.25">
      <c r="M3849" s="27"/>
      <c r="N3849" s="27"/>
      <c r="O3849" s="2" t="s">
        <v>71</v>
      </c>
      <c r="P3849" s="85">
        <v>5</v>
      </c>
      <c r="Q3849" s="2"/>
      <c r="R3849" s="179">
        <f>R3841/((N_6*R$27*R3848)*SQRT(R3847*R3843*R3845))</f>
        <v>11.130555521835001</v>
      </c>
      <c r="S3849" s="133"/>
      <c r="T3849" s="146"/>
      <c r="U3849" s="143">
        <f>U3841/((N_6*U$27*U3848)*SQRT(U3847*U3843*U3845))</f>
        <v>39.32016909398839</v>
      </c>
      <c r="V3849" s="133"/>
      <c r="W3849" s="146"/>
      <c r="X3849" s="143">
        <f>X3841/((N_6*X$27*X3848)*SQRT(X3847*X3843*X3845))</f>
        <v>-110.17149661951254</v>
      </c>
      <c r="Y3849" s="133"/>
      <c r="Z3849" s="146"/>
      <c r="AA3849" s="143">
        <f>AA3841/((N_6*AA$27*AA3848)*SQRT(AA3847*AA3843*AA3845))</f>
        <v>53.463581308694003</v>
      </c>
      <c r="AB3849" s="133"/>
      <c r="AC3849" s="146"/>
      <c r="AD3849" s="143">
        <f>AD3841/((N_6*AD$27*AD3848)*SQRT(AD3847*AD3843*AD3845))</f>
        <v>26.527843412627291</v>
      </c>
      <c r="AE3849" s="133"/>
      <c r="AF3849" s="146"/>
      <c r="AG3849" s="143">
        <f>AG3841/((N_6*AG$27*AG3848)*SQRT(AG3847*AG3843*AG3845))</f>
        <v>19.600411366227387</v>
      </c>
      <c r="AH3849" s="133"/>
      <c r="AI3849" s="146"/>
      <c r="AJ3849" s="143">
        <f>AJ3841/((N_6*AJ$27*AJ3848)*SQRT(AJ3847*AJ3843*AJ3845))</f>
        <v>17.293803405549863</v>
      </c>
      <c r="AK3849" s="133"/>
      <c r="AL3849" s="146"/>
      <c r="AM3849" s="143">
        <f>AM3841/((N_6*AM$27*AM3848)*SQRT(AM3847*AM3843*AM3845))</f>
        <v>18.339178539040979</v>
      </c>
      <c r="AN3849" s="133"/>
      <c r="AO3849" s="146"/>
      <c r="AP3849" s="143">
        <f>AP3841/((N_6*AP$27*AP3848)*SQRT(AP3847*AP3843*AP3845))</f>
        <v>13.462904369011889</v>
      </c>
      <c r="AQ3849" s="133"/>
      <c r="AR3849" s="146"/>
      <c r="AS3849" s="143">
        <f>AS3841/((N_6*AS$27*AS3848)*SQRT(AS3847*AS3843*AS3845))</f>
        <v>48.304647745070994</v>
      </c>
      <c r="AT3849" s="133"/>
      <c r="AU3849" s="146"/>
    </row>
    <row r="3850" spans="13:47" x14ac:dyDescent="0.25">
      <c r="M3850" s="27"/>
      <c r="N3850" s="27"/>
      <c r="O3850" s="2" t="s">
        <v>73</v>
      </c>
      <c r="P3850" s="85">
        <v>5</v>
      </c>
      <c r="Q3850" s="2"/>
      <c r="R3850" s="179">
        <f>R3841/((N_6*R$27*0.667)*SQRT(R3851*R3843*R3845))</f>
        <v>10.874862039392406</v>
      </c>
      <c r="S3850" s="133"/>
      <c r="T3850" s="155"/>
      <c r="U3850" s="143">
        <f>U3841/((N_6*U$27*0.667)*SQRT(U3851*U3843*U3845))</f>
        <v>36.537320091969328</v>
      </c>
      <c r="V3850" s="133"/>
      <c r="W3850" s="155"/>
      <c r="X3850" s="143">
        <f>X3841/((N_6*X$27*0.667)*SQRT(X3851*X3843*X3845))</f>
        <v>422.52947548762876</v>
      </c>
      <c r="Y3850" s="133"/>
      <c r="Z3850" s="155"/>
      <c r="AA3850" s="143">
        <f>AA3841/((N_6*AA$27*0.667)*SQRT(AA3851*AA3843*AA3845))</f>
        <v>42.075840016137342</v>
      </c>
      <c r="AB3850" s="133"/>
      <c r="AC3850" s="155"/>
      <c r="AD3850" s="143">
        <f>AD3841/((N_6*AD$27*0.667)*SQRT(AD3851*AD3843*AD3845))</f>
        <v>22.193161646236504</v>
      </c>
      <c r="AE3850" s="133"/>
      <c r="AF3850" s="155"/>
      <c r="AG3850" s="143">
        <f>AG3841/((N_6*AG$27*0.667)*SQRT(AG3851*AG3843*AG3845))</f>
        <v>15.911293677103112</v>
      </c>
      <c r="AH3850" s="133"/>
      <c r="AI3850" s="155"/>
      <c r="AJ3850" s="143">
        <f>AJ3841/((N_6*AJ$27*0.667)*SQRT(AJ3851*AJ3843*AJ3845))</f>
        <v>13.180782715822476</v>
      </c>
      <c r="AK3850" s="133"/>
      <c r="AL3850" s="155"/>
      <c r="AM3850" s="143">
        <f>AM3841/((N_6*AM$27*0.667)*SQRT(AM3851*AM3843*AM3845))</f>
        <v>12.380675325449463</v>
      </c>
      <c r="AN3850" s="133"/>
      <c r="AO3850" s="155"/>
      <c r="AP3850" s="143">
        <f>AP3841/((N_6*AP$27*0.667)*SQRT(AP3851*AP3843*AP3845))</f>
        <v>11.415719718542423</v>
      </c>
      <c r="AQ3850" s="133"/>
      <c r="AR3850" s="155"/>
      <c r="AS3850" s="143">
        <f>AS3841/((N_6*AS$27*0.667)*SQRT(AS3851*AS3843*AS3845))</f>
        <v>16.515069568826956</v>
      </c>
      <c r="AT3850" s="133"/>
      <c r="AU3850" s="155"/>
    </row>
    <row r="3851" spans="13:47" ht="15.5" x14ac:dyDescent="0.4">
      <c r="M3851" s="27"/>
      <c r="N3851" s="27"/>
      <c r="O3851" s="2" t="s">
        <v>192</v>
      </c>
      <c r="P3851" s="85">
        <v>10</v>
      </c>
      <c r="Q3851" s="2"/>
      <c r="R3851" s="181">
        <f>F_GAMMA*R$29</f>
        <v>0.64002688015162901</v>
      </c>
      <c r="S3851" s="133"/>
      <c r="T3851" s="155"/>
      <c r="U3851" s="138">
        <f>F_GAMMA*U$29</f>
        <v>0.64016782916606918</v>
      </c>
      <c r="V3851" s="133"/>
      <c r="W3851" s="155"/>
      <c r="X3851" s="138">
        <f>F_GAMMA*X$29</f>
        <v>0.6307062319203669</v>
      </c>
      <c r="Y3851" s="133"/>
      <c r="Z3851" s="155"/>
      <c r="AA3851" s="138">
        <f>F_GAMMA*AA$29</f>
        <v>0.62217534213893466</v>
      </c>
      <c r="AB3851" s="133"/>
      <c r="AC3851" s="155"/>
      <c r="AD3851" s="138">
        <f>F_GAMMA*AD$29</f>
        <v>0.60557184969146072</v>
      </c>
      <c r="AE3851" s="133"/>
      <c r="AF3851" s="155"/>
      <c r="AG3851" s="138">
        <f>F_GAMMA*AG$29</f>
        <v>0.57289312142622573</v>
      </c>
      <c r="AH3851" s="133"/>
      <c r="AI3851" s="155"/>
      <c r="AJ3851" s="138">
        <f>F_GAMMA*AJ$29</f>
        <v>0.53590819116049981</v>
      </c>
      <c r="AK3851" s="133"/>
      <c r="AL3851" s="155"/>
      <c r="AM3851" s="138">
        <f>F_GAMMA*AM$29</f>
        <v>0.49048815926850342</v>
      </c>
      <c r="AN3851" s="133"/>
      <c r="AO3851" s="155"/>
      <c r="AP3851" s="138">
        <f>F_GAMMA*AP$29</f>
        <v>0.59352979016280105</v>
      </c>
      <c r="AQ3851" s="133"/>
      <c r="AR3851" s="155"/>
      <c r="AS3851" s="138">
        <f>F_GAMMA*AS$29</f>
        <v>0.39097221161068291</v>
      </c>
      <c r="AT3851" s="133"/>
      <c r="AU3851" s="155"/>
    </row>
    <row r="3852" spans="13:47" x14ac:dyDescent="0.25">
      <c r="M3852" s="27"/>
      <c r="N3852" s="27"/>
      <c r="O3852" s="2" t="s">
        <v>193</v>
      </c>
      <c r="P3852" s="134"/>
      <c r="Q3852" s="2"/>
      <c r="R3852" s="181">
        <f>IF(R3847&lt;R3851,R3849,R3850)</f>
        <v>11.130555521835001</v>
      </c>
      <c r="S3852" s="133"/>
      <c r="T3852" s="155"/>
      <c r="U3852" s="138">
        <f>IF(U3847&lt;U3851,U3849,U3850)</f>
        <v>39.32016909398839</v>
      </c>
      <c r="V3852" s="133"/>
      <c r="W3852" s="155"/>
      <c r="X3852" s="138">
        <f>IF(X3847&lt;X3851,X3849,X3850)</f>
        <v>422.52947548762876</v>
      </c>
      <c r="Y3852" s="133"/>
      <c r="Z3852" s="155"/>
      <c r="AA3852" s="138">
        <f>IF(AA3847&lt;AA3851,AA3849,AA3850)</f>
        <v>42.075840016137342</v>
      </c>
      <c r="AB3852" s="133"/>
      <c r="AC3852" s="155"/>
      <c r="AD3852" s="138">
        <f>IF(AD3847&lt;AD3851,AD3849,AD3850)</f>
        <v>22.193161646236504</v>
      </c>
      <c r="AE3852" s="133"/>
      <c r="AF3852" s="155"/>
      <c r="AG3852" s="138">
        <f>IF(AG3847&lt;AG3851,AG3849,AG3850)</f>
        <v>15.911293677103112</v>
      </c>
      <c r="AH3852" s="133"/>
      <c r="AI3852" s="155"/>
      <c r="AJ3852" s="138">
        <f>IF(AJ3847&lt;AJ3851,AJ3849,AJ3850)</f>
        <v>13.180782715822476</v>
      </c>
      <c r="AK3852" s="133"/>
      <c r="AL3852" s="155"/>
      <c r="AM3852" s="138">
        <f>IF(AM3847&lt;AM3851,AM3849,AM3850)</f>
        <v>12.380675325449463</v>
      </c>
      <c r="AN3852" s="133"/>
      <c r="AO3852" s="155"/>
      <c r="AP3852" s="138">
        <f>IF(AP3847&lt;AP3851,AP3849,AP3850)</f>
        <v>11.415719718542423</v>
      </c>
      <c r="AQ3852" s="133"/>
      <c r="AR3852" s="155"/>
      <c r="AS3852" s="138">
        <f>IF(AS3847&lt;AS3851,AS3849,AS3850)</f>
        <v>16.515069568826956</v>
      </c>
      <c r="AT3852" s="133"/>
      <c r="AU3852" s="155"/>
    </row>
    <row r="3853" spans="13:47" ht="13" x14ac:dyDescent="0.3">
      <c r="M3853" s="28"/>
      <c r="N3853" s="28"/>
      <c r="O3853" s="9" t="s">
        <v>194</v>
      </c>
      <c r="P3853" s="1"/>
      <c r="Q3853" s="1"/>
      <c r="R3853" s="135"/>
      <c r="S3853" s="132">
        <f>IF(R3846&lt;=0,W_max,ABS(R$23-R3852))</f>
        <v>9.1305555218350012</v>
      </c>
      <c r="T3853" s="151">
        <f>R3841</f>
        <v>2500.6459426961333</v>
      </c>
      <c r="U3853" s="135"/>
      <c r="V3853" s="132">
        <f>IF(U3846&lt;=0,W_max,ABS(U$23-U3852))</f>
        <v>34.32016909398839</v>
      </c>
      <c r="W3853" s="151">
        <f>U3841</f>
        <v>6957.4689212476369</v>
      </c>
      <c r="X3853" s="135"/>
      <c r="Y3853" s="132">
        <f>IF(X3846&lt;=0,W_max,ABS(X$23-X3852))</f>
        <v>7174</v>
      </c>
      <c r="Z3853" s="151">
        <f>X3841</f>
        <v>17206.648590752462</v>
      </c>
      <c r="AA3853" s="135"/>
      <c r="AB3853" s="132">
        <f>IF(AA3846&lt;=0,W_max,ABS(AA$23-AA3852))</f>
        <v>7174</v>
      </c>
      <c r="AC3853" s="151">
        <f>AA3841</f>
        <v>33514.159536653955</v>
      </c>
      <c r="AD3853" s="135"/>
      <c r="AE3853" s="132">
        <f>IF(AD3846&lt;=0,W_max,ABS(AD$23-AD3852))</f>
        <v>7174</v>
      </c>
      <c r="AF3853" s="151">
        <f>AD3841</f>
        <v>55118.453256333749</v>
      </c>
      <c r="AG3853" s="135"/>
      <c r="AH3853" s="132">
        <f>IF(AG3846&lt;=0,W_max,ABS(AG$23-AG3852))</f>
        <v>7174</v>
      </c>
      <c r="AI3853" s="151">
        <f>AG3841</f>
        <v>77307.874050597005</v>
      </c>
      <c r="AJ3853" s="135"/>
      <c r="AK3853" s="132">
        <f>IF(AJ3846&lt;=0,W_max,ABS(AJ$23-AJ3852))</f>
        <v>7174</v>
      </c>
      <c r="AL3853" s="151">
        <f>AJ3841</f>
        <v>98160.486286384286</v>
      </c>
      <c r="AM3853" s="135"/>
      <c r="AN3853" s="132">
        <f>IF(AM3846&lt;=0,W_max,ABS(AM$23-AM3852))</f>
        <v>7174</v>
      </c>
      <c r="AO3853" s="151">
        <f>AM3841</f>
        <v>115100.88999473979</v>
      </c>
      <c r="AP3853" s="135"/>
      <c r="AQ3853" s="132">
        <f>IF(AP3846&lt;=0,W_max,ABS(AP$23-AP3852))</f>
        <v>7174</v>
      </c>
      <c r="AR3853" s="151">
        <f>AP3841</f>
        <v>128414.41964013783</v>
      </c>
      <c r="AS3853" s="135"/>
      <c r="AT3853" s="132">
        <f>IF(AS3846&lt;=0,W_max,ABS(AS$23-AS3852))</f>
        <v>7174</v>
      </c>
      <c r="AU3853" s="151">
        <f>AS3841</f>
        <v>143267.90324789876</v>
      </c>
    </row>
    <row r="3854" spans="13:47" ht="13" x14ac:dyDescent="0.25">
      <c r="M3854" s="12"/>
      <c r="N3854" s="12"/>
      <c r="O3854" s="2"/>
      <c r="P3854" s="85"/>
      <c r="Q3854" s="2"/>
      <c r="R3854" s="18"/>
      <c r="S3854" s="150"/>
      <c r="T3854" s="148"/>
      <c r="U3854" s="157"/>
      <c r="V3854" s="1"/>
      <c r="W3854" s="147"/>
      <c r="X3854" s="157"/>
      <c r="Y3854" s="1"/>
      <c r="Z3854" s="147"/>
      <c r="AA3854" s="157"/>
      <c r="AB3854" s="1"/>
      <c r="AC3854" s="147"/>
      <c r="AD3854" s="157"/>
      <c r="AE3854" s="1"/>
      <c r="AF3854" s="147"/>
      <c r="AG3854" s="157"/>
      <c r="AH3854" s="1"/>
      <c r="AI3854" s="147"/>
      <c r="AJ3854" s="157"/>
      <c r="AK3854" s="1"/>
      <c r="AL3854" s="147"/>
      <c r="AM3854" s="157"/>
      <c r="AN3854" s="1"/>
      <c r="AO3854" s="147"/>
      <c r="AP3854" s="157"/>
      <c r="AQ3854" s="1"/>
      <c r="AR3854" s="147"/>
      <c r="AS3854" s="157"/>
      <c r="AT3854" s="1"/>
      <c r="AU3854" s="147"/>
    </row>
    <row r="3855" spans="13:47" ht="14" x14ac:dyDescent="0.3">
      <c r="M3855" s="23"/>
      <c r="N3855" s="23"/>
      <c r="O3855" s="23" t="s">
        <v>238</v>
      </c>
      <c r="P3855" s="20"/>
      <c r="Q3855" s="20"/>
      <c r="R3855" s="181">
        <f>R3841*1.02</f>
        <v>2550.6588615500559</v>
      </c>
      <c r="S3855" s="128" t="s">
        <v>185</v>
      </c>
      <c r="T3855" s="149" t="s">
        <v>186</v>
      </c>
      <c r="U3855" s="143">
        <f>U3841*1.01</f>
        <v>7027.0436104601131</v>
      </c>
      <c r="V3855" s="128" t="s">
        <v>185</v>
      </c>
      <c r="W3855" s="153" t="s">
        <v>186</v>
      </c>
      <c r="X3855" s="143">
        <f>X3841*1.01</f>
        <v>17378.715076659988</v>
      </c>
      <c r="Y3855" s="128" t="s">
        <v>185</v>
      </c>
      <c r="Z3855" s="153" t="s">
        <v>186</v>
      </c>
      <c r="AA3855" s="143">
        <f>AA3841*1.01</f>
        <v>33849.301132020497</v>
      </c>
      <c r="AB3855" s="128" t="s">
        <v>185</v>
      </c>
      <c r="AC3855" s="153" t="s">
        <v>186</v>
      </c>
      <c r="AD3855" s="143">
        <f>AD3841*1.01</f>
        <v>55669.637788897089</v>
      </c>
      <c r="AE3855" s="128" t="s">
        <v>185</v>
      </c>
      <c r="AF3855" s="153" t="s">
        <v>186</v>
      </c>
      <c r="AG3855" s="143">
        <f>AG3841*1.01</f>
        <v>78080.952791102973</v>
      </c>
      <c r="AH3855" s="128" t="s">
        <v>185</v>
      </c>
      <c r="AI3855" s="153" t="s">
        <v>186</v>
      </c>
      <c r="AJ3855" s="143">
        <f>AJ3841*1.01</f>
        <v>99142.091149248125</v>
      </c>
      <c r="AK3855" s="128" t="s">
        <v>185</v>
      </c>
      <c r="AL3855" s="153" t="s">
        <v>186</v>
      </c>
      <c r="AM3855" s="143">
        <f>AM3841*1.01</f>
        <v>116251.89889468718</v>
      </c>
      <c r="AN3855" s="128" t="s">
        <v>185</v>
      </c>
      <c r="AO3855" s="153" t="s">
        <v>186</v>
      </c>
      <c r="AP3855" s="143">
        <f>AP3841*1.01</f>
        <v>129698.56383653921</v>
      </c>
      <c r="AQ3855" s="128" t="s">
        <v>185</v>
      </c>
      <c r="AR3855" s="153" t="s">
        <v>186</v>
      </c>
      <c r="AS3855" s="143">
        <f>AS3841*1.01</f>
        <v>144700.58228037774</v>
      </c>
      <c r="AT3855" s="128" t="s">
        <v>185</v>
      </c>
      <c r="AU3855" s="153" t="s">
        <v>186</v>
      </c>
    </row>
    <row r="3856" spans="13:47" ht="14" x14ac:dyDescent="0.3">
      <c r="M3856" s="12"/>
      <c r="N3856" s="12"/>
      <c r="O3856" s="20"/>
      <c r="P3856" s="20"/>
      <c r="Q3856" s="23"/>
      <c r="R3856" s="139"/>
      <c r="S3856" s="130" t="s">
        <v>228</v>
      </c>
      <c r="T3856" s="131" t="s">
        <v>187</v>
      </c>
      <c r="U3856" s="144"/>
      <c r="V3856" s="130" t="s">
        <v>228</v>
      </c>
      <c r="W3856" s="154" t="s">
        <v>187</v>
      </c>
      <c r="X3856" s="144"/>
      <c r="Y3856" s="130" t="s">
        <v>228</v>
      </c>
      <c r="Z3856" s="154" t="s">
        <v>187</v>
      </c>
      <c r="AA3856" s="144"/>
      <c r="AB3856" s="130" t="s">
        <v>228</v>
      </c>
      <c r="AC3856" s="154" t="s">
        <v>187</v>
      </c>
      <c r="AD3856" s="144"/>
      <c r="AE3856" s="130" t="s">
        <v>228</v>
      </c>
      <c r="AF3856" s="154" t="s">
        <v>187</v>
      </c>
      <c r="AG3856" s="144"/>
      <c r="AH3856" s="130" t="s">
        <v>228</v>
      </c>
      <c r="AI3856" s="154" t="s">
        <v>187</v>
      </c>
      <c r="AJ3856" s="144"/>
      <c r="AK3856" s="130" t="s">
        <v>228</v>
      </c>
      <c r="AL3856" s="154" t="s">
        <v>187</v>
      </c>
      <c r="AM3856" s="144"/>
      <c r="AN3856" s="130" t="s">
        <v>228</v>
      </c>
      <c r="AO3856" s="154" t="s">
        <v>187</v>
      </c>
      <c r="AP3856" s="144"/>
      <c r="AQ3856" s="130" t="s">
        <v>228</v>
      </c>
      <c r="AR3856" s="154" t="s">
        <v>187</v>
      </c>
      <c r="AS3856" s="144"/>
      <c r="AT3856" s="130" t="s">
        <v>228</v>
      </c>
      <c r="AU3856" s="154" t="s">
        <v>187</v>
      </c>
    </row>
    <row r="3857" spans="13:47" x14ac:dyDescent="0.25">
      <c r="M3857" s="20"/>
      <c r="N3857" s="20"/>
      <c r="O3857" s="7" t="s">
        <v>188</v>
      </c>
      <c r="P3857" s="7"/>
      <c r="Q3857" s="7"/>
      <c r="R3857" s="181">
        <f>P_1_minW-(R3855^2*R_up)+dpup_minQ</f>
        <v>97.928497804545401</v>
      </c>
      <c r="S3857" s="132"/>
      <c r="T3857" s="145"/>
      <c r="U3857" s="138">
        <f>P_1_minW-(U3855^2*R_up)+dpup_minQ</f>
        <v>80.832189673097915</v>
      </c>
      <c r="V3857" s="132"/>
      <c r="W3857" s="145"/>
      <c r="X3857" s="138">
        <f>P_1_minW-(X3855^2*R_up)+dpup_minQ</f>
        <v>-19.91115854079932</v>
      </c>
      <c r="Y3857" s="132"/>
      <c r="Z3857" s="145"/>
      <c r="AA3857" s="138">
        <f>P_1_minW-(AA3855^2*R_up)+dpup_minQ</f>
        <v>-356.36863112347061</v>
      </c>
      <c r="AB3857" s="132"/>
      <c r="AC3857" s="145"/>
      <c r="AD3857" s="138">
        <f>P_1_minW-(AD3855^2*R_up)+dpup_minQ</f>
        <v>-1135.2834388355466</v>
      </c>
      <c r="AE3857" s="132"/>
      <c r="AF3857" s="145"/>
      <c r="AG3857" s="138">
        <f>P_1_minW-(AG3855^2*R_up)+dpup_minQ</f>
        <v>-2330.5826577426365</v>
      </c>
      <c r="AH3857" s="132"/>
      <c r="AI3857" s="145"/>
      <c r="AJ3857" s="138">
        <f>P_1_minW-(AJ3855^2*R_up)+dpup_minQ</f>
        <v>-3818.9688084487202</v>
      </c>
      <c r="AK3857" s="132"/>
      <c r="AL3857" s="145"/>
      <c r="AM3857" s="138">
        <f>P_1_minW-(AM3855^2*R_up)+dpup_minQ</f>
        <v>-5288.5456466444848</v>
      </c>
      <c r="AN3857" s="132"/>
      <c r="AO3857" s="145"/>
      <c r="AP3857" s="138">
        <f>P_1_minW-(AP3855^2*R_up)+dpup_minQ</f>
        <v>-6607.3361615759177</v>
      </c>
      <c r="AQ3857" s="132"/>
      <c r="AR3857" s="145"/>
      <c r="AS3857" s="138">
        <f>P_1_minW-(AS3855^2*R_up)+dpup_minQ</f>
        <v>-8248.8556312001583</v>
      </c>
      <c r="AT3857" s="132"/>
      <c r="AU3857" s="145"/>
    </row>
    <row r="3858" spans="13:47" x14ac:dyDescent="0.25">
      <c r="M3858" s="20"/>
      <c r="N3858" s="20"/>
      <c r="O3858" s="7" t="s">
        <v>189</v>
      </c>
      <c r="P3858" s="1"/>
      <c r="Q3858" s="7"/>
      <c r="R3858" s="181">
        <f>P_2_minW+(R3855^2*R_dn)-dpdn_minQ</f>
        <v>50</v>
      </c>
      <c r="S3858" s="132"/>
      <c r="T3858" s="146"/>
      <c r="U3858" s="138">
        <f>P_2_minW+(U3855^2*R_dn)-dpdn_minQ</f>
        <v>50</v>
      </c>
      <c r="V3858" s="132"/>
      <c r="W3858" s="146"/>
      <c r="X3858" s="138">
        <f>P_2_minW+(X3855^2*R_dn)-dpdn_minQ</f>
        <v>50</v>
      </c>
      <c r="Y3858" s="132"/>
      <c r="Z3858" s="146"/>
      <c r="AA3858" s="138">
        <f>P_2_minW+(AA3855^2*R_dn)-dpdn_minQ</f>
        <v>50</v>
      </c>
      <c r="AB3858" s="132"/>
      <c r="AC3858" s="146"/>
      <c r="AD3858" s="138">
        <f>P_2_minW+(AD3855^2*R_dn)-dpdn_minQ</f>
        <v>50</v>
      </c>
      <c r="AE3858" s="132"/>
      <c r="AF3858" s="146"/>
      <c r="AG3858" s="138">
        <f>P_2_minW+(AG3855^2*R_dn)-dpdn_minQ</f>
        <v>50</v>
      </c>
      <c r="AH3858" s="132"/>
      <c r="AI3858" s="146"/>
      <c r="AJ3858" s="138">
        <f>P_2_minW+(AJ3855^2*R_dn)-dpdn_minQ</f>
        <v>50</v>
      </c>
      <c r="AK3858" s="132"/>
      <c r="AL3858" s="146"/>
      <c r="AM3858" s="138">
        <f>P_2_minW+(AM3855^2*R_dn)-dpdn_minQ</f>
        <v>50</v>
      </c>
      <c r="AN3858" s="132"/>
      <c r="AO3858" s="146"/>
      <c r="AP3858" s="138">
        <f>P_2_minW+(AP3855^2*R_dn)-dpdn_minQ</f>
        <v>50</v>
      </c>
      <c r="AQ3858" s="132"/>
      <c r="AR3858" s="146"/>
      <c r="AS3858" s="138">
        <f>P_2_minW+(AS3855^2*R_dn)-dpdn_minQ</f>
        <v>50</v>
      </c>
      <c r="AT3858" s="132"/>
      <c r="AU3858" s="146"/>
    </row>
    <row r="3859" spans="13:47" x14ac:dyDescent="0.25">
      <c r="M3859" s="20"/>
      <c r="N3859" s="20"/>
      <c r="O3859" s="7" t="s">
        <v>234</v>
      </c>
      <c r="P3859" s="1"/>
      <c r="Q3859" s="7"/>
      <c r="R3859" s="179">
        <f>'Valve Sizing'!G$8*R3857/P_1_maxW</f>
        <v>0.47238963831472391</v>
      </c>
      <c r="S3859" s="132"/>
      <c r="T3859" s="146"/>
      <c r="U3859" s="143">
        <f>'Valve Sizing'!$G$8*U3857/P_1_maxW</f>
        <v>0.38992009169867548</v>
      </c>
      <c r="V3859" s="132"/>
      <c r="W3859" s="146"/>
      <c r="X3859" s="143">
        <f>'Valve Sizing'!$G$8*X3857/P_1_maxW</f>
        <v>-9.6047883837535403E-2</v>
      </c>
      <c r="Y3859" s="132"/>
      <c r="Z3859" s="146"/>
      <c r="AA3859" s="143">
        <f>'Valve Sizing'!$G$8*AA3857/P_1_maxW</f>
        <v>-1.7190588290155078</v>
      </c>
      <c r="AB3859" s="132"/>
      <c r="AC3859" s="146"/>
      <c r="AD3859" s="143">
        <f>'Valve Sizing'!$G$8*AD3857/P_1_maxW</f>
        <v>-5.4764051841845713</v>
      </c>
      <c r="AE3859" s="132"/>
      <c r="AF3859" s="146"/>
      <c r="AG3859" s="143">
        <f>'Valve Sizing'!$G$8*AG3857/P_1_maxW</f>
        <v>-11.242315806283216</v>
      </c>
      <c r="AH3859" s="132"/>
      <c r="AI3859" s="146"/>
      <c r="AJ3859" s="143">
        <f>'Valve Sizing'!$G$8*AJ3857/P_1_maxW</f>
        <v>-18.422025606468228</v>
      </c>
      <c r="AK3859" s="132"/>
      <c r="AL3859" s="146"/>
      <c r="AM3859" s="143">
        <f>'Valve Sizing'!$G$8*AM3857/P_1_maxW</f>
        <v>-25.511002631895145</v>
      </c>
      <c r="AN3859" s="132"/>
      <c r="AO3859" s="146"/>
      <c r="AP3859" s="143">
        <f>'Valve Sizing'!$G$8*AP3857/P_1_maxW</f>
        <v>-31.87261327974511</v>
      </c>
      <c r="AQ3859" s="132"/>
      <c r="AR3859" s="146"/>
      <c r="AS3859" s="143">
        <f>'Valve Sizing'!$G$8*AS3857/P_1_maxW</f>
        <v>-39.79101094668431</v>
      </c>
      <c r="AT3859" s="132"/>
      <c r="AU3859" s="146"/>
    </row>
    <row r="3860" spans="13:47" x14ac:dyDescent="0.25">
      <c r="M3860" s="20"/>
      <c r="N3860" s="20"/>
      <c r="O3860" s="7" t="s">
        <v>190</v>
      </c>
      <c r="P3860" s="1"/>
      <c r="Q3860" s="7"/>
      <c r="R3860" s="181">
        <f>R3857-R3858</f>
        <v>47.928497804545401</v>
      </c>
      <c r="S3860" s="132"/>
      <c r="T3860" s="146"/>
      <c r="U3860" s="138">
        <f>U3857-U3858</f>
        <v>30.832189673097915</v>
      </c>
      <c r="V3860" s="132"/>
      <c r="W3860" s="146"/>
      <c r="X3860" s="138">
        <f>X3857-X3858</f>
        <v>-69.91115854079932</v>
      </c>
      <c r="Y3860" s="132"/>
      <c r="Z3860" s="146"/>
      <c r="AA3860" s="138">
        <f>AA3857-AA3858</f>
        <v>-406.36863112347061</v>
      </c>
      <c r="AB3860" s="132"/>
      <c r="AC3860" s="146"/>
      <c r="AD3860" s="138">
        <f>AD3857-AD3858</f>
        <v>-1185.2834388355466</v>
      </c>
      <c r="AE3860" s="132"/>
      <c r="AF3860" s="146"/>
      <c r="AG3860" s="138">
        <f>AG3857-AG3858</f>
        <v>-2380.5826577426365</v>
      </c>
      <c r="AH3860" s="132"/>
      <c r="AI3860" s="146"/>
      <c r="AJ3860" s="138">
        <f>AJ3857-AJ3858</f>
        <v>-3868.9688084487202</v>
      </c>
      <c r="AK3860" s="132"/>
      <c r="AL3860" s="146"/>
      <c r="AM3860" s="138">
        <f>AM3857-AM3858</f>
        <v>-5338.5456466444848</v>
      </c>
      <c r="AN3860" s="132"/>
      <c r="AO3860" s="146"/>
      <c r="AP3860" s="138">
        <f>AP3857-AP3858</f>
        <v>-6657.3361615759177</v>
      </c>
      <c r="AQ3860" s="132"/>
      <c r="AR3860" s="146"/>
      <c r="AS3860" s="138">
        <f>AS3857-AS3858</f>
        <v>-8298.8556312001583</v>
      </c>
      <c r="AT3860" s="132"/>
      <c r="AU3860" s="146"/>
    </row>
    <row r="3861" spans="13:47" ht="14.5" x14ac:dyDescent="0.35">
      <c r="M3861" s="27"/>
      <c r="N3861" s="27"/>
      <c r="O3861" s="2" t="s">
        <v>191</v>
      </c>
      <c r="P3861" s="10"/>
      <c r="Q3861" s="2"/>
      <c r="R3861" s="181">
        <f>R3860/R3857</f>
        <v>0.48942339440563515</v>
      </c>
      <c r="S3861" s="132"/>
      <c r="T3861" s="146"/>
      <c r="U3861" s="138">
        <f>U3860/U3857</f>
        <v>0.38143454727367482</v>
      </c>
      <c r="V3861" s="132"/>
      <c r="W3861" s="146"/>
      <c r="X3861" s="138">
        <f>X3860/X3857</f>
        <v>3.511154732535859</v>
      </c>
      <c r="Y3861" s="132"/>
      <c r="Z3861" s="146"/>
      <c r="AA3861" s="138">
        <f>AA3860/AA3857</f>
        <v>1.14030415595888</v>
      </c>
      <c r="AB3861" s="132"/>
      <c r="AC3861" s="146"/>
      <c r="AD3861" s="138">
        <f>AD3860/AD3857</f>
        <v>1.0440418650441028</v>
      </c>
      <c r="AE3861" s="132"/>
      <c r="AF3861" s="146"/>
      <c r="AG3861" s="138">
        <f>AG3860/AG3857</f>
        <v>1.0214538625497322</v>
      </c>
      <c r="AH3861" s="132"/>
      <c r="AI3861" s="146"/>
      <c r="AJ3861" s="138">
        <f>AJ3860/AJ3857</f>
        <v>1.0130925395068389</v>
      </c>
      <c r="AK3861" s="132"/>
      <c r="AL3861" s="146"/>
      <c r="AM3861" s="138">
        <f>AM3860/AM3857</f>
        <v>1.0094543950909689</v>
      </c>
      <c r="AN3861" s="132"/>
      <c r="AO3861" s="146"/>
      <c r="AP3861" s="138">
        <f>AP3860/AP3857</f>
        <v>1.0075673461705745</v>
      </c>
      <c r="AQ3861" s="132"/>
      <c r="AR3861" s="146"/>
      <c r="AS3861" s="138">
        <f>AS3860/AS3857</f>
        <v>1.0060614468522011</v>
      </c>
      <c r="AT3861" s="132"/>
      <c r="AU3861" s="146"/>
    </row>
    <row r="3862" spans="13:47" x14ac:dyDescent="0.25">
      <c r="M3862" s="27"/>
      <c r="N3862" s="27"/>
      <c r="O3862" s="2" t="s">
        <v>26</v>
      </c>
      <c r="P3862" s="7">
        <v>12</v>
      </c>
      <c r="Q3862" s="2"/>
      <c r="R3862" s="181">
        <f>1-R3861/(3*F_GAMMA*R$29)</f>
        <v>0.7451026878278999</v>
      </c>
      <c r="S3862" s="133"/>
      <c r="T3862" s="146"/>
      <c r="U3862" s="138">
        <f>1-U3861/(3*F_GAMMA*U$29)</f>
        <v>0.80138825586275808</v>
      </c>
      <c r="V3862" s="133"/>
      <c r="W3862" s="146"/>
      <c r="X3862" s="138">
        <f>1-X3861/(3*F_GAMMA*X$29)</f>
        <v>-0.85567361096419181</v>
      </c>
      <c r="Y3862" s="133"/>
      <c r="Z3862" s="146"/>
      <c r="AA3862" s="138">
        <f>1-AA3861/(3*F_GAMMA*AA$29)</f>
        <v>0.38907674480814081</v>
      </c>
      <c r="AB3862" s="133"/>
      <c r="AC3862" s="146"/>
      <c r="AD3862" s="138">
        <f>1-AD3861/(3*F_GAMMA*AD$29)</f>
        <v>0.42531351945765927</v>
      </c>
      <c r="AE3862" s="133"/>
      <c r="AF3862" s="146"/>
      <c r="AG3862" s="138">
        <f>1-AG3861/(3*F_GAMMA*AG$29)</f>
        <v>0.40567514582428688</v>
      </c>
      <c r="AH3862" s="133"/>
      <c r="AI3862" s="146"/>
      <c r="AJ3862" s="138">
        <f>1-AJ3861/(3*F_GAMMA*AJ$29)</f>
        <v>0.36985939244991151</v>
      </c>
      <c r="AK3862" s="133"/>
      <c r="AL3862" s="146"/>
      <c r="AM3862" s="138">
        <f>1-AM3861/(3*F_GAMMA*AM$29)</f>
        <v>0.31397977299701241</v>
      </c>
      <c r="AN3862" s="133"/>
      <c r="AO3862" s="146"/>
      <c r="AP3862" s="138">
        <f>1-AP3861/(3*F_GAMMA*AP$29)</f>
        <v>0.4341382898999302</v>
      </c>
      <c r="AQ3862" s="133"/>
      <c r="AR3862" s="146"/>
      <c r="AS3862" s="138">
        <f>1-AS3861/(3*F_GAMMA*AS$29)</f>
        <v>0.1422566472541672</v>
      </c>
      <c r="AT3862" s="133"/>
      <c r="AU3862" s="146"/>
    </row>
    <row r="3863" spans="13:47" x14ac:dyDescent="0.25">
      <c r="M3863" s="27"/>
      <c r="N3863" s="27"/>
      <c r="O3863" s="2" t="s">
        <v>71</v>
      </c>
      <c r="P3863" s="85">
        <v>5</v>
      </c>
      <c r="Q3863" s="2"/>
      <c r="R3863" s="179">
        <f>R3855/((N_6*R$27*R3862)*SQRT(R3861*R3857*R3859))</f>
        <v>11.366765673585309</v>
      </c>
      <c r="S3863" s="133"/>
      <c r="T3863" s="146"/>
      <c r="U3863" s="143">
        <f>U3855/((N_6*U$27*U3862)*SQRT(U3861*U3857*U3859))</f>
        <v>39.981344671133975</v>
      </c>
      <c r="V3863" s="133"/>
      <c r="W3863" s="146"/>
      <c r="X3863" s="143">
        <f>X3855/((N_6*X$27*X3862)*SQRT(X3861*X3857*X3859))</f>
        <v>-124.18567747046579</v>
      </c>
      <c r="Y3863" s="133"/>
      <c r="Z3863" s="146"/>
      <c r="AA3863" s="143">
        <f>AA3855/((N_6*AA$27*AA3862)*SQRT(AA3861*AA3857*AA3859))</f>
        <v>52.454009857260402</v>
      </c>
      <c r="AB3863" s="133"/>
      <c r="AC3863" s="146"/>
      <c r="AD3863" s="143">
        <f>AD3855/((N_6*AD$27*AD3862)*SQRT(AD3861*AD3857*AD3859))</f>
        <v>26.197793325818523</v>
      </c>
      <c r="AE3863" s="133"/>
      <c r="AF3863" s="146"/>
      <c r="AG3863" s="143">
        <f>AG3855/((N_6*AG$27*AG3862)*SQRT(AG3861*AG3857*AG3859))</f>
        <v>19.381273072480994</v>
      </c>
      <c r="AH3863" s="133"/>
      <c r="AI3863" s="146"/>
      <c r="AJ3863" s="143">
        <f>AJ3855/((N_6*AJ$27*AJ3862)*SQRT(AJ3861*AJ3857*AJ3859))</f>
        <v>17.10802255912634</v>
      </c>
      <c r="AK3863" s="133"/>
      <c r="AL3863" s="146"/>
      <c r="AM3863" s="143">
        <f>AM3855/((N_6*AM$27*AM3862)*SQRT(AM3861*AM3857*AM3859))</f>
        <v>18.144795605506946</v>
      </c>
      <c r="AN3863" s="133"/>
      <c r="AO3863" s="146"/>
      <c r="AP3863" s="143">
        <f>AP3855/((N_6*AP$27*AP3862)*SQRT(AP3861*AP3857*AP3859))</f>
        <v>13.323890611333081</v>
      </c>
      <c r="AQ3863" s="133"/>
      <c r="AR3863" s="146"/>
      <c r="AS3863" s="143">
        <f>AS3855/((N_6*AS$27*AS3862)*SQRT(AS3861*AS3857*AS3859))</f>
        <v>47.782250407312134</v>
      </c>
      <c r="AT3863" s="133"/>
      <c r="AU3863" s="146"/>
    </row>
    <row r="3864" spans="13:47" x14ac:dyDescent="0.25">
      <c r="M3864" s="27"/>
      <c r="N3864" s="27"/>
      <c r="O3864" s="2" t="s">
        <v>73</v>
      </c>
      <c r="P3864" s="85">
        <v>5</v>
      </c>
      <c r="Q3864" s="2"/>
      <c r="R3864" s="179">
        <f>R3855/((N_6*R$27*0.667)*SQRT(R3865*R3857*R3859))</f>
        <v>11.103770030424062</v>
      </c>
      <c r="S3864" s="133"/>
      <c r="T3864" s="147"/>
      <c r="U3864" s="143">
        <f>U3855/((N_6*U$27*0.667)*SQRT(U3865*U3857*U3859))</f>
        <v>37.079820761115613</v>
      </c>
      <c r="V3864" s="133"/>
      <c r="W3864" s="155"/>
      <c r="X3864" s="143">
        <f>X3855/((N_6*X$27*0.667)*SQRT(X3865*X3857*X3859))</f>
        <v>375.8938659714899</v>
      </c>
      <c r="Y3864" s="133"/>
      <c r="Z3864" s="155"/>
      <c r="AA3864" s="143">
        <f>AA3855/((N_6*AA$27*0.667)*SQRT(AA3865*AA3857*AA3859))</f>
        <v>41.423051545523492</v>
      </c>
      <c r="AB3864" s="133"/>
      <c r="AC3864" s="155"/>
      <c r="AD3864" s="143">
        <f>AD3855/((N_6*AD$27*0.667)*SQRT(AD3865*AD3857*AD3859))</f>
        <v>21.934320410699502</v>
      </c>
      <c r="AE3864" s="133"/>
      <c r="AF3864" s="155"/>
      <c r="AG3864" s="143">
        <f>AG3855/((N_6*AG$27*0.667)*SQRT(AG3865*AG3857*AG3859))</f>
        <v>15.740098333685756</v>
      </c>
      <c r="AH3864" s="133"/>
      <c r="AI3864" s="155"/>
      <c r="AJ3864" s="143">
        <f>AJ3855/((N_6*AJ$27*0.667)*SQRT(AJ3865*AJ3857*AJ3859))</f>
        <v>13.043375383921717</v>
      </c>
      <c r="AK3864" s="133"/>
      <c r="AL3864" s="155"/>
      <c r="AM3864" s="143">
        <f>AM3855/((N_6*AM$27*0.667)*SQRT(AM3865*AM3857*AM3859))</f>
        <v>12.253411132289731</v>
      </c>
      <c r="AN3864" s="133"/>
      <c r="AO3864" s="155"/>
      <c r="AP3864" s="143">
        <f>AP3855/((N_6*AP$27*0.667)*SQRT(AP3865*AP3857*AP3859))</f>
        <v>11.299236453498356</v>
      </c>
      <c r="AQ3864" s="133"/>
      <c r="AR3864" s="155"/>
      <c r="AS3864" s="143">
        <f>AS3855/((N_6*AS$27*0.667)*SQRT(AS3865*AS3857*AS3859))</f>
        <v>16.347548812857884</v>
      </c>
      <c r="AT3864" s="133"/>
      <c r="AU3864" s="155"/>
    </row>
    <row r="3865" spans="13:47" ht="15.5" x14ac:dyDescent="0.4">
      <c r="M3865" s="27"/>
      <c r="N3865" s="27"/>
      <c r="O3865" s="2" t="s">
        <v>192</v>
      </c>
      <c r="P3865" s="85">
        <v>10</v>
      </c>
      <c r="Q3865" s="2"/>
      <c r="R3865" s="181">
        <f>F_GAMMA*R$29</f>
        <v>0.64002688015162901</v>
      </c>
      <c r="S3865" s="133"/>
      <c r="T3865" s="147"/>
      <c r="U3865" s="138">
        <f>F_GAMMA*U$29</f>
        <v>0.64016782916606918</v>
      </c>
      <c r="V3865" s="133"/>
      <c r="W3865" s="155"/>
      <c r="X3865" s="138">
        <f>F_GAMMA*X$29</f>
        <v>0.6307062319203669</v>
      </c>
      <c r="Y3865" s="133"/>
      <c r="Z3865" s="155"/>
      <c r="AA3865" s="138">
        <f>F_GAMMA*AA$29</f>
        <v>0.62217534213893466</v>
      </c>
      <c r="AB3865" s="133"/>
      <c r="AC3865" s="155"/>
      <c r="AD3865" s="138">
        <f>F_GAMMA*AD$29</f>
        <v>0.60557184969146072</v>
      </c>
      <c r="AE3865" s="133"/>
      <c r="AF3865" s="155"/>
      <c r="AG3865" s="138">
        <f>F_GAMMA*AG$29</f>
        <v>0.57289312142622573</v>
      </c>
      <c r="AH3865" s="133"/>
      <c r="AI3865" s="155"/>
      <c r="AJ3865" s="138">
        <f>F_GAMMA*AJ$29</f>
        <v>0.53590819116049981</v>
      </c>
      <c r="AK3865" s="133"/>
      <c r="AL3865" s="155"/>
      <c r="AM3865" s="138">
        <f>F_GAMMA*AM$29</f>
        <v>0.49048815926850342</v>
      </c>
      <c r="AN3865" s="133"/>
      <c r="AO3865" s="155"/>
      <c r="AP3865" s="138">
        <f>F_GAMMA*AP$29</f>
        <v>0.59352979016280105</v>
      </c>
      <c r="AQ3865" s="133"/>
      <c r="AR3865" s="155"/>
      <c r="AS3865" s="138">
        <f>F_GAMMA*AS$29</f>
        <v>0.39097221161068291</v>
      </c>
      <c r="AT3865" s="133"/>
      <c r="AU3865" s="155"/>
    </row>
    <row r="3866" spans="13:47" x14ac:dyDescent="0.25">
      <c r="M3866" s="27"/>
      <c r="N3866" s="27"/>
      <c r="O3866" s="2" t="s">
        <v>193</v>
      </c>
      <c r="P3866" s="134"/>
      <c r="Q3866" s="2"/>
      <c r="R3866" s="181">
        <f>IF(R3861&lt;R3865,R3863,R3864)</f>
        <v>11.366765673585309</v>
      </c>
      <c r="S3866" s="133"/>
      <c r="T3866" s="147"/>
      <c r="U3866" s="138">
        <f>IF(U3861&lt;U3865,U3863,U3864)</f>
        <v>39.981344671133975</v>
      </c>
      <c r="V3866" s="133"/>
      <c r="W3866" s="155"/>
      <c r="X3866" s="138">
        <f>IF(X3861&lt;X3865,X3863,X3864)</f>
        <v>375.8938659714899</v>
      </c>
      <c r="Y3866" s="133"/>
      <c r="Z3866" s="155"/>
      <c r="AA3866" s="138">
        <f>IF(AA3861&lt;AA3865,AA3863,AA3864)</f>
        <v>41.423051545523492</v>
      </c>
      <c r="AB3866" s="133"/>
      <c r="AC3866" s="155"/>
      <c r="AD3866" s="138">
        <f>IF(AD3861&lt;AD3865,AD3863,AD3864)</f>
        <v>21.934320410699502</v>
      </c>
      <c r="AE3866" s="133"/>
      <c r="AF3866" s="155"/>
      <c r="AG3866" s="138">
        <f>IF(AG3861&lt;AG3865,AG3863,AG3864)</f>
        <v>15.740098333685756</v>
      </c>
      <c r="AH3866" s="133"/>
      <c r="AI3866" s="155"/>
      <c r="AJ3866" s="138">
        <f>IF(AJ3861&lt;AJ3865,AJ3863,AJ3864)</f>
        <v>13.043375383921717</v>
      </c>
      <c r="AK3866" s="133"/>
      <c r="AL3866" s="155"/>
      <c r="AM3866" s="138">
        <f>IF(AM3861&lt;AM3865,AM3863,AM3864)</f>
        <v>12.253411132289731</v>
      </c>
      <c r="AN3866" s="133"/>
      <c r="AO3866" s="155"/>
      <c r="AP3866" s="138">
        <f>IF(AP3861&lt;AP3865,AP3863,AP3864)</f>
        <v>11.299236453498356</v>
      </c>
      <c r="AQ3866" s="133"/>
      <c r="AR3866" s="155"/>
      <c r="AS3866" s="138">
        <f>IF(AS3861&lt;AS3865,AS3863,AS3864)</f>
        <v>16.347548812857884</v>
      </c>
      <c r="AT3866" s="133"/>
      <c r="AU3866" s="155"/>
    </row>
    <row r="3867" spans="13:47" ht="13" x14ac:dyDescent="0.3">
      <c r="M3867" s="28"/>
      <c r="N3867" s="28"/>
      <c r="O3867" s="9" t="s">
        <v>194</v>
      </c>
      <c r="P3867" s="1"/>
      <c r="Q3867" s="1"/>
      <c r="R3867" s="135"/>
      <c r="S3867" s="132">
        <f>IF(R3860&lt;=0,W_max,ABS(R$23-R3866))</f>
        <v>9.3667656735853093</v>
      </c>
      <c r="T3867" s="151">
        <f>R3855</f>
        <v>2550.6588615500559</v>
      </c>
      <c r="U3867" s="135"/>
      <c r="V3867" s="132">
        <f>IF(U3860&lt;=0,W_max,ABS(U$23-U3866))</f>
        <v>34.981344671133975</v>
      </c>
      <c r="W3867" s="151">
        <f>U3855</f>
        <v>7027.0436104601131</v>
      </c>
      <c r="X3867" s="135"/>
      <c r="Y3867" s="132">
        <f>IF(X3860&lt;=0,W_max,ABS(X$23-X3866))</f>
        <v>7174</v>
      </c>
      <c r="Z3867" s="151">
        <f>X3855</f>
        <v>17378.715076659988</v>
      </c>
      <c r="AA3867" s="135"/>
      <c r="AB3867" s="132">
        <f>IF(AA3860&lt;=0,W_max,ABS(AA$23-AA3866))</f>
        <v>7174</v>
      </c>
      <c r="AC3867" s="151">
        <f>AA3855</f>
        <v>33849.301132020497</v>
      </c>
      <c r="AD3867" s="135"/>
      <c r="AE3867" s="132">
        <f>IF(AD3860&lt;=0,W_max,ABS(AD$23-AD3866))</f>
        <v>7174</v>
      </c>
      <c r="AF3867" s="151">
        <f>AD3855</f>
        <v>55669.637788897089</v>
      </c>
      <c r="AG3867" s="135"/>
      <c r="AH3867" s="132">
        <f>IF(AG3860&lt;=0,W_max,ABS(AG$23-AG3866))</f>
        <v>7174</v>
      </c>
      <c r="AI3867" s="151">
        <f>AG3855</f>
        <v>78080.952791102973</v>
      </c>
      <c r="AJ3867" s="135"/>
      <c r="AK3867" s="132">
        <f>IF(AJ3860&lt;=0,W_max,ABS(AJ$23-AJ3866))</f>
        <v>7174</v>
      </c>
      <c r="AL3867" s="151">
        <f>AJ3855</f>
        <v>99142.091149248125</v>
      </c>
      <c r="AM3867" s="135"/>
      <c r="AN3867" s="132">
        <f>IF(AM3860&lt;=0,W_max,ABS(AM$23-AM3866))</f>
        <v>7174</v>
      </c>
      <c r="AO3867" s="151">
        <f>AM3855</f>
        <v>116251.89889468718</v>
      </c>
      <c r="AP3867" s="135"/>
      <c r="AQ3867" s="132">
        <f>IF(AP3860&lt;=0,W_max,ABS(AP$23-AP3866))</f>
        <v>7174</v>
      </c>
      <c r="AR3867" s="151">
        <f>AP3855</f>
        <v>129698.56383653921</v>
      </c>
      <c r="AS3867" s="135"/>
      <c r="AT3867" s="132">
        <f>IF(AS3860&lt;=0,W_max,ABS(AS$23-AS3866))</f>
        <v>7174</v>
      </c>
      <c r="AU3867" s="151">
        <f>AS3855</f>
        <v>144700.58228037774</v>
      </c>
    </row>
    <row r="3868" spans="13:47" ht="13" x14ac:dyDescent="0.25">
      <c r="M3868" s="12"/>
      <c r="N3868" s="12"/>
      <c r="O3868" s="12"/>
      <c r="P3868" s="12"/>
      <c r="Q3868" s="12"/>
      <c r="R3868" s="182"/>
      <c r="S3868" s="22"/>
      <c r="T3868" s="152"/>
      <c r="U3868" s="157"/>
      <c r="V3868" s="1"/>
      <c r="W3868" s="147"/>
      <c r="X3868" s="157"/>
      <c r="Y3868" s="1"/>
      <c r="Z3868" s="147"/>
      <c r="AA3868" s="157"/>
      <c r="AB3868" s="1"/>
      <c r="AC3868" s="147"/>
      <c r="AD3868" s="157"/>
      <c r="AE3868" s="1"/>
      <c r="AF3868" s="147"/>
      <c r="AG3868" s="157"/>
      <c r="AH3868" s="1"/>
      <c r="AI3868" s="147"/>
      <c r="AJ3868" s="157"/>
      <c r="AK3868" s="1"/>
      <c r="AL3868" s="147"/>
      <c r="AM3868" s="157"/>
      <c r="AN3868" s="1"/>
      <c r="AO3868" s="147"/>
      <c r="AP3868" s="157"/>
      <c r="AQ3868" s="1"/>
      <c r="AR3868" s="147"/>
      <c r="AS3868" s="157"/>
      <c r="AT3868" s="1"/>
      <c r="AU3868" s="147"/>
    </row>
    <row r="3869" spans="13:47" ht="14" x14ac:dyDescent="0.3">
      <c r="M3869" s="23"/>
      <c r="N3869" s="23"/>
      <c r="O3869" s="23" t="s">
        <v>238</v>
      </c>
      <c r="P3869" s="20"/>
      <c r="Q3869" s="20"/>
      <c r="R3869" s="18">
        <f>R3855*1.02</f>
        <v>2601.6720387810569</v>
      </c>
      <c r="S3869" s="128" t="s">
        <v>185</v>
      </c>
      <c r="T3869" s="153" t="s">
        <v>186</v>
      </c>
      <c r="U3869" s="143">
        <f>U3855*1.01</f>
        <v>7097.3140465647139</v>
      </c>
      <c r="V3869" s="128" t="s">
        <v>185</v>
      </c>
      <c r="W3869" s="153" t="s">
        <v>186</v>
      </c>
      <c r="X3869" s="143">
        <f>X3855*1.01</f>
        <v>17552.502227426587</v>
      </c>
      <c r="Y3869" s="128" t="s">
        <v>185</v>
      </c>
      <c r="Z3869" s="153" t="s">
        <v>186</v>
      </c>
      <c r="AA3869" s="143">
        <f>AA3855*1.01</f>
        <v>34187.794143340703</v>
      </c>
      <c r="AB3869" s="128" t="s">
        <v>185</v>
      </c>
      <c r="AC3869" s="153" t="s">
        <v>186</v>
      </c>
      <c r="AD3869" s="143">
        <f>AD3855*1.01</f>
        <v>56226.334166786059</v>
      </c>
      <c r="AE3869" s="128" t="s">
        <v>185</v>
      </c>
      <c r="AF3869" s="153" t="s">
        <v>186</v>
      </c>
      <c r="AG3869" s="143">
        <f>AG3855*1.01</f>
        <v>78861.762319014</v>
      </c>
      <c r="AH3869" s="128" t="s">
        <v>185</v>
      </c>
      <c r="AI3869" s="153" t="s">
        <v>186</v>
      </c>
      <c r="AJ3869" s="143">
        <f>AJ3855*1.01</f>
        <v>100133.51206074061</v>
      </c>
      <c r="AK3869" s="128" t="s">
        <v>185</v>
      </c>
      <c r="AL3869" s="153" t="s">
        <v>186</v>
      </c>
      <c r="AM3869" s="143">
        <f>AM3855*1.01</f>
        <v>117414.41788363406</v>
      </c>
      <c r="AN3869" s="128" t="s">
        <v>185</v>
      </c>
      <c r="AO3869" s="153" t="s">
        <v>186</v>
      </c>
      <c r="AP3869" s="143">
        <f>AP3855*1.01</f>
        <v>130995.5494749046</v>
      </c>
      <c r="AQ3869" s="128" t="s">
        <v>185</v>
      </c>
      <c r="AR3869" s="153" t="s">
        <v>186</v>
      </c>
      <c r="AS3869" s="143">
        <f>AS3855*1.01</f>
        <v>146147.58810318151</v>
      </c>
      <c r="AT3869" s="128" t="s">
        <v>185</v>
      </c>
      <c r="AU3869" s="153" t="s">
        <v>186</v>
      </c>
    </row>
    <row r="3870" spans="13:47" ht="14" x14ac:dyDescent="0.3">
      <c r="M3870" s="12"/>
      <c r="N3870" s="12"/>
      <c r="O3870" s="20"/>
      <c r="P3870" s="20"/>
      <c r="Q3870" s="23"/>
      <c r="R3870" s="139"/>
      <c r="S3870" s="130" t="s">
        <v>228</v>
      </c>
      <c r="T3870" s="154" t="s">
        <v>187</v>
      </c>
      <c r="U3870" s="144"/>
      <c r="V3870" s="130" t="s">
        <v>228</v>
      </c>
      <c r="W3870" s="154" t="s">
        <v>187</v>
      </c>
      <c r="X3870" s="144"/>
      <c r="Y3870" s="130" t="s">
        <v>228</v>
      </c>
      <c r="Z3870" s="154" t="s">
        <v>187</v>
      </c>
      <c r="AA3870" s="144"/>
      <c r="AB3870" s="130" t="s">
        <v>228</v>
      </c>
      <c r="AC3870" s="154" t="s">
        <v>187</v>
      </c>
      <c r="AD3870" s="144"/>
      <c r="AE3870" s="130" t="s">
        <v>228</v>
      </c>
      <c r="AF3870" s="154" t="s">
        <v>187</v>
      </c>
      <c r="AG3870" s="144"/>
      <c r="AH3870" s="130" t="s">
        <v>228</v>
      </c>
      <c r="AI3870" s="154" t="s">
        <v>187</v>
      </c>
      <c r="AJ3870" s="144"/>
      <c r="AK3870" s="130" t="s">
        <v>228</v>
      </c>
      <c r="AL3870" s="154" t="s">
        <v>187</v>
      </c>
      <c r="AM3870" s="144"/>
      <c r="AN3870" s="130" t="s">
        <v>228</v>
      </c>
      <c r="AO3870" s="154" t="s">
        <v>187</v>
      </c>
      <c r="AP3870" s="144"/>
      <c r="AQ3870" s="130" t="s">
        <v>228</v>
      </c>
      <c r="AR3870" s="154" t="s">
        <v>187</v>
      </c>
      <c r="AS3870" s="144"/>
      <c r="AT3870" s="130" t="s">
        <v>228</v>
      </c>
      <c r="AU3870" s="154" t="s">
        <v>187</v>
      </c>
    </row>
    <row r="3871" spans="13:47" x14ac:dyDescent="0.25">
      <c r="M3871" s="20"/>
      <c r="N3871" s="20"/>
      <c r="O3871" s="7" t="s">
        <v>188</v>
      </c>
      <c r="P3871" s="7"/>
      <c r="Q3871" s="7"/>
      <c r="R3871" s="181">
        <f>P_1_minW-(R3869^2*R_up)+dpup_minQ</f>
        <v>97.823688531685278</v>
      </c>
      <c r="S3871" s="132"/>
      <c r="T3871" s="145"/>
      <c r="U3871" s="138">
        <f>P_1_minW-(U3869^2*R_up)+dpup_minQ</f>
        <v>80.436408672118986</v>
      </c>
      <c r="V3871" s="132"/>
      <c r="W3871" s="145"/>
      <c r="X3871" s="138">
        <f>P_1_minW-(X3869^2*R_up)+dpup_minQ</f>
        <v>-22.331880840877574</v>
      </c>
      <c r="Y3871" s="132"/>
      <c r="Z3871" s="145"/>
      <c r="AA3871" s="138">
        <f>P_1_minW-(AA3869^2*R_up)+dpup_minQ</f>
        <v>-365.55214862246066</v>
      </c>
      <c r="AB3871" s="132"/>
      <c r="AC3871" s="145"/>
      <c r="AD3871" s="138">
        <f>P_1_minW-(AD3869^2*R_up)+dpup_minQ</f>
        <v>-1160.1231439695491</v>
      </c>
      <c r="AE3871" s="132"/>
      <c r="AF3871" s="145"/>
      <c r="AG3871" s="138">
        <f>P_1_minW-(AG3869^2*R_up)+dpup_minQ</f>
        <v>-2379.4478771766717</v>
      </c>
      <c r="AH3871" s="132"/>
      <c r="AI3871" s="145"/>
      <c r="AJ3871" s="138">
        <f>P_1_minW-(AJ3869^2*R_up)+dpup_minQ</f>
        <v>-3897.7505895119484</v>
      </c>
      <c r="AK3871" s="132"/>
      <c r="AL3871" s="145"/>
      <c r="AM3871" s="138">
        <f>P_1_minW-(AM3869^2*R_up)+dpup_minQ</f>
        <v>-5396.8659221554472</v>
      </c>
      <c r="AN3871" s="132"/>
      <c r="AO3871" s="145"/>
      <c r="AP3871" s="138">
        <f>P_1_minW-(AP3869^2*R_up)+dpup_minQ</f>
        <v>-6742.1641264370028</v>
      </c>
      <c r="AQ3871" s="132"/>
      <c r="AR3871" s="145"/>
      <c r="AS3871" s="138">
        <f>P_1_minW-(AS3869^2*R_up)+dpup_minQ</f>
        <v>-8416.6781374006896</v>
      </c>
      <c r="AT3871" s="132"/>
      <c r="AU3871" s="145"/>
    </row>
    <row r="3872" spans="13:47" x14ac:dyDescent="0.25">
      <c r="M3872" s="20"/>
      <c r="N3872" s="20"/>
      <c r="O3872" s="7" t="s">
        <v>189</v>
      </c>
      <c r="P3872" s="1"/>
      <c r="Q3872" s="7"/>
      <c r="R3872" s="181">
        <f>P_2_minW+(R3869^2*R_dn)-dpdn_minQ</f>
        <v>50</v>
      </c>
      <c r="S3872" s="132"/>
      <c r="T3872" s="146"/>
      <c r="U3872" s="138">
        <f>P_2_minW+(U3869^2*R_dn)-dpdn_minQ</f>
        <v>50</v>
      </c>
      <c r="V3872" s="132"/>
      <c r="W3872" s="146"/>
      <c r="X3872" s="138">
        <f>P_2_minW+(X3869^2*R_dn)-dpdn_minQ</f>
        <v>50</v>
      </c>
      <c r="Y3872" s="132"/>
      <c r="Z3872" s="146"/>
      <c r="AA3872" s="138">
        <f>P_2_minW+(AA3869^2*R_dn)-dpdn_minQ</f>
        <v>50</v>
      </c>
      <c r="AB3872" s="132"/>
      <c r="AC3872" s="146"/>
      <c r="AD3872" s="138">
        <f>P_2_minW+(AD3869^2*R_dn)-dpdn_minQ</f>
        <v>50</v>
      </c>
      <c r="AE3872" s="132"/>
      <c r="AF3872" s="146"/>
      <c r="AG3872" s="138">
        <f>P_2_minW+(AG3869^2*R_dn)-dpdn_minQ</f>
        <v>50</v>
      </c>
      <c r="AH3872" s="132"/>
      <c r="AI3872" s="146"/>
      <c r="AJ3872" s="138">
        <f>P_2_minW+(AJ3869^2*R_dn)-dpdn_minQ</f>
        <v>50</v>
      </c>
      <c r="AK3872" s="132"/>
      <c r="AL3872" s="146"/>
      <c r="AM3872" s="138">
        <f>P_2_minW+(AM3869^2*R_dn)-dpdn_minQ</f>
        <v>50</v>
      </c>
      <c r="AN3872" s="132"/>
      <c r="AO3872" s="146"/>
      <c r="AP3872" s="138">
        <f>P_2_minW+(AP3869^2*R_dn)-dpdn_minQ</f>
        <v>50</v>
      </c>
      <c r="AQ3872" s="132"/>
      <c r="AR3872" s="146"/>
      <c r="AS3872" s="138">
        <f>P_2_minW+(AS3869^2*R_dn)-dpdn_minQ</f>
        <v>50</v>
      </c>
      <c r="AT3872" s="132"/>
      <c r="AU3872" s="146"/>
    </row>
    <row r="3873" spans="13:47" x14ac:dyDescent="0.25">
      <c r="M3873" s="20"/>
      <c r="N3873" s="20"/>
      <c r="O3873" s="7" t="s">
        <v>234</v>
      </c>
      <c r="P3873" s="1"/>
      <c r="Q3873" s="7"/>
      <c r="R3873" s="179">
        <f>'Valve Sizing'!G$8*R3871/P_1_maxW</f>
        <v>0.47188405704258757</v>
      </c>
      <c r="S3873" s="132"/>
      <c r="T3873" s="146"/>
      <c r="U3873" s="143">
        <f>'Valve Sizing'!$G$8*U3871/P_1_maxW</f>
        <v>0.38801091461441717</v>
      </c>
      <c r="V3873" s="132"/>
      <c r="W3873" s="146"/>
      <c r="X3873" s="143">
        <f>'Valve Sizing'!$G$8*X3871/P_1_maxW</f>
        <v>-0.10772501723007147</v>
      </c>
      <c r="Y3873" s="132"/>
      <c r="Z3873" s="146"/>
      <c r="AA3873" s="143">
        <f>'Valve Sizing'!$G$8*AA3871/P_1_maxW</f>
        <v>-1.7633584824061217</v>
      </c>
      <c r="AB3873" s="132"/>
      <c r="AC3873" s="146"/>
      <c r="AD3873" s="143">
        <f>'Valve Sizing'!$G$8*AD3871/P_1_maxW</f>
        <v>-5.5962274993140815</v>
      </c>
      <c r="AE3873" s="132"/>
      <c r="AF3873" s="146"/>
      <c r="AG3873" s="143">
        <f>'Valve Sizing'!$G$8*AG3871/P_1_maxW</f>
        <v>-11.47803292491691</v>
      </c>
      <c r="AH3873" s="132"/>
      <c r="AI3873" s="146"/>
      <c r="AJ3873" s="143">
        <f>'Valve Sizing'!$G$8*AJ3871/P_1_maxW</f>
        <v>-18.802054892085643</v>
      </c>
      <c r="AK3873" s="132"/>
      <c r="AL3873" s="146"/>
      <c r="AM3873" s="143">
        <f>'Valve Sizing'!$G$8*AM3871/P_1_maxW</f>
        <v>-26.033520355723642</v>
      </c>
      <c r="AN3873" s="132"/>
      <c r="AO3873" s="146"/>
      <c r="AP3873" s="143">
        <f>'Valve Sizing'!$G$8*AP3871/P_1_maxW</f>
        <v>-32.522999377595397</v>
      </c>
      <c r="AQ3873" s="132"/>
      <c r="AR3873" s="146"/>
      <c r="AS3873" s="143">
        <f>'Valve Sizing'!$G$8*AS3871/P_1_maxW</f>
        <v>-40.600556837640063</v>
      </c>
      <c r="AT3873" s="132"/>
      <c r="AU3873" s="146"/>
    </row>
    <row r="3874" spans="13:47" x14ac:dyDescent="0.25">
      <c r="M3874" s="20"/>
      <c r="N3874" s="20"/>
      <c r="O3874" s="7" t="s">
        <v>190</v>
      </c>
      <c r="P3874" s="1"/>
      <c r="Q3874" s="7"/>
      <c r="R3874" s="181">
        <f>R3871-R3872</f>
        <v>47.823688531685278</v>
      </c>
      <c r="S3874" s="132"/>
      <c r="T3874" s="146"/>
      <c r="U3874" s="138">
        <f>U3871-U3872</f>
        <v>30.436408672118986</v>
      </c>
      <c r="V3874" s="132"/>
      <c r="W3874" s="146"/>
      <c r="X3874" s="138">
        <f>X3871-X3872</f>
        <v>-72.331880840877574</v>
      </c>
      <c r="Y3874" s="132"/>
      <c r="Z3874" s="146"/>
      <c r="AA3874" s="138">
        <f>AA3871-AA3872</f>
        <v>-415.55214862246066</v>
      </c>
      <c r="AB3874" s="132"/>
      <c r="AC3874" s="146"/>
      <c r="AD3874" s="138">
        <f>AD3871-AD3872</f>
        <v>-1210.1231439695491</v>
      </c>
      <c r="AE3874" s="132"/>
      <c r="AF3874" s="146"/>
      <c r="AG3874" s="138">
        <f>AG3871-AG3872</f>
        <v>-2429.4478771766717</v>
      </c>
      <c r="AH3874" s="132"/>
      <c r="AI3874" s="146"/>
      <c r="AJ3874" s="138">
        <f>AJ3871-AJ3872</f>
        <v>-3947.7505895119484</v>
      </c>
      <c r="AK3874" s="132"/>
      <c r="AL3874" s="146"/>
      <c r="AM3874" s="138">
        <f>AM3871-AM3872</f>
        <v>-5446.8659221554472</v>
      </c>
      <c r="AN3874" s="132"/>
      <c r="AO3874" s="146"/>
      <c r="AP3874" s="138">
        <f>AP3871-AP3872</f>
        <v>-6792.1641264370028</v>
      </c>
      <c r="AQ3874" s="132"/>
      <c r="AR3874" s="146"/>
      <c r="AS3874" s="138">
        <f>AS3871-AS3872</f>
        <v>-8466.6781374006896</v>
      </c>
      <c r="AT3874" s="132"/>
      <c r="AU3874" s="146"/>
    </row>
    <row r="3875" spans="13:47" ht="14.5" x14ac:dyDescent="0.35">
      <c r="M3875" s="27"/>
      <c r="N3875" s="27"/>
      <c r="O3875" s="2" t="s">
        <v>191</v>
      </c>
      <c r="P3875" s="10"/>
      <c r="Q3875" s="2"/>
      <c r="R3875" s="181">
        <f>R3874/R3871</f>
        <v>0.48887635755213926</v>
      </c>
      <c r="S3875" s="132"/>
      <c r="T3875" s="146"/>
      <c r="U3875" s="138">
        <f>U3874/U3871</f>
        <v>0.37839094477957352</v>
      </c>
      <c r="V3875" s="132"/>
      <c r="W3875" s="146"/>
      <c r="X3875" s="138">
        <f>X3874/X3871</f>
        <v>3.2389515847889125</v>
      </c>
      <c r="Y3875" s="132"/>
      <c r="Z3875" s="146"/>
      <c r="AA3875" s="138">
        <f>AA3874/AA3871</f>
        <v>1.1367793902687182</v>
      </c>
      <c r="AB3875" s="132"/>
      <c r="AC3875" s="146"/>
      <c r="AD3875" s="138">
        <f>AD3874/AD3871</f>
        <v>1.0430988729600867</v>
      </c>
      <c r="AE3875" s="132"/>
      <c r="AF3875" s="146"/>
      <c r="AG3875" s="138">
        <f>AG3874/AG3871</f>
        <v>1.0210132781136301</v>
      </c>
      <c r="AH3875" s="132"/>
      <c r="AI3875" s="146"/>
      <c r="AJ3875" s="138">
        <f>AJ3874/AJ3871</f>
        <v>1.0128279115997159</v>
      </c>
      <c r="AK3875" s="132"/>
      <c r="AL3875" s="146"/>
      <c r="AM3875" s="138">
        <f>AM3874/AM3871</f>
        <v>1.0092646363132236</v>
      </c>
      <c r="AN3875" s="132"/>
      <c r="AO3875" s="146"/>
      <c r="AP3875" s="138">
        <f>AP3874/AP3871</f>
        <v>1.0074160164395796</v>
      </c>
      <c r="AQ3875" s="132"/>
      <c r="AR3875" s="146"/>
      <c r="AS3875" s="138">
        <f>AS3874/AS3871</f>
        <v>1.005940585963222</v>
      </c>
      <c r="AT3875" s="132"/>
      <c r="AU3875" s="146"/>
    </row>
    <row r="3876" spans="13:47" x14ac:dyDescent="0.25">
      <c r="M3876" s="27"/>
      <c r="N3876" s="27"/>
      <c r="O3876" s="2" t="s">
        <v>26</v>
      </c>
      <c r="P3876" s="7">
        <v>12</v>
      </c>
      <c r="Q3876" s="2"/>
      <c r="R3876" s="181">
        <f>1-R3875/(3*F_GAMMA*R$29)</f>
        <v>0.74538759088976625</v>
      </c>
      <c r="S3876" s="133"/>
      <c r="T3876" s="146"/>
      <c r="U3876" s="138">
        <f>1-U3875/(3*F_GAMMA*U$29)</f>
        <v>0.80297304990969109</v>
      </c>
      <c r="V3876" s="133"/>
      <c r="W3876" s="146"/>
      <c r="X3876" s="138">
        <f>1-X3875/(3*F_GAMMA*X$29)</f>
        <v>-0.71181205071601039</v>
      </c>
      <c r="Y3876" s="133"/>
      <c r="Z3876" s="146"/>
      <c r="AA3876" s="138">
        <f>1-AA3875/(3*F_GAMMA*AA$29)</f>
        <v>0.39096515442058455</v>
      </c>
      <c r="AB3876" s="133"/>
      <c r="AC3876" s="146"/>
      <c r="AD3876" s="138">
        <f>1-AD3875/(3*F_GAMMA*AD$29)</f>
        <v>0.42583258370219468</v>
      </c>
      <c r="AE3876" s="133"/>
      <c r="AF3876" s="146"/>
      <c r="AG3876" s="138">
        <f>1-AG3875/(3*F_GAMMA*AG$29)</f>
        <v>0.40593149639511428</v>
      </c>
      <c r="AH3876" s="133"/>
      <c r="AI3876" s="146"/>
      <c r="AJ3876" s="138">
        <f>1-AJ3875/(3*F_GAMMA*AJ$29)</f>
        <v>0.3700239902370499</v>
      </c>
      <c r="AK3876" s="133"/>
      <c r="AL3876" s="146"/>
      <c r="AM3876" s="138">
        <f>1-AM3875/(3*F_GAMMA*AM$29)</f>
        <v>0.31410873212623869</v>
      </c>
      <c r="AN3876" s="133"/>
      <c r="AO3876" s="146"/>
      <c r="AP3876" s="138">
        <f>1-AP3875/(3*F_GAMMA*AP$29)</f>
        <v>0.43422327846242703</v>
      </c>
      <c r="AQ3876" s="133"/>
      <c r="AR3876" s="146"/>
      <c r="AS3876" s="138">
        <f>1-AS3875/(3*F_GAMMA*AS$29)</f>
        <v>0.14235969028842044</v>
      </c>
      <c r="AT3876" s="133"/>
      <c r="AU3876" s="146"/>
    </row>
    <row r="3877" spans="13:47" x14ac:dyDescent="0.25">
      <c r="M3877" s="27"/>
      <c r="N3877" s="27"/>
      <c r="O3877" s="2" t="s">
        <v>71</v>
      </c>
      <c r="P3877" s="85">
        <v>5</v>
      </c>
      <c r="Q3877" s="2"/>
      <c r="R3877" s="179">
        <f>R3869/((N_6*R$27*R3876)*SQRT(R3875*R3871*R3873))</f>
        <v>11.608576126437894</v>
      </c>
      <c r="S3877" s="133"/>
      <c r="T3877" s="146"/>
      <c r="U3877" s="143">
        <f>U3869/((N_6*U$27*U3876)*SQRT(U3875*U3871*U3873))</f>
        <v>40.662314163856863</v>
      </c>
      <c r="V3877" s="133"/>
      <c r="W3877" s="146"/>
      <c r="X3877" s="143">
        <f>X3869/((N_6*X$27*X3876)*SQRT(X3875*X3871*X3873))</f>
        <v>-139.96829480723318</v>
      </c>
      <c r="Y3877" s="133"/>
      <c r="Z3877" s="146"/>
      <c r="AA3877" s="143">
        <f>AA3869/((N_6*AA$27*AA3876)*SQRT(AA3875*AA3871*AA3873))</f>
        <v>51.47776407713269</v>
      </c>
      <c r="AB3877" s="133"/>
      <c r="AC3877" s="146"/>
      <c r="AD3877" s="143">
        <f>AD3869/((N_6*AD$27*AD3876)*SQRT(AD3875*AD3871*AD3873))</f>
        <v>25.873358984827124</v>
      </c>
      <c r="AE3877" s="133"/>
      <c r="AF3877" s="146"/>
      <c r="AG3877" s="143">
        <f>AG3869/((N_6*AG$27*AG3876)*SQRT(AG3875*AG3871*AG3873))</f>
        <v>19.165110284642981</v>
      </c>
      <c r="AH3877" s="133"/>
      <c r="AI3877" s="146"/>
      <c r="AJ3877" s="143">
        <f>AJ3869/((N_6*AJ$27*AJ3876)*SQRT(AJ3875*AJ3871*AJ3873))</f>
        <v>16.924535229667452</v>
      </c>
      <c r="AK3877" s="133"/>
      <c r="AL3877" s="146"/>
      <c r="AM3877" s="143">
        <f>AM3869/((N_6*AM$27*AM3876)*SQRT(AM3875*AM3871*AM3873))</f>
        <v>17.952732814941541</v>
      </c>
      <c r="AN3877" s="133"/>
      <c r="AO3877" s="146"/>
      <c r="AP3877" s="143">
        <f>AP3869/((N_6*AP$27*AP3876)*SQRT(AP3875*AP3871*AP3873))</f>
        <v>13.1864265622666</v>
      </c>
      <c r="AQ3877" s="133"/>
      <c r="AR3877" s="146"/>
      <c r="AS3877" s="143">
        <f>AS3869/((N_6*AS$27*AS3876)*SQRT(AS3875*AS3871*AS3873))</f>
        <v>47.266405811305148</v>
      </c>
      <c r="AT3877" s="133"/>
      <c r="AU3877" s="146"/>
    </row>
    <row r="3878" spans="13:47" x14ac:dyDescent="0.25">
      <c r="M3878" s="27"/>
      <c r="N3878" s="27"/>
      <c r="O3878" s="2" t="s">
        <v>73</v>
      </c>
      <c r="P3878" s="85">
        <v>5</v>
      </c>
      <c r="Q3878" s="2"/>
      <c r="R3878" s="179">
        <f>R3869/((N_6*R$27*0.667)*SQRT(R3879*R3871*R3873))</f>
        <v>11.337980054475697</v>
      </c>
      <c r="S3878" s="133"/>
      <c r="T3878" s="155"/>
      <c r="U3878" s="143">
        <f>U3869/((N_6*U$27*0.667)*SQRT(U3879*U3871*U3873))</f>
        <v>37.634891783828976</v>
      </c>
      <c r="V3878" s="133"/>
      <c r="W3878" s="155"/>
      <c r="X3878" s="143">
        <f>X3869/((N_6*X$27*0.667)*SQRT(X3879*X3871*X3873))</f>
        <v>338.4993515474074</v>
      </c>
      <c r="Y3878" s="133"/>
      <c r="Z3878" s="155"/>
      <c r="AA3878" s="143">
        <f>AA3869/((N_6*AA$27*0.667)*SQRT(AA3879*AA3871*AA3873))</f>
        <v>40.786232536676806</v>
      </c>
      <c r="AB3878" s="133"/>
      <c r="AC3878" s="155"/>
      <c r="AD3878" s="143">
        <f>AD3869/((N_6*AD$27*0.667)*SQRT(AD3879*AD3871*AD3873))</f>
        <v>21.679325632075837</v>
      </c>
      <c r="AE3878" s="133"/>
      <c r="AF3878" s="155"/>
      <c r="AG3878" s="143">
        <f>AG3869/((N_6*AG$27*0.667)*SQRT(AG3879*AG3871*AG3873))</f>
        <v>15.571022406126595</v>
      </c>
      <c r="AH3878" s="133"/>
      <c r="AI3878" s="155"/>
      <c r="AJ3878" s="143">
        <f>AJ3869/((N_6*AJ$27*0.667)*SQRT(AJ3879*AJ3871*AJ3873))</f>
        <v>12.907538599555515</v>
      </c>
      <c r="AK3878" s="133"/>
      <c r="AL3878" s="155"/>
      <c r="AM3878" s="143">
        <f>AM3869/((N_6*AM$27*0.667)*SQRT(AM3879*AM3871*AM3873))</f>
        <v>12.127548152072269</v>
      </c>
      <c r="AN3878" s="133"/>
      <c r="AO3878" s="155"/>
      <c r="AP3878" s="143">
        <f>AP3869/((N_6*AP$27*0.667)*SQRT(AP3879*AP3871*AP3873))</f>
        <v>11.184010169360722</v>
      </c>
      <c r="AQ3878" s="133"/>
      <c r="AR3878" s="155"/>
      <c r="AS3878" s="143">
        <f>AS3869/((N_6*AS$27*0.667)*SQRT(AS3879*AS3871*AS3873))</f>
        <v>16.181806356223142</v>
      </c>
      <c r="AT3878" s="133"/>
      <c r="AU3878" s="155"/>
    </row>
    <row r="3879" spans="13:47" ht="15.5" x14ac:dyDescent="0.4">
      <c r="M3879" s="27"/>
      <c r="N3879" s="27"/>
      <c r="O3879" s="2" t="s">
        <v>192</v>
      </c>
      <c r="P3879" s="85">
        <v>10</v>
      </c>
      <c r="Q3879" s="2"/>
      <c r="R3879" s="181">
        <f>F_GAMMA*R$29</f>
        <v>0.64002688015162901</v>
      </c>
      <c r="S3879" s="133"/>
      <c r="T3879" s="155"/>
      <c r="U3879" s="138">
        <f>F_GAMMA*U$29</f>
        <v>0.64016782916606918</v>
      </c>
      <c r="V3879" s="133"/>
      <c r="W3879" s="155"/>
      <c r="X3879" s="138">
        <f>F_GAMMA*X$29</f>
        <v>0.6307062319203669</v>
      </c>
      <c r="Y3879" s="133"/>
      <c r="Z3879" s="155"/>
      <c r="AA3879" s="138">
        <f>F_GAMMA*AA$29</f>
        <v>0.62217534213893466</v>
      </c>
      <c r="AB3879" s="133"/>
      <c r="AC3879" s="155"/>
      <c r="AD3879" s="138">
        <f>F_GAMMA*AD$29</f>
        <v>0.60557184969146072</v>
      </c>
      <c r="AE3879" s="133"/>
      <c r="AF3879" s="155"/>
      <c r="AG3879" s="138">
        <f>F_GAMMA*AG$29</f>
        <v>0.57289312142622573</v>
      </c>
      <c r="AH3879" s="133"/>
      <c r="AI3879" s="155"/>
      <c r="AJ3879" s="138">
        <f>F_GAMMA*AJ$29</f>
        <v>0.53590819116049981</v>
      </c>
      <c r="AK3879" s="133"/>
      <c r="AL3879" s="155"/>
      <c r="AM3879" s="138">
        <f>F_GAMMA*AM$29</f>
        <v>0.49048815926850342</v>
      </c>
      <c r="AN3879" s="133"/>
      <c r="AO3879" s="155"/>
      <c r="AP3879" s="138">
        <f>F_GAMMA*AP$29</f>
        <v>0.59352979016280105</v>
      </c>
      <c r="AQ3879" s="133"/>
      <c r="AR3879" s="155"/>
      <c r="AS3879" s="138">
        <f>F_GAMMA*AS$29</f>
        <v>0.39097221161068291</v>
      </c>
      <c r="AT3879" s="133"/>
      <c r="AU3879" s="155"/>
    </row>
    <row r="3880" spans="13:47" x14ac:dyDescent="0.25">
      <c r="M3880" s="27"/>
      <c r="N3880" s="27"/>
      <c r="O3880" s="2" t="s">
        <v>193</v>
      </c>
      <c r="P3880" s="134"/>
      <c r="Q3880" s="2"/>
      <c r="R3880" s="181">
        <f>IF(R3875&lt;R3879,R3877,R3878)</f>
        <v>11.608576126437894</v>
      </c>
      <c r="S3880" s="133"/>
      <c r="T3880" s="155"/>
      <c r="U3880" s="138">
        <f>IF(U3875&lt;U3879,U3877,U3878)</f>
        <v>40.662314163856863</v>
      </c>
      <c r="V3880" s="133"/>
      <c r="W3880" s="155"/>
      <c r="X3880" s="138">
        <f>IF(X3875&lt;X3879,X3877,X3878)</f>
        <v>338.4993515474074</v>
      </c>
      <c r="Y3880" s="133"/>
      <c r="Z3880" s="155"/>
      <c r="AA3880" s="138">
        <f>IF(AA3875&lt;AA3879,AA3877,AA3878)</f>
        <v>40.786232536676806</v>
      </c>
      <c r="AB3880" s="133"/>
      <c r="AC3880" s="155"/>
      <c r="AD3880" s="138">
        <f>IF(AD3875&lt;AD3879,AD3877,AD3878)</f>
        <v>21.679325632075837</v>
      </c>
      <c r="AE3880" s="133"/>
      <c r="AF3880" s="155"/>
      <c r="AG3880" s="138">
        <f>IF(AG3875&lt;AG3879,AG3877,AG3878)</f>
        <v>15.571022406126595</v>
      </c>
      <c r="AH3880" s="133"/>
      <c r="AI3880" s="155"/>
      <c r="AJ3880" s="138">
        <f>IF(AJ3875&lt;AJ3879,AJ3877,AJ3878)</f>
        <v>12.907538599555515</v>
      </c>
      <c r="AK3880" s="133"/>
      <c r="AL3880" s="155"/>
      <c r="AM3880" s="138">
        <f>IF(AM3875&lt;AM3879,AM3877,AM3878)</f>
        <v>12.127548152072269</v>
      </c>
      <c r="AN3880" s="133"/>
      <c r="AO3880" s="155"/>
      <c r="AP3880" s="138">
        <f>IF(AP3875&lt;AP3879,AP3877,AP3878)</f>
        <v>11.184010169360722</v>
      </c>
      <c r="AQ3880" s="133"/>
      <c r="AR3880" s="155"/>
      <c r="AS3880" s="138">
        <f>IF(AS3875&lt;AS3879,AS3877,AS3878)</f>
        <v>16.181806356223142</v>
      </c>
      <c r="AT3880" s="133"/>
      <c r="AU3880" s="155"/>
    </row>
    <row r="3881" spans="13:47" ht="13" x14ac:dyDescent="0.3">
      <c r="M3881" s="28"/>
      <c r="N3881" s="28"/>
      <c r="O3881" s="9" t="s">
        <v>194</v>
      </c>
      <c r="P3881" s="1"/>
      <c r="Q3881" s="1"/>
      <c r="R3881" s="135"/>
      <c r="S3881" s="132">
        <f>IF(R3874&lt;=0,W_max,ABS(R$23-R3880))</f>
        <v>9.6085761264378942</v>
      </c>
      <c r="T3881" s="151">
        <f>R3869</f>
        <v>2601.6720387810569</v>
      </c>
      <c r="U3881" s="135"/>
      <c r="V3881" s="132">
        <f>IF(U3874&lt;=0,W_max,ABS(U$23-U3880))</f>
        <v>35.662314163856863</v>
      </c>
      <c r="W3881" s="151">
        <f>U3869</f>
        <v>7097.3140465647139</v>
      </c>
      <c r="X3881" s="135"/>
      <c r="Y3881" s="132">
        <f>IF(X3874&lt;=0,W_max,ABS(X$23-X3880))</f>
        <v>7174</v>
      </c>
      <c r="Z3881" s="151">
        <f>X3869</f>
        <v>17552.502227426587</v>
      </c>
      <c r="AA3881" s="135"/>
      <c r="AB3881" s="132">
        <f>IF(AA3874&lt;=0,W_max,ABS(AA$23-AA3880))</f>
        <v>7174</v>
      </c>
      <c r="AC3881" s="151">
        <f>AA3869</f>
        <v>34187.794143340703</v>
      </c>
      <c r="AD3881" s="135"/>
      <c r="AE3881" s="132">
        <f>IF(AD3874&lt;=0,W_max,ABS(AD$23-AD3880))</f>
        <v>7174</v>
      </c>
      <c r="AF3881" s="151">
        <f>AD3869</f>
        <v>56226.334166786059</v>
      </c>
      <c r="AG3881" s="135"/>
      <c r="AH3881" s="132">
        <f>IF(AG3874&lt;=0,W_max,ABS(AG$23-AG3880))</f>
        <v>7174</v>
      </c>
      <c r="AI3881" s="151">
        <f>AG3869</f>
        <v>78861.762319014</v>
      </c>
      <c r="AJ3881" s="135"/>
      <c r="AK3881" s="132">
        <f>IF(AJ3874&lt;=0,W_max,ABS(AJ$23-AJ3880))</f>
        <v>7174</v>
      </c>
      <c r="AL3881" s="151">
        <f>AJ3869</f>
        <v>100133.51206074061</v>
      </c>
      <c r="AM3881" s="135"/>
      <c r="AN3881" s="132">
        <f>IF(AM3874&lt;=0,W_max,ABS(AM$23-AM3880))</f>
        <v>7174</v>
      </c>
      <c r="AO3881" s="151">
        <f>AM3869</f>
        <v>117414.41788363406</v>
      </c>
      <c r="AP3881" s="135"/>
      <c r="AQ3881" s="132">
        <f>IF(AP3874&lt;=0,W_max,ABS(AP$23-AP3880))</f>
        <v>7174</v>
      </c>
      <c r="AR3881" s="151">
        <f>AP3869</f>
        <v>130995.5494749046</v>
      </c>
      <c r="AS3881" s="135"/>
      <c r="AT3881" s="132">
        <f>IF(AS3874&lt;=0,W_max,ABS(AS$23-AS3880))</f>
        <v>7174</v>
      </c>
      <c r="AU3881" s="151">
        <f>AS3869</f>
        <v>146147.58810318151</v>
      </c>
    </row>
    <row r="3882" spans="13:47" ht="13" x14ac:dyDescent="0.25">
      <c r="M3882" s="12"/>
      <c r="N3882" s="12"/>
      <c r="O3882" s="2"/>
      <c r="P3882" s="85"/>
      <c r="Q3882" s="2"/>
      <c r="R3882" s="18"/>
      <c r="S3882" s="150"/>
      <c r="T3882" s="152"/>
      <c r="U3882" s="157"/>
      <c r="V3882" s="1"/>
      <c r="W3882" s="147"/>
      <c r="X3882" s="157"/>
      <c r="Y3882" s="1"/>
      <c r="Z3882" s="147"/>
      <c r="AA3882" s="157"/>
      <c r="AB3882" s="1"/>
      <c r="AC3882" s="147"/>
      <c r="AD3882" s="157"/>
      <c r="AE3882" s="1"/>
      <c r="AF3882" s="147"/>
      <c r="AG3882" s="157"/>
      <c r="AH3882" s="1"/>
      <c r="AI3882" s="147"/>
      <c r="AJ3882" s="157"/>
      <c r="AK3882" s="1"/>
      <c r="AL3882" s="147"/>
      <c r="AM3882" s="157"/>
      <c r="AN3882" s="1"/>
      <c r="AO3882" s="147"/>
      <c r="AP3882" s="157"/>
      <c r="AQ3882" s="1"/>
      <c r="AR3882" s="147"/>
      <c r="AS3882" s="157"/>
      <c r="AT3882" s="1"/>
      <c r="AU3882" s="147"/>
    </row>
    <row r="3883" spans="13:47" ht="14" x14ac:dyDescent="0.3">
      <c r="M3883" s="23"/>
      <c r="N3883" s="23"/>
      <c r="O3883" s="23" t="s">
        <v>238</v>
      </c>
      <c r="P3883" s="20"/>
      <c r="Q3883" s="20"/>
      <c r="R3883" s="181">
        <f>R3869*1.02</f>
        <v>2653.7054795566783</v>
      </c>
      <c r="S3883" s="128" t="s">
        <v>185</v>
      </c>
      <c r="T3883" s="153" t="s">
        <v>186</v>
      </c>
      <c r="U3883" s="143">
        <f>U3869*1.01</f>
        <v>7168.2871870303607</v>
      </c>
      <c r="V3883" s="128" t="s">
        <v>185</v>
      </c>
      <c r="W3883" s="153" t="s">
        <v>186</v>
      </c>
      <c r="X3883" s="143">
        <f>X3869*1.01</f>
        <v>17728.027249700852</v>
      </c>
      <c r="Y3883" s="128" t="s">
        <v>185</v>
      </c>
      <c r="Z3883" s="153" t="s">
        <v>186</v>
      </c>
      <c r="AA3883" s="143">
        <f>AA3869*1.01</f>
        <v>34529.672084774109</v>
      </c>
      <c r="AB3883" s="128" t="s">
        <v>185</v>
      </c>
      <c r="AC3883" s="153" t="s">
        <v>186</v>
      </c>
      <c r="AD3883" s="143">
        <f>AD3869*1.01</f>
        <v>56788.597508453917</v>
      </c>
      <c r="AE3883" s="128" t="s">
        <v>185</v>
      </c>
      <c r="AF3883" s="153" t="s">
        <v>186</v>
      </c>
      <c r="AG3883" s="143">
        <f>AG3869*1.01</f>
        <v>79650.379942204134</v>
      </c>
      <c r="AH3883" s="128" t="s">
        <v>185</v>
      </c>
      <c r="AI3883" s="153" t="s">
        <v>186</v>
      </c>
      <c r="AJ3883" s="143">
        <f>AJ3869*1.01</f>
        <v>101134.84718134801</v>
      </c>
      <c r="AK3883" s="128" t="s">
        <v>185</v>
      </c>
      <c r="AL3883" s="153" t="s">
        <v>186</v>
      </c>
      <c r="AM3883" s="143">
        <f>AM3869*1.01</f>
        <v>118588.5620624704</v>
      </c>
      <c r="AN3883" s="128" t="s">
        <v>185</v>
      </c>
      <c r="AO3883" s="153" t="s">
        <v>186</v>
      </c>
      <c r="AP3883" s="143">
        <f>AP3869*1.01</f>
        <v>132305.50496965364</v>
      </c>
      <c r="AQ3883" s="128" t="s">
        <v>185</v>
      </c>
      <c r="AR3883" s="153" t="s">
        <v>186</v>
      </c>
      <c r="AS3883" s="143">
        <f>AS3869*1.01</f>
        <v>147609.06398421334</v>
      </c>
      <c r="AT3883" s="128" t="s">
        <v>185</v>
      </c>
      <c r="AU3883" s="153" t="s">
        <v>186</v>
      </c>
    </row>
    <row r="3884" spans="13:47" ht="14" x14ac:dyDescent="0.3">
      <c r="M3884" s="12"/>
      <c r="N3884" s="12"/>
      <c r="O3884" s="20"/>
      <c r="P3884" s="20"/>
      <c r="Q3884" s="23"/>
      <c r="R3884" s="139"/>
      <c r="S3884" s="130" t="s">
        <v>228</v>
      </c>
      <c r="T3884" s="154" t="s">
        <v>187</v>
      </c>
      <c r="U3884" s="144"/>
      <c r="V3884" s="130" t="s">
        <v>228</v>
      </c>
      <c r="W3884" s="154" t="s">
        <v>187</v>
      </c>
      <c r="X3884" s="144"/>
      <c r="Y3884" s="130" t="s">
        <v>228</v>
      </c>
      <c r="Z3884" s="154" t="s">
        <v>187</v>
      </c>
      <c r="AA3884" s="144"/>
      <c r="AB3884" s="130" t="s">
        <v>228</v>
      </c>
      <c r="AC3884" s="154" t="s">
        <v>187</v>
      </c>
      <c r="AD3884" s="144"/>
      <c r="AE3884" s="130" t="s">
        <v>228</v>
      </c>
      <c r="AF3884" s="154" t="s">
        <v>187</v>
      </c>
      <c r="AG3884" s="144"/>
      <c r="AH3884" s="130" t="s">
        <v>228</v>
      </c>
      <c r="AI3884" s="154" t="s">
        <v>187</v>
      </c>
      <c r="AJ3884" s="144"/>
      <c r="AK3884" s="130" t="s">
        <v>228</v>
      </c>
      <c r="AL3884" s="154" t="s">
        <v>187</v>
      </c>
      <c r="AM3884" s="144"/>
      <c r="AN3884" s="130" t="s">
        <v>228</v>
      </c>
      <c r="AO3884" s="154" t="s">
        <v>187</v>
      </c>
      <c r="AP3884" s="144"/>
      <c r="AQ3884" s="130" t="s">
        <v>228</v>
      </c>
      <c r="AR3884" s="154" t="s">
        <v>187</v>
      </c>
      <c r="AS3884" s="144"/>
      <c r="AT3884" s="130" t="s">
        <v>228</v>
      </c>
      <c r="AU3884" s="154" t="s">
        <v>187</v>
      </c>
    </row>
    <row r="3885" spans="13:47" x14ac:dyDescent="0.25">
      <c r="M3885" s="20"/>
      <c r="N3885" s="20"/>
      <c r="O3885" s="7" t="s">
        <v>188</v>
      </c>
      <c r="P3885" s="7"/>
      <c r="Q3885" s="7"/>
      <c r="R3885" s="181">
        <f>P_1_minW-(R3883^2*R_up)+dpup_minQ</f>
        <v>97.714644964201597</v>
      </c>
      <c r="S3885" s="132"/>
      <c r="T3885" s="145"/>
      <c r="U3885" s="138">
        <f>P_1_minW-(U3883^2*R_up)+dpup_minQ</f>
        <v>80.032672473020369</v>
      </c>
      <c r="V3885" s="132"/>
      <c r="W3885" s="145"/>
      <c r="X3885" s="138">
        <f>P_1_minW-(X3883^2*R_up)+dpup_minQ</f>
        <v>-24.801259659187423</v>
      </c>
      <c r="Y3885" s="132"/>
      <c r="Z3885" s="145"/>
      <c r="AA3885" s="138">
        <f>P_1_minW-(AA3883^2*R_up)+dpup_minQ</f>
        <v>-374.9202548231803</v>
      </c>
      <c r="AB3885" s="132"/>
      <c r="AC3885" s="145"/>
      <c r="AD3885" s="138">
        <f>P_1_minW-(AD3883^2*R_up)+dpup_minQ</f>
        <v>-1185.4621271767453</v>
      </c>
      <c r="AE3885" s="132"/>
      <c r="AF3885" s="145"/>
      <c r="AG3885" s="138">
        <f>P_1_minW-(AG3883^2*R_up)+dpup_minQ</f>
        <v>-2429.2952875213305</v>
      </c>
      <c r="AH3885" s="132"/>
      <c r="AI3885" s="145"/>
      <c r="AJ3885" s="138">
        <f>P_1_minW-(AJ3883^2*R_up)+dpup_minQ</f>
        <v>-3978.1158843745466</v>
      </c>
      <c r="AK3885" s="132"/>
      <c r="AL3885" s="145"/>
      <c r="AM3885" s="138">
        <f>P_1_minW-(AM3883^2*R_up)+dpup_minQ</f>
        <v>-5507.36343520418</v>
      </c>
      <c r="AN3885" s="132"/>
      <c r="AO3885" s="145"/>
      <c r="AP3885" s="138">
        <f>P_1_minW-(AP3883^2*R_up)+dpup_minQ</f>
        <v>-6879.7021333917937</v>
      </c>
      <c r="AQ3885" s="132"/>
      <c r="AR3885" s="145"/>
      <c r="AS3885" s="138">
        <f>P_1_minW-(AS3883^2*R_up)+dpup_minQ</f>
        <v>-8587.8738759758526</v>
      </c>
      <c r="AT3885" s="132"/>
      <c r="AU3885" s="145"/>
    </row>
    <row r="3886" spans="13:47" x14ac:dyDescent="0.25">
      <c r="M3886" s="20"/>
      <c r="N3886" s="20"/>
      <c r="O3886" s="7" t="s">
        <v>189</v>
      </c>
      <c r="P3886" s="1"/>
      <c r="Q3886" s="7"/>
      <c r="R3886" s="181">
        <f>P_2_minW+(R3883^2*R_dn)-dpdn_minQ</f>
        <v>50</v>
      </c>
      <c r="S3886" s="132"/>
      <c r="T3886" s="146"/>
      <c r="U3886" s="138">
        <f>P_2_minW+(U3883^2*R_dn)-dpdn_minQ</f>
        <v>50</v>
      </c>
      <c r="V3886" s="132"/>
      <c r="W3886" s="146"/>
      <c r="X3886" s="138">
        <f>P_2_minW+(X3883^2*R_dn)-dpdn_minQ</f>
        <v>50</v>
      </c>
      <c r="Y3886" s="132"/>
      <c r="Z3886" s="146"/>
      <c r="AA3886" s="138">
        <f>P_2_minW+(AA3883^2*R_dn)-dpdn_minQ</f>
        <v>50</v>
      </c>
      <c r="AB3886" s="132"/>
      <c r="AC3886" s="146"/>
      <c r="AD3886" s="138">
        <f>P_2_minW+(AD3883^2*R_dn)-dpdn_minQ</f>
        <v>50</v>
      </c>
      <c r="AE3886" s="132"/>
      <c r="AF3886" s="146"/>
      <c r="AG3886" s="138">
        <f>P_2_minW+(AG3883^2*R_dn)-dpdn_minQ</f>
        <v>50</v>
      </c>
      <c r="AH3886" s="132"/>
      <c r="AI3886" s="146"/>
      <c r="AJ3886" s="138">
        <f>P_2_minW+(AJ3883^2*R_dn)-dpdn_minQ</f>
        <v>50</v>
      </c>
      <c r="AK3886" s="132"/>
      <c r="AL3886" s="146"/>
      <c r="AM3886" s="138">
        <f>P_2_minW+(AM3883^2*R_dn)-dpdn_minQ</f>
        <v>50</v>
      </c>
      <c r="AN3886" s="132"/>
      <c r="AO3886" s="146"/>
      <c r="AP3886" s="138">
        <f>P_2_minW+(AP3883^2*R_dn)-dpdn_minQ</f>
        <v>50</v>
      </c>
      <c r="AQ3886" s="132"/>
      <c r="AR3886" s="146"/>
      <c r="AS3886" s="138">
        <f>P_2_minW+(AS3883^2*R_dn)-dpdn_minQ</f>
        <v>50</v>
      </c>
      <c r="AT3886" s="132"/>
      <c r="AU3886" s="146"/>
    </row>
    <row r="3887" spans="13:47" x14ac:dyDescent="0.25">
      <c r="M3887" s="20"/>
      <c r="N3887" s="20"/>
      <c r="O3887" s="7" t="s">
        <v>234</v>
      </c>
      <c r="P3887" s="1"/>
      <c r="Q3887" s="7"/>
      <c r="R3887" s="179">
        <f>'Valve Sizing'!G$8*R3885/P_1_maxW</f>
        <v>0.47135805028705685</v>
      </c>
      <c r="S3887" s="132"/>
      <c r="T3887" s="146"/>
      <c r="U3887" s="143">
        <f>'Valve Sizing'!$G$8*U3885/P_1_maxW</f>
        <v>0.38606336307076528</v>
      </c>
      <c r="V3887" s="132"/>
      <c r="W3887" s="146"/>
      <c r="X3887" s="143">
        <f>'Valve Sizing'!$G$8*X3885/P_1_maxW</f>
        <v>-0.11963686100379763</v>
      </c>
      <c r="Y3887" s="132"/>
      <c r="Z3887" s="146"/>
      <c r="AA3887" s="143">
        <f>'Valve Sizing'!$G$8*AA3885/P_1_maxW</f>
        <v>-1.8085485588298862</v>
      </c>
      <c r="AB3887" s="132"/>
      <c r="AC3887" s="146"/>
      <c r="AD3887" s="143">
        <f>'Valve Sizing'!$G$8*AD3885/P_1_maxW</f>
        <v>-5.7184582429776967</v>
      </c>
      <c r="AE3887" s="132"/>
      <c r="AF3887" s="146"/>
      <c r="AG3887" s="143">
        <f>'Valve Sizing'!$G$8*AG3885/P_1_maxW</f>
        <v>-11.718487957635139</v>
      </c>
      <c r="AH3887" s="132"/>
      <c r="AI3887" s="146"/>
      <c r="AJ3887" s="143">
        <f>'Valve Sizing'!$G$8*AJ3885/P_1_maxW</f>
        <v>-19.189722766343969</v>
      </c>
      <c r="AK3887" s="132"/>
      <c r="AL3887" s="146"/>
      <c r="AM3887" s="143">
        <f>'Valve Sizing'!$G$8*AM3885/P_1_maxW</f>
        <v>-26.56654068580109</v>
      </c>
      <c r="AN3887" s="132"/>
      <c r="AO3887" s="146"/>
      <c r="AP3887" s="143">
        <f>'Valve Sizing'!$G$8*AP3885/P_1_maxW</f>
        <v>-33.186458236012456</v>
      </c>
      <c r="AQ3887" s="132"/>
      <c r="AR3887" s="146"/>
      <c r="AS3887" s="143">
        <f>'Valve Sizing'!$G$8*AS3885/P_1_maxW</f>
        <v>-41.426374601004035</v>
      </c>
      <c r="AT3887" s="132"/>
      <c r="AU3887" s="146"/>
    </row>
    <row r="3888" spans="13:47" x14ac:dyDescent="0.25">
      <c r="M3888" s="20"/>
      <c r="N3888" s="20"/>
      <c r="O3888" s="7" t="s">
        <v>190</v>
      </c>
      <c r="P3888" s="1"/>
      <c r="Q3888" s="7"/>
      <c r="R3888" s="181">
        <f>R3885-R3886</f>
        <v>47.714644964201597</v>
      </c>
      <c r="S3888" s="132"/>
      <c r="T3888" s="146"/>
      <c r="U3888" s="138">
        <f>U3885-U3886</f>
        <v>30.032672473020369</v>
      </c>
      <c r="V3888" s="132"/>
      <c r="W3888" s="146"/>
      <c r="X3888" s="138">
        <f>X3885-X3886</f>
        <v>-74.801259659187423</v>
      </c>
      <c r="Y3888" s="132"/>
      <c r="Z3888" s="146"/>
      <c r="AA3888" s="138">
        <f>AA3885-AA3886</f>
        <v>-424.9202548231803</v>
      </c>
      <c r="AB3888" s="132"/>
      <c r="AC3888" s="146"/>
      <c r="AD3888" s="138">
        <f>AD3885-AD3886</f>
        <v>-1235.4621271767453</v>
      </c>
      <c r="AE3888" s="132"/>
      <c r="AF3888" s="146"/>
      <c r="AG3888" s="138">
        <f>AG3885-AG3886</f>
        <v>-2479.2952875213305</v>
      </c>
      <c r="AH3888" s="132"/>
      <c r="AI3888" s="146"/>
      <c r="AJ3888" s="138">
        <f>AJ3885-AJ3886</f>
        <v>-4028.1158843745466</v>
      </c>
      <c r="AK3888" s="132"/>
      <c r="AL3888" s="146"/>
      <c r="AM3888" s="138">
        <f>AM3885-AM3886</f>
        <v>-5557.36343520418</v>
      </c>
      <c r="AN3888" s="132"/>
      <c r="AO3888" s="146"/>
      <c r="AP3888" s="138">
        <f>AP3885-AP3886</f>
        <v>-6929.7021333917937</v>
      </c>
      <c r="AQ3888" s="132"/>
      <c r="AR3888" s="146"/>
      <c r="AS3888" s="138">
        <f>AS3885-AS3886</f>
        <v>-8637.8738759758526</v>
      </c>
      <c r="AT3888" s="132"/>
      <c r="AU3888" s="146"/>
    </row>
    <row r="3889" spans="13:47" ht="14.5" x14ac:dyDescent="0.35">
      <c r="M3889" s="27"/>
      <c r="N3889" s="27"/>
      <c r="O3889" s="2" t="s">
        <v>191</v>
      </c>
      <c r="P3889" s="10"/>
      <c r="Q3889" s="2"/>
      <c r="R3889" s="181">
        <f>R3888/R3885</f>
        <v>0.48830597482784871</v>
      </c>
      <c r="S3889" s="132"/>
      <c r="T3889" s="146"/>
      <c r="U3889" s="138">
        <f>U3888/U3885</f>
        <v>0.37525514949091093</v>
      </c>
      <c r="V3889" s="132"/>
      <c r="W3889" s="146"/>
      <c r="X3889" s="138">
        <f>X3888/X3885</f>
        <v>3.0160266328036252</v>
      </c>
      <c r="Y3889" s="132"/>
      <c r="Z3889" s="146"/>
      <c r="AA3889" s="138">
        <f>AA3888/AA3885</f>
        <v>1.1333616932048149</v>
      </c>
      <c r="AB3889" s="132"/>
      <c r="AC3889" s="146"/>
      <c r="AD3889" s="138">
        <f>AD3888/AD3885</f>
        <v>1.0421776443580515</v>
      </c>
      <c r="AE3889" s="132"/>
      <c r="AF3889" s="146"/>
      <c r="AG3889" s="138">
        <f>AG3888/AG3885</f>
        <v>1.0205821006021119</v>
      </c>
      <c r="AH3889" s="132"/>
      <c r="AI3889" s="146"/>
      <c r="AJ3889" s="138">
        <f>AJ3888/AJ3885</f>
        <v>1.0125687640715528</v>
      </c>
      <c r="AK3889" s="132"/>
      <c r="AL3889" s="146"/>
      <c r="AM3889" s="138">
        <f>AM3888/AM3885</f>
        <v>1.0090787543964121</v>
      </c>
      <c r="AN3889" s="132"/>
      <c r="AO3889" s="146"/>
      <c r="AP3889" s="138">
        <f>AP3888/AP3885</f>
        <v>1.0072677565148229</v>
      </c>
      <c r="AQ3889" s="132"/>
      <c r="AR3889" s="146"/>
      <c r="AS3889" s="138">
        <f>AS3888/AS3885</f>
        <v>1.0058221628219148</v>
      </c>
      <c r="AT3889" s="132"/>
      <c r="AU3889" s="146"/>
    </row>
    <row r="3890" spans="13:47" x14ac:dyDescent="0.25">
      <c r="M3890" s="27"/>
      <c r="N3890" s="27"/>
      <c r="O3890" s="2" t="s">
        <v>26</v>
      </c>
      <c r="P3890" s="7">
        <v>12</v>
      </c>
      <c r="Q3890" s="2"/>
      <c r="R3890" s="181">
        <f>1-R3889/(3*F_GAMMA*R$29)</f>
        <v>0.7456846527486658</v>
      </c>
      <c r="S3890" s="133"/>
      <c r="T3890" s="146"/>
      <c r="U3890" s="138">
        <f>1-U3889/(3*F_GAMMA*U$29)</f>
        <v>0.80460584844875938</v>
      </c>
      <c r="V3890" s="133"/>
      <c r="W3890" s="146"/>
      <c r="X3890" s="138">
        <f>1-X3889/(3*F_GAMMA*X$29)</f>
        <v>-0.5939944146001026</v>
      </c>
      <c r="Y3890" s="133"/>
      <c r="Z3890" s="146"/>
      <c r="AA3890" s="138">
        <f>1-AA3889/(3*F_GAMMA*AA$29)</f>
        <v>0.39279620151852623</v>
      </c>
      <c r="AB3890" s="133"/>
      <c r="AC3890" s="146"/>
      <c r="AD3890" s="138">
        <f>1-AD3889/(3*F_GAMMA*AD$29)</f>
        <v>0.42633966837073545</v>
      </c>
      <c r="AE3890" s="133"/>
      <c r="AF3890" s="146"/>
      <c r="AG3890" s="138">
        <f>1-AG3889/(3*F_GAMMA*AG$29)</f>
        <v>0.40618237362124499</v>
      </c>
      <c r="AH3890" s="133"/>
      <c r="AI3890" s="146"/>
      <c r="AJ3890" s="138">
        <f>1-AJ3889/(3*F_GAMMA*AJ$29)</f>
        <v>0.37018517924444427</v>
      </c>
      <c r="AK3890" s="133"/>
      <c r="AL3890" s="146"/>
      <c r="AM3890" s="138">
        <f>1-AM3889/(3*F_GAMMA*AM$29)</f>
        <v>0.31423505655989992</v>
      </c>
      <c r="AN3890" s="133"/>
      <c r="AO3890" s="146"/>
      <c r="AP3890" s="138">
        <f>1-AP3889/(3*F_GAMMA*AP$29)</f>
        <v>0.43430654298551918</v>
      </c>
      <c r="AQ3890" s="133"/>
      <c r="AR3890" s="146"/>
      <c r="AS3890" s="138">
        <f>1-AS3889/(3*F_GAMMA*AS$29)</f>
        <v>0.14246065495870508</v>
      </c>
      <c r="AT3890" s="133"/>
      <c r="AU3890" s="146"/>
    </row>
    <row r="3891" spans="13:47" x14ac:dyDescent="0.25">
      <c r="M3891" s="27"/>
      <c r="N3891" s="27"/>
      <c r="O3891" s="2" t="s">
        <v>71</v>
      </c>
      <c r="P3891" s="85">
        <v>5</v>
      </c>
      <c r="Q3891" s="2"/>
      <c r="R3891" s="179">
        <f>R3883/((N_6*R$27*R3890)*SQRT(R3889*R3885*R3887))</f>
        <v>11.856157318982472</v>
      </c>
      <c r="S3891" s="133"/>
      <c r="T3891" s="146"/>
      <c r="U3891" s="143">
        <f>U3883/((N_6*U$27*U3890)*SQRT(U3889*U3885*U3887))</f>
        <v>41.364105718759696</v>
      </c>
      <c r="V3891" s="133"/>
      <c r="W3891" s="146"/>
      <c r="X3891" s="143">
        <f>X3883/((N_6*X$27*X3890)*SQRT(X3889*X3885*X3887))</f>
        <v>-158.07756048099472</v>
      </c>
      <c r="Y3891" s="133"/>
      <c r="Z3891" s="146"/>
      <c r="AA3891" s="143">
        <f>AA3883/((N_6*AA$27*AA3890)*SQRT(AA3889*AA3885*AA3887))</f>
        <v>50.533117248811919</v>
      </c>
      <c r="AB3891" s="133"/>
      <c r="AC3891" s="146"/>
      <c r="AD3891" s="143">
        <f>AD3883/((N_6*AD$27*AD3890)*SQRT(AD3889*AD3885*AD3887))</f>
        <v>25.554394984182998</v>
      </c>
      <c r="AE3891" s="133"/>
      <c r="AF3891" s="146"/>
      <c r="AG3891" s="143">
        <f>AG3883/((N_6*AG$27*AG3890)*SQRT(AG3889*AG3885*AG3887))</f>
        <v>18.951866243143179</v>
      </c>
      <c r="AH3891" s="133"/>
      <c r="AI3891" s="146"/>
      <c r="AJ3891" s="143">
        <f>AJ3883/((N_6*AJ$27*AJ3890)*SQRT(AJ3889*AJ3885*AJ3887))</f>
        <v>16.743304020010982</v>
      </c>
      <c r="AK3891" s="133"/>
      <c r="AL3891" s="146"/>
      <c r="AM3891" s="143">
        <f>AM3883/((N_6*AM$27*AM3890)*SQRT(AM3889*AM3885*AM3887))</f>
        <v>17.762954602711662</v>
      </c>
      <c r="AN3891" s="133"/>
      <c r="AO3891" s="146"/>
      <c r="AP3891" s="143">
        <f>AP3883/((N_6*AP$27*AP3890)*SQRT(AP3889*AP3885*AP3887))</f>
        <v>13.050491521951079</v>
      </c>
      <c r="AQ3891" s="133"/>
      <c r="AR3891" s="146"/>
      <c r="AS3891" s="143">
        <f>AS3883/((N_6*AS$27*AS3890)*SQRT(AS3889*AS3885*AS3887))</f>
        <v>46.757004246330226</v>
      </c>
      <c r="AT3891" s="133"/>
      <c r="AU3891" s="146"/>
    </row>
    <row r="3892" spans="13:47" x14ac:dyDescent="0.25">
      <c r="M3892" s="27"/>
      <c r="N3892" s="27"/>
      <c r="O3892" s="2" t="s">
        <v>73</v>
      </c>
      <c r="P3892" s="85">
        <v>5</v>
      </c>
      <c r="Q3892" s="2"/>
      <c r="R3892" s="179">
        <f>R3883/((N_6*R$27*0.667)*SQRT(R3893*R3885*R3887))</f>
        <v>11.577645197713219</v>
      </c>
      <c r="S3892" s="133"/>
      <c r="T3892" s="155"/>
      <c r="U3892" s="143">
        <f>U3883/((N_6*U$27*0.667)*SQRT(U3893*U3885*U3887))</f>
        <v>38.202993811612295</v>
      </c>
      <c r="V3892" s="133"/>
      <c r="W3892" s="155"/>
      <c r="X3892" s="143">
        <f>X3883/((N_6*X$27*0.667)*SQRT(X3893*X3885*X3887))</f>
        <v>307.84405954467098</v>
      </c>
      <c r="Y3892" s="133"/>
      <c r="Z3892" s="155"/>
      <c r="AA3892" s="143">
        <f>AA3883/((N_6*AA$27*0.667)*SQRT(AA3893*AA3885*AA3887))</f>
        <v>40.164780893151324</v>
      </c>
      <c r="AB3892" s="133"/>
      <c r="AC3892" s="155"/>
      <c r="AD3892" s="143">
        <f>AD3883/((N_6*AD$27*0.667)*SQRT(AD3893*AD3885*AD3887))</f>
        <v>21.428094329790742</v>
      </c>
      <c r="AE3892" s="133"/>
      <c r="AF3892" s="155"/>
      <c r="AG3892" s="143">
        <f>AG3883/((N_6*AG$27*0.667)*SQRT(AG3893*AG3885*AG3887))</f>
        <v>15.404031269499184</v>
      </c>
      <c r="AH3892" s="133"/>
      <c r="AI3892" s="155"/>
      <c r="AJ3892" s="143">
        <f>AJ3883/((N_6*AJ$27*0.667)*SQRT(AJ3893*AJ3885*AJ3887))</f>
        <v>12.773250283383957</v>
      </c>
      <c r="AK3892" s="133"/>
      <c r="AL3892" s="155"/>
      <c r="AM3892" s="143">
        <f>AM3883/((N_6*AM$27*0.667)*SQRT(AM3893*AM3885*AM3887))</f>
        <v>12.003068189048884</v>
      </c>
      <c r="AN3892" s="133"/>
      <c r="AO3892" s="155"/>
      <c r="AP3892" s="143">
        <f>AP3883/((N_6*AP$27*0.667)*SQRT(AP3893*AP3885*AP3887))</f>
        <v>11.070025271218967</v>
      </c>
      <c r="AQ3892" s="133"/>
      <c r="AR3892" s="155"/>
      <c r="AS3892" s="143">
        <f>AS3883/((N_6*AS$27*0.667)*SQRT(AS3893*AS3885*AS3887))</f>
        <v>16.017820979498786</v>
      </c>
      <c r="AT3892" s="133"/>
      <c r="AU3892" s="155"/>
    </row>
    <row r="3893" spans="13:47" ht="15.5" x14ac:dyDescent="0.4">
      <c r="M3893" s="27"/>
      <c r="N3893" s="27"/>
      <c r="O3893" s="2" t="s">
        <v>192</v>
      </c>
      <c r="P3893" s="85">
        <v>10</v>
      </c>
      <c r="Q3893" s="2"/>
      <c r="R3893" s="181">
        <f>F_GAMMA*R$29</f>
        <v>0.64002688015162901</v>
      </c>
      <c r="S3893" s="133"/>
      <c r="T3893" s="155"/>
      <c r="U3893" s="138">
        <f>F_GAMMA*U$29</f>
        <v>0.64016782916606918</v>
      </c>
      <c r="V3893" s="133"/>
      <c r="W3893" s="155"/>
      <c r="X3893" s="138">
        <f>F_GAMMA*X$29</f>
        <v>0.6307062319203669</v>
      </c>
      <c r="Y3893" s="133"/>
      <c r="Z3893" s="155"/>
      <c r="AA3893" s="138">
        <f>F_GAMMA*AA$29</f>
        <v>0.62217534213893466</v>
      </c>
      <c r="AB3893" s="133"/>
      <c r="AC3893" s="155"/>
      <c r="AD3893" s="138">
        <f>F_GAMMA*AD$29</f>
        <v>0.60557184969146072</v>
      </c>
      <c r="AE3893" s="133"/>
      <c r="AF3893" s="155"/>
      <c r="AG3893" s="138">
        <f>F_GAMMA*AG$29</f>
        <v>0.57289312142622573</v>
      </c>
      <c r="AH3893" s="133"/>
      <c r="AI3893" s="155"/>
      <c r="AJ3893" s="138">
        <f>F_GAMMA*AJ$29</f>
        <v>0.53590819116049981</v>
      </c>
      <c r="AK3893" s="133"/>
      <c r="AL3893" s="155"/>
      <c r="AM3893" s="138">
        <f>F_GAMMA*AM$29</f>
        <v>0.49048815926850342</v>
      </c>
      <c r="AN3893" s="133"/>
      <c r="AO3893" s="155"/>
      <c r="AP3893" s="138">
        <f>F_GAMMA*AP$29</f>
        <v>0.59352979016280105</v>
      </c>
      <c r="AQ3893" s="133"/>
      <c r="AR3893" s="155"/>
      <c r="AS3893" s="138">
        <f>F_GAMMA*AS$29</f>
        <v>0.39097221161068291</v>
      </c>
      <c r="AT3893" s="133"/>
      <c r="AU3893" s="155"/>
    </row>
    <row r="3894" spans="13:47" x14ac:dyDescent="0.25">
      <c r="M3894" s="27"/>
      <c r="N3894" s="27"/>
      <c r="O3894" s="2" t="s">
        <v>193</v>
      </c>
      <c r="P3894" s="134"/>
      <c r="Q3894" s="2"/>
      <c r="R3894" s="181">
        <f>IF(R3889&lt;R3893,R3891,R3892)</f>
        <v>11.856157318982472</v>
      </c>
      <c r="S3894" s="133"/>
      <c r="T3894" s="155"/>
      <c r="U3894" s="138">
        <f>IF(U3889&lt;U3893,U3891,U3892)</f>
        <v>41.364105718759696</v>
      </c>
      <c r="V3894" s="133"/>
      <c r="W3894" s="155"/>
      <c r="X3894" s="138">
        <f>IF(X3889&lt;X3893,X3891,X3892)</f>
        <v>307.84405954467098</v>
      </c>
      <c r="Y3894" s="133"/>
      <c r="Z3894" s="155"/>
      <c r="AA3894" s="138">
        <f>IF(AA3889&lt;AA3893,AA3891,AA3892)</f>
        <v>40.164780893151324</v>
      </c>
      <c r="AB3894" s="133"/>
      <c r="AC3894" s="155"/>
      <c r="AD3894" s="138">
        <f>IF(AD3889&lt;AD3893,AD3891,AD3892)</f>
        <v>21.428094329790742</v>
      </c>
      <c r="AE3894" s="133"/>
      <c r="AF3894" s="155"/>
      <c r="AG3894" s="138">
        <f>IF(AG3889&lt;AG3893,AG3891,AG3892)</f>
        <v>15.404031269499184</v>
      </c>
      <c r="AH3894" s="133"/>
      <c r="AI3894" s="155"/>
      <c r="AJ3894" s="138">
        <f>IF(AJ3889&lt;AJ3893,AJ3891,AJ3892)</f>
        <v>12.773250283383957</v>
      </c>
      <c r="AK3894" s="133"/>
      <c r="AL3894" s="155"/>
      <c r="AM3894" s="138">
        <f>IF(AM3889&lt;AM3893,AM3891,AM3892)</f>
        <v>12.003068189048884</v>
      </c>
      <c r="AN3894" s="133"/>
      <c r="AO3894" s="155"/>
      <c r="AP3894" s="138">
        <f>IF(AP3889&lt;AP3893,AP3891,AP3892)</f>
        <v>11.070025271218967</v>
      </c>
      <c r="AQ3894" s="133"/>
      <c r="AR3894" s="155"/>
      <c r="AS3894" s="138">
        <f>IF(AS3889&lt;AS3893,AS3891,AS3892)</f>
        <v>16.017820979498786</v>
      </c>
      <c r="AT3894" s="133"/>
      <c r="AU3894" s="155"/>
    </row>
    <row r="3895" spans="13:47" ht="13" x14ac:dyDescent="0.3">
      <c r="M3895" s="28"/>
      <c r="N3895" s="28"/>
      <c r="O3895" s="9" t="s">
        <v>194</v>
      </c>
      <c r="P3895" s="1"/>
      <c r="Q3895" s="1"/>
      <c r="R3895" s="135"/>
      <c r="S3895" s="132">
        <f>IF(R3888&lt;=0,W_max,ABS(R$23-R3894))</f>
        <v>9.856157318982472</v>
      </c>
      <c r="T3895" s="151">
        <f>R3883</f>
        <v>2653.7054795566783</v>
      </c>
      <c r="U3895" s="135"/>
      <c r="V3895" s="132">
        <f>IF(U3888&lt;=0,W_max,ABS(U$23-U3894))</f>
        <v>36.364105718759696</v>
      </c>
      <c r="W3895" s="151">
        <f>U3883</f>
        <v>7168.2871870303607</v>
      </c>
      <c r="X3895" s="135"/>
      <c r="Y3895" s="132">
        <f>IF(X3888&lt;=0,W_max,ABS(X$23-X3894))</f>
        <v>7174</v>
      </c>
      <c r="Z3895" s="151">
        <f>X3883</f>
        <v>17728.027249700852</v>
      </c>
      <c r="AA3895" s="135"/>
      <c r="AB3895" s="132">
        <f>IF(AA3888&lt;=0,W_max,ABS(AA$23-AA3894))</f>
        <v>7174</v>
      </c>
      <c r="AC3895" s="151">
        <f>AA3883</f>
        <v>34529.672084774109</v>
      </c>
      <c r="AD3895" s="135"/>
      <c r="AE3895" s="132">
        <f>IF(AD3888&lt;=0,W_max,ABS(AD$23-AD3894))</f>
        <v>7174</v>
      </c>
      <c r="AF3895" s="151">
        <f>AD3883</f>
        <v>56788.597508453917</v>
      </c>
      <c r="AG3895" s="135"/>
      <c r="AH3895" s="132">
        <f>IF(AG3888&lt;=0,W_max,ABS(AG$23-AG3894))</f>
        <v>7174</v>
      </c>
      <c r="AI3895" s="151">
        <f>AG3883</f>
        <v>79650.379942204134</v>
      </c>
      <c r="AJ3895" s="135"/>
      <c r="AK3895" s="132">
        <f>IF(AJ3888&lt;=0,W_max,ABS(AJ$23-AJ3894))</f>
        <v>7174</v>
      </c>
      <c r="AL3895" s="151">
        <f>AJ3883</f>
        <v>101134.84718134801</v>
      </c>
      <c r="AM3895" s="135"/>
      <c r="AN3895" s="132">
        <f>IF(AM3888&lt;=0,W_max,ABS(AM$23-AM3894))</f>
        <v>7174</v>
      </c>
      <c r="AO3895" s="151">
        <f>AM3883</f>
        <v>118588.5620624704</v>
      </c>
      <c r="AP3895" s="135"/>
      <c r="AQ3895" s="132">
        <f>IF(AP3888&lt;=0,W_max,ABS(AP$23-AP3894))</f>
        <v>7174</v>
      </c>
      <c r="AR3895" s="151">
        <f>AP3883</f>
        <v>132305.50496965364</v>
      </c>
      <c r="AS3895" s="135"/>
      <c r="AT3895" s="132">
        <f>IF(AS3888&lt;=0,W_max,ABS(AS$23-AS3894))</f>
        <v>7174</v>
      </c>
      <c r="AU3895" s="151">
        <f>AS3883</f>
        <v>147609.06398421334</v>
      </c>
    </row>
    <row r="3896" spans="13:47" ht="13" x14ac:dyDescent="0.25">
      <c r="M3896" s="12"/>
      <c r="N3896" s="12"/>
      <c r="O3896" s="2"/>
      <c r="P3896" s="85"/>
      <c r="Q3896" s="2"/>
      <c r="R3896" s="18"/>
      <c r="S3896" s="150"/>
      <c r="T3896" s="148"/>
      <c r="U3896" s="157"/>
      <c r="V3896" s="1"/>
      <c r="W3896" s="147"/>
      <c r="X3896" s="157"/>
      <c r="Y3896" s="1"/>
      <c r="Z3896" s="147"/>
      <c r="AA3896" s="157"/>
      <c r="AB3896" s="1"/>
      <c r="AC3896" s="147"/>
      <c r="AD3896" s="157"/>
      <c r="AE3896" s="1"/>
      <c r="AF3896" s="147"/>
      <c r="AG3896" s="157"/>
      <c r="AH3896" s="1"/>
      <c r="AI3896" s="147"/>
      <c r="AJ3896" s="157"/>
      <c r="AK3896" s="1"/>
      <c r="AL3896" s="147"/>
      <c r="AM3896" s="157"/>
      <c r="AN3896" s="1"/>
      <c r="AO3896" s="147"/>
      <c r="AP3896" s="157"/>
      <c r="AQ3896" s="1"/>
      <c r="AR3896" s="147"/>
      <c r="AS3896" s="157"/>
      <c r="AT3896" s="1"/>
      <c r="AU3896" s="147"/>
    </row>
    <row r="3897" spans="13:47" ht="14" x14ac:dyDescent="0.3">
      <c r="M3897" s="23"/>
      <c r="N3897" s="23"/>
      <c r="O3897" s="23" t="s">
        <v>238</v>
      </c>
      <c r="P3897" s="20"/>
      <c r="Q3897" s="20"/>
      <c r="R3897" s="181">
        <f>R3883*1.02</f>
        <v>2706.7795891478117</v>
      </c>
      <c r="S3897" s="128" t="s">
        <v>185</v>
      </c>
      <c r="T3897" s="149" t="s">
        <v>186</v>
      </c>
      <c r="U3897" s="143">
        <f>U3883*1.01</f>
        <v>7239.9700589006643</v>
      </c>
      <c r="V3897" s="128" t="s">
        <v>185</v>
      </c>
      <c r="W3897" s="153" t="s">
        <v>186</v>
      </c>
      <c r="X3897" s="143">
        <f>X3883*1.01</f>
        <v>17905.307522197862</v>
      </c>
      <c r="Y3897" s="128" t="s">
        <v>185</v>
      </c>
      <c r="Z3897" s="153" t="s">
        <v>186</v>
      </c>
      <c r="AA3897" s="143">
        <f>AA3883*1.01</f>
        <v>34874.968805621851</v>
      </c>
      <c r="AB3897" s="128" t="s">
        <v>185</v>
      </c>
      <c r="AC3897" s="153" t="s">
        <v>186</v>
      </c>
      <c r="AD3897" s="143">
        <f>AD3883*1.01</f>
        <v>57356.483483538454</v>
      </c>
      <c r="AE3897" s="128" t="s">
        <v>185</v>
      </c>
      <c r="AF3897" s="153" t="s">
        <v>186</v>
      </c>
      <c r="AG3897" s="143">
        <f>AG3883*1.01</f>
        <v>80446.883741626181</v>
      </c>
      <c r="AH3897" s="128" t="s">
        <v>185</v>
      </c>
      <c r="AI3897" s="153" t="s">
        <v>186</v>
      </c>
      <c r="AJ3897" s="143">
        <f>AJ3883*1.01</f>
        <v>102146.1956531615</v>
      </c>
      <c r="AK3897" s="128" t="s">
        <v>185</v>
      </c>
      <c r="AL3897" s="153" t="s">
        <v>186</v>
      </c>
      <c r="AM3897" s="143">
        <f>AM3883*1.01</f>
        <v>119774.4476830951</v>
      </c>
      <c r="AN3897" s="128" t="s">
        <v>185</v>
      </c>
      <c r="AO3897" s="153" t="s">
        <v>186</v>
      </c>
      <c r="AP3897" s="143">
        <f>AP3883*1.01</f>
        <v>133628.56001935017</v>
      </c>
      <c r="AQ3897" s="128" t="s">
        <v>185</v>
      </c>
      <c r="AR3897" s="153" t="s">
        <v>186</v>
      </c>
      <c r="AS3897" s="143">
        <f>AS3883*1.01</f>
        <v>149085.15462405546</v>
      </c>
      <c r="AT3897" s="128" t="s">
        <v>185</v>
      </c>
      <c r="AU3897" s="153" t="s">
        <v>186</v>
      </c>
    </row>
    <row r="3898" spans="13:47" ht="14" x14ac:dyDescent="0.3">
      <c r="M3898" s="12"/>
      <c r="N3898" s="12"/>
      <c r="O3898" s="20"/>
      <c r="P3898" s="20"/>
      <c r="Q3898" s="23"/>
      <c r="R3898" s="139"/>
      <c r="S3898" s="130" t="s">
        <v>228</v>
      </c>
      <c r="T3898" s="131" t="s">
        <v>187</v>
      </c>
      <c r="U3898" s="144"/>
      <c r="V3898" s="130" t="s">
        <v>228</v>
      </c>
      <c r="W3898" s="154" t="s">
        <v>187</v>
      </c>
      <c r="X3898" s="144"/>
      <c r="Y3898" s="130" t="s">
        <v>228</v>
      </c>
      <c r="Z3898" s="154" t="s">
        <v>187</v>
      </c>
      <c r="AA3898" s="144"/>
      <c r="AB3898" s="130" t="s">
        <v>228</v>
      </c>
      <c r="AC3898" s="154" t="s">
        <v>187</v>
      </c>
      <c r="AD3898" s="144"/>
      <c r="AE3898" s="130" t="s">
        <v>228</v>
      </c>
      <c r="AF3898" s="154" t="s">
        <v>187</v>
      </c>
      <c r="AG3898" s="144"/>
      <c r="AH3898" s="130" t="s">
        <v>228</v>
      </c>
      <c r="AI3898" s="154" t="s">
        <v>187</v>
      </c>
      <c r="AJ3898" s="144"/>
      <c r="AK3898" s="130" t="s">
        <v>228</v>
      </c>
      <c r="AL3898" s="154" t="s">
        <v>187</v>
      </c>
      <c r="AM3898" s="144"/>
      <c r="AN3898" s="130" t="s">
        <v>228</v>
      </c>
      <c r="AO3898" s="154" t="s">
        <v>187</v>
      </c>
      <c r="AP3898" s="144"/>
      <c r="AQ3898" s="130" t="s">
        <v>228</v>
      </c>
      <c r="AR3898" s="154" t="s">
        <v>187</v>
      </c>
      <c r="AS3898" s="144"/>
      <c r="AT3898" s="130" t="s">
        <v>228</v>
      </c>
      <c r="AU3898" s="154" t="s">
        <v>187</v>
      </c>
    </row>
    <row r="3899" spans="13:47" x14ac:dyDescent="0.25">
      <c r="M3899" s="20"/>
      <c r="N3899" s="20"/>
      <c r="O3899" s="7" t="s">
        <v>188</v>
      </c>
      <c r="P3899" s="7"/>
      <c r="Q3899" s="7"/>
      <c r="R3899" s="181">
        <f>P_1_minW-(R3897^2*R_up)+dpup_minQ</f>
        <v>97.601196036591588</v>
      </c>
      <c r="S3899" s="132"/>
      <c r="T3899" s="145"/>
      <c r="U3899" s="138">
        <f>P_1_minW-(U3897^2*R_up)+dpup_minQ</f>
        <v>79.620821176319865</v>
      </c>
      <c r="V3899" s="132"/>
      <c r="W3899" s="145"/>
      <c r="X3899" s="138">
        <f>P_1_minW-(X3897^2*R_up)+dpup_minQ</f>
        <v>-27.320272991745313</v>
      </c>
      <c r="Y3899" s="132"/>
      <c r="Z3899" s="145"/>
      <c r="AA3899" s="138">
        <f>P_1_minW-(AA3897^2*R_up)+dpup_minQ</f>
        <v>-384.47665995853441</v>
      </c>
      <c r="AB3899" s="132"/>
      <c r="AC3899" s="145"/>
      <c r="AD3899" s="138">
        <f>P_1_minW-(AD3897^2*R_up)+dpup_minQ</f>
        <v>-1211.3104239464058</v>
      </c>
      <c r="AE3899" s="132"/>
      <c r="AF3899" s="145"/>
      <c r="AG3899" s="138">
        <f>P_1_minW-(AG3897^2*R_up)+dpup_minQ</f>
        <v>-2480.144630813918</v>
      </c>
      <c r="AH3899" s="132"/>
      <c r="AI3899" s="145"/>
      <c r="AJ3899" s="138">
        <f>P_1_minW-(AJ3897^2*R_up)+dpup_minQ</f>
        <v>-4060.0965216638833</v>
      </c>
      <c r="AK3899" s="132"/>
      <c r="AL3899" s="145"/>
      <c r="AM3899" s="138">
        <f>P_1_minW-(AM3897^2*R_up)+dpup_minQ</f>
        <v>-5620.0819482651923</v>
      </c>
      <c r="AN3899" s="132"/>
      <c r="AO3899" s="145"/>
      <c r="AP3899" s="138">
        <f>P_1_minW-(AP3897^2*R_up)+dpup_minQ</f>
        <v>-7020.0046542863774</v>
      </c>
      <c r="AQ3899" s="132"/>
      <c r="AR3899" s="145"/>
      <c r="AS3899" s="138">
        <f>P_1_minW-(AS3897^2*R_up)+dpup_minQ</f>
        <v>-8762.5106488963738</v>
      </c>
      <c r="AT3899" s="132"/>
      <c r="AU3899" s="145"/>
    </row>
    <row r="3900" spans="13:47" x14ac:dyDescent="0.25">
      <c r="M3900" s="20"/>
      <c r="N3900" s="20"/>
      <c r="O3900" s="7" t="s">
        <v>189</v>
      </c>
      <c r="P3900" s="1"/>
      <c r="Q3900" s="7"/>
      <c r="R3900" s="181">
        <f>P_2_minW+(R3897^2*R_dn)-dpdn_minQ</f>
        <v>50</v>
      </c>
      <c r="S3900" s="132"/>
      <c r="T3900" s="146"/>
      <c r="U3900" s="138">
        <f>P_2_minW+(U3897^2*R_dn)-dpdn_minQ</f>
        <v>50</v>
      </c>
      <c r="V3900" s="132"/>
      <c r="W3900" s="146"/>
      <c r="X3900" s="138">
        <f>P_2_minW+(X3897^2*R_dn)-dpdn_minQ</f>
        <v>50</v>
      </c>
      <c r="Y3900" s="132"/>
      <c r="Z3900" s="146"/>
      <c r="AA3900" s="138">
        <f>P_2_minW+(AA3897^2*R_dn)-dpdn_minQ</f>
        <v>50</v>
      </c>
      <c r="AB3900" s="132"/>
      <c r="AC3900" s="146"/>
      <c r="AD3900" s="138">
        <f>P_2_minW+(AD3897^2*R_dn)-dpdn_minQ</f>
        <v>50</v>
      </c>
      <c r="AE3900" s="132"/>
      <c r="AF3900" s="146"/>
      <c r="AG3900" s="138">
        <f>P_2_minW+(AG3897^2*R_dn)-dpdn_minQ</f>
        <v>50</v>
      </c>
      <c r="AH3900" s="132"/>
      <c r="AI3900" s="146"/>
      <c r="AJ3900" s="138">
        <f>P_2_minW+(AJ3897^2*R_dn)-dpdn_minQ</f>
        <v>50</v>
      </c>
      <c r="AK3900" s="132"/>
      <c r="AL3900" s="146"/>
      <c r="AM3900" s="138">
        <f>P_2_minW+(AM3897^2*R_dn)-dpdn_minQ</f>
        <v>50</v>
      </c>
      <c r="AN3900" s="132"/>
      <c r="AO3900" s="146"/>
      <c r="AP3900" s="138">
        <f>P_2_minW+(AP3897^2*R_dn)-dpdn_minQ</f>
        <v>50</v>
      </c>
      <c r="AQ3900" s="132"/>
      <c r="AR3900" s="146"/>
      <c r="AS3900" s="138">
        <f>P_2_minW+(AS3897^2*R_dn)-dpdn_minQ</f>
        <v>50</v>
      </c>
      <c r="AT3900" s="132"/>
      <c r="AU3900" s="146"/>
    </row>
    <row r="3901" spans="13:47" x14ac:dyDescent="0.25">
      <c r="M3901" s="20"/>
      <c r="N3901" s="20"/>
      <c r="O3901" s="7" t="s">
        <v>234</v>
      </c>
      <c r="P3901" s="1"/>
      <c r="Q3901" s="7"/>
      <c r="R3901" s="179">
        <f>'Valve Sizing'!G$8*R3899/P_1_maxW</f>
        <v>0.47081079285860278</v>
      </c>
      <c r="S3901" s="132"/>
      <c r="T3901" s="146"/>
      <c r="U3901" s="143">
        <f>'Valve Sizing'!$G$8*U3899/P_1_maxW</f>
        <v>0.38407666574108595</v>
      </c>
      <c r="V3901" s="132"/>
      <c r="W3901" s="146"/>
      <c r="X3901" s="143">
        <f>'Valve Sizing'!$G$8*X3899/P_1_maxW</f>
        <v>-0.13178813283737573</v>
      </c>
      <c r="Y3901" s="132"/>
      <c r="Z3901" s="146"/>
      <c r="AA3901" s="143">
        <f>'Valve Sizing'!$G$8*AA3899/P_1_maxW</f>
        <v>-1.8546469557897685</v>
      </c>
      <c r="AB3901" s="132"/>
      <c r="AC3901" s="146"/>
      <c r="AD3901" s="143">
        <f>'Valve Sizing'!$G$8*AD3899/P_1_maxW</f>
        <v>-5.8431458245889489</v>
      </c>
      <c r="AE3901" s="132"/>
      <c r="AF3901" s="146"/>
      <c r="AG3901" s="143">
        <f>'Valve Sizing'!$G$8*AG3899/P_1_maxW</f>
        <v>-11.963776136511012</v>
      </c>
      <c r="AH3901" s="132"/>
      <c r="AI3901" s="146"/>
      <c r="AJ3901" s="143">
        <f>'Valve Sizing'!$G$8*AJ3899/P_1_maxW</f>
        <v>-19.585182764874883</v>
      </c>
      <c r="AK3901" s="132"/>
      <c r="AL3901" s="146"/>
      <c r="AM3901" s="143">
        <f>'Valve Sizing'!$G$8*AM3899/P_1_maxW</f>
        <v>-27.11027472451309</v>
      </c>
      <c r="AN3901" s="132"/>
      <c r="AO3901" s="146"/>
      <c r="AP3901" s="143">
        <f>'Valve Sizing'!$G$8*AP3899/P_1_maxW</f>
        <v>-33.863252617483717</v>
      </c>
      <c r="AQ3901" s="132"/>
      <c r="AR3901" s="146"/>
      <c r="AS3901" s="143">
        <f>'Valve Sizing'!$G$8*AS3899/P_1_maxW</f>
        <v>-42.268791301411611</v>
      </c>
      <c r="AT3901" s="132"/>
      <c r="AU3901" s="146"/>
    </row>
    <row r="3902" spans="13:47" x14ac:dyDescent="0.25">
      <c r="M3902" s="20"/>
      <c r="N3902" s="20"/>
      <c r="O3902" s="7" t="s">
        <v>190</v>
      </c>
      <c r="P3902" s="1"/>
      <c r="Q3902" s="7"/>
      <c r="R3902" s="181">
        <f>R3899-R3900</f>
        <v>47.601196036591588</v>
      </c>
      <c r="S3902" s="132"/>
      <c r="T3902" s="146"/>
      <c r="U3902" s="138">
        <f>U3899-U3900</f>
        <v>29.620821176319865</v>
      </c>
      <c r="V3902" s="132"/>
      <c r="W3902" s="146"/>
      <c r="X3902" s="138">
        <f>X3899-X3900</f>
        <v>-77.320272991745313</v>
      </c>
      <c r="Y3902" s="132"/>
      <c r="Z3902" s="146"/>
      <c r="AA3902" s="138">
        <f>AA3899-AA3900</f>
        <v>-434.47665995853441</v>
      </c>
      <c r="AB3902" s="132"/>
      <c r="AC3902" s="146"/>
      <c r="AD3902" s="138">
        <f>AD3899-AD3900</f>
        <v>-1261.3104239464058</v>
      </c>
      <c r="AE3902" s="132"/>
      <c r="AF3902" s="146"/>
      <c r="AG3902" s="138">
        <f>AG3899-AG3900</f>
        <v>-2530.144630813918</v>
      </c>
      <c r="AH3902" s="132"/>
      <c r="AI3902" s="146"/>
      <c r="AJ3902" s="138">
        <f>AJ3899-AJ3900</f>
        <v>-4110.0965216638833</v>
      </c>
      <c r="AK3902" s="132"/>
      <c r="AL3902" s="146"/>
      <c r="AM3902" s="138">
        <f>AM3899-AM3900</f>
        <v>-5670.0819482651923</v>
      </c>
      <c r="AN3902" s="132"/>
      <c r="AO3902" s="146"/>
      <c r="AP3902" s="138">
        <f>AP3899-AP3900</f>
        <v>-7070.0046542863774</v>
      </c>
      <c r="AQ3902" s="132"/>
      <c r="AR3902" s="146"/>
      <c r="AS3902" s="138">
        <f>AS3899-AS3900</f>
        <v>-8812.5106488963738</v>
      </c>
      <c r="AT3902" s="132"/>
      <c r="AU3902" s="146"/>
    </row>
    <row r="3903" spans="13:47" ht="14.5" x14ac:dyDescent="0.35">
      <c r="M3903" s="27"/>
      <c r="N3903" s="27"/>
      <c r="O3903" s="2" t="s">
        <v>191</v>
      </c>
      <c r="P3903" s="10"/>
      <c r="Q3903" s="2"/>
      <c r="R3903" s="181">
        <f>R3902/R3899</f>
        <v>0.48771119586224598</v>
      </c>
      <c r="S3903" s="132"/>
      <c r="T3903" s="146"/>
      <c r="U3903" s="138">
        <f>U3902/U3899</f>
        <v>0.37202355789228447</v>
      </c>
      <c r="V3903" s="132"/>
      <c r="W3903" s="146"/>
      <c r="X3903" s="138">
        <f>X3902/X3899</f>
        <v>2.8301427666958987</v>
      </c>
      <c r="Y3903" s="132"/>
      <c r="Z3903" s="146"/>
      <c r="AA3903" s="138">
        <f>AA3902/AA3899</f>
        <v>1.1300469058522109</v>
      </c>
      <c r="AB3903" s="132"/>
      <c r="AC3903" s="146"/>
      <c r="AD3903" s="138">
        <f>AD3902/AD3899</f>
        <v>1.0412776106038135</v>
      </c>
      <c r="AE3903" s="132"/>
      <c r="AF3903" s="146"/>
      <c r="AG3903" s="138">
        <f>AG3902/AG3899</f>
        <v>1.0201601146073451</v>
      </c>
      <c r="AH3903" s="132"/>
      <c r="AI3903" s="146"/>
      <c r="AJ3903" s="138">
        <f>AJ3902/AJ3899</f>
        <v>1.012314978162024</v>
      </c>
      <c r="AK3903" s="132"/>
      <c r="AL3903" s="146"/>
      <c r="AM3903" s="138">
        <f>AM3902/AM3899</f>
        <v>1.0088966674258966</v>
      </c>
      <c r="AN3903" s="132"/>
      <c r="AO3903" s="146"/>
      <c r="AP3903" s="138">
        <f>AP3902/AP3899</f>
        <v>1.0071225024002612</v>
      </c>
      <c r="AQ3903" s="132"/>
      <c r="AR3903" s="146"/>
      <c r="AS3903" s="138">
        <f>AS3902/AS3899</f>
        <v>1.0057061271596055</v>
      </c>
      <c r="AT3903" s="132"/>
      <c r="AU3903" s="146"/>
    </row>
    <row r="3904" spans="13:47" x14ac:dyDescent="0.25">
      <c r="M3904" s="27"/>
      <c r="N3904" s="27"/>
      <c r="O3904" s="2" t="s">
        <v>26</v>
      </c>
      <c r="P3904" s="7">
        <v>12</v>
      </c>
      <c r="Q3904" s="2"/>
      <c r="R3904" s="181">
        <f>1-R3903/(3*F_GAMMA*R$29)</f>
        <v>0.7459944204496004</v>
      </c>
      <c r="S3904" s="133"/>
      <c r="T3904" s="146"/>
      <c r="U3904" s="138">
        <f>1-U3903/(3*F_GAMMA*U$29)</f>
        <v>0.80628852781886362</v>
      </c>
      <c r="V3904" s="133"/>
      <c r="W3904" s="146"/>
      <c r="X3904" s="138">
        <f>1-X3903/(3*F_GAMMA*X$29)</f>
        <v>-0.49575329128994206</v>
      </c>
      <c r="Y3904" s="133"/>
      <c r="Z3904" s="146"/>
      <c r="AA3904" s="138">
        <f>1-AA3903/(3*F_GAMMA*AA$29)</f>
        <v>0.39457211425999894</v>
      </c>
      <c r="AB3904" s="133"/>
      <c r="AC3904" s="146"/>
      <c r="AD3904" s="138">
        <f>1-AD3903/(3*F_GAMMA*AD$29)</f>
        <v>0.42683508646450175</v>
      </c>
      <c r="AE3904" s="133"/>
      <c r="AF3904" s="146"/>
      <c r="AG3904" s="138">
        <f>1-AG3903/(3*F_GAMMA*AG$29)</f>
        <v>0.40642790283602304</v>
      </c>
      <c r="AH3904" s="133"/>
      <c r="AI3904" s="146"/>
      <c r="AJ3904" s="138">
        <f>1-AJ3903/(3*F_GAMMA*AJ$29)</f>
        <v>0.3703430333406712</v>
      </c>
      <c r="AK3904" s="133"/>
      <c r="AL3904" s="146"/>
      <c r="AM3904" s="138">
        <f>1-AM3903/(3*F_GAMMA*AM$29)</f>
        <v>0.31435880196678001</v>
      </c>
      <c r="AN3904" s="133"/>
      <c r="AO3904" s="146"/>
      <c r="AP3904" s="138">
        <f>1-AP3903/(3*F_GAMMA*AP$29)</f>
        <v>0.43438811941013966</v>
      </c>
      <c r="AQ3904" s="133"/>
      <c r="AR3904" s="146"/>
      <c r="AS3904" s="138">
        <f>1-AS3903/(3*F_GAMMA*AS$29)</f>
        <v>0.14255958412286163</v>
      </c>
      <c r="AT3904" s="133"/>
      <c r="AU3904" s="146"/>
    </row>
    <row r="3905" spans="13:47" x14ac:dyDescent="0.25">
      <c r="M3905" s="27"/>
      <c r="N3905" s="27"/>
      <c r="O3905" s="2" t="s">
        <v>71</v>
      </c>
      <c r="P3905" s="85">
        <v>5</v>
      </c>
      <c r="Q3905" s="2"/>
      <c r="R3905" s="179">
        <f>R3897/((N_6*R$27*R3904)*SQRT(R3903*R3899*R3901))</f>
        <v>12.109687216112704</v>
      </c>
      <c r="S3905" s="133"/>
      <c r="T3905" s="146"/>
      <c r="U3905" s="143">
        <f>U3897/((N_6*U$27*U3904)*SQRT(U3903*U3899*U3901))</f>
        <v>42.087826053120239</v>
      </c>
      <c r="V3905" s="133"/>
      <c r="W3905" s="146"/>
      <c r="X3905" s="143">
        <f>X3897/((N_6*X$27*X3904)*SQRT(X3903*X3899*X3901))</f>
        <v>-179.27117817760151</v>
      </c>
      <c r="Y3905" s="133"/>
      <c r="Z3905" s="146"/>
      <c r="AA3905" s="143">
        <f>AA3897/((N_6*AA$27*AA3904)*SQRT(AA3903*AA3899*AA3901))</f>
        <v>49.618462873136401</v>
      </c>
      <c r="AB3905" s="133"/>
      <c r="AC3905" s="146"/>
      <c r="AD3905" s="143">
        <f>AD3897/((N_6*AD$27*AD3904)*SQRT(AD3903*AD3899*AD3901))</f>
        <v>25.240761240519284</v>
      </c>
      <c r="AE3905" s="133"/>
      <c r="AF3905" s="146"/>
      <c r="AG3905" s="143">
        <f>AG3897/((N_6*AG$27*AG3904)*SQRT(AG3903*AG3899*AG3901))</f>
        <v>18.74148574844698</v>
      </c>
      <c r="AH3905" s="133"/>
      <c r="AI3905" s="146"/>
      <c r="AJ3905" s="143">
        <f>AJ3897/((N_6*AJ$27*AJ3904)*SQRT(AJ3903*AJ3899*AJ3901))</f>
        <v>16.564292404977426</v>
      </c>
      <c r="AK3905" s="133"/>
      <c r="AL3905" s="146"/>
      <c r="AM3905" s="143">
        <f>AM3897/((N_6*AM$27*AM3904)*SQRT(AM3903*AM3899*AM3901))</f>
        <v>17.575426176169184</v>
      </c>
      <c r="AN3905" s="133"/>
      <c r="AO3905" s="146"/>
      <c r="AP3905" s="143">
        <f>AP3897/((N_6*AP$27*AP3904)*SQRT(AP3903*AP3899*AP3901))</f>
        <v>12.916065166035283</v>
      </c>
      <c r="AQ3905" s="133"/>
      <c r="AR3905" s="146"/>
      <c r="AS3905" s="143">
        <f>AS3897/((N_6*AS$27*AS3904)*SQRT(AS3903*AS3899*AS3901))</f>
        <v>46.253938627858631</v>
      </c>
      <c r="AT3905" s="133"/>
      <c r="AU3905" s="146"/>
    </row>
    <row r="3906" spans="13:47" x14ac:dyDescent="0.25">
      <c r="M3906" s="27"/>
      <c r="N3906" s="27"/>
      <c r="O3906" s="2" t="s">
        <v>73</v>
      </c>
      <c r="P3906" s="85">
        <v>5</v>
      </c>
      <c r="Q3906" s="2"/>
      <c r="R3906" s="179">
        <f>R3897/((N_6*R$27*0.667)*SQRT(R3907*R3899*R3901))</f>
        <v>11.822924786533783</v>
      </c>
      <c r="S3906" s="133"/>
      <c r="T3906" s="147"/>
      <c r="U3906" s="143">
        <f>U3897/((N_6*U$27*0.667)*SQRT(U3907*U3899*U3901))</f>
        <v>38.784610890752177</v>
      </c>
      <c r="V3906" s="133"/>
      <c r="W3906" s="155"/>
      <c r="X3906" s="143">
        <f>X3897/((N_6*X$27*0.667)*SQRT(X3907*X3899*X3901))</f>
        <v>282.25448780064244</v>
      </c>
      <c r="Y3906" s="133"/>
      <c r="Z3906" s="155"/>
      <c r="AA3906" s="143">
        <f>AA3897/((N_6*AA$27*0.667)*SQRT(AA3907*AA3899*AA3901))</f>
        <v>39.558125031286885</v>
      </c>
      <c r="AB3906" s="133"/>
      <c r="AC3906" s="155"/>
      <c r="AD3906" s="143">
        <f>AD3897/((N_6*AD$27*0.667)*SQRT(AD3907*AD3899*AD3901))</f>
        <v>21.180546060856994</v>
      </c>
      <c r="AE3906" s="133"/>
      <c r="AF3906" s="155"/>
      <c r="AG3906" s="143">
        <f>AG3897/((N_6*AG$27*0.667)*SQRT(AG3907*AG3899*AG3901))</f>
        <v>15.239091102981552</v>
      </c>
      <c r="AH3906" s="133"/>
      <c r="AI3906" s="155"/>
      <c r="AJ3906" s="143">
        <f>AJ3897/((N_6*AJ$27*0.667)*SQRT(AJ3907*AJ3899*AJ3901))</f>
        <v>12.640488784454641</v>
      </c>
      <c r="AK3906" s="133"/>
      <c r="AL3906" s="155"/>
      <c r="AM3906" s="143">
        <f>AM3897/((N_6*AM$27*0.667)*SQRT(AM3907*AM3899*AM3901))</f>
        <v>11.879953363275426</v>
      </c>
      <c r="AN3906" s="133"/>
      <c r="AO3906" s="155"/>
      <c r="AP3906" s="143">
        <f>AP3897/((N_6*AP$27*0.667)*SQRT(AP3907*AP3899*AP3901))</f>
        <v>10.957266416182538</v>
      </c>
      <c r="AQ3906" s="133"/>
      <c r="AR3906" s="155"/>
      <c r="AS3906" s="143">
        <f>AS3897/((N_6*AS$27*0.667)*SQRT(AS3907*AS3899*AS3901))</f>
        <v>15.85557178418872</v>
      </c>
      <c r="AT3906" s="133"/>
      <c r="AU3906" s="155"/>
    </row>
    <row r="3907" spans="13:47" ht="15.5" x14ac:dyDescent="0.4">
      <c r="M3907" s="27"/>
      <c r="N3907" s="27"/>
      <c r="O3907" s="2" t="s">
        <v>192</v>
      </c>
      <c r="P3907" s="85">
        <v>10</v>
      </c>
      <c r="Q3907" s="2"/>
      <c r="R3907" s="181">
        <f>F_GAMMA*R$29</f>
        <v>0.64002688015162901</v>
      </c>
      <c r="S3907" s="133"/>
      <c r="T3907" s="147"/>
      <c r="U3907" s="138">
        <f>F_GAMMA*U$29</f>
        <v>0.64016782916606918</v>
      </c>
      <c r="V3907" s="133"/>
      <c r="W3907" s="155"/>
      <c r="X3907" s="138">
        <f>F_GAMMA*X$29</f>
        <v>0.6307062319203669</v>
      </c>
      <c r="Y3907" s="133"/>
      <c r="Z3907" s="155"/>
      <c r="AA3907" s="138">
        <f>F_GAMMA*AA$29</f>
        <v>0.62217534213893466</v>
      </c>
      <c r="AB3907" s="133"/>
      <c r="AC3907" s="155"/>
      <c r="AD3907" s="138">
        <f>F_GAMMA*AD$29</f>
        <v>0.60557184969146072</v>
      </c>
      <c r="AE3907" s="133"/>
      <c r="AF3907" s="155"/>
      <c r="AG3907" s="138">
        <f>F_GAMMA*AG$29</f>
        <v>0.57289312142622573</v>
      </c>
      <c r="AH3907" s="133"/>
      <c r="AI3907" s="155"/>
      <c r="AJ3907" s="138">
        <f>F_GAMMA*AJ$29</f>
        <v>0.53590819116049981</v>
      </c>
      <c r="AK3907" s="133"/>
      <c r="AL3907" s="155"/>
      <c r="AM3907" s="138">
        <f>F_GAMMA*AM$29</f>
        <v>0.49048815926850342</v>
      </c>
      <c r="AN3907" s="133"/>
      <c r="AO3907" s="155"/>
      <c r="AP3907" s="138">
        <f>F_GAMMA*AP$29</f>
        <v>0.59352979016280105</v>
      </c>
      <c r="AQ3907" s="133"/>
      <c r="AR3907" s="155"/>
      <c r="AS3907" s="138">
        <f>F_GAMMA*AS$29</f>
        <v>0.39097221161068291</v>
      </c>
      <c r="AT3907" s="133"/>
      <c r="AU3907" s="155"/>
    </row>
    <row r="3908" spans="13:47" x14ac:dyDescent="0.25">
      <c r="M3908" s="27"/>
      <c r="N3908" s="27"/>
      <c r="O3908" s="2" t="s">
        <v>193</v>
      </c>
      <c r="P3908" s="134"/>
      <c r="Q3908" s="2"/>
      <c r="R3908" s="181">
        <f>IF(R3903&lt;R3907,R3905,R3906)</f>
        <v>12.109687216112704</v>
      </c>
      <c r="S3908" s="133"/>
      <c r="T3908" s="147"/>
      <c r="U3908" s="138">
        <f>IF(U3903&lt;U3907,U3905,U3906)</f>
        <v>42.087826053120239</v>
      </c>
      <c r="V3908" s="133"/>
      <c r="W3908" s="155"/>
      <c r="X3908" s="138">
        <f>IF(X3903&lt;X3907,X3905,X3906)</f>
        <v>282.25448780064244</v>
      </c>
      <c r="Y3908" s="133"/>
      <c r="Z3908" s="155"/>
      <c r="AA3908" s="138">
        <f>IF(AA3903&lt;AA3907,AA3905,AA3906)</f>
        <v>39.558125031286885</v>
      </c>
      <c r="AB3908" s="133"/>
      <c r="AC3908" s="155"/>
      <c r="AD3908" s="138">
        <f>IF(AD3903&lt;AD3907,AD3905,AD3906)</f>
        <v>21.180546060856994</v>
      </c>
      <c r="AE3908" s="133"/>
      <c r="AF3908" s="155"/>
      <c r="AG3908" s="138">
        <f>IF(AG3903&lt;AG3907,AG3905,AG3906)</f>
        <v>15.239091102981552</v>
      </c>
      <c r="AH3908" s="133"/>
      <c r="AI3908" s="155"/>
      <c r="AJ3908" s="138">
        <f>IF(AJ3903&lt;AJ3907,AJ3905,AJ3906)</f>
        <v>12.640488784454641</v>
      </c>
      <c r="AK3908" s="133"/>
      <c r="AL3908" s="155"/>
      <c r="AM3908" s="138">
        <f>IF(AM3903&lt;AM3907,AM3905,AM3906)</f>
        <v>11.879953363275426</v>
      </c>
      <c r="AN3908" s="133"/>
      <c r="AO3908" s="155"/>
      <c r="AP3908" s="138">
        <f>IF(AP3903&lt;AP3907,AP3905,AP3906)</f>
        <v>10.957266416182538</v>
      </c>
      <c r="AQ3908" s="133"/>
      <c r="AR3908" s="155"/>
      <c r="AS3908" s="138">
        <f>IF(AS3903&lt;AS3907,AS3905,AS3906)</f>
        <v>15.85557178418872</v>
      </c>
      <c r="AT3908" s="133"/>
      <c r="AU3908" s="155"/>
    </row>
    <row r="3909" spans="13:47" ht="13" x14ac:dyDescent="0.3">
      <c r="M3909" s="28"/>
      <c r="N3909" s="28"/>
      <c r="O3909" s="9" t="s">
        <v>194</v>
      </c>
      <c r="P3909" s="1"/>
      <c r="Q3909" s="1"/>
      <c r="R3909" s="135"/>
      <c r="S3909" s="132">
        <f>IF(R3902&lt;=0,W_max,ABS(R$23-R3908))</f>
        <v>10.109687216112704</v>
      </c>
      <c r="T3909" s="151">
        <f>R3897</f>
        <v>2706.7795891478117</v>
      </c>
      <c r="U3909" s="135"/>
      <c r="V3909" s="132">
        <f>IF(U3902&lt;=0,W_max,ABS(U$23-U3908))</f>
        <v>37.087826053120239</v>
      </c>
      <c r="W3909" s="151">
        <f>U3897</f>
        <v>7239.9700589006643</v>
      </c>
      <c r="X3909" s="135"/>
      <c r="Y3909" s="132">
        <f>IF(X3902&lt;=0,W_max,ABS(X$23-X3908))</f>
        <v>7174</v>
      </c>
      <c r="Z3909" s="151">
        <f>X3897</f>
        <v>17905.307522197862</v>
      </c>
      <c r="AA3909" s="135"/>
      <c r="AB3909" s="132">
        <f>IF(AA3902&lt;=0,W_max,ABS(AA$23-AA3908))</f>
        <v>7174</v>
      </c>
      <c r="AC3909" s="151">
        <f>AA3897</f>
        <v>34874.968805621851</v>
      </c>
      <c r="AD3909" s="135"/>
      <c r="AE3909" s="132">
        <f>IF(AD3902&lt;=0,W_max,ABS(AD$23-AD3908))</f>
        <v>7174</v>
      </c>
      <c r="AF3909" s="151">
        <f>AD3897</f>
        <v>57356.483483538454</v>
      </c>
      <c r="AG3909" s="135"/>
      <c r="AH3909" s="132">
        <f>IF(AG3902&lt;=0,W_max,ABS(AG$23-AG3908))</f>
        <v>7174</v>
      </c>
      <c r="AI3909" s="151">
        <f>AG3897</f>
        <v>80446.883741626181</v>
      </c>
      <c r="AJ3909" s="135"/>
      <c r="AK3909" s="132">
        <f>IF(AJ3902&lt;=0,W_max,ABS(AJ$23-AJ3908))</f>
        <v>7174</v>
      </c>
      <c r="AL3909" s="151">
        <f>AJ3897</f>
        <v>102146.1956531615</v>
      </c>
      <c r="AM3909" s="135"/>
      <c r="AN3909" s="132">
        <f>IF(AM3902&lt;=0,W_max,ABS(AM$23-AM3908))</f>
        <v>7174</v>
      </c>
      <c r="AO3909" s="151">
        <f>AM3897</f>
        <v>119774.4476830951</v>
      </c>
      <c r="AP3909" s="135"/>
      <c r="AQ3909" s="132">
        <f>IF(AP3902&lt;=0,W_max,ABS(AP$23-AP3908))</f>
        <v>7174</v>
      </c>
      <c r="AR3909" s="151">
        <f>AP3897</f>
        <v>133628.56001935017</v>
      </c>
      <c r="AS3909" s="135"/>
      <c r="AT3909" s="132">
        <f>IF(AS3902&lt;=0,W_max,ABS(AS$23-AS3908))</f>
        <v>7174</v>
      </c>
      <c r="AU3909" s="151">
        <f>AS3897</f>
        <v>149085.15462405546</v>
      </c>
    </row>
    <row r="3910" spans="13:47" ht="13" x14ac:dyDescent="0.25">
      <c r="M3910" s="12"/>
      <c r="N3910" s="12"/>
      <c r="O3910" s="12"/>
      <c r="P3910" s="12"/>
      <c r="Q3910" s="12"/>
      <c r="R3910" s="182"/>
      <c r="S3910" s="22"/>
      <c r="T3910" s="152"/>
      <c r="U3910" s="157"/>
      <c r="V3910" s="1"/>
      <c r="W3910" s="147"/>
      <c r="X3910" s="157"/>
      <c r="Y3910" s="1"/>
      <c r="Z3910" s="147"/>
      <c r="AA3910" s="157"/>
      <c r="AB3910" s="1"/>
      <c r="AC3910" s="147"/>
      <c r="AD3910" s="157"/>
      <c r="AE3910" s="1"/>
      <c r="AF3910" s="147"/>
      <c r="AG3910" s="157"/>
      <c r="AH3910" s="1"/>
      <c r="AI3910" s="147"/>
      <c r="AJ3910" s="157"/>
      <c r="AK3910" s="1"/>
      <c r="AL3910" s="147"/>
      <c r="AM3910" s="157"/>
      <c r="AN3910" s="1"/>
      <c r="AO3910" s="147"/>
      <c r="AP3910" s="157"/>
      <c r="AQ3910" s="1"/>
      <c r="AR3910" s="147"/>
      <c r="AS3910" s="157"/>
      <c r="AT3910" s="1"/>
      <c r="AU3910" s="147"/>
    </row>
    <row r="3911" spans="13:47" ht="14" x14ac:dyDescent="0.3">
      <c r="M3911" s="23"/>
      <c r="N3911" s="23"/>
      <c r="O3911" s="23" t="s">
        <v>238</v>
      </c>
      <c r="P3911" s="20"/>
      <c r="Q3911" s="20"/>
      <c r="R3911" s="18">
        <f>R3897*1.02</f>
        <v>2760.9151809307682</v>
      </c>
      <c r="S3911" s="128" t="s">
        <v>185</v>
      </c>
      <c r="T3911" s="153" t="s">
        <v>186</v>
      </c>
      <c r="U3911" s="143">
        <f>U3897*1.01</f>
        <v>7312.3697594896712</v>
      </c>
      <c r="V3911" s="128" t="s">
        <v>185</v>
      </c>
      <c r="W3911" s="153" t="s">
        <v>186</v>
      </c>
      <c r="X3911" s="143">
        <f>X3897*1.01</f>
        <v>18084.36059741984</v>
      </c>
      <c r="Y3911" s="128" t="s">
        <v>185</v>
      </c>
      <c r="Z3911" s="153" t="s">
        <v>186</v>
      </c>
      <c r="AA3911" s="143">
        <f>AA3897*1.01</f>
        <v>35223.718493678069</v>
      </c>
      <c r="AB3911" s="128" t="s">
        <v>185</v>
      </c>
      <c r="AC3911" s="153" t="s">
        <v>186</v>
      </c>
      <c r="AD3911" s="143">
        <f>AD3897*1.01</f>
        <v>57930.04831837384</v>
      </c>
      <c r="AE3911" s="128" t="s">
        <v>185</v>
      </c>
      <c r="AF3911" s="153" t="s">
        <v>186</v>
      </c>
      <c r="AG3911" s="143">
        <f>AG3897*1.01</f>
        <v>81251.352579042446</v>
      </c>
      <c r="AH3911" s="128" t="s">
        <v>185</v>
      </c>
      <c r="AI3911" s="153" t="s">
        <v>186</v>
      </c>
      <c r="AJ3911" s="143">
        <f>AJ3897*1.01</f>
        <v>103167.65760969311</v>
      </c>
      <c r="AK3911" s="128" t="s">
        <v>185</v>
      </c>
      <c r="AL3911" s="153" t="s">
        <v>186</v>
      </c>
      <c r="AM3911" s="143">
        <f>AM3897*1.01</f>
        <v>120972.19215992605</v>
      </c>
      <c r="AN3911" s="128" t="s">
        <v>185</v>
      </c>
      <c r="AO3911" s="153" t="s">
        <v>186</v>
      </c>
      <c r="AP3911" s="143">
        <f>AP3897*1.01</f>
        <v>134964.84561954369</v>
      </c>
      <c r="AQ3911" s="128" t="s">
        <v>185</v>
      </c>
      <c r="AR3911" s="153" t="s">
        <v>186</v>
      </c>
      <c r="AS3911" s="143">
        <f>AS3897*1.01</f>
        <v>150576.00617029602</v>
      </c>
      <c r="AT3911" s="128" t="s">
        <v>185</v>
      </c>
      <c r="AU3911" s="153" t="s">
        <v>186</v>
      </c>
    </row>
    <row r="3912" spans="13:47" ht="14" x14ac:dyDescent="0.3">
      <c r="M3912" s="12"/>
      <c r="N3912" s="12"/>
      <c r="O3912" s="20"/>
      <c r="P3912" s="20"/>
      <c r="Q3912" s="23"/>
      <c r="R3912" s="139"/>
      <c r="S3912" s="130" t="s">
        <v>228</v>
      </c>
      <c r="T3912" s="154" t="s">
        <v>187</v>
      </c>
      <c r="U3912" s="144"/>
      <c r="V3912" s="130" t="s">
        <v>228</v>
      </c>
      <c r="W3912" s="154" t="s">
        <v>187</v>
      </c>
      <c r="X3912" s="144"/>
      <c r="Y3912" s="130" t="s">
        <v>228</v>
      </c>
      <c r="Z3912" s="154" t="s">
        <v>187</v>
      </c>
      <c r="AA3912" s="144"/>
      <c r="AB3912" s="130" t="s">
        <v>228</v>
      </c>
      <c r="AC3912" s="154" t="s">
        <v>187</v>
      </c>
      <c r="AD3912" s="144"/>
      <c r="AE3912" s="130" t="s">
        <v>228</v>
      </c>
      <c r="AF3912" s="154" t="s">
        <v>187</v>
      </c>
      <c r="AG3912" s="144"/>
      <c r="AH3912" s="130" t="s">
        <v>228</v>
      </c>
      <c r="AI3912" s="154" t="s">
        <v>187</v>
      </c>
      <c r="AJ3912" s="144"/>
      <c r="AK3912" s="130" t="s">
        <v>228</v>
      </c>
      <c r="AL3912" s="154" t="s">
        <v>187</v>
      </c>
      <c r="AM3912" s="144"/>
      <c r="AN3912" s="130" t="s">
        <v>228</v>
      </c>
      <c r="AO3912" s="154" t="s">
        <v>187</v>
      </c>
      <c r="AP3912" s="144"/>
      <c r="AQ3912" s="130" t="s">
        <v>228</v>
      </c>
      <c r="AR3912" s="154" t="s">
        <v>187</v>
      </c>
      <c r="AS3912" s="144"/>
      <c r="AT3912" s="130" t="s">
        <v>228</v>
      </c>
      <c r="AU3912" s="154" t="s">
        <v>187</v>
      </c>
    </row>
    <row r="3913" spans="13:47" x14ac:dyDescent="0.25">
      <c r="M3913" s="20"/>
      <c r="N3913" s="20"/>
      <c r="O3913" s="7" t="s">
        <v>188</v>
      </c>
      <c r="P3913" s="7"/>
      <c r="Q3913" s="7"/>
      <c r="R3913" s="181">
        <f>P_1_minW-(R3911^2*R_up)+dpup_minQ</f>
        <v>97.483163772306128</v>
      </c>
      <c r="S3913" s="132"/>
      <c r="T3913" s="145"/>
      <c r="U3913" s="138">
        <f>P_1_minW-(U3911^2*R_up)+dpup_minQ</f>
        <v>79.200691668555692</v>
      </c>
      <c r="V3913" s="132"/>
      <c r="W3913" s="145"/>
      <c r="X3913" s="138">
        <f>P_1_minW-(X3911^2*R_up)+dpup_minQ</f>
        <v>-29.889918492287606</v>
      </c>
      <c r="Y3913" s="132"/>
      <c r="Z3913" s="145"/>
      <c r="AA3913" s="138">
        <f>P_1_minW-(AA3911^2*R_up)+dpup_minQ</f>
        <v>-394.2251488371092</v>
      </c>
      <c r="AB3913" s="132"/>
      <c r="AC3913" s="145"/>
      <c r="AD3913" s="138">
        <f>P_1_minW-(AD3911^2*R_up)+dpup_minQ</f>
        <v>-1237.678271481137</v>
      </c>
      <c r="AE3913" s="132"/>
      <c r="AF3913" s="145"/>
      <c r="AG3913" s="138">
        <f>P_1_minW-(AG3911^2*R_up)+dpup_minQ</f>
        <v>-2532.016045906686</v>
      </c>
      <c r="AH3913" s="132"/>
      <c r="AI3913" s="145"/>
      <c r="AJ3913" s="138">
        <f>P_1_minW-(AJ3911^2*R_up)+dpup_minQ</f>
        <v>-4143.7249697627349</v>
      </c>
      <c r="AK3913" s="132"/>
      <c r="AL3913" s="145"/>
      <c r="AM3913" s="138">
        <f>P_1_minW-(AM3911^2*R_up)+dpup_minQ</f>
        <v>-5735.0661034387313</v>
      </c>
      <c r="AN3913" s="132"/>
      <c r="AO3913" s="145"/>
      <c r="AP3913" s="138">
        <f>P_1_minW-(AP3911^2*R_up)+dpup_minQ</f>
        <v>-7163.1272558509427</v>
      </c>
      <c r="AQ3913" s="132"/>
      <c r="AR3913" s="145"/>
      <c r="AS3913" s="138">
        <f>P_1_minW-(AS3911^2*R_up)+dpup_minQ</f>
        <v>-8940.6576209526011</v>
      </c>
      <c r="AT3913" s="132"/>
      <c r="AU3913" s="145"/>
    </row>
    <row r="3914" spans="13:47" x14ac:dyDescent="0.25">
      <c r="M3914" s="20"/>
      <c r="N3914" s="20"/>
      <c r="O3914" s="7" t="s">
        <v>189</v>
      </c>
      <c r="P3914" s="1"/>
      <c r="Q3914" s="7"/>
      <c r="R3914" s="181">
        <f>P_2_minW+(R3911^2*R_dn)-dpdn_minQ</f>
        <v>50</v>
      </c>
      <c r="S3914" s="132"/>
      <c r="T3914" s="146"/>
      <c r="U3914" s="138">
        <f>P_2_minW+(U3911^2*R_dn)-dpdn_minQ</f>
        <v>50</v>
      </c>
      <c r="V3914" s="132"/>
      <c r="W3914" s="146"/>
      <c r="X3914" s="138">
        <f>P_2_minW+(X3911^2*R_dn)-dpdn_minQ</f>
        <v>50</v>
      </c>
      <c r="Y3914" s="132"/>
      <c r="Z3914" s="146"/>
      <c r="AA3914" s="138">
        <f>P_2_minW+(AA3911^2*R_dn)-dpdn_minQ</f>
        <v>50</v>
      </c>
      <c r="AB3914" s="132"/>
      <c r="AC3914" s="146"/>
      <c r="AD3914" s="138">
        <f>P_2_minW+(AD3911^2*R_dn)-dpdn_minQ</f>
        <v>50</v>
      </c>
      <c r="AE3914" s="132"/>
      <c r="AF3914" s="146"/>
      <c r="AG3914" s="138">
        <f>P_2_minW+(AG3911^2*R_dn)-dpdn_minQ</f>
        <v>50</v>
      </c>
      <c r="AH3914" s="132"/>
      <c r="AI3914" s="146"/>
      <c r="AJ3914" s="138">
        <f>P_2_minW+(AJ3911^2*R_dn)-dpdn_minQ</f>
        <v>50</v>
      </c>
      <c r="AK3914" s="132"/>
      <c r="AL3914" s="146"/>
      <c r="AM3914" s="138">
        <f>P_2_minW+(AM3911^2*R_dn)-dpdn_minQ</f>
        <v>50</v>
      </c>
      <c r="AN3914" s="132"/>
      <c r="AO3914" s="146"/>
      <c r="AP3914" s="138">
        <f>P_2_minW+(AP3911^2*R_dn)-dpdn_minQ</f>
        <v>50</v>
      </c>
      <c r="AQ3914" s="132"/>
      <c r="AR3914" s="146"/>
      <c r="AS3914" s="138">
        <f>P_2_minW+(AS3911^2*R_dn)-dpdn_minQ</f>
        <v>50</v>
      </c>
      <c r="AT3914" s="132"/>
      <c r="AU3914" s="146"/>
    </row>
    <row r="3915" spans="13:47" x14ac:dyDescent="0.25">
      <c r="M3915" s="20"/>
      <c r="N3915" s="20"/>
      <c r="O3915" s="7" t="s">
        <v>234</v>
      </c>
      <c r="P3915" s="1"/>
      <c r="Q3915" s="7"/>
      <c r="R3915" s="179">
        <f>'Valve Sizing'!G$8*R3913/P_1_maxW</f>
        <v>0.47024142623003912</v>
      </c>
      <c r="S3915" s="132"/>
      <c r="T3915" s="146"/>
      <c r="U3915" s="143">
        <f>'Valve Sizing'!$G$8*U3913/P_1_maxW</f>
        <v>0.38205003579508007</v>
      </c>
      <c r="V3915" s="132"/>
      <c r="W3915" s="146"/>
      <c r="X3915" s="143">
        <f>'Valve Sizing'!$G$8*X3913/P_1_maxW</f>
        <v>-0.14418364523480873</v>
      </c>
      <c r="Y3915" s="132"/>
      <c r="Z3915" s="146"/>
      <c r="AA3915" s="143">
        <f>'Valve Sizing'!$G$8*AA3913/P_1_maxW</f>
        <v>-1.9016719305285448</v>
      </c>
      <c r="AB3915" s="132"/>
      <c r="AC3915" s="146"/>
      <c r="AD3915" s="143">
        <f>'Valve Sizing'!$G$8*AD3913/P_1_maxW</f>
        <v>-5.9703396265905893</v>
      </c>
      <c r="AE3915" s="132"/>
      <c r="AF3915" s="146"/>
      <c r="AG3915" s="143">
        <f>'Valve Sizing'!$G$8*AG3913/P_1_maxW</f>
        <v>-12.213994607782285</v>
      </c>
      <c r="AH3915" s="132"/>
      <c r="AI3915" s="146"/>
      <c r="AJ3915" s="143">
        <f>'Valve Sizing'!$G$8*AJ3913/P_1_maxW</f>
        <v>-19.988591509376267</v>
      </c>
      <c r="AK3915" s="132"/>
      <c r="AL3915" s="146"/>
      <c r="AM3915" s="143">
        <f>'Valve Sizing'!$G$8*AM3913/P_1_maxW</f>
        <v>-27.66493781740321</v>
      </c>
      <c r="AN3915" s="132"/>
      <c r="AO3915" s="146"/>
      <c r="AP3915" s="143">
        <f>'Valve Sizing'!$G$8*AP3913/P_1_maxW</f>
        <v>-34.55365056602254</v>
      </c>
      <c r="AQ3915" s="132"/>
      <c r="AR3915" s="146"/>
      <c r="AS3915" s="143">
        <f>'Valve Sizing'!$G$8*AS3913/P_1_maxW</f>
        <v>-43.128140577497398</v>
      </c>
      <c r="AT3915" s="132"/>
      <c r="AU3915" s="146"/>
    </row>
    <row r="3916" spans="13:47" x14ac:dyDescent="0.25">
      <c r="M3916" s="20"/>
      <c r="N3916" s="20"/>
      <c r="O3916" s="7" t="s">
        <v>190</v>
      </c>
      <c r="P3916" s="1"/>
      <c r="Q3916" s="7"/>
      <c r="R3916" s="181">
        <f>R3913-R3914</f>
        <v>47.483163772306128</v>
      </c>
      <c r="S3916" s="132"/>
      <c r="T3916" s="146"/>
      <c r="U3916" s="138">
        <f>U3913-U3914</f>
        <v>29.200691668555692</v>
      </c>
      <c r="V3916" s="132"/>
      <c r="W3916" s="146"/>
      <c r="X3916" s="138">
        <f>X3913-X3914</f>
        <v>-79.889918492287606</v>
      </c>
      <c r="Y3916" s="132"/>
      <c r="Z3916" s="146"/>
      <c r="AA3916" s="138">
        <f>AA3913-AA3914</f>
        <v>-444.2251488371092</v>
      </c>
      <c r="AB3916" s="132"/>
      <c r="AC3916" s="146"/>
      <c r="AD3916" s="138">
        <f>AD3913-AD3914</f>
        <v>-1287.678271481137</v>
      </c>
      <c r="AE3916" s="132"/>
      <c r="AF3916" s="146"/>
      <c r="AG3916" s="138">
        <f>AG3913-AG3914</f>
        <v>-2582.016045906686</v>
      </c>
      <c r="AH3916" s="132"/>
      <c r="AI3916" s="146"/>
      <c r="AJ3916" s="138">
        <f>AJ3913-AJ3914</f>
        <v>-4193.7249697627349</v>
      </c>
      <c r="AK3916" s="132"/>
      <c r="AL3916" s="146"/>
      <c r="AM3916" s="138">
        <f>AM3913-AM3914</f>
        <v>-5785.0661034387313</v>
      </c>
      <c r="AN3916" s="132"/>
      <c r="AO3916" s="146"/>
      <c r="AP3916" s="138">
        <f>AP3913-AP3914</f>
        <v>-7213.1272558509427</v>
      </c>
      <c r="AQ3916" s="132"/>
      <c r="AR3916" s="146"/>
      <c r="AS3916" s="138">
        <f>AS3913-AS3914</f>
        <v>-8990.6576209526011</v>
      </c>
      <c r="AT3916" s="132"/>
      <c r="AU3916" s="146"/>
    </row>
    <row r="3917" spans="13:47" ht="14.5" x14ac:dyDescent="0.35">
      <c r="M3917" s="27"/>
      <c r="N3917" s="27"/>
      <c r="O3917" s="2" t="s">
        <v>191</v>
      </c>
      <c r="P3917" s="10"/>
      <c r="Q3917" s="2"/>
      <c r="R3917" s="181">
        <f>R3916/R3913</f>
        <v>0.48709091841965391</v>
      </c>
      <c r="S3917" s="132"/>
      <c r="T3917" s="146"/>
      <c r="U3917" s="138">
        <f>U3916/U3913</f>
        <v>0.36869238201550919</v>
      </c>
      <c r="V3917" s="132"/>
      <c r="W3917" s="146"/>
      <c r="X3917" s="138">
        <f>X3916/X3913</f>
        <v>2.6728048292571067</v>
      </c>
      <c r="Y3917" s="132"/>
      <c r="Z3917" s="146"/>
      <c r="AA3917" s="138">
        <f>AA3916/AA3913</f>
        <v>1.1268310764736615</v>
      </c>
      <c r="AB3917" s="132"/>
      <c r="AC3917" s="146"/>
      <c r="AD3917" s="138">
        <f>AD3916/AD3913</f>
        <v>1.0403982207267521</v>
      </c>
      <c r="AE3917" s="132"/>
      <c r="AF3917" s="146"/>
      <c r="AG3917" s="138">
        <f>AG3916/AG3913</f>
        <v>1.019747110244752</v>
      </c>
      <c r="AH3917" s="132"/>
      <c r="AI3917" s="146"/>
      <c r="AJ3917" s="138">
        <f>AJ3916/AJ3913</f>
        <v>1.0120664378946131</v>
      </c>
      <c r="AK3917" s="132"/>
      <c r="AL3917" s="146"/>
      <c r="AM3917" s="138">
        <f>AM3916/AM3913</f>
        <v>1.008718295325318</v>
      </c>
      <c r="AN3917" s="132"/>
      <c r="AO3917" s="146"/>
      <c r="AP3917" s="138">
        <f>AP3916/AP3913</f>
        <v>1.0069801915021346</v>
      </c>
      <c r="AQ3917" s="132"/>
      <c r="AR3917" s="146"/>
      <c r="AS3917" s="138">
        <f>AS3916/AS3913</f>
        <v>1.0055924297875833</v>
      </c>
      <c r="AT3917" s="132"/>
      <c r="AU3917" s="146"/>
    </row>
    <row r="3918" spans="13:47" x14ac:dyDescent="0.25">
      <c r="M3918" s="27"/>
      <c r="N3918" s="27"/>
      <c r="O3918" s="2" t="s">
        <v>26</v>
      </c>
      <c r="P3918" s="7">
        <v>12</v>
      </c>
      <c r="Q3918" s="2"/>
      <c r="R3918" s="181">
        <f>1-R3917/(3*F_GAMMA*R$29)</f>
        <v>0.74631746804954135</v>
      </c>
      <c r="S3918" s="133"/>
      <c r="T3918" s="146"/>
      <c r="U3918" s="138">
        <f>1-U3917/(3*F_GAMMA*U$29)</f>
        <v>0.80802306040287608</v>
      </c>
      <c r="V3918" s="133"/>
      <c r="W3918" s="146"/>
      <c r="X3918" s="138">
        <f>1-X3917/(3*F_GAMMA*X$29)</f>
        <v>-0.41259892164533407</v>
      </c>
      <c r="Y3918" s="133"/>
      <c r="Z3918" s="146"/>
      <c r="AA3918" s="138">
        <f>1-AA3917/(3*F_GAMMA*AA$29)</f>
        <v>0.39629500980661125</v>
      </c>
      <c r="AB3918" s="133"/>
      <c r="AC3918" s="146"/>
      <c r="AD3918" s="138">
        <f>1-AD3917/(3*F_GAMMA*AD$29)</f>
        <v>0.42731914126191317</v>
      </c>
      <c r="AE3918" s="133"/>
      <c r="AF3918" s="146"/>
      <c r="AG3918" s="138">
        <f>1-AG3917/(3*F_GAMMA*AG$29)</f>
        <v>0.40666820615913102</v>
      </c>
      <c r="AH3918" s="133"/>
      <c r="AI3918" s="146"/>
      <c r="AJ3918" s="138">
        <f>1-AJ3917/(3*F_GAMMA*AJ$29)</f>
        <v>0.37049762466278591</v>
      </c>
      <c r="AK3918" s="133"/>
      <c r="AL3918" s="146"/>
      <c r="AM3918" s="138">
        <f>1-AM3917/(3*F_GAMMA*AM$29)</f>
        <v>0.31448002276637732</v>
      </c>
      <c r="AN3918" s="133"/>
      <c r="AO3918" s="146"/>
      <c r="AP3918" s="138">
        <f>1-AP3917/(3*F_GAMMA*AP$29)</f>
        <v>0.43446804288968266</v>
      </c>
      <c r="AQ3918" s="133"/>
      <c r="AR3918" s="146"/>
      <c r="AS3918" s="138">
        <f>1-AS3917/(3*F_GAMMA*AS$29)</f>
        <v>0.14265651971798043</v>
      </c>
      <c r="AT3918" s="133"/>
      <c r="AU3918" s="146"/>
    </row>
    <row r="3919" spans="13:47" x14ac:dyDescent="0.25">
      <c r="M3919" s="27"/>
      <c r="N3919" s="27"/>
      <c r="O3919" s="2" t="s">
        <v>71</v>
      </c>
      <c r="P3919" s="85">
        <v>5</v>
      </c>
      <c r="Q3919" s="2"/>
      <c r="R3919" s="179">
        <f>R3911/((N_6*R$27*R3918)*SQRT(R3917*R3913*R3915))</f>
        <v>12.369351774389884</v>
      </c>
      <c r="S3919" s="133"/>
      <c r="T3919" s="146"/>
      <c r="U3919" s="143">
        <f>U3911/((N_6*U$27*U3918)*SQRT(U3917*U3913*U3915))</f>
        <v>42.834668444921313</v>
      </c>
      <c r="V3919" s="133"/>
      <c r="W3919" s="146"/>
      <c r="X3919" s="143">
        <f>X3911/((N_6*X$27*X3918)*SQRT(X3917*X3913*X3915))</f>
        <v>-204.62100637671662</v>
      </c>
      <c r="Y3919" s="133"/>
      <c r="Z3919" s="146"/>
      <c r="AA3919" s="143">
        <f>AA3911/((N_6*AA$27*AA3918)*SQRT(AA3917*AA3913*AA3915))</f>
        <v>48.732304302842408</v>
      </c>
      <c r="AB3919" s="133"/>
      <c r="AC3919" s="146"/>
      <c r="AD3919" s="143">
        <f>AD3911/((N_6*AD$27*AD3918)*SQRT(AD3917*AD3913*AD3915))</f>
        <v>24.932322746509289</v>
      </c>
      <c r="AE3919" s="133"/>
      <c r="AF3919" s="146"/>
      <c r="AG3919" s="143">
        <f>AG3911/((N_6*AG$27*AG3918)*SQRT(AG3917*AG3913*AG3915))</f>
        <v>18.533915105265393</v>
      </c>
      <c r="AH3919" s="133"/>
      <c r="AI3919" s="146"/>
      <c r="AJ3919" s="143">
        <f>AJ3911/((N_6*AJ$27*AJ3918)*SQRT(AJ3917*AJ3913*AJ3915))</f>
        <v>16.387464704241449</v>
      </c>
      <c r="AK3919" s="133"/>
      <c r="AL3919" s="146"/>
      <c r="AM3919" s="143">
        <f>AM3911/((N_6*AM$27*AM3918)*SQRT(AM3917*AM3913*AM3915))</f>
        <v>17.390113492048869</v>
      </c>
      <c r="AN3919" s="133"/>
      <c r="AO3919" s="146"/>
      <c r="AP3919" s="143">
        <f>AP3911/((N_6*AP$27*AP3918)*SQRT(AP3917*AP3913*AP3915))</f>
        <v>12.783127536277153</v>
      </c>
      <c r="AQ3919" s="133"/>
      <c r="AR3919" s="146"/>
      <c r="AS3919" s="143">
        <f>AS3911/((N_6*AS$27*AS3918)*SQRT(AS3917*AS3913*AS3915))</f>
        <v>45.757104414361933</v>
      </c>
      <c r="AT3919" s="133"/>
      <c r="AU3919" s="146"/>
    </row>
    <row r="3920" spans="13:47" x14ac:dyDescent="0.25">
      <c r="M3920" s="27"/>
      <c r="N3920" s="27"/>
      <c r="O3920" s="2" t="s">
        <v>73</v>
      </c>
      <c r="P3920" s="85">
        <v>5</v>
      </c>
      <c r="Q3920" s="2"/>
      <c r="R3920" s="179">
        <f>R3911/((N_6*R$27*0.667)*SQRT(R3921*R3913*R3915))</f>
        <v>12.07398474019433</v>
      </c>
      <c r="S3920" s="133"/>
      <c r="T3920" s="155"/>
      <c r="U3920" s="143">
        <f>U3911/((N_6*U$27*0.667)*SQRT(U3921*U3913*U3915))</f>
        <v>39.380251966224549</v>
      </c>
      <c r="V3920" s="133"/>
      <c r="W3920" s="155"/>
      <c r="X3920" s="143">
        <f>X3911/((N_6*X$27*0.667)*SQRT(X3921*X3913*X3915))</f>
        <v>260.56887235965519</v>
      </c>
      <c r="Y3920" s="133"/>
      <c r="Z3920" s="155"/>
      <c r="AA3920" s="143">
        <f>AA3911/((N_6*AA$27*0.667)*SQRT(AA3921*AA3913*AA3915))</f>
        <v>38.965721972397411</v>
      </c>
      <c r="AB3920" s="133"/>
      <c r="AC3920" s="155"/>
      <c r="AD3920" s="143">
        <f>AD3911/((N_6*AD$27*0.667)*SQRT(AD3921*AD3913*AD3915))</f>
        <v>20.936602821399632</v>
      </c>
      <c r="AE3920" s="133"/>
      <c r="AF3920" s="155"/>
      <c r="AG3920" s="143">
        <f>AG3911/((N_6*AG$27*0.667)*SQRT(AG3921*AG3913*AG3915))</f>
        <v>15.076168865134477</v>
      </c>
      <c r="AH3920" s="133"/>
      <c r="AI3920" s="155"/>
      <c r="AJ3920" s="143">
        <f>AJ3911/((N_6*AJ$27*0.667)*SQRT(AJ3921*AJ3913*AJ3915))</f>
        <v>12.509232868879947</v>
      </c>
      <c r="AK3920" s="133"/>
      <c r="AL3920" s="155"/>
      <c r="AM3920" s="143">
        <f>AM3911/((N_6*AM$27*0.667)*SQRT(AM3921*AM3913*AM3915))</f>
        <v>11.758186103064288</v>
      </c>
      <c r="AN3920" s="133"/>
      <c r="AO3920" s="155"/>
      <c r="AP3920" s="143">
        <f>AP3911/((N_6*AP$27*0.667)*SQRT(AP3921*AP3913*AP3915))</f>
        <v>10.845718507764628</v>
      </c>
      <c r="AQ3920" s="133"/>
      <c r="AR3920" s="155"/>
      <c r="AS3920" s="143">
        <f>AS3911/((N_6*AS$27*0.667)*SQRT(AS3921*AS3913*AS3915))</f>
        <v>15.695038186058664</v>
      </c>
      <c r="AT3920" s="133"/>
      <c r="AU3920" s="155"/>
    </row>
    <row r="3921" spans="13:47" ht="15.5" x14ac:dyDescent="0.4">
      <c r="M3921" s="27"/>
      <c r="N3921" s="27"/>
      <c r="O3921" s="2" t="s">
        <v>192</v>
      </c>
      <c r="P3921" s="85">
        <v>10</v>
      </c>
      <c r="Q3921" s="2"/>
      <c r="R3921" s="181">
        <f>F_GAMMA*R$29</f>
        <v>0.64002688015162901</v>
      </c>
      <c r="S3921" s="133"/>
      <c r="T3921" s="155"/>
      <c r="U3921" s="138">
        <f>F_GAMMA*U$29</f>
        <v>0.64016782916606918</v>
      </c>
      <c r="V3921" s="133"/>
      <c r="W3921" s="155"/>
      <c r="X3921" s="138">
        <f>F_GAMMA*X$29</f>
        <v>0.6307062319203669</v>
      </c>
      <c r="Y3921" s="133"/>
      <c r="Z3921" s="155"/>
      <c r="AA3921" s="138">
        <f>F_GAMMA*AA$29</f>
        <v>0.62217534213893466</v>
      </c>
      <c r="AB3921" s="133"/>
      <c r="AC3921" s="155"/>
      <c r="AD3921" s="138">
        <f>F_GAMMA*AD$29</f>
        <v>0.60557184969146072</v>
      </c>
      <c r="AE3921" s="133"/>
      <c r="AF3921" s="155"/>
      <c r="AG3921" s="138">
        <f>F_GAMMA*AG$29</f>
        <v>0.57289312142622573</v>
      </c>
      <c r="AH3921" s="133"/>
      <c r="AI3921" s="155"/>
      <c r="AJ3921" s="138">
        <f>F_GAMMA*AJ$29</f>
        <v>0.53590819116049981</v>
      </c>
      <c r="AK3921" s="133"/>
      <c r="AL3921" s="155"/>
      <c r="AM3921" s="138">
        <f>F_GAMMA*AM$29</f>
        <v>0.49048815926850342</v>
      </c>
      <c r="AN3921" s="133"/>
      <c r="AO3921" s="155"/>
      <c r="AP3921" s="138">
        <f>F_GAMMA*AP$29</f>
        <v>0.59352979016280105</v>
      </c>
      <c r="AQ3921" s="133"/>
      <c r="AR3921" s="155"/>
      <c r="AS3921" s="138">
        <f>F_GAMMA*AS$29</f>
        <v>0.39097221161068291</v>
      </c>
      <c r="AT3921" s="133"/>
      <c r="AU3921" s="155"/>
    </row>
    <row r="3922" spans="13:47" x14ac:dyDescent="0.25">
      <c r="M3922" s="27"/>
      <c r="N3922" s="27"/>
      <c r="O3922" s="2" t="s">
        <v>193</v>
      </c>
      <c r="P3922" s="134"/>
      <c r="Q3922" s="2"/>
      <c r="R3922" s="181">
        <f>IF(R3917&lt;R3921,R3919,R3920)</f>
        <v>12.369351774389884</v>
      </c>
      <c r="S3922" s="133"/>
      <c r="T3922" s="155"/>
      <c r="U3922" s="138">
        <f>IF(U3917&lt;U3921,U3919,U3920)</f>
        <v>42.834668444921313</v>
      </c>
      <c r="V3922" s="133"/>
      <c r="W3922" s="155"/>
      <c r="X3922" s="138">
        <f>IF(X3917&lt;X3921,X3919,X3920)</f>
        <v>260.56887235965519</v>
      </c>
      <c r="Y3922" s="133"/>
      <c r="Z3922" s="155"/>
      <c r="AA3922" s="138">
        <f>IF(AA3917&lt;AA3921,AA3919,AA3920)</f>
        <v>38.965721972397411</v>
      </c>
      <c r="AB3922" s="133"/>
      <c r="AC3922" s="155"/>
      <c r="AD3922" s="138">
        <f>IF(AD3917&lt;AD3921,AD3919,AD3920)</f>
        <v>20.936602821399632</v>
      </c>
      <c r="AE3922" s="133"/>
      <c r="AF3922" s="155"/>
      <c r="AG3922" s="138">
        <f>IF(AG3917&lt;AG3921,AG3919,AG3920)</f>
        <v>15.076168865134477</v>
      </c>
      <c r="AH3922" s="133"/>
      <c r="AI3922" s="155"/>
      <c r="AJ3922" s="138">
        <f>IF(AJ3917&lt;AJ3921,AJ3919,AJ3920)</f>
        <v>12.509232868879947</v>
      </c>
      <c r="AK3922" s="133"/>
      <c r="AL3922" s="155"/>
      <c r="AM3922" s="138">
        <f>IF(AM3917&lt;AM3921,AM3919,AM3920)</f>
        <v>11.758186103064288</v>
      </c>
      <c r="AN3922" s="133"/>
      <c r="AO3922" s="155"/>
      <c r="AP3922" s="138">
        <f>IF(AP3917&lt;AP3921,AP3919,AP3920)</f>
        <v>10.845718507764628</v>
      </c>
      <c r="AQ3922" s="133"/>
      <c r="AR3922" s="155"/>
      <c r="AS3922" s="138">
        <f>IF(AS3917&lt;AS3921,AS3919,AS3920)</f>
        <v>15.695038186058664</v>
      </c>
      <c r="AT3922" s="133"/>
      <c r="AU3922" s="155"/>
    </row>
    <row r="3923" spans="13:47" ht="13" x14ac:dyDescent="0.3">
      <c r="M3923" s="28"/>
      <c r="N3923" s="28"/>
      <c r="O3923" s="9" t="s">
        <v>194</v>
      </c>
      <c r="P3923" s="1"/>
      <c r="Q3923" s="1"/>
      <c r="R3923" s="135"/>
      <c r="S3923" s="132">
        <f>IF(R3916&lt;=0,W_max,ABS(R$23-R3922))</f>
        <v>10.369351774389884</v>
      </c>
      <c r="T3923" s="151">
        <f>R3911</f>
        <v>2760.9151809307682</v>
      </c>
      <c r="U3923" s="135"/>
      <c r="V3923" s="132">
        <f>IF(U3916&lt;=0,W_max,ABS(U$23-U3922))</f>
        <v>37.834668444921313</v>
      </c>
      <c r="W3923" s="151">
        <f>U3911</f>
        <v>7312.3697594896712</v>
      </c>
      <c r="X3923" s="135"/>
      <c r="Y3923" s="132">
        <f>IF(X3916&lt;=0,W_max,ABS(X$23-X3922))</f>
        <v>7174</v>
      </c>
      <c r="Z3923" s="151">
        <f>X3911</f>
        <v>18084.36059741984</v>
      </c>
      <c r="AA3923" s="135"/>
      <c r="AB3923" s="132">
        <f>IF(AA3916&lt;=0,W_max,ABS(AA$23-AA3922))</f>
        <v>7174</v>
      </c>
      <c r="AC3923" s="151">
        <f>AA3911</f>
        <v>35223.718493678069</v>
      </c>
      <c r="AD3923" s="135"/>
      <c r="AE3923" s="132">
        <f>IF(AD3916&lt;=0,W_max,ABS(AD$23-AD3922))</f>
        <v>7174</v>
      </c>
      <c r="AF3923" s="151">
        <f>AD3911</f>
        <v>57930.04831837384</v>
      </c>
      <c r="AG3923" s="135"/>
      <c r="AH3923" s="132">
        <f>IF(AG3916&lt;=0,W_max,ABS(AG$23-AG3922))</f>
        <v>7174</v>
      </c>
      <c r="AI3923" s="151">
        <f>AG3911</f>
        <v>81251.352579042446</v>
      </c>
      <c r="AJ3923" s="135"/>
      <c r="AK3923" s="132">
        <f>IF(AJ3916&lt;=0,W_max,ABS(AJ$23-AJ3922))</f>
        <v>7174</v>
      </c>
      <c r="AL3923" s="151">
        <f>AJ3911</f>
        <v>103167.65760969311</v>
      </c>
      <c r="AM3923" s="135"/>
      <c r="AN3923" s="132">
        <f>IF(AM3916&lt;=0,W_max,ABS(AM$23-AM3922))</f>
        <v>7174</v>
      </c>
      <c r="AO3923" s="151">
        <f>AM3911</f>
        <v>120972.19215992605</v>
      </c>
      <c r="AP3923" s="135"/>
      <c r="AQ3923" s="132">
        <f>IF(AP3916&lt;=0,W_max,ABS(AP$23-AP3922))</f>
        <v>7174</v>
      </c>
      <c r="AR3923" s="151">
        <f>AP3911</f>
        <v>134964.84561954369</v>
      </c>
      <c r="AS3923" s="135"/>
      <c r="AT3923" s="132">
        <f>IF(AS3916&lt;=0,W_max,ABS(AS$23-AS3922))</f>
        <v>7174</v>
      </c>
      <c r="AU3923" s="151">
        <f>AS3911</f>
        <v>150576.00617029602</v>
      </c>
    </row>
    <row r="3924" spans="13:47" ht="13" x14ac:dyDescent="0.25">
      <c r="M3924" s="12"/>
      <c r="N3924" s="12"/>
      <c r="O3924" s="2"/>
      <c r="P3924" s="85"/>
      <c r="Q3924" s="2"/>
      <c r="R3924" s="18"/>
      <c r="S3924" s="150"/>
      <c r="T3924" s="152"/>
      <c r="U3924" s="157"/>
      <c r="V3924" s="1"/>
      <c r="W3924" s="147"/>
      <c r="X3924" s="157"/>
      <c r="Y3924" s="1"/>
      <c r="Z3924" s="147"/>
      <c r="AA3924" s="157"/>
      <c r="AB3924" s="1"/>
      <c r="AC3924" s="147"/>
      <c r="AD3924" s="157"/>
      <c r="AE3924" s="1"/>
      <c r="AF3924" s="147"/>
      <c r="AG3924" s="157"/>
      <c r="AH3924" s="1"/>
      <c r="AI3924" s="147"/>
      <c r="AJ3924" s="157"/>
      <c r="AK3924" s="1"/>
      <c r="AL3924" s="147"/>
      <c r="AM3924" s="157"/>
      <c r="AN3924" s="1"/>
      <c r="AO3924" s="147"/>
      <c r="AP3924" s="157"/>
      <c r="AQ3924" s="1"/>
      <c r="AR3924" s="147"/>
      <c r="AS3924" s="157"/>
      <c r="AT3924" s="1"/>
      <c r="AU3924" s="147"/>
    </row>
    <row r="3925" spans="13:47" ht="14" x14ac:dyDescent="0.3">
      <c r="M3925" s="23"/>
      <c r="N3925" s="23"/>
      <c r="O3925" s="23" t="s">
        <v>238</v>
      </c>
      <c r="P3925" s="20"/>
      <c r="Q3925" s="20"/>
      <c r="R3925" s="181">
        <f>R3911*1.02</f>
        <v>2816.1334845493834</v>
      </c>
      <c r="S3925" s="128" t="s">
        <v>185</v>
      </c>
      <c r="T3925" s="153" t="s">
        <v>186</v>
      </c>
      <c r="U3925" s="143">
        <f>U3911*1.01</f>
        <v>7385.493457084568</v>
      </c>
      <c r="V3925" s="128" t="s">
        <v>185</v>
      </c>
      <c r="W3925" s="153" t="s">
        <v>186</v>
      </c>
      <c r="X3925" s="143">
        <f>X3911*1.01</f>
        <v>18265.204203394038</v>
      </c>
      <c r="Y3925" s="128" t="s">
        <v>185</v>
      </c>
      <c r="Z3925" s="153" t="s">
        <v>186</v>
      </c>
      <c r="AA3925" s="143">
        <f>AA3911*1.01</f>
        <v>35575.955678614853</v>
      </c>
      <c r="AB3925" s="128" t="s">
        <v>185</v>
      </c>
      <c r="AC3925" s="153" t="s">
        <v>186</v>
      </c>
      <c r="AD3925" s="143">
        <f>AD3911*1.01</f>
        <v>58509.348801557579</v>
      </c>
      <c r="AE3925" s="128" t="s">
        <v>185</v>
      </c>
      <c r="AF3925" s="153" t="s">
        <v>186</v>
      </c>
      <c r="AG3925" s="143">
        <f>AG3911*1.01</f>
        <v>82063.866104832865</v>
      </c>
      <c r="AH3925" s="128" t="s">
        <v>185</v>
      </c>
      <c r="AI3925" s="153" t="s">
        <v>186</v>
      </c>
      <c r="AJ3925" s="143">
        <f>AJ3911*1.01</f>
        <v>104199.33418579004</v>
      </c>
      <c r="AK3925" s="128" t="s">
        <v>185</v>
      </c>
      <c r="AL3925" s="153" t="s">
        <v>186</v>
      </c>
      <c r="AM3925" s="143">
        <f>AM3911*1.01</f>
        <v>122181.91408152532</v>
      </c>
      <c r="AN3925" s="128" t="s">
        <v>185</v>
      </c>
      <c r="AO3925" s="153" t="s">
        <v>186</v>
      </c>
      <c r="AP3925" s="143">
        <f>AP3911*1.01</f>
        <v>136314.49407573912</v>
      </c>
      <c r="AQ3925" s="128" t="s">
        <v>185</v>
      </c>
      <c r="AR3925" s="153" t="s">
        <v>186</v>
      </c>
      <c r="AS3925" s="143">
        <f>AS3911*1.01</f>
        <v>152081.76623199898</v>
      </c>
      <c r="AT3925" s="128" t="s">
        <v>185</v>
      </c>
      <c r="AU3925" s="153" t="s">
        <v>186</v>
      </c>
    </row>
    <row r="3926" spans="13:47" ht="14" x14ac:dyDescent="0.3">
      <c r="M3926" s="12"/>
      <c r="N3926" s="12"/>
      <c r="O3926" s="20"/>
      <c r="P3926" s="20"/>
      <c r="Q3926" s="23"/>
      <c r="R3926" s="139"/>
      <c r="S3926" s="130" t="s">
        <v>228</v>
      </c>
      <c r="T3926" s="154" t="s">
        <v>187</v>
      </c>
      <c r="U3926" s="144"/>
      <c r="V3926" s="130" t="s">
        <v>228</v>
      </c>
      <c r="W3926" s="154" t="s">
        <v>187</v>
      </c>
      <c r="X3926" s="144"/>
      <c r="Y3926" s="130" t="s">
        <v>228</v>
      </c>
      <c r="Z3926" s="154" t="s">
        <v>187</v>
      </c>
      <c r="AA3926" s="144"/>
      <c r="AB3926" s="130" t="s">
        <v>228</v>
      </c>
      <c r="AC3926" s="154" t="s">
        <v>187</v>
      </c>
      <c r="AD3926" s="144"/>
      <c r="AE3926" s="130" t="s">
        <v>228</v>
      </c>
      <c r="AF3926" s="154" t="s">
        <v>187</v>
      </c>
      <c r="AG3926" s="144"/>
      <c r="AH3926" s="130" t="s">
        <v>228</v>
      </c>
      <c r="AI3926" s="154" t="s">
        <v>187</v>
      </c>
      <c r="AJ3926" s="144"/>
      <c r="AK3926" s="130" t="s">
        <v>228</v>
      </c>
      <c r="AL3926" s="154" t="s">
        <v>187</v>
      </c>
      <c r="AM3926" s="144"/>
      <c r="AN3926" s="130" t="s">
        <v>228</v>
      </c>
      <c r="AO3926" s="154" t="s">
        <v>187</v>
      </c>
      <c r="AP3926" s="144"/>
      <c r="AQ3926" s="130" t="s">
        <v>228</v>
      </c>
      <c r="AR3926" s="154" t="s">
        <v>187</v>
      </c>
      <c r="AS3926" s="144"/>
      <c r="AT3926" s="130" t="s">
        <v>228</v>
      </c>
      <c r="AU3926" s="154" t="s">
        <v>187</v>
      </c>
    </row>
    <row r="3927" spans="13:47" x14ac:dyDescent="0.25">
      <c r="M3927" s="20"/>
      <c r="N3927" s="20"/>
      <c r="O3927" s="7" t="s">
        <v>188</v>
      </c>
      <c r="P3927" s="7"/>
      <c r="Q3927" s="7"/>
      <c r="R3927" s="181">
        <f>P_1_minW-(R3925^2*R_up)+dpup_minQ</f>
        <v>97.36036300454353</v>
      </c>
      <c r="S3927" s="132"/>
      <c r="T3927" s="145"/>
      <c r="U3927" s="138">
        <f>P_1_minW-(U3925^2*R_up)+dpup_minQ</f>
        <v>78.772117557685448</v>
      </c>
      <c r="V3927" s="132"/>
      <c r="W3927" s="145"/>
      <c r="X3927" s="138">
        <f>P_1_minW-(X3925^2*R_up)+dpup_minQ</f>
        <v>-32.511213867390765</v>
      </c>
      <c r="Y3927" s="132"/>
      <c r="Z3927" s="145"/>
      <c r="AA3927" s="138">
        <f>P_1_minW-(AA3925^2*R_up)+dpup_minQ</f>
        <v>-404.16958234214343</v>
      </c>
      <c r="AB3927" s="132"/>
      <c r="AC3927" s="145"/>
      <c r="AD3927" s="138">
        <f>P_1_minW-(AD3925^2*R_up)+dpup_minQ</f>
        <v>-1264.576112751316</v>
      </c>
      <c r="AE3927" s="132"/>
      <c r="AF3927" s="145"/>
      <c r="AG3927" s="138">
        <f>P_1_minW-(AG3925^2*R_up)+dpup_minQ</f>
        <v>-2584.9300764428185</v>
      </c>
      <c r="AH3927" s="132"/>
      <c r="AI3927" s="145"/>
      <c r="AJ3927" s="138">
        <f>P_1_minW-(AJ3925^2*R_up)+dpup_minQ</f>
        <v>-4229.0343496683745</v>
      </c>
      <c r="AK3927" s="132"/>
      <c r="AL3927" s="145"/>
      <c r="AM3927" s="138">
        <f>P_1_minW-(AM3925^2*R_up)+dpup_minQ</f>
        <v>-5852.361440131258</v>
      </c>
      <c r="AN3927" s="132"/>
      <c r="AO3927" s="145"/>
      <c r="AP3927" s="138">
        <f>P_1_minW-(AP3925^2*R_up)+dpup_minQ</f>
        <v>-7309.1266217069533</v>
      </c>
      <c r="AQ3927" s="132"/>
      <c r="AR3927" s="145"/>
      <c r="AS3927" s="138">
        <f>P_1_minW-(AS3925^2*R_up)+dpup_minQ</f>
        <v>-9122.3853471471557</v>
      </c>
      <c r="AT3927" s="132"/>
      <c r="AU3927" s="145"/>
    </row>
    <row r="3928" spans="13:47" x14ac:dyDescent="0.25">
      <c r="M3928" s="20"/>
      <c r="N3928" s="20"/>
      <c r="O3928" s="7" t="s">
        <v>189</v>
      </c>
      <c r="P3928" s="1"/>
      <c r="Q3928" s="7"/>
      <c r="R3928" s="181">
        <f>P_2_minW+(R3925^2*R_dn)-dpdn_minQ</f>
        <v>50</v>
      </c>
      <c r="S3928" s="132"/>
      <c r="T3928" s="146"/>
      <c r="U3928" s="138">
        <f>P_2_minW+(U3925^2*R_dn)-dpdn_minQ</f>
        <v>50</v>
      </c>
      <c r="V3928" s="132"/>
      <c r="W3928" s="146"/>
      <c r="X3928" s="138">
        <f>P_2_minW+(X3925^2*R_dn)-dpdn_minQ</f>
        <v>50</v>
      </c>
      <c r="Y3928" s="132"/>
      <c r="Z3928" s="146"/>
      <c r="AA3928" s="138">
        <f>P_2_minW+(AA3925^2*R_dn)-dpdn_minQ</f>
        <v>50</v>
      </c>
      <c r="AB3928" s="132"/>
      <c r="AC3928" s="146"/>
      <c r="AD3928" s="138">
        <f>P_2_minW+(AD3925^2*R_dn)-dpdn_minQ</f>
        <v>50</v>
      </c>
      <c r="AE3928" s="132"/>
      <c r="AF3928" s="146"/>
      <c r="AG3928" s="138">
        <f>P_2_minW+(AG3925^2*R_dn)-dpdn_minQ</f>
        <v>50</v>
      </c>
      <c r="AH3928" s="132"/>
      <c r="AI3928" s="146"/>
      <c r="AJ3928" s="138">
        <f>P_2_minW+(AJ3925^2*R_dn)-dpdn_minQ</f>
        <v>50</v>
      </c>
      <c r="AK3928" s="132"/>
      <c r="AL3928" s="146"/>
      <c r="AM3928" s="138">
        <f>P_2_minW+(AM3925^2*R_dn)-dpdn_minQ</f>
        <v>50</v>
      </c>
      <c r="AN3928" s="132"/>
      <c r="AO3928" s="146"/>
      <c r="AP3928" s="138">
        <f>P_2_minW+(AP3925^2*R_dn)-dpdn_minQ</f>
        <v>50</v>
      </c>
      <c r="AQ3928" s="132"/>
      <c r="AR3928" s="146"/>
      <c r="AS3928" s="138">
        <f>P_2_minW+(AS3925^2*R_dn)-dpdn_minQ</f>
        <v>50</v>
      </c>
      <c r="AT3928" s="132"/>
      <c r="AU3928" s="146"/>
    </row>
    <row r="3929" spans="13:47" x14ac:dyDescent="0.25">
      <c r="M3929" s="20"/>
      <c r="N3929" s="20"/>
      <c r="O3929" s="7" t="s">
        <v>234</v>
      </c>
      <c r="P3929" s="1"/>
      <c r="Q3929" s="7"/>
      <c r="R3929" s="179">
        <f>'Valve Sizing'!G$8*R3927/P_1_maxW</f>
        <v>0.46964905718968153</v>
      </c>
      <c r="S3929" s="132"/>
      <c r="T3929" s="146"/>
      <c r="U3929" s="143">
        <f>'Valve Sizing'!$G$8*U3927/P_1_maxW</f>
        <v>0.37998267058715945</v>
      </c>
      <c r="V3929" s="132"/>
      <c r="W3929" s="146"/>
      <c r="X3929" s="143">
        <f>'Valve Sizing'!$G$8*X3927/P_1_maxW</f>
        <v>-0.15682830743142995</v>
      </c>
      <c r="Y3929" s="132"/>
      <c r="Z3929" s="146"/>
      <c r="AA3929" s="143">
        <f>'Valve Sizing'!$G$8*AA3927/P_1_maxW</f>
        <v>-1.9496421072595709</v>
      </c>
      <c r="AB3929" s="132"/>
      <c r="AC3929" s="146"/>
      <c r="AD3929" s="143">
        <f>'Valve Sizing'!$G$8*AD3927/P_1_maxW</f>
        <v>-6.100090024012462</v>
      </c>
      <c r="AE3929" s="132"/>
      <c r="AF3929" s="146"/>
      <c r="AG3929" s="143">
        <f>'Valve Sizing'!$G$8*AG3927/P_1_maxW</f>
        <v>-12.46924247032611</v>
      </c>
      <c r="AH3929" s="132"/>
      <c r="AI3929" s="146"/>
      <c r="AJ3929" s="143">
        <f>'Valve Sizing'!$G$8*AJ3927/P_1_maxW</f>
        <v>-20.400108769642134</v>
      </c>
      <c r="AK3929" s="132"/>
      <c r="AL3929" s="146"/>
      <c r="AM3929" s="143">
        <f>'Valve Sizing'!$G$8*AM3927/P_1_maxW</f>
        <v>-28.230749638460416</v>
      </c>
      <c r="AN3929" s="132"/>
      <c r="AO3929" s="146"/>
      <c r="AP3929" s="143">
        <f>'Valve Sizing'!$G$8*AP3927/P_1_maxW</f>
        <v>-35.257925513326988</v>
      </c>
      <c r="AQ3929" s="132"/>
      <c r="AR3929" s="146"/>
      <c r="AS3929" s="143">
        <f>'Valve Sizing'!$G$8*AS3927/P_1_maxW</f>
        <v>-44.004762774032493</v>
      </c>
      <c r="AT3929" s="132"/>
      <c r="AU3929" s="146"/>
    </row>
    <row r="3930" spans="13:47" x14ac:dyDescent="0.25">
      <c r="M3930" s="20"/>
      <c r="N3930" s="20"/>
      <c r="O3930" s="7" t="s">
        <v>190</v>
      </c>
      <c r="P3930" s="1"/>
      <c r="Q3930" s="7"/>
      <c r="R3930" s="181">
        <f>R3927-R3928</f>
        <v>47.36036300454353</v>
      </c>
      <c r="S3930" s="132"/>
      <c r="T3930" s="146"/>
      <c r="U3930" s="138">
        <f>U3927-U3928</f>
        <v>28.772117557685448</v>
      </c>
      <c r="V3930" s="132"/>
      <c r="W3930" s="146"/>
      <c r="X3930" s="138">
        <f>X3927-X3928</f>
        <v>-82.511213867390765</v>
      </c>
      <c r="Y3930" s="132"/>
      <c r="Z3930" s="146"/>
      <c r="AA3930" s="138">
        <f>AA3927-AA3928</f>
        <v>-454.16958234214343</v>
      </c>
      <c r="AB3930" s="132"/>
      <c r="AC3930" s="146"/>
      <c r="AD3930" s="138">
        <f>AD3927-AD3928</f>
        <v>-1314.576112751316</v>
      </c>
      <c r="AE3930" s="132"/>
      <c r="AF3930" s="146"/>
      <c r="AG3930" s="138">
        <f>AG3927-AG3928</f>
        <v>-2634.9300764428185</v>
      </c>
      <c r="AH3930" s="132"/>
      <c r="AI3930" s="146"/>
      <c r="AJ3930" s="138">
        <f>AJ3927-AJ3928</f>
        <v>-4279.0343496683745</v>
      </c>
      <c r="AK3930" s="132"/>
      <c r="AL3930" s="146"/>
      <c r="AM3930" s="138">
        <f>AM3927-AM3928</f>
        <v>-5902.361440131258</v>
      </c>
      <c r="AN3930" s="132"/>
      <c r="AO3930" s="146"/>
      <c r="AP3930" s="138">
        <f>AP3927-AP3928</f>
        <v>-7359.1266217069533</v>
      </c>
      <c r="AQ3930" s="132"/>
      <c r="AR3930" s="146"/>
      <c r="AS3930" s="138">
        <f>AS3927-AS3928</f>
        <v>-9172.3853471471557</v>
      </c>
      <c r="AT3930" s="132"/>
      <c r="AU3930" s="146"/>
    </row>
    <row r="3931" spans="13:47" ht="14.5" x14ac:dyDescent="0.35">
      <c r="M3931" s="27"/>
      <c r="N3931" s="27"/>
      <c r="O3931" s="2" t="s">
        <v>191</v>
      </c>
      <c r="P3931" s="10"/>
      <c r="Q3931" s="2"/>
      <c r="R3931" s="181">
        <f>R3930/R3927</f>
        <v>0.48644398544747985</v>
      </c>
      <c r="S3931" s="132"/>
      <c r="T3931" s="146"/>
      <c r="U3931" s="138">
        <f>U3930/U3927</f>
        <v>0.36525763747071288</v>
      </c>
      <c r="V3931" s="132"/>
      <c r="W3931" s="146"/>
      <c r="X3931" s="138">
        <f>X3930/X3927</f>
        <v>2.537930887599086</v>
      </c>
      <c r="Y3931" s="132"/>
      <c r="Z3931" s="146"/>
      <c r="AA3931" s="138">
        <f>AA3930/AA3927</f>
        <v>1.123710447753768</v>
      </c>
      <c r="AB3931" s="132"/>
      <c r="AC3931" s="146"/>
      <c r="AD3931" s="138">
        <f>AD3930/AD3927</f>
        <v>1.039538940753211</v>
      </c>
      <c r="AE3931" s="132"/>
      <c r="AF3931" s="146"/>
      <c r="AG3931" s="138">
        <f>AG3930/AG3927</f>
        <v>1.0193428829876923</v>
      </c>
      <c r="AH3931" s="132"/>
      <c r="AI3931" s="146"/>
      <c r="AJ3931" s="138">
        <f>AJ3930/AJ3927</f>
        <v>1.0118230300030362</v>
      </c>
      <c r="AK3931" s="132"/>
      <c r="AL3931" s="146"/>
      <c r="AM3931" s="138">
        <f>AM3930/AM3927</f>
        <v>1.0085435598111108</v>
      </c>
      <c r="AN3931" s="132"/>
      <c r="AO3931" s="146"/>
      <c r="AP3931" s="138">
        <f>AP3930/AP3927</f>
        <v>1.006840762595562</v>
      </c>
      <c r="AQ3931" s="132"/>
      <c r="AR3931" s="146"/>
      <c r="AS3931" s="138">
        <f>AS3930/AS3927</f>
        <v>1.0054810225721977</v>
      </c>
      <c r="AT3931" s="132"/>
      <c r="AU3931" s="146"/>
    </row>
    <row r="3932" spans="13:47" x14ac:dyDescent="0.25">
      <c r="M3932" s="27"/>
      <c r="N3932" s="27"/>
      <c r="O3932" s="2" t="s">
        <v>26</v>
      </c>
      <c r="P3932" s="7">
        <v>12</v>
      </c>
      <c r="Q3932" s="2"/>
      <c r="R3932" s="181">
        <f>1-R3931/(3*F_GAMMA*R$29)</f>
        <v>0.74665439815473778</v>
      </c>
      <c r="S3932" s="133"/>
      <c r="T3932" s="146"/>
      <c r="U3932" s="138">
        <f>1-U3931/(3*F_GAMMA*U$29)</f>
        <v>0.80981152085981112</v>
      </c>
      <c r="V3932" s="133"/>
      <c r="W3932" s="146"/>
      <c r="X3932" s="138">
        <f>1-X3931/(3*F_GAMMA*X$29)</f>
        <v>-0.34131695505403203</v>
      </c>
      <c r="Y3932" s="133"/>
      <c r="Z3932" s="146"/>
      <c r="AA3932" s="138">
        <f>1-AA3931/(3*F_GAMMA*AA$29)</f>
        <v>0.3979669011575635</v>
      </c>
      <c r="AB3932" s="133"/>
      <c r="AC3932" s="146"/>
      <c r="AD3932" s="138">
        <f>1-AD3931/(3*F_GAMMA*AD$29)</f>
        <v>0.42779212668551403</v>
      </c>
      <c r="AE3932" s="133"/>
      <c r="AF3932" s="146"/>
      <c r="AG3932" s="138">
        <f>1-AG3931/(3*F_GAMMA*AG$29)</f>
        <v>0.40690340259277724</v>
      </c>
      <c r="AH3932" s="133"/>
      <c r="AI3932" s="146"/>
      <c r="AJ3932" s="138">
        <f>1-AJ3931/(3*F_GAMMA*AJ$29)</f>
        <v>0.37064902366208707</v>
      </c>
      <c r="AK3932" s="133"/>
      <c r="AL3932" s="146"/>
      <c r="AM3932" s="138">
        <f>1-AM3931/(3*F_GAMMA*AM$29)</f>
        <v>0.3145987721598168</v>
      </c>
      <c r="AN3932" s="133"/>
      <c r="AO3932" s="146"/>
      <c r="AP3932" s="138">
        <f>1-AP3931/(3*F_GAMMA*AP$29)</f>
        <v>0.43454634780876367</v>
      </c>
      <c r="AQ3932" s="133"/>
      <c r="AR3932" s="146"/>
      <c r="AS3932" s="138">
        <f>1-AS3931/(3*F_GAMMA*AS$29)</f>
        <v>0.14275150278163318</v>
      </c>
      <c r="AT3932" s="133"/>
      <c r="AU3932" s="146"/>
    </row>
    <row r="3933" spans="13:47" x14ac:dyDescent="0.25">
      <c r="M3933" s="27"/>
      <c r="N3933" s="27"/>
      <c r="O3933" s="2" t="s">
        <v>71</v>
      </c>
      <c r="P3933" s="85">
        <v>5</v>
      </c>
      <c r="Q3933" s="2"/>
      <c r="R3933" s="179">
        <f>R3925/((N_6*R$27*R3932)*SQRT(R3931*R3927*R3929))</f>
        <v>12.635345443589742</v>
      </c>
      <c r="S3933" s="133"/>
      <c r="T3933" s="146"/>
      <c r="U3933" s="143">
        <f>U3925/((N_6*U$27*U3932)*SQRT(U3931*U3927*U3929))</f>
        <v>43.605921746642586</v>
      </c>
      <c r="V3933" s="133"/>
      <c r="W3933" s="146"/>
      <c r="X3933" s="143">
        <f>X3925/((N_6*X$27*X3932)*SQRT(X3931*X3927*X3929))</f>
        <v>-235.70950176056243</v>
      </c>
      <c r="Y3933" s="133"/>
      <c r="Z3933" s="146"/>
      <c r="AA3933" s="143">
        <f>AA3925/((N_6*AA$27*AA3932)*SQRT(AA3931*AA3927*AA3929))</f>
        <v>47.873245433895413</v>
      </c>
      <c r="AB3933" s="133"/>
      <c r="AC3933" s="146"/>
      <c r="AD3933" s="143">
        <f>AD3925/((N_6*AD$27*AD3932)*SQRT(AD3931*AD3927*AD3929))</f>
        <v>24.628949338367644</v>
      </c>
      <c r="AE3933" s="133"/>
      <c r="AF3933" s="146"/>
      <c r="AG3933" s="143">
        <f>AG3925/((N_6*AG$27*AG3932)*SQRT(AG3931*AG3927*AG3929))</f>
        <v>18.329102069152626</v>
      </c>
      <c r="AH3933" s="133"/>
      <c r="AI3933" s="146"/>
      <c r="AJ3933" s="143">
        <f>AJ3925/((N_6*AJ$27*AJ3932)*SQRT(AJ3931*AJ3927*AJ3929))</f>
        <v>16.212786056223401</v>
      </c>
      <c r="AK3933" s="133"/>
      <c r="AL3933" s="146"/>
      <c r="AM3933" s="143">
        <f>AM3925/((N_6*AM$27*AM3932)*SQRT(AM3931*AM3927*AM3929))</f>
        <v>17.206983234671732</v>
      </c>
      <c r="AN3933" s="133"/>
      <c r="AO3933" s="146"/>
      <c r="AP3933" s="143">
        <f>AP3925/((N_6*AP$27*AP3932)*SQRT(AP3931*AP3927*AP3929))</f>
        <v>12.651659031437829</v>
      </c>
      <c r="AQ3933" s="133"/>
      <c r="AR3933" s="146"/>
      <c r="AS3933" s="143">
        <f>AS3925/((N_6*AS$27*AS3932)*SQRT(AS3931*AS3927*AS3929))</f>
        <v>45.266399527288812</v>
      </c>
      <c r="AT3933" s="133"/>
      <c r="AU3933" s="146"/>
    </row>
    <row r="3934" spans="13:47" x14ac:dyDescent="0.25">
      <c r="M3934" s="27"/>
      <c r="N3934" s="27"/>
      <c r="O3934" s="2" t="s">
        <v>73</v>
      </c>
      <c r="P3934" s="85">
        <v>5</v>
      </c>
      <c r="Q3934" s="2"/>
      <c r="R3934" s="179">
        <f>R3925/((N_6*R$27*0.667)*SQRT(R3935*R3927*R3929))</f>
        <v>12.330997948240149</v>
      </c>
      <c r="S3934" s="133"/>
      <c r="T3934" s="155"/>
      <c r="U3934" s="143">
        <f>U3925/((N_6*U$27*0.667)*SQRT(U3935*U3927*U3929))</f>
        <v>39.99045250292005</v>
      </c>
      <c r="V3934" s="133"/>
      <c r="W3934" s="155"/>
      <c r="X3934" s="143">
        <f>X3925/((N_6*X$27*0.667)*SQRT(X3935*X3927*X3929))</f>
        <v>241.95547456663692</v>
      </c>
      <c r="Y3934" s="133"/>
      <c r="Z3934" s="155"/>
      <c r="AA3934" s="143">
        <f>AA3925/((N_6*AA$27*0.667)*SQRT(AA3935*AA3927*AA3929))</f>
        <v>38.387055576144391</v>
      </c>
      <c r="AB3934" s="133"/>
      <c r="AC3934" s="155"/>
      <c r="AD3934" s="143">
        <f>AD3925/((N_6*AD$27*0.667)*SQRT(AD3935*AD3927*AD3929))</f>
        <v>20.696188952709225</v>
      </c>
      <c r="AE3934" s="133"/>
      <c r="AF3934" s="155"/>
      <c r="AG3934" s="143">
        <f>AG3925/((N_6*AG$27*0.667)*SQRT(AG3935*AG3927*AG3929))</f>
        <v>14.915232270092451</v>
      </c>
      <c r="AH3934" s="133"/>
      <c r="AI3934" s="155"/>
      <c r="AJ3934" s="143">
        <f>AJ3925/((N_6*AJ$27*0.667)*SQRT(AJ3935*AJ3927*AJ3929))</f>
        <v>12.37946170888242</v>
      </c>
      <c r="AK3934" s="133"/>
      <c r="AL3934" s="155"/>
      <c r="AM3934" s="143">
        <f>AM3925/((N_6*AM$27*0.667)*SQRT(AM3935*AM3927*AM3929))</f>
        <v>11.637749137663798</v>
      </c>
      <c r="AN3934" s="133"/>
      <c r="AO3934" s="155"/>
      <c r="AP3934" s="143">
        <f>AP3925/((N_6*AP$27*0.667)*SQRT(AP3935*AP3927*AP3929))</f>
        <v>10.735366690425948</v>
      </c>
      <c r="AQ3934" s="133"/>
      <c r="AR3934" s="155"/>
      <c r="AS3934" s="143">
        <f>AS3925/((N_6*AS$27*0.667)*SQRT(AS3935*AS3927*AS3929))</f>
        <v>15.53619990865033</v>
      </c>
      <c r="AT3934" s="133"/>
      <c r="AU3934" s="155"/>
    </row>
    <row r="3935" spans="13:47" ht="15.5" x14ac:dyDescent="0.4">
      <c r="M3935" s="27"/>
      <c r="N3935" s="27"/>
      <c r="O3935" s="2" t="s">
        <v>192</v>
      </c>
      <c r="P3935" s="85">
        <v>10</v>
      </c>
      <c r="Q3935" s="2"/>
      <c r="R3935" s="181">
        <f>F_GAMMA*R$29</f>
        <v>0.64002688015162901</v>
      </c>
      <c r="S3935" s="133"/>
      <c r="T3935" s="155"/>
      <c r="U3935" s="138">
        <f>F_GAMMA*U$29</f>
        <v>0.64016782916606918</v>
      </c>
      <c r="V3935" s="133"/>
      <c r="W3935" s="155"/>
      <c r="X3935" s="138">
        <f>F_GAMMA*X$29</f>
        <v>0.6307062319203669</v>
      </c>
      <c r="Y3935" s="133"/>
      <c r="Z3935" s="155"/>
      <c r="AA3935" s="138">
        <f>F_GAMMA*AA$29</f>
        <v>0.62217534213893466</v>
      </c>
      <c r="AB3935" s="133"/>
      <c r="AC3935" s="155"/>
      <c r="AD3935" s="138">
        <f>F_GAMMA*AD$29</f>
        <v>0.60557184969146072</v>
      </c>
      <c r="AE3935" s="133"/>
      <c r="AF3935" s="155"/>
      <c r="AG3935" s="138">
        <f>F_GAMMA*AG$29</f>
        <v>0.57289312142622573</v>
      </c>
      <c r="AH3935" s="133"/>
      <c r="AI3935" s="155"/>
      <c r="AJ3935" s="138">
        <f>F_GAMMA*AJ$29</f>
        <v>0.53590819116049981</v>
      </c>
      <c r="AK3935" s="133"/>
      <c r="AL3935" s="155"/>
      <c r="AM3935" s="138">
        <f>F_GAMMA*AM$29</f>
        <v>0.49048815926850342</v>
      </c>
      <c r="AN3935" s="133"/>
      <c r="AO3935" s="155"/>
      <c r="AP3935" s="138">
        <f>F_GAMMA*AP$29</f>
        <v>0.59352979016280105</v>
      </c>
      <c r="AQ3935" s="133"/>
      <c r="AR3935" s="155"/>
      <c r="AS3935" s="138">
        <f>F_GAMMA*AS$29</f>
        <v>0.39097221161068291</v>
      </c>
      <c r="AT3935" s="133"/>
      <c r="AU3935" s="155"/>
    </row>
    <row r="3936" spans="13:47" x14ac:dyDescent="0.25">
      <c r="M3936" s="27"/>
      <c r="N3936" s="27"/>
      <c r="O3936" s="2" t="s">
        <v>193</v>
      </c>
      <c r="P3936" s="134"/>
      <c r="Q3936" s="2"/>
      <c r="R3936" s="181">
        <f>IF(R3931&lt;R3935,R3933,R3934)</f>
        <v>12.635345443589742</v>
      </c>
      <c r="S3936" s="133"/>
      <c r="T3936" s="155"/>
      <c r="U3936" s="138">
        <f>IF(U3931&lt;U3935,U3933,U3934)</f>
        <v>43.605921746642586</v>
      </c>
      <c r="V3936" s="133"/>
      <c r="W3936" s="155"/>
      <c r="X3936" s="138">
        <f>IF(X3931&lt;X3935,X3933,X3934)</f>
        <v>241.95547456663692</v>
      </c>
      <c r="Y3936" s="133"/>
      <c r="Z3936" s="155"/>
      <c r="AA3936" s="138">
        <f>IF(AA3931&lt;AA3935,AA3933,AA3934)</f>
        <v>38.387055576144391</v>
      </c>
      <c r="AB3936" s="133"/>
      <c r="AC3936" s="155"/>
      <c r="AD3936" s="138">
        <f>IF(AD3931&lt;AD3935,AD3933,AD3934)</f>
        <v>20.696188952709225</v>
      </c>
      <c r="AE3936" s="133"/>
      <c r="AF3936" s="155"/>
      <c r="AG3936" s="138">
        <f>IF(AG3931&lt;AG3935,AG3933,AG3934)</f>
        <v>14.915232270092451</v>
      </c>
      <c r="AH3936" s="133"/>
      <c r="AI3936" s="155"/>
      <c r="AJ3936" s="138">
        <f>IF(AJ3931&lt;AJ3935,AJ3933,AJ3934)</f>
        <v>12.37946170888242</v>
      </c>
      <c r="AK3936" s="133"/>
      <c r="AL3936" s="155"/>
      <c r="AM3936" s="138">
        <f>IF(AM3931&lt;AM3935,AM3933,AM3934)</f>
        <v>11.637749137663798</v>
      </c>
      <c r="AN3936" s="133"/>
      <c r="AO3936" s="155"/>
      <c r="AP3936" s="138">
        <f>IF(AP3931&lt;AP3935,AP3933,AP3934)</f>
        <v>10.735366690425948</v>
      </c>
      <c r="AQ3936" s="133"/>
      <c r="AR3936" s="155"/>
      <c r="AS3936" s="138">
        <f>IF(AS3931&lt;AS3935,AS3933,AS3934)</f>
        <v>15.53619990865033</v>
      </c>
      <c r="AT3936" s="133"/>
      <c r="AU3936" s="155"/>
    </row>
    <row r="3937" spans="13:47" ht="13" x14ac:dyDescent="0.3">
      <c r="M3937" s="28"/>
      <c r="N3937" s="28"/>
      <c r="O3937" s="9" t="s">
        <v>194</v>
      </c>
      <c r="P3937" s="1"/>
      <c r="Q3937" s="1"/>
      <c r="R3937" s="135"/>
      <c r="S3937" s="132">
        <f>IF(R3930&lt;=0,W_max,ABS(R$23-R3936))</f>
        <v>10.635345443589742</v>
      </c>
      <c r="T3937" s="151">
        <f>R3925</f>
        <v>2816.1334845493834</v>
      </c>
      <c r="U3937" s="135"/>
      <c r="V3937" s="132">
        <f>IF(U3930&lt;=0,W_max,ABS(U$23-U3936))</f>
        <v>38.605921746642586</v>
      </c>
      <c r="W3937" s="151">
        <f>U3925</f>
        <v>7385.493457084568</v>
      </c>
      <c r="X3937" s="135"/>
      <c r="Y3937" s="132">
        <f>IF(X3930&lt;=0,W_max,ABS(X$23-X3936))</f>
        <v>7174</v>
      </c>
      <c r="Z3937" s="151">
        <f>X3925</f>
        <v>18265.204203394038</v>
      </c>
      <c r="AA3937" s="135"/>
      <c r="AB3937" s="132">
        <f>IF(AA3930&lt;=0,W_max,ABS(AA$23-AA3936))</f>
        <v>7174</v>
      </c>
      <c r="AC3937" s="151">
        <f>AA3925</f>
        <v>35575.955678614853</v>
      </c>
      <c r="AD3937" s="135"/>
      <c r="AE3937" s="132">
        <f>IF(AD3930&lt;=0,W_max,ABS(AD$23-AD3936))</f>
        <v>7174</v>
      </c>
      <c r="AF3937" s="151">
        <f>AD3925</f>
        <v>58509.348801557579</v>
      </c>
      <c r="AG3937" s="135"/>
      <c r="AH3937" s="132">
        <f>IF(AG3930&lt;=0,W_max,ABS(AG$23-AG3936))</f>
        <v>7174</v>
      </c>
      <c r="AI3937" s="151">
        <f>AG3925</f>
        <v>82063.866104832865</v>
      </c>
      <c r="AJ3937" s="135"/>
      <c r="AK3937" s="132">
        <f>IF(AJ3930&lt;=0,W_max,ABS(AJ$23-AJ3936))</f>
        <v>7174</v>
      </c>
      <c r="AL3937" s="151">
        <f>AJ3925</f>
        <v>104199.33418579004</v>
      </c>
      <c r="AM3937" s="135"/>
      <c r="AN3937" s="132">
        <f>IF(AM3930&lt;=0,W_max,ABS(AM$23-AM3936))</f>
        <v>7174</v>
      </c>
      <c r="AO3937" s="151">
        <f>AM3925</f>
        <v>122181.91408152532</v>
      </c>
      <c r="AP3937" s="135"/>
      <c r="AQ3937" s="132">
        <f>IF(AP3930&lt;=0,W_max,ABS(AP$23-AP3936))</f>
        <v>7174</v>
      </c>
      <c r="AR3937" s="151">
        <f>AP3925</f>
        <v>136314.49407573912</v>
      </c>
      <c r="AS3937" s="135"/>
      <c r="AT3937" s="132">
        <f>IF(AS3930&lt;=0,W_max,ABS(AS$23-AS3936))</f>
        <v>7174</v>
      </c>
      <c r="AU3937" s="151">
        <f>AS3925</f>
        <v>152081.76623199898</v>
      </c>
    </row>
    <row r="3938" spans="13:47" ht="13" x14ac:dyDescent="0.25">
      <c r="M3938" s="12"/>
      <c r="N3938" s="12"/>
      <c r="O3938" s="2"/>
      <c r="P3938" s="85"/>
      <c r="Q3938" s="2"/>
      <c r="R3938" s="18"/>
      <c r="S3938" s="150"/>
      <c r="T3938" s="148"/>
      <c r="U3938" s="157"/>
      <c r="V3938" s="1"/>
      <c r="W3938" s="147"/>
      <c r="X3938" s="157"/>
      <c r="Y3938" s="1"/>
      <c r="Z3938" s="147"/>
      <c r="AA3938" s="157"/>
      <c r="AB3938" s="1"/>
      <c r="AC3938" s="147"/>
      <c r="AD3938" s="157"/>
      <c r="AE3938" s="1"/>
      <c r="AF3938" s="147"/>
      <c r="AG3938" s="157"/>
      <c r="AH3938" s="1"/>
      <c r="AI3938" s="147"/>
      <c r="AJ3938" s="157"/>
      <c r="AK3938" s="1"/>
      <c r="AL3938" s="147"/>
      <c r="AM3938" s="157"/>
      <c r="AN3938" s="1"/>
      <c r="AO3938" s="147"/>
      <c r="AP3938" s="157"/>
      <c r="AQ3938" s="1"/>
      <c r="AR3938" s="147"/>
      <c r="AS3938" s="157"/>
      <c r="AT3938" s="1"/>
      <c r="AU3938" s="147"/>
    </row>
    <row r="3939" spans="13:47" ht="14" x14ac:dyDescent="0.3">
      <c r="M3939" s="23"/>
      <c r="N3939" s="23"/>
      <c r="O3939" s="23" t="s">
        <v>238</v>
      </c>
      <c r="P3939" s="20"/>
      <c r="Q3939" s="20"/>
      <c r="R3939" s="181">
        <f>R3925*1.02</f>
        <v>2872.4561542403712</v>
      </c>
      <c r="S3939" s="128" t="s">
        <v>185</v>
      </c>
      <c r="T3939" s="149" t="s">
        <v>186</v>
      </c>
      <c r="U3939" s="143">
        <f>U3925*1.01</f>
        <v>7459.3483916554142</v>
      </c>
      <c r="V3939" s="128" t="s">
        <v>185</v>
      </c>
      <c r="W3939" s="153" t="s">
        <v>186</v>
      </c>
      <c r="X3939" s="143">
        <f>X3925*1.01</f>
        <v>18447.856245427978</v>
      </c>
      <c r="Y3939" s="128" t="s">
        <v>185</v>
      </c>
      <c r="Z3939" s="153" t="s">
        <v>186</v>
      </c>
      <c r="AA3939" s="143">
        <f>AA3925*1.01</f>
        <v>35931.715235401003</v>
      </c>
      <c r="AB3939" s="128" t="s">
        <v>185</v>
      </c>
      <c r="AC3939" s="153" t="s">
        <v>186</v>
      </c>
      <c r="AD3939" s="143">
        <f>AD3925*1.01</f>
        <v>59094.442289573155</v>
      </c>
      <c r="AE3939" s="128" t="s">
        <v>185</v>
      </c>
      <c r="AF3939" s="153" t="s">
        <v>186</v>
      </c>
      <c r="AG3939" s="143">
        <f>AG3925*1.01</f>
        <v>82884.504765881196</v>
      </c>
      <c r="AH3939" s="128" t="s">
        <v>185</v>
      </c>
      <c r="AI3939" s="153" t="s">
        <v>186</v>
      </c>
      <c r="AJ3939" s="143">
        <f>AJ3925*1.01</f>
        <v>105241.32752764794</v>
      </c>
      <c r="AK3939" s="128" t="s">
        <v>185</v>
      </c>
      <c r="AL3939" s="153" t="s">
        <v>186</v>
      </c>
      <c r="AM3939" s="143">
        <f>AM3925*1.01</f>
        <v>123403.73322234057</v>
      </c>
      <c r="AN3939" s="128" t="s">
        <v>185</v>
      </c>
      <c r="AO3939" s="153" t="s">
        <v>186</v>
      </c>
      <c r="AP3939" s="143">
        <f>AP3925*1.01</f>
        <v>137677.63901649651</v>
      </c>
      <c r="AQ3939" s="128" t="s">
        <v>185</v>
      </c>
      <c r="AR3939" s="153" t="s">
        <v>186</v>
      </c>
      <c r="AS3939" s="143">
        <f>AS3925*1.01</f>
        <v>153602.58389431896</v>
      </c>
      <c r="AT3939" s="128" t="s">
        <v>185</v>
      </c>
      <c r="AU3939" s="153" t="s">
        <v>186</v>
      </c>
    </row>
    <row r="3940" spans="13:47" ht="14" x14ac:dyDescent="0.3">
      <c r="M3940" s="12"/>
      <c r="N3940" s="12"/>
      <c r="O3940" s="20"/>
      <c r="P3940" s="20"/>
      <c r="Q3940" s="23"/>
      <c r="R3940" s="139"/>
      <c r="S3940" s="130" t="s">
        <v>228</v>
      </c>
      <c r="T3940" s="131" t="s">
        <v>187</v>
      </c>
      <c r="U3940" s="144"/>
      <c r="V3940" s="130" t="s">
        <v>228</v>
      </c>
      <c r="W3940" s="154" t="s">
        <v>187</v>
      </c>
      <c r="X3940" s="144"/>
      <c r="Y3940" s="130" t="s">
        <v>228</v>
      </c>
      <c r="Z3940" s="154" t="s">
        <v>187</v>
      </c>
      <c r="AA3940" s="144"/>
      <c r="AB3940" s="130" t="s">
        <v>228</v>
      </c>
      <c r="AC3940" s="154" t="s">
        <v>187</v>
      </c>
      <c r="AD3940" s="144"/>
      <c r="AE3940" s="130" t="s">
        <v>228</v>
      </c>
      <c r="AF3940" s="154" t="s">
        <v>187</v>
      </c>
      <c r="AG3940" s="144"/>
      <c r="AH3940" s="130" t="s">
        <v>228</v>
      </c>
      <c r="AI3940" s="154" t="s">
        <v>187</v>
      </c>
      <c r="AJ3940" s="144"/>
      <c r="AK3940" s="130" t="s">
        <v>228</v>
      </c>
      <c r="AL3940" s="154" t="s">
        <v>187</v>
      </c>
      <c r="AM3940" s="144"/>
      <c r="AN3940" s="130" t="s">
        <v>228</v>
      </c>
      <c r="AO3940" s="154" t="s">
        <v>187</v>
      </c>
      <c r="AP3940" s="144"/>
      <c r="AQ3940" s="130" t="s">
        <v>228</v>
      </c>
      <c r="AR3940" s="154" t="s">
        <v>187</v>
      </c>
      <c r="AS3940" s="144"/>
      <c r="AT3940" s="130" t="s">
        <v>228</v>
      </c>
      <c r="AU3940" s="154" t="s">
        <v>187</v>
      </c>
    </row>
    <row r="3941" spans="13:47" x14ac:dyDescent="0.25">
      <c r="M3941" s="20"/>
      <c r="N3941" s="20"/>
      <c r="O3941" s="7" t="s">
        <v>188</v>
      </c>
      <c r="P3941" s="7"/>
      <c r="Q3941" s="7"/>
      <c r="R3941" s="181">
        <f>P_1_minW-(R3939^2*R_up)+dpup_minQ</f>
        <v>97.232601085763335</v>
      </c>
      <c r="S3941" s="132"/>
      <c r="T3941" s="145"/>
      <c r="U3941" s="138">
        <f>P_1_minW-(U3939^2*R_up)+dpup_minQ</f>
        <v>78.33492910718671</v>
      </c>
      <c r="V3941" s="132"/>
      <c r="W3941" s="145"/>
      <c r="X3941" s="138">
        <f>P_1_minW-(X3939^2*R_up)+dpup_minQ</f>
        <v>-35.18519727953354</v>
      </c>
      <c r="Y3941" s="132"/>
      <c r="Z3941" s="145"/>
      <c r="AA3941" s="138">
        <f>P_1_minW-(AA3939^2*R_up)+dpup_minQ</f>
        <v>-414.31389896062876</v>
      </c>
      <c r="AB3941" s="132"/>
      <c r="AC3941" s="145"/>
      <c r="AD3941" s="138">
        <f>P_1_minW-(AD3939^2*R_up)+dpup_minQ</f>
        <v>-1292.0146006310256</v>
      </c>
      <c r="AE3941" s="132"/>
      <c r="AF3941" s="145"/>
      <c r="AG3941" s="138">
        <f>P_1_minW-(AG3939^2*R_up)+dpup_minQ</f>
        <v>-2638.9076789927276</v>
      </c>
      <c r="AH3941" s="132"/>
      <c r="AI3941" s="145"/>
      <c r="AJ3941" s="138">
        <f>P_1_minW-(AJ3939^2*R_up)+dpup_minQ</f>
        <v>-4316.0584481101168</v>
      </c>
      <c r="AK3941" s="132"/>
      <c r="AL3941" s="145"/>
      <c r="AM3941" s="138">
        <f>P_1_minW-(AM3939^2*R_up)+dpup_minQ</f>
        <v>-5972.014413091304</v>
      </c>
      <c r="AN3941" s="132"/>
      <c r="AO3941" s="145"/>
      <c r="AP3941" s="138">
        <f>P_1_minW-(AP3939^2*R_up)+dpup_minQ</f>
        <v>-7458.0605748166727</v>
      </c>
      <c r="AQ3941" s="132"/>
      <c r="AR3941" s="145"/>
      <c r="AS3941" s="138">
        <f>P_1_minW-(AS3939^2*R_up)+dpup_minQ</f>
        <v>-9307.7658006382208</v>
      </c>
      <c r="AT3941" s="132"/>
      <c r="AU3941" s="145"/>
    </row>
    <row r="3942" spans="13:47" x14ac:dyDescent="0.25">
      <c r="M3942" s="20"/>
      <c r="N3942" s="20"/>
      <c r="O3942" s="7" t="s">
        <v>189</v>
      </c>
      <c r="P3942" s="1"/>
      <c r="Q3942" s="7"/>
      <c r="R3942" s="181">
        <f>P_2_minW+(R3939^2*R_dn)-dpdn_minQ</f>
        <v>50</v>
      </c>
      <c r="S3942" s="132"/>
      <c r="T3942" s="146"/>
      <c r="U3942" s="138">
        <f>P_2_minW+(U3939^2*R_dn)-dpdn_minQ</f>
        <v>50</v>
      </c>
      <c r="V3942" s="132"/>
      <c r="W3942" s="146"/>
      <c r="X3942" s="138">
        <f>P_2_minW+(X3939^2*R_dn)-dpdn_minQ</f>
        <v>50</v>
      </c>
      <c r="Y3942" s="132"/>
      <c r="Z3942" s="146"/>
      <c r="AA3942" s="138">
        <f>P_2_minW+(AA3939^2*R_dn)-dpdn_minQ</f>
        <v>50</v>
      </c>
      <c r="AB3942" s="132"/>
      <c r="AC3942" s="146"/>
      <c r="AD3942" s="138">
        <f>P_2_minW+(AD3939^2*R_dn)-dpdn_minQ</f>
        <v>50</v>
      </c>
      <c r="AE3942" s="132"/>
      <c r="AF3942" s="146"/>
      <c r="AG3942" s="138">
        <f>P_2_minW+(AG3939^2*R_dn)-dpdn_minQ</f>
        <v>50</v>
      </c>
      <c r="AH3942" s="132"/>
      <c r="AI3942" s="146"/>
      <c r="AJ3942" s="138">
        <f>P_2_minW+(AJ3939^2*R_dn)-dpdn_minQ</f>
        <v>50</v>
      </c>
      <c r="AK3942" s="132"/>
      <c r="AL3942" s="146"/>
      <c r="AM3942" s="138">
        <f>P_2_minW+(AM3939^2*R_dn)-dpdn_minQ</f>
        <v>50</v>
      </c>
      <c r="AN3942" s="132"/>
      <c r="AO3942" s="146"/>
      <c r="AP3942" s="138">
        <f>P_2_minW+(AP3939^2*R_dn)-dpdn_minQ</f>
        <v>50</v>
      </c>
      <c r="AQ3942" s="132"/>
      <c r="AR3942" s="146"/>
      <c r="AS3942" s="138">
        <f>P_2_minW+(AS3939^2*R_dn)-dpdn_minQ</f>
        <v>50</v>
      </c>
      <c r="AT3942" s="132"/>
      <c r="AU3942" s="146"/>
    </row>
    <row r="3943" spans="13:47" x14ac:dyDescent="0.25">
      <c r="M3943" s="20"/>
      <c r="N3943" s="20"/>
      <c r="O3943" s="7" t="s">
        <v>234</v>
      </c>
      <c r="P3943" s="1"/>
      <c r="Q3943" s="7"/>
      <c r="R3943" s="179">
        <f>'Valve Sizing'!G$8*R3941/P_1_maxW</f>
        <v>0.46903275644009346</v>
      </c>
      <c r="S3943" s="132"/>
      <c r="T3943" s="146"/>
      <c r="U3943" s="143">
        <f>'Valve Sizing'!$G$8*U3941/P_1_maxW</f>
        <v>0.3778737513385596</v>
      </c>
      <c r="V3943" s="132"/>
      <c r="W3943" s="146"/>
      <c r="X3943" s="143">
        <f>'Valve Sizing'!$G$8*X3941/P_1_maxW</f>
        <v>-0.16972712733820347</v>
      </c>
      <c r="Y3943" s="132"/>
      <c r="Z3943" s="146"/>
      <c r="AA3943" s="143">
        <f>'Valve Sizing'!$G$8*AA3941/P_1_maxW</f>
        <v>-1.9985764845428899</v>
      </c>
      <c r="AB3943" s="132"/>
      <c r="AC3943" s="146"/>
      <c r="AD3943" s="143">
        <f>'Valve Sizing'!$G$8*AD3941/P_1_maxW</f>
        <v>-6.2324484044225139</v>
      </c>
      <c r="AE3943" s="132"/>
      <c r="AF3943" s="146"/>
      <c r="AG3943" s="143">
        <f>'Valve Sizing'!$G$8*AG3941/P_1_maxW</f>
        <v>-12.729620814907067</v>
      </c>
      <c r="AH3943" s="132"/>
      <c r="AI3943" s="146"/>
      <c r="AJ3943" s="143">
        <f>'Valve Sizing'!$G$8*AJ3941/P_1_maxW</f>
        <v>-20.819897526839341</v>
      </c>
      <c r="AK3943" s="132"/>
      <c r="AL3943" s="146"/>
      <c r="AM3943" s="143">
        <f>'Valve Sizing'!$G$8*AM3941/P_1_maxW</f>
        <v>-28.807934277120872</v>
      </c>
      <c r="AN3943" s="132"/>
      <c r="AO3943" s="146"/>
      <c r="AP3943" s="143">
        <f>'Valve Sizing'!$G$8*AP3941/P_1_maxW</f>
        <v>-35.976356387072272</v>
      </c>
      <c r="AQ3943" s="132"/>
      <c r="AR3943" s="146"/>
      <c r="AS3943" s="143">
        <f>'Valve Sizing'!$G$8*AS3941/P_1_maxW</f>
        <v>-44.899005076717941</v>
      </c>
      <c r="AT3943" s="132"/>
      <c r="AU3943" s="146"/>
    </row>
    <row r="3944" spans="13:47" x14ac:dyDescent="0.25">
      <c r="M3944" s="20"/>
      <c r="N3944" s="20"/>
      <c r="O3944" s="7" t="s">
        <v>190</v>
      </c>
      <c r="P3944" s="1"/>
      <c r="Q3944" s="7"/>
      <c r="R3944" s="181">
        <f>R3941-R3942</f>
        <v>47.232601085763335</v>
      </c>
      <c r="S3944" s="132"/>
      <c r="T3944" s="146"/>
      <c r="U3944" s="138">
        <f>U3941-U3942</f>
        <v>28.33492910718671</v>
      </c>
      <c r="V3944" s="132"/>
      <c r="W3944" s="146"/>
      <c r="X3944" s="138">
        <f>X3941-X3942</f>
        <v>-85.18519727953354</v>
      </c>
      <c r="Y3944" s="132"/>
      <c r="Z3944" s="146"/>
      <c r="AA3944" s="138">
        <f>AA3941-AA3942</f>
        <v>-464.31389896062876</v>
      </c>
      <c r="AB3944" s="132"/>
      <c r="AC3944" s="146"/>
      <c r="AD3944" s="138">
        <f>AD3941-AD3942</f>
        <v>-1342.0146006310256</v>
      </c>
      <c r="AE3944" s="132"/>
      <c r="AF3944" s="146"/>
      <c r="AG3944" s="138">
        <f>AG3941-AG3942</f>
        <v>-2688.9076789927276</v>
      </c>
      <c r="AH3944" s="132"/>
      <c r="AI3944" s="146"/>
      <c r="AJ3944" s="138">
        <f>AJ3941-AJ3942</f>
        <v>-4366.0584481101168</v>
      </c>
      <c r="AK3944" s="132"/>
      <c r="AL3944" s="146"/>
      <c r="AM3944" s="138">
        <f>AM3941-AM3942</f>
        <v>-6022.014413091304</v>
      </c>
      <c r="AN3944" s="132"/>
      <c r="AO3944" s="146"/>
      <c r="AP3944" s="138">
        <f>AP3941-AP3942</f>
        <v>-7508.0605748166727</v>
      </c>
      <c r="AQ3944" s="132"/>
      <c r="AR3944" s="146"/>
      <c r="AS3944" s="138">
        <f>AS3941-AS3942</f>
        <v>-9357.7658006382208</v>
      </c>
      <c r="AT3944" s="132"/>
      <c r="AU3944" s="146"/>
    </row>
    <row r="3945" spans="13:47" ht="14.5" x14ac:dyDescent="0.35">
      <c r="M3945" s="27"/>
      <c r="N3945" s="27"/>
      <c r="O3945" s="2" t="s">
        <v>191</v>
      </c>
      <c r="P3945" s="10"/>
      <c r="Q3945" s="2"/>
      <c r="R3945" s="181">
        <f>R3944/R3941</f>
        <v>0.48576918192389146</v>
      </c>
      <c r="S3945" s="132"/>
      <c r="T3945" s="146"/>
      <c r="U3945" s="138">
        <f>U3944/U3941</f>
        <v>0.36171513053156218</v>
      </c>
      <c r="V3945" s="132"/>
      <c r="W3945" s="146"/>
      <c r="X3945" s="138">
        <f>X3944/X3941</f>
        <v>2.421052143114852</v>
      </c>
      <c r="Y3945" s="132"/>
      <c r="Z3945" s="146"/>
      <c r="AA3945" s="138">
        <f>AA3944/AA3941</f>
        <v>1.1206814449754952</v>
      </c>
      <c r="AB3945" s="132"/>
      <c r="AC3945" s="146"/>
      <c r="AD3945" s="138">
        <f>AD3944/AD3941</f>
        <v>1.0386992530700347</v>
      </c>
      <c r="AE3945" s="132"/>
      <c r="AF3945" s="146"/>
      <c r="AG3945" s="138">
        <f>AG3944/AG3941</f>
        <v>1.0189472335080267</v>
      </c>
      <c r="AH3945" s="132"/>
      <c r="AI3945" s="146"/>
      <c r="AJ3945" s="138">
        <f>AJ3944/AJ3941</f>
        <v>1.0115846438599305</v>
      </c>
      <c r="AK3945" s="132"/>
      <c r="AL3945" s="146"/>
      <c r="AM3945" s="138">
        <f>AM3944/AM3941</f>
        <v>1.0083723843483021</v>
      </c>
      <c r="AN3945" s="132"/>
      <c r="AO3945" s="146"/>
      <c r="AP3945" s="138">
        <f>AP3944/AP3941</f>
        <v>1.0067041557920344</v>
      </c>
      <c r="AQ3945" s="132"/>
      <c r="AR3945" s="146"/>
      <c r="AS3945" s="138">
        <f>AS3944/AS3941</f>
        <v>1.0053718584105942</v>
      </c>
      <c r="AT3945" s="132"/>
      <c r="AU3945" s="146"/>
    </row>
    <row r="3946" spans="13:47" x14ac:dyDescent="0.25">
      <c r="M3946" s="27"/>
      <c r="N3946" s="27"/>
      <c r="O3946" s="2" t="s">
        <v>26</v>
      </c>
      <c r="P3946" s="7">
        <v>12</v>
      </c>
      <c r="Q3946" s="2"/>
      <c r="R3946" s="181">
        <f>1-R3945/(3*F_GAMMA*R$29)</f>
        <v>0.74700584356248301</v>
      </c>
      <c r="S3946" s="133"/>
      <c r="T3946" s="146"/>
      <c r="U3946" s="138">
        <f>1-U3945/(3*F_GAMMA*U$29)</f>
        <v>0.81165609284950602</v>
      </c>
      <c r="V3946" s="133"/>
      <c r="W3946" s="146"/>
      <c r="X3946" s="138">
        <f>1-X3945/(3*F_GAMMA*X$29)</f>
        <v>-0.27954559538929402</v>
      </c>
      <c r="Y3946" s="133"/>
      <c r="Z3946" s="146"/>
      <c r="AA3946" s="138">
        <f>1-AA3945/(3*F_GAMMA*AA$29)</f>
        <v>0.39958970348413358</v>
      </c>
      <c r="AB3946" s="133"/>
      <c r="AC3946" s="146"/>
      <c r="AD3946" s="138">
        <f>1-AD3945/(3*F_GAMMA*AD$29)</f>
        <v>0.42825432765231042</v>
      </c>
      <c r="AE3946" s="133"/>
      <c r="AF3946" s="146"/>
      <c r="AG3946" s="138">
        <f>1-AG3945/(3*F_GAMMA*AG$29)</f>
        <v>0.40713360811446364</v>
      </c>
      <c r="AH3946" s="133"/>
      <c r="AI3946" s="146"/>
      <c r="AJ3946" s="138">
        <f>1-AJ3945/(3*F_GAMMA*AJ$29)</f>
        <v>0.37079729914847182</v>
      </c>
      <c r="AK3946" s="133"/>
      <c r="AL3946" s="146"/>
      <c r="AM3946" s="138">
        <f>1-AM3945/(3*F_GAMMA*AM$29)</f>
        <v>0.31471510215988852</v>
      </c>
      <c r="AN3946" s="133"/>
      <c r="AO3946" s="146"/>
      <c r="AP3946" s="138">
        <f>1-AP3945/(3*F_GAMMA*AP$29)</f>
        <v>0.43462306780147597</v>
      </c>
      <c r="AQ3946" s="133"/>
      <c r="AR3946" s="146"/>
      <c r="AS3946" s="138">
        <f>1-AS3945/(3*F_GAMMA*AS$29)</f>
        <v>0.14284457347256019</v>
      </c>
      <c r="AT3946" s="133"/>
      <c r="AU3946" s="146"/>
    </row>
    <row r="3947" spans="13:47" x14ac:dyDescent="0.25">
      <c r="M3947" s="27"/>
      <c r="N3947" s="27"/>
      <c r="O3947" s="2" t="s">
        <v>71</v>
      </c>
      <c r="P3947" s="85">
        <v>5</v>
      </c>
      <c r="Q3947" s="2"/>
      <c r="R3947" s="179">
        <f>R3939/((N_6*R$27*R3946)*SQRT(R3945*R3941*R3943))</f>
        <v>12.907871707773072</v>
      </c>
      <c r="S3947" s="133"/>
      <c r="T3947" s="146"/>
      <c r="U3947" s="143">
        <f>U3939/((N_6*U$27*U3946)*SQRT(U3945*U3941*U3943))</f>
        <v>44.402980582206915</v>
      </c>
      <c r="V3947" s="133"/>
      <c r="W3947" s="146"/>
      <c r="X3947" s="143">
        <f>X3939/((N_6*X$27*X3946)*SQRT(X3945*X3941*X3943))</f>
        <v>-274.98860073006745</v>
      </c>
      <c r="Y3947" s="133"/>
      <c r="Z3947" s="146"/>
      <c r="AA3947" s="143">
        <f>AA3939/((N_6*AA$27*AA3946)*SQRT(AA3945*AA3941*AA3943))</f>
        <v>47.039982331984682</v>
      </c>
      <c r="AB3947" s="133"/>
      <c r="AC3947" s="146"/>
      <c r="AD3947" s="143">
        <f>AD3939/((N_6*AD$27*AD3946)*SQRT(AD3945*AD3941*AD3943))</f>
        <v>24.330515476048404</v>
      </c>
      <c r="AE3947" s="133"/>
      <c r="AF3947" s="146"/>
      <c r="AG3947" s="143">
        <f>AG3939/((N_6*AG$27*AG3946)*SQRT(AG3945*AG3941*AG3943))</f>
        <v>18.12699579537319</v>
      </c>
      <c r="AH3947" s="133"/>
      <c r="AI3947" s="146"/>
      <c r="AJ3947" s="143">
        <f>AJ3939/((N_6*AJ$27*AJ3946)*SQRT(AJ3945*AJ3941*AJ3943))</f>
        <v>16.040222392956583</v>
      </c>
      <c r="AK3947" s="133"/>
      <c r="AL3947" s="146"/>
      <c r="AM3947" s="143">
        <f>AM3939/((N_6*AM$27*AM3946)*SQRT(AM3945*AM3941*AM3943))</f>
        <v>17.026002794920647</v>
      </c>
      <c r="AN3947" s="133"/>
      <c r="AO3947" s="146"/>
      <c r="AP3947" s="143">
        <f>AP3939/((N_6*AP$27*AP3946)*SQRT(AP3945*AP3941*AP3943))</f>
        <v>12.521640398459942</v>
      </c>
      <c r="AQ3947" s="133"/>
      <c r="AR3947" s="146"/>
      <c r="AS3947" s="143">
        <f>AS3939/((N_6*AS$27*AS3946)*SQRT(AS3945*AS3941*AS3943))</f>
        <v>44.781724274069767</v>
      </c>
      <c r="AT3947" s="133"/>
      <c r="AU3947" s="146"/>
    </row>
    <row r="3948" spans="13:47" x14ac:dyDescent="0.25">
      <c r="M3948" s="27"/>
      <c r="N3948" s="27"/>
      <c r="O3948" s="2" t="s">
        <v>73</v>
      </c>
      <c r="P3948" s="85">
        <v>5</v>
      </c>
      <c r="Q3948" s="2"/>
      <c r="R3948" s="179">
        <f>R3939/((N_6*R$27*0.667)*SQRT(R3949*R3941*R3943))</f>
        <v>12.594144674766085</v>
      </c>
      <c r="S3948" s="133"/>
      <c r="T3948" s="147"/>
      <c r="U3948" s="143">
        <f>U3939/((N_6*U$27*0.667)*SQRT(U3949*U3941*U3943))</f>
        <v>40.615776235005377</v>
      </c>
      <c r="V3948" s="133"/>
      <c r="W3948" s="155"/>
      <c r="X3948" s="143">
        <f>X3939/((N_6*X$27*0.667)*SQRT(X3949*X3941*X3943))</f>
        <v>225.80316315132816</v>
      </c>
      <c r="Y3948" s="133"/>
      <c r="Z3948" s="155"/>
      <c r="AA3948" s="143">
        <f>AA3939/((N_6*AA$27*0.667)*SQRT(AA3949*AA3941*AA3943))</f>
        <v>37.821634903055859</v>
      </c>
      <c r="AB3948" s="133"/>
      <c r="AC3948" s="155"/>
      <c r="AD3948" s="143">
        <f>AD3939/((N_6*AD$27*0.667)*SQRT(AD3949*AD3941*AD3943))</f>
        <v>20.459231051583547</v>
      </c>
      <c r="AE3948" s="133"/>
      <c r="AF3948" s="155"/>
      <c r="AG3948" s="143">
        <f>AG3939/((N_6*AG$27*0.667)*SQRT(AG3949*AG3941*AG3943))</f>
        <v>14.756249764628736</v>
      </c>
      <c r="AH3948" s="133"/>
      <c r="AI3948" s="155"/>
      <c r="AJ3948" s="143">
        <f>AJ3939/((N_6*AJ$27*0.667)*SQRT(AJ3949*AJ3941*AJ3943))</f>
        <v>12.251154872194572</v>
      </c>
      <c r="AK3948" s="133"/>
      <c r="AL3948" s="155"/>
      <c r="AM3948" s="143">
        <f>AM3939/((N_6*AM$27*0.667)*SQRT(AM3949*AM3941*AM3943))</f>
        <v>11.518625490156628</v>
      </c>
      <c r="AN3948" s="133"/>
      <c r="AO3948" s="155"/>
      <c r="AP3948" s="143">
        <f>AP3939/((N_6*AP$27*0.667)*SQRT(AP3949*AP3941*AP3943))</f>
        <v>10.626196344273353</v>
      </c>
      <c r="AQ3948" s="133"/>
      <c r="AR3948" s="155"/>
      <c r="AS3948" s="143">
        <f>AS3939/((N_6*AS$27*0.667)*SQRT(AS3949*AS3941*AS3943))</f>
        <v>15.379036976969891</v>
      </c>
      <c r="AT3948" s="133"/>
      <c r="AU3948" s="155"/>
    </row>
    <row r="3949" spans="13:47" ht="15.5" x14ac:dyDescent="0.4">
      <c r="M3949" s="27"/>
      <c r="N3949" s="27"/>
      <c r="O3949" s="2" t="s">
        <v>192</v>
      </c>
      <c r="P3949" s="85">
        <v>10</v>
      </c>
      <c r="Q3949" s="2"/>
      <c r="R3949" s="181">
        <f>F_GAMMA*R$29</f>
        <v>0.64002688015162901</v>
      </c>
      <c r="S3949" s="133"/>
      <c r="T3949" s="147"/>
      <c r="U3949" s="138">
        <f>F_GAMMA*U$29</f>
        <v>0.64016782916606918</v>
      </c>
      <c r="V3949" s="133"/>
      <c r="W3949" s="155"/>
      <c r="X3949" s="138">
        <f>F_GAMMA*X$29</f>
        <v>0.6307062319203669</v>
      </c>
      <c r="Y3949" s="133"/>
      <c r="Z3949" s="155"/>
      <c r="AA3949" s="138">
        <f>F_GAMMA*AA$29</f>
        <v>0.62217534213893466</v>
      </c>
      <c r="AB3949" s="133"/>
      <c r="AC3949" s="155"/>
      <c r="AD3949" s="138">
        <f>F_GAMMA*AD$29</f>
        <v>0.60557184969146072</v>
      </c>
      <c r="AE3949" s="133"/>
      <c r="AF3949" s="155"/>
      <c r="AG3949" s="138">
        <f>F_GAMMA*AG$29</f>
        <v>0.57289312142622573</v>
      </c>
      <c r="AH3949" s="133"/>
      <c r="AI3949" s="155"/>
      <c r="AJ3949" s="138">
        <f>F_GAMMA*AJ$29</f>
        <v>0.53590819116049981</v>
      </c>
      <c r="AK3949" s="133"/>
      <c r="AL3949" s="155"/>
      <c r="AM3949" s="138">
        <f>F_GAMMA*AM$29</f>
        <v>0.49048815926850342</v>
      </c>
      <c r="AN3949" s="133"/>
      <c r="AO3949" s="155"/>
      <c r="AP3949" s="138">
        <f>F_GAMMA*AP$29</f>
        <v>0.59352979016280105</v>
      </c>
      <c r="AQ3949" s="133"/>
      <c r="AR3949" s="155"/>
      <c r="AS3949" s="138">
        <f>F_GAMMA*AS$29</f>
        <v>0.39097221161068291</v>
      </c>
      <c r="AT3949" s="133"/>
      <c r="AU3949" s="155"/>
    </row>
    <row r="3950" spans="13:47" x14ac:dyDescent="0.25">
      <c r="M3950" s="27"/>
      <c r="N3950" s="27"/>
      <c r="O3950" s="2" t="s">
        <v>193</v>
      </c>
      <c r="P3950" s="134"/>
      <c r="Q3950" s="2"/>
      <c r="R3950" s="181">
        <f>IF(R3945&lt;R3949,R3947,R3948)</f>
        <v>12.907871707773072</v>
      </c>
      <c r="S3950" s="133"/>
      <c r="T3950" s="147"/>
      <c r="U3950" s="138">
        <f>IF(U3945&lt;U3949,U3947,U3948)</f>
        <v>44.402980582206915</v>
      </c>
      <c r="V3950" s="133"/>
      <c r="W3950" s="155"/>
      <c r="X3950" s="138">
        <f>IF(X3945&lt;X3949,X3947,X3948)</f>
        <v>225.80316315132816</v>
      </c>
      <c r="Y3950" s="133"/>
      <c r="Z3950" s="155"/>
      <c r="AA3950" s="138">
        <f>IF(AA3945&lt;AA3949,AA3947,AA3948)</f>
        <v>37.821634903055859</v>
      </c>
      <c r="AB3950" s="133"/>
      <c r="AC3950" s="155"/>
      <c r="AD3950" s="138">
        <f>IF(AD3945&lt;AD3949,AD3947,AD3948)</f>
        <v>20.459231051583547</v>
      </c>
      <c r="AE3950" s="133"/>
      <c r="AF3950" s="155"/>
      <c r="AG3950" s="138">
        <f>IF(AG3945&lt;AG3949,AG3947,AG3948)</f>
        <v>14.756249764628736</v>
      </c>
      <c r="AH3950" s="133"/>
      <c r="AI3950" s="155"/>
      <c r="AJ3950" s="138">
        <f>IF(AJ3945&lt;AJ3949,AJ3947,AJ3948)</f>
        <v>12.251154872194572</v>
      </c>
      <c r="AK3950" s="133"/>
      <c r="AL3950" s="155"/>
      <c r="AM3950" s="138">
        <f>IF(AM3945&lt;AM3949,AM3947,AM3948)</f>
        <v>11.518625490156628</v>
      </c>
      <c r="AN3950" s="133"/>
      <c r="AO3950" s="155"/>
      <c r="AP3950" s="138">
        <f>IF(AP3945&lt;AP3949,AP3947,AP3948)</f>
        <v>10.626196344273353</v>
      </c>
      <c r="AQ3950" s="133"/>
      <c r="AR3950" s="155"/>
      <c r="AS3950" s="138">
        <f>IF(AS3945&lt;AS3949,AS3947,AS3948)</f>
        <v>15.379036976969891</v>
      </c>
      <c r="AT3950" s="133"/>
      <c r="AU3950" s="155"/>
    </row>
    <row r="3951" spans="13:47" ht="13" x14ac:dyDescent="0.3">
      <c r="M3951" s="28"/>
      <c r="N3951" s="28"/>
      <c r="O3951" s="9" t="s">
        <v>194</v>
      </c>
      <c r="P3951" s="1"/>
      <c r="Q3951" s="1"/>
      <c r="R3951" s="135"/>
      <c r="S3951" s="132">
        <f>IF(R3944&lt;=0,W_max,ABS(R$23-R3950))</f>
        <v>10.907871707773072</v>
      </c>
      <c r="T3951" s="151">
        <f>R3939</f>
        <v>2872.4561542403712</v>
      </c>
      <c r="U3951" s="135"/>
      <c r="V3951" s="132">
        <f>IF(U3944&lt;=0,W_max,ABS(U$23-U3950))</f>
        <v>39.402980582206915</v>
      </c>
      <c r="W3951" s="151">
        <f>U3939</f>
        <v>7459.3483916554142</v>
      </c>
      <c r="X3951" s="135"/>
      <c r="Y3951" s="132">
        <f>IF(X3944&lt;=0,W_max,ABS(X$23-X3950))</f>
        <v>7174</v>
      </c>
      <c r="Z3951" s="151">
        <f>X3939</f>
        <v>18447.856245427978</v>
      </c>
      <c r="AA3951" s="135"/>
      <c r="AB3951" s="132">
        <f>IF(AA3944&lt;=0,W_max,ABS(AA$23-AA3950))</f>
        <v>7174</v>
      </c>
      <c r="AC3951" s="151">
        <f>AA3939</f>
        <v>35931.715235401003</v>
      </c>
      <c r="AD3951" s="135"/>
      <c r="AE3951" s="132">
        <f>IF(AD3944&lt;=0,W_max,ABS(AD$23-AD3950))</f>
        <v>7174</v>
      </c>
      <c r="AF3951" s="151">
        <f>AD3939</f>
        <v>59094.442289573155</v>
      </c>
      <c r="AG3951" s="135"/>
      <c r="AH3951" s="132">
        <f>IF(AG3944&lt;=0,W_max,ABS(AG$23-AG3950))</f>
        <v>7174</v>
      </c>
      <c r="AI3951" s="151">
        <f>AG3939</f>
        <v>82884.504765881196</v>
      </c>
      <c r="AJ3951" s="135"/>
      <c r="AK3951" s="132">
        <f>IF(AJ3944&lt;=0,W_max,ABS(AJ$23-AJ3950))</f>
        <v>7174</v>
      </c>
      <c r="AL3951" s="151">
        <f>AJ3939</f>
        <v>105241.32752764794</v>
      </c>
      <c r="AM3951" s="135"/>
      <c r="AN3951" s="132">
        <f>IF(AM3944&lt;=0,W_max,ABS(AM$23-AM3950))</f>
        <v>7174</v>
      </c>
      <c r="AO3951" s="151">
        <f>AM3939</f>
        <v>123403.73322234057</v>
      </c>
      <c r="AP3951" s="135"/>
      <c r="AQ3951" s="132">
        <f>IF(AP3944&lt;=0,W_max,ABS(AP$23-AP3950))</f>
        <v>7174</v>
      </c>
      <c r="AR3951" s="151">
        <f>AP3939</f>
        <v>137677.63901649651</v>
      </c>
      <c r="AS3951" s="135"/>
      <c r="AT3951" s="132">
        <f>IF(AS3944&lt;=0,W_max,ABS(AS$23-AS3950))</f>
        <v>7174</v>
      </c>
      <c r="AU3951" s="151">
        <f>AS3939</f>
        <v>153602.58389431896</v>
      </c>
    </row>
    <row r="3952" spans="13:47" ht="13" x14ac:dyDescent="0.25">
      <c r="M3952" s="12"/>
      <c r="N3952" s="12"/>
      <c r="O3952" s="12"/>
      <c r="P3952" s="12"/>
      <c r="Q3952" s="12"/>
      <c r="R3952" s="182"/>
      <c r="S3952" s="22"/>
      <c r="T3952" s="152"/>
      <c r="U3952" s="157"/>
      <c r="V3952" s="1"/>
      <c r="W3952" s="147"/>
      <c r="X3952" s="157"/>
      <c r="Y3952" s="1"/>
      <c r="Z3952" s="147"/>
      <c r="AA3952" s="157"/>
      <c r="AB3952" s="1"/>
      <c r="AC3952" s="147"/>
      <c r="AD3952" s="157"/>
      <c r="AE3952" s="1"/>
      <c r="AF3952" s="147"/>
      <c r="AG3952" s="157"/>
      <c r="AH3952" s="1"/>
      <c r="AI3952" s="147"/>
      <c r="AJ3952" s="157"/>
      <c r="AK3952" s="1"/>
      <c r="AL3952" s="147"/>
      <c r="AM3952" s="157"/>
      <c r="AN3952" s="1"/>
      <c r="AO3952" s="147"/>
      <c r="AP3952" s="157"/>
      <c r="AQ3952" s="1"/>
      <c r="AR3952" s="147"/>
      <c r="AS3952" s="157"/>
      <c r="AT3952" s="1"/>
      <c r="AU3952" s="147"/>
    </row>
    <row r="3953" spans="13:47" ht="14" x14ac:dyDescent="0.3">
      <c r="M3953" s="23"/>
      <c r="N3953" s="23"/>
      <c r="O3953" s="23" t="s">
        <v>238</v>
      </c>
      <c r="P3953" s="20"/>
      <c r="Q3953" s="20"/>
      <c r="R3953" s="18">
        <f>R3939*1.02</f>
        <v>2929.9052773251788</v>
      </c>
      <c r="S3953" s="128" t="s">
        <v>185</v>
      </c>
      <c r="T3953" s="153" t="s">
        <v>186</v>
      </c>
      <c r="U3953" s="143">
        <f>U3939*1.01</f>
        <v>7533.941875571968</v>
      </c>
      <c r="V3953" s="128" t="s">
        <v>185</v>
      </c>
      <c r="W3953" s="153" t="s">
        <v>186</v>
      </c>
      <c r="X3953" s="143">
        <f>X3939*1.01</f>
        <v>18632.334807882256</v>
      </c>
      <c r="Y3953" s="128" t="s">
        <v>185</v>
      </c>
      <c r="Z3953" s="153" t="s">
        <v>186</v>
      </c>
      <c r="AA3953" s="143">
        <f>AA3939*1.01</f>
        <v>36291.032387755011</v>
      </c>
      <c r="AB3953" s="128" t="s">
        <v>185</v>
      </c>
      <c r="AC3953" s="153" t="s">
        <v>186</v>
      </c>
      <c r="AD3953" s="143">
        <f>AD3939*1.01</f>
        <v>59685.386712468884</v>
      </c>
      <c r="AE3953" s="128" t="s">
        <v>185</v>
      </c>
      <c r="AF3953" s="153" t="s">
        <v>186</v>
      </c>
      <c r="AG3953" s="143">
        <f>AG3939*1.01</f>
        <v>83713.349813540015</v>
      </c>
      <c r="AH3953" s="128" t="s">
        <v>185</v>
      </c>
      <c r="AI3953" s="153" t="s">
        <v>186</v>
      </c>
      <c r="AJ3953" s="143">
        <f>AJ3939*1.01</f>
        <v>106293.74080292443</v>
      </c>
      <c r="AK3953" s="128" t="s">
        <v>185</v>
      </c>
      <c r="AL3953" s="153" t="s">
        <v>186</v>
      </c>
      <c r="AM3953" s="143">
        <f>AM3939*1.01</f>
        <v>124637.77055456398</v>
      </c>
      <c r="AN3953" s="128" t="s">
        <v>185</v>
      </c>
      <c r="AO3953" s="153" t="s">
        <v>186</v>
      </c>
      <c r="AP3953" s="143">
        <f>AP3939*1.01</f>
        <v>139054.41540666149</v>
      </c>
      <c r="AQ3953" s="128" t="s">
        <v>185</v>
      </c>
      <c r="AR3953" s="153" t="s">
        <v>186</v>
      </c>
      <c r="AS3953" s="143">
        <f>AS3939*1.01</f>
        <v>155138.60973326216</v>
      </c>
      <c r="AT3953" s="128" t="s">
        <v>185</v>
      </c>
      <c r="AU3953" s="153" t="s">
        <v>186</v>
      </c>
    </row>
    <row r="3954" spans="13:47" ht="14" x14ac:dyDescent="0.3">
      <c r="M3954" s="12"/>
      <c r="N3954" s="12"/>
      <c r="O3954" s="20"/>
      <c r="P3954" s="20"/>
      <c r="Q3954" s="23"/>
      <c r="R3954" s="139"/>
      <c r="S3954" s="130" t="s">
        <v>228</v>
      </c>
      <c r="T3954" s="154" t="s">
        <v>187</v>
      </c>
      <c r="U3954" s="144"/>
      <c r="V3954" s="130" t="s">
        <v>228</v>
      </c>
      <c r="W3954" s="154" t="s">
        <v>187</v>
      </c>
      <c r="X3954" s="144"/>
      <c r="Y3954" s="130" t="s">
        <v>228</v>
      </c>
      <c r="Z3954" s="154" t="s">
        <v>187</v>
      </c>
      <c r="AA3954" s="144"/>
      <c r="AB3954" s="130" t="s">
        <v>228</v>
      </c>
      <c r="AC3954" s="154" t="s">
        <v>187</v>
      </c>
      <c r="AD3954" s="144"/>
      <c r="AE3954" s="130" t="s">
        <v>228</v>
      </c>
      <c r="AF3954" s="154" t="s">
        <v>187</v>
      </c>
      <c r="AG3954" s="144"/>
      <c r="AH3954" s="130" t="s">
        <v>228</v>
      </c>
      <c r="AI3954" s="154" t="s">
        <v>187</v>
      </c>
      <c r="AJ3954" s="144"/>
      <c r="AK3954" s="130" t="s">
        <v>228</v>
      </c>
      <c r="AL3954" s="154" t="s">
        <v>187</v>
      </c>
      <c r="AM3954" s="144"/>
      <c r="AN3954" s="130" t="s">
        <v>228</v>
      </c>
      <c r="AO3954" s="154" t="s">
        <v>187</v>
      </c>
      <c r="AP3954" s="144"/>
      <c r="AQ3954" s="130" t="s">
        <v>228</v>
      </c>
      <c r="AR3954" s="154" t="s">
        <v>187</v>
      </c>
      <c r="AS3954" s="144"/>
      <c r="AT3954" s="130" t="s">
        <v>228</v>
      </c>
      <c r="AU3954" s="154" t="s">
        <v>187</v>
      </c>
    </row>
    <row r="3955" spans="13:47" x14ac:dyDescent="0.25">
      <c r="M3955" s="20"/>
      <c r="N3955" s="20"/>
      <c r="O3955" s="7" t="s">
        <v>188</v>
      </c>
      <c r="P3955" s="7"/>
      <c r="Q3955" s="7"/>
      <c r="R3955" s="181">
        <f>P_1_minW-(R3953^2*R_up)+dpup_minQ</f>
        <v>97.099677585464406</v>
      </c>
      <c r="S3955" s="132"/>
      <c r="T3955" s="145"/>
      <c r="U3955" s="138">
        <f>P_1_minW-(U3953^2*R_up)+dpup_minQ</f>
        <v>77.88895316883297</v>
      </c>
      <c r="V3955" s="132"/>
      <c r="W3955" s="145"/>
      <c r="X3955" s="138">
        <f>P_1_minW-(X3953^2*R_up)+dpup_minQ</f>
        <v>-37.912927758260352</v>
      </c>
      <c r="Y3955" s="132"/>
      <c r="Z3955" s="145"/>
      <c r="AA3955" s="138">
        <f>P_1_minW-(AA3953^2*R_up)+dpup_minQ</f>
        <v>-424.6621163431455</v>
      </c>
      <c r="AB3955" s="132"/>
      <c r="AC3955" s="145"/>
      <c r="AD3955" s="138">
        <f>P_1_minW-(AD3953^2*R_up)+dpup_minQ</f>
        <v>-1320.0046021171174</v>
      </c>
      <c r="AE3955" s="132"/>
      <c r="AF3955" s="145"/>
      <c r="AG3955" s="138">
        <f>P_1_minW-(AG3953^2*R_up)+dpup_minQ</f>
        <v>-2693.9702313538896</v>
      </c>
      <c r="AH3955" s="132"/>
      <c r="AI3955" s="145"/>
      <c r="AJ3955" s="138">
        <f>P_1_minW-(AJ3953^2*R_up)+dpup_minQ</f>
        <v>-4404.8317309305385</v>
      </c>
      <c r="AK3955" s="132"/>
      <c r="AL3955" s="145"/>
      <c r="AM3955" s="138">
        <f>P_1_minW-(AM3953^2*R_up)+dpup_minQ</f>
        <v>-6094.0724108078475</v>
      </c>
      <c r="AN3955" s="132"/>
      <c r="AO3955" s="145"/>
      <c r="AP3955" s="138">
        <f>P_1_minW-(AP3953^2*R_up)+dpup_minQ</f>
        <v>-7609.9881003838964</v>
      </c>
      <c r="AQ3955" s="132"/>
      <c r="AR3955" s="145"/>
      <c r="AS3955" s="138">
        <f>P_1_minW-(AS3953^2*R_up)+dpup_minQ</f>
        <v>-9496.8724012444582</v>
      </c>
      <c r="AT3955" s="132"/>
      <c r="AU3955" s="145"/>
    </row>
    <row r="3956" spans="13:47" x14ac:dyDescent="0.25">
      <c r="M3956" s="20"/>
      <c r="N3956" s="20"/>
      <c r="O3956" s="7" t="s">
        <v>189</v>
      </c>
      <c r="P3956" s="1"/>
      <c r="Q3956" s="7"/>
      <c r="R3956" s="181">
        <f>P_2_minW+(R3953^2*R_dn)-dpdn_minQ</f>
        <v>50</v>
      </c>
      <c r="S3956" s="132"/>
      <c r="T3956" s="146"/>
      <c r="U3956" s="138">
        <f>P_2_minW+(U3953^2*R_dn)-dpdn_minQ</f>
        <v>50</v>
      </c>
      <c r="V3956" s="132"/>
      <c r="W3956" s="146"/>
      <c r="X3956" s="138">
        <f>P_2_minW+(X3953^2*R_dn)-dpdn_minQ</f>
        <v>50</v>
      </c>
      <c r="Y3956" s="132"/>
      <c r="Z3956" s="146"/>
      <c r="AA3956" s="138">
        <f>P_2_minW+(AA3953^2*R_dn)-dpdn_minQ</f>
        <v>50</v>
      </c>
      <c r="AB3956" s="132"/>
      <c r="AC3956" s="146"/>
      <c r="AD3956" s="138">
        <f>P_2_minW+(AD3953^2*R_dn)-dpdn_minQ</f>
        <v>50</v>
      </c>
      <c r="AE3956" s="132"/>
      <c r="AF3956" s="146"/>
      <c r="AG3956" s="138">
        <f>P_2_minW+(AG3953^2*R_dn)-dpdn_minQ</f>
        <v>50</v>
      </c>
      <c r="AH3956" s="132"/>
      <c r="AI3956" s="146"/>
      <c r="AJ3956" s="138">
        <f>P_2_minW+(AJ3953^2*R_dn)-dpdn_minQ</f>
        <v>50</v>
      </c>
      <c r="AK3956" s="132"/>
      <c r="AL3956" s="146"/>
      <c r="AM3956" s="138">
        <f>P_2_minW+(AM3953^2*R_dn)-dpdn_minQ</f>
        <v>50</v>
      </c>
      <c r="AN3956" s="132"/>
      <c r="AO3956" s="146"/>
      <c r="AP3956" s="138">
        <f>P_2_minW+(AP3953^2*R_dn)-dpdn_minQ</f>
        <v>50</v>
      </c>
      <c r="AQ3956" s="132"/>
      <c r="AR3956" s="146"/>
      <c r="AS3956" s="138">
        <f>P_2_minW+(AS3953^2*R_dn)-dpdn_minQ</f>
        <v>50</v>
      </c>
      <c r="AT3956" s="132"/>
      <c r="AU3956" s="146"/>
    </row>
    <row r="3957" spans="13:47" x14ac:dyDescent="0.25">
      <c r="M3957" s="20"/>
      <c r="N3957" s="20"/>
      <c r="O3957" s="7" t="s">
        <v>234</v>
      </c>
      <c r="P3957" s="1"/>
      <c r="Q3957" s="7"/>
      <c r="R3957" s="179">
        <f>'Valve Sizing'!G$8*R3955/P_1_maxW</f>
        <v>0.46839155714022207</v>
      </c>
      <c r="S3957" s="132"/>
      <c r="T3957" s="146"/>
      <c r="U3957" s="143">
        <f>'Valve Sizing'!$G$8*U3955/P_1_maxW</f>
        <v>0.375722442813063</v>
      </c>
      <c r="V3957" s="132"/>
      <c r="W3957" s="146"/>
      <c r="X3957" s="143">
        <f>'Valve Sizing'!$G$8*X3955/P_1_maxW</f>
        <v>-0.18288521352510298</v>
      </c>
      <c r="Y3957" s="132"/>
      <c r="Z3957" s="146"/>
      <c r="AA3957" s="143">
        <f>'Valve Sizing'!$G$8*AA3955/P_1_maxW</f>
        <v>-2.0484944428096035</v>
      </c>
      <c r="AB3957" s="132"/>
      <c r="AC3957" s="146"/>
      <c r="AD3957" s="143">
        <f>'Valve Sizing'!$G$8*AD3955/P_1_maxW</f>
        <v>-6.3674671882788081</v>
      </c>
      <c r="AE3957" s="132"/>
      <c r="AF3957" s="146"/>
      <c r="AG3957" s="143">
        <f>'Valve Sizing'!$G$8*AG3955/P_1_maxW</f>
        <v>-12.9952327642141</v>
      </c>
      <c r="AH3957" s="132"/>
      <c r="AI3957" s="146"/>
      <c r="AJ3957" s="143">
        <f>'Valve Sizing'!$G$8*AJ3955/P_1_maxW</f>
        <v>-21.248124038056211</v>
      </c>
      <c r="AK3957" s="132"/>
      <c r="AL3957" s="146"/>
      <c r="AM3957" s="143">
        <f>'Valve Sizing'!$G$8*AM3955/P_1_maxW</f>
        <v>-29.396720327018404</v>
      </c>
      <c r="AN3957" s="132"/>
      <c r="AO3957" s="146"/>
      <c r="AP3957" s="143">
        <f>'Valve Sizing'!$G$8*AP3955/P_1_maxW</f>
        <v>-36.709227721379833</v>
      </c>
      <c r="AQ3957" s="132"/>
      <c r="AR3957" s="146"/>
      <c r="AS3957" s="143">
        <f>'Valve Sizing'!$G$8*AS3955/P_1_maxW</f>
        <v>-45.811221649687376</v>
      </c>
      <c r="AT3957" s="132"/>
      <c r="AU3957" s="146"/>
    </row>
    <row r="3958" spans="13:47" x14ac:dyDescent="0.25">
      <c r="M3958" s="20"/>
      <c r="N3958" s="20"/>
      <c r="O3958" s="7" t="s">
        <v>190</v>
      </c>
      <c r="P3958" s="1"/>
      <c r="Q3958" s="7"/>
      <c r="R3958" s="181">
        <f>R3955-R3956</f>
        <v>47.099677585464406</v>
      </c>
      <c r="S3958" s="132"/>
      <c r="T3958" s="146"/>
      <c r="U3958" s="138">
        <f>U3955-U3956</f>
        <v>27.88895316883297</v>
      </c>
      <c r="V3958" s="132"/>
      <c r="W3958" s="146"/>
      <c r="X3958" s="138">
        <f>X3955-X3956</f>
        <v>-87.912927758260352</v>
      </c>
      <c r="Y3958" s="132"/>
      <c r="Z3958" s="146"/>
      <c r="AA3958" s="138">
        <f>AA3955-AA3956</f>
        <v>-474.6621163431455</v>
      </c>
      <c r="AB3958" s="132"/>
      <c r="AC3958" s="146"/>
      <c r="AD3958" s="138">
        <f>AD3955-AD3956</f>
        <v>-1370.0046021171174</v>
      </c>
      <c r="AE3958" s="132"/>
      <c r="AF3958" s="146"/>
      <c r="AG3958" s="138">
        <f>AG3955-AG3956</f>
        <v>-2743.9702313538896</v>
      </c>
      <c r="AH3958" s="132"/>
      <c r="AI3958" s="146"/>
      <c r="AJ3958" s="138">
        <f>AJ3955-AJ3956</f>
        <v>-4454.8317309305385</v>
      </c>
      <c r="AK3958" s="132"/>
      <c r="AL3958" s="146"/>
      <c r="AM3958" s="138">
        <f>AM3955-AM3956</f>
        <v>-6144.0724108078475</v>
      </c>
      <c r="AN3958" s="132"/>
      <c r="AO3958" s="146"/>
      <c r="AP3958" s="138">
        <f>AP3955-AP3956</f>
        <v>-7659.9881003838964</v>
      </c>
      <c r="AQ3958" s="132"/>
      <c r="AR3958" s="146"/>
      <c r="AS3958" s="138">
        <f>AS3955-AS3956</f>
        <v>-9546.8724012444582</v>
      </c>
      <c r="AT3958" s="132"/>
      <c r="AU3958" s="146"/>
    </row>
    <row r="3959" spans="13:47" ht="14.5" x14ac:dyDescent="0.35">
      <c r="M3959" s="27"/>
      <c r="N3959" s="27"/>
      <c r="O3959" s="2" t="s">
        <v>191</v>
      </c>
      <c r="P3959" s="10"/>
      <c r="Q3959" s="2"/>
      <c r="R3959" s="181">
        <f>R3958/R3955</f>
        <v>0.48506523148862768</v>
      </c>
      <c r="S3959" s="132"/>
      <c r="T3959" s="146"/>
      <c r="U3959" s="138">
        <f>U3958/U3955</f>
        <v>0.35806044418623217</v>
      </c>
      <c r="V3959" s="132"/>
      <c r="W3959" s="146"/>
      <c r="X3959" s="138">
        <f>X3958/X3955</f>
        <v>2.3188113647885227</v>
      </c>
      <c r="Y3959" s="132"/>
      <c r="Z3959" s="146"/>
      <c r="AA3959" s="138">
        <f>AA3958/AA3955</f>
        <v>1.1177406650505124</v>
      </c>
      <c r="AB3959" s="132"/>
      <c r="AC3959" s="146"/>
      <c r="AD3959" s="138">
        <f>AD3958/AD3955</f>
        <v>1.0378786558166588</v>
      </c>
      <c r="AE3959" s="132"/>
      <c r="AF3959" s="146"/>
      <c r="AG3959" s="138">
        <f>AG3958/AG3955</f>
        <v>1.0185599675223107</v>
      </c>
      <c r="AH3959" s="132"/>
      <c r="AI3959" s="146"/>
      <c r="AJ3959" s="138">
        <f>AJ3958/AJ3955</f>
        <v>1.0113511714077299</v>
      </c>
      <c r="AK3959" s="132"/>
      <c r="AL3959" s="146"/>
      <c r="AM3959" s="138">
        <f>AM3958/AM3955</f>
        <v>1.0082046941075602</v>
      </c>
      <c r="AN3959" s="132"/>
      <c r="AO3959" s="146"/>
      <c r="AP3959" s="138">
        <f>AP3958/AP3955</f>
        <v>1.0065703125077787</v>
      </c>
      <c r="AQ3959" s="132"/>
      <c r="AR3959" s="146"/>
      <c r="AS3959" s="138">
        <f>AS3958/AS3955</f>
        <v>1.0052648912070723</v>
      </c>
      <c r="AT3959" s="132"/>
      <c r="AU3959" s="146"/>
    </row>
    <row r="3960" spans="13:47" x14ac:dyDescent="0.25">
      <c r="M3960" s="27"/>
      <c r="N3960" s="27"/>
      <c r="O3960" s="2" t="s">
        <v>26</v>
      </c>
      <c r="P3960" s="7">
        <v>12</v>
      </c>
      <c r="Q3960" s="2"/>
      <c r="R3960" s="181">
        <f>1-R3959/(3*F_GAMMA*R$29)</f>
        <v>0.74737246901582699</v>
      </c>
      <c r="S3960" s="133"/>
      <c r="T3960" s="146"/>
      <c r="U3960" s="138">
        <f>1-U3959/(3*F_GAMMA*U$29)</f>
        <v>0.81355907629583712</v>
      </c>
      <c r="V3960" s="133"/>
      <c r="W3960" s="146"/>
      <c r="X3960" s="138">
        <f>1-X3959/(3*F_GAMMA*X$29)</f>
        <v>-0.22551051896656293</v>
      </c>
      <c r="Y3960" s="133"/>
      <c r="Z3960" s="146"/>
      <c r="AA3960" s="138">
        <f>1-AA3959/(3*F_GAMMA*AA$29)</f>
        <v>0.40116524000672271</v>
      </c>
      <c r="AB3960" s="133"/>
      <c r="AC3960" s="146"/>
      <c r="AD3960" s="138">
        <f>1-AD3959/(3*F_GAMMA*AD$29)</f>
        <v>0.42870602040839101</v>
      </c>
      <c r="AE3960" s="133"/>
      <c r="AF3960" s="146"/>
      <c r="AG3960" s="138">
        <f>1-AG3959/(3*F_GAMMA*AG$29)</f>
        <v>0.40735893576647664</v>
      </c>
      <c r="AH3960" s="133"/>
      <c r="AI3960" s="146"/>
      <c r="AJ3960" s="138">
        <f>1-AJ3959/(3*F_GAMMA*AJ$29)</f>
        <v>0.3709425183334315</v>
      </c>
      <c r="AK3960" s="133"/>
      <c r="AL3960" s="146"/>
      <c r="AM3960" s="138">
        <f>1-AM3959/(3*F_GAMMA*AM$29)</f>
        <v>0.31482906362023722</v>
      </c>
      <c r="AN3960" s="133"/>
      <c r="AO3960" s="146"/>
      <c r="AP3960" s="138">
        <f>1-AP3959/(3*F_GAMMA*AP$29)</f>
        <v>0.43469823576915789</v>
      </c>
      <c r="AQ3960" s="133"/>
      <c r="AR3960" s="146"/>
      <c r="AS3960" s="138">
        <f>1-AS3959/(3*F_GAMMA*AS$29)</f>
        <v>0.14293577109082667</v>
      </c>
      <c r="AT3960" s="133"/>
      <c r="AU3960" s="146"/>
    </row>
    <row r="3961" spans="13:47" x14ac:dyDescent="0.25">
      <c r="M3961" s="27"/>
      <c r="N3961" s="27"/>
      <c r="O3961" s="2" t="s">
        <v>71</v>
      </c>
      <c r="P3961" s="85">
        <v>5</v>
      </c>
      <c r="Q3961" s="2"/>
      <c r="R3961" s="179">
        <f>R3953/((N_6*R$27*R3960)*SQRT(R3959*R3955*R3957))</f>
        <v>13.18714366958041</v>
      </c>
      <c r="S3961" s="133"/>
      <c r="T3961" s="146"/>
      <c r="U3961" s="143">
        <f>U3953/((N_6*U$27*U3960)*SQRT(U3959*U3955*U3957))</f>
        <v>45.227356915870651</v>
      </c>
      <c r="V3961" s="133"/>
      <c r="W3961" s="146"/>
      <c r="X3961" s="143">
        <f>X3953/((N_6*X$27*X3960)*SQRT(X3959*X3955*X3957))</f>
        <v>-326.4855336733271</v>
      </c>
      <c r="Y3961" s="133"/>
      <c r="Z3961" s="146"/>
      <c r="AA3961" s="143">
        <f>AA3953/((N_6*AA$27*AA3960)*SQRT(AA3959*AA3955*AA3957))</f>
        <v>46.23129568606906</v>
      </c>
      <c r="AB3961" s="133"/>
      <c r="AC3961" s="146"/>
      <c r="AD3961" s="143">
        <f>AD3953/((N_6*AD$27*AD3960)*SQRT(AD3959*AD3955*AD3957))</f>
        <v>24.036900035336497</v>
      </c>
      <c r="AE3961" s="133"/>
      <c r="AF3961" s="146"/>
      <c r="AG3961" s="143">
        <f>AG3953/((N_6*AG$27*AG3960)*SQRT(AG3959*AG3955*AG3957))</f>
        <v>17.927546789927</v>
      </c>
      <c r="AH3961" s="133"/>
      <c r="AI3961" s="146"/>
      <c r="AJ3961" s="143">
        <f>AJ3953/((N_6*AJ$27*AJ3960)*SQRT(AJ3959*AJ3955*AJ3957))</f>
        <v>15.869740415888394</v>
      </c>
      <c r="AK3961" s="133"/>
      <c r="AL3961" s="146"/>
      <c r="AM3961" s="143">
        <f>AM3953/((N_6*AM$27*AM3960)*SQRT(AM3959*AM3955*AM3957))</f>
        <v>16.847140249956819</v>
      </c>
      <c r="AN3961" s="133"/>
      <c r="AO3961" s="146"/>
      <c r="AP3961" s="143">
        <f>AP3953/((N_6*AP$27*AP3960)*SQRT(AP3959*AP3955*AP3957))</f>
        <v>12.393052723919881</v>
      </c>
      <c r="AQ3961" s="133"/>
      <c r="AR3961" s="146"/>
      <c r="AS3961" s="143">
        <f>AS3953/((N_6*AS$27*AS3960)*SQRT(AS3959*AS3955*AS3957))</f>
        <v>44.302981274019032</v>
      </c>
      <c r="AT3961" s="133"/>
      <c r="AU3961" s="146"/>
    </row>
    <row r="3962" spans="13:47" x14ac:dyDescent="0.25">
      <c r="M3962" s="27"/>
      <c r="N3962" s="27"/>
      <c r="O3962" s="2" t="s">
        <v>73</v>
      </c>
      <c r="P3962" s="85">
        <v>5</v>
      </c>
      <c r="Q3962" s="2"/>
      <c r="R3962" s="179">
        <f>R3953/((N_6*R$27*0.667)*SQRT(R3963*R3955*R3957))</f>
        <v>12.863612991733147</v>
      </c>
      <c r="S3962" s="133"/>
      <c r="T3962" s="155"/>
      <c r="U3962" s="143">
        <f>U3953/((N_6*U$27*0.667)*SQRT(U3963*U3955*U3957))</f>
        <v>41.256817055391906</v>
      </c>
      <c r="V3962" s="133"/>
      <c r="W3962" s="155"/>
      <c r="X3962" s="143">
        <f>X3953/((N_6*X$27*0.667)*SQRT(X3963*X3955*X3957))</f>
        <v>211.65282147043033</v>
      </c>
      <c r="Y3962" s="133"/>
      <c r="Z3962" s="155"/>
      <c r="AA3962" s="143">
        <f>AA3953/((N_6*AA$27*0.667)*SQRT(AA3963*AA3955*AA3957))</f>
        <v>37.268992695310949</v>
      </c>
      <c r="AB3962" s="133"/>
      <c r="AC3962" s="155"/>
      <c r="AD3962" s="143">
        <f>AD3953/((N_6*AD$27*0.667)*SQRT(AD3963*AD3955*AD3957))</f>
        <v>20.225657884732218</v>
      </c>
      <c r="AE3962" s="133"/>
      <c r="AF3962" s="155"/>
      <c r="AG3962" s="143">
        <f>AG3953/((N_6*AG$27*0.667)*SQRT(AG3963*AG3955*AG3957))</f>
        <v>14.599190506057612</v>
      </c>
      <c r="AH3962" s="133"/>
      <c r="AI3962" s="155"/>
      <c r="AJ3962" s="143">
        <f>AJ3953/((N_6*AJ$27*0.667)*SQRT(AJ3963*AJ3955*AJ3957))</f>
        <v>12.124292311799861</v>
      </c>
      <c r="AK3962" s="133"/>
      <c r="AL3962" s="155"/>
      <c r="AM3962" s="143">
        <f>AM3953/((N_6*AM$27*0.667)*SQRT(AM3963*AM3955*AM3957))</f>
        <v>11.400798470569587</v>
      </c>
      <c r="AN3962" s="133"/>
      <c r="AO3962" s="155"/>
      <c r="AP3962" s="143">
        <f>AP3953/((N_6*AP$27*0.667)*SQRT(AP3963*AP3955*AP3957))</f>
        <v>10.518193079908118</v>
      </c>
      <c r="AQ3962" s="133"/>
      <c r="AR3962" s="155"/>
      <c r="AS3962" s="143">
        <f>AS3953/((N_6*AS$27*0.667)*SQRT(AS3963*AS3955*AS3957))</f>
        <v>15.223529711345371</v>
      </c>
      <c r="AT3962" s="133"/>
      <c r="AU3962" s="155"/>
    </row>
    <row r="3963" spans="13:47" ht="15.5" x14ac:dyDescent="0.4">
      <c r="M3963" s="27"/>
      <c r="N3963" s="27"/>
      <c r="O3963" s="2" t="s">
        <v>192</v>
      </c>
      <c r="P3963" s="85">
        <v>10</v>
      </c>
      <c r="Q3963" s="2"/>
      <c r="R3963" s="181">
        <f>F_GAMMA*R$29</f>
        <v>0.64002688015162901</v>
      </c>
      <c r="S3963" s="133"/>
      <c r="T3963" s="155"/>
      <c r="U3963" s="138">
        <f>F_GAMMA*U$29</f>
        <v>0.64016782916606918</v>
      </c>
      <c r="V3963" s="133"/>
      <c r="W3963" s="155"/>
      <c r="X3963" s="138">
        <f>F_GAMMA*X$29</f>
        <v>0.6307062319203669</v>
      </c>
      <c r="Y3963" s="133"/>
      <c r="Z3963" s="155"/>
      <c r="AA3963" s="138">
        <f>F_GAMMA*AA$29</f>
        <v>0.62217534213893466</v>
      </c>
      <c r="AB3963" s="133"/>
      <c r="AC3963" s="155"/>
      <c r="AD3963" s="138">
        <f>F_GAMMA*AD$29</f>
        <v>0.60557184969146072</v>
      </c>
      <c r="AE3963" s="133"/>
      <c r="AF3963" s="155"/>
      <c r="AG3963" s="138">
        <f>F_GAMMA*AG$29</f>
        <v>0.57289312142622573</v>
      </c>
      <c r="AH3963" s="133"/>
      <c r="AI3963" s="155"/>
      <c r="AJ3963" s="138">
        <f>F_GAMMA*AJ$29</f>
        <v>0.53590819116049981</v>
      </c>
      <c r="AK3963" s="133"/>
      <c r="AL3963" s="155"/>
      <c r="AM3963" s="138">
        <f>F_GAMMA*AM$29</f>
        <v>0.49048815926850342</v>
      </c>
      <c r="AN3963" s="133"/>
      <c r="AO3963" s="155"/>
      <c r="AP3963" s="138">
        <f>F_GAMMA*AP$29</f>
        <v>0.59352979016280105</v>
      </c>
      <c r="AQ3963" s="133"/>
      <c r="AR3963" s="155"/>
      <c r="AS3963" s="138">
        <f>F_GAMMA*AS$29</f>
        <v>0.39097221161068291</v>
      </c>
      <c r="AT3963" s="133"/>
      <c r="AU3963" s="155"/>
    </row>
    <row r="3964" spans="13:47" x14ac:dyDescent="0.25">
      <c r="M3964" s="27"/>
      <c r="N3964" s="27"/>
      <c r="O3964" s="2" t="s">
        <v>193</v>
      </c>
      <c r="P3964" s="134"/>
      <c r="Q3964" s="2"/>
      <c r="R3964" s="181">
        <f>IF(R3959&lt;R3963,R3961,R3962)</f>
        <v>13.18714366958041</v>
      </c>
      <c r="S3964" s="133"/>
      <c r="T3964" s="155"/>
      <c r="U3964" s="138">
        <f>IF(U3959&lt;U3963,U3961,U3962)</f>
        <v>45.227356915870651</v>
      </c>
      <c r="V3964" s="133"/>
      <c r="W3964" s="155"/>
      <c r="X3964" s="138">
        <f>IF(X3959&lt;X3963,X3961,X3962)</f>
        <v>211.65282147043033</v>
      </c>
      <c r="Y3964" s="133"/>
      <c r="Z3964" s="155"/>
      <c r="AA3964" s="138">
        <f>IF(AA3959&lt;AA3963,AA3961,AA3962)</f>
        <v>37.268992695310949</v>
      </c>
      <c r="AB3964" s="133"/>
      <c r="AC3964" s="155"/>
      <c r="AD3964" s="138">
        <f>IF(AD3959&lt;AD3963,AD3961,AD3962)</f>
        <v>20.225657884732218</v>
      </c>
      <c r="AE3964" s="133"/>
      <c r="AF3964" s="155"/>
      <c r="AG3964" s="138">
        <f>IF(AG3959&lt;AG3963,AG3961,AG3962)</f>
        <v>14.599190506057612</v>
      </c>
      <c r="AH3964" s="133"/>
      <c r="AI3964" s="155"/>
      <c r="AJ3964" s="138">
        <f>IF(AJ3959&lt;AJ3963,AJ3961,AJ3962)</f>
        <v>12.124292311799861</v>
      </c>
      <c r="AK3964" s="133"/>
      <c r="AL3964" s="155"/>
      <c r="AM3964" s="138">
        <f>IF(AM3959&lt;AM3963,AM3961,AM3962)</f>
        <v>11.400798470569587</v>
      </c>
      <c r="AN3964" s="133"/>
      <c r="AO3964" s="155"/>
      <c r="AP3964" s="138">
        <f>IF(AP3959&lt;AP3963,AP3961,AP3962)</f>
        <v>10.518193079908118</v>
      </c>
      <c r="AQ3964" s="133"/>
      <c r="AR3964" s="155"/>
      <c r="AS3964" s="138">
        <f>IF(AS3959&lt;AS3963,AS3961,AS3962)</f>
        <v>15.223529711345371</v>
      </c>
      <c r="AT3964" s="133"/>
      <c r="AU3964" s="155"/>
    </row>
    <row r="3965" spans="13:47" ht="13" x14ac:dyDescent="0.3">
      <c r="M3965" s="28"/>
      <c r="N3965" s="28"/>
      <c r="O3965" s="9" t="s">
        <v>194</v>
      </c>
      <c r="P3965" s="1"/>
      <c r="Q3965" s="1"/>
      <c r="R3965" s="135"/>
      <c r="S3965" s="132">
        <f>IF(R3958&lt;=0,W_max,ABS(R$23-R3964))</f>
        <v>11.18714366958041</v>
      </c>
      <c r="T3965" s="151">
        <f>R3953</f>
        <v>2929.9052773251788</v>
      </c>
      <c r="U3965" s="135"/>
      <c r="V3965" s="132">
        <f>IF(U3958&lt;=0,W_max,ABS(U$23-U3964))</f>
        <v>40.227356915870651</v>
      </c>
      <c r="W3965" s="151">
        <f>U3953</f>
        <v>7533.941875571968</v>
      </c>
      <c r="X3965" s="135"/>
      <c r="Y3965" s="132">
        <f>IF(X3958&lt;=0,W_max,ABS(X$23-X3964))</f>
        <v>7174</v>
      </c>
      <c r="Z3965" s="151">
        <f>X3953</f>
        <v>18632.334807882256</v>
      </c>
      <c r="AA3965" s="135"/>
      <c r="AB3965" s="132">
        <f>IF(AA3958&lt;=0,W_max,ABS(AA$23-AA3964))</f>
        <v>7174</v>
      </c>
      <c r="AC3965" s="151">
        <f>AA3953</f>
        <v>36291.032387755011</v>
      </c>
      <c r="AD3965" s="135"/>
      <c r="AE3965" s="132">
        <f>IF(AD3958&lt;=0,W_max,ABS(AD$23-AD3964))</f>
        <v>7174</v>
      </c>
      <c r="AF3965" s="151">
        <f>AD3953</f>
        <v>59685.386712468884</v>
      </c>
      <c r="AG3965" s="135"/>
      <c r="AH3965" s="132">
        <f>IF(AG3958&lt;=0,W_max,ABS(AG$23-AG3964))</f>
        <v>7174</v>
      </c>
      <c r="AI3965" s="151">
        <f>AG3953</f>
        <v>83713.349813540015</v>
      </c>
      <c r="AJ3965" s="135"/>
      <c r="AK3965" s="132">
        <f>IF(AJ3958&lt;=0,W_max,ABS(AJ$23-AJ3964))</f>
        <v>7174</v>
      </c>
      <c r="AL3965" s="151">
        <f>AJ3953</f>
        <v>106293.74080292443</v>
      </c>
      <c r="AM3965" s="135"/>
      <c r="AN3965" s="132">
        <f>IF(AM3958&lt;=0,W_max,ABS(AM$23-AM3964))</f>
        <v>7174</v>
      </c>
      <c r="AO3965" s="151">
        <f>AM3953</f>
        <v>124637.77055456398</v>
      </c>
      <c r="AP3965" s="135"/>
      <c r="AQ3965" s="132">
        <f>IF(AP3958&lt;=0,W_max,ABS(AP$23-AP3964))</f>
        <v>7174</v>
      </c>
      <c r="AR3965" s="151">
        <f>AP3953</f>
        <v>139054.41540666149</v>
      </c>
      <c r="AS3965" s="135"/>
      <c r="AT3965" s="132">
        <f>IF(AS3958&lt;=0,W_max,ABS(AS$23-AS3964))</f>
        <v>7174</v>
      </c>
      <c r="AU3965" s="151">
        <f>AS3953</f>
        <v>155138.60973326216</v>
      </c>
    </row>
    <row r="3966" spans="13:47" ht="13" x14ac:dyDescent="0.25">
      <c r="M3966" s="12"/>
      <c r="N3966" s="12"/>
      <c r="O3966" s="2"/>
      <c r="P3966" s="85"/>
      <c r="Q3966" s="2"/>
      <c r="R3966" s="18"/>
      <c r="S3966" s="150"/>
      <c r="T3966" s="152"/>
      <c r="U3966" s="157"/>
      <c r="V3966" s="1"/>
      <c r="W3966" s="147"/>
      <c r="X3966" s="157"/>
      <c r="Y3966" s="1"/>
      <c r="Z3966" s="147"/>
      <c r="AA3966" s="157"/>
      <c r="AB3966" s="1"/>
      <c r="AC3966" s="147"/>
      <c r="AD3966" s="157"/>
      <c r="AE3966" s="1"/>
      <c r="AF3966" s="147"/>
      <c r="AG3966" s="157"/>
      <c r="AH3966" s="1"/>
      <c r="AI3966" s="147"/>
      <c r="AJ3966" s="157"/>
      <c r="AK3966" s="1"/>
      <c r="AL3966" s="147"/>
      <c r="AM3966" s="157"/>
      <c r="AN3966" s="1"/>
      <c r="AO3966" s="147"/>
      <c r="AP3966" s="157"/>
      <c r="AQ3966" s="1"/>
      <c r="AR3966" s="147"/>
      <c r="AS3966" s="157"/>
      <c r="AT3966" s="1"/>
      <c r="AU3966" s="147"/>
    </row>
    <row r="3967" spans="13:47" ht="14" x14ac:dyDescent="0.3">
      <c r="M3967" s="23"/>
      <c r="N3967" s="23"/>
      <c r="O3967" s="23" t="s">
        <v>238</v>
      </c>
      <c r="P3967" s="20"/>
      <c r="Q3967" s="20"/>
      <c r="R3967" s="181">
        <f>R3953*1.02</f>
        <v>2988.5033828716823</v>
      </c>
      <c r="S3967" s="128" t="s">
        <v>185</v>
      </c>
      <c r="T3967" s="153" t="s">
        <v>186</v>
      </c>
      <c r="U3967" s="143">
        <f>U3953*1.01</f>
        <v>7609.2812943276876</v>
      </c>
      <c r="V3967" s="128" t="s">
        <v>185</v>
      </c>
      <c r="W3967" s="153" t="s">
        <v>186</v>
      </c>
      <c r="X3967" s="143">
        <f>X3953*1.01</f>
        <v>18818.658155961079</v>
      </c>
      <c r="Y3967" s="128" t="s">
        <v>185</v>
      </c>
      <c r="Z3967" s="153" t="s">
        <v>186</v>
      </c>
      <c r="AA3967" s="143">
        <f>AA3953*1.01</f>
        <v>36653.942711632561</v>
      </c>
      <c r="AB3967" s="128" t="s">
        <v>185</v>
      </c>
      <c r="AC3967" s="153" t="s">
        <v>186</v>
      </c>
      <c r="AD3967" s="143">
        <f>AD3953*1.01</f>
        <v>60282.24057959357</v>
      </c>
      <c r="AE3967" s="128" t="s">
        <v>185</v>
      </c>
      <c r="AF3967" s="153" t="s">
        <v>186</v>
      </c>
      <c r="AG3967" s="143">
        <f>AG3953*1.01</f>
        <v>84550.483311675416</v>
      </c>
      <c r="AH3967" s="128" t="s">
        <v>185</v>
      </c>
      <c r="AI3967" s="153" t="s">
        <v>186</v>
      </c>
      <c r="AJ3967" s="143">
        <f>AJ3953*1.01</f>
        <v>107356.67821095367</v>
      </c>
      <c r="AK3967" s="128" t="s">
        <v>185</v>
      </c>
      <c r="AL3967" s="153" t="s">
        <v>186</v>
      </c>
      <c r="AM3967" s="143">
        <f>AM3953*1.01</f>
        <v>125884.14826010962</v>
      </c>
      <c r="AN3967" s="128" t="s">
        <v>185</v>
      </c>
      <c r="AO3967" s="153" t="s">
        <v>186</v>
      </c>
      <c r="AP3967" s="143">
        <f>AP3953*1.01</f>
        <v>140444.95956072811</v>
      </c>
      <c r="AQ3967" s="128" t="s">
        <v>185</v>
      </c>
      <c r="AR3967" s="153" t="s">
        <v>186</v>
      </c>
      <c r="AS3967" s="143">
        <f>AS3953*1.01</f>
        <v>156689.99583059479</v>
      </c>
      <c r="AT3967" s="128" t="s">
        <v>185</v>
      </c>
      <c r="AU3967" s="153" t="s">
        <v>186</v>
      </c>
    </row>
    <row r="3968" spans="13:47" ht="14" x14ac:dyDescent="0.3">
      <c r="M3968" s="12"/>
      <c r="N3968" s="12"/>
      <c r="O3968" s="20"/>
      <c r="P3968" s="20"/>
      <c r="Q3968" s="23"/>
      <c r="R3968" s="139"/>
      <c r="S3968" s="130" t="s">
        <v>228</v>
      </c>
      <c r="T3968" s="154" t="s">
        <v>187</v>
      </c>
      <c r="U3968" s="144"/>
      <c r="V3968" s="130" t="s">
        <v>228</v>
      </c>
      <c r="W3968" s="154" t="s">
        <v>187</v>
      </c>
      <c r="X3968" s="144"/>
      <c r="Y3968" s="130" t="s">
        <v>228</v>
      </c>
      <c r="Z3968" s="154" t="s">
        <v>187</v>
      </c>
      <c r="AA3968" s="144"/>
      <c r="AB3968" s="130" t="s">
        <v>228</v>
      </c>
      <c r="AC3968" s="154" t="s">
        <v>187</v>
      </c>
      <c r="AD3968" s="144"/>
      <c r="AE3968" s="130" t="s">
        <v>228</v>
      </c>
      <c r="AF3968" s="154" t="s">
        <v>187</v>
      </c>
      <c r="AG3968" s="144"/>
      <c r="AH3968" s="130" t="s">
        <v>228</v>
      </c>
      <c r="AI3968" s="154" t="s">
        <v>187</v>
      </c>
      <c r="AJ3968" s="144"/>
      <c r="AK3968" s="130" t="s">
        <v>228</v>
      </c>
      <c r="AL3968" s="154" t="s">
        <v>187</v>
      </c>
      <c r="AM3968" s="144"/>
      <c r="AN3968" s="130" t="s">
        <v>228</v>
      </c>
      <c r="AO3968" s="154" t="s">
        <v>187</v>
      </c>
      <c r="AP3968" s="144"/>
      <c r="AQ3968" s="130" t="s">
        <v>228</v>
      </c>
      <c r="AR3968" s="154" t="s">
        <v>187</v>
      </c>
      <c r="AS3968" s="144"/>
      <c r="AT3968" s="130" t="s">
        <v>228</v>
      </c>
      <c r="AU3968" s="154" t="s">
        <v>187</v>
      </c>
    </row>
    <row r="3969" spans="13:47" x14ac:dyDescent="0.25">
      <c r="M3969" s="20"/>
      <c r="N3969" s="20"/>
      <c r="O3969" s="7" t="s">
        <v>188</v>
      </c>
      <c r="P3969" s="7"/>
      <c r="Q3969" s="7"/>
      <c r="R3969" s="181">
        <f>P_1_minW-(R3967^2*R_up)+dpup_minQ</f>
        <v>96.961383975753407</v>
      </c>
      <c r="S3969" s="132"/>
      <c r="T3969" s="145"/>
      <c r="U3969" s="138">
        <f>P_1_minW-(U3967^2*R_up)+dpup_minQ</f>
        <v>77.434013114118301</v>
      </c>
      <c r="V3969" s="132"/>
      <c r="W3969" s="145"/>
      <c r="X3969" s="138">
        <f>P_1_minW-(X3967^2*R_up)+dpup_minQ</f>
        <v>-40.695485619609585</v>
      </c>
      <c r="Y3969" s="132"/>
      <c r="Z3969" s="145"/>
      <c r="AA3969" s="138">
        <f>P_1_minW-(AA3967^2*R_up)+dpup_minQ</f>
        <v>-435.21833289505093</v>
      </c>
      <c r="AB3969" s="132"/>
      <c r="AC3969" s="145"/>
      <c r="AD3969" s="138">
        <f>P_1_minW-(AD3967^2*R_up)+dpup_minQ</f>
        <v>-1348.5572026330794</v>
      </c>
      <c r="AE3969" s="132"/>
      <c r="AF3969" s="145"/>
      <c r="AG3969" s="138">
        <f>P_1_minW-(AG3967^2*R_up)+dpup_minQ</f>
        <v>-2750.139541017511</v>
      </c>
      <c r="AH3969" s="132"/>
      <c r="AI3969" s="145"/>
      <c r="AJ3969" s="138">
        <f>P_1_minW-(AJ3967^2*R_up)+dpup_minQ</f>
        <v>-4495.3893567356508</v>
      </c>
      <c r="AK3969" s="132"/>
      <c r="AL3969" s="145"/>
      <c r="AM3969" s="138">
        <f>P_1_minW-(AM3967^2*R_up)+dpup_minQ</f>
        <v>-6218.5837742784943</v>
      </c>
      <c r="AN3969" s="132"/>
      <c r="AO3969" s="145"/>
      <c r="AP3969" s="138">
        <f>P_1_minW-(AP3967^2*R_up)+dpup_minQ</f>
        <v>-7764.9693692150213</v>
      </c>
      <c r="AQ3969" s="132"/>
      <c r="AR3969" s="145"/>
      <c r="AS3969" s="138">
        <f>P_1_minW-(AS3967^2*R_up)+dpup_minQ</f>
        <v>-9689.7800445228822</v>
      </c>
      <c r="AT3969" s="132"/>
      <c r="AU3969" s="145"/>
    </row>
    <row r="3970" spans="13:47" x14ac:dyDescent="0.25">
      <c r="M3970" s="20"/>
      <c r="N3970" s="20"/>
      <c r="O3970" s="7" t="s">
        <v>189</v>
      </c>
      <c r="P3970" s="1"/>
      <c r="Q3970" s="7"/>
      <c r="R3970" s="181">
        <f>P_2_minW+(R3967^2*R_dn)-dpdn_minQ</f>
        <v>50</v>
      </c>
      <c r="S3970" s="132"/>
      <c r="T3970" s="146"/>
      <c r="U3970" s="138">
        <f>P_2_minW+(U3967^2*R_dn)-dpdn_minQ</f>
        <v>50</v>
      </c>
      <c r="V3970" s="132"/>
      <c r="W3970" s="146"/>
      <c r="X3970" s="138">
        <f>P_2_minW+(X3967^2*R_dn)-dpdn_minQ</f>
        <v>50</v>
      </c>
      <c r="Y3970" s="132"/>
      <c r="Z3970" s="146"/>
      <c r="AA3970" s="138">
        <f>P_2_minW+(AA3967^2*R_dn)-dpdn_minQ</f>
        <v>50</v>
      </c>
      <c r="AB3970" s="132"/>
      <c r="AC3970" s="146"/>
      <c r="AD3970" s="138">
        <f>P_2_minW+(AD3967^2*R_dn)-dpdn_minQ</f>
        <v>50</v>
      </c>
      <c r="AE3970" s="132"/>
      <c r="AF3970" s="146"/>
      <c r="AG3970" s="138">
        <f>P_2_minW+(AG3967^2*R_dn)-dpdn_minQ</f>
        <v>50</v>
      </c>
      <c r="AH3970" s="132"/>
      <c r="AI3970" s="146"/>
      <c r="AJ3970" s="138">
        <f>P_2_minW+(AJ3967^2*R_dn)-dpdn_minQ</f>
        <v>50</v>
      </c>
      <c r="AK3970" s="132"/>
      <c r="AL3970" s="146"/>
      <c r="AM3970" s="138">
        <f>P_2_minW+(AM3967^2*R_dn)-dpdn_minQ</f>
        <v>50</v>
      </c>
      <c r="AN3970" s="132"/>
      <c r="AO3970" s="146"/>
      <c r="AP3970" s="138">
        <f>P_2_minW+(AP3967^2*R_dn)-dpdn_minQ</f>
        <v>50</v>
      </c>
      <c r="AQ3970" s="132"/>
      <c r="AR3970" s="146"/>
      <c r="AS3970" s="138">
        <f>P_2_minW+(AS3967^2*R_dn)-dpdn_minQ</f>
        <v>50</v>
      </c>
      <c r="AT3970" s="132"/>
      <c r="AU3970" s="146"/>
    </row>
    <row r="3971" spans="13:47" x14ac:dyDescent="0.25">
      <c r="M3971" s="20"/>
      <c r="N3971" s="20"/>
      <c r="O3971" s="7" t="s">
        <v>234</v>
      </c>
      <c r="P3971" s="1"/>
      <c r="Q3971" s="7"/>
      <c r="R3971" s="179">
        <f>'Valve Sizing'!G$8*R3969/P_1_maxW</f>
        <v>0.46772445338863583</v>
      </c>
      <c r="S3971" s="132"/>
      <c r="T3971" s="146"/>
      <c r="U3971" s="143">
        <f>'Valve Sizing'!$G$8*U3969/P_1_maxW</f>
        <v>0.37352789298620381</v>
      </c>
      <c r="V3971" s="132"/>
      <c r="W3971" s="146"/>
      <c r="X3971" s="143">
        <f>'Valve Sizing'!$G$8*X3969/P_1_maxW</f>
        <v>-0.19630777724435922</v>
      </c>
      <c r="Y3971" s="132"/>
      <c r="Z3971" s="146"/>
      <c r="AA3971" s="143">
        <f>'Valve Sizing'!$G$8*AA3969/P_1_maxW</f>
        <v>-2.0994157520374781</v>
      </c>
      <c r="AB3971" s="132"/>
      <c r="AC3971" s="146"/>
      <c r="AD3971" s="143">
        <f>'Valve Sizing'!$G$8*AD3969/P_1_maxW</f>
        <v>-6.5051998496906123</v>
      </c>
      <c r="AE3971" s="132"/>
      <c r="AF3971" s="146"/>
      <c r="AG3971" s="143">
        <f>'Valve Sizing'!$G$8*AG3969/P_1_maxW</f>
        <v>-13.266183513702206</v>
      </c>
      <c r="AH3971" s="132"/>
      <c r="AI3971" s="146"/>
      <c r="AJ3971" s="143">
        <f>'Valve Sizing'!$G$8*AJ3969/P_1_maxW</f>
        <v>-21.684957902148547</v>
      </c>
      <c r="AK3971" s="132"/>
      <c r="AL3971" s="146"/>
      <c r="AM3971" s="143">
        <f>'Valve Sizing'!$G$8*AM3969/P_1_maxW</f>
        <v>-29.997340976518878</v>
      </c>
      <c r="AN3971" s="132"/>
      <c r="AO3971" s="146"/>
      <c r="AP3971" s="143">
        <f>'Valve Sizing'!$G$8*AP3969/P_1_maxW</f>
        <v>-37.456829769506967</v>
      </c>
      <c r="AQ3971" s="132"/>
      <c r="AR3971" s="146"/>
      <c r="AS3971" s="143">
        <f>'Valve Sizing'!$G$8*AS3969/P_1_maxW</f>
        <v>-46.741773775773503</v>
      </c>
      <c r="AT3971" s="132"/>
      <c r="AU3971" s="146"/>
    </row>
    <row r="3972" spans="13:47" x14ac:dyDescent="0.25">
      <c r="M3972" s="20"/>
      <c r="N3972" s="20"/>
      <c r="O3972" s="7" t="s">
        <v>190</v>
      </c>
      <c r="P3972" s="1"/>
      <c r="Q3972" s="7"/>
      <c r="R3972" s="181">
        <f>R3969-R3970</f>
        <v>46.961383975753407</v>
      </c>
      <c r="S3972" s="132"/>
      <c r="T3972" s="146"/>
      <c r="U3972" s="138">
        <f>U3969-U3970</f>
        <v>27.434013114118301</v>
      </c>
      <c r="V3972" s="132"/>
      <c r="W3972" s="146"/>
      <c r="X3972" s="138">
        <f>X3969-X3970</f>
        <v>-90.695485619609585</v>
      </c>
      <c r="Y3972" s="132"/>
      <c r="Z3972" s="146"/>
      <c r="AA3972" s="138">
        <f>AA3969-AA3970</f>
        <v>-485.21833289505093</v>
      </c>
      <c r="AB3972" s="132"/>
      <c r="AC3972" s="146"/>
      <c r="AD3972" s="138">
        <f>AD3969-AD3970</f>
        <v>-1398.5572026330794</v>
      </c>
      <c r="AE3972" s="132"/>
      <c r="AF3972" s="146"/>
      <c r="AG3972" s="138">
        <f>AG3969-AG3970</f>
        <v>-2800.139541017511</v>
      </c>
      <c r="AH3972" s="132"/>
      <c r="AI3972" s="146"/>
      <c r="AJ3972" s="138">
        <f>AJ3969-AJ3970</f>
        <v>-4545.3893567356508</v>
      </c>
      <c r="AK3972" s="132"/>
      <c r="AL3972" s="146"/>
      <c r="AM3972" s="138">
        <f>AM3969-AM3970</f>
        <v>-6268.5837742784943</v>
      </c>
      <c r="AN3972" s="132"/>
      <c r="AO3972" s="146"/>
      <c r="AP3972" s="138">
        <f>AP3969-AP3970</f>
        <v>-7814.9693692150213</v>
      </c>
      <c r="AQ3972" s="132"/>
      <c r="AR3972" s="146"/>
      <c r="AS3972" s="138">
        <f>AS3969-AS3970</f>
        <v>-9739.7800445228822</v>
      </c>
      <c r="AT3972" s="132"/>
      <c r="AU3972" s="146"/>
    </row>
    <row r="3973" spans="13:47" ht="14.5" x14ac:dyDescent="0.35">
      <c r="M3973" s="27"/>
      <c r="N3973" s="27"/>
      <c r="O3973" s="2" t="s">
        <v>191</v>
      </c>
      <c r="P3973" s="10"/>
      <c r="Q3973" s="2"/>
      <c r="R3973" s="181">
        <f>R3972/R3969</f>
        <v>0.48433079283910363</v>
      </c>
      <c r="S3973" s="132"/>
      <c r="T3973" s="146"/>
      <c r="U3973" s="138">
        <f>U3972/U3969</f>
        <v>0.35428892305616977</v>
      </c>
      <c r="V3973" s="132"/>
      <c r="W3973" s="146"/>
      <c r="X3973" s="138">
        <f>X3972/X3969</f>
        <v>2.2286375070532869</v>
      </c>
      <c r="Y3973" s="132"/>
      <c r="Z3973" s="146"/>
      <c r="AA3973" s="138">
        <f>AA3972/AA3969</f>
        <v>1.114884866332267</v>
      </c>
      <c r="AB3973" s="132"/>
      <c r="AC3973" s="146"/>
      <c r="AD3973" s="138">
        <f>AD3972/AD3969</f>
        <v>1.0370766623042569</v>
      </c>
      <c r="AE3973" s="132"/>
      <c r="AF3973" s="146"/>
      <c r="AG3973" s="138">
        <f>AG3972/AG3969</f>
        <v>1.01818089564339</v>
      </c>
      <c r="AH3973" s="132"/>
      <c r="AI3973" s="146"/>
      <c r="AJ3973" s="138">
        <f>AJ3972/AJ3969</f>
        <v>1.0111225070916454</v>
      </c>
      <c r="AK3973" s="132"/>
      <c r="AL3973" s="146"/>
      <c r="AM3973" s="138">
        <f>AM3972/AM3969</f>
        <v>1.0080404159234473</v>
      </c>
      <c r="AN3973" s="132"/>
      <c r="AO3973" s="146"/>
      <c r="AP3973" s="138">
        <f>AP3972/AP3969</f>
        <v>1.0064391754329682</v>
      </c>
      <c r="AQ3973" s="132"/>
      <c r="AR3973" s="146"/>
      <c r="AS3973" s="138">
        <f>AS3972/AS3969</f>
        <v>1.0051600758500461</v>
      </c>
      <c r="AT3973" s="132"/>
      <c r="AU3973" s="146"/>
    </row>
    <row r="3974" spans="13:47" x14ac:dyDescent="0.25">
      <c r="M3974" s="27"/>
      <c r="N3974" s="27"/>
      <c r="O3974" s="2" t="s">
        <v>26</v>
      </c>
      <c r="P3974" s="7">
        <v>12</v>
      </c>
      <c r="Q3974" s="2"/>
      <c r="R3974" s="181">
        <f>1-R3973/(3*F_GAMMA*R$29)</f>
        <v>0.74775497308052608</v>
      </c>
      <c r="S3974" s="133"/>
      <c r="T3974" s="146"/>
      <c r="U3974" s="138">
        <f>1-U3973/(3*F_GAMMA*U$29)</f>
        <v>0.81552289523947019</v>
      </c>
      <c r="V3974" s="133"/>
      <c r="W3974" s="146"/>
      <c r="X3974" s="138">
        <f>1-X3973/(3*F_GAMMA*X$29)</f>
        <v>-0.17785290745558768</v>
      </c>
      <c r="Y3974" s="133"/>
      <c r="Z3974" s="146"/>
      <c r="AA3974" s="138">
        <f>1-AA3973/(3*F_GAMMA*AA$29)</f>
        <v>0.40269524745254848</v>
      </c>
      <c r="AB3974" s="133"/>
      <c r="AC3974" s="146"/>
      <c r="AD3974" s="138">
        <f>1-AD3973/(3*F_GAMMA*AD$29)</f>
        <v>0.42914747284865362</v>
      </c>
      <c r="AE3974" s="133"/>
      <c r="AF3974" s="146"/>
      <c r="AG3974" s="138">
        <f>1-AG3973/(3*F_GAMMA*AG$29)</f>
        <v>0.4075794957422344</v>
      </c>
      <c r="AH3974" s="133"/>
      <c r="AI3974" s="146"/>
      <c r="AJ3974" s="138">
        <f>1-AJ3973/(3*F_GAMMA*AJ$29)</f>
        <v>0.3710847468717372</v>
      </c>
      <c r="AK3974" s="133"/>
      <c r="AL3974" s="146"/>
      <c r="AM3974" s="138">
        <f>1-AM3973/(3*F_GAMMA*AM$29)</f>
        <v>0.31494070626373338</v>
      </c>
      <c r="AN3974" s="133"/>
      <c r="AO3974" s="146"/>
      <c r="AP3974" s="138">
        <f>1-AP3973/(3*F_GAMMA*AP$29)</f>
        <v>0.43477188389768429</v>
      </c>
      <c r="AQ3974" s="133"/>
      <c r="AR3974" s="146"/>
      <c r="AS3974" s="138">
        <f>1-AS3973/(3*F_GAMMA*AS$29)</f>
        <v>0.14302513409746631</v>
      </c>
      <c r="AT3974" s="133"/>
      <c r="AU3974" s="146"/>
    </row>
    <row r="3975" spans="13:47" x14ac:dyDescent="0.25">
      <c r="M3975" s="27"/>
      <c r="N3975" s="27"/>
      <c r="O3975" s="2" t="s">
        <v>71</v>
      </c>
      <c r="P3975" s="85">
        <v>5</v>
      </c>
      <c r="Q3975" s="2"/>
      <c r="R3975" s="179">
        <f>R3967/((N_6*R$27*R3974)*SQRT(R3973*R3969*R3971))</f>
        <v>13.47338468185545</v>
      </c>
      <c r="S3975" s="133"/>
      <c r="T3975" s="146"/>
      <c r="U3975" s="143">
        <f>U3967/((N_6*U$27*U3974)*SQRT(U3973*U3969*U3971))</f>
        <v>46.080693217548408</v>
      </c>
      <c r="V3975" s="133"/>
      <c r="W3975" s="146"/>
      <c r="X3975" s="143">
        <f>X3967/((N_6*X$27*X3974)*SQRT(X3973*X3969*X3971))</f>
        <v>-397.32439639371023</v>
      </c>
      <c r="Y3975" s="133"/>
      <c r="Z3975" s="146"/>
      <c r="AA3975" s="143">
        <f>AA3967/((N_6*AA$27*AA3974)*SQRT(AA3973*AA3969*AA3971))</f>
        <v>45.446043994936637</v>
      </c>
      <c r="AB3975" s="133"/>
      <c r="AC3975" s="146"/>
      <c r="AD3975" s="143">
        <f>AD3967/((N_6*AD$27*AD3974)*SQRT(AD3973*AD3969*AD3971))</f>
        <v>23.747986111086135</v>
      </c>
      <c r="AE3975" s="133"/>
      <c r="AF3975" s="146"/>
      <c r="AG3975" s="143">
        <f>AG3967/((N_6*AG$27*AG3974)*SQRT(AG3973*AG3969*AG3971))</f>
        <v>17.730706862627265</v>
      </c>
      <c r="AH3975" s="133"/>
      <c r="AI3975" s="146"/>
      <c r="AJ3975" s="143">
        <f>AJ3967/((N_6*AJ$27*AJ3974)*SQRT(AJ3973*AJ3969*AJ3971))</f>
        <v>15.701307572575272</v>
      </c>
      <c r="AK3975" s="133"/>
      <c r="AL3975" s="146"/>
      <c r="AM3975" s="143">
        <f>AM3967/((N_6*AM$27*AM3974)*SQRT(AM3973*AM3969*AM3971))</f>
        <v>16.670364343647019</v>
      </c>
      <c r="AN3975" s="133"/>
      <c r="AO3975" s="146"/>
      <c r="AP3975" s="143">
        <f>AP3967/((N_6*AP$27*AP3974)*SQRT(AP3973*AP3969*AP3971))</f>
        <v>12.265877425744208</v>
      </c>
      <c r="AQ3975" s="133"/>
      <c r="AR3975" s="146"/>
      <c r="AS3975" s="143">
        <f>AS3967/((N_6*AS$27*AS3974)*SQRT(AS3973*AS3969*AS3971))</f>
        <v>43.830075387007703</v>
      </c>
      <c r="AT3975" s="133"/>
      <c r="AU3975" s="146"/>
    </row>
    <row r="3976" spans="13:47" x14ac:dyDescent="0.25">
      <c r="M3976" s="27"/>
      <c r="N3976" s="27"/>
      <c r="O3976" s="2" t="s">
        <v>73</v>
      </c>
      <c r="P3976" s="85">
        <v>5</v>
      </c>
      <c r="Q3976" s="2"/>
      <c r="R3976" s="179">
        <f>R3967/((N_6*R$27*0.667)*SQRT(R3977*R3969*R3971))</f>
        <v>13.139599243774203</v>
      </c>
      <c r="S3976" s="133"/>
      <c r="T3976" s="155"/>
      <c r="U3976" s="143">
        <f>U3967/((N_6*U$27*0.667)*SQRT(U3977*U3969*U3971))</f>
        <v>41.914201058578456</v>
      </c>
      <c r="V3976" s="133"/>
      <c r="W3976" s="155"/>
      <c r="X3976" s="143">
        <f>X3967/((N_6*X$27*0.667)*SQRT(X3977*X3969*X3971))</f>
        <v>199.15284922014789</v>
      </c>
      <c r="Y3976" s="133"/>
      <c r="Z3976" s="155"/>
      <c r="AA3976" s="143">
        <f>AA3967/((N_6*AA$27*0.667)*SQRT(AA3977*AA3969*AA3971))</f>
        <v>36.728683965944747</v>
      </c>
      <c r="AB3976" s="133"/>
      <c r="AC3976" s="155"/>
      <c r="AD3976" s="143">
        <f>AD3967/((N_6*AD$27*0.667)*SQRT(AD3977*AD3969*AD3971))</f>
        <v>19.995400307032096</v>
      </c>
      <c r="AE3976" s="133"/>
      <c r="AF3976" s="155"/>
      <c r="AG3976" s="143">
        <f>AG3967/((N_6*AG$27*0.667)*SQRT(AG3977*AG3969*AG3971))</f>
        <v>14.444024340938869</v>
      </c>
      <c r="AH3976" s="133"/>
      <c r="AI3976" s="155"/>
      <c r="AJ3976" s="143">
        <f>AJ3967/((N_6*AJ$27*0.667)*SQRT(AJ3977*AJ3969*AJ3971))</f>
        <v>11.998854356002344</v>
      </c>
      <c r="AK3976" s="133"/>
      <c r="AL3976" s="155"/>
      <c r="AM3976" s="143">
        <f>AM3967/((N_6*AM$27*0.667)*SQRT(AM3977*AM3969*AM3971))</f>
        <v>11.284251669187631</v>
      </c>
      <c r="AN3976" s="133"/>
      <c r="AO3976" s="155"/>
      <c r="AP3976" s="143">
        <f>AP3967/((N_6*AP$27*0.667)*SQRT(AP3977*AP3969*AP3971))</f>
        <v>10.411342733418936</v>
      </c>
      <c r="AQ3976" s="133"/>
      <c r="AR3976" s="155"/>
      <c r="AS3976" s="143">
        <f>AS3967/((N_6*AS$27*0.667)*SQRT(AS3977*AS3969*AS3971))</f>
        <v>15.069658721447572</v>
      </c>
      <c r="AT3976" s="133"/>
      <c r="AU3976" s="155"/>
    </row>
    <row r="3977" spans="13:47" ht="15.5" x14ac:dyDescent="0.4">
      <c r="M3977" s="27"/>
      <c r="N3977" s="27"/>
      <c r="O3977" s="2" t="s">
        <v>192</v>
      </c>
      <c r="P3977" s="85">
        <v>10</v>
      </c>
      <c r="Q3977" s="2"/>
      <c r="R3977" s="181">
        <f>F_GAMMA*R$29</f>
        <v>0.64002688015162901</v>
      </c>
      <c r="S3977" s="133"/>
      <c r="T3977" s="155"/>
      <c r="U3977" s="138">
        <f>F_GAMMA*U$29</f>
        <v>0.64016782916606918</v>
      </c>
      <c r="V3977" s="133"/>
      <c r="W3977" s="155"/>
      <c r="X3977" s="138">
        <f>F_GAMMA*X$29</f>
        <v>0.6307062319203669</v>
      </c>
      <c r="Y3977" s="133"/>
      <c r="Z3977" s="155"/>
      <c r="AA3977" s="138">
        <f>F_GAMMA*AA$29</f>
        <v>0.62217534213893466</v>
      </c>
      <c r="AB3977" s="133"/>
      <c r="AC3977" s="155"/>
      <c r="AD3977" s="138">
        <f>F_GAMMA*AD$29</f>
        <v>0.60557184969146072</v>
      </c>
      <c r="AE3977" s="133"/>
      <c r="AF3977" s="155"/>
      <c r="AG3977" s="138">
        <f>F_GAMMA*AG$29</f>
        <v>0.57289312142622573</v>
      </c>
      <c r="AH3977" s="133"/>
      <c r="AI3977" s="155"/>
      <c r="AJ3977" s="138">
        <f>F_GAMMA*AJ$29</f>
        <v>0.53590819116049981</v>
      </c>
      <c r="AK3977" s="133"/>
      <c r="AL3977" s="155"/>
      <c r="AM3977" s="138">
        <f>F_GAMMA*AM$29</f>
        <v>0.49048815926850342</v>
      </c>
      <c r="AN3977" s="133"/>
      <c r="AO3977" s="155"/>
      <c r="AP3977" s="138">
        <f>F_GAMMA*AP$29</f>
        <v>0.59352979016280105</v>
      </c>
      <c r="AQ3977" s="133"/>
      <c r="AR3977" s="155"/>
      <c r="AS3977" s="138">
        <f>F_GAMMA*AS$29</f>
        <v>0.39097221161068291</v>
      </c>
      <c r="AT3977" s="133"/>
      <c r="AU3977" s="155"/>
    </row>
    <row r="3978" spans="13:47" x14ac:dyDescent="0.25">
      <c r="M3978" s="27"/>
      <c r="N3978" s="27"/>
      <c r="O3978" s="2" t="s">
        <v>193</v>
      </c>
      <c r="P3978" s="134"/>
      <c r="Q3978" s="2"/>
      <c r="R3978" s="181">
        <f>IF(R3973&lt;R3977,R3975,R3976)</f>
        <v>13.47338468185545</v>
      </c>
      <c r="S3978" s="133"/>
      <c r="T3978" s="155"/>
      <c r="U3978" s="138">
        <f>IF(U3973&lt;U3977,U3975,U3976)</f>
        <v>46.080693217548408</v>
      </c>
      <c r="V3978" s="133"/>
      <c r="W3978" s="155"/>
      <c r="X3978" s="138">
        <f>IF(X3973&lt;X3977,X3975,X3976)</f>
        <v>199.15284922014789</v>
      </c>
      <c r="Y3978" s="133"/>
      <c r="Z3978" s="155"/>
      <c r="AA3978" s="138">
        <f>IF(AA3973&lt;AA3977,AA3975,AA3976)</f>
        <v>36.728683965944747</v>
      </c>
      <c r="AB3978" s="133"/>
      <c r="AC3978" s="155"/>
      <c r="AD3978" s="138">
        <f>IF(AD3973&lt;AD3977,AD3975,AD3976)</f>
        <v>19.995400307032096</v>
      </c>
      <c r="AE3978" s="133"/>
      <c r="AF3978" s="155"/>
      <c r="AG3978" s="138">
        <f>IF(AG3973&lt;AG3977,AG3975,AG3976)</f>
        <v>14.444024340938869</v>
      </c>
      <c r="AH3978" s="133"/>
      <c r="AI3978" s="155"/>
      <c r="AJ3978" s="138">
        <f>IF(AJ3973&lt;AJ3977,AJ3975,AJ3976)</f>
        <v>11.998854356002344</v>
      </c>
      <c r="AK3978" s="133"/>
      <c r="AL3978" s="155"/>
      <c r="AM3978" s="138">
        <f>IF(AM3973&lt;AM3977,AM3975,AM3976)</f>
        <v>11.284251669187631</v>
      </c>
      <c r="AN3978" s="133"/>
      <c r="AO3978" s="155"/>
      <c r="AP3978" s="138">
        <f>IF(AP3973&lt;AP3977,AP3975,AP3976)</f>
        <v>10.411342733418936</v>
      </c>
      <c r="AQ3978" s="133"/>
      <c r="AR3978" s="155"/>
      <c r="AS3978" s="138">
        <f>IF(AS3973&lt;AS3977,AS3975,AS3976)</f>
        <v>15.069658721447572</v>
      </c>
      <c r="AT3978" s="133"/>
      <c r="AU3978" s="155"/>
    </row>
    <row r="3979" spans="13:47" ht="13" x14ac:dyDescent="0.3">
      <c r="M3979" s="28"/>
      <c r="N3979" s="28"/>
      <c r="O3979" s="9" t="s">
        <v>194</v>
      </c>
      <c r="P3979" s="1"/>
      <c r="Q3979" s="1"/>
      <c r="R3979" s="135"/>
      <c r="S3979" s="132">
        <f>IF(R3972&lt;=0,W_max,ABS(R$23-R3978))</f>
        <v>11.47338468185545</v>
      </c>
      <c r="T3979" s="151">
        <f>R3967</f>
        <v>2988.5033828716823</v>
      </c>
      <c r="U3979" s="135"/>
      <c r="V3979" s="132">
        <f>IF(U3972&lt;=0,W_max,ABS(U$23-U3978))</f>
        <v>41.080693217548408</v>
      </c>
      <c r="W3979" s="151">
        <f>U3967</f>
        <v>7609.2812943276876</v>
      </c>
      <c r="X3979" s="135"/>
      <c r="Y3979" s="132">
        <f>IF(X3972&lt;=0,W_max,ABS(X$23-X3978))</f>
        <v>7174</v>
      </c>
      <c r="Z3979" s="151">
        <f>X3967</f>
        <v>18818.658155961079</v>
      </c>
      <c r="AA3979" s="135"/>
      <c r="AB3979" s="132">
        <f>IF(AA3972&lt;=0,W_max,ABS(AA$23-AA3978))</f>
        <v>7174</v>
      </c>
      <c r="AC3979" s="151">
        <f>AA3967</f>
        <v>36653.942711632561</v>
      </c>
      <c r="AD3979" s="135"/>
      <c r="AE3979" s="132">
        <f>IF(AD3972&lt;=0,W_max,ABS(AD$23-AD3978))</f>
        <v>7174</v>
      </c>
      <c r="AF3979" s="151">
        <f>AD3967</f>
        <v>60282.24057959357</v>
      </c>
      <c r="AG3979" s="135"/>
      <c r="AH3979" s="132">
        <f>IF(AG3972&lt;=0,W_max,ABS(AG$23-AG3978))</f>
        <v>7174</v>
      </c>
      <c r="AI3979" s="151">
        <f>AG3967</f>
        <v>84550.483311675416</v>
      </c>
      <c r="AJ3979" s="135"/>
      <c r="AK3979" s="132">
        <f>IF(AJ3972&lt;=0,W_max,ABS(AJ$23-AJ3978))</f>
        <v>7174</v>
      </c>
      <c r="AL3979" s="151">
        <f>AJ3967</f>
        <v>107356.67821095367</v>
      </c>
      <c r="AM3979" s="135"/>
      <c r="AN3979" s="132">
        <f>IF(AM3972&lt;=0,W_max,ABS(AM$23-AM3978))</f>
        <v>7174</v>
      </c>
      <c r="AO3979" s="151">
        <f>AM3967</f>
        <v>125884.14826010962</v>
      </c>
      <c r="AP3979" s="135"/>
      <c r="AQ3979" s="132">
        <f>IF(AP3972&lt;=0,W_max,ABS(AP$23-AP3978))</f>
        <v>7174</v>
      </c>
      <c r="AR3979" s="151">
        <f>AP3967</f>
        <v>140444.95956072811</v>
      </c>
      <c r="AS3979" s="135"/>
      <c r="AT3979" s="132">
        <f>IF(AS3972&lt;=0,W_max,ABS(AS$23-AS3978))</f>
        <v>7174</v>
      </c>
      <c r="AU3979" s="151">
        <f>AS3967</f>
        <v>156689.99583059479</v>
      </c>
    </row>
    <row r="3980" spans="13:47" ht="13" x14ac:dyDescent="0.25">
      <c r="M3980" s="12"/>
      <c r="N3980" s="12"/>
      <c r="O3980" s="2"/>
      <c r="P3980" s="85"/>
      <c r="Q3980" s="2"/>
      <c r="R3980" s="18"/>
      <c r="S3980" s="150"/>
      <c r="T3980" s="148"/>
      <c r="U3980" s="157"/>
      <c r="V3980" s="1"/>
      <c r="W3980" s="147"/>
      <c r="X3980" s="157"/>
      <c r="Y3980" s="1"/>
      <c r="Z3980" s="147"/>
      <c r="AA3980" s="157"/>
      <c r="AB3980" s="1"/>
      <c r="AC3980" s="147"/>
      <c r="AD3980" s="157"/>
      <c r="AE3980" s="1"/>
      <c r="AF3980" s="147"/>
      <c r="AG3980" s="157"/>
      <c r="AH3980" s="1"/>
      <c r="AI3980" s="147"/>
      <c r="AJ3980" s="157"/>
      <c r="AK3980" s="1"/>
      <c r="AL3980" s="147"/>
      <c r="AM3980" s="157"/>
      <c r="AN3980" s="1"/>
      <c r="AO3980" s="147"/>
      <c r="AP3980" s="157"/>
      <c r="AQ3980" s="1"/>
      <c r="AR3980" s="147"/>
      <c r="AS3980" s="157"/>
      <c r="AT3980" s="1"/>
      <c r="AU3980" s="147"/>
    </row>
    <row r="3981" spans="13:47" ht="14" x14ac:dyDescent="0.3">
      <c r="M3981" s="23"/>
      <c r="N3981" s="23"/>
      <c r="O3981" s="23" t="s">
        <v>238</v>
      </c>
      <c r="P3981" s="20"/>
      <c r="Q3981" s="20"/>
      <c r="R3981" s="181">
        <f>R3967*1.02</f>
        <v>3048.273450529116</v>
      </c>
      <c r="S3981" s="128" t="s">
        <v>185</v>
      </c>
      <c r="T3981" s="149" t="s">
        <v>186</v>
      </c>
      <c r="U3981" s="143">
        <f>U3967*1.01</f>
        <v>7685.3741072709645</v>
      </c>
      <c r="V3981" s="128" t="s">
        <v>185</v>
      </c>
      <c r="W3981" s="153" t="s">
        <v>186</v>
      </c>
      <c r="X3981" s="143">
        <f>X3967*1.01</f>
        <v>19006.844737520689</v>
      </c>
      <c r="Y3981" s="128" t="s">
        <v>185</v>
      </c>
      <c r="Z3981" s="153" t="s">
        <v>186</v>
      </c>
      <c r="AA3981" s="143">
        <f>AA3967*1.01</f>
        <v>37020.482138748885</v>
      </c>
      <c r="AB3981" s="128" t="s">
        <v>185</v>
      </c>
      <c r="AC3981" s="153" t="s">
        <v>186</v>
      </c>
      <c r="AD3981" s="143">
        <f>AD3967*1.01</f>
        <v>60885.062985389508</v>
      </c>
      <c r="AE3981" s="128" t="s">
        <v>185</v>
      </c>
      <c r="AF3981" s="153" t="s">
        <v>186</v>
      </c>
      <c r="AG3981" s="143">
        <f>AG3967*1.01</f>
        <v>85395.988144792165</v>
      </c>
      <c r="AH3981" s="128" t="s">
        <v>185</v>
      </c>
      <c r="AI3981" s="153" t="s">
        <v>186</v>
      </c>
      <c r="AJ3981" s="143">
        <f>AJ3967*1.01</f>
        <v>108430.24499306321</v>
      </c>
      <c r="AK3981" s="128" t="s">
        <v>185</v>
      </c>
      <c r="AL3981" s="153" t="s">
        <v>186</v>
      </c>
      <c r="AM3981" s="143">
        <f>AM3967*1.01</f>
        <v>127142.98974271072</v>
      </c>
      <c r="AN3981" s="128" t="s">
        <v>185</v>
      </c>
      <c r="AO3981" s="153" t="s">
        <v>186</v>
      </c>
      <c r="AP3981" s="143">
        <f>AP3967*1.01</f>
        <v>141849.4091563354</v>
      </c>
      <c r="AQ3981" s="128" t="s">
        <v>185</v>
      </c>
      <c r="AR3981" s="153" t="s">
        <v>186</v>
      </c>
      <c r="AS3981" s="143">
        <f>AS3967*1.01</f>
        <v>158256.89578890076</v>
      </c>
      <c r="AT3981" s="128" t="s">
        <v>185</v>
      </c>
      <c r="AU3981" s="153" t="s">
        <v>186</v>
      </c>
    </row>
    <row r="3982" spans="13:47" ht="14" x14ac:dyDescent="0.3">
      <c r="M3982" s="12"/>
      <c r="N3982" s="12"/>
      <c r="O3982" s="20"/>
      <c r="P3982" s="20"/>
      <c r="Q3982" s="23"/>
      <c r="R3982" s="139"/>
      <c r="S3982" s="130" t="s">
        <v>228</v>
      </c>
      <c r="T3982" s="131" t="s">
        <v>187</v>
      </c>
      <c r="U3982" s="144"/>
      <c r="V3982" s="130" t="s">
        <v>228</v>
      </c>
      <c r="W3982" s="154" t="s">
        <v>187</v>
      </c>
      <c r="X3982" s="144"/>
      <c r="Y3982" s="130" t="s">
        <v>228</v>
      </c>
      <c r="Z3982" s="154" t="s">
        <v>187</v>
      </c>
      <c r="AA3982" s="144"/>
      <c r="AB3982" s="130" t="s">
        <v>228</v>
      </c>
      <c r="AC3982" s="154" t="s">
        <v>187</v>
      </c>
      <c r="AD3982" s="144"/>
      <c r="AE3982" s="130" t="s">
        <v>228</v>
      </c>
      <c r="AF3982" s="154" t="s">
        <v>187</v>
      </c>
      <c r="AG3982" s="144"/>
      <c r="AH3982" s="130" t="s">
        <v>228</v>
      </c>
      <c r="AI3982" s="154" t="s">
        <v>187</v>
      </c>
      <c r="AJ3982" s="144"/>
      <c r="AK3982" s="130" t="s">
        <v>228</v>
      </c>
      <c r="AL3982" s="154" t="s">
        <v>187</v>
      </c>
      <c r="AM3982" s="144"/>
      <c r="AN3982" s="130" t="s">
        <v>228</v>
      </c>
      <c r="AO3982" s="154" t="s">
        <v>187</v>
      </c>
      <c r="AP3982" s="144"/>
      <c r="AQ3982" s="130" t="s">
        <v>228</v>
      </c>
      <c r="AR3982" s="154" t="s">
        <v>187</v>
      </c>
      <c r="AS3982" s="144"/>
      <c r="AT3982" s="130" t="s">
        <v>228</v>
      </c>
      <c r="AU3982" s="154" t="s">
        <v>187</v>
      </c>
    </row>
    <row r="3983" spans="13:47" x14ac:dyDescent="0.25">
      <c r="M3983" s="20"/>
      <c r="N3983" s="20"/>
      <c r="O3983" s="7" t="s">
        <v>188</v>
      </c>
      <c r="P3983" s="7"/>
      <c r="Q3983" s="7"/>
      <c r="R3983" s="181">
        <f>P_1_minW-(R3981^2*R_up)+dpup_minQ</f>
        <v>96.817503304210092</v>
      </c>
      <c r="S3983" s="132"/>
      <c r="T3983" s="145"/>
      <c r="U3983" s="138">
        <f>P_1_minW-(U3981^2*R_up)+dpup_minQ</f>
        <v>76.969928764303873</v>
      </c>
      <c r="V3983" s="132"/>
      <c r="W3983" s="145"/>
      <c r="X3983" s="138">
        <f>P_1_minW-(X3981^2*R_up)+dpup_minQ</f>
        <v>-43.533972893971921</v>
      </c>
      <c r="Y3983" s="132"/>
      <c r="Z3983" s="145"/>
      <c r="AA3983" s="138">
        <f>P_1_minW-(AA3981^2*R_up)+dpup_minQ</f>
        <v>-445.98672939964956</v>
      </c>
      <c r="AB3983" s="132"/>
      <c r="AC3983" s="145"/>
      <c r="AD3983" s="138">
        <f>P_1_minW-(AD3981^2*R_up)+dpup_minQ</f>
        <v>-1377.6837104194126</v>
      </c>
      <c r="AE3983" s="132"/>
      <c r="AF3983" s="145"/>
      <c r="AG3983" s="138">
        <f>P_1_minW-(AG3981^2*R_up)+dpup_minQ</f>
        <v>-2807.4378538053711</v>
      </c>
      <c r="AH3983" s="132"/>
      <c r="AI3983" s="145"/>
      <c r="AJ3983" s="138">
        <f>P_1_minW-(AJ3981^2*R_up)+dpup_minQ</f>
        <v>-4587.7671908194461</v>
      </c>
      <c r="AK3983" s="132"/>
      <c r="AL3983" s="145"/>
      <c r="AM3983" s="138">
        <f>P_1_minW-(AM3981^2*R_up)+dpup_minQ</f>
        <v>-6345.597816154901</v>
      </c>
      <c r="AN3983" s="132"/>
      <c r="AO3983" s="145"/>
      <c r="AP3983" s="138">
        <f>P_1_minW-(AP3981^2*R_up)+dpup_minQ</f>
        <v>-7923.065761549653</v>
      </c>
      <c r="AQ3983" s="132"/>
      <c r="AR3983" s="145"/>
      <c r="AS3983" s="138">
        <f>P_1_minW-(AS3981^2*R_up)+dpup_minQ</f>
        <v>-9886.5651314312017</v>
      </c>
      <c r="AT3983" s="132"/>
      <c r="AU3983" s="145"/>
    </row>
    <row r="3984" spans="13:47" x14ac:dyDescent="0.25">
      <c r="M3984" s="20"/>
      <c r="N3984" s="20"/>
      <c r="O3984" s="7" t="s">
        <v>189</v>
      </c>
      <c r="P3984" s="1"/>
      <c r="Q3984" s="7"/>
      <c r="R3984" s="181">
        <f>P_2_minW+(R3981^2*R_dn)-dpdn_minQ</f>
        <v>50</v>
      </c>
      <c r="S3984" s="132"/>
      <c r="T3984" s="146"/>
      <c r="U3984" s="138">
        <f>P_2_minW+(U3981^2*R_dn)-dpdn_minQ</f>
        <v>50</v>
      </c>
      <c r="V3984" s="132"/>
      <c r="W3984" s="146"/>
      <c r="X3984" s="138">
        <f>P_2_minW+(X3981^2*R_dn)-dpdn_minQ</f>
        <v>50</v>
      </c>
      <c r="Y3984" s="132"/>
      <c r="Z3984" s="146"/>
      <c r="AA3984" s="138">
        <f>P_2_minW+(AA3981^2*R_dn)-dpdn_minQ</f>
        <v>50</v>
      </c>
      <c r="AB3984" s="132"/>
      <c r="AC3984" s="146"/>
      <c r="AD3984" s="138">
        <f>P_2_minW+(AD3981^2*R_dn)-dpdn_minQ</f>
        <v>50</v>
      </c>
      <c r="AE3984" s="132"/>
      <c r="AF3984" s="146"/>
      <c r="AG3984" s="138">
        <f>P_2_minW+(AG3981^2*R_dn)-dpdn_minQ</f>
        <v>50</v>
      </c>
      <c r="AH3984" s="132"/>
      <c r="AI3984" s="146"/>
      <c r="AJ3984" s="138">
        <f>P_2_minW+(AJ3981^2*R_dn)-dpdn_minQ</f>
        <v>50</v>
      </c>
      <c r="AK3984" s="132"/>
      <c r="AL3984" s="146"/>
      <c r="AM3984" s="138">
        <f>P_2_minW+(AM3981^2*R_dn)-dpdn_minQ</f>
        <v>50</v>
      </c>
      <c r="AN3984" s="132"/>
      <c r="AO3984" s="146"/>
      <c r="AP3984" s="138">
        <f>P_2_minW+(AP3981^2*R_dn)-dpdn_minQ</f>
        <v>50</v>
      </c>
      <c r="AQ3984" s="132"/>
      <c r="AR3984" s="146"/>
      <c r="AS3984" s="138">
        <f>P_2_minW+(AS3981^2*R_dn)-dpdn_minQ</f>
        <v>50</v>
      </c>
      <c r="AT3984" s="132"/>
      <c r="AU3984" s="146"/>
    </row>
    <row r="3985" spans="13:47" x14ac:dyDescent="0.25">
      <c r="M3985" s="20"/>
      <c r="N3985" s="20"/>
      <c r="O3985" s="7" t="s">
        <v>234</v>
      </c>
      <c r="P3985" s="1"/>
      <c r="Q3985" s="7"/>
      <c r="R3985" s="179">
        <f>'Valve Sizing'!G$8*R3983/P_1_maxW</f>
        <v>0.46703039864548551</v>
      </c>
      <c r="S3985" s="132"/>
      <c r="T3985" s="146"/>
      <c r="U3985" s="143">
        <f>'Valve Sizing'!$G$8*U3983/P_1_maxW</f>
        <v>0.37128923270782482</v>
      </c>
      <c r="V3985" s="132"/>
      <c r="W3985" s="146"/>
      <c r="X3985" s="143">
        <f>'Valve Sizing'!$G$8*X3983/P_1_maxW</f>
        <v>-0.21000013449437244</v>
      </c>
      <c r="Y3985" s="132"/>
      <c r="Z3985" s="146"/>
      <c r="AA3985" s="143">
        <f>'Valve Sizing'!$G$8*AA3983/P_1_maxW</f>
        <v>-2.1513605795808326</v>
      </c>
      <c r="AB3985" s="132"/>
      <c r="AC3985" s="146"/>
      <c r="AD3985" s="143">
        <f>'Valve Sizing'!$G$8*AD3983/P_1_maxW</f>
        <v>-6.6457009375967955</v>
      </c>
      <c r="AE3985" s="132"/>
      <c r="AF3985" s="146"/>
      <c r="AG3985" s="143">
        <f>'Valve Sizing'!$G$8*AG3983/P_1_maxW</f>
        <v>-13.542580373255021</v>
      </c>
      <c r="AH3985" s="132"/>
      <c r="AI3985" s="146"/>
      <c r="AJ3985" s="143">
        <f>'Valve Sizing'!$G$8*AJ3983/P_1_maxW</f>
        <v>-22.130572126909136</v>
      </c>
      <c r="AK3985" s="132"/>
      <c r="AL3985" s="146"/>
      <c r="AM3985" s="143">
        <f>'Valve Sizing'!$G$8*AM3983/P_1_maxW</f>
        <v>-30.610034101074312</v>
      </c>
      <c r="AN3985" s="132"/>
      <c r="AO3985" s="146"/>
      <c r="AP3985" s="143">
        <f>'Valve Sizing'!$G$8*AP3983/P_1_maxW</f>
        <v>-38.219458618801461</v>
      </c>
      <c r="AQ3985" s="132"/>
      <c r="AR3985" s="146"/>
      <c r="AS3985" s="143">
        <f>'Valve Sizing'!$G$8*AS3983/P_1_maxW</f>
        <v>-47.691029999593965</v>
      </c>
      <c r="AT3985" s="132"/>
      <c r="AU3985" s="146"/>
    </row>
    <row r="3986" spans="13:47" x14ac:dyDescent="0.25">
      <c r="M3986" s="20"/>
      <c r="N3986" s="20"/>
      <c r="O3986" s="7" t="s">
        <v>190</v>
      </c>
      <c r="P3986" s="1"/>
      <c r="Q3986" s="7"/>
      <c r="R3986" s="181">
        <f>R3983-R3984</f>
        <v>46.817503304210092</v>
      </c>
      <c r="S3986" s="132"/>
      <c r="T3986" s="146"/>
      <c r="U3986" s="138">
        <f>U3983-U3984</f>
        <v>26.969928764303873</v>
      </c>
      <c r="V3986" s="132"/>
      <c r="W3986" s="146"/>
      <c r="X3986" s="138">
        <f>X3983-X3984</f>
        <v>-93.533972893971921</v>
      </c>
      <c r="Y3986" s="132"/>
      <c r="Z3986" s="146"/>
      <c r="AA3986" s="138">
        <f>AA3983-AA3984</f>
        <v>-495.98672939964956</v>
      </c>
      <c r="AB3986" s="132"/>
      <c r="AC3986" s="146"/>
      <c r="AD3986" s="138">
        <f>AD3983-AD3984</f>
        <v>-1427.6837104194126</v>
      </c>
      <c r="AE3986" s="132"/>
      <c r="AF3986" s="146"/>
      <c r="AG3986" s="138">
        <f>AG3983-AG3984</f>
        <v>-2857.4378538053711</v>
      </c>
      <c r="AH3986" s="132"/>
      <c r="AI3986" s="146"/>
      <c r="AJ3986" s="138">
        <f>AJ3983-AJ3984</f>
        <v>-4637.7671908194461</v>
      </c>
      <c r="AK3986" s="132"/>
      <c r="AL3986" s="146"/>
      <c r="AM3986" s="138">
        <f>AM3983-AM3984</f>
        <v>-6395.597816154901</v>
      </c>
      <c r="AN3986" s="132"/>
      <c r="AO3986" s="146"/>
      <c r="AP3986" s="138">
        <f>AP3983-AP3984</f>
        <v>-7973.065761549653</v>
      </c>
      <c r="AQ3986" s="132"/>
      <c r="AR3986" s="146"/>
      <c r="AS3986" s="138">
        <f>AS3983-AS3984</f>
        <v>-9936.5651314312017</v>
      </c>
      <c r="AT3986" s="132"/>
      <c r="AU3986" s="146"/>
    </row>
    <row r="3987" spans="13:47" ht="14.5" x14ac:dyDescent="0.35">
      <c r="M3987" s="27"/>
      <c r="N3987" s="27"/>
      <c r="O3987" s="2" t="s">
        <v>191</v>
      </c>
      <c r="P3987" s="10"/>
      <c r="Q3987" s="2"/>
      <c r="R3987" s="181">
        <f>R3986/R3983</f>
        <v>0.48356445587224972</v>
      </c>
      <c r="S3987" s="132"/>
      <c r="T3987" s="146"/>
      <c r="U3987" s="138">
        <f>U3986/U3983</f>
        <v>0.35039565707395642</v>
      </c>
      <c r="V3987" s="132"/>
      <c r="W3987" s="146"/>
      <c r="X3987" s="138">
        <f>X3986/X3983</f>
        <v>2.1485283027528008</v>
      </c>
      <c r="Y3987" s="132"/>
      <c r="Z3987" s="146"/>
      <c r="AA3987" s="138">
        <f>AA3986/AA3983</f>
        <v>1.112110959147385</v>
      </c>
      <c r="AB3987" s="132"/>
      <c r="AC3987" s="146"/>
      <c r="AD3987" s="138">
        <f>AD3986/AD3983</f>
        <v>1.0362928004605487</v>
      </c>
      <c r="AE3987" s="132"/>
      <c r="AF3987" s="146"/>
      <c r="AG3987" s="138">
        <f>AG3986/AG3983</f>
        <v>1.0178098332371728</v>
      </c>
      <c r="AH3987" s="132"/>
      <c r="AI3987" s="146"/>
      <c r="AJ3987" s="138">
        <f>AJ3986/AJ3983</f>
        <v>1.0108985477946777</v>
      </c>
      <c r="AK3987" s="132"/>
      <c r="AL3987" s="146"/>
      <c r="AM3987" s="138">
        <f>AM3986/AM3983</f>
        <v>1.0078794782538389</v>
      </c>
      <c r="AN3987" s="132"/>
      <c r="AO3987" s="146"/>
      <c r="AP3987" s="138">
        <f>AP3986/AP3983</f>
        <v>1.0063106885017474</v>
      </c>
      <c r="AQ3987" s="132"/>
      <c r="AR3987" s="146"/>
      <c r="AS3987" s="138">
        <f>AS3986/AS3983</f>
        <v>1.0050573681895889</v>
      </c>
      <c r="AT3987" s="132"/>
      <c r="AU3987" s="146"/>
    </row>
    <row r="3988" spans="13:47" x14ac:dyDescent="0.25">
      <c r="M3988" s="27"/>
      <c r="N3988" s="27"/>
      <c r="O3988" s="2" t="s">
        <v>26</v>
      </c>
      <c r="P3988" s="7">
        <v>12</v>
      </c>
      <c r="Q3988" s="2"/>
      <c r="R3988" s="181">
        <f>1-R3987/(3*F_GAMMA*R$29)</f>
        <v>0.74815409015441747</v>
      </c>
      <c r="S3988" s="133"/>
      <c r="T3988" s="146"/>
      <c r="U3988" s="138">
        <f>1-U3987/(3*F_GAMMA*U$29)</f>
        <v>0.81755010633674607</v>
      </c>
      <c r="V3988" s="133"/>
      <c r="W3988" s="146"/>
      <c r="X3988" s="138">
        <f>1-X3987/(3*F_GAMMA*X$29)</f>
        <v>-0.13551454650605832</v>
      </c>
      <c r="Y3988" s="133"/>
      <c r="Z3988" s="146"/>
      <c r="AA3988" s="138">
        <f>1-AA3987/(3*F_GAMMA*AA$29)</f>
        <v>0.40418138112849145</v>
      </c>
      <c r="AB3988" s="133"/>
      <c r="AC3988" s="146"/>
      <c r="AD3988" s="138">
        <f>1-AD3987/(3*F_GAMMA*AD$29)</f>
        <v>0.42957894482240733</v>
      </c>
      <c r="AE3988" s="133"/>
      <c r="AF3988" s="146"/>
      <c r="AG3988" s="138">
        <f>1-AG3987/(3*F_GAMMA*AG$29)</f>
        <v>0.40779539546962362</v>
      </c>
      <c r="AH3988" s="133"/>
      <c r="AI3988" s="146"/>
      <c r="AJ3988" s="138">
        <f>1-AJ3987/(3*F_GAMMA*AJ$29)</f>
        <v>0.37122404890186222</v>
      </c>
      <c r="AK3988" s="133"/>
      <c r="AL3988" s="146"/>
      <c r="AM3988" s="138">
        <f>1-AM3987/(3*F_GAMMA*AM$29)</f>
        <v>0.31505007871005186</v>
      </c>
      <c r="AN3988" s="133"/>
      <c r="AO3988" s="146"/>
      <c r="AP3988" s="138">
        <f>1-AP3987/(3*F_GAMMA*AP$29)</f>
        <v>0.43484404367430118</v>
      </c>
      <c r="AQ3988" s="133"/>
      <c r="AR3988" s="146"/>
      <c r="AS3988" s="138">
        <f>1-AS3987/(3*F_GAMMA*AS$29)</f>
        <v>0.14311270013362531</v>
      </c>
      <c r="AT3988" s="133"/>
      <c r="AU3988" s="146"/>
    </row>
    <row r="3989" spans="13:47" x14ac:dyDescent="0.25">
      <c r="M3989" s="27"/>
      <c r="N3989" s="27"/>
      <c r="O3989" s="2" t="s">
        <v>71</v>
      </c>
      <c r="P3989" s="85">
        <v>5</v>
      </c>
      <c r="Q3989" s="2"/>
      <c r="R3989" s="179">
        <f>R3981/((N_6*R$27*R3988)*SQRT(R3987*R3983*R3985))</f>
        <v>13.766829031157288</v>
      </c>
      <c r="S3989" s="133"/>
      <c r="T3989" s="146"/>
      <c r="U3989" s="143">
        <f>U3981/((N_6*U$27*U3988)*SQRT(U3987*U3983*U3985))</f>
        <v>46.964777492619469</v>
      </c>
      <c r="V3989" s="133"/>
      <c r="W3989" s="146"/>
      <c r="X3989" s="143">
        <f>X3981/((N_6*X$27*X3988)*SQRT(X3987*X3983*X3985))</f>
        <v>-501.42821769624214</v>
      </c>
      <c r="Y3989" s="133"/>
      <c r="Z3989" s="146"/>
      <c r="AA3989" s="143">
        <f>AA3981/((N_6*AA$27*AA3988)*SQRT(AA3987*AA3983*AA3985))</f>
        <v>44.683157404787103</v>
      </c>
      <c r="AB3989" s="133"/>
      <c r="AC3989" s="146"/>
      <c r="AD3989" s="143">
        <f>AD3981/((N_6*AD$27*AD3988)*SQRT(AD3987*AD3983*AD3985))</f>
        <v>23.463660830913444</v>
      </c>
      <c r="AE3989" s="133"/>
      <c r="AF3989" s="146"/>
      <c r="AG3989" s="143">
        <f>AG3981/((N_6*AG$27*AG3988)*SQRT(AG3987*AG3983*AG3985))</f>
        <v>17.536429082131757</v>
      </c>
      <c r="AH3989" s="133"/>
      <c r="AI3989" s="146"/>
      <c r="AJ3989" s="143">
        <f>AJ3981/((N_6*AJ$27*AJ3988)*SQRT(AJ3987*AJ3983*AJ3985))</f>
        <v>15.534892034233414</v>
      </c>
      <c r="AK3989" s="133"/>
      <c r="AL3989" s="146"/>
      <c r="AM3989" s="143">
        <f>AM3981/((N_6*AM$27*AM3988)*SQRT(AM3987*AM3983*AM3985))</f>
        <v>16.495644467672872</v>
      </c>
      <c r="AN3989" s="133"/>
      <c r="AO3989" s="146"/>
      <c r="AP3989" s="143">
        <f>AP3981/((N_6*AP$27*AP3988)*SQRT(AP3987*AP3983*AP3985))</f>
        <v>12.140096245180692</v>
      </c>
      <c r="AQ3989" s="133"/>
      <c r="AR3989" s="146"/>
      <c r="AS3989" s="143">
        <f>AS3981/((N_6*AS$27*AS3988)*SQRT(AS3987*AS3983*AS3985))</f>
        <v>43.362913644789124</v>
      </c>
      <c r="AT3989" s="133"/>
      <c r="AU3989" s="146"/>
    </row>
    <row r="3990" spans="13:47" x14ac:dyDescent="0.25">
      <c r="M3990" s="27"/>
      <c r="N3990" s="27"/>
      <c r="O3990" s="2" t="s">
        <v>73</v>
      </c>
      <c r="P3990" s="85">
        <v>5</v>
      </c>
      <c r="Q3990" s="2"/>
      <c r="R3990" s="179">
        <f>R3981/((N_6*R$27*0.667)*SQRT(R3991*R3983*R3985))</f>
        <v>13.422308547155673</v>
      </c>
      <c r="S3990" s="133"/>
      <c r="T3990" s="147"/>
      <c r="U3990" s="143">
        <f>U3981/((N_6*U$27*0.667)*SQRT(U3991*U3983*U3985))</f>
        <v>42.588588751590223</v>
      </c>
      <c r="V3990" s="133"/>
      <c r="W3990" s="155"/>
      <c r="X3990" s="143">
        <f>X3981/((N_6*X$27*0.667)*SQRT(X3991*X3983*X3985))</f>
        <v>188.02943050005177</v>
      </c>
      <c r="Y3990" s="133"/>
      <c r="Z3990" s="155"/>
      <c r="AA3990" s="143">
        <f>AA3981/((N_6*AA$27*0.667)*SQRT(AA3991*AA3983*AA3985))</f>
        <v>36.200284687554252</v>
      </c>
      <c r="AB3990" s="133"/>
      <c r="AC3990" s="155"/>
      <c r="AD3990" s="143">
        <f>AD3981/((N_6*AD$27*0.667)*SQRT(AD3991*AD3983*AD3985))</f>
        <v>19.768391183433902</v>
      </c>
      <c r="AE3990" s="133"/>
      <c r="AF3990" s="155"/>
      <c r="AG3990" s="143">
        <f>AG3981/((N_6*AG$27*0.667)*SQRT(AG3991*AG3983*AG3985))</f>
        <v>14.290721784551074</v>
      </c>
      <c r="AH3990" s="133"/>
      <c r="AI3990" s="155"/>
      <c r="AJ3990" s="143">
        <f>AJ3981/((N_6*AJ$27*0.667)*SQRT(AJ3991*AJ3983*AJ3985))</f>
        <v>11.874821698812774</v>
      </c>
      <c r="AK3990" s="133"/>
      <c r="AL3990" s="155"/>
      <c r="AM3990" s="143">
        <f>AM3981/((N_6*AM$27*0.667)*SQRT(AM3991*AM3983*AM3985))</f>
        <v>11.168968950064954</v>
      </c>
      <c r="AN3990" s="133"/>
      <c r="AO3990" s="155"/>
      <c r="AP3990" s="143">
        <f>AP3981/((N_6*AP$27*0.667)*SQRT(AP3991*AP3983*AP3985))</f>
        <v>10.305631361514948</v>
      </c>
      <c r="AQ3990" s="133"/>
      <c r="AR3990" s="155"/>
      <c r="AS3990" s="143">
        <f>AS3981/((N_6*AS$27*0.667)*SQRT(AS3991*AS3983*AS3985))</f>
        <v>14.917404900469373</v>
      </c>
      <c r="AT3990" s="133"/>
      <c r="AU3990" s="155"/>
    </row>
    <row r="3991" spans="13:47" ht="15.5" x14ac:dyDescent="0.4">
      <c r="M3991" s="27"/>
      <c r="N3991" s="27"/>
      <c r="O3991" s="2" t="s">
        <v>192</v>
      </c>
      <c r="P3991" s="85">
        <v>10</v>
      </c>
      <c r="Q3991" s="2"/>
      <c r="R3991" s="181">
        <f>F_GAMMA*R$29</f>
        <v>0.64002688015162901</v>
      </c>
      <c r="S3991" s="133"/>
      <c r="T3991" s="147"/>
      <c r="U3991" s="138">
        <f>F_GAMMA*U$29</f>
        <v>0.64016782916606918</v>
      </c>
      <c r="V3991" s="133"/>
      <c r="W3991" s="155"/>
      <c r="X3991" s="138">
        <f>F_GAMMA*X$29</f>
        <v>0.6307062319203669</v>
      </c>
      <c r="Y3991" s="133"/>
      <c r="Z3991" s="155"/>
      <c r="AA3991" s="138">
        <f>F_GAMMA*AA$29</f>
        <v>0.62217534213893466</v>
      </c>
      <c r="AB3991" s="133"/>
      <c r="AC3991" s="155"/>
      <c r="AD3991" s="138">
        <f>F_GAMMA*AD$29</f>
        <v>0.60557184969146072</v>
      </c>
      <c r="AE3991" s="133"/>
      <c r="AF3991" s="155"/>
      <c r="AG3991" s="138">
        <f>F_GAMMA*AG$29</f>
        <v>0.57289312142622573</v>
      </c>
      <c r="AH3991" s="133"/>
      <c r="AI3991" s="155"/>
      <c r="AJ3991" s="138">
        <f>F_GAMMA*AJ$29</f>
        <v>0.53590819116049981</v>
      </c>
      <c r="AK3991" s="133"/>
      <c r="AL3991" s="155"/>
      <c r="AM3991" s="138">
        <f>F_GAMMA*AM$29</f>
        <v>0.49048815926850342</v>
      </c>
      <c r="AN3991" s="133"/>
      <c r="AO3991" s="155"/>
      <c r="AP3991" s="138">
        <f>F_GAMMA*AP$29</f>
        <v>0.59352979016280105</v>
      </c>
      <c r="AQ3991" s="133"/>
      <c r="AR3991" s="155"/>
      <c r="AS3991" s="138">
        <f>F_GAMMA*AS$29</f>
        <v>0.39097221161068291</v>
      </c>
      <c r="AT3991" s="133"/>
      <c r="AU3991" s="155"/>
    </row>
    <row r="3992" spans="13:47" x14ac:dyDescent="0.25">
      <c r="M3992" s="27"/>
      <c r="N3992" s="27"/>
      <c r="O3992" s="2" t="s">
        <v>193</v>
      </c>
      <c r="P3992" s="134"/>
      <c r="Q3992" s="2"/>
      <c r="R3992" s="181">
        <f>IF(R3987&lt;R3991,R3989,R3990)</f>
        <v>13.766829031157288</v>
      </c>
      <c r="S3992" s="133"/>
      <c r="T3992" s="147"/>
      <c r="U3992" s="138">
        <f>IF(U3987&lt;U3991,U3989,U3990)</f>
        <v>46.964777492619469</v>
      </c>
      <c r="V3992" s="133"/>
      <c r="W3992" s="155"/>
      <c r="X3992" s="138">
        <f>IF(X3987&lt;X3991,X3989,X3990)</f>
        <v>188.02943050005177</v>
      </c>
      <c r="Y3992" s="133"/>
      <c r="Z3992" s="155"/>
      <c r="AA3992" s="138">
        <f>IF(AA3987&lt;AA3991,AA3989,AA3990)</f>
        <v>36.200284687554252</v>
      </c>
      <c r="AB3992" s="133"/>
      <c r="AC3992" s="155"/>
      <c r="AD3992" s="138">
        <f>IF(AD3987&lt;AD3991,AD3989,AD3990)</f>
        <v>19.768391183433902</v>
      </c>
      <c r="AE3992" s="133"/>
      <c r="AF3992" s="155"/>
      <c r="AG3992" s="138">
        <f>IF(AG3987&lt;AG3991,AG3989,AG3990)</f>
        <v>14.290721784551074</v>
      </c>
      <c r="AH3992" s="133"/>
      <c r="AI3992" s="155"/>
      <c r="AJ3992" s="138">
        <f>IF(AJ3987&lt;AJ3991,AJ3989,AJ3990)</f>
        <v>11.874821698812774</v>
      </c>
      <c r="AK3992" s="133"/>
      <c r="AL3992" s="155"/>
      <c r="AM3992" s="138">
        <f>IF(AM3987&lt;AM3991,AM3989,AM3990)</f>
        <v>11.168968950064954</v>
      </c>
      <c r="AN3992" s="133"/>
      <c r="AO3992" s="155"/>
      <c r="AP3992" s="138">
        <f>IF(AP3987&lt;AP3991,AP3989,AP3990)</f>
        <v>10.305631361514948</v>
      </c>
      <c r="AQ3992" s="133"/>
      <c r="AR3992" s="155"/>
      <c r="AS3992" s="138">
        <f>IF(AS3987&lt;AS3991,AS3989,AS3990)</f>
        <v>14.917404900469373</v>
      </c>
      <c r="AT3992" s="133"/>
      <c r="AU3992" s="155"/>
    </row>
    <row r="3993" spans="13:47" ht="13" x14ac:dyDescent="0.3">
      <c r="M3993" s="28"/>
      <c r="N3993" s="28"/>
      <c r="O3993" s="9" t="s">
        <v>194</v>
      </c>
      <c r="P3993" s="1"/>
      <c r="Q3993" s="1"/>
      <c r="R3993" s="135"/>
      <c r="S3993" s="132">
        <f>IF(R3986&lt;=0,W_max,ABS(R$23-R3992))</f>
        <v>11.766829031157288</v>
      </c>
      <c r="T3993" s="151">
        <f>R3981</f>
        <v>3048.273450529116</v>
      </c>
      <c r="U3993" s="135"/>
      <c r="V3993" s="132">
        <f>IF(U3986&lt;=0,W_max,ABS(U$23-U3992))</f>
        <v>41.964777492619469</v>
      </c>
      <c r="W3993" s="151">
        <f>U3981</f>
        <v>7685.3741072709645</v>
      </c>
      <c r="X3993" s="135"/>
      <c r="Y3993" s="132">
        <f>IF(X3986&lt;=0,W_max,ABS(X$23-X3992))</f>
        <v>7174</v>
      </c>
      <c r="Z3993" s="151">
        <f>X3981</f>
        <v>19006.844737520689</v>
      </c>
      <c r="AA3993" s="135"/>
      <c r="AB3993" s="132">
        <f>IF(AA3986&lt;=0,W_max,ABS(AA$23-AA3992))</f>
        <v>7174</v>
      </c>
      <c r="AC3993" s="151">
        <f>AA3981</f>
        <v>37020.482138748885</v>
      </c>
      <c r="AD3993" s="135"/>
      <c r="AE3993" s="132">
        <f>IF(AD3986&lt;=0,W_max,ABS(AD$23-AD3992))</f>
        <v>7174</v>
      </c>
      <c r="AF3993" s="151">
        <f>AD3981</f>
        <v>60885.062985389508</v>
      </c>
      <c r="AG3993" s="135"/>
      <c r="AH3993" s="132">
        <f>IF(AG3986&lt;=0,W_max,ABS(AG$23-AG3992))</f>
        <v>7174</v>
      </c>
      <c r="AI3993" s="151">
        <f>AG3981</f>
        <v>85395.988144792165</v>
      </c>
      <c r="AJ3993" s="135"/>
      <c r="AK3993" s="132">
        <f>IF(AJ3986&lt;=0,W_max,ABS(AJ$23-AJ3992))</f>
        <v>7174</v>
      </c>
      <c r="AL3993" s="151">
        <f>AJ3981</f>
        <v>108430.24499306321</v>
      </c>
      <c r="AM3993" s="135"/>
      <c r="AN3993" s="132">
        <f>IF(AM3986&lt;=0,W_max,ABS(AM$23-AM3992))</f>
        <v>7174</v>
      </c>
      <c r="AO3993" s="151">
        <f>AM3981</f>
        <v>127142.98974271072</v>
      </c>
      <c r="AP3993" s="135"/>
      <c r="AQ3993" s="132">
        <f>IF(AP3986&lt;=0,W_max,ABS(AP$23-AP3992))</f>
        <v>7174</v>
      </c>
      <c r="AR3993" s="151">
        <f>AP3981</f>
        <v>141849.4091563354</v>
      </c>
      <c r="AS3993" s="135"/>
      <c r="AT3993" s="132">
        <f>IF(AS3986&lt;=0,W_max,ABS(AS$23-AS3992))</f>
        <v>7174</v>
      </c>
      <c r="AU3993" s="151">
        <f>AS3981</f>
        <v>158256.89578890076</v>
      </c>
    </row>
    <row r="3994" spans="13:47" ht="13" x14ac:dyDescent="0.25">
      <c r="M3994" s="12"/>
      <c r="N3994" s="12"/>
      <c r="O3994" s="12"/>
      <c r="P3994" s="12"/>
      <c r="Q3994" s="12"/>
      <c r="R3994" s="182"/>
      <c r="S3994" s="22"/>
      <c r="T3994" s="152"/>
      <c r="U3994" s="157"/>
      <c r="V3994" s="1"/>
      <c r="W3994" s="147"/>
      <c r="X3994" s="157"/>
      <c r="Y3994" s="1"/>
      <c r="Z3994" s="147"/>
      <c r="AA3994" s="157"/>
      <c r="AB3994" s="1"/>
      <c r="AC3994" s="147"/>
      <c r="AD3994" s="157"/>
      <c r="AE3994" s="1"/>
      <c r="AF3994" s="147"/>
      <c r="AG3994" s="157"/>
      <c r="AH3994" s="1"/>
      <c r="AI3994" s="147"/>
      <c r="AJ3994" s="157"/>
      <c r="AK3994" s="1"/>
      <c r="AL3994" s="147"/>
      <c r="AM3994" s="157"/>
      <c r="AN3994" s="1"/>
      <c r="AO3994" s="147"/>
      <c r="AP3994" s="157"/>
      <c r="AQ3994" s="1"/>
      <c r="AR3994" s="147"/>
      <c r="AS3994" s="157"/>
      <c r="AT3994" s="1"/>
      <c r="AU3994" s="147"/>
    </row>
    <row r="3995" spans="13:47" ht="14" x14ac:dyDescent="0.3">
      <c r="M3995" s="23"/>
      <c r="N3995" s="23"/>
      <c r="O3995" s="23" t="s">
        <v>238</v>
      </c>
      <c r="P3995" s="20"/>
      <c r="Q3995" s="20"/>
      <c r="R3995" s="18">
        <f>R3981*1.02</f>
        <v>3109.2389195396981</v>
      </c>
      <c r="S3995" s="128" t="s">
        <v>185</v>
      </c>
      <c r="T3995" s="153" t="s">
        <v>186</v>
      </c>
      <c r="U3995" s="143">
        <f>U3981*1.01</f>
        <v>7762.2278483436739</v>
      </c>
      <c r="V3995" s="128" t="s">
        <v>185</v>
      </c>
      <c r="W3995" s="153" t="s">
        <v>186</v>
      </c>
      <c r="X3995" s="143">
        <f>X3981*1.01</f>
        <v>19196.913184895897</v>
      </c>
      <c r="Y3995" s="128" t="s">
        <v>185</v>
      </c>
      <c r="Z3995" s="153" t="s">
        <v>186</v>
      </c>
      <c r="AA3995" s="143">
        <f>AA3981*1.01</f>
        <v>37390.686960136372</v>
      </c>
      <c r="AB3995" s="128" t="s">
        <v>185</v>
      </c>
      <c r="AC3995" s="153" t="s">
        <v>186</v>
      </c>
      <c r="AD3995" s="143">
        <f>AD3981*1.01</f>
        <v>61493.9136152434</v>
      </c>
      <c r="AE3995" s="128" t="s">
        <v>185</v>
      </c>
      <c r="AF3995" s="153" t="s">
        <v>186</v>
      </c>
      <c r="AG3995" s="143">
        <f>AG3981*1.01</f>
        <v>86249.94802624009</v>
      </c>
      <c r="AH3995" s="128" t="s">
        <v>185</v>
      </c>
      <c r="AI3995" s="153" t="s">
        <v>186</v>
      </c>
      <c r="AJ3995" s="143">
        <f>AJ3981*1.01</f>
        <v>109514.54744299385</v>
      </c>
      <c r="AK3995" s="128" t="s">
        <v>185</v>
      </c>
      <c r="AL3995" s="153" t="s">
        <v>186</v>
      </c>
      <c r="AM3995" s="143">
        <f>AM3981*1.01</f>
        <v>128414.41964013783</v>
      </c>
      <c r="AN3995" s="128" t="s">
        <v>185</v>
      </c>
      <c r="AO3995" s="153" t="s">
        <v>186</v>
      </c>
      <c r="AP3995" s="143">
        <f>AP3981*1.01</f>
        <v>143267.90324789876</v>
      </c>
      <c r="AQ3995" s="128" t="s">
        <v>185</v>
      </c>
      <c r="AR3995" s="153" t="s">
        <v>186</v>
      </c>
      <c r="AS3995" s="143">
        <f>AS3981*1.01</f>
        <v>159839.46474678977</v>
      </c>
      <c r="AT3995" s="128" t="s">
        <v>185</v>
      </c>
      <c r="AU3995" s="153" t="s">
        <v>186</v>
      </c>
    </row>
    <row r="3996" spans="13:47" ht="14" x14ac:dyDescent="0.3">
      <c r="M3996" s="12"/>
      <c r="N3996" s="12"/>
      <c r="O3996" s="20"/>
      <c r="P3996" s="20"/>
      <c r="Q3996" s="23"/>
      <c r="R3996" s="139"/>
      <c r="S3996" s="130" t="s">
        <v>228</v>
      </c>
      <c r="T3996" s="154" t="s">
        <v>187</v>
      </c>
      <c r="U3996" s="144"/>
      <c r="V3996" s="130" t="s">
        <v>228</v>
      </c>
      <c r="W3996" s="154" t="s">
        <v>187</v>
      </c>
      <c r="X3996" s="144"/>
      <c r="Y3996" s="130" t="s">
        <v>228</v>
      </c>
      <c r="Z3996" s="154" t="s">
        <v>187</v>
      </c>
      <c r="AA3996" s="144"/>
      <c r="AB3996" s="130" t="s">
        <v>228</v>
      </c>
      <c r="AC3996" s="154" t="s">
        <v>187</v>
      </c>
      <c r="AD3996" s="144"/>
      <c r="AE3996" s="130" t="s">
        <v>228</v>
      </c>
      <c r="AF3996" s="154" t="s">
        <v>187</v>
      </c>
      <c r="AG3996" s="144"/>
      <c r="AH3996" s="130" t="s">
        <v>228</v>
      </c>
      <c r="AI3996" s="154" t="s">
        <v>187</v>
      </c>
      <c r="AJ3996" s="144"/>
      <c r="AK3996" s="130" t="s">
        <v>228</v>
      </c>
      <c r="AL3996" s="154" t="s">
        <v>187</v>
      </c>
      <c r="AM3996" s="144"/>
      <c r="AN3996" s="130" t="s">
        <v>228</v>
      </c>
      <c r="AO3996" s="154" t="s">
        <v>187</v>
      </c>
      <c r="AP3996" s="144"/>
      <c r="AQ3996" s="130" t="s">
        <v>228</v>
      </c>
      <c r="AR3996" s="154" t="s">
        <v>187</v>
      </c>
      <c r="AS3996" s="144"/>
      <c r="AT3996" s="130" t="s">
        <v>228</v>
      </c>
      <c r="AU3996" s="154" t="s">
        <v>187</v>
      </c>
    </row>
    <row r="3997" spans="13:47" x14ac:dyDescent="0.25">
      <c r="M3997" s="20"/>
      <c r="N3997" s="20"/>
      <c r="O3997" s="7" t="s">
        <v>188</v>
      </c>
      <c r="P3997" s="7"/>
      <c r="Q3997" s="7"/>
      <c r="R3997" s="181">
        <f>P_1_minW-(R3995^2*R_up)+dpup_minQ</f>
        <v>96.667809853536411</v>
      </c>
      <c r="S3997" s="132"/>
      <c r="T3997" s="145"/>
      <c r="U3997" s="138">
        <f>P_1_minW-(U3995^2*R_up)+dpup_minQ</f>
        <v>76.496516319058173</v>
      </c>
      <c r="V3997" s="132"/>
      <c r="W3997" s="145"/>
      <c r="X3997" s="138">
        <f>P_1_minW-(X3995^2*R_up)+dpup_minQ</f>
        <v>-46.429513762548979</v>
      </c>
      <c r="Y3997" s="132"/>
      <c r="Z3997" s="145"/>
      <c r="AA3997" s="138">
        <f>P_1_minW-(AA3995^2*R_up)+dpup_minQ</f>
        <v>-456.97157067399064</v>
      </c>
      <c r="AB3997" s="132"/>
      <c r="AC3997" s="145"/>
      <c r="AD3997" s="138">
        <f>P_1_minW-(AD3995^2*R_up)+dpup_minQ</f>
        <v>-1407.3956610122509</v>
      </c>
      <c r="AE3997" s="132"/>
      <c r="AF3997" s="145"/>
      <c r="AG3997" s="138">
        <f>P_1_minW-(AG3995^2*R_up)+dpup_minQ</f>
        <v>-2865.8878626802675</v>
      </c>
      <c r="AH3997" s="132"/>
      <c r="AI3997" s="145"/>
      <c r="AJ3997" s="138">
        <f>P_1_minW-(AJ3995^2*R_up)+dpup_minQ</f>
        <v>-4682.0018193683254</v>
      </c>
      <c r="AK3997" s="132"/>
      <c r="AL3997" s="145"/>
      <c r="AM3997" s="138">
        <f>P_1_minW-(AM3995^2*R_up)+dpup_minQ</f>
        <v>-6475.1648402730225</v>
      </c>
      <c r="AN3997" s="132"/>
      <c r="AO3997" s="145"/>
      <c r="AP3997" s="138">
        <f>P_1_minW-(AP3995^2*R_up)+dpup_minQ</f>
        <v>-8084.3398913702113</v>
      </c>
      <c r="AQ3997" s="132"/>
      <c r="AR3997" s="145"/>
      <c r="AS3997" s="138">
        <f>P_1_minW-(AS3995^2*R_up)+dpup_minQ</f>
        <v>-10087.305598586379</v>
      </c>
      <c r="AT3997" s="132"/>
      <c r="AU3997" s="145"/>
    </row>
    <row r="3998" spans="13:47" x14ac:dyDescent="0.25">
      <c r="M3998" s="20"/>
      <c r="N3998" s="20"/>
      <c r="O3998" s="7" t="s">
        <v>189</v>
      </c>
      <c r="P3998" s="1"/>
      <c r="Q3998" s="7"/>
      <c r="R3998" s="181">
        <f>P_2_minW+(R3995^2*R_dn)-dpdn_minQ</f>
        <v>50</v>
      </c>
      <c r="S3998" s="132"/>
      <c r="T3998" s="146"/>
      <c r="U3998" s="138">
        <f>P_2_minW+(U3995^2*R_dn)-dpdn_minQ</f>
        <v>50</v>
      </c>
      <c r="V3998" s="132"/>
      <c r="W3998" s="146"/>
      <c r="X3998" s="138">
        <f>P_2_minW+(X3995^2*R_dn)-dpdn_minQ</f>
        <v>50</v>
      </c>
      <c r="Y3998" s="132"/>
      <c r="Z3998" s="146"/>
      <c r="AA3998" s="138">
        <f>P_2_minW+(AA3995^2*R_dn)-dpdn_minQ</f>
        <v>50</v>
      </c>
      <c r="AB3998" s="132"/>
      <c r="AC3998" s="146"/>
      <c r="AD3998" s="138">
        <f>P_2_minW+(AD3995^2*R_dn)-dpdn_minQ</f>
        <v>50</v>
      </c>
      <c r="AE3998" s="132"/>
      <c r="AF3998" s="146"/>
      <c r="AG3998" s="138">
        <f>P_2_minW+(AG3995^2*R_dn)-dpdn_minQ</f>
        <v>50</v>
      </c>
      <c r="AH3998" s="132"/>
      <c r="AI3998" s="146"/>
      <c r="AJ3998" s="138">
        <f>P_2_minW+(AJ3995^2*R_dn)-dpdn_minQ</f>
        <v>50</v>
      </c>
      <c r="AK3998" s="132"/>
      <c r="AL3998" s="146"/>
      <c r="AM3998" s="138">
        <f>P_2_minW+(AM3995^2*R_dn)-dpdn_minQ</f>
        <v>50</v>
      </c>
      <c r="AN3998" s="132"/>
      <c r="AO3998" s="146"/>
      <c r="AP3998" s="138">
        <f>P_2_minW+(AP3995^2*R_dn)-dpdn_minQ</f>
        <v>50</v>
      </c>
      <c r="AQ3998" s="132"/>
      <c r="AR3998" s="146"/>
      <c r="AS3998" s="138">
        <f>P_2_minW+(AS3995^2*R_dn)-dpdn_minQ</f>
        <v>50</v>
      </c>
      <c r="AT3998" s="132"/>
      <c r="AU3998" s="146"/>
    </row>
    <row r="3999" spans="13:47" x14ac:dyDescent="0.25">
      <c r="M3999" s="20"/>
      <c r="N3999" s="20"/>
      <c r="O3999" s="7" t="s">
        <v>234</v>
      </c>
      <c r="P3999" s="1"/>
      <c r="Q3999" s="7"/>
      <c r="R3999" s="179">
        <f>'Valve Sizing'!G$8*R3997/P_1_maxW</f>
        <v>0.46630830409071189</v>
      </c>
      <c r="S3999" s="132"/>
      <c r="T3999" s="146"/>
      <c r="U3999" s="143">
        <f>'Valve Sizing'!$G$8*U3997/P_1_maxW</f>
        <v>0.36900557535785039</v>
      </c>
      <c r="V3999" s="132"/>
      <c r="W3999" s="146"/>
      <c r="X3999" s="143">
        <f>'Valve Sizing'!$G$8*X3997/P_1_maxW</f>
        <v>-0.2239677081251111</v>
      </c>
      <c r="Y3999" s="132"/>
      <c r="Z3999" s="146"/>
      <c r="AA3999" s="143">
        <f>'Valve Sizing'!$G$8*AA3997/P_1_maxW</f>
        <v>-2.2043494981578089</v>
      </c>
      <c r="AB3999" s="132"/>
      <c r="AC3999" s="146"/>
      <c r="AD3999" s="143">
        <f>'Valve Sizing'!$G$8*AD3997/P_1_maxW</f>
        <v>-6.7890260973698933</v>
      </c>
      <c r="AE3999" s="132"/>
      <c r="AF3999" s="146"/>
      <c r="AG3999" s="143">
        <f>'Valve Sizing'!$G$8*AG3997/P_1_maxW</f>
        <v>-13.82453280968485</v>
      </c>
      <c r="AH3999" s="132"/>
      <c r="AI3999" s="146"/>
      <c r="AJ3999" s="143">
        <f>'Valve Sizing'!$G$8*AJ3997/P_1_maxW</f>
        <v>-22.585143197587414</v>
      </c>
      <c r="AK3999" s="132"/>
      <c r="AL3999" s="146"/>
      <c r="AM3999" s="143">
        <f>'Valve Sizing'!$G$8*AM3997/P_1_maxW</f>
        <v>-31.235042357433304</v>
      </c>
      <c r="AN3999" s="132"/>
      <c r="AO3999" s="146"/>
      <c r="AP3999" s="143">
        <f>'Valve Sizing'!$G$8*AP3997/P_1_maxW</f>
        <v>-38.997416307966787</v>
      </c>
      <c r="AQ3999" s="132"/>
      <c r="AR3999" s="146"/>
      <c r="AS3999" s="143">
        <f>'Valve Sizing'!$G$8*AS3997/P_1_maxW</f>
        <v>-48.659366273513214</v>
      </c>
      <c r="AT3999" s="132"/>
      <c r="AU3999" s="146"/>
    </row>
    <row r="4000" spans="13:47" x14ac:dyDescent="0.25">
      <c r="M4000" s="20"/>
      <c r="N4000" s="20"/>
      <c r="O4000" s="7" t="s">
        <v>190</v>
      </c>
      <c r="P4000" s="1"/>
      <c r="Q4000" s="7"/>
      <c r="R4000" s="181">
        <f>R3997-R3998</f>
        <v>46.667809853536411</v>
      </c>
      <c r="S4000" s="132"/>
      <c r="T4000" s="146"/>
      <c r="U4000" s="138">
        <f>U3997-U3998</f>
        <v>26.496516319058173</v>
      </c>
      <c r="V4000" s="132"/>
      <c r="W4000" s="146"/>
      <c r="X4000" s="138">
        <f>X3997-X3998</f>
        <v>-96.429513762548979</v>
      </c>
      <c r="Y4000" s="132"/>
      <c r="Z4000" s="146"/>
      <c r="AA4000" s="138">
        <f>AA3997-AA3998</f>
        <v>-506.97157067399064</v>
      </c>
      <c r="AB4000" s="132"/>
      <c r="AC4000" s="146"/>
      <c r="AD4000" s="138">
        <f>AD3997-AD3998</f>
        <v>-1457.3956610122509</v>
      </c>
      <c r="AE4000" s="132"/>
      <c r="AF4000" s="146"/>
      <c r="AG4000" s="138">
        <f>AG3997-AG3998</f>
        <v>-2915.8878626802675</v>
      </c>
      <c r="AH4000" s="132"/>
      <c r="AI4000" s="146"/>
      <c r="AJ4000" s="138">
        <f>AJ3997-AJ3998</f>
        <v>-4732.0018193683254</v>
      </c>
      <c r="AK4000" s="132"/>
      <c r="AL4000" s="146"/>
      <c r="AM4000" s="138">
        <f>AM3997-AM3998</f>
        <v>-6525.1648402730225</v>
      </c>
      <c r="AN4000" s="132"/>
      <c r="AO4000" s="146"/>
      <c r="AP4000" s="138">
        <f>AP3997-AP3998</f>
        <v>-8134.3398913702113</v>
      </c>
      <c r="AQ4000" s="132"/>
      <c r="AR4000" s="146"/>
      <c r="AS4000" s="138">
        <f>AS3997-AS3998</f>
        <v>-10137.305598586379</v>
      </c>
      <c r="AT4000" s="132"/>
      <c r="AU4000" s="146"/>
    </row>
    <row r="4001" spans="13:47" ht="14.5" x14ac:dyDescent="0.35">
      <c r="M4001" s="27"/>
      <c r="N4001" s="27"/>
      <c r="O4001" s="2" t="s">
        <v>191</v>
      </c>
      <c r="P4001" s="10"/>
      <c r="Q4001" s="2"/>
      <c r="R4001" s="181">
        <f>R4000/R3997</f>
        <v>0.48276473755062693</v>
      </c>
      <c r="S4001" s="132"/>
      <c r="T4001" s="146"/>
      <c r="U4001" s="138">
        <f>U4000/U3997</f>
        <v>0.34637546379947881</v>
      </c>
      <c r="V4001" s="132"/>
      <c r="W4001" s="146"/>
      <c r="X4001" s="138">
        <f>X4000/X3997</f>
        <v>2.0769012196791743</v>
      </c>
      <c r="Y4001" s="132"/>
      <c r="Z4001" s="146"/>
      <c r="AA4001" s="138">
        <f>AA4000/AA3997</f>
        <v>1.1094159969869781</v>
      </c>
      <c r="AB4001" s="132"/>
      <c r="AC4001" s="146"/>
      <c r="AD4001" s="138">
        <f>AD4000/AD3997</f>
        <v>1.0355266122989453</v>
      </c>
      <c r="AE4001" s="132"/>
      <c r="AF4001" s="146"/>
      <c r="AG4001" s="138">
        <f>AG4000/AG3997</f>
        <v>1.0174466002843665</v>
      </c>
      <c r="AH4001" s="132"/>
      <c r="AI4001" s="146"/>
      <c r="AJ4001" s="138">
        <f>AJ4000/AJ3997</f>
        <v>1.0106791927745866</v>
      </c>
      <c r="AK4001" s="132"/>
      <c r="AL4001" s="146"/>
      <c r="AM4001" s="138">
        <f>AM4000/AM3997</f>
        <v>1.00772181114047</v>
      </c>
      <c r="AN4001" s="132"/>
      <c r="AO4001" s="146"/>
      <c r="AP4001" s="138">
        <f>AP4000/AP3997</f>
        <v>1.0061847968630528</v>
      </c>
      <c r="AQ4001" s="132"/>
      <c r="AR4001" s="146"/>
      <c r="AS4001" s="138">
        <f>AS4000/AS3997</f>
        <v>1.0049567250155489</v>
      </c>
      <c r="AT4001" s="132"/>
      <c r="AU4001" s="146"/>
    </row>
    <row r="4002" spans="13:47" x14ac:dyDescent="0.25">
      <c r="M4002" s="27"/>
      <c r="N4002" s="27"/>
      <c r="O4002" s="2" t="s">
        <v>26</v>
      </c>
      <c r="P4002" s="7">
        <v>12</v>
      </c>
      <c r="Q4002" s="2"/>
      <c r="R4002" s="181">
        <f>1-R4001/(3*F_GAMMA*R$29)</f>
        <v>0.74857059262039383</v>
      </c>
      <c r="S4002" s="133"/>
      <c r="T4002" s="146"/>
      <c r="U4002" s="138">
        <f>1-U4001/(3*F_GAMMA*U$29)</f>
        <v>0.81964340806759295</v>
      </c>
      <c r="V4002" s="133"/>
      <c r="W4002" s="146"/>
      <c r="X4002" s="138">
        <f>1-X4001/(3*F_GAMMA*X$29)</f>
        <v>-9.765905507516015E-2</v>
      </c>
      <c r="Y4002" s="133"/>
      <c r="Z4002" s="146"/>
      <c r="AA4002" s="138">
        <f>1-AA4001/(3*F_GAMMA*AA$29)</f>
        <v>0.40562521964039289</v>
      </c>
      <c r="AB4002" s="133"/>
      <c r="AC4002" s="146"/>
      <c r="AD4002" s="138">
        <f>1-AD4001/(3*F_GAMMA*AD$29)</f>
        <v>0.43000068842557837</v>
      </c>
      <c r="AE4002" s="133"/>
      <c r="AF4002" s="146"/>
      <c r="AG4002" s="138">
        <f>1-AG4001/(3*F_GAMMA*AG$29)</f>
        <v>0.4080067396914463</v>
      </c>
      <c r="AH4002" s="133"/>
      <c r="AI4002" s="146"/>
      <c r="AJ4002" s="138">
        <f>1-AJ4001/(3*F_GAMMA*AJ$29)</f>
        <v>0.3713604870851861</v>
      </c>
      <c r="AK4002" s="133"/>
      <c r="AL4002" s="146"/>
      <c r="AM4002" s="138">
        <f>1-AM4001/(3*F_GAMMA*AM$29)</f>
        <v>0.31515722850248462</v>
      </c>
      <c r="AN4002" s="133"/>
      <c r="AO4002" s="146"/>
      <c r="AP4002" s="138">
        <f>1-AP4001/(3*F_GAMMA*AP$29)</f>
        <v>0.43491474590401291</v>
      </c>
      <c r="AQ4002" s="133"/>
      <c r="AR4002" s="146"/>
      <c r="AS4002" s="138">
        <f>1-AS4001/(3*F_GAMMA*AS$29)</f>
        <v>0.14319850603922102</v>
      </c>
      <c r="AT4002" s="133"/>
      <c r="AU4002" s="146"/>
    </row>
    <row r="4003" spans="13:47" x14ac:dyDescent="0.25">
      <c r="M4003" s="27"/>
      <c r="N4003" s="27"/>
      <c r="O4003" s="2" t="s">
        <v>71</v>
      </c>
      <c r="P4003" s="85">
        <v>5</v>
      </c>
      <c r="Q4003" s="2"/>
      <c r="R4003" s="179">
        <f>R3995/((N_6*R$27*R4002)*SQRT(R4001*R3997*R3999))</f>
        <v>14.067722678235281</v>
      </c>
      <c r="S4003" s="133"/>
      <c r="T4003" s="146"/>
      <c r="U4003" s="143">
        <f>U3995/((N_6*U$27*U4002)*SQRT(U4001*U3997*U3999))</f>
        <v>47.881560497660857</v>
      </c>
      <c r="V4003" s="133"/>
      <c r="W4003" s="146"/>
      <c r="X4003" s="143">
        <f>X3995/((N_6*X$27*X4002)*SQRT(X4001*X3997*X3999))</f>
        <v>-670.1936798239974</v>
      </c>
      <c r="Y4003" s="133"/>
      <c r="Z4003" s="146"/>
      <c r="AA4003" s="143">
        <f>AA3995/((N_6*AA$27*AA4002)*SQRT(AA4001*AA3997*AA3999))</f>
        <v>43.941632126179769</v>
      </c>
      <c r="AB4003" s="133"/>
      <c r="AC4003" s="146"/>
      <c r="AD4003" s="143">
        <f>AD3995/((N_6*AD$27*AD4002)*SQRT(AD4001*AD3997*AD3999))</f>
        <v>23.18381517869939</v>
      </c>
      <c r="AE4003" s="133"/>
      <c r="AF4003" s="146"/>
      <c r="AG4003" s="143">
        <f>AG3995/((N_6*AG$27*AG4002)*SQRT(AG4001*AG3997*AG3999))</f>
        <v>17.344667732833528</v>
      </c>
      <c r="AH4003" s="133"/>
      <c r="AI4003" s="146"/>
      <c r="AJ4003" s="143">
        <f>AJ3995/((N_6*AJ$27*AJ4002)*SQRT(AJ4001*AJ3997*AJ3999))</f>
        <v>15.37046267410904</v>
      </c>
      <c r="AK4003" s="133"/>
      <c r="AL4003" s="146"/>
      <c r="AM4003" s="143">
        <f>AM3995/((N_6*AM$27*AM4002)*SQRT(AM4001*AM3997*AM3999))</f>
        <v>16.322950643294796</v>
      </c>
      <c r="AN4003" s="133"/>
      <c r="AO4003" s="146"/>
      <c r="AP4003" s="143">
        <f>AP3995/((N_6*AP$27*AP4002)*SQRT(AP4001*AP3997*AP3999))</f>
        <v>12.015691239015009</v>
      </c>
      <c r="AQ4003" s="133"/>
      <c r="AR4003" s="146"/>
      <c r="AS4003" s="143">
        <f>AS3995/((N_6*AS$27*AS4002)*SQRT(AS4001*AS3997*AS3999))</f>
        <v>42.901405184863627</v>
      </c>
      <c r="AT4003" s="133"/>
      <c r="AU4003" s="146"/>
    </row>
    <row r="4004" spans="13:47" x14ac:dyDescent="0.25">
      <c r="M4004" s="27"/>
      <c r="N4004" s="27"/>
      <c r="O4004" s="2" t="s">
        <v>73</v>
      </c>
      <c r="P4004" s="85">
        <v>5</v>
      </c>
      <c r="Q4004" s="2"/>
      <c r="R4004" s="179">
        <f>R3995/((N_6*R$27*0.667)*SQRT(R4005*R3997*R3999))</f>
        <v>13.711955325821089</v>
      </c>
      <c r="S4004" s="133"/>
      <c r="T4004" s="155"/>
      <c r="U4004" s="143">
        <f>U3995/((N_6*U$27*0.667)*SQRT(U4005*U3997*U3999))</f>
        <v>43.280677449374295</v>
      </c>
      <c r="V4004" s="133"/>
      <c r="W4004" s="155"/>
      <c r="X4004" s="143">
        <f>X3995/((N_6*X$27*0.667)*SQRT(X4005*X3997*X3999))</f>
        <v>178.0661510746549</v>
      </c>
      <c r="Y4004" s="133"/>
      <c r="Z4004" s="155"/>
      <c r="AA4004" s="143">
        <f>AA3995/((N_6*AA$27*0.667)*SQRT(AA4005*AA3997*AA3999))</f>
        <v>35.683390572414922</v>
      </c>
      <c r="AB4004" s="133"/>
      <c r="AC4004" s="155"/>
      <c r="AD4004" s="143">
        <f>AD3995/((N_6*AD$27*0.667)*SQRT(AD4005*AD3997*AD3999))</f>
        <v>19.544565314332264</v>
      </c>
      <c r="AE4004" s="133"/>
      <c r="AF4004" s="155"/>
      <c r="AG4004" s="143">
        <f>AG3995/((N_6*AG$27*0.667)*SQRT(AG4005*AG3997*AG3999))</f>
        <v>14.139254001101857</v>
      </c>
      <c r="AH4004" s="133"/>
      <c r="AI4004" s="155"/>
      <c r="AJ4004" s="143">
        <f>AJ3995/((N_6*AJ$27*0.667)*SQRT(AJ4005*AJ3997*AJ3999))</f>
        <v>11.752175390639655</v>
      </c>
      <c r="AK4004" s="133"/>
      <c r="AL4004" s="155"/>
      <c r="AM4004" s="143">
        <f>AM3995/((N_6*AM$27*0.667)*SQRT(AM4005*AM3997*AM3999))</f>
        <v>11.054934444726532</v>
      </c>
      <c r="AN4004" s="133"/>
      <c r="AO4004" s="155"/>
      <c r="AP4004" s="143">
        <f>AP3995/((N_6*AP$27*0.667)*SQRT(AP4005*AP3997*AP3999))</f>
        <v>10.201045236794164</v>
      </c>
      <c r="AQ4004" s="133"/>
      <c r="AR4004" s="155"/>
      <c r="AS4004" s="143">
        <f>AS3995/((N_6*AS$27*0.667)*SQRT(AS4005*AS3997*AS3999))</f>
        <v>14.766749419458478</v>
      </c>
      <c r="AT4004" s="133"/>
      <c r="AU4004" s="155"/>
    </row>
    <row r="4005" spans="13:47" ht="15.5" x14ac:dyDescent="0.4">
      <c r="M4005" s="27"/>
      <c r="N4005" s="27"/>
      <c r="O4005" s="2" t="s">
        <v>192</v>
      </c>
      <c r="P4005" s="85">
        <v>10</v>
      </c>
      <c r="Q4005" s="2"/>
      <c r="R4005" s="181">
        <f>F_GAMMA*R$29</f>
        <v>0.64002688015162901</v>
      </c>
      <c r="S4005" s="133"/>
      <c r="T4005" s="155"/>
      <c r="U4005" s="138">
        <f>F_GAMMA*U$29</f>
        <v>0.64016782916606918</v>
      </c>
      <c r="V4005" s="133"/>
      <c r="W4005" s="155"/>
      <c r="X4005" s="138">
        <f>F_GAMMA*X$29</f>
        <v>0.6307062319203669</v>
      </c>
      <c r="Y4005" s="133"/>
      <c r="Z4005" s="155"/>
      <c r="AA4005" s="138">
        <f>F_GAMMA*AA$29</f>
        <v>0.62217534213893466</v>
      </c>
      <c r="AB4005" s="133"/>
      <c r="AC4005" s="155"/>
      <c r="AD4005" s="138">
        <f>F_GAMMA*AD$29</f>
        <v>0.60557184969146072</v>
      </c>
      <c r="AE4005" s="133"/>
      <c r="AF4005" s="155"/>
      <c r="AG4005" s="138">
        <f>F_GAMMA*AG$29</f>
        <v>0.57289312142622573</v>
      </c>
      <c r="AH4005" s="133"/>
      <c r="AI4005" s="155"/>
      <c r="AJ4005" s="138">
        <f>F_GAMMA*AJ$29</f>
        <v>0.53590819116049981</v>
      </c>
      <c r="AK4005" s="133"/>
      <c r="AL4005" s="155"/>
      <c r="AM4005" s="138">
        <f>F_GAMMA*AM$29</f>
        <v>0.49048815926850342</v>
      </c>
      <c r="AN4005" s="133"/>
      <c r="AO4005" s="155"/>
      <c r="AP4005" s="138">
        <f>F_GAMMA*AP$29</f>
        <v>0.59352979016280105</v>
      </c>
      <c r="AQ4005" s="133"/>
      <c r="AR4005" s="155"/>
      <c r="AS4005" s="138">
        <f>F_GAMMA*AS$29</f>
        <v>0.39097221161068291</v>
      </c>
      <c r="AT4005" s="133"/>
      <c r="AU4005" s="155"/>
    </row>
    <row r="4006" spans="13:47" x14ac:dyDescent="0.25">
      <c r="M4006" s="27"/>
      <c r="N4006" s="27"/>
      <c r="O4006" s="2" t="s">
        <v>193</v>
      </c>
      <c r="P4006" s="134"/>
      <c r="Q4006" s="2"/>
      <c r="R4006" s="181">
        <f>IF(R4001&lt;R4005,R4003,R4004)</f>
        <v>14.067722678235281</v>
      </c>
      <c r="S4006" s="133"/>
      <c r="T4006" s="155"/>
      <c r="U4006" s="138">
        <f>IF(U4001&lt;U4005,U4003,U4004)</f>
        <v>47.881560497660857</v>
      </c>
      <c r="V4006" s="133"/>
      <c r="W4006" s="155"/>
      <c r="X4006" s="138">
        <f>IF(X4001&lt;X4005,X4003,X4004)</f>
        <v>178.0661510746549</v>
      </c>
      <c r="Y4006" s="133"/>
      <c r="Z4006" s="155"/>
      <c r="AA4006" s="138">
        <f>IF(AA4001&lt;AA4005,AA4003,AA4004)</f>
        <v>35.683390572414922</v>
      </c>
      <c r="AB4006" s="133"/>
      <c r="AC4006" s="155"/>
      <c r="AD4006" s="138">
        <f>IF(AD4001&lt;AD4005,AD4003,AD4004)</f>
        <v>19.544565314332264</v>
      </c>
      <c r="AE4006" s="133"/>
      <c r="AF4006" s="155"/>
      <c r="AG4006" s="138">
        <f>IF(AG4001&lt;AG4005,AG4003,AG4004)</f>
        <v>14.139254001101857</v>
      </c>
      <c r="AH4006" s="133"/>
      <c r="AI4006" s="155"/>
      <c r="AJ4006" s="138">
        <f>IF(AJ4001&lt;AJ4005,AJ4003,AJ4004)</f>
        <v>11.752175390639655</v>
      </c>
      <c r="AK4006" s="133"/>
      <c r="AL4006" s="155"/>
      <c r="AM4006" s="138">
        <f>IF(AM4001&lt;AM4005,AM4003,AM4004)</f>
        <v>11.054934444726532</v>
      </c>
      <c r="AN4006" s="133"/>
      <c r="AO4006" s="155"/>
      <c r="AP4006" s="138">
        <f>IF(AP4001&lt;AP4005,AP4003,AP4004)</f>
        <v>10.201045236794164</v>
      </c>
      <c r="AQ4006" s="133"/>
      <c r="AR4006" s="155"/>
      <c r="AS4006" s="138">
        <f>IF(AS4001&lt;AS4005,AS4003,AS4004)</f>
        <v>14.766749419458478</v>
      </c>
      <c r="AT4006" s="133"/>
      <c r="AU4006" s="155"/>
    </row>
    <row r="4007" spans="13:47" ht="13" x14ac:dyDescent="0.3">
      <c r="M4007" s="28"/>
      <c r="N4007" s="28"/>
      <c r="O4007" s="9" t="s">
        <v>194</v>
      </c>
      <c r="P4007" s="1"/>
      <c r="Q4007" s="1"/>
      <c r="R4007" s="135"/>
      <c r="S4007" s="132">
        <f>IF(R4000&lt;=0,W_max,ABS(R$23-R4006))</f>
        <v>12.067722678235281</v>
      </c>
      <c r="T4007" s="151">
        <f>R3995</f>
        <v>3109.2389195396981</v>
      </c>
      <c r="U4007" s="135"/>
      <c r="V4007" s="132">
        <f>IF(U4000&lt;=0,W_max,ABS(U$23-U4006))</f>
        <v>42.881560497660857</v>
      </c>
      <c r="W4007" s="151">
        <f>U3995</f>
        <v>7762.2278483436739</v>
      </c>
      <c r="X4007" s="135"/>
      <c r="Y4007" s="132">
        <f>IF(X4000&lt;=0,W_max,ABS(X$23-X4006))</f>
        <v>7174</v>
      </c>
      <c r="Z4007" s="151">
        <f>X3995</f>
        <v>19196.913184895897</v>
      </c>
      <c r="AA4007" s="135"/>
      <c r="AB4007" s="132">
        <f>IF(AA4000&lt;=0,W_max,ABS(AA$23-AA4006))</f>
        <v>7174</v>
      </c>
      <c r="AC4007" s="151">
        <f>AA3995</f>
        <v>37390.686960136372</v>
      </c>
      <c r="AD4007" s="135"/>
      <c r="AE4007" s="132">
        <f>IF(AD4000&lt;=0,W_max,ABS(AD$23-AD4006))</f>
        <v>7174</v>
      </c>
      <c r="AF4007" s="151">
        <f>AD3995</f>
        <v>61493.9136152434</v>
      </c>
      <c r="AG4007" s="135"/>
      <c r="AH4007" s="132">
        <f>IF(AG4000&lt;=0,W_max,ABS(AG$23-AG4006))</f>
        <v>7174</v>
      </c>
      <c r="AI4007" s="151">
        <f>AG3995</f>
        <v>86249.94802624009</v>
      </c>
      <c r="AJ4007" s="135"/>
      <c r="AK4007" s="132">
        <f>IF(AJ4000&lt;=0,W_max,ABS(AJ$23-AJ4006))</f>
        <v>7174</v>
      </c>
      <c r="AL4007" s="151">
        <f>AJ3995</f>
        <v>109514.54744299385</v>
      </c>
      <c r="AM4007" s="135"/>
      <c r="AN4007" s="132">
        <f>IF(AM4000&lt;=0,W_max,ABS(AM$23-AM4006))</f>
        <v>7174</v>
      </c>
      <c r="AO4007" s="151">
        <f>AM3995</f>
        <v>128414.41964013783</v>
      </c>
      <c r="AP4007" s="135"/>
      <c r="AQ4007" s="132">
        <f>IF(AP4000&lt;=0,W_max,ABS(AP$23-AP4006))</f>
        <v>7174</v>
      </c>
      <c r="AR4007" s="151">
        <f>AP3995</f>
        <v>143267.90324789876</v>
      </c>
      <c r="AS4007" s="135"/>
      <c r="AT4007" s="132">
        <f>IF(AS4000&lt;=0,W_max,ABS(AS$23-AS4006))</f>
        <v>7174</v>
      </c>
      <c r="AU4007" s="151">
        <f>AS3995</f>
        <v>159839.46474678977</v>
      </c>
    </row>
    <row r="4008" spans="13:47" ht="13" x14ac:dyDescent="0.25">
      <c r="M4008" s="12"/>
      <c r="N4008" s="12"/>
      <c r="O4008" s="2"/>
      <c r="P4008" s="85"/>
      <c r="Q4008" s="2"/>
      <c r="R4008" s="18"/>
      <c r="S4008" s="150"/>
      <c r="T4008" s="152"/>
      <c r="U4008" s="157"/>
      <c r="V4008" s="1"/>
      <c r="W4008" s="147"/>
      <c r="X4008" s="157"/>
      <c r="Y4008" s="1"/>
      <c r="Z4008" s="147"/>
      <c r="AA4008" s="157"/>
      <c r="AB4008" s="1"/>
      <c r="AC4008" s="147"/>
      <c r="AD4008" s="157"/>
      <c r="AE4008" s="1"/>
      <c r="AF4008" s="147"/>
      <c r="AG4008" s="157"/>
      <c r="AH4008" s="1"/>
      <c r="AI4008" s="147"/>
      <c r="AJ4008" s="157"/>
      <c r="AK4008" s="1"/>
      <c r="AL4008" s="147"/>
      <c r="AM4008" s="157"/>
      <c r="AN4008" s="1"/>
      <c r="AO4008" s="147"/>
      <c r="AP4008" s="157"/>
      <c r="AQ4008" s="1"/>
      <c r="AR4008" s="147"/>
      <c r="AS4008" s="157"/>
      <c r="AT4008" s="1"/>
      <c r="AU4008" s="147"/>
    </row>
    <row r="4009" spans="13:47" ht="14" x14ac:dyDescent="0.3">
      <c r="M4009" s="23"/>
      <c r="N4009" s="23"/>
      <c r="O4009" s="23" t="s">
        <v>238</v>
      </c>
      <c r="P4009" s="20"/>
      <c r="Q4009" s="20"/>
      <c r="R4009" s="181">
        <f>R3995*1.02</f>
        <v>3171.4236979304924</v>
      </c>
      <c r="S4009" s="128" t="s">
        <v>185</v>
      </c>
      <c r="T4009" s="153" t="s">
        <v>186</v>
      </c>
      <c r="U4009" s="143">
        <f>U3995*1.01</f>
        <v>7839.8501268271111</v>
      </c>
      <c r="V4009" s="128" t="s">
        <v>185</v>
      </c>
      <c r="W4009" s="153" t="s">
        <v>186</v>
      </c>
      <c r="X4009" s="143">
        <f>X3995*1.01</f>
        <v>19388.882316744857</v>
      </c>
      <c r="Y4009" s="128" t="s">
        <v>185</v>
      </c>
      <c r="Z4009" s="153" t="s">
        <v>186</v>
      </c>
      <c r="AA4009" s="143">
        <f>AA3995*1.01</f>
        <v>37764.593829737736</v>
      </c>
      <c r="AB4009" s="128" t="s">
        <v>185</v>
      </c>
      <c r="AC4009" s="153" t="s">
        <v>186</v>
      </c>
      <c r="AD4009" s="143">
        <f>AD3995*1.01</f>
        <v>62108.852751395832</v>
      </c>
      <c r="AE4009" s="128" t="s">
        <v>185</v>
      </c>
      <c r="AF4009" s="153" t="s">
        <v>186</v>
      </c>
      <c r="AG4009" s="143">
        <f>AG3995*1.01</f>
        <v>87112.447506502489</v>
      </c>
      <c r="AH4009" s="128" t="s">
        <v>185</v>
      </c>
      <c r="AI4009" s="153" t="s">
        <v>186</v>
      </c>
      <c r="AJ4009" s="143">
        <f>AJ3995*1.01</f>
        <v>110609.69291742379</v>
      </c>
      <c r="AK4009" s="128" t="s">
        <v>185</v>
      </c>
      <c r="AL4009" s="153" t="s">
        <v>186</v>
      </c>
      <c r="AM4009" s="143">
        <f>AM3995*1.01</f>
        <v>129698.56383653921</v>
      </c>
      <c r="AN4009" s="128" t="s">
        <v>185</v>
      </c>
      <c r="AO4009" s="153" t="s">
        <v>186</v>
      </c>
      <c r="AP4009" s="143">
        <f>AP3995*1.01</f>
        <v>144700.58228037774</v>
      </c>
      <c r="AQ4009" s="128" t="s">
        <v>185</v>
      </c>
      <c r="AR4009" s="153" t="s">
        <v>186</v>
      </c>
      <c r="AS4009" s="143">
        <f>AS3995*1.01</f>
        <v>161437.85939425768</v>
      </c>
      <c r="AT4009" s="128" t="s">
        <v>185</v>
      </c>
      <c r="AU4009" s="153" t="s">
        <v>186</v>
      </c>
    </row>
    <row r="4010" spans="13:47" ht="14" x14ac:dyDescent="0.3">
      <c r="M4010" s="12"/>
      <c r="N4010" s="12"/>
      <c r="O4010" s="20"/>
      <c r="P4010" s="20"/>
      <c r="Q4010" s="23"/>
      <c r="R4010" s="139"/>
      <c r="S4010" s="130" t="s">
        <v>228</v>
      </c>
      <c r="T4010" s="154" t="s">
        <v>187</v>
      </c>
      <c r="U4010" s="144"/>
      <c r="V4010" s="130" t="s">
        <v>228</v>
      </c>
      <c r="W4010" s="154" t="s">
        <v>187</v>
      </c>
      <c r="X4010" s="144"/>
      <c r="Y4010" s="130" t="s">
        <v>228</v>
      </c>
      <c r="Z4010" s="154" t="s">
        <v>187</v>
      </c>
      <c r="AA4010" s="144"/>
      <c r="AB4010" s="130" t="s">
        <v>228</v>
      </c>
      <c r="AC4010" s="154" t="s">
        <v>187</v>
      </c>
      <c r="AD4010" s="144"/>
      <c r="AE4010" s="130" t="s">
        <v>228</v>
      </c>
      <c r="AF4010" s="154" t="s">
        <v>187</v>
      </c>
      <c r="AG4010" s="144"/>
      <c r="AH4010" s="130" t="s">
        <v>228</v>
      </c>
      <c r="AI4010" s="154" t="s">
        <v>187</v>
      </c>
      <c r="AJ4010" s="144"/>
      <c r="AK4010" s="130" t="s">
        <v>228</v>
      </c>
      <c r="AL4010" s="154" t="s">
        <v>187</v>
      </c>
      <c r="AM4010" s="144"/>
      <c r="AN4010" s="130" t="s">
        <v>228</v>
      </c>
      <c r="AO4010" s="154" t="s">
        <v>187</v>
      </c>
      <c r="AP4010" s="144"/>
      <c r="AQ4010" s="130" t="s">
        <v>228</v>
      </c>
      <c r="AR4010" s="154" t="s">
        <v>187</v>
      </c>
      <c r="AS4010" s="144"/>
      <c r="AT4010" s="130" t="s">
        <v>228</v>
      </c>
      <c r="AU4010" s="154" t="s">
        <v>187</v>
      </c>
    </row>
    <row r="4011" spans="13:47" x14ac:dyDescent="0.25">
      <c r="M4011" s="20"/>
      <c r="N4011" s="20"/>
      <c r="O4011" s="7" t="s">
        <v>188</v>
      </c>
      <c r="P4011" s="7"/>
      <c r="Q4011" s="7"/>
      <c r="R4011" s="181">
        <f>P_1_minW-(R4009^2*R_up)+dpup_minQ</f>
        <v>96.512068787455533</v>
      </c>
      <c r="S4011" s="132"/>
      <c r="T4011" s="145"/>
      <c r="U4011" s="138">
        <f>P_1_minW-(U4009^2*R_up)+dpup_minQ</f>
        <v>76.013588283663026</v>
      </c>
      <c r="V4011" s="132"/>
      <c r="W4011" s="145"/>
      <c r="X4011" s="138">
        <f>P_1_minW-(X4009^2*R_up)+dpup_minQ</f>
        <v>-49.383255002584448</v>
      </c>
      <c r="Y4011" s="132"/>
      <c r="Z4011" s="145"/>
      <c r="AA4011" s="138">
        <f>P_1_minW-(AA4009^2*R_up)+dpup_minQ</f>
        <v>-468.17720725794618</v>
      </c>
      <c r="AB4011" s="132"/>
      <c r="AC4011" s="145"/>
      <c r="AD4011" s="138">
        <f>P_1_minW-(AD4009^2*R_up)+dpup_minQ</f>
        <v>-1437.7048218120053</v>
      </c>
      <c r="AE4011" s="132"/>
      <c r="AF4011" s="145"/>
      <c r="AG4011" s="138">
        <f>P_1_minW-(AG4009^2*R_up)+dpup_minQ</f>
        <v>-2925.512716733549</v>
      </c>
      <c r="AH4011" s="132"/>
      <c r="AI4011" s="145"/>
      <c r="AJ4011" s="138">
        <f>P_1_minW-(AJ4009^2*R_up)+dpup_minQ</f>
        <v>-4778.1305639510374</v>
      </c>
      <c r="AK4011" s="132"/>
      <c r="AL4011" s="145"/>
      <c r="AM4011" s="138">
        <f>P_1_minW-(AM4009^2*R_up)+dpup_minQ</f>
        <v>-6607.3361615759177</v>
      </c>
      <c r="AN4011" s="132"/>
      <c r="AO4011" s="145"/>
      <c r="AP4011" s="138">
        <f>P_1_minW-(AP4009^2*R_up)+dpup_minQ</f>
        <v>-8248.8556312001583</v>
      </c>
      <c r="AQ4011" s="132"/>
      <c r="AR4011" s="145"/>
      <c r="AS4011" s="138">
        <f>P_1_minW-(AS4009^2*R_up)+dpup_minQ</f>
        <v>-10292.080949131374</v>
      </c>
      <c r="AT4011" s="132"/>
      <c r="AU4011" s="145"/>
    </row>
    <row r="4012" spans="13:47" x14ac:dyDescent="0.25">
      <c r="M4012" s="20"/>
      <c r="N4012" s="20"/>
      <c r="O4012" s="7" t="s">
        <v>189</v>
      </c>
      <c r="P4012" s="1"/>
      <c r="Q4012" s="7"/>
      <c r="R4012" s="181">
        <f>P_2_minW+(R4009^2*R_dn)-dpdn_minQ</f>
        <v>50</v>
      </c>
      <c r="S4012" s="132"/>
      <c r="T4012" s="146"/>
      <c r="U4012" s="138">
        <f>P_2_minW+(U4009^2*R_dn)-dpdn_minQ</f>
        <v>50</v>
      </c>
      <c r="V4012" s="132"/>
      <c r="W4012" s="146"/>
      <c r="X4012" s="138">
        <f>P_2_minW+(X4009^2*R_dn)-dpdn_minQ</f>
        <v>50</v>
      </c>
      <c r="Y4012" s="132"/>
      <c r="Z4012" s="146"/>
      <c r="AA4012" s="138">
        <f>P_2_minW+(AA4009^2*R_dn)-dpdn_minQ</f>
        <v>50</v>
      </c>
      <c r="AB4012" s="132"/>
      <c r="AC4012" s="146"/>
      <c r="AD4012" s="138">
        <f>P_2_minW+(AD4009^2*R_dn)-dpdn_minQ</f>
        <v>50</v>
      </c>
      <c r="AE4012" s="132"/>
      <c r="AF4012" s="146"/>
      <c r="AG4012" s="138">
        <f>P_2_minW+(AG4009^2*R_dn)-dpdn_minQ</f>
        <v>50</v>
      </c>
      <c r="AH4012" s="132"/>
      <c r="AI4012" s="146"/>
      <c r="AJ4012" s="138">
        <f>P_2_minW+(AJ4009^2*R_dn)-dpdn_minQ</f>
        <v>50</v>
      </c>
      <c r="AK4012" s="132"/>
      <c r="AL4012" s="146"/>
      <c r="AM4012" s="138">
        <f>P_2_minW+(AM4009^2*R_dn)-dpdn_minQ</f>
        <v>50</v>
      </c>
      <c r="AN4012" s="132"/>
      <c r="AO4012" s="146"/>
      <c r="AP4012" s="138">
        <f>P_2_minW+(AP4009^2*R_dn)-dpdn_minQ</f>
        <v>50</v>
      </c>
      <c r="AQ4012" s="132"/>
      <c r="AR4012" s="146"/>
      <c r="AS4012" s="138">
        <f>P_2_minW+(AS4009^2*R_dn)-dpdn_minQ</f>
        <v>50</v>
      </c>
      <c r="AT4012" s="132"/>
      <c r="AU4012" s="146"/>
    </row>
    <row r="4013" spans="13:47" x14ac:dyDescent="0.25">
      <c r="M4013" s="20"/>
      <c r="N4013" s="20"/>
      <c r="O4013" s="7" t="s">
        <v>234</v>
      </c>
      <c r="P4013" s="1"/>
      <c r="Q4013" s="7"/>
      <c r="R4013" s="179">
        <f>'Valve Sizing'!G$8*R4011/P_1_maxW</f>
        <v>0.46555703691592554</v>
      </c>
      <c r="S4013" s="132"/>
      <c r="T4013" s="146"/>
      <c r="U4013" s="143">
        <f>'Valve Sizing'!$G$8*U4011/P_1_maxW</f>
        <v>0.36667601649514142</v>
      </c>
      <c r="V4013" s="132"/>
      <c r="W4013" s="146"/>
      <c r="X4013" s="143">
        <f>'Valve Sizing'!$G$8*X4011/P_1_maxW</f>
        <v>-0.23821602998582767</v>
      </c>
      <c r="Y4013" s="132"/>
      <c r="Z4013" s="146"/>
      <c r="AA4013" s="143">
        <f>'Valve Sizing'!$G$8*AA4011/P_1_maxW</f>
        <v>-2.2584034939981832</v>
      </c>
      <c r="AB4013" s="132"/>
      <c r="AC4013" s="146"/>
      <c r="AD4013" s="143">
        <f>'Valve Sizing'!$G$8*AD4011/P_1_maxW</f>
        <v>-6.9352320928544291</v>
      </c>
      <c r="AE4013" s="132"/>
      <c r="AF4013" s="146"/>
      <c r="AG4013" s="143">
        <f>'Valve Sizing'!$G$8*AG4011/P_1_maxW</f>
        <v>-14.112152490086917</v>
      </c>
      <c r="AH4013" s="132"/>
      <c r="AI4013" s="146"/>
      <c r="AJ4013" s="143">
        <f>'Valve Sizing'!$G$8*AJ4011/P_1_maxW</f>
        <v>-23.048851146786326</v>
      </c>
      <c r="AK4013" s="132"/>
      <c r="AL4013" s="146"/>
      <c r="AM4013" s="143">
        <f>'Valve Sizing'!$G$8*AM4011/P_1_maxW</f>
        <v>-31.87261327974511</v>
      </c>
      <c r="AN4013" s="132"/>
      <c r="AO4013" s="146"/>
      <c r="AP4013" s="143">
        <f>'Valve Sizing'!$G$8*AP4011/P_1_maxW</f>
        <v>-39.79101094668431</v>
      </c>
      <c r="AQ4013" s="132"/>
      <c r="AR4013" s="146"/>
      <c r="AS4013" s="143">
        <f>'Valve Sizing'!$G$8*AS4011/P_1_maxW</f>
        <v>-49.647166106538229</v>
      </c>
      <c r="AT4013" s="132"/>
      <c r="AU4013" s="146"/>
    </row>
    <row r="4014" spans="13:47" x14ac:dyDescent="0.25">
      <c r="M4014" s="20"/>
      <c r="N4014" s="20"/>
      <c r="O4014" s="7" t="s">
        <v>190</v>
      </c>
      <c r="P4014" s="1"/>
      <c r="Q4014" s="7"/>
      <c r="R4014" s="181">
        <f>R4011-R4012</f>
        <v>46.512068787455533</v>
      </c>
      <c r="S4014" s="132"/>
      <c r="T4014" s="146"/>
      <c r="U4014" s="138">
        <f>U4011-U4012</f>
        <v>26.013588283663026</v>
      </c>
      <c r="V4014" s="132"/>
      <c r="W4014" s="146"/>
      <c r="X4014" s="138">
        <f>X4011-X4012</f>
        <v>-99.383255002584448</v>
      </c>
      <c r="Y4014" s="132"/>
      <c r="Z4014" s="146"/>
      <c r="AA4014" s="138">
        <f>AA4011-AA4012</f>
        <v>-518.17720725794618</v>
      </c>
      <c r="AB4014" s="132"/>
      <c r="AC4014" s="146"/>
      <c r="AD4014" s="138">
        <f>AD4011-AD4012</f>
        <v>-1487.7048218120053</v>
      </c>
      <c r="AE4014" s="132"/>
      <c r="AF4014" s="146"/>
      <c r="AG4014" s="138">
        <f>AG4011-AG4012</f>
        <v>-2975.512716733549</v>
      </c>
      <c r="AH4014" s="132"/>
      <c r="AI4014" s="146"/>
      <c r="AJ4014" s="138">
        <f>AJ4011-AJ4012</f>
        <v>-4828.1305639510374</v>
      </c>
      <c r="AK4014" s="132"/>
      <c r="AL4014" s="146"/>
      <c r="AM4014" s="138">
        <f>AM4011-AM4012</f>
        <v>-6657.3361615759177</v>
      </c>
      <c r="AN4014" s="132"/>
      <c r="AO4014" s="146"/>
      <c r="AP4014" s="138">
        <f>AP4011-AP4012</f>
        <v>-8298.8556312001583</v>
      </c>
      <c r="AQ4014" s="132"/>
      <c r="AR4014" s="146"/>
      <c r="AS4014" s="138">
        <f>AS4011-AS4012</f>
        <v>-10342.080949131374</v>
      </c>
      <c r="AT4014" s="132"/>
      <c r="AU4014" s="146"/>
    </row>
    <row r="4015" spans="13:47" ht="14.5" x14ac:dyDescent="0.35">
      <c r="M4015" s="27"/>
      <c r="N4015" s="27"/>
      <c r="O4015" s="2" t="s">
        <v>191</v>
      </c>
      <c r="P4015" s="10"/>
      <c r="Q4015" s="2"/>
      <c r="R4015" s="181">
        <f>R4014/R4011</f>
        <v>0.48193007746924488</v>
      </c>
      <c r="S4015" s="132"/>
      <c r="T4015" s="146"/>
      <c r="U4015" s="138">
        <f>U4014/U4011</f>
        <v>0.34222286923999762</v>
      </c>
      <c r="V4015" s="132"/>
      <c r="W4015" s="146"/>
      <c r="X4015" s="138">
        <f>X4014/X4011</f>
        <v>2.0124889498957343</v>
      </c>
      <c r="Y4015" s="132"/>
      <c r="Z4015" s="146"/>
      <c r="AA4015" s="138">
        <f>AA4014/AA4011</f>
        <v>1.1067971683048041</v>
      </c>
      <c r="AB4015" s="132"/>
      <c r="AC4015" s="146"/>
      <c r="AD4015" s="138">
        <f>AD4014/AD4011</f>
        <v>1.0347776534107904</v>
      </c>
      <c r="AE4015" s="132"/>
      <c r="AF4015" s="146"/>
      <c r="AG4015" s="138">
        <f>AG4014/AG4011</f>
        <v>1.0170910212469788</v>
      </c>
      <c r="AH4015" s="132"/>
      <c r="AI4015" s="146"/>
      <c r="AJ4015" s="138">
        <f>AJ4014/AJ4011</f>
        <v>1.0104643436027532</v>
      </c>
      <c r="AK4015" s="132"/>
      <c r="AL4015" s="146"/>
      <c r="AM4015" s="138">
        <f>AM4014/AM4011</f>
        <v>1.0075673461705745</v>
      </c>
      <c r="AN4015" s="132"/>
      <c r="AO4015" s="146"/>
      <c r="AP4015" s="138">
        <f>AP4014/AP4011</f>
        <v>1.0060614468522011</v>
      </c>
      <c r="AQ4015" s="132"/>
      <c r="AR4015" s="146"/>
      <c r="AS4015" s="138">
        <f>AS4014/AS4011</f>
        <v>1.0048581040362123</v>
      </c>
      <c r="AT4015" s="132"/>
      <c r="AU4015" s="146"/>
    </row>
    <row r="4016" spans="13:47" x14ac:dyDescent="0.25">
      <c r="M4016" s="27"/>
      <c r="N4016" s="27"/>
      <c r="O4016" s="2" t="s">
        <v>26</v>
      </c>
      <c r="P4016" s="7">
        <v>12</v>
      </c>
      <c r="Q4016" s="2"/>
      <c r="R4016" s="181">
        <f>1-R4015/(3*F_GAMMA*R$29)</f>
        <v>0.74900529315525488</v>
      </c>
      <c r="S4016" s="133"/>
      <c r="T4016" s="146"/>
      <c r="U4016" s="138">
        <f>1-U4015/(3*F_GAMMA*U$29)</f>
        <v>0.82180565072245559</v>
      </c>
      <c r="V4016" s="133"/>
      <c r="W4016" s="146"/>
      <c r="X4016" s="138">
        <f>1-X4015/(3*F_GAMMA*X$29)</f>
        <v>-6.3616650691258547E-2</v>
      </c>
      <c r="Y4016" s="133"/>
      <c r="Z4016" s="146"/>
      <c r="AA4016" s="138">
        <f>1-AA4015/(3*F_GAMMA*AA$29)</f>
        <v>0.40702826928722868</v>
      </c>
      <c r="AB4016" s="133"/>
      <c r="AC4016" s="146"/>
      <c r="AD4016" s="138">
        <f>1-AD4015/(3*F_GAMMA*AD$29)</f>
        <v>0.43041294828020249</v>
      </c>
      <c r="AE4016" s="133"/>
      <c r="AF4016" s="146"/>
      <c r="AG4016" s="138">
        <f>1-AG4015/(3*F_GAMMA*AG$29)</f>
        <v>0.40821363054309567</v>
      </c>
      <c r="AH4016" s="133"/>
      <c r="AI4016" s="146"/>
      <c r="AJ4016" s="138">
        <f>1-AJ4015/(3*F_GAMMA*AJ$29)</f>
        <v>0.37149412264402326</v>
      </c>
      <c r="AK4016" s="133"/>
      <c r="AL4016" s="146"/>
      <c r="AM4016" s="138">
        <f>1-AM4015/(3*F_GAMMA*AM$29)</f>
        <v>0.31526220213400968</v>
      </c>
      <c r="AN4016" s="133"/>
      <c r="AO4016" s="146"/>
      <c r="AP4016" s="138">
        <f>1-AP4015/(3*F_GAMMA*AP$29)</f>
        <v>0.43498402072553899</v>
      </c>
      <c r="AQ4016" s="133"/>
      <c r="AR4016" s="146"/>
      <c r="AS4016" s="138">
        <f>1-AS4015/(3*F_GAMMA*AS$29)</f>
        <v>0.14328258787113279</v>
      </c>
      <c r="AT4016" s="133"/>
      <c r="AU4016" s="146"/>
    </row>
    <row r="4017" spans="13:47" x14ac:dyDescent="0.25">
      <c r="M4017" s="27"/>
      <c r="N4017" s="27"/>
      <c r="O4017" s="2" t="s">
        <v>71</v>
      </c>
      <c r="P4017" s="85">
        <v>5</v>
      </c>
      <c r="Q4017" s="2"/>
      <c r="R4017" s="179">
        <f>R4009/((N_6*R$27*R4016)*SQRT(R4015*R4011*R4013))</f>
        <v>14.37632406112095</v>
      </c>
      <c r="S4017" s="133"/>
      <c r="T4017" s="146"/>
      <c r="U4017" s="143">
        <f>U4009/((N_6*U$27*U4016)*SQRT(U4015*U4011*U4013))</f>
        <v>48.833175529341432</v>
      </c>
      <c r="V4017" s="133"/>
      <c r="W4017" s="146"/>
      <c r="X4017" s="143">
        <f>X4009/((N_6*X$27*X4016)*SQRT(X4015*X4011*X4013))</f>
        <v>-992.47370867220468</v>
      </c>
      <c r="Y4017" s="133"/>
      <c r="Z4017" s="146"/>
      <c r="AA4017" s="143">
        <f>AA4009/((N_6*AA$27*AA4016)*SQRT(AA4015*AA4011*AA4013))</f>
        <v>43.220525367581637</v>
      </c>
      <c r="AB4017" s="133"/>
      <c r="AC4017" s="146"/>
      <c r="AD4017" s="143">
        <f>AD4009/((N_6*AD$27*AD4016)*SQRT(AD4015*AD4011*AD4013))</f>
        <v>22.908343827304062</v>
      </c>
      <c r="AE4017" s="133"/>
      <c r="AF4017" s="146"/>
      <c r="AG4017" s="143">
        <f>AG4009/((N_6*AG$27*AG4016)*SQRT(AG4015*AG4011*AG4013))</f>
        <v>17.155378273522235</v>
      </c>
      <c r="AH4017" s="133"/>
      <c r="AI4017" s="146"/>
      <c r="AJ4017" s="143">
        <f>AJ4009/((N_6*AJ$27*AJ4016)*SQRT(AJ4015*AJ4011*AJ4013))</f>
        <v>15.207989046633791</v>
      </c>
      <c r="AK4017" s="133"/>
      <c r="AL4017" s="146"/>
      <c r="AM4017" s="143">
        <f>AM4009/((N_6*AM$27*AM4016)*SQRT(AM4015*AM4011*AM4013))</f>
        <v>16.15225350374461</v>
      </c>
      <c r="AN4017" s="133"/>
      <c r="AO4017" s="146"/>
      <c r="AP4017" s="143">
        <f>AP4009/((N_6*AP$27*AP4016)*SQRT(AP4015*AP4011*AP4013))</f>
        <v>11.892644772024218</v>
      </c>
      <c r="AQ4017" s="133"/>
      <c r="AR4017" s="146"/>
      <c r="AS4017" s="143">
        <f>AS4009/((N_6*AS$27*AS4016)*SQRT(AS4015*AS4011*AS4013))</f>
        <v>42.445461186773457</v>
      </c>
      <c r="AT4017" s="133"/>
      <c r="AU4017" s="146"/>
    </row>
    <row r="4018" spans="13:47" x14ac:dyDescent="0.25">
      <c r="M4018" s="27"/>
      <c r="N4018" s="27"/>
      <c r="O4018" s="2" t="s">
        <v>73</v>
      </c>
      <c r="P4018" s="85">
        <v>5</v>
      </c>
      <c r="Q4018" s="2"/>
      <c r="R4018" s="179">
        <f>R4009/((N_6*R$27*0.667)*SQRT(R4019*R4011*R4013))</f>
        <v>14.008763887729707</v>
      </c>
      <c r="S4018" s="133"/>
      <c r="T4018" s="155"/>
      <c r="U4018" s="143">
        <f>U4009/((N_6*U$27*0.667)*SQRT(U4019*U4011*U4013))</f>
        <v>43.99120387285673</v>
      </c>
      <c r="V4018" s="133"/>
      <c r="W4018" s="155"/>
      <c r="X4018" s="143">
        <f>X4009/((N_6*X$27*0.667)*SQRT(X4019*X4011*X4013))</f>
        <v>169.08970580508435</v>
      </c>
      <c r="Y4018" s="133"/>
      <c r="Z4018" s="155"/>
      <c r="AA4018" s="143">
        <f>AA4009/((N_6*AA$27*0.667)*SQRT(AA4019*AA4011*AA4013))</f>
        <v>35.177615936660679</v>
      </c>
      <c r="AB4018" s="133"/>
      <c r="AC4018" s="155"/>
      <c r="AD4018" s="143">
        <f>AD4009/((N_6*AD$27*0.667)*SQRT(AD4019*AD4011*AD4013))</f>
        <v>19.323859364222244</v>
      </c>
      <c r="AE4018" s="133"/>
      <c r="AF4018" s="155"/>
      <c r="AG4018" s="143">
        <f>AG4009/((N_6*AG$27*0.667)*SQRT(AG4019*AG4011*AG4013))</f>
        <v>13.989592784644826</v>
      </c>
      <c r="AH4018" s="133"/>
      <c r="AI4018" s="155"/>
      <c r="AJ4018" s="143">
        <f>AJ4009/((N_6*AJ$27*0.667)*SQRT(AJ4019*AJ4011*AJ4013))</f>
        <v>11.630896829274066</v>
      </c>
      <c r="AK4018" s="133"/>
      <c r="AL4018" s="155"/>
      <c r="AM4018" s="143">
        <f>AM4009/((N_6*AM$27*0.667)*SQRT(AM4019*AM4011*AM4013))</f>
        <v>10.942132546053578</v>
      </c>
      <c r="AN4018" s="133"/>
      <c r="AO4018" s="155"/>
      <c r="AP4018" s="143">
        <f>AP4009/((N_6*AP$27*0.667)*SQRT(AP4019*AP4011*AP4013))</f>
        <v>10.09757084314292</v>
      </c>
      <c r="AQ4018" s="133"/>
      <c r="AR4018" s="155"/>
      <c r="AS4018" s="143">
        <f>AS4009/((N_6*AS$27*0.667)*SQRT(AS4019*AS4011*AS4013))</f>
        <v>14.617673721798822</v>
      </c>
      <c r="AT4018" s="133"/>
      <c r="AU4018" s="155"/>
    </row>
    <row r="4019" spans="13:47" ht="15.5" x14ac:dyDescent="0.4">
      <c r="M4019" s="27"/>
      <c r="N4019" s="27"/>
      <c r="O4019" s="2" t="s">
        <v>192</v>
      </c>
      <c r="P4019" s="85">
        <v>10</v>
      </c>
      <c r="Q4019" s="2"/>
      <c r="R4019" s="181">
        <f>F_GAMMA*R$29</f>
        <v>0.64002688015162901</v>
      </c>
      <c r="S4019" s="133"/>
      <c r="T4019" s="155"/>
      <c r="U4019" s="138">
        <f>F_GAMMA*U$29</f>
        <v>0.64016782916606918</v>
      </c>
      <c r="V4019" s="133"/>
      <c r="W4019" s="155"/>
      <c r="X4019" s="138">
        <f>F_GAMMA*X$29</f>
        <v>0.6307062319203669</v>
      </c>
      <c r="Y4019" s="133"/>
      <c r="Z4019" s="155"/>
      <c r="AA4019" s="138">
        <f>F_GAMMA*AA$29</f>
        <v>0.62217534213893466</v>
      </c>
      <c r="AB4019" s="133"/>
      <c r="AC4019" s="155"/>
      <c r="AD4019" s="138">
        <f>F_GAMMA*AD$29</f>
        <v>0.60557184969146072</v>
      </c>
      <c r="AE4019" s="133"/>
      <c r="AF4019" s="155"/>
      <c r="AG4019" s="138">
        <f>F_GAMMA*AG$29</f>
        <v>0.57289312142622573</v>
      </c>
      <c r="AH4019" s="133"/>
      <c r="AI4019" s="155"/>
      <c r="AJ4019" s="138">
        <f>F_GAMMA*AJ$29</f>
        <v>0.53590819116049981</v>
      </c>
      <c r="AK4019" s="133"/>
      <c r="AL4019" s="155"/>
      <c r="AM4019" s="138">
        <f>F_GAMMA*AM$29</f>
        <v>0.49048815926850342</v>
      </c>
      <c r="AN4019" s="133"/>
      <c r="AO4019" s="155"/>
      <c r="AP4019" s="138">
        <f>F_GAMMA*AP$29</f>
        <v>0.59352979016280105</v>
      </c>
      <c r="AQ4019" s="133"/>
      <c r="AR4019" s="155"/>
      <c r="AS4019" s="138">
        <f>F_GAMMA*AS$29</f>
        <v>0.39097221161068291</v>
      </c>
      <c r="AT4019" s="133"/>
      <c r="AU4019" s="155"/>
    </row>
    <row r="4020" spans="13:47" x14ac:dyDescent="0.25">
      <c r="M4020" s="27"/>
      <c r="N4020" s="27"/>
      <c r="O4020" s="2" t="s">
        <v>193</v>
      </c>
      <c r="P4020" s="134"/>
      <c r="Q4020" s="2"/>
      <c r="R4020" s="181">
        <f>IF(R4015&lt;R4019,R4017,R4018)</f>
        <v>14.37632406112095</v>
      </c>
      <c r="S4020" s="133"/>
      <c r="T4020" s="155"/>
      <c r="U4020" s="138">
        <f>IF(U4015&lt;U4019,U4017,U4018)</f>
        <v>48.833175529341432</v>
      </c>
      <c r="V4020" s="133"/>
      <c r="W4020" s="155"/>
      <c r="X4020" s="138">
        <f>IF(X4015&lt;X4019,X4017,X4018)</f>
        <v>169.08970580508435</v>
      </c>
      <c r="Y4020" s="133"/>
      <c r="Z4020" s="155"/>
      <c r="AA4020" s="138">
        <f>IF(AA4015&lt;AA4019,AA4017,AA4018)</f>
        <v>35.177615936660679</v>
      </c>
      <c r="AB4020" s="133"/>
      <c r="AC4020" s="155"/>
      <c r="AD4020" s="138">
        <f>IF(AD4015&lt;AD4019,AD4017,AD4018)</f>
        <v>19.323859364222244</v>
      </c>
      <c r="AE4020" s="133"/>
      <c r="AF4020" s="155"/>
      <c r="AG4020" s="138">
        <f>IF(AG4015&lt;AG4019,AG4017,AG4018)</f>
        <v>13.989592784644826</v>
      </c>
      <c r="AH4020" s="133"/>
      <c r="AI4020" s="155"/>
      <c r="AJ4020" s="138">
        <f>IF(AJ4015&lt;AJ4019,AJ4017,AJ4018)</f>
        <v>11.630896829274066</v>
      </c>
      <c r="AK4020" s="133"/>
      <c r="AL4020" s="155"/>
      <c r="AM4020" s="138">
        <f>IF(AM4015&lt;AM4019,AM4017,AM4018)</f>
        <v>10.942132546053578</v>
      </c>
      <c r="AN4020" s="133"/>
      <c r="AO4020" s="155"/>
      <c r="AP4020" s="138">
        <f>IF(AP4015&lt;AP4019,AP4017,AP4018)</f>
        <v>10.09757084314292</v>
      </c>
      <c r="AQ4020" s="133"/>
      <c r="AR4020" s="155"/>
      <c r="AS4020" s="138">
        <f>IF(AS4015&lt;AS4019,AS4017,AS4018)</f>
        <v>14.617673721798822</v>
      </c>
      <c r="AT4020" s="133"/>
      <c r="AU4020" s="155"/>
    </row>
    <row r="4021" spans="13:47" ht="13" x14ac:dyDescent="0.3">
      <c r="M4021" s="28"/>
      <c r="N4021" s="28"/>
      <c r="O4021" s="9" t="s">
        <v>194</v>
      </c>
      <c r="P4021" s="1"/>
      <c r="Q4021" s="1"/>
      <c r="R4021" s="135"/>
      <c r="S4021" s="132">
        <f>IF(R4014&lt;=0,W_max,ABS(R$23-R4020))</f>
        <v>12.37632406112095</v>
      </c>
      <c r="T4021" s="151">
        <f>R4009</f>
        <v>3171.4236979304924</v>
      </c>
      <c r="U4021" s="135"/>
      <c r="V4021" s="132">
        <f>IF(U4014&lt;=0,W_max,ABS(U$23-U4020))</f>
        <v>43.833175529341432</v>
      </c>
      <c r="W4021" s="151">
        <f>U4009</f>
        <v>7839.8501268271111</v>
      </c>
      <c r="X4021" s="135"/>
      <c r="Y4021" s="132">
        <f>IF(X4014&lt;=0,W_max,ABS(X$23-X4020))</f>
        <v>7174</v>
      </c>
      <c r="Z4021" s="151">
        <f>X4009</f>
        <v>19388.882316744857</v>
      </c>
      <c r="AA4021" s="135"/>
      <c r="AB4021" s="132">
        <f>IF(AA4014&lt;=0,W_max,ABS(AA$23-AA4020))</f>
        <v>7174</v>
      </c>
      <c r="AC4021" s="151">
        <f>AA4009</f>
        <v>37764.593829737736</v>
      </c>
      <c r="AD4021" s="135"/>
      <c r="AE4021" s="132">
        <f>IF(AD4014&lt;=0,W_max,ABS(AD$23-AD4020))</f>
        <v>7174</v>
      </c>
      <c r="AF4021" s="151">
        <f>AD4009</f>
        <v>62108.852751395832</v>
      </c>
      <c r="AG4021" s="135"/>
      <c r="AH4021" s="132">
        <f>IF(AG4014&lt;=0,W_max,ABS(AG$23-AG4020))</f>
        <v>7174</v>
      </c>
      <c r="AI4021" s="151">
        <f>AG4009</f>
        <v>87112.447506502489</v>
      </c>
      <c r="AJ4021" s="135"/>
      <c r="AK4021" s="132">
        <f>IF(AJ4014&lt;=0,W_max,ABS(AJ$23-AJ4020))</f>
        <v>7174</v>
      </c>
      <c r="AL4021" s="151">
        <f>AJ4009</f>
        <v>110609.69291742379</v>
      </c>
      <c r="AM4021" s="135"/>
      <c r="AN4021" s="132">
        <f>IF(AM4014&lt;=0,W_max,ABS(AM$23-AM4020))</f>
        <v>7174</v>
      </c>
      <c r="AO4021" s="151">
        <f>AM4009</f>
        <v>129698.56383653921</v>
      </c>
      <c r="AP4021" s="135"/>
      <c r="AQ4021" s="132">
        <f>IF(AP4014&lt;=0,W_max,ABS(AP$23-AP4020))</f>
        <v>7174</v>
      </c>
      <c r="AR4021" s="151">
        <f>AP4009</f>
        <v>144700.58228037774</v>
      </c>
      <c r="AS4021" s="135"/>
      <c r="AT4021" s="132">
        <f>IF(AS4014&lt;=0,W_max,ABS(AS$23-AS4020))</f>
        <v>7174</v>
      </c>
      <c r="AU4021" s="151">
        <f>AS4009</f>
        <v>161437.85939425768</v>
      </c>
    </row>
    <row r="4022" spans="13:47" ht="13" x14ac:dyDescent="0.25">
      <c r="M4022" s="12"/>
      <c r="N4022" s="12"/>
      <c r="O4022" s="2"/>
      <c r="P4022" s="85"/>
      <c r="Q4022" s="2"/>
      <c r="R4022" s="18"/>
      <c r="S4022" s="150"/>
      <c r="T4022" s="148"/>
      <c r="U4022" s="157"/>
      <c r="V4022" s="1"/>
      <c r="W4022" s="147"/>
      <c r="X4022" s="157"/>
      <c r="Y4022" s="1"/>
      <c r="Z4022" s="147"/>
      <c r="AA4022" s="157"/>
      <c r="AB4022" s="1"/>
      <c r="AC4022" s="147"/>
      <c r="AD4022" s="157"/>
      <c r="AE4022" s="1"/>
      <c r="AF4022" s="147"/>
      <c r="AG4022" s="157"/>
      <c r="AH4022" s="1"/>
      <c r="AI4022" s="147"/>
      <c r="AJ4022" s="157"/>
      <c r="AK4022" s="1"/>
      <c r="AL4022" s="147"/>
      <c r="AM4022" s="157"/>
      <c r="AN4022" s="1"/>
      <c r="AO4022" s="147"/>
      <c r="AP4022" s="157"/>
      <c r="AQ4022" s="1"/>
      <c r="AR4022" s="147"/>
      <c r="AS4022" s="157"/>
      <c r="AT4022" s="1"/>
      <c r="AU4022" s="147"/>
    </row>
    <row r="4023" spans="13:47" ht="14" x14ac:dyDescent="0.3">
      <c r="M4023" s="23"/>
      <c r="N4023" s="23"/>
      <c r="O4023" s="23" t="s">
        <v>238</v>
      </c>
      <c r="P4023" s="20"/>
      <c r="Q4023" s="20"/>
      <c r="R4023" s="181">
        <f>R4009*1.02</f>
        <v>3234.8521718891025</v>
      </c>
      <c r="S4023" s="128" t="s">
        <v>185</v>
      </c>
      <c r="T4023" s="149" t="s">
        <v>186</v>
      </c>
      <c r="U4023" s="143">
        <f>U4009*1.01</f>
        <v>7918.2486280953826</v>
      </c>
      <c r="V4023" s="128" t="s">
        <v>185</v>
      </c>
      <c r="W4023" s="153" t="s">
        <v>186</v>
      </c>
      <c r="X4023" s="143">
        <f>X4009*1.01</f>
        <v>19582.771139912307</v>
      </c>
      <c r="Y4023" s="128" t="s">
        <v>185</v>
      </c>
      <c r="Z4023" s="153" t="s">
        <v>186</v>
      </c>
      <c r="AA4023" s="143">
        <f>AA4009*1.01</f>
        <v>38142.239768035113</v>
      </c>
      <c r="AB4023" s="128" t="s">
        <v>185</v>
      </c>
      <c r="AC4023" s="153" t="s">
        <v>186</v>
      </c>
      <c r="AD4023" s="143">
        <f>AD4009*1.01</f>
        <v>62729.941278909791</v>
      </c>
      <c r="AE4023" s="128" t="s">
        <v>185</v>
      </c>
      <c r="AF4023" s="153" t="s">
        <v>186</v>
      </c>
      <c r="AG4023" s="143">
        <f>AG4009*1.01</f>
        <v>87983.571981567511</v>
      </c>
      <c r="AH4023" s="128" t="s">
        <v>185</v>
      </c>
      <c r="AI4023" s="153" t="s">
        <v>186</v>
      </c>
      <c r="AJ4023" s="143">
        <f>AJ4009*1.01</f>
        <v>111715.78984659803</v>
      </c>
      <c r="AK4023" s="128" t="s">
        <v>185</v>
      </c>
      <c r="AL4023" s="153" t="s">
        <v>186</v>
      </c>
      <c r="AM4023" s="143">
        <f>AM4009*1.01</f>
        <v>130995.5494749046</v>
      </c>
      <c r="AN4023" s="128" t="s">
        <v>185</v>
      </c>
      <c r="AO4023" s="153" t="s">
        <v>186</v>
      </c>
      <c r="AP4023" s="143">
        <f>AP4009*1.01</f>
        <v>146147.58810318151</v>
      </c>
      <c r="AQ4023" s="128" t="s">
        <v>185</v>
      </c>
      <c r="AR4023" s="153" t="s">
        <v>186</v>
      </c>
      <c r="AS4023" s="143">
        <f>AS4009*1.01</f>
        <v>163052.23798820027</v>
      </c>
      <c r="AT4023" s="128" t="s">
        <v>185</v>
      </c>
      <c r="AU4023" s="153" t="s">
        <v>186</v>
      </c>
    </row>
    <row r="4024" spans="13:47" ht="14" x14ac:dyDescent="0.3">
      <c r="M4024" s="12"/>
      <c r="N4024" s="12"/>
      <c r="O4024" s="20"/>
      <c r="P4024" s="20"/>
      <c r="Q4024" s="23"/>
      <c r="R4024" s="139"/>
      <c r="S4024" s="130" t="s">
        <v>228</v>
      </c>
      <c r="T4024" s="131" t="s">
        <v>187</v>
      </c>
      <c r="U4024" s="144"/>
      <c r="V4024" s="130" t="s">
        <v>228</v>
      </c>
      <c r="W4024" s="154" t="s">
        <v>187</v>
      </c>
      <c r="X4024" s="144"/>
      <c r="Y4024" s="130" t="s">
        <v>228</v>
      </c>
      <c r="Z4024" s="154" t="s">
        <v>187</v>
      </c>
      <c r="AA4024" s="144"/>
      <c r="AB4024" s="130" t="s">
        <v>228</v>
      </c>
      <c r="AC4024" s="154" t="s">
        <v>187</v>
      </c>
      <c r="AD4024" s="144"/>
      <c r="AE4024" s="130" t="s">
        <v>228</v>
      </c>
      <c r="AF4024" s="154" t="s">
        <v>187</v>
      </c>
      <c r="AG4024" s="144"/>
      <c r="AH4024" s="130" t="s">
        <v>228</v>
      </c>
      <c r="AI4024" s="154" t="s">
        <v>187</v>
      </c>
      <c r="AJ4024" s="144"/>
      <c r="AK4024" s="130" t="s">
        <v>228</v>
      </c>
      <c r="AL4024" s="154" t="s">
        <v>187</v>
      </c>
      <c r="AM4024" s="144"/>
      <c r="AN4024" s="130" t="s">
        <v>228</v>
      </c>
      <c r="AO4024" s="154" t="s">
        <v>187</v>
      </c>
      <c r="AP4024" s="144"/>
      <c r="AQ4024" s="130" t="s">
        <v>228</v>
      </c>
      <c r="AR4024" s="154" t="s">
        <v>187</v>
      </c>
      <c r="AS4024" s="144"/>
      <c r="AT4024" s="130" t="s">
        <v>228</v>
      </c>
      <c r="AU4024" s="154" t="s">
        <v>187</v>
      </c>
    </row>
    <row r="4025" spans="13:47" x14ac:dyDescent="0.25">
      <c r="M4025" s="20"/>
      <c r="N4025" s="20"/>
      <c r="O4025" s="7" t="s">
        <v>188</v>
      </c>
      <c r="P4025" s="7"/>
      <c r="Q4025" s="7"/>
      <c r="R4025" s="181">
        <f>P_1_minW-(R4023^2*R_up)+dpup_minQ</f>
        <v>96.350035782304971</v>
      </c>
      <c r="S4025" s="132"/>
      <c r="T4025" s="145"/>
      <c r="U4025" s="138">
        <f>P_1_minW-(U4023^2*R_up)+dpup_minQ</f>
        <v>75.520953394756447</v>
      </c>
      <c r="V4025" s="132"/>
      <c r="W4025" s="145"/>
      <c r="X4025" s="138">
        <f>P_1_minW-(X4023^2*R_up)+dpup_minQ</f>
        <v>-52.3963664415446</v>
      </c>
      <c r="Y4025" s="132"/>
      <c r="Z4025" s="145"/>
      <c r="AA4025" s="138">
        <f>P_1_minW-(AA4023^2*R_up)+dpup_minQ</f>
        <v>-479.60807713723909</v>
      </c>
      <c r="AB4025" s="132"/>
      <c r="AC4025" s="145"/>
      <c r="AD4025" s="138">
        <f>P_1_minW-(AD4023^2*R_up)+dpup_minQ</f>
        <v>-1468.6231967438348</v>
      </c>
      <c r="AE4025" s="132"/>
      <c r="AF4025" s="145"/>
      <c r="AG4025" s="138">
        <f>P_1_minW-(AG4023^2*R_up)+dpup_minQ</f>
        <v>-2986.3360303533013</v>
      </c>
      <c r="AH4025" s="132"/>
      <c r="AI4025" s="145"/>
      <c r="AJ4025" s="138">
        <f>P_1_minW-(AJ4023^2*R_up)+dpup_minQ</f>
        <v>-4876.1914962998608</v>
      </c>
      <c r="AK4025" s="132"/>
      <c r="AL4025" s="145"/>
      <c r="AM4025" s="138">
        <f>P_1_minW-(AM4023^2*R_up)+dpup_minQ</f>
        <v>-6742.1641264370028</v>
      </c>
      <c r="AN4025" s="132"/>
      <c r="AO4025" s="145"/>
      <c r="AP4025" s="138">
        <f>P_1_minW-(AP4023^2*R_up)+dpup_minQ</f>
        <v>-8416.6781374006896</v>
      </c>
      <c r="AQ4025" s="132"/>
      <c r="AR4025" s="145"/>
      <c r="AS4025" s="138">
        <f>P_1_minW-(AS4023^2*R_up)+dpup_minQ</f>
        <v>-10500.972284222325</v>
      </c>
      <c r="AT4025" s="132"/>
      <c r="AU4025" s="145"/>
    </row>
    <row r="4026" spans="13:47" x14ac:dyDescent="0.25">
      <c r="M4026" s="20"/>
      <c r="N4026" s="20"/>
      <c r="O4026" s="7" t="s">
        <v>189</v>
      </c>
      <c r="P4026" s="1"/>
      <c r="Q4026" s="7"/>
      <c r="R4026" s="181">
        <f>P_2_minW+(R4023^2*R_dn)-dpdn_minQ</f>
        <v>50</v>
      </c>
      <c r="S4026" s="132"/>
      <c r="T4026" s="146"/>
      <c r="U4026" s="138">
        <f>P_2_minW+(U4023^2*R_dn)-dpdn_minQ</f>
        <v>50</v>
      </c>
      <c r="V4026" s="132"/>
      <c r="W4026" s="146"/>
      <c r="X4026" s="138">
        <f>P_2_minW+(X4023^2*R_dn)-dpdn_minQ</f>
        <v>50</v>
      </c>
      <c r="Y4026" s="132"/>
      <c r="Z4026" s="146"/>
      <c r="AA4026" s="138">
        <f>P_2_minW+(AA4023^2*R_dn)-dpdn_minQ</f>
        <v>50</v>
      </c>
      <c r="AB4026" s="132"/>
      <c r="AC4026" s="146"/>
      <c r="AD4026" s="138">
        <f>P_2_minW+(AD4023^2*R_dn)-dpdn_minQ</f>
        <v>50</v>
      </c>
      <c r="AE4026" s="132"/>
      <c r="AF4026" s="146"/>
      <c r="AG4026" s="138">
        <f>P_2_minW+(AG4023^2*R_dn)-dpdn_minQ</f>
        <v>50</v>
      </c>
      <c r="AH4026" s="132"/>
      <c r="AI4026" s="146"/>
      <c r="AJ4026" s="138">
        <f>P_2_minW+(AJ4023^2*R_dn)-dpdn_minQ</f>
        <v>50</v>
      </c>
      <c r="AK4026" s="132"/>
      <c r="AL4026" s="146"/>
      <c r="AM4026" s="138">
        <f>P_2_minW+(AM4023^2*R_dn)-dpdn_minQ</f>
        <v>50</v>
      </c>
      <c r="AN4026" s="132"/>
      <c r="AO4026" s="146"/>
      <c r="AP4026" s="138">
        <f>P_2_minW+(AP4023^2*R_dn)-dpdn_minQ</f>
        <v>50</v>
      </c>
      <c r="AQ4026" s="132"/>
      <c r="AR4026" s="146"/>
      <c r="AS4026" s="138">
        <f>P_2_minW+(AS4023^2*R_dn)-dpdn_minQ</f>
        <v>50</v>
      </c>
      <c r="AT4026" s="132"/>
      <c r="AU4026" s="146"/>
    </row>
    <row r="4027" spans="13:47" x14ac:dyDescent="0.25">
      <c r="M4027" s="20"/>
      <c r="N4027" s="20"/>
      <c r="O4027" s="7" t="s">
        <v>234</v>
      </c>
      <c r="P4027" s="1"/>
      <c r="Q4027" s="7"/>
      <c r="R4027" s="179">
        <f>'Valve Sizing'!G$8*R4025/P_1_maxW</f>
        <v>0.46477541854727766</v>
      </c>
      <c r="S4027" s="132"/>
      <c r="T4027" s="146"/>
      <c r="U4027" s="143">
        <f>'Valve Sizing'!$G$8*U4025/P_1_maxW</f>
        <v>0.36429963349929206</v>
      </c>
      <c r="V4027" s="132"/>
      <c r="W4027" s="146"/>
      <c r="X4027" s="143">
        <f>'Valve Sizing'!$G$8*X4025/P_1_maxW</f>
        <v>-0.25275074311594448</v>
      </c>
      <c r="Y4027" s="132"/>
      <c r="Z4027" s="146"/>
      <c r="AA4027" s="143">
        <f>'Valve Sizing'!$G$8*AA4025/P_1_maxW</f>
        <v>-2.313543975154948</v>
      </c>
      <c r="AB4027" s="132"/>
      <c r="AC4027" s="146"/>
      <c r="AD4027" s="143">
        <f>'Valve Sizing'!$G$8*AD4025/P_1_maxW</f>
        <v>-7.084376828848205</v>
      </c>
      <c r="AE4027" s="132"/>
      <c r="AF4027" s="146"/>
      <c r="AG4027" s="143">
        <f>'Valve Sizing'!$G$8*AG4025/P_1_maxW</f>
        <v>-14.405553326065064</v>
      </c>
      <c r="AH4027" s="132"/>
      <c r="AI4027" s="146"/>
      <c r="AJ4027" s="143">
        <f>'Valve Sizing'!$G$8*AJ4025/P_1_maxW</f>
        <v>-23.521879625764129</v>
      </c>
      <c r="AK4027" s="132"/>
      <c r="AL4027" s="146"/>
      <c r="AM4027" s="143">
        <f>'Valve Sizing'!$G$8*AM4025/P_1_maxW</f>
        <v>-32.522999377595397</v>
      </c>
      <c r="AN4027" s="132"/>
      <c r="AO4027" s="146"/>
      <c r="AP4027" s="143">
        <f>'Valve Sizing'!$G$8*AP4025/P_1_maxW</f>
        <v>-40.600556837640063</v>
      </c>
      <c r="AQ4027" s="132"/>
      <c r="AR4027" s="146"/>
      <c r="AS4027" s="143">
        <f>'Valve Sizing'!$G$8*AS4025/P_1_maxW</f>
        <v>-50.654820716207063</v>
      </c>
      <c r="AT4027" s="132"/>
      <c r="AU4027" s="146"/>
    </row>
    <row r="4028" spans="13:47" x14ac:dyDescent="0.25">
      <c r="M4028" s="20"/>
      <c r="N4028" s="20"/>
      <c r="O4028" s="7" t="s">
        <v>190</v>
      </c>
      <c r="P4028" s="1"/>
      <c r="Q4028" s="7"/>
      <c r="R4028" s="181">
        <f>R4025-R4026</f>
        <v>46.350035782304971</v>
      </c>
      <c r="S4028" s="132"/>
      <c r="T4028" s="146"/>
      <c r="U4028" s="138">
        <f>U4025-U4026</f>
        <v>25.520953394756447</v>
      </c>
      <c r="V4028" s="132"/>
      <c r="W4028" s="146"/>
      <c r="X4028" s="138">
        <f>X4025-X4026</f>
        <v>-102.3963664415446</v>
      </c>
      <c r="Y4028" s="132"/>
      <c r="Z4028" s="146"/>
      <c r="AA4028" s="138">
        <f>AA4025-AA4026</f>
        <v>-529.60807713723909</v>
      </c>
      <c r="AB4028" s="132"/>
      <c r="AC4028" s="146"/>
      <c r="AD4028" s="138">
        <f>AD4025-AD4026</f>
        <v>-1518.6231967438348</v>
      </c>
      <c r="AE4028" s="132"/>
      <c r="AF4028" s="146"/>
      <c r="AG4028" s="138">
        <f>AG4025-AG4026</f>
        <v>-3036.3360303533013</v>
      </c>
      <c r="AH4028" s="132"/>
      <c r="AI4028" s="146"/>
      <c r="AJ4028" s="138">
        <f>AJ4025-AJ4026</f>
        <v>-4926.1914962998608</v>
      </c>
      <c r="AK4028" s="132"/>
      <c r="AL4028" s="146"/>
      <c r="AM4028" s="138">
        <f>AM4025-AM4026</f>
        <v>-6792.1641264370028</v>
      </c>
      <c r="AN4028" s="132"/>
      <c r="AO4028" s="146"/>
      <c r="AP4028" s="138">
        <f>AP4025-AP4026</f>
        <v>-8466.6781374006896</v>
      </c>
      <c r="AQ4028" s="132"/>
      <c r="AR4028" s="146"/>
      <c r="AS4028" s="138">
        <f>AS4025-AS4026</f>
        <v>-10550.972284222325</v>
      </c>
      <c r="AT4028" s="132"/>
      <c r="AU4028" s="146"/>
    </row>
    <row r="4029" spans="13:47" ht="14.5" x14ac:dyDescent="0.35">
      <c r="M4029" s="27"/>
      <c r="N4029" s="27"/>
      <c r="O4029" s="2" t="s">
        <v>191</v>
      </c>
      <c r="P4029" s="10"/>
      <c r="Q4029" s="2"/>
      <c r="R4029" s="181">
        <f>R4028/R4025</f>
        <v>0.48105883309715719</v>
      </c>
      <c r="S4029" s="132"/>
      <c r="T4029" s="146"/>
      <c r="U4029" s="138">
        <f>U4028/U4025</f>
        <v>0.33793208702431993</v>
      </c>
      <c r="V4029" s="132"/>
      <c r="W4029" s="146"/>
      <c r="X4029" s="138">
        <f>X4028/X4025</f>
        <v>1.9542646445871761</v>
      </c>
      <c r="Y4029" s="132"/>
      <c r="Z4029" s="146"/>
      <c r="AA4029" s="138">
        <f>AA4028/AA4025</f>
        <v>1.1042517888740488</v>
      </c>
      <c r="AB4029" s="132"/>
      <c r="AC4029" s="146"/>
      <c r="AD4029" s="138">
        <f>AD4028/AD4025</f>
        <v>1.0340454924795262</v>
      </c>
      <c r="AE4029" s="132"/>
      <c r="AF4029" s="146"/>
      <c r="AG4029" s="138">
        <f>AG4028/AG4025</f>
        <v>1.0167429249393896</v>
      </c>
      <c r="AH4029" s="132"/>
      <c r="AI4029" s="146"/>
      <c r="AJ4029" s="138">
        <f>AJ4028/AJ4025</f>
        <v>1.0102539041048615</v>
      </c>
      <c r="AK4029" s="132"/>
      <c r="AL4029" s="146"/>
      <c r="AM4029" s="138">
        <f>AM4028/AM4025</f>
        <v>1.0074160164395796</v>
      </c>
      <c r="AN4029" s="132"/>
      <c r="AO4029" s="146"/>
      <c r="AP4029" s="138">
        <f>AP4028/AP4025</f>
        <v>1.005940585963222</v>
      </c>
      <c r="AQ4029" s="132"/>
      <c r="AR4029" s="146"/>
      <c r="AS4029" s="138">
        <f>AS4028/AS4025</f>
        <v>1.0047614638575062</v>
      </c>
      <c r="AT4029" s="132"/>
      <c r="AU4029" s="146"/>
    </row>
    <row r="4030" spans="13:47" x14ac:dyDescent="0.25">
      <c r="M4030" s="27"/>
      <c r="N4030" s="27"/>
      <c r="O4030" s="2" t="s">
        <v>26</v>
      </c>
      <c r="P4030" s="7">
        <v>12</v>
      </c>
      <c r="Q4030" s="2"/>
      <c r="R4030" s="181">
        <f>1-R4029/(3*F_GAMMA*R$29)</f>
        <v>0.74945904720793943</v>
      </c>
      <c r="S4030" s="133"/>
      <c r="T4030" s="146"/>
      <c r="U4030" s="138">
        <f>1-U4029/(3*F_GAMMA*U$29)</f>
        <v>0.82403984724623658</v>
      </c>
      <c r="V4030" s="133"/>
      <c r="W4030" s="146"/>
      <c r="X4030" s="138">
        <f>1-X4029/(3*F_GAMMA*X$29)</f>
        <v>-3.2844635468853189E-2</v>
      </c>
      <c r="Y4030" s="133"/>
      <c r="Z4030" s="146"/>
      <c r="AA4030" s="138">
        <f>1-AA4029/(3*F_GAMMA*AA$29)</f>
        <v>0.40839196815599921</v>
      </c>
      <c r="AB4030" s="133"/>
      <c r="AC4030" s="146"/>
      <c r="AD4030" s="138">
        <f>1-AD4029/(3*F_GAMMA*AD$29)</f>
        <v>0.43081596180185</v>
      </c>
      <c r="AE4030" s="133"/>
      <c r="AF4030" s="146"/>
      <c r="AG4030" s="138">
        <f>1-AG4029/(3*F_GAMMA*AG$29)</f>
        <v>0.40841616762757116</v>
      </c>
      <c r="AH4030" s="133"/>
      <c r="AI4030" s="146"/>
      <c r="AJ4030" s="138">
        <f>1-AJ4029/(3*F_GAMMA*AJ$29)</f>
        <v>0.37162501539851789</v>
      </c>
      <c r="AK4030" s="133"/>
      <c r="AL4030" s="146"/>
      <c r="AM4030" s="138">
        <f>1-AM4029/(3*F_GAMMA*AM$29)</f>
        <v>0.31536504507264496</v>
      </c>
      <c r="AN4030" s="133"/>
      <c r="AO4030" s="146"/>
      <c r="AP4030" s="138">
        <f>1-AP4029/(3*F_GAMMA*AP$29)</f>
        <v>0.4350518976268517</v>
      </c>
      <c r="AQ4030" s="133"/>
      <c r="AR4030" s="146"/>
      <c r="AS4030" s="138">
        <f>1-AS4029/(3*F_GAMMA*AS$29)</f>
        <v>0.14336498092093386</v>
      </c>
      <c r="AT4030" s="133"/>
      <c r="AU4030" s="146"/>
    </row>
    <row r="4031" spans="13:47" x14ac:dyDescent="0.25">
      <c r="M4031" s="27"/>
      <c r="N4031" s="27"/>
      <c r="O4031" s="2" t="s">
        <v>71</v>
      </c>
      <c r="P4031" s="85">
        <v>5</v>
      </c>
      <c r="Q4031" s="2"/>
      <c r="R4031" s="179">
        <f>R4023/((N_6*R$27*R4030)*SQRT(R4029*R4025*R4027))</f>
        <v>14.692904967148776</v>
      </c>
      <c r="S4031" s="133"/>
      <c r="T4031" s="146"/>
      <c r="U4031" s="143">
        <f>U4023/((N_6*U$27*U4030)*SQRT(U4029*U4025*U4027))</f>
        <v>49.821961255201067</v>
      </c>
      <c r="V4031" s="133"/>
      <c r="W4031" s="146"/>
      <c r="X4031" s="143">
        <f>X4023/((N_6*X$27*X4030)*SQRT(X4029*X4025*X4027))</f>
        <v>-1856.9505769808834</v>
      </c>
      <c r="Y4031" s="133"/>
      <c r="Z4031" s="146"/>
      <c r="AA4031" s="143">
        <f>AA4023/((N_6*AA$27*AA4030)*SQRT(AA4029*AA4025*AA4027))</f>
        <v>42.518950730416861</v>
      </c>
      <c r="AB4031" s="133"/>
      <c r="AC4031" s="146"/>
      <c r="AD4031" s="143">
        <f>AD4023/((N_6*AD$27*AD4030)*SQRT(AD4029*AD4025*AD4027))</f>
        <v>22.637144979935012</v>
      </c>
      <c r="AE4031" s="133"/>
      <c r="AF4031" s="146"/>
      <c r="AG4031" s="143">
        <f>AG4023/((N_6*AG$27*AG4030)*SQRT(AG4029*AG4025*AG4027))</f>
        <v>16.968517297732134</v>
      </c>
      <c r="AH4031" s="133"/>
      <c r="AI4031" s="146"/>
      <c r="AJ4031" s="143">
        <f>AJ4023/((N_6*AJ$27*AJ4030)*SQRT(AJ4029*AJ4025*AJ4027))</f>
        <v>15.047441367332329</v>
      </c>
      <c r="AK4031" s="133"/>
      <c r="AL4031" s="146"/>
      <c r="AM4031" s="143">
        <f>AM4023/((N_6*AM$27*AM4030)*SQRT(AM4029*AM4025*AM4027))</f>
        <v>15.983524277221592</v>
      </c>
      <c r="AN4031" s="133"/>
      <c r="AO4031" s="146"/>
      <c r="AP4031" s="143">
        <f>AP4023/((N_6*AP$27*AP4030)*SQRT(AP4029*AP4025*AP4027))</f>
        <v>11.770939509658799</v>
      </c>
      <c r="AQ4031" s="133"/>
      <c r="AR4031" s="146"/>
      <c r="AS4031" s="143">
        <f>AS4023/((N_6*AS$27*AS4030)*SQRT(AS4029*AS4025*AS4027))</f>
        <v>41.994994810726631</v>
      </c>
      <c r="AT4031" s="133"/>
      <c r="AU4031" s="146"/>
    </row>
    <row r="4032" spans="13:47" x14ac:dyDescent="0.25">
      <c r="M4032" s="27"/>
      <c r="N4032" s="27"/>
      <c r="O4032" s="2" t="s">
        <v>73</v>
      </c>
      <c r="P4032" s="85">
        <v>5</v>
      </c>
      <c r="Q4032" s="2"/>
      <c r="R4032" s="179">
        <f>R4023/((N_6*R$27*0.667)*SQRT(R4033*R4025*R4027))</f>
        <v>14.312969045022989</v>
      </c>
      <c r="S4032" s="133"/>
      <c r="T4032" s="147"/>
      <c r="U4032" s="143">
        <f>U4023/((N_6*U$27*0.667)*SQRT(U4033*U4025*U4027))</f>
        <v>44.7209469699498</v>
      </c>
      <c r="V4032" s="133"/>
      <c r="W4032" s="155"/>
      <c r="X4032" s="143">
        <f>X4023/((N_6*X$27*0.667)*SQRT(X4033*X4025*X4027))</f>
        <v>160.95967398988003</v>
      </c>
      <c r="Y4032" s="133"/>
      <c r="Z4032" s="155"/>
      <c r="AA4032" s="143">
        <f>AA4023/((N_6*AA$27*0.667)*SQRT(AA4033*AA4025*AA4027))</f>
        <v>34.682592641847435</v>
      </c>
      <c r="AB4032" s="133"/>
      <c r="AC4032" s="155"/>
      <c r="AD4032" s="143">
        <f>AD4023/((N_6*AD$27*0.667)*SQRT(AD4033*AD4025*AD4027))</f>
        <v>19.106211793475662</v>
      </c>
      <c r="AE4032" s="133"/>
      <c r="AF4032" s="155"/>
      <c r="AG4032" s="143">
        <f>AG4023/((N_6*AG$27*0.667)*SQRT(AG4033*AG4025*AG4027))</f>
        <v>13.841710540674171</v>
      </c>
      <c r="AH4032" s="133"/>
      <c r="AI4032" s="155"/>
      <c r="AJ4032" s="143">
        <f>AJ4023/((N_6*AJ$27*0.667)*SQRT(AJ4033*AJ4025*AJ4027))</f>
        <v>11.510967751157633</v>
      </c>
      <c r="AK4032" s="133"/>
      <c r="AL4032" s="155"/>
      <c r="AM4032" s="143">
        <f>AM4023/((N_6*AM$27*0.667)*SQRT(AM4033*AM4025*AM4027))</f>
        <v>10.830547902346714</v>
      </c>
      <c r="AN4032" s="133"/>
      <c r="AO4032" s="155"/>
      <c r="AP4032" s="143">
        <f>AP4023/((N_6*AP$27*0.667)*SQRT(AP4033*AP4025*AP4027))</f>
        <v>9.9951948712620773</v>
      </c>
      <c r="AQ4032" s="133"/>
      <c r="AR4032" s="155"/>
      <c r="AS4032" s="143">
        <f>AS4023/((N_6*AS$27*0.667)*SQRT(AS4033*AS4025*AS4027))</f>
        <v>14.470159517835969</v>
      </c>
      <c r="AT4032" s="133"/>
      <c r="AU4032" s="155"/>
    </row>
    <row r="4033" spans="13:47" ht="15.5" x14ac:dyDescent="0.4">
      <c r="M4033" s="27"/>
      <c r="N4033" s="27"/>
      <c r="O4033" s="2" t="s">
        <v>192</v>
      </c>
      <c r="P4033" s="85">
        <v>10</v>
      </c>
      <c r="Q4033" s="2"/>
      <c r="R4033" s="181">
        <f>F_GAMMA*R$29</f>
        <v>0.64002688015162901</v>
      </c>
      <c r="S4033" s="133"/>
      <c r="T4033" s="147"/>
      <c r="U4033" s="138">
        <f>F_GAMMA*U$29</f>
        <v>0.64016782916606918</v>
      </c>
      <c r="V4033" s="133"/>
      <c r="W4033" s="155"/>
      <c r="X4033" s="138">
        <f>F_GAMMA*X$29</f>
        <v>0.6307062319203669</v>
      </c>
      <c r="Y4033" s="133"/>
      <c r="Z4033" s="155"/>
      <c r="AA4033" s="138">
        <f>F_GAMMA*AA$29</f>
        <v>0.62217534213893466</v>
      </c>
      <c r="AB4033" s="133"/>
      <c r="AC4033" s="155"/>
      <c r="AD4033" s="138">
        <f>F_GAMMA*AD$29</f>
        <v>0.60557184969146072</v>
      </c>
      <c r="AE4033" s="133"/>
      <c r="AF4033" s="155"/>
      <c r="AG4033" s="138">
        <f>F_GAMMA*AG$29</f>
        <v>0.57289312142622573</v>
      </c>
      <c r="AH4033" s="133"/>
      <c r="AI4033" s="155"/>
      <c r="AJ4033" s="138">
        <f>F_GAMMA*AJ$29</f>
        <v>0.53590819116049981</v>
      </c>
      <c r="AK4033" s="133"/>
      <c r="AL4033" s="155"/>
      <c r="AM4033" s="138">
        <f>F_GAMMA*AM$29</f>
        <v>0.49048815926850342</v>
      </c>
      <c r="AN4033" s="133"/>
      <c r="AO4033" s="155"/>
      <c r="AP4033" s="138">
        <f>F_GAMMA*AP$29</f>
        <v>0.59352979016280105</v>
      </c>
      <c r="AQ4033" s="133"/>
      <c r="AR4033" s="155"/>
      <c r="AS4033" s="138">
        <f>F_GAMMA*AS$29</f>
        <v>0.39097221161068291</v>
      </c>
      <c r="AT4033" s="133"/>
      <c r="AU4033" s="155"/>
    </row>
    <row r="4034" spans="13:47" x14ac:dyDescent="0.25">
      <c r="M4034" s="27"/>
      <c r="N4034" s="27"/>
      <c r="O4034" s="2" t="s">
        <v>193</v>
      </c>
      <c r="P4034" s="134"/>
      <c r="Q4034" s="2"/>
      <c r="R4034" s="181">
        <f>IF(R4029&lt;R4033,R4031,R4032)</f>
        <v>14.692904967148776</v>
      </c>
      <c r="S4034" s="133"/>
      <c r="T4034" s="147"/>
      <c r="U4034" s="138">
        <f>IF(U4029&lt;U4033,U4031,U4032)</f>
        <v>49.821961255201067</v>
      </c>
      <c r="V4034" s="133"/>
      <c r="W4034" s="155"/>
      <c r="X4034" s="138">
        <f>IF(X4029&lt;X4033,X4031,X4032)</f>
        <v>160.95967398988003</v>
      </c>
      <c r="Y4034" s="133"/>
      <c r="Z4034" s="155"/>
      <c r="AA4034" s="138">
        <f>IF(AA4029&lt;AA4033,AA4031,AA4032)</f>
        <v>34.682592641847435</v>
      </c>
      <c r="AB4034" s="133"/>
      <c r="AC4034" s="155"/>
      <c r="AD4034" s="138">
        <f>IF(AD4029&lt;AD4033,AD4031,AD4032)</f>
        <v>19.106211793475662</v>
      </c>
      <c r="AE4034" s="133"/>
      <c r="AF4034" s="155"/>
      <c r="AG4034" s="138">
        <f>IF(AG4029&lt;AG4033,AG4031,AG4032)</f>
        <v>13.841710540674171</v>
      </c>
      <c r="AH4034" s="133"/>
      <c r="AI4034" s="155"/>
      <c r="AJ4034" s="138">
        <f>IF(AJ4029&lt;AJ4033,AJ4031,AJ4032)</f>
        <v>11.510967751157633</v>
      </c>
      <c r="AK4034" s="133"/>
      <c r="AL4034" s="155"/>
      <c r="AM4034" s="138">
        <f>IF(AM4029&lt;AM4033,AM4031,AM4032)</f>
        <v>10.830547902346714</v>
      </c>
      <c r="AN4034" s="133"/>
      <c r="AO4034" s="155"/>
      <c r="AP4034" s="138">
        <f>IF(AP4029&lt;AP4033,AP4031,AP4032)</f>
        <v>9.9951948712620773</v>
      </c>
      <c r="AQ4034" s="133"/>
      <c r="AR4034" s="155"/>
      <c r="AS4034" s="138">
        <f>IF(AS4029&lt;AS4033,AS4031,AS4032)</f>
        <v>14.470159517835969</v>
      </c>
      <c r="AT4034" s="133"/>
      <c r="AU4034" s="155"/>
    </row>
    <row r="4035" spans="13:47" ht="13" x14ac:dyDescent="0.3">
      <c r="M4035" s="28"/>
      <c r="N4035" s="28"/>
      <c r="O4035" s="9" t="s">
        <v>194</v>
      </c>
      <c r="P4035" s="1"/>
      <c r="Q4035" s="1"/>
      <c r="R4035" s="135"/>
      <c r="S4035" s="132">
        <f>IF(R4028&lt;=0,W_max,ABS(R$23-R4034))</f>
        <v>12.692904967148776</v>
      </c>
      <c r="T4035" s="151">
        <f>R4023</f>
        <v>3234.8521718891025</v>
      </c>
      <c r="U4035" s="135"/>
      <c r="V4035" s="132">
        <f>IF(U4028&lt;=0,W_max,ABS(U$23-U4034))</f>
        <v>44.821961255201067</v>
      </c>
      <c r="W4035" s="151">
        <f>U4023</f>
        <v>7918.2486280953826</v>
      </c>
      <c r="X4035" s="135"/>
      <c r="Y4035" s="132">
        <f>IF(X4028&lt;=0,W_max,ABS(X$23-X4034))</f>
        <v>7174</v>
      </c>
      <c r="Z4035" s="151">
        <f>X4023</f>
        <v>19582.771139912307</v>
      </c>
      <c r="AA4035" s="135"/>
      <c r="AB4035" s="132">
        <f>IF(AA4028&lt;=0,W_max,ABS(AA$23-AA4034))</f>
        <v>7174</v>
      </c>
      <c r="AC4035" s="151">
        <f>AA4023</f>
        <v>38142.239768035113</v>
      </c>
      <c r="AD4035" s="135"/>
      <c r="AE4035" s="132">
        <f>IF(AD4028&lt;=0,W_max,ABS(AD$23-AD4034))</f>
        <v>7174</v>
      </c>
      <c r="AF4035" s="151">
        <f>AD4023</f>
        <v>62729.941278909791</v>
      </c>
      <c r="AG4035" s="135"/>
      <c r="AH4035" s="132">
        <f>IF(AG4028&lt;=0,W_max,ABS(AG$23-AG4034))</f>
        <v>7174</v>
      </c>
      <c r="AI4035" s="151">
        <f>AG4023</f>
        <v>87983.571981567511</v>
      </c>
      <c r="AJ4035" s="135"/>
      <c r="AK4035" s="132">
        <f>IF(AJ4028&lt;=0,W_max,ABS(AJ$23-AJ4034))</f>
        <v>7174</v>
      </c>
      <c r="AL4035" s="151">
        <f>AJ4023</f>
        <v>111715.78984659803</v>
      </c>
      <c r="AM4035" s="135"/>
      <c r="AN4035" s="132">
        <f>IF(AM4028&lt;=0,W_max,ABS(AM$23-AM4034))</f>
        <v>7174</v>
      </c>
      <c r="AO4035" s="151">
        <f>AM4023</f>
        <v>130995.5494749046</v>
      </c>
      <c r="AP4035" s="135"/>
      <c r="AQ4035" s="132">
        <f>IF(AP4028&lt;=0,W_max,ABS(AP$23-AP4034))</f>
        <v>7174</v>
      </c>
      <c r="AR4035" s="151">
        <f>AP4023</f>
        <v>146147.58810318151</v>
      </c>
      <c r="AS4035" s="135"/>
      <c r="AT4035" s="132">
        <f>IF(AS4028&lt;=0,W_max,ABS(AS$23-AS4034))</f>
        <v>7174</v>
      </c>
      <c r="AU4035" s="151">
        <f>AS4023</f>
        <v>163052.23798820027</v>
      </c>
    </row>
    <row r="4036" spans="13:47" ht="13" x14ac:dyDescent="0.25">
      <c r="M4036" s="12"/>
      <c r="N4036" s="12"/>
      <c r="O4036" s="12"/>
      <c r="P4036" s="12"/>
      <c r="Q4036" s="12"/>
      <c r="R4036" s="182"/>
      <c r="S4036" s="22"/>
      <c r="T4036" s="152"/>
      <c r="U4036" s="157"/>
      <c r="V4036" s="1"/>
      <c r="W4036" s="147"/>
      <c r="X4036" s="157"/>
      <c r="Y4036" s="1"/>
      <c r="Z4036" s="147"/>
      <c r="AA4036" s="157"/>
      <c r="AB4036" s="1"/>
      <c r="AC4036" s="147"/>
      <c r="AD4036" s="157"/>
      <c r="AE4036" s="1"/>
      <c r="AF4036" s="147"/>
      <c r="AG4036" s="157"/>
      <c r="AH4036" s="1"/>
      <c r="AI4036" s="147"/>
      <c r="AJ4036" s="157"/>
      <c r="AK4036" s="1"/>
      <c r="AL4036" s="147"/>
      <c r="AM4036" s="157"/>
      <c r="AN4036" s="1"/>
      <c r="AO4036" s="147"/>
      <c r="AP4036" s="157"/>
      <c r="AQ4036" s="1"/>
      <c r="AR4036" s="147"/>
      <c r="AS4036" s="157"/>
      <c r="AT4036" s="1"/>
      <c r="AU4036" s="147"/>
    </row>
    <row r="4037" spans="13:47" ht="14" x14ac:dyDescent="0.3">
      <c r="M4037" s="23"/>
      <c r="N4037" s="23"/>
      <c r="O4037" s="23" t="s">
        <v>238</v>
      </c>
      <c r="P4037" s="20"/>
      <c r="Q4037" s="20"/>
      <c r="R4037" s="18">
        <f>R4023*1.02</f>
        <v>3299.5492153268847</v>
      </c>
      <c r="S4037" s="128" t="s">
        <v>185</v>
      </c>
      <c r="T4037" s="153" t="s">
        <v>186</v>
      </c>
      <c r="U4037" s="143">
        <f>U4023*1.01</f>
        <v>7997.4311143763362</v>
      </c>
      <c r="V4037" s="128" t="s">
        <v>185</v>
      </c>
      <c r="W4037" s="153" t="s">
        <v>186</v>
      </c>
      <c r="X4037" s="143">
        <f>X4023*1.01</f>
        <v>19778.598851311432</v>
      </c>
      <c r="Y4037" s="128" t="s">
        <v>185</v>
      </c>
      <c r="Z4037" s="153" t="s">
        <v>186</v>
      </c>
      <c r="AA4037" s="143">
        <f>AA4023*1.01</f>
        <v>38523.662165715468</v>
      </c>
      <c r="AB4037" s="128" t="s">
        <v>185</v>
      </c>
      <c r="AC4037" s="153" t="s">
        <v>186</v>
      </c>
      <c r="AD4037" s="143">
        <f>AD4023*1.01</f>
        <v>63357.240691698891</v>
      </c>
      <c r="AE4037" s="128" t="s">
        <v>185</v>
      </c>
      <c r="AF4037" s="153" t="s">
        <v>186</v>
      </c>
      <c r="AG4037" s="143">
        <f>AG4023*1.01</f>
        <v>88863.407701383185</v>
      </c>
      <c r="AH4037" s="128" t="s">
        <v>185</v>
      </c>
      <c r="AI4037" s="153" t="s">
        <v>186</v>
      </c>
      <c r="AJ4037" s="143">
        <f>AJ4023*1.01</f>
        <v>112832.94774506401</v>
      </c>
      <c r="AK4037" s="128" t="s">
        <v>185</v>
      </c>
      <c r="AL4037" s="153" t="s">
        <v>186</v>
      </c>
      <c r="AM4037" s="143">
        <f>AM4023*1.01</f>
        <v>132305.50496965364</v>
      </c>
      <c r="AN4037" s="128" t="s">
        <v>185</v>
      </c>
      <c r="AO4037" s="153" t="s">
        <v>186</v>
      </c>
      <c r="AP4037" s="143">
        <f>AP4023*1.01</f>
        <v>147609.06398421334</v>
      </c>
      <c r="AQ4037" s="128" t="s">
        <v>185</v>
      </c>
      <c r="AR4037" s="153" t="s">
        <v>186</v>
      </c>
      <c r="AS4037" s="143">
        <f>AS4023*1.01</f>
        <v>164682.76036808226</v>
      </c>
      <c r="AT4037" s="128" t="s">
        <v>185</v>
      </c>
      <c r="AU4037" s="153" t="s">
        <v>186</v>
      </c>
    </row>
    <row r="4038" spans="13:47" ht="14" x14ac:dyDescent="0.3">
      <c r="M4038" s="12"/>
      <c r="N4038" s="12"/>
      <c r="O4038" s="20"/>
      <c r="P4038" s="20"/>
      <c r="Q4038" s="23"/>
      <c r="R4038" s="139"/>
      <c r="S4038" s="130" t="s">
        <v>228</v>
      </c>
      <c r="T4038" s="154" t="s">
        <v>187</v>
      </c>
      <c r="U4038" s="144"/>
      <c r="V4038" s="130" t="s">
        <v>228</v>
      </c>
      <c r="W4038" s="154" t="s">
        <v>187</v>
      </c>
      <c r="X4038" s="144"/>
      <c r="Y4038" s="130" t="s">
        <v>228</v>
      </c>
      <c r="Z4038" s="154" t="s">
        <v>187</v>
      </c>
      <c r="AA4038" s="144"/>
      <c r="AB4038" s="130" t="s">
        <v>228</v>
      </c>
      <c r="AC4038" s="154" t="s">
        <v>187</v>
      </c>
      <c r="AD4038" s="144"/>
      <c r="AE4038" s="130" t="s">
        <v>228</v>
      </c>
      <c r="AF4038" s="154" t="s">
        <v>187</v>
      </c>
      <c r="AG4038" s="144"/>
      <c r="AH4038" s="130" t="s">
        <v>228</v>
      </c>
      <c r="AI4038" s="154" t="s">
        <v>187</v>
      </c>
      <c r="AJ4038" s="144"/>
      <c r="AK4038" s="130" t="s">
        <v>228</v>
      </c>
      <c r="AL4038" s="154" t="s">
        <v>187</v>
      </c>
      <c r="AM4038" s="144"/>
      <c r="AN4038" s="130" t="s">
        <v>228</v>
      </c>
      <c r="AO4038" s="154" t="s">
        <v>187</v>
      </c>
      <c r="AP4038" s="144"/>
      <c r="AQ4038" s="130" t="s">
        <v>228</v>
      </c>
      <c r="AR4038" s="154" t="s">
        <v>187</v>
      </c>
      <c r="AS4038" s="144"/>
      <c r="AT4038" s="130" t="s">
        <v>228</v>
      </c>
      <c r="AU4038" s="154" t="s">
        <v>187</v>
      </c>
    </row>
    <row r="4039" spans="13:47" x14ac:dyDescent="0.25">
      <c r="M4039" s="20"/>
      <c r="N4039" s="20"/>
      <c r="O4039" s="7" t="s">
        <v>188</v>
      </c>
      <c r="P4039" s="7"/>
      <c r="Q4039" s="7"/>
      <c r="R4039" s="181">
        <f>P_1_minW-(R4037^2*R_up)+dpup_minQ</f>
        <v>96.18145664374633</v>
      </c>
      <c r="S4039" s="132"/>
      <c r="T4039" s="145"/>
      <c r="U4039" s="138">
        <f>P_1_minW-(U4037^2*R_up)+dpup_minQ</f>
        <v>75.018416544582848</v>
      </c>
      <c r="V4039" s="132"/>
      <c r="W4039" s="145"/>
      <c r="X4039" s="138">
        <f>P_1_minW-(X4037^2*R_up)+dpup_minQ</f>
        <v>-55.470041420427904</v>
      </c>
      <c r="Y4039" s="132"/>
      <c r="Z4039" s="145"/>
      <c r="AA4039" s="138">
        <f>P_1_minW-(AA4037^2*R_up)+dpup_minQ</f>
        <v>-491.26870750110584</v>
      </c>
      <c r="AB4039" s="132"/>
      <c r="AC4039" s="145"/>
      <c r="AD4039" s="138">
        <f>P_1_minW-(AD4037^2*R_up)+dpup_minQ</f>
        <v>-1500.1630310117944</v>
      </c>
      <c r="AE4039" s="132"/>
      <c r="AF4039" s="145"/>
      <c r="AG4039" s="138">
        <f>P_1_minW-(AG4037^2*R_up)+dpup_minQ</f>
        <v>-3048.3818925768105</v>
      </c>
      <c r="AH4039" s="132"/>
      <c r="AI4039" s="145"/>
      <c r="AJ4039" s="138">
        <f>P_1_minW-(AJ4037^2*R_up)+dpup_minQ</f>
        <v>-4976.2234533888968</v>
      </c>
      <c r="AK4039" s="132"/>
      <c r="AL4039" s="145"/>
      <c r="AM4039" s="138">
        <f>P_1_minW-(AM4037^2*R_up)+dpup_minQ</f>
        <v>-6879.7021333917937</v>
      </c>
      <c r="AN4039" s="132"/>
      <c r="AO4039" s="145"/>
      <c r="AP4039" s="138">
        <f>P_1_minW-(AP4037^2*R_up)+dpup_minQ</f>
        <v>-8587.8738759758526</v>
      </c>
      <c r="AQ4039" s="132"/>
      <c r="AR4039" s="145"/>
      <c r="AS4039" s="138">
        <f>P_1_minW-(AS4037^2*R_up)+dpup_minQ</f>
        <v>-10714.062335148599</v>
      </c>
      <c r="AT4039" s="132"/>
      <c r="AU4039" s="145"/>
    </row>
    <row r="4040" spans="13:47" x14ac:dyDescent="0.25">
      <c r="M4040" s="20"/>
      <c r="N4040" s="20"/>
      <c r="O4040" s="7" t="s">
        <v>189</v>
      </c>
      <c r="P4040" s="1"/>
      <c r="Q4040" s="7"/>
      <c r="R4040" s="181">
        <f>P_2_minW+(R4037^2*R_dn)-dpdn_minQ</f>
        <v>50</v>
      </c>
      <c r="S4040" s="132"/>
      <c r="T4040" s="146"/>
      <c r="U4040" s="138">
        <f>P_2_minW+(U4037^2*R_dn)-dpdn_minQ</f>
        <v>50</v>
      </c>
      <c r="V4040" s="132"/>
      <c r="W4040" s="146"/>
      <c r="X4040" s="138">
        <f>P_2_minW+(X4037^2*R_dn)-dpdn_minQ</f>
        <v>50</v>
      </c>
      <c r="Y4040" s="132"/>
      <c r="Z4040" s="146"/>
      <c r="AA4040" s="138">
        <f>P_2_minW+(AA4037^2*R_dn)-dpdn_minQ</f>
        <v>50</v>
      </c>
      <c r="AB4040" s="132"/>
      <c r="AC4040" s="146"/>
      <c r="AD4040" s="138">
        <f>P_2_minW+(AD4037^2*R_dn)-dpdn_minQ</f>
        <v>50</v>
      </c>
      <c r="AE4040" s="132"/>
      <c r="AF4040" s="146"/>
      <c r="AG4040" s="138">
        <f>P_2_minW+(AG4037^2*R_dn)-dpdn_minQ</f>
        <v>50</v>
      </c>
      <c r="AH4040" s="132"/>
      <c r="AI4040" s="146"/>
      <c r="AJ4040" s="138">
        <f>P_2_minW+(AJ4037^2*R_dn)-dpdn_minQ</f>
        <v>50</v>
      </c>
      <c r="AK4040" s="132"/>
      <c r="AL4040" s="146"/>
      <c r="AM4040" s="138">
        <f>P_2_minW+(AM4037^2*R_dn)-dpdn_minQ</f>
        <v>50</v>
      </c>
      <c r="AN4040" s="132"/>
      <c r="AO4040" s="146"/>
      <c r="AP4040" s="138">
        <f>P_2_minW+(AP4037^2*R_dn)-dpdn_minQ</f>
        <v>50</v>
      </c>
      <c r="AQ4040" s="132"/>
      <c r="AR4040" s="146"/>
      <c r="AS4040" s="138">
        <f>P_2_minW+(AS4037^2*R_dn)-dpdn_minQ</f>
        <v>50</v>
      </c>
      <c r="AT4040" s="132"/>
      <c r="AU4040" s="146"/>
    </row>
    <row r="4041" spans="13:47" x14ac:dyDescent="0.25">
      <c r="M4041" s="20"/>
      <c r="N4041" s="20"/>
      <c r="O4041" s="7" t="s">
        <v>234</v>
      </c>
      <c r="P4041" s="1"/>
      <c r="Q4041" s="7"/>
      <c r="R4041" s="179">
        <f>'Valve Sizing'!G$8*R4039/P_1_maxW</f>
        <v>0.46396222279653648</v>
      </c>
      <c r="S4041" s="132"/>
      <c r="T4041" s="146"/>
      <c r="U4041" s="143">
        <f>'Valve Sizing'!$G$8*U4039/P_1_maxW</f>
        <v>0.36187548520522617</v>
      </c>
      <c r="V4041" s="132"/>
      <c r="W4041" s="146"/>
      <c r="X4041" s="143">
        <f>'Valve Sizing'!$G$8*X4039/P_1_maxW</f>
        <v>-0.26757760397997699</v>
      </c>
      <c r="Y4041" s="132"/>
      <c r="Z4041" s="146"/>
      <c r="AA4041" s="143">
        <f>'Valve Sizing'!$G$8*AA4039/P_1_maxW</f>
        <v>-2.3697927799829648</v>
      </c>
      <c r="AB4041" s="132"/>
      <c r="AC4041" s="146"/>
      <c r="AD4041" s="143">
        <f>'Valve Sizing'!$G$8*AD4039/P_1_maxW</f>
        <v>-7.2365193740354572</v>
      </c>
      <c r="AE4041" s="132"/>
      <c r="AF4041" s="146"/>
      <c r="AG4041" s="143">
        <f>'Valve Sizing'!$G$8*AG4039/P_1_maxW</f>
        <v>-14.704851518846372</v>
      </c>
      <c r="AH4041" s="132"/>
      <c r="AI4041" s="146"/>
      <c r="AJ4041" s="143">
        <f>'Valve Sizing'!$G$8*AJ4039/P_1_maxW</f>
        <v>-24.004415977169394</v>
      </c>
      <c r="AK4041" s="132"/>
      <c r="AL4041" s="146"/>
      <c r="AM4041" s="143">
        <f>'Valve Sizing'!$G$8*AM4039/P_1_maxW</f>
        <v>-33.186458236012456</v>
      </c>
      <c r="AN4041" s="132"/>
      <c r="AO4041" s="146"/>
      <c r="AP4041" s="143">
        <f>'Valve Sizing'!$G$8*AP4039/P_1_maxW</f>
        <v>-41.426374601004035</v>
      </c>
      <c r="AQ4041" s="132"/>
      <c r="AR4041" s="146"/>
      <c r="AS4041" s="143">
        <f>'Valve Sizing'!$G$8*AS4039/P_1_maxW</f>
        <v>-51.682729183530213</v>
      </c>
      <c r="AT4041" s="132"/>
      <c r="AU4041" s="146"/>
    </row>
    <row r="4042" spans="13:47" x14ac:dyDescent="0.25">
      <c r="M4042" s="20"/>
      <c r="N4042" s="20"/>
      <c r="O4042" s="7" t="s">
        <v>190</v>
      </c>
      <c r="P4042" s="1"/>
      <c r="Q4042" s="7"/>
      <c r="R4042" s="181">
        <f>R4039-R4040</f>
        <v>46.18145664374633</v>
      </c>
      <c r="S4042" s="132"/>
      <c r="T4042" s="146"/>
      <c r="U4042" s="138">
        <f>U4039-U4040</f>
        <v>25.018416544582848</v>
      </c>
      <c r="V4042" s="132"/>
      <c r="W4042" s="146"/>
      <c r="X4042" s="138">
        <f>X4039-X4040</f>
        <v>-105.4700414204279</v>
      </c>
      <c r="Y4042" s="132"/>
      <c r="Z4042" s="146"/>
      <c r="AA4042" s="138">
        <f>AA4039-AA4040</f>
        <v>-541.26870750110584</v>
      </c>
      <c r="AB4042" s="132"/>
      <c r="AC4042" s="146"/>
      <c r="AD4042" s="138">
        <f>AD4039-AD4040</f>
        <v>-1550.1630310117944</v>
      </c>
      <c r="AE4042" s="132"/>
      <c r="AF4042" s="146"/>
      <c r="AG4042" s="138">
        <f>AG4039-AG4040</f>
        <v>-3098.3818925768105</v>
      </c>
      <c r="AH4042" s="132"/>
      <c r="AI4042" s="146"/>
      <c r="AJ4042" s="138">
        <f>AJ4039-AJ4040</f>
        <v>-5026.2234533888968</v>
      </c>
      <c r="AK4042" s="132"/>
      <c r="AL4042" s="146"/>
      <c r="AM4042" s="138">
        <f>AM4039-AM4040</f>
        <v>-6929.7021333917937</v>
      </c>
      <c r="AN4042" s="132"/>
      <c r="AO4042" s="146"/>
      <c r="AP4042" s="138">
        <f>AP4039-AP4040</f>
        <v>-8637.8738759758526</v>
      </c>
      <c r="AQ4042" s="132"/>
      <c r="AR4042" s="146"/>
      <c r="AS4042" s="138">
        <f>AS4039-AS4040</f>
        <v>-10764.062335148599</v>
      </c>
      <c r="AT4042" s="132"/>
      <c r="AU4042" s="146"/>
    </row>
    <row r="4043" spans="13:47" ht="14.5" x14ac:dyDescent="0.35">
      <c r="M4043" s="27"/>
      <c r="N4043" s="27"/>
      <c r="O4043" s="2" t="s">
        <v>191</v>
      </c>
      <c r="P4043" s="10"/>
      <c r="Q4043" s="2"/>
      <c r="R4043" s="181">
        <f>R4042/R4039</f>
        <v>0.48014927466529511</v>
      </c>
      <c r="S4043" s="132"/>
      <c r="T4043" s="146"/>
      <c r="U4043" s="138">
        <f>U4042/U4039</f>
        <v>0.33349699576389491</v>
      </c>
      <c r="V4043" s="132"/>
      <c r="W4043" s="146"/>
      <c r="X4043" s="138">
        <f>X4042/X4039</f>
        <v>1.9013874646501805</v>
      </c>
      <c r="Y4043" s="132"/>
      <c r="Z4043" s="146"/>
      <c r="AA4043" s="138">
        <f>AA4042/AA4039</f>
        <v>1.1017772946588247</v>
      </c>
      <c r="AB4043" s="132"/>
      <c r="AC4043" s="146"/>
      <c r="AD4043" s="138">
        <f>AD4042/AD4039</f>
        <v>1.033329710815682</v>
      </c>
      <c r="AE4043" s="132"/>
      <c r="AF4043" s="146"/>
      <c r="AG4043" s="138">
        <f>AG4042/AG4039</f>
        <v>1.0164021444038085</v>
      </c>
      <c r="AH4043" s="132"/>
      <c r="AI4043" s="146"/>
      <c r="AJ4043" s="138">
        <f>AJ4042/AJ4039</f>
        <v>1.0100477803033441</v>
      </c>
      <c r="AK4043" s="132"/>
      <c r="AL4043" s="146"/>
      <c r="AM4043" s="138">
        <f>AM4042/AM4039</f>
        <v>1.0072677565148229</v>
      </c>
      <c r="AN4043" s="132"/>
      <c r="AO4043" s="146"/>
      <c r="AP4043" s="138">
        <f>AP4042/AP4039</f>
        <v>1.0058221628219148</v>
      </c>
      <c r="AQ4043" s="132"/>
      <c r="AR4043" s="146"/>
      <c r="AS4043" s="138">
        <f>AS4042/AS4039</f>
        <v>1.0046667639627194</v>
      </c>
      <c r="AT4043" s="132"/>
      <c r="AU4043" s="146"/>
    </row>
    <row r="4044" spans="13:47" x14ac:dyDescent="0.25">
      <c r="M4044" s="27"/>
      <c r="N4044" s="27"/>
      <c r="O4044" s="2" t="s">
        <v>26</v>
      </c>
      <c r="P4044" s="7">
        <v>12</v>
      </c>
      <c r="Q4044" s="2"/>
      <c r="R4044" s="181">
        <f>1-R4043/(3*F_GAMMA*R$29)</f>
        <v>0.74993275566200035</v>
      </c>
      <c r="S4044" s="133"/>
      <c r="T4044" s="146"/>
      <c r="U4044" s="138">
        <f>1-U4043/(3*F_GAMMA*U$29)</f>
        <v>0.82634918502630095</v>
      </c>
      <c r="V4044" s="133"/>
      <c r="W4044" s="146"/>
      <c r="X4044" s="138">
        <f>1-X4043/(3*F_GAMMA*X$29)</f>
        <v>-4.8986191563165082E-3</v>
      </c>
      <c r="Y4044" s="133"/>
      <c r="Z4044" s="146"/>
      <c r="AA4044" s="138">
        <f>1-AA4043/(3*F_GAMMA*AA$29)</f>
        <v>0.40971768994085667</v>
      </c>
      <c r="AB4044" s="133"/>
      <c r="AC4044" s="146"/>
      <c r="AD4044" s="138">
        <f>1-AD4043/(3*F_GAMMA*AD$29)</f>
        <v>0.43120995945558771</v>
      </c>
      <c r="AE4044" s="133"/>
      <c r="AF4044" s="146"/>
      <c r="AG4044" s="138">
        <f>1-AG4043/(3*F_GAMMA*AG$29)</f>
        <v>0.40861444808794323</v>
      </c>
      <c r="AH4044" s="133"/>
      <c r="AI4044" s="146"/>
      <c r="AJ4044" s="138">
        <f>1-AJ4043/(3*F_GAMMA*AJ$29)</f>
        <v>0.37175322380244313</v>
      </c>
      <c r="AK4044" s="133"/>
      <c r="AL4044" s="146"/>
      <c r="AM4044" s="138">
        <f>1-AM4043/(3*F_GAMMA*AM$29)</f>
        <v>0.31546580178610484</v>
      </c>
      <c r="AN4044" s="133"/>
      <c r="AO4044" s="146"/>
      <c r="AP4044" s="138">
        <f>1-AP4043/(3*F_GAMMA*AP$29)</f>
        <v>0.43511840546030833</v>
      </c>
      <c r="AQ4044" s="133"/>
      <c r="AR4044" s="146"/>
      <c r="AS4044" s="138">
        <f>1-AS4043/(3*F_GAMMA*AS$29)</f>
        <v>0.14344571973217968</v>
      </c>
      <c r="AT4044" s="133"/>
      <c r="AU4044" s="146"/>
    </row>
    <row r="4045" spans="13:47" x14ac:dyDescent="0.25">
      <c r="M4045" s="27"/>
      <c r="N4045" s="27"/>
      <c r="O4045" s="2" t="s">
        <v>71</v>
      </c>
      <c r="P4045" s="85">
        <v>5</v>
      </c>
      <c r="Q4045" s="2"/>
      <c r="R4045" s="179">
        <f>R4037/((N_6*R$27*R4044)*SQRT(R4043*R4039*R4041))</f>
        <v>15.01775148096349</v>
      </c>
      <c r="S4045" s="133"/>
      <c r="T4045" s="146"/>
      <c r="U4045" s="143">
        <f>U4037/((N_6*U$27*U4044)*SQRT(U4043*U4039*U4041))</f>
        <v>50.850488156537025</v>
      </c>
      <c r="V4045" s="133"/>
      <c r="W4045" s="146"/>
      <c r="X4045" s="143">
        <f>X4037/((N_6*X$27*X4044)*SQRT(X4043*X4039*X4041))</f>
        <v>-12042.358264210226</v>
      </c>
      <c r="Y4045" s="133"/>
      <c r="Z4045" s="146"/>
      <c r="AA4045" s="143">
        <f>AA4037/((N_6*AA$27*AA4044)*SQRT(AA4043*AA4039*AA4041))</f>
        <v>41.836074017147119</v>
      </c>
      <c r="AB4045" s="133"/>
      <c r="AC4045" s="146"/>
      <c r="AD4045" s="143">
        <f>AD4037/((N_6*AD$27*AD4044)*SQRT(AD4043*AD4039*AD4041))</f>
        <v>22.370120219650786</v>
      </c>
      <c r="AE4045" s="133"/>
      <c r="AF4045" s="146"/>
      <c r="AG4045" s="143">
        <f>AG4037/((N_6*AG$27*AG4044)*SQRT(AG4043*AG4039*AG4041))</f>
        <v>16.784042495697253</v>
      </c>
      <c r="AH4045" s="133"/>
      <c r="AI4045" s="146"/>
      <c r="AJ4045" s="143">
        <f>AJ4037/((N_6*AJ$27*AJ4044)*SQRT(AJ4043*AJ4039*AJ4041))</f>
        <v>14.888790493450976</v>
      </c>
      <c r="AK4045" s="133"/>
      <c r="AL4045" s="146"/>
      <c r="AM4045" s="143">
        <f>AM4037/((N_6*AM$27*AM4044)*SQRT(AM4043*AM4039*AM4041))</f>
        <v>15.816734770468463</v>
      </c>
      <c r="AN4045" s="133"/>
      <c r="AO4045" s="146"/>
      <c r="AP4045" s="143">
        <f>AP4037/((N_6*AP$27*AP4044)*SQRT(AP4043*AP4039*AP4041))</f>
        <v>11.650558410945111</v>
      </c>
      <c r="AQ4045" s="133"/>
      <c r="AR4045" s="146"/>
      <c r="AS4045" s="143">
        <f>AS4037/((N_6*AS$27*AS4044)*SQRT(AS4043*AS4039*AS4041))</f>
        <v>41.549921138451381</v>
      </c>
      <c r="AT4045" s="133"/>
      <c r="AU4045" s="146"/>
    </row>
    <row r="4046" spans="13:47" x14ac:dyDescent="0.25">
      <c r="M4046" s="27"/>
      <c r="N4046" s="27"/>
      <c r="O4046" s="2" t="s">
        <v>73</v>
      </c>
      <c r="P4046" s="85">
        <v>5</v>
      </c>
      <c r="Q4046" s="2"/>
      <c r="R4046" s="179">
        <f>R4037/((N_6*R$27*0.667)*SQRT(R4047*R4039*R4041))</f>
        <v>14.62481678190748</v>
      </c>
      <c r="S4046" s="133"/>
      <c r="T4046" s="155"/>
      <c r="U4046" s="143">
        <f>U4037/((N_6*U$27*0.667)*SQRT(U4047*U4039*U4041))</f>
        <v>45.470730982153015</v>
      </c>
      <c r="V4046" s="133"/>
      <c r="W4046" s="155"/>
      <c r="X4046" s="143">
        <f>X4037/((N_6*X$27*0.667)*SQRT(X4047*X4039*X4041))</f>
        <v>153.56107302554187</v>
      </c>
      <c r="Y4046" s="133"/>
      <c r="Z4046" s="155"/>
      <c r="AA4046" s="143">
        <f>AA4037/((N_6*AA$27*0.667)*SQRT(AA4047*AA4039*AA4041))</f>
        <v>34.197969107820072</v>
      </c>
      <c r="AB4046" s="133"/>
      <c r="AC4046" s="155"/>
      <c r="AD4046" s="143">
        <f>AD4037/((N_6*AD$27*0.667)*SQRT(AD4047*AD4039*AD4041))</f>
        <v>18.891562793080297</v>
      </c>
      <c r="AE4046" s="133"/>
      <c r="AF4046" s="155"/>
      <c r="AG4046" s="143">
        <f>AG4037/((N_6*AG$27*0.667)*SQRT(AG4047*AG4039*AG4041))</f>
        <v>13.695580268369461</v>
      </c>
      <c r="AH4046" s="133"/>
      <c r="AI4046" s="155"/>
      <c r="AJ4046" s="143">
        <f>AJ4037/((N_6*AJ$27*0.667)*SQRT(AJ4047*AJ4039*AJ4041))</f>
        <v>11.392370222923368</v>
      </c>
      <c r="AK4046" s="133"/>
      <c r="AL4046" s="155"/>
      <c r="AM4046" s="143">
        <f>AM4037/((N_6*AM$27*0.667)*SQRT(AM4047*AM4039*AM4041))</f>
        <v>10.720165411560854</v>
      </c>
      <c r="AN4046" s="133"/>
      <c r="AO4046" s="155"/>
      <c r="AP4046" s="143">
        <f>AP4037/((N_6*AP$27*0.667)*SQRT(AP4047*AP4039*AP4041))</f>
        <v>9.8939042143159259</v>
      </c>
      <c r="AQ4046" s="133"/>
      <c r="AR4046" s="155"/>
      <c r="AS4046" s="143">
        <f>AS4037/((N_6*AS$27*0.667)*SQRT(AS4047*AS4039*AS4041))</f>
        <v>14.324188779642146</v>
      </c>
      <c r="AT4046" s="133"/>
      <c r="AU4046" s="155"/>
    </row>
    <row r="4047" spans="13:47" ht="15.5" x14ac:dyDescent="0.4">
      <c r="M4047" s="27"/>
      <c r="N4047" s="27"/>
      <c r="O4047" s="2" t="s">
        <v>192</v>
      </c>
      <c r="P4047" s="85">
        <v>10</v>
      </c>
      <c r="Q4047" s="2"/>
      <c r="R4047" s="181">
        <f>F_GAMMA*R$29</f>
        <v>0.64002688015162901</v>
      </c>
      <c r="S4047" s="133"/>
      <c r="T4047" s="155"/>
      <c r="U4047" s="138">
        <f>F_GAMMA*U$29</f>
        <v>0.64016782916606918</v>
      </c>
      <c r="V4047" s="133"/>
      <c r="W4047" s="155"/>
      <c r="X4047" s="138">
        <f>F_GAMMA*X$29</f>
        <v>0.6307062319203669</v>
      </c>
      <c r="Y4047" s="133"/>
      <c r="Z4047" s="155"/>
      <c r="AA4047" s="138">
        <f>F_GAMMA*AA$29</f>
        <v>0.62217534213893466</v>
      </c>
      <c r="AB4047" s="133"/>
      <c r="AC4047" s="155"/>
      <c r="AD4047" s="138">
        <f>F_GAMMA*AD$29</f>
        <v>0.60557184969146072</v>
      </c>
      <c r="AE4047" s="133"/>
      <c r="AF4047" s="155"/>
      <c r="AG4047" s="138">
        <f>F_GAMMA*AG$29</f>
        <v>0.57289312142622573</v>
      </c>
      <c r="AH4047" s="133"/>
      <c r="AI4047" s="155"/>
      <c r="AJ4047" s="138">
        <f>F_GAMMA*AJ$29</f>
        <v>0.53590819116049981</v>
      </c>
      <c r="AK4047" s="133"/>
      <c r="AL4047" s="155"/>
      <c r="AM4047" s="138">
        <f>F_GAMMA*AM$29</f>
        <v>0.49048815926850342</v>
      </c>
      <c r="AN4047" s="133"/>
      <c r="AO4047" s="155"/>
      <c r="AP4047" s="138">
        <f>F_GAMMA*AP$29</f>
        <v>0.59352979016280105</v>
      </c>
      <c r="AQ4047" s="133"/>
      <c r="AR4047" s="155"/>
      <c r="AS4047" s="138">
        <f>F_GAMMA*AS$29</f>
        <v>0.39097221161068291</v>
      </c>
      <c r="AT4047" s="133"/>
      <c r="AU4047" s="155"/>
    </row>
    <row r="4048" spans="13:47" x14ac:dyDescent="0.25">
      <c r="M4048" s="27"/>
      <c r="N4048" s="27"/>
      <c r="O4048" s="2" t="s">
        <v>193</v>
      </c>
      <c r="P4048" s="134"/>
      <c r="Q4048" s="2"/>
      <c r="R4048" s="181">
        <f>IF(R4043&lt;R4047,R4045,R4046)</f>
        <v>15.01775148096349</v>
      </c>
      <c r="S4048" s="133"/>
      <c r="T4048" s="155"/>
      <c r="U4048" s="138">
        <f>IF(U4043&lt;U4047,U4045,U4046)</f>
        <v>50.850488156537025</v>
      </c>
      <c r="V4048" s="133"/>
      <c r="W4048" s="155"/>
      <c r="X4048" s="138">
        <f>IF(X4043&lt;X4047,X4045,X4046)</f>
        <v>153.56107302554187</v>
      </c>
      <c r="Y4048" s="133"/>
      <c r="Z4048" s="155"/>
      <c r="AA4048" s="138">
        <f>IF(AA4043&lt;AA4047,AA4045,AA4046)</f>
        <v>34.197969107820072</v>
      </c>
      <c r="AB4048" s="133"/>
      <c r="AC4048" s="155"/>
      <c r="AD4048" s="138">
        <f>IF(AD4043&lt;AD4047,AD4045,AD4046)</f>
        <v>18.891562793080297</v>
      </c>
      <c r="AE4048" s="133"/>
      <c r="AF4048" s="155"/>
      <c r="AG4048" s="138">
        <f>IF(AG4043&lt;AG4047,AG4045,AG4046)</f>
        <v>13.695580268369461</v>
      </c>
      <c r="AH4048" s="133"/>
      <c r="AI4048" s="155"/>
      <c r="AJ4048" s="138">
        <f>IF(AJ4043&lt;AJ4047,AJ4045,AJ4046)</f>
        <v>11.392370222923368</v>
      </c>
      <c r="AK4048" s="133"/>
      <c r="AL4048" s="155"/>
      <c r="AM4048" s="138">
        <f>IF(AM4043&lt;AM4047,AM4045,AM4046)</f>
        <v>10.720165411560854</v>
      </c>
      <c r="AN4048" s="133"/>
      <c r="AO4048" s="155"/>
      <c r="AP4048" s="138">
        <f>IF(AP4043&lt;AP4047,AP4045,AP4046)</f>
        <v>9.8939042143159259</v>
      </c>
      <c r="AQ4048" s="133"/>
      <c r="AR4048" s="155"/>
      <c r="AS4048" s="138">
        <f>IF(AS4043&lt;AS4047,AS4045,AS4046)</f>
        <v>14.324188779642146</v>
      </c>
      <c r="AT4048" s="133"/>
      <c r="AU4048" s="155"/>
    </row>
    <row r="4049" spans="13:47" ht="13" x14ac:dyDescent="0.3">
      <c r="M4049" s="28"/>
      <c r="N4049" s="28"/>
      <c r="O4049" s="9" t="s">
        <v>194</v>
      </c>
      <c r="P4049" s="1"/>
      <c r="Q4049" s="1"/>
      <c r="R4049" s="135"/>
      <c r="S4049" s="132">
        <f>IF(R4042&lt;=0,W_max,ABS(R$23-R4048))</f>
        <v>13.01775148096349</v>
      </c>
      <c r="T4049" s="151">
        <f>R4037</f>
        <v>3299.5492153268847</v>
      </c>
      <c r="U4049" s="135"/>
      <c r="V4049" s="132">
        <f>IF(U4042&lt;=0,W_max,ABS(U$23-U4048))</f>
        <v>45.850488156537025</v>
      </c>
      <c r="W4049" s="151">
        <f>U4037</f>
        <v>7997.4311143763362</v>
      </c>
      <c r="X4049" s="135"/>
      <c r="Y4049" s="132">
        <f>IF(X4042&lt;=0,W_max,ABS(X$23-X4048))</f>
        <v>7174</v>
      </c>
      <c r="Z4049" s="151">
        <f>X4037</f>
        <v>19778.598851311432</v>
      </c>
      <c r="AA4049" s="135"/>
      <c r="AB4049" s="132">
        <f>IF(AA4042&lt;=0,W_max,ABS(AA$23-AA4048))</f>
        <v>7174</v>
      </c>
      <c r="AC4049" s="151">
        <f>AA4037</f>
        <v>38523.662165715468</v>
      </c>
      <c r="AD4049" s="135"/>
      <c r="AE4049" s="132">
        <f>IF(AD4042&lt;=0,W_max,ABS(AD$23-AD4048))</f>
        <v>7174</v>
      </c>
      <c r="AF4049" s="151">
        <f>AD4037</f>
        <v>63357.240691698891</v>
      </c>
      <c r="AG4049" s="135"/>
      <c r="AH4049" s="132">
        <f>IF(AG4042&lt;=0,W_max,ABS(AG$23-AG4048))</f>
        <v>7174</v>
      </c>
      <c r="AI4049" s="151">
        <f>AG4037</f>
        <v>88863.407701383185</v>
      </c>
      <c r="AJ4049" s="135"/>
      <c r="AK4049" s="132">
        <f>IF(AJ4042&lt;=0,W_max,ABS(AJ$23-AJ4048))</f>
        <v>7174</v>
      </c>
      <c r="AL4049" s="151">
        <f>AJ4037</f>
        <v>112832.94774506401</v>
      </c>
      <c r="AM4049" s="135"/>
      <c r="AN4049" s="132">
        <f>IF(AM4042&lt;=0,W_max,ABS(AM$23-AM4048))</f>
        <v>7174</v>
      </c>
      <c r="AO4049" s="151">
        <f>AM4037</f>
        <v>132305.50496965364</v>
      </c>
      <c r="AP4049" s="135"/>
      <c r="AQ4049" s="132">
        <f>IF(AP4042&lt;=0,W_max,ABS(AP$23-AP4048))</f>
        <v>7174</v>
      </c>
      <c r="AR4049" s="151">
        <f>AP4037</f>
        <v>147609.06398421334</v>
      </c>
      <c r="AS4049" s="135"/>
      <c r="AT4049" s="132">
        <f>IF(AS4042&lt;=0,W_max,ABS(AS$23-AS4048))</f>
        <v>7174</v>
      </c>
      <c r="AU4049" s="151">
        <f>AS4037</f>
        <v>164682.76036808226</v>
      </c>
    </row>
    <row r="4050" spans="13:47" ht="13" x14ac:dyDescent="0.25">
      <c r="M4050" s="12"/>
      <c r="N4050" s="12"/>
      <c r="O4050" s="2"/>
      <c r="P4050" s="85"/>
      <c r="Q4050" s="2"/>
      <c r="R4050" s="18"/>
      <c r="S4050" s="150"/>
      <c r="T4050" s="152"/>
      <c r="U4050" s="157"/>
      <c r="V4050" s="1"/>
      <c r="W4050" s="147"/>
      <c r="X4050" s="157"/>
      <c r="Y4050" s="1"/>
      <c r="Z4050" s="147"/>
      <c r="AA4050" s="157"/>
      <c r="AB4050" s="1"/>
      <c r="AC4050" s="147"/>
      <c r="AD4050" s="157"/>
      <c r="AE4050" s="1"/>
      <c r="AF4050" s="147"/>
      <c r="AG4050" s="157"/>
      <c r="AH4050" s="1"/>
      <c r="AI4050" s="147"/>
      <c r="AJ4050" s="157"/>
      <c r="AK4050" s="1"/>
      <c r="AL4050" s="147"/>
      <c r="AM4050" s="157"/>
      <c r="AN4050" s="1"/>
      <c r="AO4050" s="147"/>
      <c r="AP4050" s="157"/>
      <c r="AQ4050" s="1"/>
      <c r="AR4050" s="147"/>
      <c r="AS4050" s="157"/>
      <c r="AT4050" s="1"/>
      <c r="AU4050" s="147"/>
    </row>
    <row r="4051" spans="13:47" ht="14" x14ac:dyDescent="0.3">
      <c r="M4051" s="23"/>
      <c r="N4051" s="23"/>
      <c r="O4051" s="23" t="s">
        <v>238</v>
      </c>
      <c r="P4051" s="20"/>
      <c r="Q4051" s="20"/>
      <c r="R4051" s="181">
        <f>R4037*1.02</f>
        <v>3365.5401996334226</v>
      </c>
      <c r="S4051" s="128" t="s">
        <v>185</v>
      </c>
      <c r="T4051" s="153" t="s">
        <v>186</v>
      </c>
      <c r="U4051" s="143">
        <f>U4037*1.01</f>
        <v>8077.4054255200999</v>
      </c>
      <c r="V4051" s="128" t="s">
        <v>185</v>
      </c>
      <c r="W4051" s="153" t="s">
        <v>186</v>
      </c>
      <c r="X4051" s="143">
        <f>X4037*1.01</f>
        <v>19976.384839824546</v>
      </c>
      <c r="Y4051" s="128" t="s">
        <v>185</v>
      </c>
      <c r="Z4051" s="153" t="s">
        <v>186</v>
      </c>
      <c r="AA4051" s="143">
        <f>AA4037*1.01</f>
        <v>38908.898787372622</v>
      </c>
      <c r="AB4051" s="128" t="s">
        <v>185</v>
      </c>
      <c r="AC4051" s="153" t="s">
        <v>186</v>
      </c>
      <c r="AD4051" s="143">
        <f>AD4037*1.01</f>
        <v>63990.813098615879</v>
      </c>
      <c r="AE4051" s="128" t="s">
        <v>185</v>
      </c>
      <c r="AF4051" s="153" t="s">
        <v>186</v>
      </c>
      <c r="AG4051" s="143">
        <f>AG4037*1.01</f>
        <v>89752.041778397019</v>
      </c>
      <c r="AH4051" s="128" t="s">
        <v>185</v>
      </c>
      <c r="AI4051" s="153" t="s">
        <v>186</v>
      </c>
      <c r="AJ4051" s="143">
        <f>AJ4037*1.01</f>
        <v>113961.27722251465</v>
      </c>
      <c r="AK4051" s="128" t="s">
        <v>185</v>
      </c>
      <c r="AL4051" s="153" t="s">
        <v>186</v>
      </c>
      <c r="AM4051" s="143">
        <f>AM4037*1.01</f>
        <v>133628.56001935017</v>
      </c>
      <c r="AN4051" s="128" t="s">
        <v>185</v>
      </c>
      <c r="AO4051" s="153" t="s">
        <v>186</v>
      </c>
      <c r="AP4051" s="143">
        <f>AP4037*1.01</f>
        <v>149085.15462405546</v>
      </c>
      <c r="AQ4051" s="128" t="s">
        <v>185</v>
      </c>
      <c r="AR4051" s="153" t="s">
        <v>186</v>
      </c>
      <c r="AS4051" s="143">
        <f>AS4037*1.01</f>
        <v>166329.5879717631</v>
      </c>
      <c r="AT4051" s="128" t="s">
        <v>185</v>
      </c>
      <c r="AU4051" s="153" t="s">
        <v>186</v>
      </c>
    </row>
    <row r="4052" spans="13:47" ht="14" x14ac:dyDescent="0.3">
      <c r="M4052" s="12"/>
      <c r="N4052" s="12"/>
      <c r="O4052" s="20"/>
      <c r="P4052" s="20"/>
      <c r="Q4052" s="23"/>
      <c r="R4052" s="139"/>
      <c r="S4052" s="130" t="s">
        <v>228</v>
      </c>
      <c r="T4052" s="154" t="s">
        <v>187</v>
      </c>
      <c r="U4052" s="144"/>
      <c r="V4052" s="130" t="s">
        <v>228</v>
      </c>
      <c r="W4052" s="154" t="s">
        <v>187</v>
      </c>
      <c r="X4052" s="144"/>
      <c r="Y4052" s="130" t="s">
        <v>228</v>
      </c>
      <c r="Z4052" s="154" t="s">
        <v>187</v>
      </c>
      <c r="AA4052" s="144"/>
      <c r="AB4052" s="130" t="s">
        <v>228</v>
      </c>
      <c r="AC4052" s="154" t="s">
        <v>187</v>
      </c>
      <c r="AD4052" s="144"/>
      <c r="AE4052" s="130" t="s">
        <v>228</v>
      </c>
      <c r="AF4052" s="154" t="s">
        <v>187</v>
      </c>
      <c r="AG4052" s="144"/>
      <c r="AH4052" s="130" t="s">
        <v>228</v>
      </c>
      <c r="AI4052" s="154" t="s">
        <v>187</v>
      </c>
      <c r="AJ4052" s="144"/>
      <c r="AK4052" s="130" t="s">
        <v>228</v>
      </c>
      <c r="AL4052" s="154" t="s">
        <v>187</v>
      </c>
      <c r="AM4052" s="144"/>
      <c r="AN4052" s="130" t="s">
        <v>228</v>
      </c>
      <c r="AO4052" s="154" t="s">
        <v>187</v>
      </c>
      <c r="AP4052" s="144"/>
      <c r="AQ4052" s="130" t="s">
        <v>228</v>
      </c>
      <c r="AR4052" s="154" t="s">
        <v>187</v>
      </c>
      <c r="AS4052" s="144"/>
      <c r="AT4052" s="130" t="s">
        <v>228</v>
      </c>
      <c r="AU4052" s="154" t="s">
        <v>187</v>
      </c>
    </row>
    <row r="4053" spans="13:47" x14ac:dyDescent="0.25">
      <c r="M4053" s="20"/>
      <c r="N4053" s="20"/>
      <c r="O4053" s="7" t="s">
        <v>188</v>
      </c>
      <c r="P4053" s="7"/>
      <c r="Q4053" s="7"/>
      <c r="R4053" s="181">
        <f>P_1_minW-(R4051^2*R_up)+dpup_minQ</f>
        <v>96.006066907989918</v>
      </c>
      <c r="S4053" s="132"/>
      <c r="T4053" s="145"/>
      <c r="U4053" s="138">
        <f>P_1_minW-(U4051^2*R_up)+dpup_minQ</f>
        <v>74.50577870372075</v>
      </c>
      <c r="V4053" s="132"/>
      <c r="W4053" s="145"/>
      <c r="X4053" s="138">
        <f>P_1_minW-(X4051^2*R_up)+dpup_minQ</f>
        <v>-58.605497266386706</v>
      </c>
      <c r="Y4053" s="132"/>
      <c r="Z4053" s="145"/>
      <c r="AA4053" s="138">
        <f>P_1_minW-(AA4051^2*R_up)+dpup_minQ</f>
        <v>-503.16371653528631</v>
      </c>
      <c r="AB4053" s="132"/>
      <c r="AC4053" s="145"/>
      <c r="AD4053" s="138">
        <f>P_1_minW-(AD4051^2*R_up)+dpup_minQ</f>
        <v>-1532.3368159485397</v>
      </c>
      <c r="AE4053" s="132"/>
      <c r="AF4053" s="145"/>
      <c r="AG4053" s="138">
        <f>P_1_minW-(AG4051^2*R_up)+dpup_minQ</f>
        <v>-3111.6748766310129</v>
      </c>
      <c r="AH4053" s="132"/>
      <c r="AI4053" s="145"/>
      <c r="AJ4053" s="138">
        <f>P_1_minW-(AJ4051^2*R_up)+dpup_minQ</f>
        <v>-5078.266052815422</v>
      </c>
      <c r="AK4053" s="132"/>
      <c r="AL4053" s="145"/>
      <c r="AM4053" s="138">
        <f>P_1_minW-(AM4051^2*R_up)+dpup_minQ</f>
        <v>-7020.0046542863774</v>
      </c>
      <c r="AN4053" s="132"/>
      <c r="AO4053" s="145"/>
      <c r="AP4053" s="138">
        <f>P_1_minW-(AP4051^2*R_up)+dpup_minQ</f>
        <v>-8762.5106488963738</v>
      </c>
      <c r="AQ4053" s="132"/>
      <c r="AR4053" s="145"/>
      <c r="AS4053" s="138">
        <f>P_1_minW-(AS4051^2*R_up)+dpup_minQ</f>
        <v>-10931.435496098497</v>
      </c>
      <c r="AT4053" s="132"/>
      <c r="AU4053" s="145"/>
    </row>
    <row r="4054" spans="13:47" x14ac:dyDescent="0.25">
      <c r="M4054" s="20"/>
      <c r="N4054" s="20"/>
      <c r="O4054" s="7" t="s">
        <v>189</v>
      </c>
      <c r="P4054" s="1"/>
      <c r="Q4054" s="7"/>
      <c r="R4054" s="181">
        <f>P_2_minW+(R4051^2*R_dn)-dpdn_minQ</f>
        <v>50</v>
      </c>
      <c r="S4054" s="132"/>
      <c r="T4054" s="146"/>
      <c r="U4054" s="138">
        <f>P_2_minW+(U4051^2*R_dn)-dpdn_minQ</f>
        <v>50</v>
      </c>
      <c r="V4054" s="132"/>
      <c r="W4054" s="146"/>
      <c r="X4054" s="138">
        <f>P_2_minW+(X4051^2*R_dn)-dpdn_minQ</f>
        <v>50</v>
      </c>
      <c r="Y4054" s="132"/>
      <c r="Z4054" s="146"/>
      <c r="AA4054" s="138">
        <f>P_2_minW+(AA4051^2*R_dn)-dpdn_minQ</f>
        <v>50</v>
      </c>
      <c r="AB4054" s="132"/>
      <c r="AC4054" s="146"/>
      <c r="AD4054" s="138">
        <f>P_2_minW+(AD4051^2*R_dn)-dpdn_minQ</f>
        <v>50</v>
      </c>
      <c r="AE4054" s="132"/>
      <c r="AF4054" s="146"/>
      <c r="AG4054" s="138">
        <f>P_2_minW+(AG4051^2*R_dn)-dpdn_minQ</f>
        <v>50</v>
      </c>
      <c r="AH4054" s="132"/>
      <c r="AI4054" s="146"/>
      <c r="AJ4054" s="138">
        <f>P_2_minW+(AJ4051^2*R_dn)-dpdn_minQ</f>
        <v>50</v>
      </c>
      <c r="AK4054" s="132"/>
      <c r="AL4054" s="146"/>
      <c r="AM4054" s="138">
        <f>P_2_minW+(AM4051^2*R_dn)-dpdn_minQ</f>
        <v>50</v>
      </c>
      <c r="AN4054" s="132"/>
      <c r="AO4054" s="146"/>
      <c r="AP4054" s="138">
        <f>P_2_minW+(AP4051^2*R_dn)-dpdn_minQ</f>
        <v>50</v>
      </c>
      <c r="AQ4054" s="132"/>
      <c r="AR4054" s="146"/>
      <c r="AS4054" s="138">
        <f>P_2_minW+(AS4051^2*R_dn)-dpdn_minQ</f>
        <v>50</v>
      </c>
      <c r="AT4054" s="132"/>
      <c r="AU4054" s="146"/>
    </row>
    <row r="4055" spans="13:47" x14ac:dyDescent="0.25">
      <c r="M4055" s="20"/>
      <c r="N4055" s="20"/>
      <c r="O4055" s="7" t="s">
        <v>234</v>
      </c>
      <c r="P4055" s="1"/>
      <c r="Q4055" s="7"/>
      <c r="R4055" s="179">
        <f>'Valve Sizing'!G$8*R4053/P_1_maxW</f>
        <v>0.46311617393746535</v>
      </c>
      <c r="S4055" s="132"/>
      <c r="T4055" s="146"/>
      <c r="U4055" s="143">
        <f>'Valve Sizing'!$G$8*U4053/P_1_maxW</f>
        <v>0.3594026115304495</v>
      </c>
      <c r="V4055" s="132"/>
      <c r="W4055" s="146"/>
      <c r="X4055" s="143">
        <f>'Valve Sizing'!$G$8*X4053/P_1_maxW</f>
        <v>-0.28270248474737614</v>
      </c>
      <c r="Y4055" s="132"/>
      <c r="Z4055" s="146"/>
      <c r="AA4055" s="143">
        <f>'Valve Sizing'!$G$8*AA4053/P_1_maxW</f>
        <v>-2.4271721857880242</v>
      </c>
      <c r="AB4055" s="132"/>
      <c r="AC4055" s="146"/>
      <c r="AD4055" s="143">
        <f>'Valve Sizing'!$G$8*AD4053/P_1_maxW</f>
        <v>-7.3917199843809716</v>
      </c>
      <c r="AE4055" s="132"/>
      <c r="AF4055" s="146"/>
      <c r="AG4055" s="143">
        <f>'Valve Sizing'!$G$8*AG4053/P_1_maxW</f>
        <v>-15.010165605302586</v>
      </c>
      <c r="AH4055" s="132"/>
      <c r="AI4055" s="146"/>
      <c r="AJ4055" s="143">
        <f>'Valve Sizing'!$G$8*AJ4053/P_1_maxW</f>
        <v>-24.496651309237897</v>
      </c>
      <c r="AK4055" s="132"/>
      <c r="AL4055" s="146"/>
      <c r="AM4055" s="143">
        <f>'Valve Sizing'!$G$8*AM4053/P_1_maxW</f>
        <v>-33.863252617483717</v>
      </c>
      <c r="AN4055" s="132"/>
      <c r="AO4055" s="146"/>
      <c r="AP4055" s="143">
        <f>'Valve Sizing'!$G$8*AP4053/P_1_maxW</f>
        <v>-42.268791301411611</v>
      </c>
      <c r="AQ4055" s="132"/>
      <c r="AR4055" s="146"/>
      <c r="AS4055" s="143">
        <f>'Valve Sizing'!$G$8*AS4053/P_1_maxW</f>
        <v>-52.731298611046576</v>
      </c>
      <c r="AT4055" s="132"/>
      <c r="AU4055" s="146"/>
    </row>
    <row r="4056" spans="13:47" x14ac:dyDescent="0.25">
      <c r="M4056" s="20"/>
      <c r="N4056" s="20"/>
      <c r="O4056" s="7" t="s">
        <v>190</v>
      </c>
      <c r="P4056" s="1"/>
      <c r="Q4056" s="7"/>
      <c r="R4056" s="181">
        <f>R4053-R4054</f>
        <v>46.006066907989918</v>
      </c>
      <c r="S4056" s="132"/>
      <c r="T4056" s="146"/>
      <c r="U4056" s="138">
        <f>U4053-U4054</f>
        <v>24.50577870372075</v>
      </c>
      <c r="V4056" s="132"/>
      <c r="W4056" s="146"/>
      <c r="X4056" s="138">
        <f>X4053-X4054</f>
        <v>-108.60549726638671</v>
      </c>
      <c r="Y4056" s="132"/>
      <c r="Z4056" s="146"/>
      <c r="AA4056" s="138">
        <f>AA4053-AA4054</f>
        <v>-553.16371653528631</v>
      </c>
      <c r="AB4056" s="132"/>
      <c r="AC4056" s="146"/>
      <c r="AD4056" s="138">
        <f>AD4053-AD4054</f>
        <v>-1582.3368159485397</v>
      </c>
      <c r="AE4056" s="132"/>
      <c r="AF4056" s="146"/>
      <c r="AG4056" s="138">
        <f>AG4053-AG4054</f>
        <v>-3161.6748766310129</v>
      </c>
      <c r="AH4056" s="132"/>
      <c r="AI4056" s="146"/>
      <c r="AJ4056" s="138">
        <f>AJ4053-AJ4054</f>
        <v>-5128.266052815422</v>
      </c>
      <c r="AK4056" s="132"/>
      <c r="AL4056" s="146"/>
      <c r="AM4056" s="138">
        <f>AM4053-AM4054</f>
        <v>-7070.0046542863774</v>
      </c>
      <c r="AN4056" s="132"/>
      <c r="AO4056" s="146"/>
      <c r="AP4056" s="138">
        <f>AP4053-AP4054</f>
        <v>-8812.5106488963738</v>
      </c>
      <c r="AQ4056" s="132"/>
      <c r="AR4056" s="146"/>
      <c r="AS4056" s="138">
        <f>AS4053-AS4054</f>
        <v>-10981.435496098497</v>
      </c>
      <c r="AT4056" s="132"/>
      <c r="AU4056" s="146"/>
    </row>
    <row r="4057" spans="13:47" ht="14.5" x14ac:dyDescent="0.35">
      <c r="M4057" s="27"/>
      <c r="N4057" s="27"/>
      <c r="O4057" s="2" t="s">
        <v>191</v>
      </c>
      <c r="P4057" s="10"/>
      <c r="Q4057" s="2"/>
      <c r="R4057" s="181">
        <f>R4056/R4053</f>
        <v>0.47919957966907561</v>
      </c>
      <c r="S4057" s="132"/>
      <c r="T4057" s="146"/>
      <c r="U4057" s="138">
        <f>U4056/U4053</f>
        <v>0.32891111441396093</v>
      </c>
      <c r="V4057" s="132"/>
      <c r="W4057" s="146"/>
      <c r="X4057" s="138">
        <f>X4056/X4053</f>
        <v>1.8531622856594647</v>
      </c>
      <c r="Y4057" s="132"/>
      <c r="Z4057" s="146"/>
      <c r="AA4057" s="138">
        <f>AA4056/AA4053</f>
        <v>1.0993712351603826</v>
      </c>
      <c r="AB4057" s="132"/>
      <c r="AC4057" s="146"/>
      <c r="AD4057" s="138">
        <f>AD4056/AD4053</f>
        <v>1.0326299019116429</v>
      </c>
      <c r="AE4057" s="132"/>
      <c r="AF4057" s="146"/>
      <c r="AG4057" s="138">
        <f>AG4056/AG4053</f>
        <v>1.0160685167899464</v>
      </c>
      <c r="AH4057" s="132"/>
      <c r="AI4057" s="146"/>
      <c r="AJ4057" s="138">
        <f>AJ4056/AJ4053</f>
        <v>1.0098458803615222</v>
      </c>
      <c r="AK4057" s="132"/>
      <c r="AL4057" s="146"/>
      <c r="AM4057" s="138">
        <f>AM4056/AM4053</f>
        <v>1.0071225024002612</v>
      </c>
      <c r="AN4057" s="132"/>
      <c r="AO4057" s="146"/>
      <c r="AP4057" s="138">
        <f>AP4056/AP4053</f>
        <v>1.0057061271596055</v>
      </c>
      <c r="AQ4057" s="132"/>
      <c r="AR4057" s="146"/>
      <c r="AS4057" s="138">
        <f>AS4056/AS4053</f>
        <v>1.0045739646927292</v>
      </c>
      <c r="AT4057" s="132"/>
      <c r="AU4057" s="146"/>
    </row>
    <row r="4058" spans="13:47" x14ac:dyDescent="0.25">
      <c r="M4058" s="27"/>
      <c r="N4058" s="27"/>
      <c r="O4058" s="2" t="s">
        <v>26</v>
      </c>
      <c r="P4058" s="7">
        <v>12</v>
      </c>
      <c r="Q4058" s="2"/>
      <c r="R4058" s="181">
        <f>1-R4057/(3*F_GAMMA*R$29)</f>
        <v>0.75042736769870855</v>
      </c>
      <c r="S4058" s="133"/>
      <c r="T4058" s="146"/>
      <c r="U4058" s="138">
        <f>1-U4057/(3*F_GAMMA*U$29)</f>
        <v>0.82873703872184823</v>
      </c>
      <c r="V4058" s="133"/>
      <c r="W4058" s="146"/>
      <c r="X4058" s="138">
        <f>1-X4057/(3*F_GAMMA*X$29)</f>
        <v>2.0588777114728396E-2</v>
      </c>
      <c r="Y4058" s="133"/>
      <c r="Z4058" s="146"/>
      <c r="AA4058" s="138">
        <f>1-AA4057/(3*F_GAMMA*AA$29)</f>
        <v>0.41100674750790334</v>
      </c>
      <c r="AB4058" s="133"/>
      <c r="AC4058" s="146"/>
      <c r="AD4058" s="138">
        <f>1-AD4057/(3*F_GAMMA*AD$29)</f>
        <v>0.43159516500105444</v>
      </c>
      <c r="AE4058" s="133"/>
      <c r="AF4058" s="146"/>
      <c r="AG4058" s="138">
        <f>1-AG4057/(3*F_GAMMA*AG$29)</f>
        <v>0.40880856667736498</v>
      </c>
      <c r="AH4058" s="133"/>
      <c r="AI4058" s="146"/>
      <c r="AJ4058" s="138">
        <f>1-AJ4057/(3*F_GAMMA*AJ$29)</f>
        <v>0.37187880497794545</v>
      </c>
      <c r="AK4058" s="133"/>
      <c r="AL4058" s="146"/>
      <c r="AM4058" s="138">
        <f>1-AM4057/(3*F_GAMMA*AM$29)</f>
        <v>0.3155645157657847</v>
      </c>
      <c r="AN4058" s="133"/>
      <c r="AO4058" s="146"/>
      <c r="AP4058" s="138">
        <f>1-AP4057/(3*F_GAMMA*AP$29)</f>
        <v>0.43518357245738948</v>
      </c>
      <c r="AQ4058" s="133"/>
      <c r="AR4058" s="146"/>
      <c r="AS4058" s="138">
        <f>1-AS4057/(3*F_GAMMA*AS$29)</f>
        <v>0.14352483811726713</v>
      </c>
      <c r="AT4058" s="133"/>
      <c r="AU4058" s="146"/>
    </row>
    <row r="4059" spans="13:47" x14ac:dyDescent="0.25">
      <c r="M4059" s="27"/>
      <c r="N4059" s="27"/>
      <c r="O4059" s="2" t="s">
        <v>71</v>
      </c>
      <c r="P4059" s="85">
        <v>5</v>
      </c>
      <c r="Q4059" s="2"/>
      <c r="R4059" s="179">
        <f>R4051/((N_6*R$27*R4058)*SQRT(R4057*R4053*R4055))</f>
        <v>15.351165016419378</v>
      </c>
      <c r="S4059" s="133"/>
      <c r="T4059" s="146"/>
      <c r="U4059" s="143">
        <f>U4051/((N_6*U$27*U4058)*SQRT(U4057*U4053*U4055))</f>
        <v>51.921589280779919</v>
      </c>
      <c r="V4059" s="133"/>
      <c r="W4059" s="146"/>
      <c r="X4059" s="143">
        <f>X4051/((N_6*X$27*X4058)*SQRT(X4057*X4053*X4055))</f>
        <v>2774.4363325391041</v>
      </c>
      <c r="Y4059" s="133"/>
      <c r="Z4059" s="146"/>
      <c r="AA4059" s="143">
        <f>AA4051/((N_6*AA$27*AA4058)*SQRT(AA4057*AA4053*AA4055))</f>
        <v>41.171109409656403</v>
      </c>
      <c r="AB4059" s="133"/>
      <c r="AC4059" s="146"/>
      <c r="AD4059" s="143">
        <f>AD4051/((N_6*AD$27*AD4058)*SQRT(AD4057*AD4053*AD4055))</f>
        <v>22.107174366515949</v>
      </c>
      <c r="AE4059" s="133"/>
      <c r="AF4059" s="146"/>
      <c r="AG4059" s="143">
        <f>AG4051/((N_6*AG$27*AG4058)*SQRT(AG4057*AG4053*AG4055))</f>
        <v>16.60191261783854</v>
      </c>
      <c r="AH4059" s="133"/>
      <c r="AI4059" s="146"/>
      <c r="AJ4059" s="143">
        <f>AJ4051/((N_6*AJ$27*AJ4058)*SQRT(AJ4057*AJ4053*AJ4055))</f>
        <v>14.73200790527749</v>
      </c>
      <c r="AK4059" s="133"/>
      <c r="AL4059" s="146"/>
      <c r="AM4059" s="143">
        <f>AM4051/((N_6*AM$27*AM4058)*SQRT(AM4057*AM4053*AM4055))</f>
        <v>15.651857352904232</v>
      </c>
      <c r="AN4059" s="133"/>
      <c r="AO4059" s="146"/>
      <c r="AP4059" s="143">
        <f>AP4051/((N_6*AP$27*AP4058)*SQRT(AP4057*AP4053*AP4055))</f>
        <v>11.531484721600613</v>
      </c>
      <c r="AQ4059" s="133"/>
      <c r="AR4059" s="146"/>
      <c r="AS4059" s="143">
        <f>AS4051/((N_6*AS$27*AS4058)*SQRT(AS4057*AS4053*AS4055))</f>
        <v>41.110157116187224</v>
      </c>
      <c r="AT4059" s="133"/>
      <c r="AU4059" s="146"/>
    </row>
    <row r="4060" spans="13:47" x14ac:dyDescent="0.25">
      <c r="M4060" s="27"/>
      <c r="N4060" s="27"/>
      <c r="O4060" s="2" t="s">
        <v>73</v>
      </c>
      <c r="P4060" s="85">
        <v>5</v>
      </c>
      <c r="Q4060" s="2"/>
      <c r="R4060" s="179">
        <f>R4051/((N_6*R$27*0.667)*SQRT(R4061*R4053*R4055))</f>
        <v>14.9445649745391</v>
      </c>
      <c r="S4060" s="133"/>
      <c r="T4060" s="155"/>
      <c r="U4060" s="143">
        <f>U4051/((N_6*U$27*0.667)*SQRT(U4061*U4053*U4055))</f>
        <v>46.241428782058065</v>
      </c>
      <c r="V4060" s="133"/>
      <c r="W4060" s="155"/>
      <c r="X4060" s="143">
        <f>X4051/((N_6*X$27*0.667)*SQRT(X4061*X4053*X4055))</f>
        <v>146.79884777702378</v>
      </c>
      <c r="Y4060" s="133"/>
      <c r="Z4060" s="155"/>
      <c r="AA4060" s="143">
        <f>AA4051/((N_6*AA$27*0.667)*SQRT(AA4061*AA4053*AA4055))</f>
        <v>33.723409391343004</v>
      </c>
      <c r="AB4060" s="133"/>
      <c r="AC4060" s="155"/>
      <c r="AD4060" s="143">
        <f>AD4051/((N_6*AD$27*0.667)*SQRT(AD4061*AD4053*AD4055))</f>
        <v>18.679854222193676</v>
      </c>
      <c r="AE4060" s="133"/>
      <c r="AF4060" s="155"/>
      <c r="AG4060" s="143">
        <f>AG4051/((N_6*AG$27*0.667)*SQRT(AG4061*AG4053*AG4055))</f>
        <v>13.551175543464153</v>
      </c>
      <c r="AH4060" s="133"/>
      <c r="AI4060" s="155"/>
      <c r="AJ4060" s="143">
        <f>AJ4051/((N_6*AJ$27*0.667)*SQRT(AJ4061*AJ4053*AJ4055))</f>
        <v>11.275086633199621</v>
      </c>
      <c r="AK4060" s="133"/>
      <c r="AL4060" s="155"/>
      <c r="AM4060" s="143">
        <f>AM4051/((N_6*AM$27*0.667)*SQRT(AM4061*AM4053*AM4055))</f>
        <v>10.610970215706024</v>
      </c>
      <c r="AN4060" s="133"/>
      <c r="AO4060" s="155"/>
      <c r="AP4060" s="143">
        <f>AP4051/((N_6*AP$27*0.667)*SQRT(AP4061*AP4053*AP4055))</f>
        <v>9.7936859636998008</v>
      </c>
      <c r="AQ4060" s="133"/>
      <c r="AR4060" s="155"/>
      <c r="AS4060" s="143">
        <f>AS4051/((N_6*AS$27*0.667)*SQRT(AS4061*AS4053*AS4055))</f>
        <v>14.179743735916446</v>
      </c>
      <c r="AT4060" s="133"/>
      <c r="AU4060" s="155"/>
    </row>
    <row r="4061" spans="13:47" ht="15.5" x14ac:dyDescent="0.4">
      <c r="M4061" s="27"/>
      <c r="N4061" s="27"/>
      <c r="O4061" s="2" t="s">
        <v>192</v>
      </c>
      <c r="P4061" s="85">
        <v>10</v>
      </c>
      <c r="Q4061" s="2"/>
      <c r="R4061" s="181">
        <f>F_GAMMA*R$29</f>
        <v>0.64002688015162901</v>
      </c>
      <c r="S4061" s="133"/>
      <c r="T4061" s="155"/>
      <c r="U4061" s="138">
        <f>F_GAMMA*U$29</f>
        <v>0.64016782916606918</v>
      </c>
      <c r="V4061" s="133"/>
      <c r="W4061" s="155"/>
      <c r="X4061" s="138">
        <f>F_GAMMA*X$29</f>
        <v>0.6307062319203669</v>
      </c>
      <c r="Y4061" s="133"/>
      <c r="Z4061" s="155"/>
      <c r="AA4061" s="138">
        <f>F_GAMMA*AA$29</f>
        <v>0.62217534213893466</v>
      </c>
      <c r="AB4061" s="133"/>
      <c r="AC4061" s="155"/>
      <c r="AD4061" s="138">
        <f>F_GAMMA*AD$29</f>
        <v>0.60557184969146072</v>
      </c>
      <c r="AE4061" s="133"/>
      <c r="AF4061" s="155"/>
      <c r="AG4061" s="138">
        <f>F_GAMMA*AG$29</f>
        <v>0.57289312142622573</v>
      </c>
      <c r="AH4061" s="133"/>
      <c r="AI4061" s="155"/>
      <c r="AJ4061" s="138">
        <f>F_GAMMA*AJ$29</f>
        <v>0.53590819116049981</v>
      </c>
      <c r="AK4061" s="133"/>
      <c r="AL4061" s="155"/>
      <c r="AM4061" s="138">
        <f>F_GAMMA*AM$29</f>
        <v>0.49048815926850342</v>
      </c>
      <c r="AN4061" s="133"/>
      <c r="AO4061" s="155"/>
      <c r="AP4061" s="138">
        <f>F_GAMMA*AP$29</f>
        <v>0.59352979016280105</v>
      </c>
      <c r="AQ4061" s="133"/>
      <c r="AR4061" s="155"/>
      <c r="AS4061" s="138">
        <f>F_GAMMA*AS$29</f>
        <v>0.39097221161068291</v>
      </c>
      <c r="AT4061" s="133"/>
      <c r="AU4061" s="155"/>
    </row>
    <row r="4062" spans="13:47" x14ac:dyDescent="0.25">
      <c r="M4062" s="27"/>
      <c r="N4062" s="27"/>
      <c r="O4062" s="2" t="s">
        <v>193</v>
      </c>
      <c r="P4062" s="134"/>
      <c r="Q4062" s="2"/>
      <c r="R4062" s="181">
        <f>IF(R4057&lt;R4061,R4059,R4060)</f>
        <v>15.351165016419378</v>
      </c>
      <c r="S4062" s="133"/>
      <c r="T4062" s="155"/>
      <c r="U4062" s="138">
        <f>IF(U4057&lt;U4061,U4059,U4060)</f>
        <v>51.921589280779919</v>
      </c>
      <c r="V4062" s="133"/>
      <c r="W4062" s="155"/>
      <c r="X4062" s="138">
        <f>IF(X4057&lt;X4061,X4059,X4060)</f>
        <v>146.79884777702378</v>
      </c>
      <c r="Y4062" s="133"/>
      <c r="Z4062" s="155"/>
      <c r="AA4062" s="138">
        <f>IF(AA4057&lt;AA4061,AA4059,AA4060)</f>
        <v>33.723409391343004</v>
      </c>
      <c r="AB4062" s="133"/>
      <c r="AC4062" s="155"/>
      <c r="AD4062" s="138">
        <f>IF(AD4057&lt;AD4061,AD4059,AD4060)</f>
        <v>18.679854222193676</v>
      </c>
      <c r="AE4062" s="133"/>
      <c r="AF4062" s="155"/>
      <c r="AG4062" s="138">
        <f>IF(AG4057&lt;AG4061,AG4059,AG4060)</f>
        <v>13.551175543464153</v>
      </c>
      <c r="AH4062" s="133"/>
      <c r="AI4062" s="155"/>
      <c r="AJ4062" s="138">
        <f>IF(AJ4057&lt;AJ4061,AJ4059,AJ4060)</f>
        <v>11.275086633199621</v>
      </c>
      <c r="AK4062" s="133"/>
      <c r="AL4062" s="155"/>
      <c r="AM4062" s="138">
        <f>IF(AM4057&lt;AM4061,AM4059,AM4060)</f>
        <v>10.610970215706024</v>
      </c>
      <c r="AN4062" s="133"/>
      <c r="AO4062" s="155"/>
      <c r="AP4062" s="138">
        <f>IF(AP4057&lt;AP4061,AP4059,AP4060)</f>
        <v>9.7936859636998008</v>
      </c>
      <c r="AQ4062" s="133"/>
      <c r="AR4062" s="155"/>
      <c r="AS4062" s="138">
        <f>IF(AS4057&lt;AS4061,AS4059,AS4060)</f>
        <v>14.179743735916446</v>
      </c>
      <c r="AT4062" s="133"/>
      <c r="AU4062" s="155"/>
    </row>
    <row r="4063" spans="13:47" ht="13" x14ac:dyDescent="0.3">
      <c r="M4063" s="28"/>
      <c r="N4063" s="28"/>
      <c r="O4063" s="9" t="s">
        <v>194</v>
      </c>
      <c r="P4063" s="1"/>
      <c r="Q4063" s="1"/>
      <c r="R4063" s="135"/>
      <c r="S4063" s="132">
        <f>IF(R4056&lt;=0,W_max,ABS(R$23-R4062))</f>
        <v>13.351165016419378</v>
      </c>
      <c r="T4063" s="151">
        <f>R4051</f>
        <v>3365.5401996334226</v>
      </c>
      <c r="U4063" s="135"/>
      <c r="V4063" s="132">
        <f>IF(U4056&lt;=0,W_max,ABS(U$23-U4062))</f>
        <v>46.921589280779919</v>
      </c>
      <c r="W4063" s="151">
        <f>U4051</f>
        <v>8077.4054255200999</v>
      </c>
      <c r="X4063" s="135"/>
      <c r="Y4063" s="132">
        <f>IF(X4056&lt;=0,W_max,ABS(X$23-X4062))</f>
        <v>7174</v>
      </c>
      <c r="Z4063" s="151">
        <f>X4051</f>
        <v>19976.384839824546</v>
      </c>
      <c r="AA4063" s="135"/>
      <c r="AB4063" s="132">
        <f>IF(AA4056&lt;=0,W_max,ABS(AA$23-AA4062))</f>
        <v>7174</v>
      </c>
      <c r="AC4063" s="151">
        <f>AA4051</f>
        <v>38908.898787372622</v>
      </c>
      <c r="AD4063" s="135"/>
      <c r="AE4063" s="132">
        <f>IF(AD4056&lt;=0,W_max,ABS(AD$23-AD4062))</f>
        <v>7174</v>
      </c>
      <c r="AF4063" s="151">
        <f>AD4051</f>
        <v>63990.813098615879</v>
      </c>
      <c r="AG4063" s="135"/>
      <c r="AH4063" s="132">
        <f>IF(AG4056&lt;=0,W_max,ABS(AG$23-AG4062))</f>
        <v>7174</v>
      </c>
      <c r="AI4063" s="151">
        <f>AG4051</f>
        <v>89752.041778397019</v>
      </c>
      <c r="AJ4063" s="135"/>
      <c r="AK4063" s="132">
        <f>IF(AJ4056&lt;=0,W_max,ABS(AJ$23-AJ4062))</f>
        <v>7174</v>
      </c>
      <c r="AL4063" s="151">
        <f>AJ4051</f>
        <v>113961.27722251465</v>
      </c>
      <c r="AM4063" s="135"/>
      <c r="AN4063" s="132">
        <f>IF(AM4056&lt;=0,W_max,ABS(AM$23-AM4062))</f>
        <v>7174</v>
      </c>
      <c r="AO4063" s="151">
        <f>AM4051</f>
        <v>133628.56001935017</v>
      </c>
      <c r="AP4063" s="135"/>
      <c r="AQ4063" s="132">
        <f>IF(AP4056&lt;=0,W_max,ABS(AP$23-AP4062))</f>
        <v>7174</v>
      </c>
      <c r="AR4063" s="151">
        <f>AP4051</f>
        <v>149085.15462405546</v>
      </c>
      <c r="AS4063" s="135"/>
      <c r="AT4063" s="132">
        <f>IF(AS4056&lt;=0,W_max,ABS(AS$23-AS4062))</f>
        <v>7174</v>
      </c>
      <c r="AU4063" s="151">
        <f>AS4051</f>
        <v>166329.5879717631</v>
      </c>
    </row>
    <row r="4064" spans="13:47" ht="13" x14ac:dyDescent="0.25">
      <c r="M4064" s="12"/>
      <c r="N4064" s="12"/>
      <c r="O4064" s="2"/>
      <c r="P4064" s="85"/>
      <c r="Q4064" s="2"/>
      <c r="R4064" s="18"/>
      <c r="S4064" s="150"/>
      <c r="T4064" s="148"/>
      <c r="U4064" s="157"/>
      <c r="V4064" s="1"/>
      <c r="W4064" s="147"/>
      <c r="X4064" s="157"/>
      <c r="Y4064" s="1"/>
      <c r="Z4064" s="147"/>
      <c r="AA4064" s="157"/>
      <c r="AB4064" s="1"/>
      <c r="AC4064" s="147"/>
      <c r="AD4064" s="157"/>
      <c r="AE4064" s="1"/>
      <c r="AF4064" s="147"/>
      <c r="AG4064" s="157"/>
      <c r="AH4064" s="1"/>
      <c r="AI4064" s="147"/>
      <c r="AJ4064" s="157"/>
      <c r="AK4064" s="1"/>
      <c r="AL4064" s="147"/>
      <c r="AM4064" s="157"/>
      <c r="AN4064" s="1"/>
      <c r="AO4064" s="147"/>
      <c r="AP4064" s="157"/>
      <c r="AQ4064" s="1"/>
      <c r="AR4064" s="147"/>
      <c r="AS4064" s="157"/>
      <c r="AT4064" s="1"/>
      <c r="AU4064" s="147"/>
    </row>
    <row r="4065" spans="13:47" ht="14" x14ac:dyDescent="0.3">
      <c r="M4065" s="23"/>
      <c r="N4065" s="23"/>
      <c r="O4065" s="23" t="s">
        <v>238</v>
      </c>
      <c r="P4065" s="20"/>
      <c r="Q4065" s="20"/>
      <c r="R4065" s="181">
        <f>R4051*1.02</f>
        <v>3432.8510036260909</v>
      </c>
      <c r="S4065" s="128" t="s">
        <v>185</v>
      </c>
      <c r="T4065" s="149" t="s">
        <v>186</v>
      </c>
      <c r="U4065" s="143">
        <f>U4051*1.01</f>
        <v>8158.1794797753009</v>
      </c>
      <c r="V4065" s="128" t="s">
        <v>185</v>
      </c>
      <c r="W4065" s="153" t="s">
        <v>186</v>
      </c>
      <c r="X4065" s="143">
        <f>X4051*1.01</f>
        <v>20176.148688222791</v>
      </c>
      <c r="Y4065" s="128" t="s">
        <v>185</v>
      </c>
      <c r="Z4065" s="153" t="s">
        <v>186</v>
      </c>
      <c r="AA4065" s="143">
        <f>AA4051*1.01</f>
        <v>39297.987775246351</v>
      </c>
      <c r="AB4065" s="128" t="s">
        <v>185</v>
      </c>
      <c r="AC4065" s="153" t="s">
        <v>186</v>
      </c>
      <c r="AD4065" s="143">
        <f>AD4051*1.01</f>
        <v>64630.721229602037</v>
      </c>
      <c r="AE4065" s="128" t="s">
        <v>185</v>
      </c>
      <c r="AF4065" s="153" t="s">
        <v>186</v>
      </c>
      <c r="AG4065" s="143">
        <f>AG4051*1.01</f>
        <v>90649.562196180996</v>
      </c>
      <c r="AH4065" s="128" t="s">
        <v>185</v>
      </c>
      <c r="AI4065" s="153" t="s">
        <v>186</v>
      </c>
      <c r="AJ4065" s="143">
        <f>AJ4051*1.01</f>
        <v>115100.88999473979</v>
      </c>
      <c r="AK4065" s="128" t="s">
        <v>185</v>
      </c>
      <c r="AL4065" s="153" t="s">
        <v>186</v>
      </c>
      <c r="AM4065" s="143">
        <f>AM4051*1.01</f>
        <v>134964.84561954369</v>
      </c>
      <c r="AN4065" s="128" t="s">
        <v>185</v>
      </c>
      <c r="AO4065" s="153" t="s">
        <v>186</v>
      </c>
      <c r="AP4065" s="143">
        <f>AP4051*1.01</f>
        <v>150576.00617029602</v>
      </c>
      <c r="AQ4065" s="128" t="s">
        <v>185</v>
      </c>
      <c r="AR4065" s="153" t="s">
        <v>186</v>
      </c>
      <c r="AS4065" s="143">
        <f>AS4051*1.01</f>
        <v>167992.88385148073</v>
      </c>
      <c r="AT4065" s="128" t="s">
        <v>185</v>
      </c>
      <c r="AU4065" s="153" t="s">
        <v>186</v>
      </c>
    </row>
    <row r="4066" spans="13:47" ht="14" x14ac:dyDescent="0.3">
      <c r="M4066" s="12"/>
      <c r="N4066" s="12"/>
      <c r="O4066" s="20"/>
      <c r="P4066" s="20"/>
      <c r="Q4066" s="23"/>
      <c r="R4066" s="139"/>
      <c r="S4066" s="130" t="s">
        <v>228</v>
      </c>
      <c r="T4066" s="131" t="s">
        <v>187</v>
      </c>
      <c r="U4066" s="144"/>
      <c r="V4066" s="130" t="s">
        <v>228</v>
      </c>
      <c r="W4066" s="154" t="s">
        <v>187</v>
      </c>
      <c r="X4066" s="144"/>
      <c r="Y4066" s="130" t="s">
        <v>228</v>
      </c>
      <c r="Z4066" s="154" t="s">
        <v>187</v>
      </c>
      <c r="AA4066" s="144"/>
      <c r="AB4066" s="130" t="s">
        <v>228</v>
      </c>
      <c r="AC4066" s="154" t="s">
        <v>187</v>
      </c>
      <c r="AD4066" s="144"/>
      <c r="AE4066" s="130" t="s">
        <v>228</v>
      </c>
      <c r="AF4066" s="154" t="s">
        <v>187</v>
      </c>
      <c r="AG4066" s="144"/>
      <c r="AH4066" s="130" t="s">
        <v>228</v>
      </c>
      <c r="AI4066" s="154" t="s">
        <v>187</v>
      </c>
      <c r="AJ4066" s="144"/>
      <c r="AK4066" s="130" t="s">
        <v>228</v>
      </c>
      <c r="AL4066" s="154" t="s">
        <v>187</v>
      </c>
      <c r="AM4066" s="144"/>
      <c r="AN4066" s="130" t="s">
        <v>228</v>
      </c>
      <c r="AO4066" s="154" t="s">
        <v>187</v>
      </c>
      <c r="AP4066" s="144"/>
      <c r="AQ4066" s="130" t="s">
        <v>228</v>
      </c>
      <c r="AR4066" s="154" t="s">
        <v>187</v>
      </c>
      <c r="AS4066" s="144"/>
      <c r="AT4066" s="130" t="s">
        <v>228</v>
      </c>
      <c r="AU4066" s="154" t="s">
        <v>187</v>
      </c>
    </row>
    <row r="4067" spans="13:47" x14ac:dyDescent="0.25">
      <c r="M4067" s="20"/>
      <c r="N4067" s="20"/>
      <c r="O4067" s="7" t="s">
        <v>188</v>
      </c>
      <c r="P4067" s="7"/>
      <c r="Q4067" s="7"/>
      <c r="R4067" s="181">
        <f>P_1_minW-(R4065^2*R_up)+dpup_minQ</f>
        <v>95.823591426908962</v>
      </c>
      <c r="S4067" s="132"/>
      <c r="T4067" s="145"/>
      <c r="U4067" s="138">
        <f>P_1_minW-(U4065^2*R_up)+dpup_minQ</f>
        <v>73.982836842257328</v>
      </c>
      <c r="V4067" s="132"/>
      <c r="W4067" s="145"/>
      <c r="X4067" s="138">
        <f>P_1_minW-(X4065^2*R_up)+dpup_minQ</f>
        <v>-61.803975774849263</v>
      </c>
      <c r="Y4067" s="132"/>
      <c r="Z4067" s="145"/>
      <c r="AA4067" s="138">
        <f>P_1_minW-(AA4065^2*R_up)+dpup_minQ</f>
        <v>-515.29781525105386</v>
      </c>
      <c r="AB4067" s="132"/>
      <c r="AC4067" s="145"/>
      <c r="AD4067" s="138">
        <f>P_1_minW-(AD4065^2*R_up)+dpup_minQ</f>
        <v>-1565.1572939625132</v>
      </c>
      <c r="AE4067" s="132"/>
      <c r="AF4067" s="145"/>
      <c r="AG4067" s="138">
        <f>P_1_minW-(AG4065^2*R_up)+dpup_minQ</f>
        <v>-3176.2400496647047</v>
      </c>
      <c r="AH4067" s="132"/>
      <c r="AI4067" s="145"/>
      <c r="AJ4067" s="138">
        <f>P_1_minW-(AJ4065^2*R_up)+dpup_minQ</f>
        <v>-5182.3597084904195</v>
      </c>
      <c r="AK4067" s="132"/>
      <c r="AL4067" s="145"/>
      <c r="AM4067" s="138">
        <f>P_1_minW-(AM4065^2*R_up)+dpup_minQ</f>
        <v>-7163.1272558509427</v>
      </c>
      <c r="AN4067" s="132"/>
      <c r="AO4067" s="145"/>
      <c r="AP4067" s="138">
        <f>P_1_minW-(AP4065^2*R_up)+dpup_minQ</f>
        <v>-8940.6576209526011</v>
      </c>
      <c r="AQ4067" s="132"/>
      <c r="AR4067" s="145"/>
      <c r="AS4067" s="138">
        <f>P_1_minW-(AS4065^2*R_up)+dpup_minQ</f>
        <v>-11153.177857583485</v>
      </c>
      <c r="AT4067" s="132"/>
      <c r="AU4067" s="145"/>
    </row>
    <row r="4068" spans="13:47" x14ac:dyDescent="0.25">
      <c r="M4068" s="20"/>
      <c r="N4068" s="20"/>
      <c r="O4068" s="7" t="s">
        <v>189</v>
      </c>
      <c r="P4068" s="1"/>
      <c r="Q4068" s="7"/>
      <c r="R4068" s="181">
        <f>P_2_minW+(R4065^2*R_dn)-dpdn_minQ</f>
        <v>50</v>
      </c>
      <c r="S4068" s="132"/>
      <c r="T4068" s="146"/>
      <c r="U4068" s="138">
        <f>P_2_minW+(U4065^2*R_dn)-dpdn_minQ</f>
        <v>50</v>
      </c>
      <c r="V4068" s="132"/>
      <c r="W4068" s="146"/>
      <c r="X4068" s="138">
        <f>P_2_minW+(X4065^2*R_dn)-dpdn_minQ</f>
        <v>50</v>
      </c>
      <c r="Y4068" s="132"/>
      <c r="Z4068" s="146"/>
      <c r="AA4068" s="138">
        <f>P_2_minW+(AA4065^2*R_dn)-dpdn_minQ</f>
        <v>50</v>
      </c>
      <c r="AB4068" s="132"/>
      <c r="AC4068" s="146"/>
      <c r="AD4068" s="138">
        <f>P_2_minW+(AD4065^2*R_dn)-dpdn_minQ</f>
        <v>50</v>
      </c>
      <c r="AE4068" s="132"/>
      <c r="AF4068" s="146"/>
      <c r="AG4068" s="138">
        <f>P_2_minW+(AG4065^2*R_dn)-dpdn_minQ</f>
        <v>50</v>
      </c>
      <c r="AH4068" s="132"/>
      <c r="AI4068" s="146"/>
      <c r="AJ4068" s="138">
        <f>P_2_minW+(AJ4065^2*R_dn)-dpdn_minQ</f>
        <v>50</v>
      </c>
      <c r="AK4068" s="132"/>
      <c r="AL4068" s="146"/>
      <c r="AM4068" s="138">
        <f>P_2_minW+(AM4065^2*R_dn)-dpdn_minQ</f>
        <v>50</v>
      </c>
      <c r="AN4068" s="132"/>
      <c r="AO4068" s="146"/>
      <c r="AP4068" s="138">
        <f>P_2_minW+(AP4065^2*R_dn)-dpdn_minQ</f>
        <v>50</v>
      </c>
      <c r="AQ4068" s="132"/>
      <c r="AR4068" s="146"/>
      <c r="AS4068" s="138">
        <f>P_2_minW+(AS4065^2*R_dn)-dpdn_minQ</f>
        <v>50</v>
      </c>
      <c r="AT4068" s="132"/>
      <c r="AU4068" s="146"/>
    </row>
    <row r="4069" spans="13:47" x14ac:dyDescent="0.25">
      <c r="M4069" s="20"/>
      <c r="N4069" s="20"/>
      <c r="O4069" s="7" t="s">
        <v>234</v>
      </c>
      <c r="P4069" s="1"/>
      <c r="Q4069" s="7"/>
      <c r="R4069" s="179">
        <f>'Valve Sizing'!G$8*R4067/P_1_maxW</f>
        <v>0.46223594470448781</v>
      </c>
      <c r="S4069" s="132"/>
      <c r="T4069" s="146"/>
      <c r="U4069" s="143">
        <f>'Valve Sizing'!$G$8*U4067/P_1_maxW</f>
        <v>0.35688003309480976</v>
      </c>
      <c r="V4069" s="132"/>
      <c r="W4069" s="146"/>
      <c r="X4069" s="143">
        <f>'Valve Sizing'!$G$8*X4067/P_1_maxW</f>
        <v>-0.29813137561820002</v>
      </c>
      <c r="Y4069" s="132"/>
      <c r="Z4069" s="146"/>
      <c r="AA4069" s="143">
        <f>'Valve Sizing'!$G$8*AA4067/P_1_maxW</f>
        <v>-2.4857049176497652</v>
      </c>
      <c r="AB4069" s="132"/>
      <c r="AC4069" s="146"/>
      <c r="AD4069" s="143">
        <f>'Valve Sizing'!$G$8*AD4067/P_1_maxW</f>
        <v>-7.5500401269944293</v>
      </c>
      <c r="AE4069" s="132"/>
      <c r="AF4069" s="146"/>
      <c r="AG4069" s="143">
        <f>'Valve Sizing'!$G$8*AG4067/P_1_maxW</f>
        <v>-15.321616504896571</v>
      </c>
      <c r="AH4069" s="132"/>
      <c r="AI4069" s="146"/>
      <c r="AJ4069" s="143">
        <f>'Valve Sizing'!$G$8*AJ4067/P_1_maxW</f>
        <v>-24.998780571480978</v>
      </c>
      <c r="AK4069" s="132"/>
      <c r="AL4069" s="146"/>
      <c r="AM4069" s="143">
        <f>'Valve Sizing'!$G$8*AM4067/P_1_maxW</f>
        <v>-34.55365056602254</v>
      </c>
      <c r="AN4069" s="132"/>
      <c r="AO4069" s="146"/>
      <c r="AP4069" s="143">
        <f>'Valve Sizing'!$G$8*AP4067/P_1_maxW</f>
        <v>-43.128140577497398</v>
      </c>
      <c r="AQ4069" s="132"/>
      <c r="AR4069" s="146"/>
      <c r="AS4069" s="143">
        <f>'Valve Sizing'!$G$8*AS4067/P_1_maxW</f>
        <v>-53.80094428405603</v>
      </c>
      <c r="AT4069" s="132"/>
      <c r="AU4069" s="146"/>
    </row>
    <row r="4070" spans="13:47" x14ac:dyDescent="0.25">
      <c r="M4070" s="20"/>
      <c r="N4070" s="20"/>
      <c r="O4070" s="7" t="s">
        <v>190</v>
      </c>
      <c r="P4070" s="1"/>
      <c r="Q4070" s="7"/>
      <c r="R4070" s="181">
        <f>R4067-R4068</f>
        <v>45.823591426908962</v>
      </c>
      <c r="S4070" s="132"/>
      <c r="T4070" s="146"/>
      <c r="U4070" s="138">
        <f>U4067-U4068</f>
        <v>23.982836842257328</v>
      </c>
      <c r="V4070" s="132"/>
      <c r="W4070" s="146"/>
      <c r="X4070" s="138">
        <f>X4067-X4068</f>
        <v>-111.80397577484926</v>
      </c>
      <c r="Y4070" s="132"/>
      <c r="Z4070" s="146"/>
      <c r="AA4070" s="138">
        <f>AA4067-AA4068</f>
        <v>-565.29781525105386</v>
      </c>
      <c r="AB4070" s="132"/>
      <c r="AC4070" s="146"/>
      <c r="AD4070" s="138">
        <f>AD4067-AD4068</f>
        <v>-1615.1572939625132</v>
      </c>
      <c r="AE4070" s="132"/>
      <c r="AF4070" s="146"/>
      <c r="AG4070" s="138">
        <f>AG4067-AG4068</f>
        <v>-3226.2400496647047</v>
      </c>
      <c r="AH4070" s="132"/>
      <c r="AI4070" s="146"/>
      <c r="AJ4070" s="138">
        <f>AJ4067-AJ4068</f>
        <v>-5232.3597084904195</v>
      </c>
      <c r="AK4070" s="132"/>
      <c r="AL4070" s="146"/>
      <c r="AM4070" s="138">
        <f>AM4067-AM4068</f>
        <v>-7213.1272558509427</v>
      </c>
      <c r="AN4070" s="132"/>
      <c r="AO4070" s="146"/>
      <c r="AP4070" s="138">
        <f>AP4067-AP4068</f>
        <v>-8990.6576209526011</v>
      </c>
      <c r="AQ4070" s="132"/>
      <c r="AR4070" s="146"/>
      <c r="AS4070" s="138">
        <f>AS4067-AS4068</f>
        <v>-11203.177857583485</v>
      </c>
      <c r="AT4070" s="132"/>
      <c r="AU4070" s="146"/>
    </row>
    <row r="4071" spans="13:47" ht="14.5" x14ac:dyDescent="0.35">
      <c r="M4071" s="27"/>
      <c r="N4071" s="27"/>
      <c r="O4071" s="2" t="s">
        <v>191</v>
      </c>
      <c r="P4071" s="10"/>
      <c r="Q4071" s="2"/>
      <c r="R4071" s="181">
        <f>R4070/R4067</f>
        <v>0.47820782695106628</v>
      </c>
      <c r="S4071" s="132"/>
      <c r="T4071" s="146"/>
      <c r="U4071" s="138">
        <f>U4070/U4067</f>
        <v>0.32416757542553265</v>
      </c>
      <c r="V4071" s="132"/>
      <c r="W4071" s="146"/>
      <c r="X4071" s="138">
        <f>X4070/X4067</f>
        <v>1.8090094427282328</v>
      </c>
      <c r="Y4071" s="132"/>
      <c r="Z4071" s="146"/>
      <c r="AA4071" s="138">
        <f>AA4070/AA4067</f>
        <v>1.0970312672015501</v>
      </c>
      <c r="AB4071" s="132"/>
      <c r="AC4071" s="146"/>
      <c r="AD4071" s="138">
        <f>AD4070/AD4067</f>
        <v>1.0319456710152211</v>
      </c>
      <c r="AE4071" s="132"/>
      <c r="AF4071" s="146"/>
      <c r="AG4071" s="138">
        <f>AG4070/AG4067</f>
        <v>1.0157418832387302</v>
      </c>
      <c r="AH4071" s="132"/>
      <c r="AI4071" s="146"/>
      <c r="AJ4071" s="138">
        <f>AJ4070/AJ4067</f>
        <v>1.0096481145293876</v>
      </c>
      <c r="AK4071" s="132"/>
      <c r="AL4071" s="146"/>
      <c r="AM4071" s="138">
        <f>AM4070/AM4067</f>
        <v>1.0069801915021346</v>
      </c>
      <c r="AN4071" s="132"/>
      <c r="AO4071" s="146"/>
      <c r="AP4071" s="138">
        <f>AP4070/AP4067</f>
        <v>1.0055924297875833</v>
      </c>
      <c r="AQ4071" s="132"/>
      <c r="AR4071" s="146"/>
      <c r="AS4071" s="138">
        <f>AS4070/AS4067</f>
        <v>1.0044830272267202</v>
      </c>
      <c r="AT4071" s="132"/>
      <c r="AU4071" s="146"/>
    </row>
    <row r="4072" spans="13:47" x14ac:dyDescent="0.25">
      <c r="M4072" s="27"/>
      <c r="N4072" s="27"/>
      <c r="O4072" s="2" t="s">
        <v>26</v>
      </c>
      <c r="P4072" s="7">
        <v>12</v>
      </c>
      <c r="Q4072" s="2"/>
      <c r="R4072" s="181">
        <f>1-R4071/(3*F_GAMMA*R$29)</f>
        <v>0.75094388387886979</v>
      </c>
      <c r="S4072" s="133"/>
      <c r="T4072" s="146"/>
      <c r="U4072" s="138">
        <f>1-U4071/(3*F_GAMMA*U$29)</f>
        <v>0.83120698424358619</v>
      </c>
      <c r="V4072" s="133"/>
      <c r="W4072" s="146"/>
      <c r="X4072" s="138">
        <f>1-X4071/(3*F_GAMMA*X$29)</f>
        <v>4.3923910914815734E-2</v>
      </c>
      <c r="Y4072" s="133"/>
      <c r="Z4072" s="146"/>
      <c r="AA4072" s="138">
        <f>1-AA4071/(3*F_GAMMA*AA$29)</f>
        <v>0.4122603962252076</v>
      </c>
      <c r="AB4072" s="133"/>
      <c r="AC4072" s="146"/>
      <c r="AD4072" s="138">
        <f>1-AD4071/(3*F_GAMMA*AD$29)</f>
        <v>0.4319717957271858</v>
      </c>
      <c r="AE4072" s="133"/>
      <c r="AF4072" s="146"/>
      <c r="AG4072" s="138">
        <f>1-AG4071/(3*F_GAMMA*AG$29)</f>
        <v>0.40899861582673225</v>
      </c>
      <c r="AH4072" s="133"/>
      <c r="AI4072" s="146"/>
      <c r="AJ4072" s="138">
        <f>1-AJ4071/(3*F_GAMMA*AJ$29)</f>
        <v>0.37200181474926863</v>
      </c>
      <c r="AK4072" s="133"/>
      <c r="AL4072" s="146"/>
      <c r="AM4072" s="138">
        <f>1-AM4071/(3*F_GAMMA*AM$29)</f>
        <v>0.3156612295500949</v>
      </c>
      <c r="AN4072" s="133"/>
      <c r="AO4072" s="146"/>
      <c r="AP4072" s="138">
        <f>1-AP4071/(3*F_GAMMA*AP$29)</f>
        <v>0.43524742624305546</v>
      </c>
      <c r="AQ4072" s="133"/>
      <c r="AR4072" s="146"/>
      <c r="AS4072" s="138">
        <f>1-AS4071/(3*F_GAMMA*AS$29)</f>
        <v>0.14360236917387292</v>
      </c>
      <c r="AT4072" s="133"/>
      <c r="AU4072" s="146"/>
    </row>
    <row r="4073" spans="13:47" x14ac:dyDescent="0.25">
      <c r="M4073" s="27"/>
      <c r="N4073" s="27"/>
      <c r="O4073" s="2" t="s">
        <v>71</v>
      </c>
      <c r="P4073" s="85">
        <v>5</v>
      </c>
      <c r="Q4073" s="2"/>
      <c r="R4073" s="179">
        <f>R4065/((N_6*R$27*R4072)*SQRT(R4071*R4067*R4069))</f>
        <v>15.693463441242413</v>
      </c>
      <c r="S4073" s="133"/>
      <c r="T4073" s="146"/>
      <c r="U4073" s="143">
        <f>U4065/((N_6*U$27*U4072)*SQRT(U4071*U4067*U4069))</f>
        <v>53.03839616104468</v>
      </c>
      <c r="V4073" s="133"/>
      <c r="W4073" s="146"/>
      <c r="X4073" s="143">
        <f>X4065/((N_6*X$27*X4072)*SQRT(X4071*X4067*X4069))</f>
        <v>1260.6192607024138</v>
      </c>
      <c r="Y4073" s="133"/>
      <c r="Z4073" s="146"/>
      <c r="AA4073" s="143">
        <f>AA4065/((N_6*AA$27*AA4072)*SQRT(AA4071*AA4067*AA4069))</f>
        <v>40.523315980201225</v>
      </c>
      <c r="AB4073" s="133"/>
      <c r="AC4073" s="146"/>
      <c r="AD4073" s="143">
        <f>AD4065/((N_6*AD$27*AD4072)*SQRT(AD4071*AD4067*AD4069))</f>
        <v>21.848215341956802</v>
      </c>
      <c r="AE4073" s="133"/>
      <c r="AF4073" s="146"/>
      <c r="AG4073" s="143">
        <f>AG4065/((N_6*AG$27*AG4072)*SQRT(AG4071*AG4067*AG4069))</f>
        <v>16.422087439711781</v>
      </c>
      <c r="AH4073" s="133"/>
      <c r="AI4073" s="146"/>
      <c r="AJ4073" s="143">
        <f>AJ4065/((N_6*AJ$27*AJ4072)*SQRT(AJ4071*AJ4067*AJ4069))</f>
        <v>14.577065688123565</v>
      </c>
      <c r="AK4073" s="133"/>
      <c r="AL4073" s="146"/>
      <c r="AM4073" s="143">
        <f>AM4065/((N_6*AM$27*AM4072)*SQRT(AM4071*AM4067*AM4069))</f>
        <v>15.488864941292368</v>
      </c>
      <c r="AN4073" s="133"/>
      <c r="AO4073" s="146"/>
      <c r="AP4073" s="143">
        <f>AP4065/((N_6*AP$27*AP4072)*SQRT(AP4071*AP4067*AP4069))</f>
        <v>11.413701967354413</v>
      </c>
      <c r="AQ4073" s="133"/>
      <c r="AR4073" s="146"/>
      <c r="AS4073" s="143">
        <f>AS4065/((N_6*AS$27*AS4072)*SQRT(AS4071*AS4067*AS4069))</f>
        <v>40.675621499725409</v>
      </c>
      <c r="AT4073" s="133"/>
      <c r="AU4073" s="146"/>
    </row>
    <row r="4074" spans="13:47" x14ac:dyDescent="0.25">
      <c r="M4074" s="27"/>
      <c r="N4074" s="27"/>
      <c r="O4074" s="2" t="s">
        <v>73</v>
      </c>
      <c r="P4074" s="85">
        <v>5</v>
      </c>
      <c r="Q4074" s="2"/>
      <c r="R4074" s="179">
        <f>R4065/((N_6*R$27*0.667)*SQRT(R4075*R4067*R4069))</f>
        <v>15.272484167636456</v>
      </c>
      <c r="S4074" s="133"/>
      <c r="T4074" s="147"/>
      <c r="U4074" s="143">
        <f>U4065/((N_6*U$27*0.667)*SQRT(U4075*U4067*U4069))</f>
        <v>47.033965510094511</v>
      </c>
      <c r="V4074" s="133"/>
      <c r="W4074" s="155"/>
      <c r="X4074" s="143">
        <f>X4065/((N_6*X$27*0.667)*SQRT(X4075*X4067*X4069))</f>
        <v>140.59373297408757</v>
      </c>
      <c r="Y4074" s="133"/>
      <c r="Z4074" s="155"/>
      <c r="AA4074" s="143">
        <f>AA4065/((N_6*AA$27*0.667)*SQRT(AA4075*AA4067*AA4069))</f>
        <v>33.258592325440624</v>
      </c>
      <c r="AB4074" s="133"/>
      <c r="AC4074" s="155"/>
      <c r="AD4074" s="143">
        <f>AD4065/((N_6*AD$27*0.667)*SQRT(AD4075*AD4067*AD4069))</f>
        <v>18.47102954837187</v>
      </c>
      <c r="AE4074" s="133"/>
      <c r="AF4074" s="155"/>
      <c r="AG4074" s="143">
        <f>AG4065/((N_6*AG$27*0.667)*SQRT(AG4075*AG4067*AG4069))</f>
        <v>13.408470501712854</v>
      </c>
      <c r="AH4074" s="133"/>
      <c r="AI4074" s="155"/>
      <c r="AJ4074" s="143">
        <f>AJ4065/((N_6*AJ$27*0.667)*SQRT(AJ4075*AJ4067*AJ4069))</f>
        <v>11.159099684667668</v>
      </c>
      <c r="AK4074" s="133"/>
      <c r="AL4074" s="155"/>
      <c r="AM4074" s="143">
        <f>AM4065/((N_6*AM$27*0.667)*SQRT(AM4075*AM4067*AM4069))</f>
        <v>10.502947695408563</v>
      </c>
      <c r="AN4074" s="133"/>
      <c r="AO4074" s="155"/>
      <c r="AP4074" s="143">
        <f>AP4065/((N_6*AP$27*0.667)*SQRT(AP4075*AP4067*AP4069))</f>
        <v>9.6945274049226011</v>
      </c>
      <c r="AQ4074" s="133"/>
      <c r="AR4074" s="155"/>
      <c r="AS4074" s="143">
        <f>AS4065/((N_6*AS$27*0.667)*SQRT(AS4075*AS4067*AS4069))</f>
        <v>14.036806867016216</v>
      </c>
      <c r="AT4074" s="133"/>
      <c r="AU4074" s="155"/>
    </row>
    <row r="4075" spans="13:47" ht="15.5" x14ac:dyDescent="0.4">
      <c r="M4075" s="27"/>
      <c r="N4075" s="27"/>
      <c r="O4075" s="2" t="s">
        <v>192</v>
      </c>
      <c r="P4075" s="85">
        <v>10</v>
      </c>
      <c r="Q4075" s="2"/>
      <c r="R4075" s="181">
        <f>F_GAMMA*R$29</f>
        <v>0.64002688015162901</v>
      </c>
      <c r="S4075" s="133"/>
      <c r="T4075" s="147"/>
      <c r="U4075" s="138">
        <f>F_GAMMA*U$29</f>
        <v>0.64016782916606918</v>
      </c>
      <c r="V4075" s="133"/>
      <c r="W4075" s="155"/>
      <c r="X4075" s="138">
        <f>F_GAMMA*X$29</f>
        <v>0.6307062319203669</v>
      </c>
      <c r="Y4075" s="133"/>
      <c r="Z4075" s="155"/>
      <c r="AA4075" s="138">
        <f>F_GAMMA*AA$29</f>
        <v>0.62217534213893466</v>
      </c>
      <c r="AB4075" s="133"/>
      <c r="AC4075" s="155"/>
      <c r="AD4075" s="138">
        <f>F_GAMMA*AD$29</f>
        <v>0.60557184969146072</v>
      </c>
      <c r="AE4075" s="133"/>
      <c r="AF4075" s="155"/>
      <c r="AG4075" s="138">
        <f>F_GAMMA*AG$29</f>
        <v>0.57289312142622573</v>
      </c>
      <c r="AH4075" s="133"/>
      <c r="AI4075" s="155"/>
      <c r="AJ4075" s="138">
        <f>F_GAMMA*AJ$29</f>
        <v>0.53590819116049981</v>
      </c>
      <c r="AK4075" s="133"/>
      <c r="AL4075" s="155"/>
      <c r="AM4075" s="138">
        <f>F_GAMMA*AM$29</f>
        <v>0.49048815926850342</v>
      </c>
      <c r="AN4075" s="133"/>
      <c r="AO4075" s="155"/>
      <c r="AP4075" s="138">
        <f>F_GAMMA*AP$29</f>
        <v>0.59352979016280105</v>
      </c>
      <c r="AQ4075" s="133"/>
      <c r="AR4075" s="155"/>
      <c r="AS4075" s="138">
        <f>F_GAMMA*AS$29</f>
        <v>0.39097221161068291</v>
      </c>
      <c r="AT4075" s="133"/>
      <c r="AU4075" s="155"/>
    </row>
    <row r="4076" spans="13:47" x14ac:dyDescent="0.25">
      <c r="M4076" s="27"/>
      <c r="N4076" s="27"/>
      <c r="O4076" s="2" t="s">
        <v>193</v>
      </c>
      <c r="P4076" s="134"/>
      <c r="Q4076" s="2"/>
      <c r="R4076" s="181">
        <f>IF(R4071&lt;R4075,R4073,R4074)</f>
        <v>15.693463441242413</v>
      </c>
      <c r="S4076" s="133"/>
      <c r="T4076" s="147"/>
      <c r="U4076" s="138">
        <f>IF(U4071&lt;U4075,U4073,U4074)</f>
        <v>53.03839616104468</v>
      </c>
      <c r="V4076" s="133"/>
      <c r="W4076" s="155"/>
      <c r="X4076" s="138">
        <f>IF(X4071&lt;X4075,X4073,X4074)</f>
        <v>140.59373297408757</v>
      </c>
      <c r="Y4076" s="133"/>
      <c r="Z4076" s="155"/>
      <c r="AA4076" s="138">
        <f>IF(AA4071&lt;AA4075,AA4073,AA4074)</f>
        <v>33.258592325440624</v>
      </c>
      <c r="AB4076" s="133"/>
      <c r="AC4076" s="155"/>
      <c r="AD4076" s="138">
        <f>IF(AD4071&lt;AD4075,AD4073,AD4074)</f>
        <v>18.47102954837187</v>
      </c>
      <c r="AE4076" s="133"/>
      <c r="AF4076" s="155"/>
      <c r="AG4076" s="138">
        <f>IF(AG4071&lt;AG4075,AG4073,AG4074)</f>
        <v>13.408470501712854</v>
      </c>
      <c r="AH4076" s="133"/>
      <c r="AI4076" s="155"/>
      <c r="AJ4076" s="138">
        <f>IF(AJ4071&lt;AJ4075,AJ4073,AJ4074)</f>
        <v>11.159099684667668</v>
      </c>
      <c r="AK4076" s="133"/>
      <c r="AL4076" s="155"/>
      <c r="AM4076" s="138">
        <f>IF(AM4071&lt;AM4075,AM4073,AM4074)</f>
        <v>10.502947695408563</v>
      </c>
      <c r="AN4076" s="133"/>
      <c r="AO4076" s="155"/>
      <c r="AP4076" s="138">
        <f>IF(AP4071&lt;AP4075,AP4073,AP4074)</f>
        <v>9.6945274049226011</v>
      </c>
      <c r="AQ4076" s="133"/>
      <c r="AR4076" s="155"/>
      <c r="AS4076" s="138">
        <f>IF(AS4071&lt;AS4075,AS4073,AS4074)</f>
        <v>14.036806867016216</v>
      </c>
      <c r="AT4076" s="133"/>
      <c r="AU4076" s="155"/>
    </row>
    <row r="4077" spans="13:47" ht="13" x14ac:dyDescent="0.3">
      <c r="M4077" s="28"/>
      <c r="N4077" s="28"/>
      <c r="O4077" s="9" t="s">
        <v>194</v>
      </c>
      <c r="P4077" s="1"/>
      <c r="Q4077" s="1"/>
      <c r="R4077" s="135"/>
      <c r="S4077" s="132">
        <f>IF(R4070&lt;=0,W_max,ABS(R$23-R4076))</f>
        <v>13.693463441242413</v>
      </c>
      <c r="T4077" s="151">
        <f>R4065</f>
        <v>3432.8510036260909</v>
      </c>
      <c r="U4077" s="135"/>
      <c r="V4077" s="132">
        <f>IF(U4070&lt;=0,W_max,ABS(U$23-U4076))</f>
        <v>48.03839616104468</v>
      </c>
      <c r="W4077" s="151">
        <f>U4065</f>
        <v>8158.1794797753009</v>
      </c>
      <c r="X4077" s="135"/>
      <c r="Y4077" s="132">
        <f>IF(X4070&lt;=0,W_max,ABS(X$23-X4076))</f>
        <v>7174</v>
      </c>
      <c r="Z4077" s="151">
        <f>X4065</f>
        <v>20176.148688222791</v>
      </c>
      <c r="AA4077" s="135"/>
      <c r="AB4077" s="132">
        <f>IF(AA4070&lt;=0,W_max,ABS(AA$23-AA4076))</f>
        <v>7174</v>
      </c>
      <c r="AC4077" s="151">
        <f>AA4065</f>
        <v>39297.987775246351</v>
      </c>
      <c r="AD4077" s="135"/>
      <c r="AE4077" s="132">
        <f>IF(AD4070&lt;=0,W_max,ABS(AD$23-AD4076))</f>
        <v>7174</v>
      </c>
      <c r="AF4077" s="151">
        <f>AD4065</f>
        <v>64630.721229602037</v>
      </c>
      <c r="AG4077" s="135"/>
      <c r="AH4077" s="132">
        <f>IF(AG4070&lt;=0,W_max,ABS(AG$23-AG4076))</f>
        <v>7174</v>
      </c>
      <c r="AI4077" s="151">
        <f>AG4065</f>
        <v>90649.562196180996</v>
      </c>
      <c r="AJ4077" s="135"/>
      <c r="AK4077" s="132">
        <f>IF(AJ4070&lt;=0,W_max,ABS(AJ$23-AJ4076))</f>
        <v>7174</v>
      </c>
      <c r="AL4077" s="151">
        <f>AJ4065</f>
        <v>115100.88999473979</v>
      </c>
      <c r="AM4077" s="135"/>
      <c r="AN4077" s="132">
        <f>IF(AM4070&lt;=0,W_max,ABS(AM$23-AM4076))</f>
        <v>7174</v>
      </c>
      <c r="AO4077" s="151">
        <f>AM4065</f>
        <v>134964.84561954369</v>
      </c>
      <c r="AP4077" s="135"/>
      <c r="AQ4077" s="132">
        <f>IF(AP4070&lt;=0,W_max,ABS(AP$23-AP4076))</f>
        <v>7174</v>
      </c>
      <c r="AR4077" s="151">
        <f>AP4065</f>
        <v>150576.00617029602</v>
      </c>
      <c r="AS4077" s="135"/>
      <c r="AT4077" s="132">
        <f>IF(AS4070&lt;=0,W_max,ABS(AS$23-AS4076))</f>
        <v>7174</v>
      </c>
      <c r="AU4077" s="151">
        <f>AS4065</f>
        <v>167992.88385148073</v>
      </c>
    </row>
    <row r="4078" spans="13:47" ht="13" x14ac:dyDescent="0.25">
      <c r="M4078" s="12"/>
      <c r="N4078" s="12"/>
      <c r="O4078" s="12"/>
      <c r="P4078" s="12"/>
      <c r="Q4078" s="12"/>
      <c r="R4078" s="182"/>
      <c r="S4078" s="22"/>
      <c r="T4078" s="152"/>
      <c r="U4078" s="157"/>
      <c r="V4078" s="1"/>
      <c r="W4078" s="147"/>
      <c r="X4078" s="157"/>
      <c r="Y4078" s="1"/>
      <c r="Z4078" s="147"/>
      <c r="AA4078" s="157"/>
      <c r="AB4078" s="1"/>
      <c r="AC4078" s="147"/>
      <c r="AD4078" s="157"/>
      <c r="AE4078" s="1"/>
      <c r="AF4078" s="147"/>
      <c r="AG4078" s="157"/>
      <c r="AH4078" s="1"/>
      <c r="AI4078" s="147"/>
      <c r="AJ4078" s="157"/>
      <c r="AK4078" s="1"/>
      <c r="AL4078" s="147"/>
      <c r="AM4078" s="157"/>
      <c r="AN4078" s="1"/>
      <c r="AO4078" s="147"/>
      <c r="AP4078" s="157"/>
      <c r="AQ4078" s="1"/>
      <c r="AR4078" s="147"/>
      <c r="AS4078" s="157"/>
      <c r="AT4078" s="1"/>
      <c r="AU4078" s="147"/>
    </row>
    <row r="4079" spans="13:47" ht="14" x14ac:dyDescent="0.3">
      <c r="M4079" s="23"/>
      <c r="N4079" s="23"/>
      <c r="O4079" s="23" t="s">
        <v>238</v>
      </c>
      <c r="P4079" s="20"/>
      <c r="Q4079" s="20"/>
      <c r="R4079" s="18">
        <f>R4065*1.02</f>
        <v>3501.5080236986128</v>
      </c>
      <c r="S4079" s="128" t="s">
        <v>185</v>
      </c>
      <c r="T4079" s="153" t="s">
        <v>186</v>
      </c>
      <c r="U4079" s="143">
        <f>U4065*1.01</f>
        <v>8239.7612745730548</v>
      </c>
      <c r="V4079" s="128" t="s">
        <v>185</v>
      </c>
      <c r="W4079" s="153" t="s">
        <v>186</v>
      </c>
      <c r="X4079" s="143">
        <f>X4065*1.01</f>
        <v>20377.910175105018</v>
      </c>
      <c r="Y4079" s="128" t="s">
        <v>185</v>
      </c>
      <c r="Z4079" s="153" t="s">
        <v>186</v>
      </c>
      <c r="AA4079" s="143">
        <f>AA4065*1.01</f>
        <v>39690.967652998814</v>
      </c>
      <c r="AB4079" s="128" t="s">
        <v>185</v>
      </c>
      <c r="AC4079" s="153" t="s">
        <v>186</v>
      </c>
      <c r="AD4079" s="143">
        <f>AD4065*1.01</f>
        <v>65277.028441898059</v>
      </c>
      <c r="AE4079" s="128" t="s">
        <v>185</v>
      </c>
      <c r="AF4079" s="153" t="s">
        <v>186</v>
      </c>
      <c r="AG4079" s="143">
        <f>AG4065*1.01</f>
        <v>91556.057818142814</v>
      </c>
      <c r="AH4079" s="128" t="s">
        <v>185</v>
      </c>
      <c r="AI4079" s="153" t="s">
        <v>186</v>
      </c>
      <c r="AJ4079" s="143">
        <f>AJ4065*1.01</f>
        <v>116251.89889468718</v>
      </c>
      <c r="AK4079" s="128" t="s">
        <v>185</v>
      </c>
      <c r="AL4079" s="153" t="s">
        <v>186</v>
      </c>
      <c r="AM4079" s="143">
        <f>AM4065*1.01</f>
        <v>136314.49407573912</v>
      </c>
      <c r="AN4079" s="128" t="s">
        <v>185</v>
      </c>
      <c r="AO4079" s="153" t="s">
        <v>186</v>
      </c>
      <c r="AP4079" s="143">
        <f>AP4065*1.01</f>
        <v>152081.76623199898</v>
      </c>
      <c r="AQ4079" s="128" t="s">
        <v>185</v>
      </c>
      <c r="AR4079" s="153" t="s">
        <v>186</v>
      </c>
      <c r="AS4079" s="143">
        <f>AS4065*1.01</f>
        <v>169672.81268999554</v>
      </c>
      <c r="AT4079" s="128" t="s">
        <v>185</v>
      </c>
      <c r="AU4079" s="153" t="s">
        <v>186</v>
      </c>
    </row>
    <row r="4080" spans="13:47" ht="14" x14ac:dyDescent="0.3">
      <c r="M4080" s="12"/>
      <c r="N4080" s="12"/>
      <c r="O4080" s="20"/>
      <c r="P4080" s="20"/>
      <c r="Q4080" s="23"/>
      <c r="R4080" s="139"/>
      <c r="S4080" s="130" t="s">
        <v>228</v>
      </c>
      <c r="T4080" s="154" t="s">
        <v>187</v>
      </c>
      <c r="U4080" s="144"/>
      <c r="V4080" s="130" t="s">
        <v>228</v>
      </c>
      <c r="W4080" s="154" t="s">
        <v>187</v>
      </c>
      <c r="X4080" s="144"/>
      <c r="Y4080" s="130" t="s">
        <v>228</v>
      </c>
      <c r="Z4080" s="154" t="s">
        <v>187</v>
      </c>
      <c r="AA4080" s="144"/>
      <c r="AB4080" s="130" t="s">
        <v>228</v>
      </c>
      <c r="AC4080" s="154" t="s">
        <v>187</v>
      </c>
      <c r="AD4080" s="144"/>
      <c r="AE4080" s="130" t="s">
        <v>228</v>
      </c>
      <c r="AF4080" s="154" t="s">
        <v>187</v>
      </c>
      <c r="AG4080" s="144"/>
      <c r="AH4080" s="130" t="s">
        <v>228</v>
      </c>
      <c r="AI4080" s="154" t="s">
        <v>187</v>
      </c>
      <c r="AJ4080" s="144"/>
      <c r="AK4080" s="130" t="s">
        <v>228</v>
      </c>
      <c r="AL4080" s="154" t="s">
        <v>187</v>
      </c>
      <c r="AM4080" s="144"/>
      <c r="AN4080" s="130" t="s">
        <v>228</v>
      </c>
      <c r="AO4080" s="154" t="s">
        <v>187</v>
      </c>
      <c r="AP4080" s="144"/>
      <c r="AQ4080" s="130" t="s">
        <v>228</v>
      </c>
      <c r="AR4080" s="154" t="s">
        <v>187</v>
      </c>
      <c r="AS4080" s="144"/>
      <c r="AT4080" s="130" t="s">
        <v>228</v>
      </c>
      <c r="AU4080" s="154" t="s">
        <v>187</v>
      </c>
    </row>
    <row r="4081" spans="13:47" x14ac:dyDescent="0.25">
      <c r="M4081" s="20"/>
      <c r="N4081" s="20"/>
      <c r="O4081" s="7" t="s">
        <v>188</v>
      </c>
      <c r="P4081" s="7"/>
      <c r="Q4081" s="7"/>
      <c r="R4081" s="181">
        <f>P_1_minW-(R4079^2*R_up)+dpup_minQ</f>
        <v>95.633743936392321</v>
      </c>
      <c r="S4081" s="132"/>
      <c r="T4081" s="145"/>
      <c r="U4081" s="138">
        <f>P_1_minW-(U4079^2*R_up)+dpup_minQ</f>
        <v>73.449383849378492</v>
      </c>
      <c r="V4081" s="132"/>
      <c r="W4081" s="145"/>
      <c r="X4081" s="138">
        <f>P_1_minW-(X4079^2*R_up)+dpup_minQ</f>
        <v>-65.066743701331959</v>
      </c>
      <c r="Y4081" s="132"/>
      <c r="Z4081" s="145"/>
      <c r="AA4081" s="138">
        <f>P_1_minW-(AA4079^2*R_up)+dpup_minQ</f>
        <v>-527.67580935100818</v>
      </c>
      <c r="AB4081" s="132"/>
      <c r="AC4081" s="145"/>
      <c r="AD4081" s="138">
        <f>P_1_minW-(AD4079^2*R_up)+dpup_minQ</f>
        <v>-1598.637463584568</v>
      </c>
      <c r="AE4081" s="132"/>
      <c r="AF4081" s="145"/>
      <c r="AG4081" s="138">
        <f>P_1_minW-(AG4079^2*R_up)+dpup_minQ</f>
        <v>-3242.1029826763743</v>
      </c>
      <c r="AH4081" s="132"/>
      <c r="AI4081" s="145"/>
      <c r="AJ4081" s="138">
        <f>P_1_minW-(AJ4079^2*R_up)+dpup_minQ</f>
        <v>-5288.5456466444848</v>
      </c>
      <c r="AK4081" s="132"/>
      <c r="AL4081" s="145"/>
      <c r="AM4081" s="138">
        <f>P_1_minW-(AM4079^2*R_up)+dpup_minQ</f>
        <v>-7309.1266217069533</v>
      </c>
      <c r="AN4081" s="132"/>
      <c r="AO4081" s="145"/>
      <c r="AP4081" s="138">
        <f>P_1_minW-(AP4079^2*R_up)+dpup_minQ</f>
        <v>-9122.3853471471557</v>
      </c>
      <c r="AQ4081" s="132"/>
      <c r="AR4081" s="145"/>
      <c r="AS4081" s="138">
        <f>P_1_minW-(AS4079^2*R_up)+dpup_minQ</f>
        <v>-11379.377240534321</v>
      </c>
      <c r="AT4081" s="132"/>
      <c r="AU4081" s="145"/>
    </row>
    <row r="4082" spans="13:47" x14ac:dyDescent="0.25">
      <c r="M4082" s="20"/>
      <c r="N4082" s="20"/>
      <c r="O4082" s="7" t="s">
        <v>189</v>
      </c>
      <c r="P4082" s="1"/>
      <c r="Q4082" s="7"/>
      <c r="R4082" s="181">
        <f>P_2_minW+(R4079^2*R_dn)-dpdn_minQ</f>
        <v>50</v>
      </c>
      <c r="S4082" s="132"/>
      <c r="T4082" s="146"/>
      <c r="U4082" s="138">
        <f>P_2_minW+(U4079^2*R_dn)-dpdn_minQ</f>
        <v>50</v>
      </c>
      <c r="V4082" s="132"/>
      <c r="W4082" s="146"/>
      <c r="X4082" s="138">
        <f>P_2_minW+(X4079^2*R_dn)-dpdn_minQ</f>
        <v>50</v>
      </c>
      <c r="Y4082" s="132"/>
      <c r="Z4082" s="146"/>
      <c r="AA4082" s="138">
        <f>P_2_minW+(AA4079^2*R_dn)-dpdn_minQ</f>
        <v>50</v>
      </c>
      <c r="AB4082" s="132"/>
      <c r="AC4082" s="146"/>
      <c r="AD4082" s="138">
        <f>P_2_minW+(AD4079^2*R_dn)-dpdn_minQ</f>
        <v>50</v>
      </c>
      <c r="AE4082" s="132"/>
      <c r="AF4082" s="146"/>
      <c r="AG4082" s="138">
        <f>P_2_minW+(AG4079^2*R_dn)-dpdn_minQ</f>
        <v>50</v>
      </c>
      <c r="AH4082" s="132"/>
      <c r="AI4082" s="146"/>
      <c r="AJ4082" s="138">
        <f>P_2_minW+(AJ4079^2*R_dn)-dpdn_minQ</f>
        <v>50</v>
      </c>
      <c r="AK4082" s="132"/>
      <c r="AL4082" s="146"/>
      <c r="AM4082" s="138">
        <f>P_2_minW+(AM4079^2*R_dn)-dpdn_minQ</f>
        <v>50</v>
      </c>
      <c r="AN4082" s="132"/>
      <c r="AO4082" s="146"/>
      <c r="AP4082" s="138">
        <f>P_2_minW+(AP4079^2*R_dn)-dpdn_minQ</f>
        <v>50</v>
      </c>
      <c r="AQ4082" s="132"/>
      <c r="AR4082" s="146"/>
      <c r="AS4082" s="138">
        <f>P_2_minW+(AS4079^2*R_dn)-dpdn_minQ</f>
        <v>50</v>
      </c>
      <c r="AT4082" s="132"/>
      <c r="AU4082" s="146"/>
    </row>
    <row r="4083" spans="13:47" x14ac:dyDescent="0.25">
      <c r="M4083" s="20"/>
      <c r="N4083" s="20"/>
      <c r="O4083" s="7" t="s">
        <v>234</v>
      </c>
      <c r="P4083" s="1"/>
      <c r="Q4083" s="7"/>
      <c r="R4083" s="179">
        <f>'Valve Sizing'!G$8*R4081/P_1_maxW</f>
        <v>0.46132015421049788</v>
      </c>
      <c r="S4083" s="132"/>
      <c r="T4083" s="146"/>
      <c r="U4083" s="143">
        <f>'Valve Sizing'!$G$8*U4081/P_1_maxW</f>
        <v>0.35430675083261376</v>
      </c>
      <c r="V4083" s="132"/>
      <c r="W4083" s="146"/>
      <c r="X4083" s="143">
        <f>'Valve Sizing'!$G$8*X4081/P_1_maxW</f>
        <v>-0.31387038719552762</v>
      </c>
      <c r="Y4083" s="132"/>
      <c r="Z4083" s="146"/>
      <c r="AA4083" s="143">
        <f>'Valve Sizing'!$G$8*AA4081/P_1_maxW</f>
        <v>-2.5454141574219271</v>
      </c>
      <c r="AB4083" s="132"/>
      <c r="AC4083" s="146"/>
      <c r="AD4083" s="143">
        <f>'Valve Sizing'!$G$8*AD4081/P_1_maxW</f>
        <v>-7.7115425044744184</v>
      </c>
      <c r="AE4083" s="132"/>
      <c r="AF4083" s="146"/>
      <c r="AG4083" s="143">
        <f>'Valve Sizing'!$G$8*AG4081/P_1_maxW</f>
        <v>-15.6393275675724</v>
      </c>
      <c r="AH4083" s="132"/>
      <c r="AI4083" s="146"/>
      <c r="AJ4083" s="143">
        <f>'Valve Sizing'!$G$8*AJ4081/P_1_maxW</f>
        <v>-25.511002631895145</v>
      </c>
      <c r="AK4083" s="132"/>
      <c r="AL4083" s="146"/>
      <c r="AM4083" s="143">
        <f>'Valve Sizing'!$G$8*AM4081/P_1_maxW</f>
        <v>-35.257925513326988</v>
      </c>
      <c r="AN4083" s="132"/>
      <c r="AO4083" s="146"/>
      <c r="AP4083" s="143">
        <f>'Valve Sizing'!$G$8*AP4081/P_1_maxW</f>
        <v>-44.004762774032493</v>
      </c>
      <c r="AQ4083" s="132"/>
      <c r="AR4083" s="146"/>
      <c r="AS4083" s="143">
        <f>'Valve Sizing'!$G$8*AS4081/P_1_maxW</f>
        <v>-54.892089835092953</v>
      </c>
      <c r="AT4083" s="132"/>
      <c r="AU4083" s="146"/>
    </row>
    <row r="4084" spans="13:47" x14ac:dyDescent="0.25">
      <c r="M4084" s="20"/>
      <c r="N4084" s="20"/>
      <c r="O4084" s="7" t="s">
        <v>190</v>
      </c>
      <c r="P4084" s="1"/>
      <c r="Q4084" s="7"/>
      <c r="R4084" s="181">
        <f>R4081-R4082</f>
        <v>45.633743936392321</v>
      </c>
      <c r="S4084" s="132"/>
      <c r="T4084" s="146"/>
      <c r="U4084" s="138">
        <f>U4081-U4082</f>
        <v>23.449383849378492</v>
      </c>
      <c r="V4084" s="132"/>
      <c r="W4084" s="146"/>
      <c r="X4084" s="138">
        <f>X4081-X4082</f>
        <v>-115.06674370133196</v>
      </c>
      <c r="Y4084" s="132"/>
      <c r="Z4084" s="146"/>
      <c r="AA4084" s="138">
        <f>AA4081-AA4082</f>
        <v>-577.67580935100818</v>
      </c>
      <c r="AB4084" s="132"/>
      <c r="AC4084" s="146"/>
      <c r="AD4084" s="138">
        <f>AD4081-AD4082</f>
        <v>-1648.637463584568</v>
      </c>
      <c r="AE4084" s="132"/>
      <c r="AF4084" s="146"/>
      <c r="AG4084" s="138">
        <f>AG4081-AG4082</f>
        <v>-3292.1029826763743</v>
      </c>
      <c r="AH4084" s="132"/>
      <c r="AI4084" s="146"/>
      <c r="AJ4084" s="138">
        <f>AJ4081-AJ4082</f>
        <v>-5338.5456466444848</v>
      </c>
      <c r="AK4084" s="132"/>
      <c r="AL4084" s="146"/>
      <c r="AM4084" s="138">
        <f>AM4081-AM4082</f>
        <v>-7359.1266217069533</v>
      </c>
      <c r="AN4084" s="132"/>
      <c r="AO4084" s="146"/>
      <c r="AP4084" s="138">
        <f>AP4081-AP4082</f>
        <v>-9172.3853471471557</v>
      </c>
      <c r="AQ4084" s="132"/>
      <c r="AR4084" s="146"/>
      <c r="AS4084" s="138">
        <f>AS4081-AS4082</f>
        <v>-11429.377240534321</v>
      </c>
      <c r="AT4084" s="132"/>
      <c r="AU4084" s="146"/>
    </row>
    <row r="4085" spans="13:47" ht="14.5" x14ac:dyDescent="0.35">
      <c r="M4085" s="27"/>
      <c r="N4085" s="27"/>
      <c r="O4085" s="2" t="s">
        <v>191</v>
      </c>
      <c r="P4085" s="10"/>
      <c r="Q4085" s="2"/>
      <c r="R4085" s="181">
        <f>R4084/R4081</f>
        <v>0.47717199032534086</v>
      </c>
      <c r="S4085" s="132"/>
      <c r="T4085" s="146"/>
      <c r="U4085" s="138">
        <f>U4084/U4081</f>
        <v>0.31925909545362258</v>
      </c>
      <c r="V4085" s="132"/>
      <c r="W4085" s="146"/>
      <c r="X4085" s="138">
        <f>X4084/X4081</f>
        <v>1.7684417131662371</v>
      </c>
      <c r="Y4085" s="132"/>
      <c r="Z4085" s="146"/>
      <c r="AA4085" s="138">
        <f>AA4084/AA4081</f>
        <v>1.0947551491160743</v>
      </c>
      <c r="AB4085" s="132"/>
      <c r="AC4085" s="146"/>
      <c r="AD4085" s="138">
        <f>AD4084/AD4081</f>
        <v>1.0312766347210998</v>
      </c>
      <c r="AE4085" s="132"/>
      <c r="AF4085" s="146"/>
      <c r="AG4085" s="138">
        <f>AG4084/AG4081</f>
        <v>1.0154220887699024</v>
      </c>
      <c r="AH4085" s="132"/>
      <c r="AI4085" s="146"/>
      <c r="AJ4085" s="138">
        <f>AJ4084/AJ4081</f>
        <v>1.0094543950909689</v>
      </c>
      <c r="AK4085" s="132"/>
      <c r="AL4085" s="146"/>
      <c r="AM4085" s="138">
        <f>AM4084/AM4081</f>
        <v>1.006840762595562</v>
      </c>
      <c r="AN4085" s="132"/>
      <c r="AO4085" s="146"/>
      <c r="AP4085" s="138">
        <f>AP4084/AP4081</f>
        <v>1.0054810225721977</v>
      </c>
      <c r="AQ4085" s="132"/>
      <c r="AR4085" s="146"/>
      <c r="AS4085" s="138">
        <f>AS4084/AS4081</f>
        <v>1.0043939135633799</v>
      </c>
      <c r="AT4085" s="132"/>
      <c r="AU4085" s="146"/>
    </row>
    <row r="4086" spans="13:47" x14ac:dyDescent="0.25">
      <c r="M4086" s="27"/>
      <c r="N4086" s="27"/>
      <c r="O4086" s="2" t="s">
        <v>26</v>
      </c>
      <c r="P4086" s="7">
        <v>12</v>
      </c>
      <c r="Q4086" s="2"/>
      <c r="R4086" s="181">
        <f>1-R4085/(3*F_GAMMA*R$29)</f>
        <v>0.75148335946333278</v>
      </c>
      <c r="S4086" s="133"/>
      <c r="T4086" s="146"/>
      <c r="U4086" s="138">
        <f>1-U4085/(3*F_GAMMA*U$29)</f>
        <v>0.83376281400586594</v>
      </c>
      <c r="V4086" s="133"/>
      <c r="W4086" s="146"/>
      <c r="X4086" s="138">
        <f>1-X4085/(3*F_GAMMA*X$29)</f>
        <v>6.5364283367600695E-2</v>
      </c>
      <c r="Y4086" s="133"/>
      <c r="Z4086" s="146"/>
      <c r="AA4086" s="138">
        <f>1-AA4085/(3*F_GAMMA*AA$29)</f>
        <v>0.41347983707589064</v>
      </c>
      <c r="AB4086" s="133"/>
      <c r="AC4086" s="146"/>
      <c r="AD4086" s="138">
        <f>1-AD4085/(3*F_GAMMA*AD$29)</f>
        <v>0.43234006267710101</v>
      </c>
      <c r="AE4086" s="133"/>
      <c r="AF4086" s="146"/>
      <c r="AG4086" s="138">
        <f>1-AG4085/(3*F_GAMMA*AG$29)</f>
        <v>0.40918468571008249</v>
      </c>
      <c r="AH4086" s="133"/>
      <c r="AI4086" s="146"/>
      <c r="AJ4086" s="138">
        <f>1-AJ4085/(3*F_GAMMA*AJ$29)</f>
        <v>0.37212230767549126</v>
      </c>
      <c r="AK4086" s="133"/>
      <c r="AL4086" s="146"/>
      <c r="AM4086" s="138">
        <f>1-AM4085/(3*F_GAMMA*AM$29)</f>
        <v>0.3157559847471626</v>
      </c>
      <c r="AN4086" s="133"/>
      <c r="AO4086" s="146"/>
      <c r="AP4086" s="138">
        <f>1-AP4085/(3*F_GAMMA*AP$29)</f>
        <v>0.43530999384973224</v>
      </c>
      <c r="AQ4086" s="133"/>
      <c r="AR4086" s="146"/>
      <c r="AS4086" s="138">
        <f>1-AS4085/(3*F_GAMMA*AS$29)</f>
        <v>0.14367834530098533</v>
      </c>
      <c r="AT4086" s="133"/>
      <c r="AU4086" s="146"/>
    </row>
    <row r="4087" spans="13:47" x14ac:dyDescent="0.25">
      <c r="M4087" s="27"/>
      <c r="N4087" s="27"/>
      <c r="O4087" s="2" t="s">
        <v>71</v>
      </c>
      <c r="P4087" s="85">
        <v>5</v>
      </c>
      <c r="Q4087" s="2"/>
      <c r="R4087" s="179">
        <f>R4079/((N_6*R$27*R4086)*SQRT(R4085*R4081*R4083))</f>
        <v>16.044982304428579</v>
      </c>
      <c r="S4087" s="133"/>
      <c r="T4087" s="146"/>
      <c r="U4087" s="143">
        <f>U4079/((N_6*U$27*U4086)*SQRT(U4085*U4081*U4083))</f>
        <v>54.204380963943883</v>
      </c>
      <c r="V4087" s="133"/>
      <c r="W4087" s="146"/>
      <c r="X4087" s="143">
        <f>X4079/((N_6*X$27*X4086)*SQRT(X4085*X4081*X4083))</f>
        <v>821.95528584376189</v>
      </c>
      <c r="Y4087" s="133"/>
      <c r="Z4087" s="146"/>
      <c r="AA4087" s="143">
        <f>AA4079/((N_6*AA$27*AA4086)*SQRT(AA4085*AA4081*AA4083))</f>
        <v>39.891994501529446</v>
      </c>
      <c r="AB4087" s="133"/>
      <c r="AC4087" s="146"/>
      <c r="AD4087" s="143">
        <f>AD4079/((N_6*AD$27*AD4086)*SQRT(AD4085*AD4081*AD4083))</f>
        <v>21.593154039897051</v>
      </c>
      <c r="AE4087" s="133"/>
      <c r="AF4087" s="146"/>
      <c r="AG4087" s="143">
        <f>AG4079/((N_6*AG$27*AG4086)*SQRT(AG4085*AG4081*AG4083))</f>
        <v>16.244527728348856</v>
      </c>
      <c r="AH4087" s="133"/>
      <c r="AI4087" s="146"/>
      <c r="AJ4087" s="143">
        <f>AJ4079/((N_6*AJ$27*AJ4086)*SQRT(AJ4085*AJ4081*AJ4083))</f>
        <v>14.423936514943092</v>
      </c>
      <c r="AK4087" s="133"/>
      <c r="AL4087" s="146"/>
      <c r="AM4087" s="143">
        <f>AM4079/((N_6*AM$27*AM4086)*SQRT(AM4085*AM4081*AM4083))</f>
        <v>15.327730984923257</v>
      </c>
      <c r="AN4087" s="133"/>
      <c r="AO4087" s="146"/>
      <c r="AP4087" s="143">
        <f>AP4079/((N_6*AP$27*AP4086)*SQRT(AP4085*AP4081*AP4083))</f>
        <v>11.297193947466001</v>
      </c>
      <c r="AQ4087" s="133"/>
      <c r="AR4087" s="146"/>
      <c r="AS4087" s="143">
        <f>AS4079/((N_6*AS$27*AS4086)*SQRT(AS4085*AS4081*AS4083))</f>
        <v>40.246234801413102</v>
      </c>
      <c r="AT4087" s="133"/>
      <c r="AU4087" s="146"/>
    </row>
    <row r="4088" spans="13:47" x14ac:dyDescent="0.25">
      <c r="M4088" s="27"/>
      <c r="N4088" s="27"/>
      <c r="O4088" s="2" t="s">
        <v>73</v>
      </c>
      <c r="P4088" s="85">
        <v>5</v>
      </c>
      <c r="Q4088" s="2"/>
      <c r="R4088" s="179">
        <f>R4079/((N_6*R$27*0.667)*SQRT(R4089*R4081*R4083))</f>
        <v>15.60885841304556</v>
      </c>
      <c r="S4088" s="133"/>
      <c r="T4088" s="155"/>
      <c r="U4088" s="143">
        <f>U4079/((N_6*U$27*0.667)*SQRT(U4089*U4081*U4083))</f>
        <v>47.849322542291091</v>
      </c>
      <c r="V4088" s="133"/>
      <c r="W4088" s="155"/>
      <c r="X4088" s="143">
        <f>X4079/((N_6*X$27*0.667)*SQRT(X4089*X4081*X4083))</f>
        <v>134.87910542716682</v>
      </c>
      <c r="Y4088" s="133"/>
      <c r="Z4088" s="155"/>
      <c r="AA4088" s="143">
        <f>AA4079/((N_6*AA$27*0.667)*SQRT(AA4089*AA4081*AA4083))</f>
        <v>32.803210714833192</v>
      </c>
      <c r="AB4088" s="133"/>
      <c r="AC4088" s="155"/>
      <c r="AD4088" s="143">
        <f>AD4079/((N_6*AD$27*0.667)*SQRT(AD4089*AD4081*AD4083))</f>
        <v>18.265033790341302</v>
      </c>
      <c r="AE4088" s="133"/>
      <c r="AF4088" s="155"/>
      <c r="AG4088" s="143">
        <f>AG4079/((N_6*AG$27*0.667)*SQRT(AG4089*AG4081*AG4083))</f>
        <v>13.267439822933206</v>
      </c>
      <c r="AH4088" s="133"/>
      <c r="AI4088" s="155"/>
      <c r="AJ4088" s="143">
        <f>AJ4079/((N_6*AJ$27*0.667)*SQRT(AJ4089*AJ4081*AJ4083))</f>
        <v>11.044392386363912</v>
      </c>
      <c r="AK4088" s="133"/>
      <c r="AL4088" s="155"/>
      <c r="AM4088" s="143">
        <f>AM4079/((N_6*AM$27*0.667)*SQRT(AM4089*AM4081*AM4083))</f>
        <v>10.396083464627388</v>
      </c>
      <c r="AN4088" s="133"/>
      <c r="AO4088" s="155"/>
      <c r="AP4088" s="143">
        <f>AP4079/((N_6*AP$27*0.667)*SQRT(AP4089*AP4081*AP4083))</f>
        <v>9.596416013600626</v>
      </c>
      <c r="AQ4088" s="133"/>
      <c r="AR4088" s="155"/>
      <c r="AS4088" s="143">
        <f>AS4079/((N_6*AS$27*0.667)*SQRT(AS4089*AS4081*AS4083))</f>
        <v>13.895360900115508</v>
      </c>
      <c r="AT4088" s="133"/>
      <c r="AU4088" s="155"/>
    </row>
    <row r="4089" spans="13:47" ht="15.5" x14ac:dyDescent="0.4">
      <c r="M4089" s="27"/>
      <c r="N4089" s="27"/>
      <c r="O4089" s="2" t="s">
        <v>192</v>
      </c>
      <c r="P4089" s="85">
        <v>10</v>
      </c>
      <c r="Q4089" s="2"/>
      <c r="R4089" s="181">
        <f>F_GAMMA*R$29</f>
        <v>0.64002688015162901</v>
      </c>
      <c r="S4089" s="133"/>
      <c r="T4089" s="155"/>
      <c r="U4089" s="138">
        <f>F_GAMMA*U$29</f>
        <v>0.64016782916606918</v>
      </c>
      <c r="V4089" s="133"/>
      <c r="W4089" s="155"/>
      <c r="X4089" s="138">
        <f>F_GAMMA*X$29</f>
        <v>0.6307062319203669</v>
      </c>
      <c r="Y4089" s="133"/>
      <c r="Z4089" s="155"/>
      <c r="AA4089" s="138">
        <f>F_GAMMA*AA$29</f>
        <v>0.62217534213893466</v>
      </c>
      <c r="AB4089" s="133"/>
      <c r="AC4089" s="155"/>
      <c r="AD4089" s="138">
        <f>F_GAMMA*AD$29</f>
        <v>0.60557184969146072</v>
      </c>
      <c r="AE4089" s="133"/>
      <c r="AF4089" s="155"/>
      <c r="AG4089" s="138">
        <f>F_GAMMA*AG$29</f>
        <v>0.57289312142622573</v>
      </c>
      <c r="AH4089" s="133"/>
      <c r="AI4089" s="155"/>
      <c r="AJ4089" s="138">
        <f>F_GAMMA*AJ$29</f>
        <v>0.53590819116049981</v>
      </c>
      <c r="AK4089" s="133"/>
      <c r="AL4089" s="155"/>
      <c r="AM4089" s="138">
        <f>F_GAMMA*AM$29</f>
        <v>0.49048815926850342</v>
      </c>
      <c r="AN4089" s="133"/>
      <c r="AO4089" s="155"/>
      <c r="AP4089" s="138">
        <f>F_GAMMA*AP$29</f>
        <v>0.59352979016280105</v>
      </c>
      <c r="AQ4089" s="133"/>
      <c r="AR4089" s="155"/>
      <c r="AS4089" s="138">
        <f>F_GAMMA*AS$29</f>
        <v>0.39097221161068291</v>
      </c>
      <c r="AT4089" s="133"/>
      <c r="AU4089" s="155"/>
    </row>
    <row r="4090" spans="13:47" x14ac:dyDescent="0.25">
      <c r="M4090" s="27"/>
      <c r="N4090" s="27"/>
      <c r="O4090" s="2" t="s">
        <v>193</v>
      </c>
      <c r="P4090" s="134"/>
      <c r="Q4090" s="2"/>
      <c r="R4090" s="181">
        <f>IF(R4085&lt;R4089,R4087,R4088)</f>
        <v>16.044982304428579</v>
      </c>
      <c r="S4090" s="133"/>
      <c r="T4090" s="155"/>
      <c r="U4090" s="138">
        <f>IF(U4085&lt;U4089,U4087,U4088)</f>
        <v>54.204380963943883</v>
      </c>
      <c r="V4090" s="133"/>
      <c r="W4090" s="155"/>
      <c r="X4090" s="138">
        <f>IF(X4085&lt;X4089,X4087,X4088)</f>
        <v>134.87910542716682</v>
      </c>
      <c r="Y4090" s="133"/>
      <c r="Z4090" s="155"/>
      <c r="AA4090" s="138">
        <f>IF(AA4085&lt;AA4089,AA4087,AA4088)</f>
        <v>32.803210714833192</v>
      </c>
      <c r="AB4090" s="133"/>
      <c r="AC4090" s="155"/>
      <c r="AD4090" s="138">
        <f>IF(AD4085&lt;AD4089,AD4087,AD4088)</f>
        <v>18.265033790341302</v>
      </c>
      <c r="AE4090" s="133"/>
      <c r="AF4090" s="155"/>
      <c r="AG4090" s="138">
        <f>IF(AG4085&lt;AG4089,AG4087,AG4088)</f>
        <v>13.267439822933206</v>
      </c>
      <c r="AH4090" s="133"/>
      <c r="AI4090" s="155"/>
      <c r="AJ4090" s="138">
        <f>IF(AJ4085&lt;AJ4089,AJ4087,AJ4088)</f>
        <v>11.044392386363912</v>
      </c>
      <c r="AK4090" s="133"/>
      <c r="AL4090" s="155"/>
      <c r="AM4090" s="138">
        <f>IF(AM4085&lt;AM4089,AM4087,AM4088)</f>
        <v>10.396083464627388</v>
      </c>
      <c r="AN4090" s="133"/>
      <c r="AO4090" s="155"/>
      <c r="AP4090" s="138">
        <f>IF(AP4085&lt;AP4089,AP4087,AP4088)</f>
        <v>9.596416013600626</v>
      </c>
      <c r="AQ4090" s="133"/>
      <c r="AR4090" s="155"/>
      <c r="AS4090" s="138">
        <f>IF(AS4085&lt;AS4089,AS4087,AS4088)</f>
        <v>13.895360900115508</v>
      </c>
      <c r="AT4090" s="133"/>
      <c r="AU4090" s="155"/>
    </row>
    <row r="4091" spans="13:47" ht="13" x14ac:dyDescent="0.3">
      <c r="M4091" s="28"/>
      <c r="N4091" s="28"/>
      <c r="O4091" s="9" t="s">
        <v>194</v>
      </c>
      <c r="P4091" s="1"/>
      <c r="Q4091" s="1"/>
      <c r="R4091" s="135"/>
      <c r="S4091" s="132">
        <f>IF(R4084&lt;=0,W_max,ABS(R$23-R4090))</f>
        <v>14.044982304428579</v>
      </c>
      <c r="T4091" s="151">
        <f>R4079</f>
        <v>3501.5080236986128</v>
      </c>
      <c r="U4091" s="135"/>
      <c r="V4091" s="132">
        <f>IF(U4084&lt;=0,W_max,ABS(U$23-U4090))</f>
        <v>49.204380963943883</v>
      </c>
      <c r="W4091" s="151">
        <f>U4079</f>
        <v>8239.7612745730548</v>
      </c>
      <c r="X4091" s="135"/>
      <c r="Y4091" s="132">
        <f>IF(X4084&lt;=0,W_max,ABS(X$23-X4090))</f>
        <v>7174</v>
      </c>
      <c r="Z4091" s="151">
        <f>X4079</f>
        <v>20377.910175105018</v>
      </c>
      <c r="AA4091" s="135"/>
      <c r="AB4091" s="132">
        <f>IF(AA4084&lt;=0,W_max,ABS(AA$23-AA4090))</f>
        <v>7174</v>
      </c>
      <c r="AC4091" s="151">
        <f>AA4079</f>
        <v>39690.967652998814</v>
      </c>
      <c r="AD4091" s="135"/>
      <c r="AE4091" s="132">
        <f>IF(AD4084&lt;=0,W_max,ABS(AD$23-AD4090))</f>
        <v>7174</v>
      </c>
      <c r="AF4091" s="151">
        <f>AD4079</f>
        <v>65277.028441898059</v>
      </c>
      <c r="AG4091" s="135"/>
      <c r="AH4091" s="132">
        <f>IF(AG4084&lt;=0,W_max,ABS(AG$23-AG4090))</f>
        <v>7174</v>
      </c>
      <c r="AI4091" s="151">
        <f>AG4079</f>
        <v>91556.057818142814</v>
      </c>
      <c r="AJ4091" s="135"/>
      <c r="AK4091" s="132">
        <f>IF(AJ4084&lt;=0,W_max,ABS(AJ$23-AJ4090))</f>
        <v>7174</v>
      </c>
      <c r="AL4091" s="151">
        <f>AJ4079</f>
        <v>116251.89889468718</v>
      </c>
      <c r="AM4091" s="135"/>
      <c r="AN4091" s="132">
        <f>IF(AM4084&lt;=0,W_max,ABS(AM$23-AM4090))</f>
        <v>7174</v>
      </c>
      <c r="AO4091" s="151">
        <f>AM4079</f>
        <v>136314.49407573912</v>
      </c>
      <c r="AP4091" s="135"/>
      <c r="AQ4091" s="132">
        <f>IF(AP4084&lt;=0,W_max,ABS(AP$23-AP4090))</f>
        <v>7174</v>
      </c>
      <c r="AR4091" s="151">
        <f>AP4079</f>
        <v>152081.76623199898</v>
      </c>
      <c r="AS4091" s="135"/>
      <c r="AT4091" s="132">
        <f>IF(AS4084&lt;=0,W_max,ABS(AS$23-AS4090))</f>
        <v>7174</v>
      </c>
      <c r="AU4091" s="151">
        <f>AS4079</f>
        <v>169672.81268999554</v>
      </c>
    </row>
    <row r="4092" spans="13:47" ht="13" x14ac:dyDescent="0.25">
      <c r="M4092" s="12"/>
      <c r="N4092" s="12"/>
      <c r="O4092" s="2"/>
      <c r="P4092" s="85"/>
      <c r="Q4092" s="2"/>
      <c r="R4092" s="18"/>
      <c r="S4092" s="150"/>
      <c r="T4092" s="152"/>
      <c r="U4092" s="157"/>
      <c r="V4092" s="1"/>
      <c r="W4092" s="147"/>
      <c r="X4092" s="157"/>
      <c r="Y4092" s="1"/>
      <c r="Z4092" s="147"/>
      <c r="AA4092" s="157"/>
      <c r="AB4092" s="1"/>
      <c r="AC4092" s="147"/>
      <c r="AD4092" s="157"/>
      <c r="AE4092" s="1"/>
      <c r="AF4092" s="147"/>
      <c r="AG4092" s="157"/>
      <c r="AH4092" s="1"/>
      <c r="AI4092" s="147"/>
      <c r="AJ4092" s="157"/>
      <c r="AK4092" s="1"/>
      <c r="AL4092" s="147"/>
      <c r="AM4092" s="157"/>
      <c r="AN4092" s="1"/>
      <c r="AO4092" s="147"/>
      <c r="AP4092" s="157"/>
      <c r="AQ4092" s="1"/>
      <c r="AR4092" s="147"/>
      <c r="AS4092" s="157"/>
      <c r="AT4092" s="1"/>
      <c r="AU4092" s="147"/>
    </row>
    <row r="4093" spans="13:47" ht="14" x14ac:dyDescent="0.3">
      <c r="M4093" s="23"/>
      <c r="N4093" s="23"/>
      <c r="O4093" s="23" t="s">
        <v>238</v>
      </c>
      <c r="P4093" s="20"/>
      <c r="Q4093" s="20"/>
      <c r="R4093" s="181">
        <f>R4079*1.02</f>
        <v>3571.5381841725853</v>
      </c>
      <c r="S4093" s="128" t="s">
        <v>185</v>
      </c>
      <c r="T4093" s="153" t="s">
        <v>186</v>
      </c>
      <c r="U4093" s="143">
        <f>U4079*1.01</f>
        <v>8322.1588873187848</v>
      </c>
      <c r="V4093" s="128" t="s">
        <v>185</v>
      </c>
      <c r="W4093" s="153" t="s">
        <v>186</v>
      </c>
      <c r="X4093" s="143">
        <f>X4079*1.01</f>
        <v>20581.689276856068</v>
      </c>
      <c r="Y4093" s="128" t="s">
        <v>185</v>
      </c>
      <c r="Z4093" s="153" t="s">
        <v>186</v>
      </c>
      <c r="AA4093" s="143">
        <f>AA4079*1.01</f>
        <v>40087.877329528805</v>
      </c>
      <c r="AB4093" s="128" t="s">
        <v>185</v>
      </c>
      <c r="AC4093" s="153" t="s">
        <v>186</v>
      </c>
      <c r="AD4093" s="143">
        <f>AD4079*1.01</f>
        <v>65929.798726317036</v>
      </c>
      <c r="AE4093" s="128" t="s">
        <v>185</v>
      </c>
      <c r="AF4093" s="153" t="s">
        <v>186</v>
      </c>
      <c r="AG4093" s="143">
        <f>AG4079*1.01</f>
        <v>92471.618396324237</v>
      </c>
      <c r="AH4093" s="128" t="s">
        <v>185</v>
      </c>
      <c r="AI4093" s="153" t="s">
        <v>186</v>
      </c>
      <c r="AJ4093" s="143">
        <f>AJ4079*1.01</f>
        <v>117414.41788363406</v>
      </c>
      <c r="AK4093" s="128" t="s">
        <v>185</v>
      </c>
      <c r="AL4093" s="153" t="s">
        <v>186</v>
      </c>
      <c r="AM4093" s="143">
        <f>AM4079*1.01</f>
        <v>137677.63901649651</v>
      </c>
      <c r="AN4093" s="128" t="s">
        <v>185</v>
      </c>
      <c r="AO4093" s="153" t="s">
        <v>186</v>
      </c>
      <c r="AP4093" s="143">
        <f>AP4079*1.01</f>
        <v>153602.58389431896</v>
      </c>
      <c r="AQ4093" s="128" t="s">
        <v>185</v>
      </c>
      <c r="AR4093" s="153" t="s">
        <v>186</v>
      </c>
      <c r="AS4093" s="143">
        <f>AS4079*1.01</f>
        <v>171369.54081689549</v>
      </c>
      <c r="AT4093" s="128" t="s">
        <v>185</v>
      </c>
      <c r="AU4093" s="153" t="s">
        <v>186</v>
      </c>
    </row>
    <row r="4094" spans="13:47" ht="14" x14ac:dyDescent="0.3">
      <c r="M4094" s="12"/>
      <c r="N4094" s="12"/>
      <c r="O4094" s="20"/>
      <c r="P4094" s="20"/>
      <c r="Q4094" s="23"/>
      <c r="R4094" s="139"/>
      <c r="S4094" s="130" t="s">
        <v>228</v>
      </c>
      <c r="T4094" s="154" t="s">
        <v>187</v>
      </c>
      <c r="U4094" s="144"/>
      <c r="V4094" s="130" t="s">
        <v>228</v>
      </c>
      <c r="W4094" s="154" t="s">
        <v>187</v>
      </c>
      <c r="X4094" s="144"/>
      <c r="Y4094" s="130" t="s">
        <v>228</v>
      </c>
      <c r="Z4094" s="154" t="s">
        <v>187</v>
      </c>
      <c r="AA4094" s="144"/>
      <c r="AB4094" s="130" t="s">
        <v>228</v>
      </c>
      <c r="AC4094" s="154" t="s">
        <v>187</v>
      </c>
      <c r="AD4094" s="144"/>
      <c r="AE4094" s="130" t="s">
        <v>228</v>
      </c>
      <c r="AF4094" s="154" t="s">
        <v>187</v>
      </c>
      <c r="AG4094" s="144"/>
      <c r="AH4094" s="130" t="s">
        <v>228</v>
      </c>
      <c r="AI4094" s="154" t="s">
        <v>187</v>
      </c>
      <c r="AJ4094" s="144"/>
      <c r="AK4094" s="130" t="s">
        <v>228</v>
      </c>
      <c r="AL4094" s="154" t="s">
        <v>187</v>
      </c>
      <c r="AM4094" s="144"/>
      <c r="AN4094" s="130" t="s">
        <v>228</v>
      </c>
      <c r="AO4094" s="154" t="s">
        <v>187</v>
      </c>
      <c r="AP4094" s="144"/>
      <c r="AQ4094" s="130" t="s">
        <v>228</v>
      </c>
      <c r="AR4094" s="154" t="s">
        <v>187</v>
      </c>
      <c r="AS4094" s="144"/>
      <c r="AT4094" s="130" t="s">
        <v>228</v>
      </c>
      <c r="AU4094" s="154" t="s">
        <v>187</v>
      </c>
    </row>
    <row r="4095" spans="13:47" x14ac:dyDescent="0.25">
      <c r="M4095" s="20"/>
      <c r="N4095" s="20"/>
      <c r="O4095" s="7" t="s">
        <v>188</v>
      </c>
      <c r="P4095" s="7"/>
      <c r="Q4095" s="7"/>
      <c r="R4095" s="181">
        <f>P_1_minW-(R4093^2*R_up)+dpup_minQ</f>
        <v>95.436226607258803</v>
      </c>
      <c r="S4095" s="132"/>
      <c r="T4095" s="145"/>
      <c r="U4095" s="138">
        <f>P_1_minW-(U4093^2*R_up)+dpup_minQ</f>
        <v>72.905208451342801</v>
      </c>
      <c r="V4095" s="132"/>
      <c r="W4095" s="145"/>
      <c r="X4095" s="138">
        <f>P_1_minW-(X4093^2*R_up)+dpup_minQ</f>
        <v>-68.395093263136928</v>
      </c>
      <c r="Y4095" s="132"/>
      <c r="Z4095" s="145"/>
      <c r="AA4095" s="138">
        <f>P_1_minW-(AA4093^2*R_up)+dpup_minQ</f>
        <v>-540.30260113237171</v>
      </c>
      <c r="AB4095" s="132"/>
      <c r="AC4095" s="145"/>
      <c r="AD4095" s="138">
        <f>P_1_minW-(AD4093^2*R_up)+dpup_minQ</f>
        <v>-1632.7905846160259</v>
      </c>
      <c r="AE4095" s="132"/>
      <c r="AF4095" s="145"/>
      <c r="AG4095" s="138">
        <f>P_1_minW-(AG4093^2*R_up)+dpup_minQ</f>
        <v>-3309.2897606415772</v>
      </c>
      <c r="AH4095" s="132"/>
      <c r="AI4095" s="145"/>
      <c r="AJ4095" s="138">
        <f>P_1_minW-(AJ4093^2*R_up)+dpup_minQ</f>
        <v>-5396.8659221554472</v>
      </c>
      <c r="AK4095" s="132"/>
      <c r="AL4095" s="145"/>
      <c r="AM4095" s="138">
        <f>P_1_minW-(AM4093^2*R_up)+dpup_minQ</f>
        <v>-7458.0605748166727</v>
      </c>
      <c r="AN4095" s="132"/>
      <c r="AO4095" s="145"/>
      <c r="AP4095" s="138">
        <f>P_1_minW-(AP4093^2*R_up)+dpup_minQ</f>
        <v>-9307.7658006382208</v>
      </c>
      <c r="AQ4095" s="132"/>
      <c r="AR4095" s="145"/>
      <c r="AS4095" s="138">
        <f>P_1_minW-(AS4093^2*R_up)+dpup_minQ</f>
        <v>-11610.123231082469</v>
      </c>
      <c r="AT4095" s="132"/>
      <c r="AU4095" s="145"/>
    </row>
    <row r="4096" spans="13:47" x14ac:dyDescent="0.25">
      <c r="M4096" s="20"/>
      <c r="N4096" s="20"/>
      <c r="O4096" s="7" t="s">
        <v>189</v>
      </c>
      <c r="P4096" s="1"/>
      <c r="Q4096" s="7"/>
      <c r="R4096" s="181">
        <f>P_2_minW+(R4093^2*R_dn)-dpdn_minQ</f>
        <v>50</v>
      </c>
      <c r="S4096" s="132"/>
      <c r="T4096" s="146"/>
      <c r="U4096" s="138">
        <f>P_2_minW+(U4093^2*R_dn)-dpdn_minQ</f>
        <v>50</v>
      </c>
      <c r="V4096" s="132"/>
      <c r="W4096" s="146"/>
      <c r="X4096" s="138">
        <f>P_2_minW+(X4093^2*R_dn)-dpdn_minQ</f>
        <v>50</v>
      </c>
      <c r="Y4096" s="132"/>
      <c r="Z4096" s="146"/>
      <c r="AA4096" s="138">
        <f>P_2_minW+(AA4093^2*R_dn)-dpdn_minQ</f>
        <v>50</v>
      </c>
      <c r="AB4096" s="132"/>
      <c r="AC4096" s="146"/>
      <c r="AD4096" s="138">
        <f>P_2_minW+(AD4093^2*R_dn)-dpdn_minQ</f>
        <v>50</v>
      </c>
      <c r="AE4096" s="132"/>
      <c r="AF4096" s="146"/>
      <c r="AG4096" s="138">
        <f>P_2_minW+(AG4093^2*R_dn)-dpdn_minQ</f>
        <v>50</v>
      </c>
      <c r="AH4096" s="132"/>
      <c r="AI4096" s="146"/>
      <c r="AJ4096" s="138">
        <f>P_2_minW+(AJ4093^2*R_dn)-dpdn_minQ</f>
        <v>50</v>
      </c>
      <c r="AK4096" s="132"/>
      <c r="AL4096" s="146"/>
      <c r="AM4096" s="138">
        <f>P_2_minW+(AM4093^2*R_dn)-dpdn_minQ</f>
        <v>50</v>
      </c>
      <c r="AN4096" s="132"/>
      <c r="AO4096" s="146"/>
      <c r="AP4096" s="138">
        <f>P_2_minW+(AP4093^2*R_dn)-dpdn_minQ</f>
        <v>50</v>
      </c>
      <c r="AQ4096" s="132"/>
      <c r="AR4096" s="146"/>
      <c r="AS4096" s="138">
        <f>P_2_minW+(AS4093^2*R_dn)-dpdn_minQ</f>
        <v>50</v>
      </c>
      <c r="AT4096" s="132"/>
      <c r="AU4096" s="146"/>
    </row>
    <row r="4097" spans="13:47" x14ac:dyDescent="0.25">
      <c r="M4097" s="20"/>
      <c r="N4097" s="20"/>
      <c r="O4097" s="7" t="s">
        <v>234</v>
      </c>
      <c r="P4097" s="1"/>
      <c r="Q4097" s="7"/>
      <c r="R4097" s="179">
        <f>'Valve Sizing'!G$8*R4095/P_1_maxW</f>
        <v>0.46036736578055076</v>
      </c>
      <c r="S4097" s="132"/>
      <c r="T4097" s="146"/>
      <c r="U4097" s="143">
        <f>'Valve Sizing'!$G$8*U4095/P_1_maxW</f>
        <v>0.35168174559694759</v>
      </c>
      <c r="V4097" s="132"/>
      <c r="W4097" s="146"/>
      <c r="X4097" s="143">
        <f>'Valve Sizing'!$G$8*X4095/P_1_maxW</f>
        <v>-0.32992575290555937</v>
      </c>
      <c r="Y4097" s="132"/>
      <c r="Z4097" s="146"/>
      <c r="AA4097" s="143">
        <f>'Valve Sizing'!$G$8*AA4095/P_1_maxW</f>
        <v>-2.6063235529135094</v>
      </c>
      <c r="AB4097" s="132"/>
      <c r="AC4097" s="146"/>
      <c r="AD4097" s="143">
        <f>'Valve Sizing'!$G$8*AD4095/P_1_maxW</f>
        <v>-7.8762910797417565</v>
      </c>
      <c r="AE4097" s="132"/>
      <c r="AF4097" s="146"/>
      <c r="AG4097" s="143">
        <f>'Valve Sizing'!$G$8*AG4095/P_1_maxW</f>
        <v>-15.963424622608006</v>
      </c>
      <c r="AH4097" s="132"/>
      <c r="AI4097" s="146"/>
      <c r="AJ4097" s="143">
        <f>'Valve Sizing'!$G$8*AJ4095/P_1_maxW</f>
        <v>-26.033520355723642</v>
      </c>
      <c r="AK4097" s="132"/>
      <c r="AL4097" s="146"/>
      <c r="AM4097" s="143">
        <f>'Valve Sizing'!$G$8*AM4095/P_1_maxW</f>
        <v>-35.976356387072272</v>
      </c>
      <c r="AN4097" s="132"/>
      <c r="AO4097" s="146"/>
      <c r="AP4097" s="143">
        <f>'Valve Sizing'!$G$8*AP4095/P_1_maxW</f>
        <v>-44.899005076717941</v>
      </c>
      <c r="AQ4097" s="132"/>
      <c r="AR4097" s="146"/>
      <c r="AS4097" s="143">
        <f>'Valve Sizing'!$G$8*AS4095/P_1_maxW</f>
        <v>-56.005167411705713</v>
      </c>
      <c r="AT4097" s="132"/>
      <c r="AU4097" s="146"/>
    </row>
    <row r="4098" spans="13:47" x14ac:dyDescent="0.25">
      <c r="M4098" s="20"/>
      <c r="N4098" s="20"/>
      <c r="O4098" s="7" t="s">
        <v>190</v>
      </c>
      <c r="P4098" s="1"/>
      <c r="Q4098" s="7"/>
      <c r="R4098" s="181">
        <f>R4095-R4096</f>
        <v>45.436226607258803</v>
      </c>
      <c r="S4098" s="132"/>
      <c r="T4098" s="146"/>
      <c r="U4098" s="138">
        <f>U4095-U4096</f>
        <v>22.905208451342801</v>
      </c>
      <c r="V4098" s="132"/>
      <c r="W4098" s="146"/>
      <c r="X4098" s="138">
        <f>X4095-X4096</f>
        <v>-118.39509326313693</v>
      </c>
      <c r="Y4098" s="132"/>
      <c r="Z4098" s="146"/>
      <c r="AA4098" s="138">
        <f>AA4095-AA4096</f>
        <v>-590.30260113237171</v>
      </c>
      <c r="AB4098" s="132"/>
      <c r="AC4098" s="146"/>
      <c r="AD4098" s="138">
        <f>AD4095-AD4096</f>
        <v>-1682.7905846160259</v>
      </c>
      <c r="AE4098" s="132"/>
      <c r="AF4098" s="146"/>
      <c r="AG4098" s="138">
        <f>AG4095-AG4096</f>
        <v>-3359.2897606415772</v>
      </c>
      <c r="AH4098" s="132"/>
      <c r="AI4098" s="146"/>
      <c r="AJ4098" s="138">
        <f>AJ4095-AJ4096</f>
        <v>-5446.8659221554472</v>
      </c>
      <c r="AK4098" s="132"/>
      <c r="AL4098" s="146"/>
      <c r="AM4098" s="138">
        <f>AM4095-AM4096</f>
        <v>-7508.0605748166727</v>
      </c>
      <c r="AN4098" s="132"/>
      <c r="AO4098" s="146"/>
      <c r="AP4098" s="138">
        <f>AP4095-AP4096</f>
        <v>-9357.7658006382208</v>
      </c>
      <c r="AQ4098" s="132"/>
      <c r="AR4098" s="146"/>
      <c r="AS4098" s="138">
        <f>AS4095-AS4096</f>
        <v>-11660.123231082469</v>
      </c>
      <c r="AT4098" s="132"/>
      <c r="AU4098" s="146"/>
    </row>
    <row r="4099" spans="13:47" ht="14.5" x14ac:dyDescent="0.35">
      <c r="M4099" s="27"/>
      <c r="N4099" s="27"/>
      <c r="O4099" s="2" t="s">
        <v>191</v>
      </c>
      <c r="P4099" s="10"/>
      <c r="Q4099" s="2"/>
      <c r="R4099" s="181">
        <f>R4098/R4095</f>
        <v>0.47608993170108171</v>
      </c>
      <c r="S4099" s="132"/>
      <c r="T4099" s="146"/>
      <c r="U4099" s="138">
        <f>U4098/U4095</f>
        <v>0.31417794335818711</v>
      </c>
      <c r="V4099" s="132"/>
      <c r="W4099" s="146"/>
      <c r="X4099" s="138">
        <f>X4098/X4095</f>
        <v>1.731046594346098</v>
      </c>
      <c r="Y4099" s="132"/>
      <c r="Z4099" s="146"/>
      <c r="AA4099" s="138">
        <f>AA4098/AA4095</f>
        <v>1.0925407353124148</v>
      </c>
      <c r="AB4099" s="132"/>
      <c r="AC4099" s="146"/>
      <c r="AD4099" s="138">
        <f>AD4098/AD4095</f>
        <v>1.0306224205792798</v>
      </c>
      <c r="AE4099" s="132"/>
      <c r="AF4099" s="146"/>
      <c r="AG4099" s="138">
        <f>AG4098/AG4095</f>
        <v>1.015108982173355</v>
      </c>
      <c r="AH4099" s="132"/>
      <c r="AI4099" s="146"/>
      <c r="AJ4099" s="138">
        <f>AJ4098/AJ4095</f>
        <v>1.0092646363132236</v>
      </c>
      <c r="AK4099" s="132"/>
      <c r="AL4099" s="146"/>
      <c r="AM4099" s="138">
        <f>AM4098/AM4095</f>
        <v>1.0067041557920344</v>
      </c>
      <c r="AN4099" s="132"/>
      <c r="AO4099" s="146"/>
      <c r="AP4099" s="138">
        <f>AP4098/AP4095</f>
        <v>1.0053718584105942</v>
      </c>
      <c r="AQ4099" s="132"/>
      <c r="AR4099" s="146"/>
      <c r="AS4099" s="138">
        <f>AS4098/AS4095</f>
        <v>1.0043065865025567</v>
      </c>
      <c r="AT4099" s="132"/>
      <c r="AU4099" s="146"/>
    </row>
    <row r="4100" spans="13:47" x14ac:dyDescent="0.25">
      <c r="M4100" s="27"/>
      <c r="N4100" s="27"/>
      <c r="O4100" s="2" t="s">
        <v>26</v>
      </c>
      <c r="P4100" s="7">
        <v>12</v>
      </c>
      <c r="Q4100" s="2"/>
      <c r="R4100" s="181">
        <f>1-R4099/(3*F_GAMMA*R$29)</f>
        <v>0.75204690799429597</v>
      </c>
      <c r="S4100" s="133"/>
      <c r="T4100" s="146"/>
      <c r="U4100" s="138">
        <f>1-U4099/(3*F_GAMMA*U$29)</f>
        <v>0.83640855358848687</v>
      </c>
      <c r="V4100" s="133"/>
      <c r="W4100" s="146"/>
      <c r="X4100" s="138">
        <f>1-X4099/(3*F_GAMMA*X$29)</f>
        <v>8.5127905440526175E-2</v>
      </c>
      <c r="Y4100" s="133"/>
      <c r="Z4100" s="146"/>
      <c r="AA4100" s="138">
        <f>1-AA4099/(3*F_GAMMA*AA$29)</f>
        <v>0.41466621957059957</v>
      </c>
      <c r="AB4100" s="133"/>
      <c r="AC4100" s="146"/>
      <c r="AD4100" s="138">
        <f>1-AD4099/(3*F_GAMMA*AD$29)</f>
        <v>0.43270017086363211</v>
      </c>
      <c r="AE4100" s="133"/>
      <c r="AF4100" s="146"/>
      <c r="AG4100" s="138">
        <f>1-AG4099/(3*F_GAMMA*AG$29)</f>
        <v>0.40936686430782154</v>
      </c>
      <c r="AH4100" s="133"/>
      <c r="AI4100" s="146"/>
      <c r="AJ4100" s="138">
        <f>1-AJ4099/(3*F_GAMMA*AJ$29)</f>
        <v>0.37224033708231585</v>
      </c>
      <c r="AK4100" s="133"/>
      <c r="AL4100" s="146"/>
      <c r="AM4100" s="138">
        <f>1-AM4099/(3*F_GAMMA*AM$29)</f>
        <v>0.31584882205692311</v>
      </c>
      <c r="AN4100" s="133"/>
      <c r="AO4100" s="146"/>
      <c r="AP4100" s="138">
        <f>1-AP4099/(3*F_GAMMA*AP$29)</f>
        <v>0.43537130173093874</v>
      </c>
      <c r="AQ4100" s="133"/>
      <c r="AR4100" s="146"/>
      <c r="AS4100" s="138">
        <f>1-AS4099/(3*F_GAMMA*AS$29)</f>
        <v>0.14375279821454279</v>
      </c>
      <c r="AT4100" s="133"/>
      <c r="AU4100" s="146"/>
    </row>
    <row r="4101" spans="13:47" x14ac:dyDescent="0.25">
      <c r="M4101" s="27"/>
      <c r="N4101" s="27"/>
      <c r="O4101" s="2" t="s">
        <v>71</v>
      </c>
      <c r="P4101" s="85">
        <v>5</v>
      </c>
      <c r="Q4101" s="2"/>
      <c r="R4101" s="179">
        <f>R4093/((N_6*R$27*R4100)*SQRT(R4099*R4095*R4097))</f>
        <v>16.406076177612096</v>
      </c>
      <c r="S4101" s="133"/>
      <c r="T4101" s="146"/>
      <c r="U4101" s="143">
        <f>U4093/((N_6*U$27*U4100)*SQRT(U4099*U4095*U4097))</f>
        <v>55.423406186634047</v>
      </c>
      <c r="V4101" s="133"/>
      <c r="W4101" s="146"/>
      <c r="X4101" s="143">
        <f>X4093/((N_6*X$27*X4100)*SQRT(X4099*X4095*X4097))</f>
        <v>612.93334082634499</v>
      </c>
      <c r="Y4101" s="133"/>
      <c r="Z4101" s="146"/>
      <c r="AA4101" s="143">
        <f>AA4093/((N_6*AA$27*AA4100)*SQRT(AA4099*AA4095*AA4097))</f>
        <v>39.276484526557347</v>
      </c>
      <c r="AB4101" s="133"/>
      <c r="AC4101" s="146"/>
      <c r="AD4101" s="143">
        <f>AD4093/((N_6*AD$27*AD4100)*SQRT(AD4099*AD4095*AD4097))</f>
        <v>21.341904204280677</v>
      </c>
      <c r="AE4101" s="133"/>
      <c r="AF4101" s="146"/>
      <c r="AG4101" s="143">
        <f>AG4093/((N_6*AG$27*AG4100)*SQRT(AG4099*AG4095*AG4097))</f>
        <v>16.069195209928349</v>
      </c>
      <c r="AH4101" s="133"/>
      <c r="AI4101" s="146"/>
      <c r="AJ4101" s="143">
        <f>AJ4093/((N_6*AJ$27*AJ4100)*SQRT(AJ4099*AJ4095*AJ4097))</f>
        <v>14.272593629560138</v>
      </c>
      <c r="AK4101" s="133"/>
      <c r="AL4101" s="146"/>
      <c r="AM4101" s="143">
        <f>AM4093/((N_6*AM$27*AM4100)*SQRT(AM4099*AM4095*AM4097))</f>
        <v>15.168429451291326</v>
      </c>
      <c r="AN4101" s="133"/>
      <c r="AO4101" s="146"/>
      <c r="AP4101" s="143">
        <f>AP4093/((N_6*AP$27*AP4100)*SQRT(AP4099*AP4095*AP4097))</f>
        <v>11.181944728435314</v>
      </c>
      <c r="AQ4101" s="133"/>
      <c r="AR4101" s="146"/>
      <c r="AS4101" s="143">
        <f>AS4093/((N_6*AS$27*AS4100)*SQRT(AS4099*AS4095*AS4097))</f>
        <v>39.821919239040447</v>
      </c>
      <c r="AT4101" s="133"/>
      <c r="AU4101" s="146"/>
    </row>
    <row r="4102" spans="13:47" x14ac:dyDescent="0.25">
      <c r="M4102" s="27"/>
      <c r="N4102" s="27"/>
      <c r="O4102" s="2" t="s">
        <v>73</v>
      </c>
      <c r="P4102" s="85">
        <v>5</v>
      </c>
      <c r="Q4102" s="2"/>
      <c r="R4102" s="179">
        <f>R4093/((N_6*R$27*0.667)*SQRT(R4103*R4095*R4097))</f>
        <v>15.953986176031897</v>
      </c>
      <c r="S4102" s="133"/>
      <c r="T4102" s="155"/>
      <c r="U4102" s="143">
        <f>U4093/((N_6*U$27*0.667)*SQRT(U4103*U4095*U4097))</f>
        <v>48.688541824743844</v>
      </c>
      <c r="V4102" s="133"/>
      <c r="W4102" s="155"/>
      <c r="X4102" s="143">
        <f>X4093/((N_6*X$27*0.667)*SQRT(X4103*X4095*X4097))</f>
        <v>129.59856040004468</v>
      </c>
      <c r="Y4102" s="133"/>
      <c r="Z4102" s="155"/>
      <c r="AA4102" s="143">
        <f>AA4093/((N_6*AA$27*0.667)*SQRT(AA4103*AA4095*AA4097))</f>
        <v>32.356970583250508</v>
      </c>
      <c r="AB4102" s="133"/>
      <c r="AC4102" s="155"/>
      <c r="AD4102" s="143">
        <f>AD4093/((N_6*AD$27*0.667)*SQRT(AD4103*AD4095*AD4097))</f>
        <v>18.061813463189278</v>
      </c>
      <c r="AE4102" s="133"/>
      <c r="AF4102" s="155"/>
      <c r="AG4102" s="143">
        <f>AG4093/((N_6*AG$27*0.667)*SQRT(AG4103*AG4095*AG4097))</f>
        <v>13.128058715599593</v>
      </c>
      <c r="AH4102" s="133"/>
      <c r="AI4102" s="155"/>
      <c r="AJ4102" s="143">
        <f>AJ4093/((N_6*AJ$27*0.667)*SQRT(AJ4103*AJ4095*AJ4097))</f>
        <v>10.930948046218029</v>
      </c>
      <c r="AK4102" s="133"/>
      <c r="AL4102" s="155"/>
      <c r="AM4102" s="143">
        <f>AM4093/((N_6*AM$27*0.667)*SQRT(AM4103*AM4095*AM4097))</f>
        <v>10.290363365520124</v>
      </c>
      <c r="AN4102" s="133"/>
      <c r="AO4102" s="155"/>
      <c r="AP4102" s="143">
        <f>AP4093/((N_6*AP$27*0.667)*SQRT(AP4103*AP4095*AP4097))</f>
        <v>9.4993394515590381</v>
      </c>
      <c r="AQ4102" s="133"/>
      <c r="AR4102" s="155"/>
      <c r="AS4102" s="143">
        <f>AS4093/((N_6*AS$27*0.667)*SQRT(AS4103*AS4095*AS4097))</f>
        <v>13.755388804486701</v>
      </c>
      <c r="AT4102" s="133"/>
      <c r="AU4102" s="155"/>
    </row>
    <row r="4103" spans="13:47" ht="15.5" x14ac:dyDescent="0.4">
      <c r="M4103" s="27"/>
      <c r="N4103" s="27"/>
      <c r="O4103" s="2" t="s">
        <v>192</v>
      </c>
      <c r="P4103" s="85">
        <v>10</v>
      </c>
      <c r="Q4103" s="2"/>
      <c r="R4103" s="181">
        <f>F_GAMMA*R$29</f>
        <v>0.64002688015162901</v>
      </c>
      <c r="S4103" s="133"/>
      <c r="T4103" s="155"/>
      <c r="U4103" s="138">
        <f>F_GAMMA*U$29</f>
        <v>0.64016782916606918</v>
      </c>
      <c r="V4103" s="133"/>
      <c r="W4103" s="155"/>
      <c r="X4103" s="138">
        <f>F_GAMMA*X$29</f>
        <v>0.6307062319203669</v>
      </c>
      <c r="Y4103" s="133"/>
      <c r="Z4103" s="155"/>
      <c r="AA4103" s="138">
        <f>F_GAMMA*AA$29</f>
        <v>0.62217534213893466</v>
      </c>
      <c r="AB4103" s="133"/>
      <c r="AC4103" s="155"/>
      <c r="AD4103" s="138">
        <f>F_GAMMA*AD$29</f>
        <v>0.60557184969146072</v>
      </c>
      <c r="AE4103" s="133"/>
      <c r="AF4103" s="155"/>
      <c r="AG4103" s="138">
        <f>F_GAMMA*AG$29</f>
        <v>0.57289312142622573</v>
      </c>
      <c r="AH4103" s="133"/>
      <c r="AI4103" s="155"/>
      <c r="AJ4103" s="138">
        <f>F_GAMMA*AJ$29</f>
        <v>0.53590819116049981</v>
      </c>
      <c r="AK4103" s="133"/>
      <c r="AL4103" s="155"/>
      <c r="AM4103" s="138">
        <f>F_GAMMA*AM$29</f>
        <v>0.49048815926850342</v>
      </c>
      <c r="AN4103" s="133"/>
      <c r="AO4103" s="155"/>
      <c r="AP4103" s="138">
        <f>F_GAMMA*AP$29</f>
        <v>0.59352979016280105</v>
      </c>
      <c r="AQ4103" s="133"/>
      <c r="AR4103" s="155"/>
      <c r="AS4103" s="138">
        <f>F_GAMMA*AS$29</f>
        <v>0.39097221161068291</v>
      </c>
      <c r="AT4103" s="133"/>
      <c r="AU4103" s="155"/>
    </row>
    <row r="4104" spans="13:47" x14ac:dyDescent="0.25">
      <c r="M4104" s="27"/>
      <c r="N4104" s="27"/>
      <c r="O4104" s="2" t="s">
        <v>193</v>
      </c>
      <c r="P4104" s="134"/>
      <c r="Q4104" s="2"/>
      <c r="R4104" s="181">
        <f>IF(R4099&lt;R4103,R4101,R4102)</f>
        <v>16.406076177612096</v>
      </c>
      <c r="S4104" s="133"/>
      <c r="T4104" s="155"/>
      <c r="U4104" s="138">
        <f>IF(U4099&lt;U4103,U4101,U4102)</f>
        <v>55.423406186634047</v>
      </c>
      <c r="V4104" s="133"/>
      <c r="W4104" s="155"/>
      <c r="X4104" s="138">
        <f>IF(X4099&lt;X4103,X4101,X4102)</f>
        <v>129.59856040004468</v>
      </c>
      <c r="Y4104" s="133"/>
      <c r="Z4104" s="155"/>
      <c r="AA4104" s="138">
        <f>IF(AA4099&lt;AA4103,AA4101,AA4102)</f>
        <v>32.356970583250508</v>
      </c>
      <c r="AB4104" s="133"/>
      <c r="AC4104" s="155"/>
      <c r="AD4104" s="138">
        <f>IF(AD4099&lt;AD4103,AD4101,AD4102)</f>
        <v>18.061813463189278</v>
      </c>
      <c r="AE4104" s="133"/>
      <c r="AF4104" s="155"/>
      <c r="AG4104" s="138">
        <f>IF(AG4099&lt;AG4103,AG4101,AG4102)</f>
        <v>13.128058715599593</v>
      </c>
      <c r="AH4104" s="133"/>
      <c r="AI4104" s="155"/>
      <c r="AJ4104" s="138">
        <f>IF(AJ4099&lt;AJ4103,AJ4101,AJ4102)</f>
        <v>10.930948046218029</v>
      </c>
      <c r="AK4104" s="133"/>
      <c r="AL4104" s="155"/>
      <c r="AM4104" s="138">
        <f>IF(AM4099&lt;AM4103,AM4101,AM4102)</f>
        <v>10.290363365520124</v>
      </c>
      <c r="AN4104" s="133"/>
      <c r="AO4104" s="155"/>
      <c r="AP4104" s="138">
        <f>IF(AP4099&lt;AP4103,AP4101,AP4102)</f>
        <v>9.4993394515590381</v>
      </c>
      <c r="AQ4104" s="133"/>
      <c r="AR4104" s="155"/>
      <c r="AS4104" s="138">
        <f>IF(AS4099&lt;AS4103,AS4101,AS4102)</f>
        <v>13.755388804486701</v>
      </c>
      <c r="AT4104" s="133"/>
      <c r="AU4104" s="155"/>
    </row>
    <row r="4105" spans="13:47" ht="13" x14ac:dyDescent="0.3">
      <c r="M4105" s="28"/>
      <c r="N4105" s="28"/>
      <c r="O4105" s="9" t="s">
        <v>194</v>
      </c>
      <c r="P4105" s="1"/>
      <c r="Q4105" s="1"/>
      <c r="R4105" s="135"/>
      <c r="S4105" s="132">
        <f>IF(R4098&lt;=0,W_max,ABS(R$23-R4104))</f>
        <v>14.406076177612096</v>
      </c>
      <c r="T4105" s="151">
        <f>R4093</f>
        <v>3571.5381841725853</v>
      </c>
      <c r="U4105" s="135"/>
      <c r="V4105" s="132">
        <f>IF(U4098&lt;=0,W_max,ABS(U$23-U4104))</f>
        <v>50.423406186634047</v>
      </c>
      <c r="W4105" s="151">
        <f>U4093</f>
        <v>8322.1588873187848</v>
      </c>
      <c r="X4105" s="135"/>
      <c r="Y4105" s="132">
        <f>IF(X4098&lt;=0,W_max,ABS(X$23-X4104))</f>
        <v>7174</v>
      </c>
      <c r="Z4105" s="151">
        <f>X4093</f>
        <v>20581.689276856068</v>
      </c>
      <c r="AA4105" s="135"/>
      <c r="AB4105" s="132">
        <f>IF(AA4098&lt;=0,W_max,ABS(AA$23-AA4104))</f>
        <v>7174</v>
      </c>
      <c r="AC4105" s="151">
        <f>AA4093</f>
        <v>40087.877329528805</v>
      </c>
      <c r="AD4105" s="135"/>
      <c r="AE4105" s="132">
        <f>IF(AD4098&lt;=0,W_max,ABS(AD$23-AD4104))</f>
        <v>7174</v>
      </c>
      <c r="AF4105" s="151">
        <f>AD4093</f>
        <v>65929.798726317036</v>
      </c>
      <c r="AG4105" s="135"/>
      <c r="AH4105" s="132">
        <f>IF(AG4098&lt;=0,W_max,ABS(AG$23-AG4104))</f>
        <v>7174</v>
      </c>
      <c r="AI4105" s="151">
        <f>AG4093</f>
        <v>92471.618396324237</v>
      </c>
      <c r="AJ4105" s="135"/>
      <c r="AK4105" s="132">
        <f>IF(AJ4098&lt;=0,W_max,ABS(AJ$23-AJ4104))</f>
        <v>7174</v>
      </c>
      <c r="AL4105" s="151">
        <f>AJ4093</f>
        <v>117414.41788363406</v>
      </c>
      <c r="AM4105" s="135"/>
      <c r="AN4105" s="132">
        <f>IF(AM4098&lt;=0,W_max,ABS(AM$23-AM4104))</f>
        <v>7174</v>
      </c>
      <c r="AO4105" s="151">
        <f>AM4093</f>
        <v>137677.63901649651</v>
      </c>
      <c r="AP4105" s="135"/>
      <c r="AQ4105" s="132">
        <f>IF(AP4098&lt;=0,W_max,ABS(AP$23-AP4104))</f>
        <v>7174</v>
      </c>
      <c r="AR4105" s="151">
        <f>AP4093</f>
        <v>153602.58389431896</v>
      </c>
      <c r="AS4105" s="135"/>
      <c r="AT4105" s="132">
        <f>IF(AS4098&lt;=0,W_max,ABS(AS$23-AS4104))</f>
        <v>7174</v>
      </c>
      <c r="AU4105" s="151">
        <f>AS4093</f>
        <v>171369.54081689549</v>
      </c>
    </row>
    <row r="4106" spans="13:47" ht="13" x14ac:dyDescent="0.25">
      <c r="M4106" s="12"/>
      <c r="N4106" s="12"/>
      <c r="O4106" s="2"/>
      <c r="P4106" s="85"/>
      <c r="Q4106" s="2"/>
      <c r="R4106" s="18"/>
      <c r="S4106" s="150"/>
      <c r="T4106" s="148"/>
      <c r="U4106" s="157"/>
      <c r="V4106" s="1"/>
      <c r="W4106" s="147"/>
      <c r="X4106" s="157"/>
      <c r="Y4106" s="1"/>
      <c r="Z4106" s="147"/>
      <c r="AA4106" s="157"/>
      <c r="AB4106" s="1"/>
      <c r="AC4106" s="147"/>
      <c r="AD4106" s="157"/>
      <c r="AE4106" s="1"/>
      <c r="AF4106" s="147"/>
      <c r="AG4106" s="157"/>
      <c r="AH4106" s="1"/>
      <c r="AI4106" s="147"/>
      <c r="AJ4106" s="157"/>
      <c r="AK4106" s="1"/>
      <c r="AL4106" s="147"/>
      <c r="AM4106" s="157"/>
      <c r="AN4106" s="1"/>
      <c r="AO4106" s="147"/>
      <c r="AP4106" s="157"/>
      <c r="AQ4106" s="1"/>
      <c r="AR4106" s="147"/>
      <c r="AS4106" s="157"/>
      <c r="AT4106" s="1"/>
      <c r="AU4106" s="147"/>
    </row>
    <row r="4107" spans="13:47" ht="14" x14ac:dyDescent="0.3">
      <c r="M4107" s="23"/>
      <c r="N4107" s="23"/>
      <c r="O4107" s="23" t="s">
        <v>238</v>
      </c>
      <c r="P4107" s="20"/>
      <c r="Q4107" s="20"/>
      <c r="R4107" s="181">
        <f>R4093*1.02</f>
        <v>3642.9689478560372</v>
      </c>
      <c r="S4107" s="128" t="s">
        <v>185</v>
      </c>
      <c r="T4107" s="149" t="s">
        <v>186</v>
      </c>
      <c r="U4107" s="143">
        <f>U4093*1.01</f>
        <v>8405.3804761919728</v>
      </c>
      <c r="V4107" s="128" t="s">
        <v>185</v>
      </c>
      <c r="W4107" s="153" t="s">
        <v>186</v>
      </c>
      <c r="X4107" s="143">
        <f>X4093*1.01</f>
        <v>20787.50616962463</v>
      </c>
      <c r="Y4107" s="128" t="s">
        <v>185</v>
      </c>
      <c r="Z4107" s="153" t="s">
        <v>186</v>
      </c>
      <c r="AA4107" s="143">
        <f>AA4093*1.01</f>
        <v>40488.756102824096</v>
      </c>
      <c r="AB4107" s="128" t="s">
        <v>185</v>
      </c>
      <c r="AC4107" s="153" t="s">
        <v>186</v>
      </c>
      <c r="AD4107" s="143">
        <f>AD4093*1.01</f>
        <v>66589.096713580206</v>
      </c>
      <c r="AE4107" s="128" t="s">
        <v>185</v>
      </c>
      <c r="AF4107" s="153" t="s">
        <v>186</v>
      </c>
      <c r="AG4107" s="143">
        <f>AG4093*1.01</f>
        <v>93396.334580287483</v>
      </c>
      <c r="AH4107" s="128" t="s">
        <v>185</v>
      </c>
      <c r="AI4107" s="153" t="s">
        <v>186</v>
      </c>
      <c r="AJ4107" s="143">
        <f>AJ4093*1.01</f>
        <v>118588.5620624704</v>
      </c>
      <c r="AK4107" s="128" t="s">
        <v>185</v>
      </c>
      <c r="AL4107" s="153" t="s">
        <v>186</v>
      </c>
      <c r="AM4107" s="143">
        <f>AM4093*1.01</f>
        <v>139054.41540666149</v>
      </c>
      <c r="AN4107" s="128" t="s">
        <v>185</v>
      </c>
      <c r="AO4107" s="153" t="s">
        <v>186</v>
      </c>
      <c r="AP4107" s="143">
        <f>AP4093*1.01</f>
        <v>155138.60973326216</v>
      </c>
      <c r="AQ4107" s="128" t="s">
        <v>185</v>
      </c>
      <c r="AR4107" s="153" t="s">
        <v>186</v>
      </c>
      <c r="AS4107" s="143">
        <f>AS4093*1.01</f>
        <v>173083.23622506444</v>
      </c>
      <c r="AT4107" s="128" t="s">
        <v>185</v>
      </c>
      <c r="AU4107" s="153" t="s">
        <v>186</v>
      </c>
    </row>
    <row r="4108" spans="13:47" ht="14" x14ac:dyDescent="0.3">
      <c r="M4108" s="12"/>
      <c r="N4108" s="12"/>
      <c r="O4108" s="20"/>
      <c r="P4108" s="20"/>
      <c r="Q4108" s="23"/>
      <c r="R4108" s="139"/>
      <c r="S4108" s="130" t="s">
        <v>228</v>
      </c>
      <c r="T4108" s="131" t="s">
        <v>187</v>
      </c>
      <c r="U4108" s="144"/>
      <c r="V4108" s="130" t="s">
        <v>228</v>
      </c>
      <c r="W4108" s="154" t="s">
        <v>187</v>
      </c>
      <c r="X4108" s="144"/>
      <c r="Y4108" s="130" t="s">
        <v>228</v>
      </c>
      <c r="Z4108" s="154" t="s">
        <v>187</v>
      </c>
      <c r="AA4108" s="144"/>
      <c r="AB4108" s="130" t="s">
        <v>228</v>
      </c>
      <c r="AC4108" s="154" t="s">
        <v>187</v>
      </c>
      <c r="AD4108" s="144"/>
      <c r="AE4108" s="130" t="s">
        <v>228</v>
      </c>
      <c r="AF4108" s="154" t="s">
        <v>187</v>
      </c>
      <c r="AG4108" s="144"/>
      <c r="AH4108" s="130" t="s">
        <v>228</v>
      </c>
      <c r="AI4108" s="154" t="s">
        <v>187</v>
      </c>
      <c r="AJ4108" s="144"/>
      <c r="AK4108" s="130" t="s">
        <v>228</v>
      </c>
      <c r="AL4108" s="154" t="s">
        <v>187</v>
      </c>
      <c r="AM4108" s="144"/>
      <c r="AN4108" s="130" t="s">
        <v>228</v>
      </c>
      <c r="AO4108" s="154" t="s">
        <v>187</v>
      </c>
      <c r="AP4108" s="144"/>
      <c r="AQ4108" s="130" t="s">
        <v>228</v>
      </c>
      <c r="AR4108" s="154" t="s">
        <v>187</v>
      </c>
      <c r="AS4108" s="144"/>
      <c r="AT4108" s="130" t="s">
        <v>228</v>
      </c>
      <c r="AU4108" s="154" t="s">
        <v>187</v>
      </c>
    </row>
    <row r="4109" spans="13:47" x14ac:dyDescent="0.25">
      <c r="M4109" s="20"/>
      <c r="N4109" s="20"/>
      <c r="O4109" s="7" t="s">
        <v>188</v>
      </c>
      <c r="P4109" s="7"/>
      <c r="Q4109" s="7"/>
      <c r="R4109" s="181">
        <f>P_1_minW-(R4107^2*R_up)+dpup_minQ</f>
        <v>95.230729578028303</v>
      </c>
      <c r="S4109" s="132"/>
      <c r="T4109" s="145"/>
      <c r="U4109" s="138">
        <f>P_1_minW-(U4107^2*R_up)+dpup_minQ</f>
        <v>72.350095127806583</v>
      </c>
      <c r="V4109" s="132"/>
      <c r="W4109" s="145"/>
      <c r="X4109" s="138">
        <f>P_1_minW-(X4107^2*R_up)+dpup_minQ</f>
        <v>-71.790342651134196</v>
      </c>
      <c r="Y4109" s="132"/>
      <c r="Z4109" s="145"/>
      <c r="AA4109" s="138">
        <f>P_1_minW-(AA4107^2*R_up)+dpup_minQ</f>
        <v>-553.18319142854068</v>
      </c>
      <c r="AB4109" s="132"/>
      <c r="AC4109" s="145"/>
      <c r="AD4109" s="138">
        <f>P_1_minW-(AD4107^2*R_up)+dpup_minQ</f>
        <v>-1667.6301833802161</v>
      </c>
      <c r="AE4109" s="132"/>
      <c r="AF4109" s="145"/>
      <c r="AG4109" s="138">
        <f>P_1_minW-(AG4107^2*R_up)+dpup_minQ</f>
        <v>-3377.8269928438813</v>
      </c>
      <c r="AH4109" s="132"/>
      <c r="AI4109" s="145"/>
      <c r="AJ4109" s="138">
        <f>P_1_minW-(AJ4107^2*R_up)+dpup_minQ</f>
        <v>-5507.36343520418</v>
      </c>
      <c r="AK4109" s="132"/>
      <c r="AL4109" s="145"/>
      <c r="AM4109" s="138">
        <f>P_1_minW-(AM4107^2*R_up)+dpup_minQ</f>
        <v>-7609.9881003838964</v>
      </c>
      <c r="AN4109" s="132"/>
      <c r="AO4109" s="145"/>
      <c r="AP4109" s="138">
        <f>P_1_minW-(AP4107^2*R_up)+dpup_minQ</f>
        <v>-9496.8724012444582</v>
      </c>
      <c r="AQ4109" s="132"/>
      <c r="AR4109" s="145"/>
      <c r="AS4109" s="138">
        <f>P_1_minW-(AS4107^2*R_up)+dpup_minQ</f>
        <v>-11845.507216040633</v>
      </c>
      <c r="AT4109" s="132"/>
      <c r="AU4109" s="145"/>
    </row>
    <row r="4110" spans="13:47" x14ac:dyDescent="0.25">
      <c r="M4110" s="20"/>
      <c r="N4110" s="20"/>
      <c r="O4110" s="7" t="s">
        <v>189</v>
      </c>
      <c r="P4110" s="1"/>
      <c r="Q4110" s="7"/>
      <c r="R4110" s="181">
        <f>P_2_minW+(R4107^2*R_dn)-dpdn_minQ</f>
        <v>50</v>
      </c>
      <c r="S4110" s="132"/>
      <c r="T4110" s="146"/>
      <c r="U4110" s="138">
        <f>P_2_minW+(U4107^2*R_dn)-dpdn_minQ</f>
        <v>50</v>
      </c>
      <c r="V4110" s="132"/>
      <c r="W4110" s="146"/>
      <c r="X4110" s="138">
        <f>P_2_minW+(X4107^2*R_dn)-dpdn_minQ</f>
        <v>50</v>
      </c>
      <c r="Y4110" s="132"/>
      <c r="Z4110" s="146"/>
      <c r="AA4110" s="138">
        <f>P_2_minW+(AA4107^2*R_dn)-dpdn_minQ</f>
        <v>50</v>
      </c>
      <c r="AB4110" s="132"/>
      <c r="AC4110" s="146"/>
      <c r="AD4110" s="138">
        <f>P_2_minW+(AD4107^2*R_dn)-dpdn_minQ</f>
        <v>50</v>
      </c>
      <c r="AE4110" s="132"/>
      <c r="AF4110" s="146"/>
      <c r="AG4110" s="138">
        <f>P_2_minW+(AG4107^2*R_dn)-dpdn_minQ</f>
        <v>50</v>
      </c>
      <c r="AH4110" s="132"/>
      <c r="AI4110" s="146"/>
      <c r="AJ4110" s="138">
        <f>P_2_minW+(AJ4107^2*R_dn)-dpdn_minQ</f>
        <v>50</v>
      </c>
      <c r="AK4110" s="132"/>
      <c r="AL4110" s="146"/>
      <c r="AM4110" s="138">
        <f>P_2_minW+(AM4107^2*R_dn)-dpdn_minQ</f>
        <v>50</v>
      </c>
      <c r="AN4110" s="132"/>
      <c r="AO4110" s="146"/>
      <c r="AP4110" s="138">
        <f>P_2_minW+(AP4107^2*R_dn)-dpdn_minQ</f>
        <v>50</v>
      </c>
      <c r="AQ4110" s="132"/>
      <c r="AR4110" s="146"/>
      <c r="AS4110" s="138">
        <f>P_2_minW+(AS4107^2*R_dn)-dpdn_minQ</f>
        <v>50</v>
      </c>
      <c r="AT4110" s="132"/>
      <c r="AU4110" s="146"/>
    </row>
    <row r="4111" spans="13:47" x14ac:dyDescent="0.25">
      <c r="M4111" s="20"/>
      <c r="N4111" s="20"/>
      <c r="O4111" s="7" t="s">
        <v>234</v>
      </c>
      <c r="P4111" s="1"/>
      <c r="Q4111" s="7"/>
      <c r="R4111" s="179">
        <f>'Valve Sizing'!G$8*R4109/P_1_maxW</f>
        <v>0.45937608469803387</v>
      </c>
      <c r="S4111" s="132"/>
      <c r="T4111" s="146"/>
      <c r="U4111" s="143">
        <f>'Valve Sizing'!$G$8*U4109/P_1_maxW</f>
        <v>0.34900397775604453</v>
      </c>
      <c r="V4111" s="132"/>
      <c r="W4111" s="146"/>
      <c r="X4111" s="143">
        <f>'Valve Sizing'!$G$8*X4109/P_1_maxW</f>
        <v>-0.3463038314663629</v>
      </c>
      <c r="Y4111" s="132"/>
      <c r="Z4111" s="146"/>
      <c r="AA4111" s="143">
        <f>'Valve Sizing'!$G$8*AA4109/P_1_maxW</f>
        <v>-2.6684572272544735</v>
      </c>
      <c r="AB4111" s="132"/>
      <c r="AC4111" s="146"/>
      <c r="AD4111" s="143">
        <f>'Valve Sizing'!$G$8*AD4109/P_1_maxW</f>
        <v>-8.0443511013719657</v>
      </c>
      <c r="AE4111" s="132"/>
      <c r="AF4111" s="146"/>
      <c r="AG4111" s="143">
        <f>'Valve Sizing'!$G$8*AG4109/P_1_maxW</f>
        <v>-16.294036028449828</v>
      </c>
      <c r="AH4111" s="132"/>
      <c r="AI4111" s="146"/>
      <c r="AJ4111" s="143">
        <f>'Valve Sizing'!$G$8*AJ4109/P_1_maxW</f>
        <v>-26.56654068580109</v>
      </c>
      <c r="AK4111" s="132"/>
      <c r="AL4111" s="146"/>
      <c r="AM4111" s="143">
        <f>'Valve Sizing'!$G$8*AM4109/P_1_maxW</f>
        <v>-36.709227721379833</v>
      </c>
      <c r="AN4111" s="132"/>
      <c r="AO4111" s="146"/>
      <c r="AP4111" s="143">
        <f>'Valve Sizing'!$G$8*AP4109/P_1_maxW</f>
        <v>-45.811221649687376</v>
      </c>
      <c r="AQ4111" s="132"/>
      <c r="AR4111" s="146"/>
      <c r="AS4111" s="143">
        <f>'Valve Sizing'!$G$8*AS4109/P_1_maxW</f>
        <v>-57.140617847608397</v>
      </c>
      <c r="AT4111" s="132"/>
      <c r="AU4111" s="146"/>
    </row>
    <row r="4112" spans="13:47" x14ac:dyDescent="0.25">
      <c r="M4112" s="20"/>
      <c r="N4112" s="20"/>
      <c r="O4112" s="7" t="s">
        <v>190</v>
      </c>
      <c r="P4112" s="1"/>
      <c r="Q4112" s="7"/>
      <c r="R4112" s="181">
        <f>R4109-R4110</f>
        <v>45.230729578028303</v>
      </c>
      <c r="S4112" s="132"/>
      <c r="T4112" s="146"/>
      <c r="U4112" s="138">
        <f>U4109-U4110</f>
        <v>22.350095127806583</v>
      </c>
      <c r="V4112" s="132"/>
      <c r="W4112" s="146"/>
      <c r="X4112" s="138">
        <f>X4109-X4110</f>
        <v>-121.7903426511342</v>
      </c>
      <c r="Y4112" s="132"/>
      <c r="Z4112" s="146"/>
      <c r="AA4112" s="138">
        <f>AA4109-AA4110</f>
        <v>-603.18319142854068</v>
      </c>
      <c r="AB4112" s="132"/>
      <c r="AC4112" s="146"/>
      <c r="AD4112" s="138">
        <f>AD4109-AD4110</f>
        <v>-1717.6301833802161</v>
      </c>
      <c r="AE4112" s="132"/>
      <c r="AF4112" s="146"/>
      <c r="AG4112" s="138">
        <f>AG4109-AG4110</f>
        <v>-3427.8269928438813</v>
      </c>
      <c r="AH4112" s="132"/>
      <c r="AI4112" s="146"/>
      <c r="AJ4112" s="138">
        <f>AJ4109-AJ4110</f>
        <v>-5557.36343520418</v>
      </c>
      <c r="AK4112" s="132"/>
      <c r="AL4112" s="146"/>
      <c r="AM4112" s="138">
        <f>AM4109-AM4110</f>
        <v>-7659.9881003838964</v>
      </c>
      <c r="AN4112" s="132"/>
      <c r="AO4112" s="146"/>
      <c r="AP4112" s="138">
        <f>AP4109-AP4110</f>
        <v>-9546.8724012444582</v>
      </c>
      <c r="AQ4112" s="132"/>
      <c r="AR4112" s="146"/>
      <c r="AS4112" s="138">
        <f>AS4109-AS4110</f>
        <v>-11895.507216040633</v>
      </c>
      <c r="AT4112" s="132"/>
      <c r="AU4112" s="146"/>
    </row>
    <row r="4113" spans="13:47" ht="14.5" x14ac:dyDescent="0.35">
      <c r="M4113" s="27"/>
      <c r="N4113" s="27"/>
      <c r="O4113" s="2" t="s">
        <v>191</v>
      </c>
      <c r="P4113" s="10"/>
      <c r="Q4113" s="2"/>
      <c r="R4113" s="181">
        <f>R4112/R4109</f>
        <v>0.47495939365840967</v>
      </c>
      <c r="S4113" s="132"/>
      <c r="T4113" s="146"/>
      <c r="U4113" s="138">
        <f>U4112/U4109</f>
        <v>0.30891590520130063</v>
      </c>
      <c r="V4113" s="132"/>
      <c r="W4113" s="146"/>
      <c r="X4113" s="138">
        <f>X4112/X4109</f>
        <v>1.6964725080499399</v>
      </c>
      <c r="Y4113" s="132"/>
      <c r="Z4113" s="146"/>
      <c r="AA4113" s="138">
        <f>AA4112/AA4109</f>
        <v>1.0903859711841206</v>
      </c>
      <c r="AB4113" s="132"/>
      <c r="AC4113" s="146"/>
      <c r="AD4113" s="138">
        <f>AD4112/AD4109</f>
        <v>1.0299826667196992</v>
      </c>
      <c r="AE4113" s="132"/>
      <c r="AF4113" s="146"/>
      <c r="AG4113" s="138">
        <f>AG4112/AG4109</f>
        <v>1.0148024159040494</v>
      </c>
      <c r="AH4113" s="132"/>
      <c r="AI4113" s="146"/>
      <c r="AJ4113" s="138">
        <f>AJ4112/AJ4109</f>
        <v>1.0090787543964121</v>
      </c>
      <c r="AK4113" s="132"/>
      <c r="AL4113" s="146"/>
      <c r="AM4113" s="138">
        <f>AM4112/AM4109</f>
        <v>1.0065703125077787</v>
      </c>
      <c r="AN4113" s="132"/>
      <c r="AO4113" s="146"/>
      <c r="AP4113" s="138">
        <f>AP4112/AP4109</f>
        <v>1.0052648912070723</v>
      </c>
      <c r="AQ4113" s="132"/>
      <c r="AR4113" s="146"/>
      <c r="AS4113" s="138">
        <f>AS4112/AS4109</f>
        <v>1.0042210096273709</v>
      </c>
      <c r="AT4113" s="132"/>
      <c r="AU4113" s="146"/>
    </row>
    <row r="4114" spans="13:47" x14ac:dyDescent="0.25">
      <c r="M4114" s="27"/>
      <c r="N4114" s="27"/>
      <c r="O4114" s="2" t="s">
        <v>26</v>
      </c>
      <c r="P4114" s="7">
        <v>12</v>
      </c>
      <c r="Q4114" s="2"/>
      <c r="R4114" s="181">
        <f>1-R4113/(3*F_GAMMA*R$29)</f>
        <v>0.75263570516190048</v>
      </c>
      <c r="S4114" s="133"/>
      <c r="T4114" s="146"/>
      <c r="U4114" s="138">
        <f>1-U4113/(3*F_GAMMA*U$29)</f>
        <v>0.83914847996255515</v>
      </c>
      <c r="V4114" s="133"/>
      <c r="W4114" s="146"/>
      <c r="X4114" s="138">
        <f>1-X4113/(3*F_GAMMA*X$29)</f>
        <v>0.10340058905895566</v>
      </c>
      <c r="Y4114" s="133"/>
      <c r="Z4114" s="146"/>
      <c r="AA4114" s="138">
        <f>1-AA4113/(3*F_GAMMA*AA$29)</f>
        <v>0.41582064447429656</v>
      </c>
      <c r="AB4114" s="133"/>
      <c r="AC4114" s="146"/>
      <c r="AD4114" s="138">
        <f>1-AD4113/(3*F_GAMMA*AD$29)</f>
        <v>0.4330523194759488</v>
      </c>
      <c r="AE4114" s="133"/>
      <c r="AF4114" s="146"/>
      <c r="AG4114" s="138">
        <f>1-AG4113/(3*F_GAMMA*AG$29)</f>
        <v>0.40954523746786364</v>
      </c>
      <c r="AH4114" s="133"/>
      <c r="AI4114" s="146"/>
      <c r="AJ4114" s="138">
        <f>1-AJ4113/(3*F_GAMMA*AJ$29)</f>
        <v>0.37235595509293617</v>
      </c>
      <c r="AK4114" s="133"/>
      <c r="AL4114" s="146"/>
      <c r="AM4114" s="138">
        <f>1-AM4113/(3*F_GAMMA*AM$29)</f>
        <v>0.31593978129261957</v>
      </c>
      <c r="AN4114" s="133"/>
      <c r="AO4114" s="146"/>
      <c r="AP4114" s="138">
        <f>1-AP4113/(3*F_GAMMA*AP$29)</f>
        <v>0.43543137577456437</v>
      </c>
      <c r="AQ4114" s="133"/>
      <c r="AR4114" s="146"/>
      <c r="AS4114" s="138">
        <f>1-AS4113/(3*F_GAMMA*AS$29)</f>
        <v>0.14382575896268501</v>
      </c>
      <c r="AT4114" s="133"/>
      <c r="AU4114" s="146"/>
    </row>
    <row r="4115" spans="13:47" x14ac:dyDescent="0.25">
      <c r="M4115" s="27"/>
      <c r="N4115" s="27"/>
      <c r="O4115" s="2" t="s">
        <v>71</v>
      </c>
      <c r="P4115" s="85">
        <v>5</v>
      </c>
      <c r="Q4115" s="2"/>
      <c r="R4115" s="179">
        <f>R4107/((N_6*R$27*R4114)*SQRT(R4113*R4109*R4111))</f>
        <v>16.777120123083058</v>
      </c>
      <c r="S4115" s="133"/>
      <c r="T4115" s="146"/>
      <c r="U4115" s="143">
        <f>U4107/((N_6*U$27*U4114)*SQRT(U4113*U4109*U4111))</f>
        <v>56.699783558550664</v>
      </c>
      <c r="V4115" s="133"/>
      <c r="W4115" s="146"/>
      <c r="X4115" s="143">
        <f>X4107/((N_6*X$27*X4114)*SQRT(X4113*X4109*X4111))</f>
        <v>490.48241345216934</v>
      </c>
      <c r="Y4115" s="133"/>
      <c r="Z4115" s="146"/>
      <c r="AA4115" s="143">
        <f>AA4107/((N_6*AA$27*AA4114)*SQRT(AA4113*AA4109*AA4111))</f>
        <v>38.676161711304978</v>
      </c>
      <c r="AB4115" s="133"/>
      <c r="AC4115" s="146"/>
      <c r="AD4115" s="143">
        <f>AD4107/((N_6*AD$27*AD4114)*SQRT(AD4113*AD4109*AD4111))</f>
        <v>21.094382312615235</v>
      </c>
      <c r="AE4115" s="133"/>
      <c r="AF4115" s="146"/>
      <c r="AG4115" s="143">
        <f>AG4107/((N_6*AG$27*AG4114)*SQRT(AG4113*AG4109*AG4111))</f>
        <v>15.896052538714995</v>
      </c>
      <c r="AH4115" s="133"/>
      <c r="AI4115" s="146"/>
      <c r="AJ4115" s="143">
        <f>AJ4107/((N_6*AJ$27*AJ4114)*SQRT(AJ4113*AJ4109*AJ4111))</f>
        <v>14.123010830482174</v>
      </c>
      <c r="AK4115" s="133"/>
      <c r="AL4115" s="146"/>
      <c r="AM4115" s="143">
        <f>AM4107/((N_6*AM$27*AM4114)*SQRT(AM4113*AM4109*AM4111))</f>
        <v>15.010934812247573</v>
      </c>
      <c r="AN4115" s="133"/>
      <c r="AO4115" s="146"/>
      <c r="AP4115" s="143">
        <f>AP4107/((N_6*AP$27*AP4114)*SQRT(AP4113*AP4109*AP4111))</f>
        <v>11.067938637897599</v>
      </c>
      <c r="AQ4115" s="133"/>
      <c r="AR4115" s="146"/>
      <c r="AS4115" s="143">
        <f>AS4107/((N_6*AS$27*AS4114)*SQRT(AS4113*AS4109*AS4111))</f>
        <v>39.402598686534667</v>
      </c>
      <c r="AT4115" s="133"/>
      <c r="AU4115" s="146"/>
    </row>
    <row r="4116" spans="13:47" x14ac:dyDescent="0.25">
      <c r="M4116" s="27"/>
      <c r="N4116" s="27"/>
      <c r="O4116" s="2" t="s">
        <v>73</v>
      </c>
      <c r="P4116" s="85">
        <v>5</v>
      </c>
      <c r="Q4116" s="2"/>
      <c r="R4116" s="179">
        <f>R4107/((N_6*R$27*0.667)*SQRT(R4117*R4109*R4111))</f>
        <v>16.308181315696544</v>
      </c>
      <c r="S4116" s="133"/>
      <c r="T4116" s="147"/>
      <c r="U4116" s="143">
        <f>U4107/((N_6*U$27*0.667)*SQRT(U4117*U4109*U4111))</f>
        <v>49.552730614948821</v>
      </c>
      <c r="V4116" s="133"/>
      <c r="W4116" s="155"/>
      <c r="X4116" s="143">
        <f>X4107/((N_6*X$27*0.667)*SQRT(X4117*X4109*X4111))</f>
        <v>124.70402495622015</v>
      </c>
      <c r="Y4116" s="133"/>
      <c r="Z4116" s="155"/>
      <c r="AA4116" s="143">
        <f>AA4107/((N_6*AA$27*0.667)*SQRT(AA4117*AA4109*AA4111))</f>
        <v>31.919590468763857</v>
      </c>
      <c r="AB4116" s="133"/>
      <c r="AC4116" s="155"/>
      <c r="AD4116" s="143">
        <f>AD4107/((N_6*AD$27*0.667)*SQRT(AD4117*AD4109*AD4111))</f>
        <v>17.861316525855379</v>
      </c>
      <c r="AE4116" s="133"/>
      <c r="AF4116" s="155"/>
      <c r="AG4116" s="143">
        <f>AG4107/((N_6*AG$27*0.667)*SQRT(AG4117*AG4109*AG4111))</f>
        <v>12.990302901966755</v>
      </c>
      <c r="AH4116" s="133"/>
      <c r="AI4116" s="155"/>
      <c r="AJ4116" s="143">
        <f>AJ4107/((N_6*AJ$27*0.667)*SQRT(AJ4117*AJ4109*AJ4111))</f>
        <v>10.818750263818686</v>
      </c>
      <c r="AK4116" s="133"/>
      <c r="AL4116" s="155"/>
      <c r="AM4116" s="143">
        <f>AM4107/((N_6*AM$27*0.667)*SQRT(AM4117*AM4109*AM4111))</f>
        <v>10.18577346345422</v>
      </c>
      <c r="AN4116" s="133"/>
      <c r="AO4116" s="155"/>
      <c r="AP4116" s="143">
        <f>AP4107/((N_6*AP$27*0.667)*SQRT(AP4117*AP4109*AP4111))</f>
        <v>9.4032855630377217</v>
      </c>
      <c r="AQ4116" s="133"/>
      <c r="AR4116" s="155"/>
      <c r="AS4116" s="143">
        <f>AS4107/((N_6*AS$27*0.667)*SQRT(AS4117*AS4109*AS4111))</f>
        <v>13.61687378690166</v>
      </c>
      <c r="AT4116" s="133"/>
      <c r="AU4116" s="155"/>
    </row>
    <row r="4117" spans="13:47" ht="15.5" x14ac:dyDescent="0.4">
      <c r="M4117" s="27"/>
      <c r="N4117" s="27"/>
      <c r="O4117" s="2" t="s">
        <v>192</v>
      </c>
      <c r="P4117" s="85">
        <v>10</v>
      </c>
      <c r="Q4117" s="2"/>
      <c r="R4117" s="181">
        <f>F_GAMMA*R$29</f>
        <v>0.64002688015162901</v>
      </c>
      <c r="S4117" s="133"/>
      <c r="T4117" s="147"/>
      <c r="U4117" s="138">
        <f>F_GAMMA*U$29</f>
        <v>0.64016782916606918</v>
      </c>
      <c r="V4117" s="133"/>
      <c r="W4117" s="155"/>
      <c r="X4117" s="138">
        <f>F_GAMMA*X$29</f>
        <v>0.6307062319203669</v>
      </c>
      <c r="Y4117" s="133"/>
      <c r="Z4117" s="155"/>
      <c r="AA4117" s="138">
        <f>F_GAMMA*AA$29</f>
        <v>0.62217534213893466</v>
      </c>
      <c r="AB4117" s="133"/>
      <c r="AC4117" s="155"/>
      <c r="AD4117" s="138">
        <f>F_GAMMA*AD$29</f>
        <v>0.60557184969146072</v>
      </c>
      <c r="AE4117" s="133"/>
      <c r="AF4117" s="155"/>
      <c r="AG4117" s="138">
        <f>F_GAMMA*AG$29</f>
        <v>0.57289312142622573</v>
      </c>
      <c r="AH4117" s="133"/>
      <c r="AI4117" s="155"/>
      <c r="AJ4117" s="138">
        <f>F_GAMMA*AJ$29</f>
        <v>0.53590819116049981</v>
      </c>
      <c r="AK4117" s="133"/>
      <c r="AL4117" s="155"/>
      <c r="AM4117" s="138">
        <f>F_GAMMA*AM$29</f>
        <v>0.49048815926850342</v>
      </c>
      <c r="AN4117" s="133"/>
      <c r="AO4117" s="155"/>
      <c r="AP4117" s="138">
        <f>F_GAMMA*AP$29</f>
        <v>0.59352979016280105</v>
      </c>
      <c r="AQ4117" s="133"/>
      <c r="AR4117" s="155"/>
      <c r="AS4117" s="138">
        <f>F_GAMMA*AS$29</f>
        <v>0.39097221161068291</v>
      </c>
      <c r="AT4117" s="133"/>
      <c r="AU4117" s="155"/>
    </row>
    <row r="4118" spans="13:47" x14ac:dyDescent="0.25">
      <c r="M4118" s="27"/>
      <c r="N4118" s="27"/>
      <c r="O4118" s="2" t="s">
        <v>193</v>
      </c>
      <c r="P4118" s="134"/>
      <c r="Q4118" s="2"/>
      <c r="R4118" s="181">
        <f>IF(R4113&lt;R4117,R4115,R4116)</f>
        <v>16.777120123083058</v>
      </c>
      <c r="S4118" s="133"/>
      <c r="T4118" s="147"/>
      <c r="U4118" s="138">
        <f>IF(U4113&lt;U4117,U4115,U4116)</f>
        <v>56.699783558550664</v>
      </c>
      <c r="V4118" s="133"/>
      <c r="W4118" s="155"/>
      <c r="X4118" s="138">
        <f>IF(X4113&lt;X4117,X4115,X4116)</f>
        <v>124.70402495622015</v>
      </c>
      <c r="Y4118" s="133"/>
      <c r="Z4118" s="155"/>
      <c r="AA4118" s="138">
        <f>IF(AA4113&lt;AA4117,AA4115,AA4116)</f>
        <v>31.919590468763857</v>
      </c>
      <c r="AB4118" s="133"/>
      <c r="AC4118" s="155"/>
      <c r="AD4118" s="138">
        <f>IF(AD4113&lt;AD4117,AD4115,AD4116)</f>
        <v>17.861316525855379</v>
      </c>
      <c r="AE4118" s="133"/>
      <c r="AF4118" s="155"/>
      <c r="AG4118" s="138">
        <f>IF(AG4113&lt;AG4117,AG4115,AG4116)</f>
        <v>12.990302901966755</v>
      </c>
      <c r="AH4118" s="133"/>
      <c r="AI4118" s="155"/>
      <c r="AJ4118" s="138">
        <f>IF(AJ4113&lt;AJ4117,AJ4115,AJ4116)</f>
        <v>10.818750263818686</v>
      </c>
      <c r="AK4118" s="133"/>
      <c r="AL4118" s="155"/>
      <c r="AM4118" s="138">
        <f>IF(AM4113&lt;AM4117,AM4115,AM4116)</f>
        <v>10.18577346345422</v>
      </c>
      <c r="AN4118" s="133"/>
      <c r="AO4118" s="155"/>
      <c r="AP4118" s="138">
        <f>IF(AP4113&lt;AP4117,AP4115,AP4116)</f>
        <v>9.4032855630377217</v>
      </c>
      <c r="AQ4118" s="133"/>
      <c r="AR4118" s="155"/>
      <c r="AS4118" s="138">
        <f>IF(AS4113&lt;AS4117,AS4115,AS4116)</f>
        <v>13.61687378690166</v>
      </c>
      <c r="AT4118" s="133"/>
      <c r="AU4118" s="155"/>
    </row>
    <row r="4119" spans="13:47" ht="13" x14ac:dyDescent="0.3">
      <c r="M4119" s="28"/>
      <c r="N4119" s="28"/>
      <c r="O4119" s="9" t="s">
        <v>194</v>
      </c>
      <c r="P4119" s="1"/>
      <c r="Q4119" s="1"/>
      <c r="R4119" s="135"/>
      <c r="S4119" s="132">
        <f>IF(R4112&lt;=0,W_max,ABS(R$23-R4118))</f>
        <v>14.777120123083058</v>
      </c>
      <c r="T4119" s="151">
        <f>R4107</f>
        <v>3642.9689478560372</v>
      </c>
      <c r="U4119" s="135"/>
      <c r="V4119" s="132">
        <f>IF(U4112&lt;=0,W_max,ABS(U$23-U4118))</f>
        <v>51.699783558550664</v>
      </c>
      <c r="W4119" s="151">
        <f>U4107</f>
        <v>8405.3804761919728</v>
      </c>
      <c r="X4119" s="135"/>
      <c r="Y4119" s="132">
        <f>IF(X4112&lt;=0,W_max,ABS(X$23-X4118))</f>
        <v>7174</v>
      </c>
      <c r="Z4119" s="151">
        <f>X4107</f>
        <v>20787.50616962463</v>
      </c>
      <c r="AA4119" s="135"/>
      <c r="AB4119" s="132">
        <f>IF(AA4112&lt;=0,W_max,ABS(AA$23-AA4118))</f>
        <v>7174</v>
      </c>
      <c r="AC4119" s="151">
        <f>AA4107</f>
        <v>40488.756102824096</v>
      </c>
      <c r="AD4119" s="135"/>
      <c r="AE4119" s="132">
        <f>IF(AD4112&lt;=0,W_max,ABS(AD$23-AD4118))</f>
        <v>7174</v>
      </c>
      <c r="AF4119" s="151">
        <f>AD4107</f>
        <v>66589.096713580206</v>
      </c>
      <c r="AG4119" s="135"/>
      <c r="AH4119" s="132">
        <f>IF(AG4112&lt;=0,W_max,ABS(AG$23-AG4118))</f>
        <v>7174</v>
      </c>
      <c r="AI4119" s="151">
        <f>AG4107</f>
        <v>93396.334580287483</v>
      </c>
      <c r="AJ4119" s="135"/>
      <c r="AK4119" s="132">
        <f>IF(AJ4112&lt;=0,W_max,ABS(AJ$23-AJ4118))</f>
        <v>7174</v>
      </c>
      <c r="AL4119" s="151">
        <f>AJ4107</f>
        <v>118588.5620624704</v>
      </c>
      <c r="AM4119" s="135"/>
      <c r="AN4119" s="132">
        <f>IF(AM4112&lt;=0,W_max,ABS(AM$23-AM4118))</f>
        <v>7174</v>
      </c>
      <c r="AO4119" s="151">
        <f>AM4107</f>
        <v>139054.41540666149</v>
      </c>
      <c r="AP4119" s="135"/>
      <c r="AQ4119" s="132">
        <f>IF(AP4112&lt;=0,W_max,ABS(AP$23-AP4118))</f>
        <v>7174</v>
      </c>
      <c r="AR4119" s="151">
        <f>AP4107</f>
        <v>155138.60973326216</v>
      </c>
      <c r="AS4119" s="135"/>
      <c r="AT4119" s="132">
        <f>IF(AS4112&lt;=0,W_max,ABS(AS$23-AS4118))</f>
        <v>7174</v>
      </c>
      <c r="AU4119" s="151">
        <f>AS4107</f>
        <v>173083.23622506444</v>
      </c>
    </row>
    <row r="4120" spans="13:47" ht="13" x14ac:dyDescent="0.25">
      <c r="M4120" s="12"/>
      <c r="N4120" s="12"/>
      <c r="O4120" s="12"/>
      <c r="P4120" s="12"/>
      <c r="Q4120" s="12"/>
      <c r="R4120" s="182"/>
      <c r="S4120" s="22"/>
      <c r="T4120" s="152"/>
      <c r="U4120" s="157"/>
      <c r="V4120" s="1"/>
      <c r="W4120" s="147"/>
      <c r="X4120" s="157"/>
      <c r="Y4120" s="1"/>
      <c r="Z4120" s="147"/>
      <c r="AA4120" s="157"/>
      <c r="AB4120" s="1"/>
      <c r="AC4120" s="147"/>
      <c r="AD4120" s="157"/>
      <c r="AE4120" s="1"/>
      <c r="AF4120" s="147"/>
      <c r="AG4120" s="157"/>
      <c r="AH4120" s="1"/>
      <c r="AI4120" s="147"/>
      <c r="AJ4120" s="157"/>
      <c r="AK4120" s="1"/>
      <c r="AL4120" s="147"/>
      <c r="AM4120" s="157"/>
      <c r="AN4120" s="1"/>
      <c r="AO4120" s="147"/>
      <c r="AP4120" s="157"/>
      <c r="AQ4120" s="1"/>
      <c r="AR4120" s="147"/>
      <c r="AS4120" s="157"/>
      <c r="AT4120" s="1"/>
      <c r="AU4120" s="147"/>
    </row>
    <row r="4121" spans="13:47" ht="14" x14ac:dyDescent="0.3">
      <c r="M4121" s="23"/>
      <c r="N4121" s="23"/>
      <c r="O4121" s="23" t="s">
        <v>238</v>
      </c>
      <c r="P4121" s="20"/>
      <c r="Q4121" s="20"/>
      <c r="R4121" s="18">
        <f>R4107*1.02</f>
        <v>3715.8283268131581</v>
      </c>
      <c r="S4121" s="128" t="s">
        <v>185</v>
      </c>
      <c r="T4121" s="153" t="s">
        <v>186</v>
      </c>
      <c r="U4121" s="143">
        <f>U4107*1.01</f>
        <v>8489.4342809538921</v>
      </c>
      <c r="V4121" s="128" t="s">
        <v>185</v>
      </c>
      <c r="W4121" s="153" t="s">
        <v>186</v>
      </c>
      <c r="X4121" s="143">
        <f>X4107*1.01</f>
        <v>20995.381231320876</v>
      </c>
      <c r="Y4121" s="128" t="s">
        <v>185</v>
      </c>
      <c r="Z4121" s="153" t="s">
        <v>186</v>
      </c>
      <c r="AA4121" s="143">
        <f>AA4107*1.01</f>
        <v>40893.643663852337</v>
      </c>
      <c r="AB4121" s="128" t="s">
        <v>185</v>
      </c>
      <c r="AC4121" s="153" t="s">
        <v>186</v>
      </c>
      <c r="AD4121" s="143">
        <f>AD4107*1.01</f>
        <v>67254.987680716004</v>
      </c>
      <c r="AE4121" s="128" t="s">
        <v>185</v>
      </c>
      <c r="AF4121" s="153" t="s">
        <v>186</v>
      </c>
      <c r="AG4121" s="143">
        <f>AG4107*1.01</f>
        <v>94330.297926090352</v>
      </c>
      <c r="AH4121" s="128" t="s">
        <v>185</v>
      </c>
      <c r="AI4121" s="153" t="s">
        <v>186</v>
      </c>
      <c r="AJ4121" s="143">
        <f>AJ4107*1.01</f>
        <v>119774.4476830951</v>
      </c>
      <c r="AK4121" s="128" t="s">
        <v>185</v>
      </c>
      <c r="AL4121" s="153" t="s">
        <v>186</v>
      </c>
      <c r="AM4121" s="143">
        <f>AM4107*1.01</f>
        <v>140444.95956072811</v>
      </c>
      <c r="AN4121" s="128" t="s">
        <v>185</v>
      </c>
      <c r="AO4121" s="153" t="s">
        <v>186</v>
      </c>
      <c r="AP4121" s="143">
        <f>AP4107*1.01</f>
        <v>156689.99583059479</v>
      </c>
      <c r="AQ4121" s="128" t="s">
        <v>185</v>
      </c>
      <c r="AR4121" s="153" t="s">
        <v>186</v>
      </c>
      <c r="AS4121" s="143">
        <f>AS4107*1.01</f>
        <v>174814.06858731509</v>
      </c>
      <c r="AT4121" s="128" t="s">
        <v>185</v>
      </c>
      <c r="AU4121" s="153" t="s">
        <v>186</v>
      </c>
    </row>
    <row r="4122" spans="13:47" ht="14" x14ac:dyDescent="0.3">
      <c r="M4122" s="12"/>
      <c r="N4122" s="12"/>
      <c r="O4122" s="20"/>
      <c r="P4122" s="20"/>
      <c r="Q4122" s="23"/>
      <c r="R4122" s="139"/>
      <c r="S4122" s="130" t="s">
        <v>228</v>
      </c>
      <c r="T4122" s="154" t="s">
        <v>187</v>
      </c>
      <c r="U4122" s="144"/>
      <c r="V4122" s="130" t="s">
        <v>228</v>
      </c>
      <c r="W4122" s="154" t="s">
        <v>187</v>
      </c>
      <c r="X4122" s="144"/>
      <c r="Y4122" s="130" t="s">
        <v>228</v>
      </c>
      <c r="Z4122" s="154" t="s">
        <v>187</v>
      </c>
      <c r="AA4122" s="144"/>
      <c r="AB4122" s="130" t="s">
        <v>228</v>
      </c>
      <c r="AC4122" s="154" t="s">
        <v>187</v>
      </c>
      <c r="AD4122" s="144"/>
      <c r="AE4122" s="130" t="s">
        <v>228</v>
      </c>
      <c r="AF4122" s="154" t="s">
        <v>187</v>
      </c>
      <c r="AG4122" s="144"/>
      <c r="AH4122" s="130" t="s">
        <v>228</v>
      </c>
      <c r="AI4122" s="154" t="s">
        <v>187</v>
      </c>
      <c r="AJ4122" s="144"/>
      <c r="AK4122" s="130" t="s">
        <v>228</v>
      </c>
      <c r="AL4122" s="154" t="s">
        <v>187</v>
      </c>
      <c r="AM4122" s="144"/>
      <c r="AN4122" s="130" t="s">
        <v>228</v>
      </c>
      <c r="AO4122" s="154" t="s">
        <v>187</v>
      </c>
      <c r="AP4122" s="144"/>
      <c r="AQ4122" s="130" t="s">
        <v>228</v>
      </c>
      <c r="AR4122" s="154" t="s">
        <v>187</v>
      </c>
      <c r="AS4122" s="144"/>
      <c r="AT4122" s="130" t="s">
        <v>228</v>
      </c>
      <c r="AU4122" s="154" t="s">
        <v>187</v>
      </c>
    </row>
    <row r="4123" spans="13:47" x14ac:dyDescent="0.25">
      <c r="M4123" s="20"/>
      <c r="N4123" s="20"/>
      <c r="O4123" s="7" t="s">
        <v>188</v>
      </c>
      <c r="P4123" s="7"/>
      <c r="Q4123" s="7"/>
      <c r="R4123" s="181">
        <f>P_1_minW-(R4121^2*R_up)+dpup_minQ</f>
        <v>95.016930468816881</v>
      </c>
      <c r="S4123" s="132"/>
      <c r="T4123" s="145"/>
      <c r="U4123" s="138">
        <f>P_1_minW-(U4121^2*R_up)+dpup_minQ</f>
        <v>71.783824026467286</v>
      </c>
      <c r="V4123" s="132"/>
      <c r="W4123" s="145"/>
      <c r="X4123" s="138">
        <f>P_1_minW-(X4121^2*R_up)+dpup_minQ</f>
        <v>-75.25383655183019</v>
      </c>
      <c r="Y4123" s="132"/>
      <c r="Z4123" s="145"/>
      <c r="AA4123" s="138">
        <f>P_1_minW-(AA4121^2*R_up)+dpup_minQ</f>
        <v>-566.32268158966258</v>
      </c>
      <c r="AB4123" s="132"/>
      <c r="AC4123" s="145"/>
      <c r="AD4123" s="138">
        <f>P_1_minW-(AD4121^2*R_up)+dpup_minQ</f>
        <v>-1703.1700580795666</v>
      </c>
      <c r="AE4123" s="132"/>
      <c r="AF4123" s="145"/>
      <c r="AG4123" s="138">
        <f>P_1_minW-(AG4121^2*R_up)+dpup_minQ</f>
        <v>-3447.7418234134516</v>
      </c>
      <c r="AH4123" s="132"/>
      <c r="AI4123" s="145"/>
      <c r="AJ4123" s="138">
        <f>P_1_minW-(AJ4121^2*R_up)+dpup_minQ</f>
        <v>-5620.0819482651923</v>
      </c>
      <c r="AK4123" s="132"/>
      <c r="AL4123" s="145"/>
      <c r="AM4123" s="138">
        <f>P_1_minW-(AM4121^2*R_up)+dpup_minQ</f>
        <v>-7764.9693692150213</v>
      </c>
      <c r="AN4123" s="132"/>
      <c r="AO4123" s="145"/>
      <c r="AP4123" s="138">
        <f>P_1_minW-(AP4121^2*R_up)+dpup_minQ</f>
        <v>-9689.7800445228822</v>
      </c>
      <c r="AQ4123" s="132"/>
      <c r="AR4123" s="145"/>
      <c r="AS4123" s="138">
        <f>P_1_minW-(AS4121^2*R_up)+dpup_minQ</f>
        <v>-12085.62241909646</v>
      </c>
      <c r="AT4123" s="132"/>
      <c r="AU4123" s="145"/>
    </row>
    <row r="4124" spans="13:47" x14ac:dyDescent="0.25">
      <c r="M4124" s="20"/>
      <c r="N4124" s="20"/>
      <c r="O4124" s="7" t="s">
        <v>189</v>
      </c>
      <c r="P4124" s="1"/>
      <c r="Q4124" s="7"/>
      <c r="R4124" s="181">
        <f>P_2_minW+(R4121^2*R_dn)-dpdn_minQ</f>
        <v>50</v>
      </c>
      <c r="S4124" s="132"/>
      <c r="T4124" s="146"/>
      <c r="U4124" s="138">
        <f>P_2_minW+(U4121^2*R_dn)-dpdn_minQ</f>
        <v>50</v>
      </c>
      <c r="V4124" s="132"/>
      <c r="W4124" s="146"/>
      <c r="X4124" s="138">
        <f>P_2_minW+(X4121^2*R_dn)-dpdn_minQ</f>
        <v>50</v>
      </c>
      <c r="Y4124" s="132"/>
      <c r="Z4124" s="146"/>
      <c r="AA4124" s="138">
        <f>P_2_minW+(AA4121^2*R_dn)-dpdn_minQ</f>
        <v>50</v>
      </c>
      <c r="AB4124" s="132"/>
      <c r="AC4124" s="146"/>
      <c r="AD4124" s="138">
        <f>P_2_minW+(AD4121^2*R_dn)-dpdn_minQ</f>
        <v>50</v>
      </c>
      <c r="AE4124" s="132"/>
      <c r="AF4124" s="146"/>
      <c r="AG4124" s="138">
        <f>P_2_minW+(AG4121^2*R_dn)-dpdn_minQ</f>
        <v>50</v>
      </c>
      <c r="AH4124" s="132"/>
      <c r="AI4124" s="146"/>
      <c r="AJ4124" s="138">
        <f>P_2_minW+(AJ4121^2*R_dn)-dpdn_minQ</f>
        <v>50</v>
      </c>
      <c r="AK4124" s="132"/>
      <c r="AL4124" s="146"/>
      <c r="AM4124" s="138">
        <f>P_2_minW+(AM4121^2*R_dn)-dpdn_minQ</f>
        <v>50</v>
      </c>
      <c r="AN4124" s="132"/>
      <c r="AO4124" s="146"/>
      <c r="AP4124" s="138">
        <f>P_2_minW+(AP4121^2*R_dn)-dpdn_minQ</f>
        <v>50</v>
      </c>
      <c r="AQ4124" s="132"/>
      <c r="AR4124" s="146"/>
      <c r="AS4124" s="138">
        <f>P_2_minW+(AS4121^2*R_dn)-dpdn_minQ</f>
        <v>50</v>
      </c>
      <c r="AT4124" s="132"/>
      <c r="AU4124" s="146"/>
    </row>
    <row r="4125" spans="13:47" x14ac:dyDescent="0.25">
      <c r="M4125" s="20"/>
      <c r="N4125" s="20"/>
      <c r="O4125" s="7" t="s">
        <v>234</v>
      </c>
      <c r="P4125" s="1"/>
      <c r="Q4125" s="7"/>
      <c r="R4125" s="179">
        <f>'Valve Sizing'!G$8*R4123/P_1_maxW</f>
        <v>0.45834475585978318</v>
      </c>
      <c r="S4125" s="132"/>
      <c r="T4125" s="146"/>
      <c r="U4125" s="143">
        <f>'Valve Sizing'!$G$8*U4123/P_1_maxW</f>
        <v>0.34627238678153932</v>
      </c>
      <c r="V4125" s="132"/>
      <c r="W4125" s="146"/>
      <c r="X4125" s="143">
        <f>'Valve Sizing'!$G$8*X4123/P_1_maxW</f>
        <v>-0.36301110940623843</v>
      </c>
      <c r="Y4125" s="132"/>
      <c r="Z4125" s="146"/>
      <c r="AA4125" s="143">
        <f>'Valve Sizing'!$G$8*AA4123/P_1_maxW</f>
        <v>-2.7318397884496899</v>
      </c>
      <c r="AB4125" s="132"/>
      <c r="AC4125" s="146"/>
      <c r="AD4125" s="143">
        <f>'Valve Sizing'!$G$8*AD4123/P_1_maxW</f>
        <v>-8.2157891294369456</v>
      </c>
      <c r="AE4125" s="132"/>
      <c r="AF4125" s="146"/>
      <c r="AG4125" s="143">
        <f>'Valve Sizing'!$G$8*AG4123/P_1_maxW</f>
        <v>-16.631292723549073</v>
      </c>
      <c r="AH4125" s="132"/>
      <c r="AI4125" s="146"/>
      <c r="AJ4125" s="143">
        <f>'Valve Sizing'!$G$8*AJ4123/P_1_maxW</f>
        <v>-27.11027472451309</v>
      </c>
      <c r="AK4125" s="132"/>
      <c r="AL4125" s="146"/>
      <c r="AM4125" s="143">
        <f>'Valve Sizing'!$G$8*AM4123/P_1_maxW</f>
        <v>-37.456829769506967</v>
      </c>
      <c r="AN4125" s="132"/>
      <c r="AO4125" s="146"/>
      <c r="AP4125" s="143">
        <f>'Valve Sizing'!$G$8*AP4123/P_1_maxW</f>
        <v>-46.741773775773503</v>
      </c>
      <c r="AQ4125" s="132"/>
      <c r="AR4125" s="146"/>
      <c r="AS4125" s="143">
        <f>'Valve Sizing'!$G$8*AS4123/P_1_maxW</f>
        <v>-58.298890837272737</v>
      </c>
      <c r="AT4125" s="132"/>
      <c r="AU4125" s="146"/>
    </row>
    <row r="4126" spans="13:47" x14ac:dyDescent="0.25">
      <c r="M4126" s="20"/>
      <c r="N4126" s="20"/>
      <c r="O4126" s="7" t="s">
        <v>190</v>
      </c>
      <c r="P4126" s="1"/>
      <c r="Q4126" s="7"/>
      <c r="R4126" s="181">
        <f>R4123-R4124</f>
        <v>45.016930468816881</v>
      </c>
      <c r="S4126" s="132"/>
      <c r="T4126" s="146"/>
      <c r="U4126" s="138">
        <f>U4123-U4124</f>
        <v>21.783824026467286</v>
      </c>
      <c r="V4126" s="132"/>
      <c r="W4126" s="146"/>
      <c r="X4126" s="138">
        <f>X4123-X4124</f>
        <v>-125.25383655183019</v>
      </c>
      <c r="Y4126" s="132"/>
      <c r="Z4126" s="146"/>
      <c r="AA4126" s="138">
        <f>AA4123-AA4124</f>
        <v>-616.32268158966258</v>
      </c>
      <c r="AB4126" s="132"/>
      <c r="AC4126" s="146"/>
      <c r="AD4126" s="138">
        <f>AD4123-AD4124</f>
        <v>-1753.1700580795666</v>
      </c>
      <c r="AE4126" s="132"/>
      <c r="AF4126" s="146"/>
      <c r="AG4126" s="138">
        <f>AG4123-AG4124</f>
        <v>-3497.7418234134516</v>
      </c>
      <c r="AH4126" s="132"/>
      <c r="AI4126" s="146"/>
      <c r="AJ4126" s="138">
        <f>AJ4123-AJ4124</f>
        <v>-5670.0819482651923</v>
      </c>
      <c r="AK4126" s="132"/>
      <c r="AL4126" s="146"/>
      <c r="AM4126" s="138">
        <f>AM4123-AM4124</f>
        <v>-7814.9693692150213</v>
      </c>
      <c r="AN4126" s="132"/>
      <c r="AO4126" s="146"/>
      <c r="AP4126" s="138">
        <f>AP4123-AP4124</f>
        <v>-9739.7800445228822</v>
      </c>
      <c r="AQ4126" s="132"/>
      <c r="AR4126" s="146"/>
      <c r="AS4126" s="138">
        <f>AS4123-AS4124</f>
        <v>-12135.62241909646</v>
      </c>
      <c r="AT4126" s="132"/>
      <c r="AU4126" s="146"/>
    </row>
    <row r="4127" spans="13:47" ht="14.5" x14ac:dyDescent="0.35">
      <c r="M4127" s="27"/>
      <c r="N4127" s="27"/>
      <c r="O4127" s="2" t="s">
        <v>191</v>
      </c>
      <c r="P4127" s="10"/>
      <c r="Q4127" s="2"/>
      <c r="R4127" s="181">
        <f>R4126/R4123</f>
        <v>0.47377799142428367</v>
      </c>
      <c r="S4127" s="132"/>
      <c r="T4127" s="146"/>
      <c r="U4127" s="138">
        <f>U4126/U4123</f>
        <v>0.30346424590636756</v>
      </c>
      <c r="V4127" s="132"/>
      <c r="W4127" s="146"/>
      <c r="X4127" s="138">
        <f>X4126/X4123</f>
        <v>1.6644179525061569</v>
      </c>
      <c r="Y4127" s="132"/>
      <c r="Z4127" s="146"/>
      <c r="AA4127" s="138">
        <f>AA4126/AA4123</f>
        <v>1.0882888883412729</v>
      </c>
      <c r="AB4127" s="132"/>
      <c r="AC4127" s="146"/>
      <c r="AD4127" s="138">
        <f>AD4126/AD4123</f>
        <v>1.0293570214922509</v>
      </c>
      <c r="AE4127" s="132"/>
      <c r="AF4127" s="146"/>
      <c r="AG4127" s="138">
        <f>AG4126/AG4123</f>
        <v>1.0145022459803841</v>
      </c>
      <c r="AH4127" s="132"/>
      <c r="AI4127" s="146"/>
      <c r="AJ4127" s="138">
        <f>AJ4126/AJ4123</f>
        <v>1.0088966674258966</v>
      </c>
      <c r="AK4127" s="132"/>
      <c r="AL4127" s="146"/>
      <c r="AM4127" s="138">
        <f>AM4126/AM4123</f>
        <v>1.0064391754329682</v>
      </c>
      <c r="AN4127" s="132"/>
      <c r="AO4127" s="146"/>
      <c r="AP4127" s="138">
        <f>AP4126/AP4123</f>
        <v>1.0051600758500461</v>
      </c>
      <c r="AQ4127" s="132"/>
      <c r="AR4127" s="146"/>
      <c r="AS4127" s="138">
        <f>AS4126/AS4123</f>
        <v>1.0041371472867624</v>
      </c>
      <c r="AT4127" s="132"/>
      <c r="AU4127" s="146"/>
    </row>
    <row r="4128" spans="13:47" x14ac:dyDescent="0.25">
      <c r="M4128" s="27"/>
      <c r="N4128" s="27"/>
      <c r="O4128" s="2" t="s">
        <v>26</v>
      </c>
      <c r="P4128" s="7">
        <v>12</v>
      </c>
      <c r="Q4128" s="2"/>
      <c r="R4128" s="181">
        <f>1-R4127/(3*F_GAMMA*R$29)</f>
        <v>0.75325099298327347</v>
      </c>
      <c r="S4128" s="133"/>
      <c r="T4128" s="146"/>
      <c r="U4128" s="138">
        <f>1-U4127/(3*F_GAMMA*U$29)</f>
        <v>0.84198714145440945</v>
      </c>
      <c r="V4128" s="133"/>
      <c r="W4128" s="146"/>
      <c r="X4128" s="138">
        <f>1-X4127/(3*F_GAMMA*X$29)</f>
        <v>0.1203416803422851</v>
      </c>
      <c r="Y4128" s="133"/>
      <c r="Z4128" s="146"/>
      <c r="AA4128" s="138">
        <f>1-AA4127/(3*F_GAMMA*AA$29)</f>
        <v>0.41694416636103582</v>
      </c>
      <c r="AB4128" s="133"/>
      <c r="AC4128" s="146"/>
      <c r="AD4128" s="138">
        <f>1-AD4127/(3*F_GAMMA*AD$29)</f>
        <v>0.43339670207770886</v>
      </c>
      <c r="AE4128" s="133"/>
      <c r="AF4128" s="146"/>
      <c r="AG4128" s="138">
        <f>1-AG4127/(3*F_GAMMA*AG$29)</f>
        <v>0.40971988896476541</v>
      </c>
      <c r="AH4128" s="133"/>
      <c r="AI4128" s="146"/>
      <c r="AJ4128" s="138">
        <f>1-AJ4127/(3*F_GAMMA*AJ$29)</f>
        <v>0.37246921265801858</v>
      </c>
      <c r="AK4128" s="133"/>
      <c r="AL4128" s="146"/>
      <c r="AM4128" s="138">
        <f>1-AM4127/(3*F_GAMMA*AM$29)</f>
        <v>0.31602890140172757</v>
      </c>
      <c r="AN4128" s="133"/>
      <c r="AO4128" s="146"/>
      <c r="AP4128" s="138">
        <f>1-AP4127/(3*F_GAMMA*AP$29)</f>
        <v>0.43549024131580782</v>
      </c>
      <c r="AQ4128" s="133"/>
      <c r="AR4128" s="146"/>
      <c r="AS4128" s="138">
        <f>1-AS4127/(3*F_GAMMA*AS$29)</f>
        <v>0.14389725794063279</v>
      </c>
      <c r="AT4128" s="133"/>
      <c r="AU4128" s="146"/>
    </row>
    <row r="4129" spans="13:47" x14ac:dyDescent="0.25">
      <c r="M4129" s="27"/>
      <c r="N4129" s="27"/>
      <c r="O4129" s="2" t="s">
        <v>71</v>
      </c>
      <c r="P4129" s="85">
        <v>5</v>
      </c>
      <c r="Q4129" s="2"/>
      <c r="R4129" s="179">
        <f>R4121/((N_6*R$27*R4128)*SQRT(R4127*R4123*R4125))</f>
        <v>17.158511302794579</v>
      </c>
      <c r="S4129" s="133"/>
      <c r="T4129" s="146"/>
      <c r="U4129" s="143">
        <f>U4121/((N_6*U$27*U4128)*SQRT(U4127*U4123*U4125))</f>
        <v>58.038344237153154</v>
      </c>
      <c r="V4129" s="133"/>
      <c r="W4129" s="146"/>
      <c r="X4129" s="143">
        <f>X4121/((N_6*X$27*X4128)*SQRT(X4127*X4123*X4125))</f>
        <v>409.95043652922675</v>
      </c>
      <c r="Y4129" s="133"/>
      <c r="Z4129" s="146"/>
      <c r="AA4129" s="143">
        <f>AA4121/((N_6*AA$27*AA4128)*SQRT(AA4127*AA4123*AA4125))</f>
        <v>38.090435357688527</v>
      </c>
      <c r="AB4129" s="133"/>
      <c r="AC4129" s="146"/>
      <c r="AD4129" s="143">
        <f>AD4121/((N_6*AD$27*AD4128)*SQRT(AD4127*AD4123*AD4125))</f>
        <v>20.850507465192575</v>
      </c>
      <c r="AE4129" s="133"/>
      <c r="AF4129" s="146"/>
      <c r="AG4129" s="143">
        <f>AG4121/((N_6*AG$27*AG4128)*SQRT(AG4127*AG4123*AG4125))</f>
        <v>15.72506326721048</v>
      </c>
      <c r="AH4129" s="133"/>
      <c r="AI4129" s="146"/>
      <c r="AJ4129" s="143">
        <f>AJ4121/((N_6*AJ$27*AJ4128)*SQRT(AJ4127*AJ4123*AJ4125))</f>
        <v>13.975162455274898</v>
      </c>
      <c r="AK4129" s="133"/>
      <c r="AL4129" s="146"/>
      <c r="AM4129" s="143">
        <f>AM4121/((N_6*AM$27*AM4128)*SQRT(AM4127*AM4123*AM4125))</f>
        <v>14.855222030609402</v>
      </c>
      <c r="AN4129" s="133"/>
      <c r="AO4129" s="146"/>
      <c r="AP4129" s="143">
        <f>AP4121/((N_6*AP$27*AP4128)*SQRT(AP4127*AP4123*AP4125))</f>
        <v>10.955160258696708</v>
      </c>
      <c r="AQ4129" s="133"/>
      <c r="AR4129" s="146"/>
      <c r="AS4129" s="143">
        <f>AS4121/((N_6*AS$27*AS4128)*SQRT(AS4127*AS4123*AS4125))</f>
        <v>38.988198626386868</v>
      </c>
      <c r="AT4129" s="133"/>
      <c r="AU4129" s="146"/>
    </row>
    <row r="4130" spans="13:47" x14ac:dyDescent="0.25">
      <c r="M4130" s="27"/>
      <c r="N4130" s="27"/>
      <c r="O4130" s="2" t="s">
        <v>73</v>
      </c>
      <c r="P4130" s="85">
        <v>5</v>
      </c>
      <c r="Q4130" s="2"/>
      <c r="R4130" s="179">
        <f>R4121/((N_6*R$27*0.667)*SQRT(R4131*R4123*R4125))</f>
        <v>16.671774146609806</v>
      </c>
      <c r="S4130" s="133"/>
      <c r="T4130" s="155"/>
      <c r="U4130" s="143">
        <f>U4121/((N_6*U$27*0.667)*SQRT(U4131*U4123*U4125))</f>
        <v>50.443066675263367</v>
      </c>
      <c r="V4130" s="133"/>
      <c r="W4130" s="155"/>
      <c r="X4130" s="143">
        <f>X4121/((N_6*X$27*0.667)*SQRT(X4131*X4123*X4125))</f>
        <v>120.15427442255177</v>
      </c>
      <c r="Y4130" s="133"/>
      <c r="Z4130" s="155"/>
      <c r="AA4130" s="143">
        <f>AA4121/((N_6*AA$27*0.667)*SQRT(AA4131*AA4123*AA4125))</f>
        <v>31.490800763601953</v>
      </c>
      <c r="AB4130" s="133"/>
      <c r="AC4130" s="155"/>
      <c r="AD4130" s="143">
        <f>AD4121/((N_6*AD$27*0.667)*SQRT(AD4131*AD4123*AD4125))</f>
        <v>17.663492330812865</v>
      </c>
      <c r="AE4130" s="133"/>
      <c r="AF4130" s="155"/>
      <c r="AG4130" s="143">
        <f>AG4121/((N_6*AG$27*0.667)*SQRT(AG4131*AG4123*AG4125))</f>
        <v>12.854148603702381</v>
      </c>
      <c r="AH4130" s="133"/>
      <c r="AI4130" s="155"/>
      <c r="AJ4130" s="143">
        <f>AJ4121/((N_6*AJ$27*0.667)*SQRT(AJ4131*AJ4123*AJ4125))</f>
        <v>10.707782923398858</v>
      </c>
      <c r="AK4130" s="133"/>
      <c r="AL4130" s="155"/>
      <c r="AM4130" s="143">
        <f>AM4121/((N_6*AM$27*0.667)*SQRT(AM4131*AM4123*AM4125))</f>
        <v>10.082300042158185</v>
      </c>
      <c r="AN4130" s="133"/>
      <c r="AO4130" s="155"/>
      <c r="AP4130" s="143">
        <f>AP4121/((N_6*AP$27*0.667)*SQRT(AP4131*AP4123*AP4125))</f>
        <v>9.3082423709980997</v>
      </c>
      <c r="AQ4130" s="133"/>
      <c r="AR4130" s="155"/>
      <c r="AS4130" s="143">
        <f>AS4121/((N_6*AS$27*0.667)*SQRT(AS4131*AS4123*AS4125))</f>
        <v>13.479799287148698</v>
      </c>
      <c r="AT4130" s="133"/>
      <c r="AU4130" s="155"/>
    </row>
    <row r="4131" spans="13:47" ht="15.5" x14ac:dyDescent="0.4">
      <c r="M4131" s="27"/>
      <c r="N4131" s="27"/>
      <c r="O4131" s="2" t="s">
        <v>192</v>
      </c>
      <c r="P4131" s="85">
        <v>10</v>
      </c>
      <c r="Q4131" s="2"/>
      <c r="R4131" s="181">
        <f>F_GAMMA*R$29</f>
        <v>0.64002688015162901</v>
      </c>
      <c r="S4131" s="133"/>
      <c r="T4131" s="155"/>
      <c r="U4131" s="138">
        <f>F_GAMMA*U$29</f>
        <v>0.64016782916606918</v>
      </c>
      <c r="V4131" s="133"/>
      <c r="W4131" s="155"/>
      <c r="X4131" s="138">
        <f>F_GAMMA*X$29</f>
        <v>0.6307062319203669</v>
      </c>
      <c r="Y4131" s="133"/>
      <c r="Z4131" s="155"/>
      <c r="AA4131" s="138">
        <f>F_GAMMA*AA$29</f>
        <v>0.62217534213893466</v>
      </c>
      <c r="AB4131" s="133"/>
      <c r="AC4131" s="155"/>
      <c r="AD4131" s="138">
        <f>F_GAMMA*AD$29</f>
        <v>0.60557184969146072</v>
      </c>
      <c r="AE4131" s="133"/>
      <c r="AF4131" s="155"/>
      <c r="AG4131" s="138">
        <f>F_GAMMA*AG$29</f>
        <v>0.57289312142622573</v>
      </c>
      <c r="AH4131" s="133"/>
      <c r="AI4131" s="155"/>
      <c r="AJ4131" s="138">
        <f>F_GAMMA*AJ$29</f>
        <v>0.53590819116049981</v>
      </c>
      <c r="AK4131" s="133"/>
      <c r="AL4131" s="155"/>
      <c r="AM4131" s="138">
        <f>F_GAMMA*AM$29</f>
        <v>0.49048815926850342</v>
      </c>
      <c r="AN4131" s="133"/>
      <c r="AO4131" s="155"/>
      <c r="AP4131" s="138">
        <f>F_GAMMA*AP$29</f>
        <v>0.59352979016280105</v>
      </c>
      <c r="AQ4131" s="133"/>
      <c r="AR4131" s="155"/>
      <c r="AS4131" s="138">
        <f>F_GAMMA*AS$29</f>
        <v>0.39097221161068291</v>
      </c>
      <c r="AT4131" s="133"/>
      <c r="AU4131" s="155"/>
    </row>
    <row r="4132" spans="13:47" x14ac:dyDescent="0.25">
      <c r="M4132" s="27"/>
      <c r="N4132" s="27"/>
      <c r="O4132" s="2" t="s">
        <v>193</v>
      </c>
      <c r="P4132" s="134"/>
      <c r="Q4132" s="2"/>
      <c r="R4132" s="181">
        <f>IF(R4127&lt;R4131,R4129,R4130)</f>
        <v>17.158511302794579</v>
      </c>
      <c r="S4132" s="133"/>
      <c r="T4132" s="155"/>
      <c r="U4132" s="138">
        <f>IF(U4127&lt;U4131,U4129,U4130)</f>
        <v>58.038344237153154</v>
      </c>
      <c r="V4132" s="133"/>
      <c r="W4132" s="155"/>
      <c r="X4132" s="138">
        <f>IF(X4127&lt;X4131,X4129,X4130)</f>
        <v>120.15427442255177</v>
      </c>
      <c r="Y4132" s="133"/>
      <c r="Z4132" s="155"/>
      <c r="AA4132" s="138">
        <f>IF(AA4127&lt;AA4131,AA4129,AA4130)</f>
        <v>31.490800763601953</v>
      </c>
      <c r="AB4132" s="133"/>
      <c r="AC4132" s="155"/>
      <c r="AD4132" s="138">
        <f>IF(AD4127&lt;AD4131,AD4129,AD4130)</f>
        <v>17.663492330812865</v>
      </c>
      <c r="AE4132" s="133"/>
      <c r="AF4132" s="155"/>
      <c r="AG4132" s="138">
        <f>IF(AG4127&lt;AG4131,AG4129,AG4130)</f>
        <v>12.854148603702381</v>
      </c>
      <c r="AH4132" s="133"/>
      <c r="AI4132" s="155"/>
      <c r="AJ4132" s="138">
        <f>IF(AJ4127&lt;AJ4131,AJ4129,AJ4130)</f>
        <v>10.707782923398858</v>
      </c>
      <c r="AK4132" s="133"/>
      <c r="AL4132" s="155"/>
      <c r="AM4132" s="138">
        <f>IF(AM4127&lt;AM4131,AM4129,AM4130)</f>
        <v>10.082300042158185</v>
      </c>
      <c r="AN4132" s="133"/>
      <c r="AO4132" s="155"/>
      <c r="AP4132" s="138">
        <f>IF(AP4127&lt;AP4131,AP4129,AP4130)</f>
        <v>9.3082423709980997</v>
      </c>
      <c r="AQ4132" s="133"/>
      <c r="AR4132" s="155"/>
      <c r="AS4132" s="138">
        <f>IF(AS4127&lt;AS4131,AS4129,AS4130)</f>
        <v>13.479799287148698</v>
      </c>
      <c r="AT4132" s="133"/>
      <c r="AU4132" s="155"/>
    </row>
    <row r="4133" spans="13:47" ht="13" x14ac:dyDescent="0.3">
      <c r="M4133" s="28"/>
      <c r="N4133" s="28"/>
      <c r="O4133" s="9" t="s">
        <v>194</v>
      </c>
      <c r="P4133" s="1"/>
      <c r="Q4133" s="1"/>
      <c r="R4133" s="135"/>
      <c r="S4133" s="132">
        <f>IF(R4126&lt;=0,W_max,ABS(R$23-R4132))</f>
        <v>15.158511302794579</v>
      </c>
      <c r="T4133" s="151">
        <f>R4121</f>
        <v>3715.8283268131581</v>
      </c>
      <c r="U4133" s="135"/>
      <c r="V4133" s="132">
        <f>IF(U4126&lt;=0,W_max,ABS(U$23-U4132))</f>
        <v>53.038344237153154</v>
      </c>
      <c r="W4133" s="151">
        <f>U4121</f>
        <v>8489.4342809538921</v>
      </c>
      <c r="X4133" s="135"/>
      <c r="Y4133" s="132">
        <f>IF(X4126&lt;=0,W_max,ABS(X$23-X4132))</f>
        <v>7174</v>
      </c>
      <c r="Z4133" s="151">
        <f>X4121</f>
        <v>20995.381231320876</v>
      </c>
      <c r="AA4133" s="135"/>
      <c r="AB4133" s="132">
        <f>IF(AA4126&lt;=0,W_max,ABS(AA$23-AA4132))</f>
        <v>7174</v>
      </c>
      <c r="AC4133" s="151">
        <f>AA4121</f>
        <v>40893.643663852337</v>
      </c>
      <c r="AD4133" s="135"/>
      <c r="AE4133" s="132">
        <f>IF(AD4126&lt;=0,W_max,ABS(AD$23-AD4132))</f>
        <v>7174</v>
      </c>
      <c r="AF4133" s="151">
        <f>AD4121</f>
        <v>67254.987680716004</v>
      </c>
      <c r="AG4133" s="135"/>
      <c r="AH4133" s="132">
        <f>IF(AG4126&lt;=0,W_max,ABS(AG$23-AG4132))</f>
        <v>7174</v>
      </c>
      <c r="AI4133" s="151">
        <f>AG4121</f>
        <v>94330.297926090352</v>
      </c>
      <c r="AJ4133" s="135"/>
      <c r="AK4133" s="132">
        <f>IF(AJ4126&lt;=0,W_max,ABS(AJ$23-AJ4132))</f>
        <v>7174</v>
      </c>
      <c r="AL4133" s="151">
        <f>AJ4121</f>
        <v>119774.4476830951</v>
      </c>
      <c r="AM4133" s="135"/>
      <c r="AN4133" s="132">
        <f>IF(AM4126&lt;=0,W_max,ABS(AM$23-AM4132))</f>
        <v>7174</v>
      </c>
      <c r="AO4133" s="151">
        <f>AM4121</f>
        <v>140444.95956072811</v>
      </c>
      <c r="AP4133" s="135"/>
      <c r="AQ4133" s="132">
        <f>IF(AP4126&lt;=0,W_max,ABS(AP$23-AP4132))</f>
        <v>7174</v>
      </c>
      <c r="AR4133" s="151">
        <f>AP4121</f>
        <v>156689.99583059479</v>
      </c>
      <c r="AS4133" s="135"/>
      <c r="AT4133" s="132">
        <f>IF(AS4126&lt;=0,W_max,ABS(AS$23-AS4132))</f>
        <v>7174</v>
      </c>
      <c r="AU4133" s="151">
        <f>AS4121</f>
        <v>174814.06858731509</v>
      </c>
    </row>
    <row r="4134" spans="13:47" ht="13" x14ac:dyDescent="0.25">
      <c r="M4134" s="12"/>
      <c r="N4134" s="12"/>
      <c r="O4134" s="2"/>
      <c r="P4134" s="85"/>
      <c r="Q4134" s="2"/>
      <c r="R4134" s="18"/>
      <c r="S4134" s="150"/>
      <c r="T4134" s="152"/>
      <c r="U4134" s="157"/>
      <c r="V4134" s="1"/>
      <c r="W4134" s="147"/>
      <c r="X4134" s="157"/>
      <c r="Y4134" s="1"/>
      <c r="Z4134" s="147"/>
      <c r="AA4134" s="157"/>
      <c r="AB4134" s="1"/>
      <c r="AC4134" s="147"/>
      <c r="AD4134" s="157"/>
      <c r="AE4134" s="1"/>
      <c r="AF4134" s="147"/>
      <c r="AG4134" s="157"/>
      <c r="AH4134" s="1"/>
      <c r="AI4134" s="147"/>
      <c r="AJ4134" s="157"/>
      <c r="AK4134" s="1"/>
      <c r="AL4134" s="147"/>
      <c r="AM4134" s="157"/>
      <c r="AN4134" s="1"/>
      <c r="AO4134" s="147"/>
      <c r="AP4134" s="157"/>
      <c r="AQ4134" s="1"/>
      <c r="AR4134" s="147"/>
      <c r="AS4134" s="157"/>
      <c r="AT4134" s="1"/>
      <c r="AU4134" s="147"/>
    </row>
    <row r="4135" spans="13:47" ht="14" x14ac:dyDescent="0.3">
      <c r="M4135" s="23"/>
      <c r="N4135" s="23"/>
      <c r="O4135" s="23" t="s">
        <v>238</v>
      </c>
      <c r="P4135" s="20"/>
      <c r="Q4135" s="20"/>
      <c r="R4135" s="181">
        <f>R4121*1.02</f>
        <v>3790.1448933494212</v>
      </c>
      <c r="S4135" s="128" t="s">
        <v>185</v>
      </c>
      <c r="T4135" s="153" t="s">
        <v>186</v>
      </c>
      <c r="U4135" s="143">
        <f>U4121*1.01</f>
        <v>8574.3286237634311</v>
      </c>
      <c r="V4135" s="128" t="s">
        <v>185</v>
      </c>
      <c r="W4135" s="153" t="s">
        <v>186</v>
      </c>
      <c r="X4135" s="143">
        <f>X4121*1.01</f>
        <v>21205.335043634084</v>
      </c>
      <c r="Y4135" s="128" t="s">
        <v>185</v>
      </c>
      <c r="Z4135" s="153" t="s">
        <v>186</v>
      </c>
      <c r="AA4135" s="143">
        <f>AA4121*1.01</f>
        <v>41302.580100490864</v>
      </c>
      <c r="AB4135" s="128" t="s">
        <v>185</v>
      </c>
      <c r="AC4135" s="153" t="s">
        <v>186</v>
      </c>
      <c r="AD4135" s="143">
        <f>AD4121*1.01</f>
        <v>67927.537557523159</v>
      </c>
      <c r="AE4135" s="128" t="s">
        <v>185</v>
      </c>
      <c r="AF4135" s="153" t="s">
        <v>186</v>
      </c>
      <c r="AG4135" s="143">
        <f>AG4121*1.01</f>
        <v>95273.600905351253</v>
      </c>
      <c r="AH4135" s="128" t="s">
        <v>185</v>
      </c>
      <c r="AI4135" s="153" t="s">
        <v>186</v>
      </c>
      <c r="AJ4135" s="143">
        <f>AJ4121*1.01</f>
        <v>120972.19215992605</v>
      </c>
      <c r="AK4135" s="128" t="s">
        <v>185</v>
      </c>
      <c r="AL4135" s="153" t="s">
        <v>186</v>
      </c>
      <c r="AM4135" s="143">
        <f>AM4121*1.01</f>
        <v>141849.4091563354</v>
      </c>
      <c r="AN4135" s="128" t="s">
        <v>185</v>
      </c>
      <c r="AO4135" s="153" t="s">
        <v>186</v>
      </c>
      <c r="AP4135" s="143">
        <f>AP4121*1.01</f>
        <v>158256.89578890076</v>
      </c>
      <c r="AQ4135" s="128" t="s">
        <v>185</v>
      </c>
      <c r="AR4135" s="153" t="s">
        <v>186</v>
      </c>
      <c r="AS4135" s="143">
        <f>AS4121*1.01</f>
        <v>176562.20927318826</v>
      </c>
      <c r="AT4135" s="128" t="s">
        <v>185</v>
      </c>
      <c r="AU4135" s="153" t="s">
        <v>186</v>
      </c>
    </row>
    <row r="4136" spans="13:47" ht="14" x14ac:dyDescent="0.3">
      <c r="M4136" s="12"/>
      <c r="N4136" s="12"/>
      <c r="O4136" s="20"/>
      <c r="P4136" s="20"/>
      <c r="Q4136" s="23"/>
      <c r="R4136" s="139"/>
      <c r="S4136" s="130" t="s">
        <v>228</v>
      </c>
      <c r="T4136" s="154" t="s">
        <v>187</v>
      </c>
      <c r="U4136" s="144"/>
      <c r="V4136" s="130" t="s">
        <v>228</v>
      </c>
      <c r="W4136" s="154" t="s">
        <v>187</v>
      </c>
      <c r="X4136" s="144"/>
      <c r="Y4136" s="130" t="s">
        <v>228</v>
      </c>
      <c r="Z4136" s="154" t="s">
        <v>187</v>
      </c>
      <c r="AA4136" s="144"/>
      <c r="AB4136" s="130" t="s">
        <v>228</v>
      </c>
      <c r="AC4136" s="154" t="s">
        <v>187</v>
      </c>
      <c r="AD4136" s="144"/>
      <c r="AE4136" s="130" t="s">
        <v>228</v>
      </c>
      <c r="AF4136" s="154" t="s">
        <v>187</v>
      </c>
      <c r="AG4136" s="144"/>
      <c r="AH4136" s="130" t="s">
        <v>228</v>
      </c>
      <c r="AI4136" s="154" t="s">
        <v>187</v>
      </c>
      <c r="AJ4136" s="144"/>
      <c r="AK4136" s="130" t="s">
        <v>228</v>
      </c>
      <c r="AL4136" s="154" t="s">
        <v>187</v>
      </c>
      <c r="AM4136" s="144"/>
      <c r="AN4136" s="130" t="s">
        <v>228</v>
      </c>
      <c r="AO4136" s="154" t="s">
        <v>187</v>
      </c>
      <c r="AP4136" s="144"/>
      <c r="AQ4136" s="130" t="s">
        <v>228</v>
      </c>
      <c r="AR4136" s="154" t="s">
        <v>187</v>
      </c>
      <c r="AS4136" s="144"/>
      <c r="AT4136" s="130" t="s">
        <v>228</v>
      </c>
      <c r="AU4136" s="154" t="s">
        <v>187</v>
      </c>
    </row>
    <row r="4137" spans="13:47" x14ac:dyDescent="0.25">
      <c r="M4137" s="20"/>
      <c r="N4137" s="20"/>
      <c r="O4137" s="7" t="s">
        <v>188</v>
      </c>
      <c r="P4137" s="7"/>
      <c r="Q4137" s="7"/>
      <c r="R4137" s="181">
        <f>P_1_minW-(R4135^2*R_up)+dpup_minQ</f>
        <v>94.794493875593332</v>
      </c>
      <c r="S4137" s="132"/>
      <c r="T4137" s="145"/>
      <c r="U4137" s="138">
        <f>P_1_minW-(U4135^2*R_up)+dpup_minQ</f>
        <v>71.206170875991077</v>
      </c>
      <c r="V4137" s="132"/>
      <c r="W4137" s="145"/>
      <c r="X4137" s="138">
        <f>P_1_minW-(X4135^2*R_up)+dpup_minQ</f>
        <v>-78.786946679930182</v>
      </c>
      <c r="Y4137" s="132"/>
      <c r="Z4137" s="145"/>
      <c r="AA4137" s="138">
        <f>P_1_minW-(AA4135^2*R_up)+dpup_minQ</f>
        <v>-579.7262755030232</v>
      </c>
      <c r="AB4137" s="132"/>
      <c r="AC4137" s="145"/>
      <c r="AD4137" s="138">
        <f>P_1_minW-(AD4135^2*R_up)+dpup_minQ</f>
        <v>-1739.4242842603737</v>
      </c>
      <c r="AE4137" s="132"/>
      <c r="AF4137" s="145"/>
      <c r="AG4137" s="138">
        <f>P_1_minW-(AG4135^2*R_up)+dpup_minQ</f>
        <v>-3519.0619420774697</v>
      </c>
      <c r="AH4137" s="132"/>
      <c r="AI4137" s="145"/>
      <c r="AJ4137" s="138">
        <f>P_1_minW-(AJ4135^2*R_up)+dpup_minQ</f>
        <v>-5735.0661034387313</v>
      </c>
      <c r="AK4137" s="132"/>
      <c r="AL4137" s="145"/>
      <c r="AM4137" s="138">
        <f>P_1_minW-(AM4135^2*R_up)+dpup_minQ</f>
        <v>-7923.065761549653</v>
      </c>
      <c r="AN4137" s="132"/>
      <c r="AO4137" s="145"/>
      <c r="AP4137" s="138">
        <f>P_1_minW-(AP4135^2*R_up)+dpup_minQ</f>
        <v>-9886.5651314312017</v>
      </c>
      <c r="AQ4137" s="132"/>
      <c r="AR4137" s="145"/>
      <c r="AS4137" s="138">
        <f>P_1_minW-(AS4135^2*R_up)+dpup_minQ</f>
        <v>-12330.563937733708</v>
      </c>
      <c r="AT4137" s="132"/>
      <c r="AU4137" s="145"/>
    </row>
    <row r="4138" spans="13:47" x14ac:dyDescent="0.25">
      <c r="M4138" s="20"/>
      <c r="N4138" s="20"/>
      <c r="O4138" s="7" t="s">
        <v>189</v>
      </c>
      <c r="P4138" s="1"/>
      <c r="Q4138" s="7"/>
      <c r="R4138" s="181">
        <f>P_2_minW+(R4135^2*R_dn)-dpdn_minQ</f>
        <v>50</v>
      </c>
      <c r="S4138" s="132"/>
      <c r="T4138" s="146"/>
      <c r="U4138" s="138">
        <f>P_2_minW+(U4135^2*R_dn)-dpdn_minQ</f>
        <v>50</v>
      </c>
      <c r="V4138" s="132"/>
      <c r="W4138" s="146"/>
      <c r="X4138" s="138">
        <f>P_2_minW+(X4135^2*R_dn)-dpdn_minQ</f>
        <v>50</v>
      </c>
      <c r="Y4138" s="132"/>
      <c r="Z4138" s="146"/>
      <c r="AA4138" s="138">
        <f>P_2_minW+(AA4135^2*R_dn)-dpdn_minQ</f>
        <v>50</v>
      </c>
      <c r="AB4138" s="132"/>
      <c r="AC4138" s="146"/>
      <c r="AD4138" s="138">
        <f>P_2_minW+(AD4135^2*R_dn)-dpdn_minQ</f>
        <v>50</v>
      </c>
      <c r="AE4138" s="132"/>
      <c r="AF4138" s="146"/>
      <c r="AG4138" s="138">
        <f>P_2_minW+(AG4135^2*R_dn)-dpdn_minQ</f>
        <v>50</v>
      </c>
      <c r="AH4138" s="132"/>
      <c r="AI4138" s="146"/>
      <c r="AJ4138" s="138">
        <f>P_2_minW+(AJ4135^2*R_dn)-dpdn_minQ</f>
        <v>50</v>
      </c>
      <c r="AK4138" s="132"/>
      <c r="AL4138" s="146"/>
      <c r="AM4138" s="138">
        <f>P_2_minW+(AM4135^2*R_dn)-dpdn_minQ</f>
        <v>50</v>
      </c>
      <c r="AN4138" s="132"/>
      <c r="AO4138" s="146"/>
      <c r="AP4138" s="138">
        <f>P_2_minW+(AP4135^2*R_dn)-dpdn_minQ</f>
        <v>50</v>
      </c>
      <c r="AQ4138" s="132"/>
      <c r="AR4138" s="146"/>
      <c r="AS4138" s="138">
        <f>P_2_minW+(AS4135^2*R_dn)-dpdn_minQ</f>
        <v>50</v>
      </c>
      <c r="AT4138" s="132"/>
      <c r="AU4138" s="146"/>
    </row>
    <row r="4139" spans="13:47" x14ac:dyDescent="0.25">
      <c r="M4139" s="20"/>
      <c r="N4139" s="20"/>
      <c r="O4139" s="7" t="s">
        <v>234</v>
      </c>
      <c r="P4139" s="1"/>
      <c r="Q4139" s="7"/>
      <c r="R4139" s="179">
        <f>'Valve Sizing'!G$8*R4137/P_1_maxW</f>
        <v>0.4572717613364673</v>
      </c>
      <c r="S4139" s="132"/>
      <c r="T4139" s="146"/>
      <c r="U4139" s="143">
        <f>'Valve Sizing'!$G$8*U4137/P_1_maxW</f>
        <v>0.34348589082844655</v>
      </c>
      <c r="V4139" s="132"/>
      <c r="W4139" s="146"/>
      <c r="X4139" s="143">
        <f>'Valve Sizing'!$G$8*X4137/P_1_maxW</f>
        <v>-0.38005420363270553</v>
      </c>
      <c r="Y4139" s="132"/>
      <c r="Z4139" s="146"/>
      <c r="AA4139" s="143">
        <f>'Valve Sizing'!$G$8*AA4137/P_1_maxW</f>
        <v>-2.7964963391249316</v>
      </c>
      <c r="AB4139" s="132"/>
      <c r="AC4139" s="146"/>
      <c r="AD4139" s="143">
        <f>'Valve Sizing'!$G$8*AD4137/P_1_maxW</f>
        <v>-8.3906730618660266</v>
      </c>
      <c r="AE4139" s="132"/>
      <c r="AF4139" s="146"/>
      <c r="AG4139" s="143">
        <f>'Valve Sizing'!$G$8*AG4137/P_1_maxW</f>
        <v>-16.975328278219806</v>
      </c>
      <c r="AH4139" s="132"/>
      <c r="AI4139" s="146"/>
      <c r="AJ4139" s="143">
        <f>'Valve Sizing'!$G$8*AJ4137/P_1_maxW</f>
        <v>-27.66493781740321</v>
      </c>
      <c r="AK4139" s="132"/>
      <c r="AL4139" s="146"/>
      <c r="AM4139" s="143">
        <f>'Valve Sizing'!$G$8*AM4137/P_1_maxW</f>
        <v>-38.219458618801461</v>
      </c>
      <c r="AN4139" s="132"/>
      <c r="AO4139" s="146"/>
      <c r="AP4139" s="143">
        <f>'Valve Sizing'!$G$8*AP4137/P_1_maxW</f>
        <v>-47.691029999593965</v>
      </c>
      <c r="AQ4139" s="132"/>
      <c r="AR4139" s="146"/>
      <c r="AS4139" s="143">
        <f>'Valve Sizing'!$G$8*AS4137/P_1_maxW</f>
        <v>-59.48044511402933</v>
      </c>
      <c r="AT4139" s="132"/>
      <c r="AU4139" s="146"/>
    </row>
    <row r="4140" spans="13:47" x14ac:dyDescent="0.25">
      <c r="M4140" s="20"/>
      <c r="N4140" s="20"/>
      <c r="O4140" s="7" t="s">
        <v>190</v>
      </c>
      <c r="P4140" s="1"/>
      <c r="Q4140" s="7"/>
      <c r="R4140" s="181">
        <f>R4137-R4138</f>
        <v>44.794493875593332</v>
      </c>
      <c r="S4140" s="132"/>
      <c r="T4140" s="146"/>
      <c r="U4140" s="138">
        <f>U4137-U4138</f>
        <v>21.206170875991077</v>
      </c>
      <c r="V4140" s="132"/>
      <c r="W4140" s="146"/>
      <c r="X4140" s="138">
        <f>X4137-X4138</f>
        <v>-128.78694667993017</v>
      </c>
      <c r="Y4140" s="132"/>
      <c r="Z4140" s="146"/>
      <c r="AA4140" s="138">
        <f>AA4137-AA4138</f>
        <v>-629.7262755030232</v>
      </c>
      <c r="AB4140" s="132"/>
      <c r="AC4140" s="146"/>
      <c r="AD4140" s="138">
        <f>AD4137-AD4138</f>
        <v>-1789.4242842603737</v>
      </c>
      <c r="AE4140" s="132"/>
      <c r="AF4140" s="146"/>
      <c r="AG4140" s="138">
        <f>AG4137-AG4138</f>
        <v>-3569.0619420774697</v>
      </c>
      <c r="AH4140" s="132"/>
      <c r="AI4140" s="146"/>
      <c r="AJ4140" s="138">
        <f>AJ4137-AJ4138</f>
        <v>-5785.0661034387313</v>
      </c>
      <c r="AK4140" s="132"/>
      <c r="AL4140" s="146"/>
      <c r="AM4140" s="138">
        <f>AM4137-AM4138</f>
        <v>-7973.065761549653</v>
      </c>
      <c r="AN4140" s="132"/>
      <c r="AO4140" s="146"/>
      <c r="AP4140" s="138">
        <f>AP4137-AP4138</f>
        <v>-9936.5651314312017</v>
      </c>
      <c r="AQ4140" s="132"/>
      <c r="AR4140" s="146"/>
      <c r="AS4140" s="138">
        <f>AS4137-AS4138</f>
        <v>-12380.563937733708</v>
      </c>
      <c r="AT4140" s="132"/>
      <c r="AU4140" s="146"/>
    </row>
    <row r="4141" spans="13:47" ht="14.5" x14ac:dyDescent="0.35">
      <c r="M4141" s="27"/>
      <c r="N4141" s="27"/>
      <c r="O4141" s="2" t="s">
        <v>191</v>
      </c>
      <c r="P4141" s="10"/>
      <c r="Q4141" s="2"/>
      <c r="R4141" s="181">
        <f>R4140/R4137</f>
        <v>0.47254320419053936</v>
      </c>
      <c r="S4141" s="132"/>
      <c r="T4141" s="146"/>
      <c r="U4141" s="138">
        <f>U4140/U4137</f>
        <v>0.29781366720199898</v>
      </c>
      <c r="V4141" s="132"/>
      <c r="W4141" s="146"/>
      <c r="X4141" s="138">
        <f>X4140/X4137</f>
        <v>1.6346228925855397</v>
      </c>
      <c r="Y4141" s="132"/>
      <c r="Z4141" s="146"/>
      <c r="AA4141" s="138">
        <f>AA4140/AA4137</f>
        <v>1.0862476001395924</v>
      </c>
      <c r="AB4141" s="132"/>
      <c r="AC4141" s="146"/>
      <c r="AD4141" s="138">
        <f>AD4140/AD4137</f>
        <v>1.0287451431214556</v>
      </c>
      <c r="AE4141" s="132"/>
      <c r="AF4141" s="146"/>
      <c r="AG4141" s="138">
        <f>AG4140/AG4137</f>
        <v>1.0142083318858783</v>
      </c>
      <c r="AH4141" s="132"/>
      <c r="AI4141" s="146"/>
      <c r="AJ4141" s="138">
        <f>AJ4140/AJ4137</f>
        <v>1.008718295325318</v>
      </c>
      <c r="AK4141" s="132"/>
      <c r="AL4141" s="146"/>
      <c r="AM4141" s="138">
        <f>AM4140/AM4137</f>
        <v>1.0063106885017474</v>
      </c>
      <c r="AN4141" s="132"/>
      <c r="AO4141" s="146"/>
      <c r="AP4141" s="138">
        <f>AP4140/AP4137</f>
        <v>1.0050573681895889</v>
      </c>
      <c r="AQ4141" s="132"/>
      <c r="AR4141" s="146"/>
      <c r="AS4141" s="138">
        <f>AS4140/AS4137</f>
        <v>1.0040549645784644</v>
      </c>
      <c r="AT4141" s="132"/>
      <c r="AU4141" s="146"/>
    </row>
    <row r="4142" spans="13:47" x14ac:dyDescent="0.25">
      <c r="M4142" s="27"/>
      <c r="N4142" s="27"/>
      <c r="O4142" s="2" t="s">
        <v>26</v>
      </c>
      <c r="P4142" s="7">
        <v>12</v>
      </c>
      <c r="Q4142" s="2"/>
      <c r="R4142" s="181">
        <f>1-R4141/(3*F_GAMMA*R$29)</f>
        <v>0.75389408432419325</v>
      </c>
      <c r="S4142" s="133"/>
      <c r="T4142" s="146"/>
      <c r="U4142" s="138">
        <f>1-U4141/(3*F_GAMMA*U$29)</f>
        <v>0.84492937964410908</v>
      </c>
      <c r="V4142" s="133"/>
      <c r="W4142" s="146"/>
      <c r="X4142" s="138">
        <f>1-X4141/(3*F_GAMMA*X$29)</f>
        <v>0.13608860995477023</v>
      </c>
      <c r="Y4142" s="133"/>
      <c r="Z4142" s="146"/>
      <c r="AA4142" s="138">
        <f>1-AA4141/(3*F_GAMMA*AA$29)</f>
        <v>0.41803779600926483</v>
      </c>
      <c r="AB4142" s="133"/>
      <c r="AC4142" s="146"/>
      <c r="AD4142" s="138">
        <f>1-AD4141/(3*F_GAMMA*AD$29)</f>
        <v>0.43373350679714173</v>
      </c>
      <c r="AE4142" s="133"/>
      <c r="AF4142" s="146"/>
      <c r="AG4142" s="138">
        <f>1-AG4141/(3*F_GAMMA*AG$29)</f>
        <v>0.40989090055693</v>
      </c>
      <c r="AH4142" s="133"/>
      <c r="AI4142" s="146"/>
      <c r="AJ4142" s="138">
        <f>1-AJ4141/(3*F_GAMMA*AJ$29)</f>
        <v>0.37258015958482471</v>
      </c>
      <c r="AK4142" s="133"/>
      <c r="AL4142" s="146"/>
      <c r="AM4142" s="138">
        <f>1-AM4141/(3*F_GAMMA*AM$29)</f>
        <v>0.31611622048632582</v>
      </c>
      <c r="AN4142" s="133"/>
      <c r="AO4142" s="146"/>
      <c r="AP4142" s="138">
        <f>1-AP4141/(3*F_GAMMA*AP$29)</f>
        <v>0.43554792314978896</v>
      </c>
      <c r="AQ4142" s="133"/>
      <c r="AR4142" s="146"/>
      <c r="AS4142" s="138">
        <f>1-AS4141/(3*F_GAMMA*AS$29)</f>
        <v>0.14396732490520425</v>
      </c>
      <c r="AT4142" s="133"/>
      <c r="AU4142" s="146"/>
    </row>
    <row r="4143" spans="13:47" x14ac:dyDescent="0.25">
      <c r="M4143" s="27"/>
      <c r="N4143" s="27"/>
      <c r="O4143" s="2" t="s">
        <v>71</v>
      </c>
      <c r="P4143" s="85">
        <v>5</v>
      </c>
      <c r="Q4143" s="2"/>
      <c r="R4143" s="179">
        <f>R4135/((N_6*R$27*R4142)*SQRT(R4141*R4137*R4139))</f>
        <v>17.550670744613139</v>
      </c>
      <c r="S4143" s="133"/>
      <c r="T4143" s="146"/>
      <c r="U4143" s="143">
        <f>U4135/((N_6*U$27*U4142)*SQRT(U4141*U4137*U4139))</f>
        <v>59.44452295445069</v>
      </c>
      <c r="V4143" s="133"/>
      <c r="W4143" s="146"/>
      <c r="X4143" s="143">
        <f>X4135/((N_6*X$27*X4142)*SQRT(X4141*X4137*X4139))</f>
        <v>352.89361709373713</v>
      </c>
      <c r="Y4143" s="133"/>
      <c r="Z4143" s="146"/>
      <c r="AA4143" s="143">
        <f>AA4135/((N_6*AA$27*AA4142)*SQRT(AA4141*AA4137*AA4139))</f>
        <v>37.518746155312016</v>
      </c>
      <c r="AB4143" s="133"/>
      <c r="AC4143" s="146"/>
      <c r="AD4143" s="143">
        <f>AD4135/((N_6*AD$27*AD4142)*SQRT(AD4141*AD4137*AD4139))</f>
        <v>20.610201279666356</v>
      </c>
      <c r="AE4143" s="133"/>
      <c r="AF4143" s="146"/>
      <c r="AG4143" s="143">
        <f>AG4135/((N_6*AG$27*AG4142)*SQRT(AG4141*AG4137*AG4139))</f>
        <v>15.556191817461132</v>
      </c>
      <c r="AH4143" s="133"/>
      <c r="AI4143" s="146"/>
      <c r="AJ4143" s="143">
        <f>AJ4135/((N_6*AJ$27*AJ4142)*SQRT(AJ4141*AJ4137*AJ4139))</f>
        <v>13.829023365476303</v>
      </c>
      <c r="AK4143" s="133"/>
      <c r="AL4143" s="146"/>
      <c r="AM4143" s="143">
        <f>AM4135/((N_6*AM$27*AM4142)*SQRT(AM4141*AM4137*AM4139))</f>
        <v>14.701266547210359</v>
      </c>
      <c r="AN4143" s="133"/>
      <c r="AO4143" s="146"/>
      <c r="AP4143" s="143">
        <f>AP4135/((N_6*AP$27*AP4142)*SQRT(AP4141*AP4137*AP4139))</f>
        <v>10.843594423130718</v>
      </c>
      <c r="AQ4143" s="133"/>
      <c r="AR4143" s="146"/>
      <c r="AS4143" s="143">
        <f>AS4135/((N_6*AS$27*AS4142)*SQRT(AS4141*AS4137*AS4139))</f>
        <v>38.578646103741818</v>
      </c>
      <c r="AT4143" s="133"/>
      <c r="AU4143" s="146"/>
    </row>
    <row r="4144" spans="13:47" x14ac:dyDescent="0.25">
      <c r="M4144" s="27"/>
      <c r="N4144" s="27"/>
      <c r="O4144" s="2" t="s">
        <v>73</v>
      </c>
      <c r="P4144" s="85">
        <v>5</v>
      </c>
      <c r="Q4144" s="2"/>
      <c r="R4144" s="179">
        <f>R4135/((N_6*R$27*0.667)*SQRT(R4145*R4137*R4139))</f>
        <v>17.045112589538938</v>
      </c>
      <c r="S4144" s="133"/>
      <c r="T4144" s="155"/>
      <c r="U4144" s="143">
        <f>U4135/((N_6*U$27*0.667)*SQRT(U4145*U4137*U4139))</f>
        <v>51.360803969607979</v>
      </c>
      <c r="V4144" s="133"/>
      <c r="W4144" s="155"/>
      <c r="X4144" s="143">
        <f>X4135/((N_6*X$27*0.667)*SQRT(X4145*X4137*X4139))</f>
        <v>115.91375493687981</v>
      </c>
      <c r="Y4144" s="133"/>
      <c r="Z4144" s="155"/>
      <c r="AA4144" s="143">
        <f>AA4135/((N_6*AA$27*0.667)*SQRT(AA4145*AA4137*AA4139))</f>
        <v>31.070343095210301</v>
      </c>
      <c r="AB4144" s="133"/>
      <c r="AC4144" s="155"/>
      <c r="AD4144" s="143">
        <f>AD4135/((N_6*AD$27*0.667)*SQRT(AD4145*AD4137*AD4139))</f>
        <v>17.468291575834886</v>
      </c>
      <c r="AE4144" s="133"/>
      <c r="AF4144" s="155"/>
      <c r="AG4144" s="143">
        <f>AG4135/((N_6*AG$27*0.667)*SQRT(AG4145*AG4137*AG4139))</f>
        <v>12.719572528008801</v>
      </c>
      <c r="AH4144" s="133"/>
      <c r="AI4144" s="155"/>
      <c r="AJ4144" s="143">
        <f>AJ4135/((N_6*AJ$27*0.667)*SQRT(AJ4145*AJ4137*AJ4139))</f>
        <v>10.59803018703303</v>
      </c>
      <c r="AK4144" s="133"/>
      <c r="AL4144" s="155"/>
      <c r="AM4144" s="143">
        <f>AM4135/((N_6*AM$27*0.667)*SQRT(AM4145*AM4137*AM4139))</f>
        <v>9.97992959900842</v>
      </c>
      <c r="AN4144" s="133"/>
      <c r="AO4144" s="155"/>
      <c r="AP4144" s="143">
        <f>AP4135/((N_6*AP$27*0.667)*SQRT(AP4145*AP4137*AP4139))</f>
        <v>9.214198073527804</v>
      </c>
      <c r="AQ4144" s="133"/>
      <c r="AR4144" s="155"/>
      <c r="AS4144" s="143">
        <f>AS4135/((N_6*AS$27*0.667)*SQRT(AS4145*AS4137*AS4139))</f>
        <v>13.344148973661895</v>
      </c>
      <c r="AT4144" s="133"/>
      <c r="AU4144" s="155"/>
    </row>
    <row r="4145" spans="13:47" ht="15.5" x14ac:dyDescent="0.4">
      <c r="M4145" s="27"/>
      <c r="N4145" s="27"/>
      <c r="O4145" s="2" t="s">
        <v>192</v>
      </c>
      <c r="P4145" s="85">
        <v>10</v>
      </c>
      <c r="Q4145" s="2"/>
      <c r="R4145" s="181">
        <f>F_GAMMA*R$29</f>
        <v>0.64002688015162901</v>
      </c>
      <c r="S4145" s="133"/>
      <c r="T4145" s="155"/>
      <c r="U4145" s="138">
        <f>F_GAMMA*U$29</f>
        <v>0.64016782916606918</v>
      </c>
      <c r="V4145" s="133"/>
      <c r="W4145" s="155"/>
      <c r="X4145" s="138">
        <f>F_GAMMA*X$29</f>
        <v>0.6307062319203669</v>
      </c>
      <c r="Y4145" s="133"/>
      <c r="Z4145" s="155"/>
      <c r="AA4145" s="138">
        <f>F_GAMMA*AA$29</f>
        <v>0.62217534213893466</v>
      </c>
      <c r="AB4145" s="133"/>
      <c r="AC4145" s="155"/>
      <c r="AD4145" s="138">
        <f>F_GAMMA*AD$29</f>
        <v>0.60557184969146072</v>
      </c>
      <c r="AE4145" s="133"/>
      <c r="AF4145" s="155"/>
      <c r="AG4145" s="138">
        <f>F_GAMMA*AG$29</f>
        <v>0.57289312142622573</v>
      </c>
      <c r="AH4145" s="133"/>
      <c r="AI4145" s="155"/>
      <c r="AJ4145" s="138">
        <f>F_GAMMA*AJ$29</f>
        <v>0.53590819116049981</v>
      </c>
      <c r="AK4145" s="133"/>
      <c r="AL4145" s="155"/>
      <c r="AM4145" s="138">
        <f>F_GAMMA*AM$29</f>
        <v>0.49048815926850342</v>
      </c>
      <c r="AN4145" s="133"/>
      <c r="AO4145" s="155"/>
      <c r="AP4145" s="138">
        <f>F_GAMMA*AP$29</f>
        <v>0.59352979016280105</v>
      </c>
      <c r="AQ4145" s="133"/>
      <c r="AR4145" s="155"/>
      <c r="AS4145" s="138">
        <f>F_GAMMA*AS$29</f>
        <v>0.39097221161068291</v>
      </c>
      <c r="AT4145" s="133"/>
      <c r="AU4145" s="155"/>
    </row>
    <row r="4146" spans="13:47" x14ac:dyDescent="0.25">
      <c r="M4146" s="27"/>
      <c r="N4146" s="27"/>
      <c r="O4146" s="2" t="s">
        <v>193</v>
      </c>
      <c r="P4146" s="134"/>
      <c r="Q4146" s="2"/>
      <c r="R4146" s="181">
        <f>IF(R4141&lt;R4145,R4143,R4144)</f>
        <v>17.550670744613139</v>
      </c>
      <c r="S4146" s="133"/>
      <c r="T4146" s="155"/>
      <c r="U4146" s="138">
        <f>IF(U4141&lt;U4145,U4143,U4144)</f>
        <v>59.44452295445069</v>
      </c>
      <c r="V4146" s="133"/>
      <c r="W4146" s="155"/>
      <c r="X4146" s="138">
        <f>IF(X4141&lt;X4145,X4143,X4144)</f>
        <v>115.91375493687981</v>
      </c>
      <c r="Y4146" s="133"/>
      <c r="Z4146" s="155"/>
      <c r="AA4146" s="138">
        <f>IF(AA4141&lt;AA4145,AA4143,AA4144)</f>
        <v>31.070343095210301</v>
      </c>
      <c r="AB4146" s="133"/>
      <c r="AC4146" s="155"/>
      <c r="AD4146" s="138">
        <f>IF(AD4141&lt;AD4145,AD4143,AD4144)</f>
        <v>17.468291575834886</v>
      </c>
      <c r="AE4146" s="133"/>
      <c r="AF4146" s="155"/>
      <c r="AG4146" s="138">
        <f>IF(AG4141&lt;AG4145,AG4143,AG4144)</f>
        <v>12.719572528008801</v>
      </c>
      <c r="AH4146" s="133"/>
      <c r="AI4146" s="155"/>
      <c r="AJ4146" s="138">
        <f>IF(AJ4141&lt;AJ4145,AJ4143,AJ4144)</f>
        <v>10.59803018703303</v>
      </c>
      <c r="AK4146" s="133"/>
      <c r="AL4146" s="155"/>
      <c r="AM4146" s="138">
        <f>IF(AM4141&lt;AM4145,AM4143,AM4144)</f>
        <v>9.97992959900842</v>
      </c>
      <c r="AN4146" s="133"/>
      <c r="AO4146" s="155"/>
      <c r="AP4146" s="138">
        <f>IF(AP4141&lt;AP4145,AP4143,AP4144)</f>
        <v>9.214198073527804</v>
      </c>
      <c r="AQ4146" s="133"/>
      <c r="AR4146" s="155"/>
      <c r="AS4146" s="138">
        <f>IF(AS4141&lt;AS4145,AS4143,AS4144)</f>
        <v>13.344148973661895</v>
      </c>
      <c r="AT4146" s="133"/>
      <c r="AU4146" s="155"/>
    </row>
    <row r="4147" spans="13:47" ht="13" x14ac:dyDescent="0.3">
      <c r="M4147" s="28"/>
      <c r="N4147" s="28"/>
      <c r="O4147" s="9" t="s">
        <v>194</v>
      </c>
      <c r="P4147" s="1"/>
      <c r="Q4147" s="1"/>
      <c r="R4147" s="135"/>
      <c r="S4147" s="132">
        <f>IF(R4140&lt;=0,W_max,ABS(R$23-R4146))</f>
        <v>15.550670744613139</v>
      </c>
      <c r="T4147" s="151">
        <f>R4135</f>
        <v>3790.1448933494212</v>
      </c>
      <c r="U4147" s="135"/>
      <c r="V4147" s="132">
        <f>IF(U4140&lt;=0,W_max,ABS(U$23-U4146))</f>
        <v>54.44452295445069</v>
      </c>
      <c r="W4147" s="151">
        <f>U4135</f>
        <v>8574.3286237634311</v>
      </c>
      <c r="X4147" s="135"/>
      <c r="Y4147" s="132">
        <f>IF(X4140&lt;=0,W_max,ABS(X$23-X4146))</f>
        <v>7174</v>
      </c>
      <c r="Z4147" s="151">
        <f>X4135</f>
        <v>21205.335043634084</v>
      </c>
      <c r="AA4147" s="135"/>
      <c r="AB4147" s="132">
        <f>IF(AA4140&lt;=0,W_max,ABS(AA$23-AA4146))</f>
        <v>7174</v>
      </c>
      <c r="AC4147" s="151">
        <f>AA4135</f>
        <v>41302.580100490864</v>
      </c>
      <c r="AD4147" s="135"/>
      <c r="AE4147" s="132">
        <f>IF(AD4140&lt;=0,W_max,ABS(AD$23-AD4146))</f>
        <v>7174</v>
      </c>
      <c r="AF4147" s="151">
        <f>AD4135</f>
        <v>67927.537557523159</v>
      </c>
      <c r="AG4147" s="135"/>
      <c r="AH4147" s="132">
        <f>IF(AG4140&lt;=0,W_max,ABS(AG$23-AG4146))</f>
        <v>7174</v>
      </c>
      <c r="AI4147" s="151">
        <f>AG4135</f>
        <v>95273.600905351253</v>
      </c>
      <c r="AJ4147" s="135"/>
      <c r="AK4147" s="132">
        <f>IF(AJ4140&lt;=0,W_max,ABS(AJ$23-AJ4146))</f>
        <v>7174</v>
      </c>
      <c r="AL4147" s="151">
        <f>AJ4135</f>
        <v>120972.19215992605</v>
      </c>
      <c r="AM4147" s="135"/>
      <c r="AN4147" s="132">
        <f>IF(AM4140&lt;=0,W_max,ABS(AM$23-AM4146))</f>
        <v>7174</v>
      </c>
      <c r="AO4147" s="151">
        <f>AM4135</f>
        <v>141849.4091563354</v>
      </c>
      <c r="AP4147" s="135"/>
      <c r="AQ4147" s="132">
        <f>IF(AP4140&lt;=0,W_max,ABS(AP$23-AP4146))</f>
        <v>7174</v>
      </c>
      <c r="AR4147" s="151">
        <f>AP4135</f>
        <v>158256.89578890076</v>
      </c>
      <c r="AS4147" s="135"/>
      <c r="AT4147" s="132">
        <f>IF(AS4140&lt;=0,W_max,ABS(AS$23-AS4146))</f>
        <v>7174</v>
      </c>
      <c r="AU4147" s="151">
        <f>AS4135</f>
        <v>176562.20927318826</v>
      </c>
    </row>
    <row r="4148" spans="13:47" ht="13" x14ac:dyDescent="0.25">
      <c r="M4148" s="12"/>
      <c r="N4148" s="12"/>
      <c r="O4148" s="2"/>
      <c r="P4148" s="85"/>
      <c r="Q4148" s="2"/>
      <c r="R4148" s="18"/>
      <c r="S4148" s="150"/>
      <c r="T4148" s="148"/>
      <c r="U4148" s="157"/>
      <c r="V4148" s="1"/>
      <c r="W4148" s="147"/>
      <c r="X4148" s="157"/>
      <c r="Y4148" s="1"/>
      <c r="Z4148" s="147"/>
      <c r="AA4148" s="157"/>
      <c r="AB4148" s="1"/>
      <c r="AC4148" s="147"/>
      <c r="AD4148" s="157"/>
      <c r="AE4148" s="1"/>
      <c r="AF4148" s="147"/>
      <c r="AG4148" s="157"/>
      <c r="AH4148" s="1"/>
      <c r="AI4148" s="147"/>
      <c r="AJ4148" s="157"/>
      <c r="AK4148" s="1"/>
      <c r="AL4148" s="147"/>
      <c r="AM4148" s="157"/>
      <c r="AN4148" s="1"/>
      <c r="AO4148" s="147"/>
      <c r="AP4148" s="157"/>
      <c r="AQ4148" s="1"/>
      <c r="AR4148" s="147"/>
      <c r="AS4148" s="157"/>
      <c r="AT4148" s="1"/>
      <c r="AU4148" s="147"/>
    </row>
    <row r="4149" spans="13:47" ht="14" x14ac:dyDescent="0.3">
      <c r="M4149" s="23"/>
      <c r="N4149" s="23"/>
      <c r="O4149" s="23" t="s">
        <v>238</v>
      </c>
      <c r="P4149" s="20"/>
      <c r="Q4149" s="20"/>
      <c r="R4149" s="181">
        <f>R4135*1.02</f>
        <v>3865.9477912164098</v>
      </c>
      <c r="S4149" s="128" t="s">
        <v>185</v>
      </c>
      <c r="T4149" s="149" t="s">
        <v>186</v>
      </c>
      <c r="U4149" s="143">
        <f>U4135*1.01</f>
        <v>8660.0719100010647</v>
      </c>
      <c r="V4149" s="128" t="s">
        <v>185</v>
      </c>
      <c r="W4149" s="153" t="s">
        <v>186</v>
      </c>
      <c r="X4149" s="143">
        <f>X4135*1.01</f>
        <v>21417.388394070425</v>
      </c>
      <c r="Y4149" s="128" t="s">
        <v>185</v>
      </c>
      <c r="Z4149" s="153" t="s">
        <v>186</v>
      </c>
      <c r="AA4149" s="143">
        <f>AA4135*1.01</f>
        <v>41715.605901495772</v>
      </c>
      <c r="AB4149" s="128" t="s">
        <v>185</v>
      </c>
      <c r="AC4149" s="153" t="s">
        <v>186</v>
      </c>
      <c r="AD4149" s="143">
        <f>AD4135*1.01</f>
        <v>68606.812933098394</v>
      </c>
      <c r="AE4149" s="128" t="s">
        <v>185</v>
      </c>
      <c r="AF4149" s="153" t="s">
        <v>186</v>
      </c>
      <c r="AG4149" s="143">
        <f>AG4135*1.01</f>
        <v>96226.336914404761</v>
      </c>
      <c r="AH4149" s="128" t="s">
        <v>185</v>
      </c>
      <c r="AI4149" s="153" t="s">
        <v>186</v>
      </c>
      <c r="AJ4149" s="143">
        <f>AJ4135*1.01</f>
        <v>122181.91408152532</v>
      </c>
      <c r="AK4149" s="128" t="s">
        <v>185</v>
      </c>
      <c r="AL4149" s="153" t="s">
        <v>186</v>
      </c>
      <c r="AM4149" s="143">
        <f>AM4135*1.01</f>
        <v>143267.90324789876</v>
      </c>
      <c r="AN4149" s="128" t="s">
        <v>185</v>
      </c>
      <c r="AO4149" s="153" t="s">
        <v>186</v>
      </c>
      <c r="AP4149" s="143">
        <f>AP4135*1.01</f>
        <v>159839.46474678977</v>
      </c>
      <c r="AQ4149" s="128" t="s">
        <v>185</v>
      </c>
      <c r="AR4149" s="153" t="s">
        <v>186</v>
      </c>
      <c r="AS4149" s="143">
        <f>AS4135*1.01</f>
        <v>178327.83136592014</v>
      </c>
      <c r="AT4149" s="128" t="s">
        <v>185</v>
      </c>
      <c r="AU4149" s="153" t="s">
        <v>186</v>
      </c>
    </row>
    <row r="4150" spans="13:47" ht="14" x14ac:dyDescent="0.3">
      <c r="M4150" s="12"/>
      <c r="N4150" s="12"/>
      <c r="O4150" s="20"/>
      <c r="P4150" s="20"/>
      <c r="Q4150" s="23"/>
      <c r="R4150" s="139"/>
      <c r="S4150" s="130" t="s">
        <v>228</v>
      </c>
      <c r="T4150" s="131" t="s">
        <v>187</v>
      </c>
      <c r="U4150" s="144"/>
      <c r="V4150" s="130" t="s">
        <v>228</v>
      </c>
      <c r="W4150" s="154" t="s">
        <v>187</v>
      </c>
      <c r="X4150" s="144"/>
      <c r="Y4150" s="130" t="s">
        <v>228</v>
      </c>
      <c r="Z4150" s="154" t="s">
        <v>187</v>
      </c>
      <c r="AA4150" s="144"/>
      <c r="AB4150" s="130" t="s">
        <v>228</v>
      </c>
      <c r="AC4150" s="154" t="s">
        <v>187</v>
      </c>
      <c r="AD4150" s="144"/>
      <c r="AE4150" s="130" t="s">
        <v>228</v>
      </c>
      <c r="AF4150" s="154" t="s">
        <v>187</v>
      </c>
      <c r="AG4150" s="144"/>
      <c r="AH4150" s="130" t="s">
        <v>228</v>
      </c>
      <c r="AI4150" s="154" t="s">
        <v>187</v>
      </c>
      <c r="AJ4150" s="144"/>
      <c r="AK4150" s="130" t="s">
        <v>228</v>
      </c>
      <c r="AL4150" s="154" t="s">
        <v>187</v>
      </c>
      <c r="AM4150" s="144"/>
      <c r="AN4150" s="130" t="s">
        <v>228</v>
      </c>
      <c r="AO4150" s="154" t="s">
        <v>187</v>
      </c>
      <c r="AP4150" s="144"/>
      <c r="AQ4150" s="130" t="s">
        <v>228</v>
      </c>
      <c r="AR4150" s="154" t="s">
        <v>187</v>
      </c>
      <c r="AS4150" s="144"/>
      <c r="AT4150" s="130" t="s">
        <v>228</v>
      </c>
      <c r="AU4150" s="154" t="s">
        <v>187</v>
      </c>
    </row>
    <row r="4151" spans="13:47" x14ac:dyDescent="0.25">
      <c r="M4151" s="20"/>
      <c r="N4151" s="20"/>
      <c r="O4151" s="7" t="s">
        <v>188</v>
      </c>
      <c r="P4151" s="7"/>
      <c r="Q4151" s="7"/>
      <c r="R4151" s="181">
        <f>P_1_minW-(R4149^2*R_up)+dpup_minQ</f>
        <v>94.563070844003533</v>
      </c>
      <c r="S4151" s="132"/>
      <c r="T4151" s="145"/>
      <c r="U4151" s="138">
        <f>P_1_minW-(U4149^2*R_up)+dpup_minQ</f>
        <v>70.61690689719029</v>
      </c>
      <c r="V4151" s="132"/>
      <c r="W4151" s="145"/>
      <c r="X4151" s="138">
        <f>P_1_minW-(X4149^2*R_up)+dpup_minQ</f>
        <v>-82.391072321604994</v>
      </c>
      <c r="Y4151" s="132"/>
      <c r="Z4151" s="145"/>
      <c r="AA4151" s="138">
        <f>P_1_minW-(AA4149^2*R_up)+dpup_minQ</f>
        <v>-593.39928165404206</v>
      </c>
      <c r="AB4151" s="132"/>
      <c r="AC4151" s="145"/>
      <c r="AD4151" s="138">
        <f>P_1_minW-(AD4149^2*R_up)+dpup_minQ</f>
        <v>-1776.4072203874157</v>
      </c>
      <c r="AE4151" s="132"/>
      <c r="AF4151" s="145"/>
      <c r="AG4151" s="138">
        <f>P_1_minW-(AG4149^2*R_up)+dpup_minQ</f>
        <v>-3591.8155951266349</v>
      </c>
      <c r="AH4151" s="132"/>
      <c r="AI4151" s="145"/>
      <c r="AJ4151" s="138">
        <f>P_1_minW-(AJ4149^2*R_up)+dpup_minQ</f>
        <v>-5852.361440131258</v>
      </c>
      <c r="AK4151" s="132"/>
      <c r="AL4151" s="145"/>
      <c r="AM4151" s="138">
        <f>P_1_minW-(AM4149^2*R_up)+dpup_minQ</f>
        <v>-8084.3398913702113</v>
      </c>
      <c r="AN4151" s="132"/>
      <c r="AO4151" s="145"/>
      <c r="AP4151" s="138">
        <f>P_1_minW-(AP4149^2*R_up)+dpup_minQ</f>
        <v>-10087.305598586379</v>
      </c>
      <c r="AQ4151" s="132"/>
      <c r="AR4151" s="145"/>
      <c r="AS4151" s="138">
        <f>P_1_minW-(AS4149^2*R_up)+dpup_minQ</f>
        <v>-12580.428780895565</v>
      </c>
      <c r="AT4151" s="132"/>
      <c r="AU4151" s="145"/>
    </row>
    <row r="4152" spans="13:47" x14ac:dyDescent="0.25">
      <c r="M4152" s="20"/>
      <c r="N4152" s="20"/>
      <c r="O4152" s="7" t="s">
        <v>189</v>
      </c>
      <c r="P4152" s="1"/>
      <c r="Q4152" s="7"/>
      <c r="R4152" s="181">
        <f>P_2_minW+(R4149^2*R_dn)-dpdn_minQ</f>
        <v>50</v>
      </c>
      <c r="S4152" s="132"/>
      <c r="T4152" s="146"/>
      <c r="U4152" s="138">
        <f>P_2_minW+(U4149^2*R_dn)-dpdn_minQ</f>
        <v>50</v>
      </c>
      <c r="V4152" s="132"/>
      <c r="W4152" s="146"/>
      <c r="X4152" s="138">
        <f>P_2_minW+(X4149^2*R_dn)-dpdn_minQ</f>
        <v>50</v>
      </c>
      <c r="Y4152" s="132"/>
      <c r="Z4152" s="146"/>
      <c r="AA4152" s="138">
        <f>P_2_minW+(AA4149^2*R_dn)-dpdn_minQ</f>
        <v>50</v>
      </c>
      <c r="AB4152" s="132"/>
      <c r="AC4152" s="146"/>
      <c r="AD4152" s="138">
        <f>P_2_minW+(AD4149^2*R_dn)-dpdn_minQ</f>
        <v>50</v>
      </c>
      <c r="AE4152" s="132"/>
      <c r="AF4152" s="146"/>
      <c r="AG4152" s="138">
        <f>P_2_minW+(AG4149^2*R_dn)-dpdn_minQ</f>
        <v>50</v>
      </c>
      <c r="AH4152" s="132"/>
      <c r="AI4152" s="146"/>
      <c r="AJ4152" s="138">
        <f>P_2_minW+(AJ4149^2*R_dn)-dpdn_minQ</f>
        <v>50</v>
      </c>
      <c r="AK4152" s="132"/>
      <c r="AL4152" s="146"/>
      <c r="AM4152" s="138">
        <f>P_2_minW+(AM4149^2*R_dn)-dpdn_minQ</f>
        <v>50</v>
      </c>
      <c r="AN4152" s="132"/>
      <c r="AO4152" s="146"/>
      <c r="AP4152" s="138">
        <f>P_2_minW+(AP4149^2*R_dn)-dpdn_minQ</f>
        <v>50</v>
      </c>
      <c r="AQ4152" s="132"/>
      <c r="AR4152" s="146"/>
      <c r="AS4152" s="138">
        <f>P_2_minW+(AS4149^2*R_dn)-dpdn_minQ</f>
        <v>50</v>
      </c>
      <c r="AT4152" s="132"/>
      <c r="AU4152" s="146"/>
    </row>
    <row r="4153" spans="13:47" x14ac:dyDescent="0.25">
      <c r="M4153" s="20"/>
      <c r="N4153" s="20"/>
      <c r="O4153" s="7" t="s">
        <v>234</v>
      </c>
      <c r="P4153" s="1"/>
      <c r="Q4153" s="7"/>
      <c r="R4153" s="179">
        <f>'Valve Sizing'!G$8*R4151/P_1_maxW</f>
        <v>0.45615541783440933</v>
      </c>
      <c r="S4153" s="132"/>
      <c r="T4153" s="146"/>
      <c r="U4153" s="143">
        <f>'Valve Sizing'!$G$8*U4151/P_1_maxW</f>
        <v>0.34064338630669666</v>
      </c>
      <c r="V4153" s="132"/>
      <c r="W4153" s="146"/>
      <c r="X4153" s="143">
        <f>'Valve Sizing'!$G$8*X4151/P_1_maxW</f>
        <v>-0.39743986405312465</v>
      </c>
      <c r="Y4153" s="132"/>
      <c r="Z4153" s="146"/>
      <c r="AA4153" s="143">
        <f>'Valve Sizing'!$G$8*AA4151/P_1_maxW</f>
        <v>-2.8624524864687437</v>
      </c>
      <c r="AB4153" s="132"/>
      <c r="AC4153" s="146"/>
      <c r="AD4153" s="143">
        <f>'Valve Sizing'!$G$8*AD4151/P_1_maxW</f>
        <v>-8.5690721613369369</v>
      </c>
      <c r="AE4153" s="132"/>
      <c r="AF4153" s="146"/>
      <c r="AG4153" s="143">
        <f>'Valve Sizing'!$G$8*AG4151/P_1_maxW</f>
        <v>-17.326278947539425</v>
      </c>
      <c r="AH4153" s="132"/>
      <c r="AI4153" s="146"/>
      <c r="AJ4153" s="143">
        <f>'Valve Sizing'!$G$8*AJ4151/P_1_maxW</f>
        <v>-28.230749638460416</v>
      </c>
      <c r="AK4153" s="132"/>
      <c r="AL4153" s="146"/>
      <c r="AM4153" s="143">
        <f>'Valve Sizing'!$G$8*AM4151/P_1_maxW</f>
        <v>-38.997416307966787</v>
      </c>
      <c r="AN4153" s="132"/>
      <c r="AO4153" s="146"/>
      <c r="AP4153" s="143">
        <f>'Valve Sizing'!$G$8*AP4151/P_1_maxW</f>
        <v>-48.659366273513214</v>
      </c>
      <c r="AQ4153" s="132"/>
      <c r="AR4153" s="146"/>
      <c r="AS4153" s="143">
        <f>'Valve Sizing'!$G$8*AS4151/P_1_maxW</f>
        <v>-60.685748631748723</v>
      </c>
      <c r="AT4153" s="132"/>
      <c r="AU4153" s="146"/>
    </row>
    <row r="4154" spans="13:47" x14ac:dyDescent="0.25">
      <c r="M4154" s="20"/>
      <c r="N4154" s="20"/>
      <c r="O4154" s="7" t="s">
        <v>190</v>
      </c>
      <c r="P4154" s="1"/>
      <c r="Q4154" s="7"/>
      <c r="R4154" s="181">
        <f>R4151-R4152</f>
        <v>44.563070844003533</v>
      </c>
      <c r="S4154" s="132"/>
      <c r="T4154" s="146"/>
      <c r="U4154" s="138">
        <f>U4151-U4152</f>
        <v>20.61690689719029</v>
      </c>
      <c r="V4154" s="132"/>
      <c r="W4154" s="146"/>
      <c r="X4154" s="138">
        <f>X4151-X4152</f>
        <v>-132.39107232160501</v>
      </c>
      <c r="Y4154" s="132"/>
      <c r="Z4154" s="146"/>
      <c r="AA4154" s="138">
        <f>AA4151-AA4152</f>
        <v>-643.39928165404206</v>
      </c>
      <c r="AB4154" s="132"/>
      <c r="AC4154" s="146"/>
      <c r="AD4154" s="138">
        <f>AD4151-AD4152</f>
        <v>-1826.4072203874157</v>
      </c>
      <c r="AE4154" s="132"/>
      <c r="AF4154" s="146"/>
      <c r="AG4154" s="138">
        <f>AG4151-AG4152</f>
        <v>-3641.8155951266349</v>
      </c>
      <c r="AH4154" s="132"/>
      <c r="AI4154" s="146"/>
      <c r="AJ4154" s="138">
        <f>AJ4151-AJ4152</f>
        <v>-5902.361440131258</v>
      </c>
      <c r="AK4154" s="132"/>
      <c r="AL4154" s="146"/>
      <c r="AM4154" s="138">
        <f>AM4151-AM4152</f>
        <v>-8134.3398913702113</v>
      </c>
      <c r="AN4154" s="132"/>
      <c r="AO4154" s="146"/>
      <c r="AP4154" s="138">
        <f>AP4151-AP4152</f>
        <v>-10137.305598586379</v>
      </c>
      <c r="AQ4154" s="132"/>
      <c r="AR4154" s="146"/>
      <c r="AS4154" s="138">
        <f>AS4151-AS4152</f>
        <v>-12630.428780895565</v>
      </c>
      <c r="AT4154" s="132"/>
      <c r="AU4154" s="146"/>
    </row>
    <row r="4155" spans="13:47" ht="14.5" x14ac:dyDescent="0.35">
      <c r="M4155" s="27"/>
      <c r="N4155" s="27"/>
      <c r="O4155" s="2" t="s">
        <v>191</v>
      </c>
      <c r="P4155" s="10"/>
      <c r="Q4155" s="2"/>
      <c r="R4155" s="181">
        <f>R4154/R4151</f>
        <v>0.47125236570962503</v>
      </c>
      <c r="S4155" s="132"/>
      <c r="T4155" s="146"/>
      <c r="U4155" s="138">
        <f>U4154/U4151</f>
        <v>0.29195426142362796</v>
      </c>
      <c r="V4155" s="132"/>
      <c r="W4155" s="146"/>
      <c r="X4155" s="138">
        <f>X4154/X4151</f>
        <v>1.6068618673250203</v>
      </c>
      <c r="Y4155" s="132"/>
      <c r="Z4155" s="146"/>
      <c r="AA4155" s="138">
        <f>AA4154/AA4151</f>
        <v>1.08426029748575</v>
      </c>
      <c r="AB4155" s="132"/>
      <c r="AC4155" s="146"/>
      <c r="AD4155" s="138">
        <f>AD4154/AD4151</f>
        <v>1.0281466993750992</v>
      </c>
      <c r="AE4155" s="132"/>
      <c r="AF4155" s="146"/>
      <c r="AG4155" s="138">
        <f>AG4154/AG4151</f>
        <v>1.0139205364740438</v>
      </c>
      <c r="AH4155" s="132"/>
      <c r="AI4155" s="146"/>
      <c r="AJ4155" s="138">
        <f>AJ4154/AJ4151</f>
        <v>1.0085435598111108</v>
      </c>
      <c r="AK4155" s="132"/>
      <c r="AL4155" s="146"/>
      <c r="AM4155" s="138">
        <f>AM4154/AM4151</f>
        <v>1.0061847968630528</v>
      </c>
      <c r="AN4155" s="132"/>
      <c r="AO4155" s="146"/>
      <c r="AP4155" s="138">
        <f>AP4154/AP4151</f>
        <v>1.0049567250155489</v>
      </c>
      <c r="AQ4155" s="132"/>
      <c r="AR4155" s="146"/>
      <c r="AS4155" s="138">
        <f>AS4154/AS4151</f>
        <v>1.0039744273323918</v>
      </c>
      <c r="AT4155" s="132"/>
      <c r="AU4155" s="146"/>
    </row>
    <row r="4156" spans="13:47" x14ac:dyDescent="0.25">
      <c r="M4156" s="27"/>
      <c r="N4156" s="27"/>
      <c r="O4156" s="2" t="s">
        <v>26</v>
      </c>
      <c r="P4156" s="7">
        <v>12</v>
      </c>
      <c r="Q4156" s="2"/>
      <c r="R4156" s="181">
        <f>1-R4155/(3*F_GAMMA*R$29)</f>
        <v>0.75456636779693764</v>
      </c>
      <c r="S4156" s="133"/>
      <c r="T4156" s="146"/>
      <c r="U4156" s="138">
        <f>1-U4155/(3*F_GAMMA*U$29)</f>
        <v>0.8479803534207847</v>
      </c>
      <c r="V4156" s="133"/>
      <c r="W4156" s="146"/>
      <c r="X4156" s="138">
        <f>1-X4155/(3*F_GAMMA*X$29)</f>
        <v>0.15076053583484961</v>
      </c>
      <c r="Y4156" s="133"/>
      <c r="Z4156" s="146"/>
      <c r="AA4156" s="138">
        <f>1-AA4155/(3*F_GAMMA*AA$29)</f>
        <v>0.41910250264914894</v>
      </c>
      <c r="AB4156" s="133"/>
      <c r="AC4156" s="146"/>
      <c r="AD4156" s="138">
        <f>1-AD4155/(3*F_GAMMA*AD$29)</f>
        <v>0.4340629165094444</v>
      </c>
      <c r="AE4156" s="133"/>
      <c r="AF4156" s="146"/>
      <c r="AG4156" s="138">
        <f>1-AG4155/(3*F_GAMMA*AG$29)</f>
        <v>0.41005835204195751</v>
      </c>
      <c r="AH4156" s="133"/>
      <c r="AI4156" s="146"/>
      <c r="AJ4156" s="138">
        <f>1-AJ4155/(3*F_GAMMA*AJ$29)</f>
        <v>0.37268884456550455</v>
      </c>
      <c r="AK4156" s="133"/>
      <c r="AL4156" s="146"/>
      <c r="AM4156" s="138">
        <f>1-AM4155/(3*F_GAMMA*AM$29)</f>
        <v>0.31620177582292641</v>
      </c>
      <c r="AN4156" s="133"/>
      <c r="AO4156" s="146"/>
      <c r="AP4156" s="138">
        <f>1-AP4155/(3*F_GAMMA*AP$29)</f>
        <v>0.43560444554383904</v>
      </c>
      <c r="AQ4156" s="133"/>
      <c r="AR4156" s="146"/>
      <c r="AS4156" s="138">
        <f>1-AS4155/(3*F_GAMMA*AS$29)</f>
        <v>0.14403598898897696</v>
      </c>
      <c r="AT4156" s="133"/>
      <c r="AU4156" s="146"/>
    </row>
    <row r="4157" spans="13:47" x14ac:dyDescent="0.25">
      <c r="M4157" s="27"/>
      <c r="N4157" s="27"/>
      <c r="O4157" s="2" t="s">
        <v>71</v>
      </c>
      <c r="P4157" s="85">
        <v>5</v>
      </c>
      <c r="Q4157" s="2"/>
      <c r="R4157" s="179">
        <f>R4149/((N_6*R$27*R4156)*SQRT(R4155*R4151*R4153))</f>
        <v>17.95404528427493</v>
      </c>
      <c r="S4157" s="133"/>
      <c r="T4157" s="146"/>
      <c r="U4157" s="143">
        <f>U4149/((N_6*U$27*U4156)*SQRT(U4155*U4151*U4153))</f>
        <v>60.924459519815663</v>
      </c>
      <c r="V4157" s="133"/>
      <c r="W4157" s="146"/>
      <c r="X4157" s="143">
        <f>X4149/((N_6*X$27*X4156)*SQRT(X4155*X4151*X4153))</f>
        <v>310.30795820783788</v>
      </c>
      <c r="Y4157" s="133"/>
      <c r="Z4157" s="146"/>
      <c r="AA4157" s="143">
        <f>AA4149/((N_6*AA$27*AA4156)*SQRT(AA4155*AA4151*AA4153))</f>
        <v>36.960564103637871</v>
      </c>
      <c r="AB4157" s="133"/>
      <c r="AC4157" s="146"/>
      <c r="AD4157" s="143">
        <f>AD4149/((N_6*AD$27*AD4156)*SQRT(AD4155*AD4151*AD4153))</f>
        <v>20.373387790686245</v>
      </c>
      <c r="AE4157" s="133"/>
      <c r="AF4157" s="146"/>
      <c r="AG4157" s="143">
        <f>AG4149/((N_6*AG$27*AG4156)*SQRT(AG4155*AG4151*AG4153))</f>
        <v>15.389403453470662</v>
      </c>
      <c r="AH4157" s="133"/>
      <c r="AI4157" s="146"/>
      <c r="AJ4157" s="143">
        <f>AJ4149/((N_6*AJ$27*AJ4156)*SQRT(AJ4155*AJ4151*AJ4153))</f>
        <v>13.684568932028425</v>
      </c>
      <c r="AK4157" s="133"/>
      <c r="AL4157" s="146"/>
      <c r="AM4157" s="143">
        <f>AM4149/((N_6*AM$27*AM4156)*SQRT(AM4155*AM4151*AM4153))</f>
        <v>14.549044268373041</v>
      </c>
      <c r="AN4157" s="133"/>
      <c r="AO4157" s="146"/>
      <c r="AP4157" s="143">
        <f>AP4149/((N_6*AP$27*AP4156)*SQRT(AP4155*AP4151*AP4153))</f>
        <v>10.733226207364066</v>
      </c>
      <c r="AQ4157" s="133"/>
      <c r="AR4157" s="146"/>
      <c r="AS4157" s="143">
        <f>AS4149/((N_6*AS$27*AS4156)*SQRT(AS4155*AS4151*AS4153))</f>
        <v>38.173869682084238</v>
      </c>
      <c r="AT4157" s="133"/>
      <c r="AU4157" s="146"/>
    </row>
    <row r="4158" spans="13:47" x14ac:dyDescent="0.25">
      <c r="M4158" s="27"/>
      <c r="N4158" s="27"/>
      <c r="O4158" s="2" t="s">
        <v>73</v>
      </c>
      <c r="P4158" s="85">
        <v>5</v>
      </c>
      <c r="Q4158" s="2"/>
      <c r="R4158" s="179">
        <f>R4149/((N_6*R$27*0.667)*SQRT(R4159*R4151*R4153))</f>
        <v>17.428563420028933</v>
      </c>
      <c r="S4158" s="133"/>
      <c r="T4158" s="147"/>
      <c r="U4158" s="143">
        <f>U4149/((N_6*U$27*0.667)*SQRT(U4159*U4151*U4153))</f>
        <v>52.3072789212329</v>
      </c>
      <c r="V4158" s="133"/>
      <c r="W4158" s="155"/>
      <c r="X4158" s="143">
        <f>X4149/((N_6*X$27*0.667)*SQRT(X4159*X4151*X4153))</f>
        <v>111.95164085224017</v>
      </c>
      <c r="Y4158" s="133"/>
      <c r="Z4158" s="155"/>
      <c r="AA4158" s="143">
        <f>AA4149/((N_6*AA$27*0.667)*SQRT(AA4159*AA4151*AA4153))</f>
        <v>30.657969745581163</v>
      </c>
      <c r="AB4158" s="133"/>
      <c r="AC4158" s="155"/>
      <c r="AD4158" s="143">
        <f>AD4149/((N_6*AD$27*0.667)*SQRT(AD4159*AD4151*AD4153))</f>
        <v>17.275666257746199</v>
      </c>
      <c r="AE4158" s="133"/>
      <c r="AF4158" s="155"/>
      <c r="AG4158" s="143">
        <f>AG4149/((N_6*AG$27*0.667)*SQRT(AG4159*AG4151*AG4153))</f>
        <v>12.586551854214576</v>
      </c>
      <c r="AH4158" s="133"/>
      <c r="AI4158" s="155"/>
      <c r="AJ4158" s="143">
        <f>AJ4149/((N_6*AJ$27*0.667)*SQRT(AJ4159*AJ4151*AJ4153))</f>
        <v>10.4894764880389</v>
      </c>
      <c r="AK4158" s="133"/>
      <c r="AL4158" s="155"/>
      <c r="AM4158" s="143">
        <f>AM4149/((N_6*AM$27*0.667)*SQRT(AM4159*AM4151*AM4153))</f>
        <v>9.8786488404471982</v>
      </c>
      <c r="AN4158" s="133"/>
      <c r="AO4158" s="155"/>
      <c r="AP4158" s="143">
        <f>AP4149/((N_6*AP$27*0.667)*SQRT(AP4159*AP4151*AP4153))</f>
        <v>9.1211410403401274</v>
      </c>
      <c r="AQ4158" s="133"/>
      <c r="AR4158" s="155"/>
      <c r="AS4158" s="143">
        <f>AS4149/((N_6*AS$27*0.667)*SQRT(AS4159*AS4151*AS4153))</f>
        <v>13.209906739259415</v>
      </c>
      <c r="AT4158" s="133"/>
      <c r="AU4158" s="155"/>
    </row>
    <row r="4159" spans="13:47" ht="15.5" x14ac:dyDescent="0.4">
      <c r="M4159" s="27"/>
      <c r="N4159" s="27"/>
      <c r="O4159" s="2" t="s">
        <v>192</v>
      </c>
      <c r="P4159" s="85">
        <v>10</v>
      </c>
      <c r="Q4159" s="2"/>
      <c r="R4159" s="181">
        <f>F_GAMMA*R$29</f>
        <v>0.64002688015162901</v>
      </c>
      <c r="S4159" s="133"/>
      <c r="T4159" s="147"/>
      <c r="U4159" s="138">
        <f>F_GAMMA*U$29</f>
        <v>0.64016782916606918</v>
      </c>
      <c r="V4159" s="133"/>
      <c r="W4159" s="155"/>
      <c r="X4159" s="138">
        <f>F_GAMMA*X$29</f>
        <v>0.6307062319203669</v>
      </c>
      <c r="Y4159" s="133"/>
      <c r="Z4159" s="155"/>
      <c r="AA4159" s="138">
        <f>F_GAMMA*AA$29</f>
        <v>0.62217534213893466</v>
      </c>
      <c r="AB4159" s="133"/>
      <c r="AC4159" s="155"/>
      <c r="AD4159" s="138">
        <f>F_GAMMA*AD$29</f>
        <v>0.60557184969146072</v>
      </c>
      <c r="AE4159" s="133"/>
      <c r="AF4159" s="155"/>
      <c r="AG4159" s="138">
        <f>F_GAMMA*AG$29</f>
        <v>0.57289312142622573</v>
      </c>
      <c r="AH4159" s="133"/>
      <c r="AI4159" s="155"/>
      <c r="AJ4159" s="138">
        <f>F_GAMMA*AJ$29</f>
        <v>0.53590819116049981</v>
      </c>
      <c r="AK4159" s="133"/>
      <c r="AL4159" s="155"/>
      <c r="AM4159" s="138">
        <f>F_GAMMA*AM$29</f>
        <v>0.49048815926850342</v>
      </c>
      <c r="AN4159" s="133"/>
      <c r="AO4159" s="155"/>
      <c r="AP4159" s="138">
        <f>F_GAMMA*AP$29</f>
        <v>0.59352979016280105</v>
      </c>
      <c r="AQ4159" s="133"/>
      <c r="AR4159" s="155"/>
      <c r="AS4159" s="138">
        <f>F_GAMMA*AS$29</f>
        <v>0.39097221161068291</v>
      </c>
      <c r="AT4159" s="133"/>
      <c r="AU4159" s="155"/>
    </row>
    <row r="4160" spans="13:47" x14ac:dyDescent="0.25">
      <c r="M4160" s="27"/>
      <c r="N4160" s="27"/>
      <c r="O4160" s="2" t="s">
        <v>193</v>
      </c>
      <c r="P4160" s="134"/>
      <c r="Q4160" s="2"/>
      <c r="R4160" s="181">
        <f>IF(R4155&lt;R4159,R4157,R4158)</f>
        <v>17.95404528427493</v>
      </c>
      <c r="S4160" s="133"/>
      <c r="T4160" s="147"/>
      <c r="U4160" s="138">
        <f>IF(U4155&lt;U4159,U4157,U4158)</f>
        <v>60.924459519815663</v>
      </c>
      <c r="V4160" s="133"/>
      <c r="W4160" s="155"/>
      <c r="X4160" s="138">
        <f>IF(X4155&lt;X4159,X4157,X4158)</f>
        <v>111.95164085224017</v>
      </c>
      <c r="Y4160" s="133"/>
      <c r="Z4160" s="155"/>
      <c r="AA4160" s="138">
        <f>IF(AA4155&lt;AA4159,AA4157,AA4158)</f>
        <v>30.657969745581163</v>
      </c>
      <c r="AB4160" s="133"/>
      <c r="AC4160" s="155"/>
      <c r="AD4160" s="138">
        <f>IF(AD4155&lt;AD4159,AD4157,AD4158)</f>
        <v>17.275666257746199</v>
      </c>
      <c r="AE4160" s="133"/>
      <c r="AF4160" s="155"/>
      <c r="AG4160" s="138">
        <f>IF(AG4155&lt;AG4159,AG4157,AG4158)</f>
        <v>12.586551854214576</v>
      </c>
      <c r="AH4160" s="133"/>
      <c r="AI4160" s="155"/>
      <c r="AJ4160" s="138">
        <f>IF(AJ4155&lt;AJ4159,AJ4157,AJ4158)</f>
        <v>10.4894764880389</v>
      </c>
      <c r="AK4160" s="133"/>
      <c r="AL4160" s="155"/>
      <c r="AM4160" s="138">
        <f>IF(AM4155&lt;AM4159,AM4157,AM4158)</f>
        <v>9.8786488404471982</v>
      </c>
      <c r="AN4160" s="133"/>
      <c r="AO4160" s="155"/>
      <c r="AP4160" s="138">
        <f>IF(AP4155&lt;AP4159,AP4157,AP4158)</f>
        <v>9.1211410403401274</v>
      </c>
      <c r="AQ4160" s="133"/>
      <c r="AR4160" s="155"/>
      <c r="AS4160" s="138">
        <f>IF(AS4155&lt;AS4159,AS4157,AS4158)</f>
        <v>13.209906739259415</v>
      </c>
      <c r="AT4160" s="133"/>
      <c r="AU4160" s="155"/>
    </row>
    <row r="4161" spans="13:47" ht="13" x14ac:dyDescent="0.3">
      <c r="M4161" s="28"/>
      <c r="N4161" s="28"/>
      <c r="O4161" s="9" t="s">
        <v>194</v>
      </c>
      <c r="P4161" s="1"/>
      <c r="Q4161" s="1"/>
      <c r="R4161" s="135"/>
      <c r="S4161" s="132">
        <f>IF(R4154&lt;=0,W_max,ABS(R$23-R4160))</f>
        <v>15.95404528427493</v>
      </c>
      <c r="T4161" s="151">
        <f>R4149</f>
        <v>3865.9477912164098</v>
      </c>
      <c r="U4161" s="135"/>
      <c r="V4161" s="132">
        <f>IF(U4154&lt;=0,W_max,ABS(U$23-U4160))</f>
        <v>55.924459519815663</v>
      </c>
      <c r="W4161" s="151">
        <f>U4149</f>
        <v>8660.0719100010647</v>
      </c>
      <c r="X4161" s="135"/>
      <c r="Y4161" s="132">
        <f>IF(X4154&lt;=0,W_max,ABS(X$23-X4160))</f>
        <v>7174</v>
      </c>
      <c r="Z4161" s="151">
        <f>X4149</f>
        <v>21417.388394070425</v>
      </c>
      <c r="AA4161" s="135"/>
      <c r="AB4161" s="132">
        <f>IF(AA4154&lt;=0,W_max,ABS(AA$23-AA4160))</f>
        <v>7174</v>
      </c>
      <c r="AC4161" s="151">
        <f>AA4149</f>
        <v>41715.605901495772</v>
      </c>
      <c r="AD4161" s="135"/>
      <c r="AE4161" s="132">
        <f>IF(AD4154&lt;=0,W_max,ABS(AD$23-AD4160))</f>
        <v>7174</v>
      </c>
      <c r="AF4161" s="151">
        <f>AD4149</f>
        <v>68606.812933098394</v>
      </c>
      <c r="AG4161" s="135"/>
      <c r="AH4161" s="132">
        <f>IF(AG4154&lt;=0,W_max,ABS(AG$23-AG4160))</f>
        <v>7174</v>
      </c>
      <c r="AI4161" s="151">
        <f>AG4149</f>
        <v>96226.336914404761</v>
      </c>
      <c r="AJ4161" s="135"/>
      <c r="AK4161" s="132">
        <f>IF(AJ4154&lt;=0,W_max,ABS(AJ$23-AJ4160))</f>
        <v>7174</v>
      </c>
      <c r="AL4161" s="151">
        <f>AJ4149</f>
        <v>122181.91408152532</v>
      </c>
      <c r="AM4161" s="135"/>
      <c r="AN4161" s="132">
        <f>IF(AM4154&lt;=0,W_max,ABS(AM$23-AM4160))</f>
        <v>7174</v>
      </c>
      <c r="AO4161" s="151">
        <f>AM4149</f>
        <v>143267.90324789876</v>
      </c>
      <c r="AP4161" s="135"/>
      <c r="AQ4161" s="132">
        <f>IF(AP4154&lt;=0,W_max,ABS(AP$23-AP4160))</f>
        <v>7174</v>
      </c>
      <c r="AR4161" s="151">
        <f>AP4149</f>
        <v>159839.46474678977</v>
      </c>
      <c r="AS4161" s="135"/>
      <c r="AT4161" s="132">
        <f>IF(AS4154&lt;=0,W_max,ABS(AS$23-AS4160))</f>
        <v>7174</v>
      </c>
      <c r="AU4161" s="151">
        <f>AS4149</f>
        <v>178327.83136592014</v>
      </c>
    </row>
    <row r="4162" spans="13:47" ht="13" x14ac:dyDescent="0.25">
      <c r="M4162" s="12"/>
      <c r="N4162" s="12"/>
      <c r="O4162" s="12"/>
      <c r="P4162" s="12"/>
      <c r="Q4162" s="12"/>
      <c r="R4162" s="182"/>
      <c r="S4162" s="22"/>
      <c r="T4162" s="152"/>
      <c r="U4162" s="157"/>
      <c r="V4162" s="1"/>
      <c r="W4162" s="147"/>
      <c r="X4162" s="157"/>
      <c r="Y4162" s="1"/>
      <c r="Z4162" s="147"/>
      <c r="AA4162" s="157"/>
      <c r="AB4162" s="1"/>
      <c r="AC4162" s="147"/>
      <c r="AD4162" s="157"/>
      <c r="AE4162" s="1"/>
      <c r="AF4162" s="147"/>
      <c r="AG4162" s="157"/>
      <c r="AH4162" s="1"/>
      <c r="AI4162" s="147"/>
      <c r="AJ4162" s="157"/>
      <c r="AK4162" s="1"/>
      <c r="AL4162" s="147"/>
      <c r="AM4162" s="157"/>
      <c r="AN4162" s="1"/>
      <c r="AO4162" s="147"/>
      <c r="AP4162" s="157"/>
      <c r="AQ4162" s="1"/>
      <c r="AR4162" s="147"/>
      <c r="AS4162" s="157"/>
      <c r="AT4162" s="1"/>
      <c r="AU4162" s="147"/>
    </row>
    <row r="4163" spans="13:47" ht="14" x14ac:dyDescent="0.3">
      <c r="M4163" s="23"/>
      <c r="N4163" s="23"/>
      <c r="O4163" s="23" t="s">
        <v>238</v>
      </c>
      <c r="P4163" s="20"/>
      <c r="Q4163" s="20"/>
      <c r="R4163" s="18">
        <f>R4149*1.02</f>
        <v>3943.2667470407382</v>
      </c>
      <c r="S4163" s="128" t="s">
        <v>185</v>
      </c>
      <c r="T4163" s="153" t="s">
        <v>186</v>
      </c>
      <c r="U4163" s="143">
        <f>U4149*1.01</f>
        <v>8746.6726291010746</v>
      </c>
      <c r="V4163" s="128" t="s">
        <v>185</v>
      </c>
      <c r="W4163" s="153" t="s">
        <v>186</v>
      </c>
      <c r="X4163" s="143">
        <f>X4149*1.01</f>
        <v>21631.56227801113</v>
      </c>
      <c r="Y4163" s="128" t="s">
        <v>185</v>
      </c>
      <c r="Z4163" s="153" t="s">
        <v>186</v>
      </c>
      <c r="AA4163" s="143">
        <f>AA4149*1.01</f>
        <v>42132.761960510732</v>
      </c>
      <c r="AB4163" s="128" t="s">
        <v>185</v>
      </c>
      <c r="AC4163" s="153" t="s">
        <v>186</v>
      </c>
      <c r="AD4163" s="143">
        <f>AD4149*1.01</f>
        <v>69292.881062429384</v>
      </c>
      <c r="AE4163" s="128" t="s">
        <v>185</v>
      </c>
      <c r="AF4163" s="153" t="s">
        <v>186</v>
      </c>
      <c r="AG4163" s="143">
        <f>AG4149*1.01</f>
        <v>97188.600283548803</v>
      </c>
      <c r="AH4163" s="128" t="s">
        <v>185</v>
      </c>
      <c r="AI4163" s="153" t="s">
        <v>186</v>
      </c>
      <c r="AJ4163" s="143">
        <f>AJ4149*1.01</f>
        <v>123403.73322234057</v>
      </c>
      <c r="AK4163" s="128" t="s">
        <v>185</v>
      </c>
      <c r="AL4163" s="153" t="s">
        <v>186</v>
      </c>
      <c r="AM4163" s="143">
        <f>AM4149*1.01</f>
        <v>144700.58228037774</v>
      </c>
      <c r="AN4163" s="128" t="s">
        <v>185</v>
      </c>
      <c r="AO4163" s="153" t="s">
        <v>186</v>
      </c>
      <c r="AP4163" s="143">
        <f>AP4149*1.01</f>
        <v>161437.85939425768</v>
      </c>
      <c r="AQ4163" s="128" t="s">
        <v>185</v>
      </c>
      <c r="AR4163" s="153" t="s">
        <v>186</v>
      </c>
      <c r="AS4163" s="143">
        <f>AS4149*1.01</f>
        <v>180111.10967957933</v>
      </c>
      <c r="AT4163" s="128" t="s">
        <v>185</v>
      </c>
      <c r="AU4163" s="153" t="s">
        <v>186</v>
      </c>
    </row>
    <row r="4164" spans="13:47" ht="14" x14ac:dyDescent="0.3">
      <c r="M4164" s="12"/>
      <c r="N4164" s="12"/>
      <c r="O4164" s="20"/>
      <c r="P4164" s="20"/>
      <c r="Q4164" s="23"/>
      <c r="R4164" s="139"/>
      <c r="S4164" s="130" t="s">
        <v>228</v>
      </c>
      <c r="T4164" s="154" t="s">
        <v>187</v>
      </c>
      <c r="U4164" s="144"/>
      <c r="V4164" s="130" t="s">
        <v>228</v>
      </c>
      <c r="W4164" s="154" t="s">
        <v>187</v>
      </c>
      <c r="X4164" s="144"/>
      <c r="Y4164" s="130" t="s">
        <v>228</v>
      </c>
      <c r="Z4164" s="154" t="s">
        <v>187</v>
      </c>
      <c r="AA4164" s="144"/>
      <c r="AB4164" s="130" t="s">
        <v>228</v>
      </c>
      <c r="AC4164" s="154" t="s">
        <v>187</v>
      </c>
      <c r="AD4164" s="144"/>
      <c r="AE4164" s="130" t="s">
        <v>228</v>
      </c>
      <c r="AF4164" s="154" t="s">
        <v>187</v>
      </c>
      <c r="AG4164" s="144"/>
      <c r="AH4164" s="130" t="s">
        <v>228</v>
      </c>
      <c r="AI4164" s="154" t="s">
        <v>187</v>
      </c>
      <c r="AJ4164" s="144"/>
      <c r="AK4164" s="130" t="s">
        <v>228</v>
      </c>
      <c r="AL4164" s="154" t="s">
        <v>187</v>
      </c>
      <c r="AM4164" s="144"/>
      <c r="AN4164" s="130" t="s">
        <v>228</v>
      </c>
      <c r="AO4164" s="154" t="s">
        <v>187</v>
      </c>
      <c r="AP4164" s="144"/>
      <c r="AQ4164" s="130" t="s">
        <v>228</v>
      </c>
      <c r="AR4164" s="154" t="s">
        <v>187</v>
      </c>
      <c r="AS4164" s="144"/>
      <c r="AT4164" s="130" t="s">
        <v>228</v>
      </c>
      <c r="AU4164" s="154" t="s">
        <v>187</v>
      </c>
    </row>
    <row r="4165" spans="13:47" x14ac:dyDescent="0.25">
      <c r="M4165" s="20"/>
      <c r="N4165" s="20"/>
      <c r="O4165" s="7" t="s">
        <v>188</v>
      </c>
      <c r="P4165" s="7"/>
      <c r="Q4165" s="7"/>
      <c r="R4165" s="181">
        <f>P_1_minW-(R4163^2*R_up)+dpup_minQ</f>
        <v>94.322298321937524</v>
      </c>
      <c r="S4165" s="132"/>
      <c r="T4165" s="145"/>
      <c r="U4165" s="138">
        <f>P_1_minW-(U4163^2*R_up)+dpup_minQ</f>
        <v>70.015798712415616</v>
      </c>
      <c r="V4165" s="132"/>
      <c r="W4165" s="145"/>
      <c r="X4165" s="138">
        <f>P_1_minW-(X4163^2*R_up)+dpup_minQ</f>
        <v>-86.067640888677474</v>
      </c>
      <c r="Y4165" s="132"/>
      <c r="Z4165" s="145"/>
      <c r="AA4165" s="138">
        <f>P_1_minW-(AA4163^2*R_up)+dpup_minQ</f>
        <v>-607.34711522869668</v>
      </c>
      <c r="AB4165" s="132"/>
      <c r="AC4165" s="145"/>
      <c r="AD4165" s="138">
        <f>P_1_minW-(AD4163^2*R_up)+dpup_minQ</f>
        <v>-1814.1335135306113</v>
      </c>
      <c r="AE4165" s="132"/>
      <c r="AF4165" s="145"/>
      <c r="AG4165" s="138">
        <f>P_1_minW-(AG4163^2*R_up)+dpup_minQ</f>
        <v>-3666.0315966020876</v>
      </c>
      <c r="AH4165" s="132"/>
      <c r="AI4165" s="145"/>
      <c r="AJ4165" s="138">
        <f>P_1_minW-(AJ4163^2*R_up)+dpup_minQ</f>
        <v>-5972.014413091304</v>
      </c>
      <c r="AK4165" s="132"/>
      <c r="AL4165" s="145"/>
      <c r="AM4165" s="138">
        <f>P_1_minW-(AM4163^2*R_up)+dpup_minQ</f>
        <v>-8248.8556312001583</v>
      </c>
      <c r="AN4165" s="132"/>
      <c r="AO4165" s="145"/>
      <c r="AP4165" s="138">
        <f>P_1_minW-(AP4163^2*R_up)+dpup_minQ</f>
        <v>-10292.080949131374</v>
      </c>
      <c r="AQ4165" s="132"/>
      <c r="AR4165" s="145"/>
      <c r="AS4165" s="138">
        <f>P_1_minW-(AS4163^2*R_up)+dpup_minQ</f>
        <v>-12835.315907404971</v>
      </c>
      <c r="AT4165" s="132"/>
      <c r="AU4165" s="145"/>
    </row>
    <row r="4166" spans="13:47" x14ac:dyDescent="0.25">
      <c r="M4166" s="20"/>
      <c r="N4166" s="20"/>
      <c r="O4166" s="7" t="s">
        <v>189</v>
      </c>
      <c r="P4166" s="1"/>
      <c r="Q4166" s="7"/>
      <c r="R4166" s="181">
        <f>P_2_minW+(R4163^2*R_dn)-dpdn_minQ</f>
        <v>50</v>
      </c>
      <c r="S4166" s="132"/>
      <c r="T4166" s="146"/>
      <c r="U4166" s="138">
        <f>P_2_minW+(U4163^2*R_dn)-dpdn_minQ</f>
        <v>50</v>
      </c>
      <c r="V4166" s="132"/>
      <c r="W4166" s="146"/>
      <c r="X4166" s="138">
        <f>P_2_minW+(X4163^2*R_dn)-dpdn_minQ</f>
        <v>50</v>
      </c>
      <c r="Y4166" s="132"/>
      <c r="Z4166" s="146"/>
      <c r="AA4166" s="138">
        <f>P_2_minW+(AA4163^2*R_dn)-dpdn_minQ</f>
        <v>50</v>
      </c>
      <c r="AB4166" s="132"/>
      <c r="AC4166" s="146"/>
      <c r="AD4166" s="138">
        <f>P_2_minW+(AD4163^2*R_dn)-dpdn_minQ</f>
        <v>50</v>
      </c>
      <c r="AE4166" s="132"/>
      <c r="AF4166" s="146"/>
      <c r="AG4166" s="138">
        <f>P_2_minW+(AG4163^2*R_dn)-dpdn_minQ</f>
        <v>50</v>
      </c>
      <c r="AH4166" s="132"/>
      <c r="AI4166" s="146"/>
      <c r="AJ4166" s="138">
        <f>P_2_minW+(AJ4163^2*R_dn)-dpdn_minQ</f>
        <v>50</v>
      </c>
      <c r="AK4166" s="132"/>
      <c r="AL4166" s="146"/>
      <c r="AM4166" s="138">
        <f>P_2_minW+(AM4163^2*R_dn)-dpdn_minQ</f>
        <v>50</v>
      </c>
      <c r="AN4166" s="132"/>
      <c r="AO4166" s="146"/>
      <c r="AP4166" s="138">
        <f>P_2_minW+(AP4163^2*R_dn)-dpdn_minQ</f>
        <v>50</v>
      </c>
      <c r="AQ4166" s="132"/>
      <c r="AR4166" s="146"/>
      <c r="AS4166" s="138">
        <f>P_2_minW+(AS4163^2*R_dn)-dpdn_minQ</f>
        <v>50</v>
      </c>
      <c r="AT4166" s="132"/>
      <c r="AU4166" s="146"/>
    </row>
    <row r="4167" spans="13:47" x14ac:dyDescent="0.25">
      <c r="M4167" s="20"/>
      <c r="N4167" s="20"/>
      <c r="O4167" s="7" t="s">
        <v>234</v>
      </c>
      <c r="P4167" s="1"/>
      <c r="Q4167" s="7"/>
      <c r="R4167" s="179">
        <f>'Valve Sizing'!G$8*R4165/P_1_maxW</f>
        <v>0.4549939740548683</v>
      </c>
      <c r="S4167" s="132"/>
      <c r="T4167" s="146"/>
      <c r="U4167" s="143">
        <f>'Valve Sizing'!$G$8*U4165/P_1_maxW</f>
        <v>0.33774374744405955</v>
      </c>
      <c r="V4167" s="132"/>
      <c r="W4167" s="146"/>
      <c r="X4167" s="143">
        <f>'Valve Sizing'!$G$8*X4165/P_1_maxW</f>
        <v>-0.41517497624799427</v>
      </c>
      <c r="Y4167" s="132"/>
      <c r="Z4167" s="146"/>
      <c r="AA4167" s="143">
        <f>'Valve Sizing'!$G$8*AA4165/P_1_maxW</f>
        <v>-2.9297343523741679</v>
      </c>
      <c r="AB4167" s="132"/>
      <c r="AC4167" s="146"/>
      <c r="AD4167" s="143">
        <f>'Valve Sizing'!$G$8*AD4165/P_1_maxW</f>
        <v>-8.7510570827072129</v>
      </c>
      <c r="AE4167" s="132"/>
      <c r="AF4167" s="146"/>
      <c r="AG4167" s="143">
        <f>'Valve Sizing'!$G$8*AG4165/P_1_maxW</f>
        <v>-17.684283725312365</v>
      </c>
      <c r="AH4167" s="132"/>
      <c r="AI4167" s="146"/>
      <c r="AJ4167" s="143">
        <f>'Valve Sizing'!$G$8*AJ4165/P_1_maxW</f>
        <v>-28.807934277120872</v>
      </c>
      <c r="AK4167" s="132"/>
      <c r="AL4167" s="146"/>
      <c r="AM4167" s="143">
        <f>'Valve Sizing'!$G$8*AM4165/P_1_maxW</f>
        <v>-39.79101094668431</v>
      </c>
      <c r="AN4167" s="132"/>
      <c r="AO4167" s="146"/>
      <c r="AP4167" s="143">
        <f>'Valve Sizing'!$G$8*AP4165/P_1_maxW</f>
        <v>-49.647166106538229</v>
      </c>
      <c r="AQ4167" s="132"/>
      <c r="AR4167" s="146"/>
      <c r="AS4167" s="143">
        <f>'Valve Sizing'!$G$8*AS4165/P_1_maxW</f>
        <v>-61.915278750174267</v>
      </c>
      <c r="AT4167" s="132"/>
      <c r="AU4167" s="146"/>
    </row>
    <row r="4168" spans="13:47" x14ac:dyDescent="0.25">
      <c r="M4168" s="20"/>
      <c r="N4168" s="20"/>
      <c r="O4168" s="7" t="s">
        <v>190</v>
      </c>
      <c r="P4168" s="1"/>
      <c r="Q4168" s="7"/>
      <c r="R4168" s="181">
        <f>R4165-R4166</f>
        <v>44.322298321937524</v>
      </c>
      <c r="S4168" s="132"/>
      <c r="T4168" s="146"/>
      <c r="U4168" s="138">
        <f>U4165-U4166</f>
        <v>20.015798712415616</v>
      </c>
      <c r="V4168" s="132"/>
      <c r="W4168" s="146"/>
      <c r="X4168" s="138">
        <f>X4165-X4166</f>
        <v>-136.06764088867749</v>
      </c>
      <c r="Y4168" s="132"/>
      <c r="Z4168" s="146"/>
      <c r="AA4168" s="138">
        <f>AA4165-AA4166</f>
        <v>-657.34711522869668</v>
      </c>
      <c r="AB4168" s="132"/>
      <c r="AC4168" s="146"/>
      <c r="AD4168" s="138">
        <f>AD4165-AD4166</f>
        <v>-1864.1335135306113</v>
      </c>
      <c r="AE4168" s="132"/>
      <c r="AF4168" s="146"/>
      <c r="AG4168" s="138">
        <f>AG4165-AG4166</f>
        <v>-3716.0315966020876</v>
      </c>
      <c r="AH4168" s="132"/>
      <c r="AI4168" s="146"/>
      <c r="AJ4168" s="138">
        <f>AJ4165-AJ4166</f>
        <v>-6022.014413091304</v>
      </c>
      <c r="AK4168" s="132"/>
      <c r="AL4168" s="146"/>
      <c r="AM4168" s="138">
        <f>AM4165-AM4166</f>
        <v>-8298.8556312001583</v>
      </c>
      <c r="AN4168" s="132"/>
      <c r="AO4168" s="146"/>
      <c r="AP4168" s="138">
        <f>AP4165-AP4166</f>
        <v>-10342.080949131374</v>
      </c>
      <c r="AQ4168" s="132"/>
      <c r="AR4168" s="146"/>
      <c r="AS4168" s="138">
        <f>AS4165-AS4166</f>
        <v>-12885.315907404971</v>
      </c>
      <c r="AT4168" s="132"/>
      <c r="AU4168" s="146"/>
    </row>
    <row r="4169" spans="13:47" ht="14.5" x14ac:dyDescent="0.35">
      <c r="M4169" s="27"/>
      <c r="N4169" s="27"/>
      <c r="O4169" s="2" t="s">
        <v>191</v>
      </c>
      <c r="P4169" s="10"/>
      <c r="Q4169" s="2"/>
      <c r="R4169" s="181">
        <f>R4168/R4165</f>
        <v>0.46990265409625864</v>
      </c>
      <c r="S4169" s="132"/>
      <c r="T4169" s="146"/>
      <c r="U4169" s="138">
        <f>U4168/U4165</f>
        <v>0.28587546068893588</v>
      </c>
      <c r="V4169" s="132"/>
      <c r="W4169" s="146"/>
      <c r="X4169" s="138">
        <f>X4168/X4165</f>
        <v>1.5809384280053818</v>
      </c>
      <c r="Y4169" s="132"/>
      <c r="Z4169" s="146"/>
      <c r="AA4169" s="138">
        <f>AA4168/AA4165</f>
        <v>1.0823252448991587</v>
      </c>
      <c r="AB4169" s="132"/>
      <c r="AC4169" s="146"/>
      <c r="AD4169" s="138">
        <f>AD4168/AD4165</f>
        <v>1.027561367246169</v>
      </c>
      <c r="AE4169" s="132"/>
      <c r="AF4169" s="146"/>
      <c r="AG4169" s="138">
        <f>AG4168/AG4165</f>
        <v>1.0136387258763244</v>
      </c>
      <c r="AH4169" s="132"/>
      <c r="AI4169" s="146"/>
      <c r="AJ4169" s="138">
        <f>AJ4168/AJ4165</f>
        <v>1.0083723843483021</v>
      </c>
      <c r="AK4169" s="132"/>
      <c r="AL4169" s="146"/>
      <c r="AM4169" s="138">
        <f>AM4168/AM4165</f>
        <v>1.0060614468522011</v>
      </c>
      <c r="AN4169" s="132"/>
      <c r="AO4169" s="146"/>
      <c r="AP4169" s="138">
        <f>AP4168/AP4165</f>
        <v>1.0048581040362123</v>
      </c>
      <c r="AQ4169" s="132"/>
      <c r="AR4169" s="146"/>
      <c r="AS4169" s="138">
        <f>AS4168/AS4165</f>
        <v>1.0038955020944327</v>
      </c>
      <c r="AT4169" s="132"/>
      <c r="AU4169" s="146"/>
    </row>
    <row r="4170" spans="13:47" x14ac:dyDescent="0.25">
      <c r="M4170" s="27"/>
      <c r="N4170" s="27"/>
      <c r="O4170" s="2" t="s">
        <v>26</v>
      </c>
      <c r="P4170" s="7">
        <v>12</v>
      </c>
      <c r="Q4170" s="2"/>
      <c r="R4170" s="181">
        <f>1-R4169/(3*F_GAMMA*R$29)</f>
        <v>0.75526931307169798</v>
      </c>
      <c r="S4170" s="133"/>
      <c r="T4170" s="146"/>
      <c r="U4170" s="138">
        <f>1-U4169/(3*F_GAMMA*U$29)</f>
        <v>0.8511455654468304</v>
      </c>
      <c r="V4170" s="133"/>
      <c r="W4170" s="146"/>
      <c r="X4170" s="138">
        <f>1-X4169/(3*F_GAMMA*X$29)</f>
        <v>0.1644612827159595</v>
      </c>
      <c r="Y4170" s="133"/>
      <c r="Z4170" s="146"/>
      <c r="AA4170" s="138">
        <f>1-AA4169/(3*F_GAMMA*AA$29)</f>
        <v>0.42013921607248439</v>
      </c>
      <c r="AB4170" s="133"/>
      <c r="AC4170" s="146"/>
      <c r="AD4170" s="138">
        <f>1-AD4169/(3*F_GAMMA*AD$29)</f>
        <v>0.43438510901185812</v>
      </c>
      <c r="AE4170" s="133"/>
      <c r="AF4170" s="146"/>
      <c r="AG4170" s="138">
        <f>1-AG4169/(3*F_GAMMA*AG$29)</f>
        <v>0.41022232131020875</v>
      </c>
      <c r="AH4170" s="133"/>
      <c r="AI4170" s="146"/>
      <c r="AJ4170" s="138">
        <f>1-AJ4169/(3*F_GAMMA*AJ$29)</f>
        <v>0.37279531520458786</v>
      </c>
      <c r="AK4170" s="133"/>
      <c r="AL4170" s="146"/>
      <c r="AM4170" s="138">
        <f>1-AM4169/(3*F_GAMMA*AM$29)</f>
        <v>0.31628560388178362</v>
      </c>
      <c r="AN4170" s="133"/>
      <c r="AO4170" s="146"/>
      <c r="AP4170" s="138">
        <f>1-AP4169/(3*F_GAMMA*AP$29)</f>
        <v>0.43565983224948324</v>
      </c>
      <c r="AQ4170" s="133"/>
      <c r="AR4170" s="146"/>
      <c r="AS4170" s="138">
        <f>1-AS4169/(3*F_GAMMA*AS$29)</f>
        <v>0.14410327871410777</v>
      </c>
      <c r="AT4170" s="133"/>
      <c r="AU4170" s="146"/>
    </row>
    <row r="4171" spans="13:47" x14ac:dyDescent="0.25">
      <c r="M4171" s="27"/>
      <c r="N4171" s="27"/>
      <c r="O4171" s="2" t="s">
        <v>71</v>
      </c>
      <c r="P4171" s="85">
        <v>5</v>
      </c>
      <c r="Q4171" s="2"/>
      <c r="R4171" s="179">
        <f>R4163/((N_6*R$27*R4170)*SQRT(R4169*R4165*R4167))</f>
        <v>18.369109704068766</v>
      </c>
      <c r="S4171" s="133"/>
      <c r="T4171" s="146"/>
      <c r="U4171" s="143">
        <f>U4163/((N_6*U$27*U4170)*SQRT(U4169*U4165*U4167))</f>
        <v>62.485122081889124</v>
      </c>
      <c r="V4171" s="133"/>
      <c r="W4171" s="146"/>
      <c r="X4171" s="143">
        <f>X4163/((N_6*X$27*X4170)*SQRT(X4169*X4165*X4167))</f>
        <v>277.27475934322842</v>
      </c>
      <c r="Y4171" s="133"/>
      <c r="Z4171" s="146"/>
      <c r="AA4171" s="143">
        <f>AA4163/((N_6*AA$27*AA4170)*SQRT(AA4169*AA4165*AA4167))</f>
        <v>36.415386597884726</v>
      </c>
      <c r="AB4171" s="133"/>
      <c r="AC4171" s="146"/>
      <c r="AD4171" s="143">
        <f>AD4163/((N_6*AD$27*AD4170)*SQRT(AD4169*AD4165*AD4167))</f>
        <v>20.139993354307858</v>
      </c>
      <c r="AE4171" s="133"/>
      <c r="AF4171" s="146"/>
      <c r="AG4171" s="143">
        <f>AG4163/((N_6*AG$27*AG4170)*SQRT(AG4169*AG4165*AG4167))</f>
        <v>15.224664254669081</v>
      </c>
      <c r="AH4171" s="133"/>
      <c r="AI4171" s="146"/>
      <c r="AJ4171" s="143">
        <f>AJ4163/((N_6*AJ$27*AJ4170)*SQRT(AJ4169*AJ4165*AJ4167))</f>
        <v>13.541775021206425</v>
      </c>
      <c r="AK4171" s="133"/>
      <c r="AL4171" s="146"/>
      <c r="AM4171" s="143">
        <f>AM4163/((N_6*AM$27*AM4170)*SQRT(AM4169*AM4165*AM4167))</f>
        <v>14.398531553789297</v>
      </c>
      <c r="AN4171" s="133"/>
      <c r="AO4171" s="146"/>
      <c r="AP4171" s="143">
        <f>AP4163/((N_6*AP$27*AP4170)*SQRT(AP4169*AP4165*AP4167))</f>
        <v>10.624040926000562</v>
      </c>
      <c r="AQ4171" s="133"/>
      <c r="AR4171" s="146"/>
      <c r="AS4171" s="143">
        <f>AS4163/((N_6*AS$27*AS4170)*SQRT(AS4169*AS4165*AS4167))</f>
        <v>37.773799400457172</v>
      </c>
      <c r="AT4171" s="133"/>
      <c r="AU4171" s="146"/>
    </row>
    <row r="4172" spans="13:47" x14ac:dyDescent="0.25">
      <c r="M4172" s="27"/>
      <c r="N4172" s="27"/>
      <c r="O4172" s="2" t="s">
        <v>73</v>
      </c>
      <c r="P4172" s="85">
        <v>5</v>
      </c>
      <c r="Q4172" s="2"/>
      <c r="R4172" s="179">
        <f>R4163/((N_6*R$27*0.667)*SQRT(R4173*R4165*R4167))</f>
        <v>17.822513624589771</v>
      </c>
      <c r="S4172" s="133"/>
      <c r="T4172" s="155"/>
      <c r="U4172" s="143">
        <f>U4163/((N_6*U$27*0.667)*SQRT(U4173*U4165*U4167))</f>
        <v>53.283917297093915</v>
      </c>
      <c r="V4172" s="133"/>
      <c r="W4172" s="155"/>
      <c r="X4172" s="143">
        <f>X4163/((N_6*X$27*0.667)*SQRT(X4173*X4165*X4167))</f>
        <v>108.24107410366611</v>
      </c>
      <c r="Y4172" s="133"/>
      <c r="Z4172" s="155"/>
      <c r="AA4172" s="143">
        <f>AA4163/((N_6*AA$27*0.667)*SQRT(AA4173*AA4165*AA4167))</f>
        <v>30.253443106122841</v>
      </c>
      <c r="AB4172" s="133"/>
      <c r="AC4172" s="155"/>
      <c r="AD4172" s="143">
        <f>AD4163/((N_6*AD$27*0.667)*SQRT(AD4173*AD4165*AD4167))</f>
        <v>17.08556962806653</v>
      </c>
      <c r="AE4172" s="133"/>
      <c r="AF4172" s="155"/>
      <c r="AG4172" s="143">
        <f>AG4163/((N_6*AG$27*0.667)*SQRT(AG4173*AG4165*AG4167))</f>
        <v>12.455064220817839</v>
      </c>
      <c r="AH4172" s="133"/>
      <c r="AI4172" s="155"/>
      <c r="AJ4172" s="143">
        <f>AJ4163/((N_6*AJ$27*0.667)*SQRT(AJ4173*AJ4165*AJ4167))</f>
        <v>10.382106524576466</v>
      </c>
      <c r="AK4172" s="133"/>
      <c r="AL4172" s="155"/>
      <c r="AM4172" s="143">
        <f>AM4163/((N_6*AM$27*0.667)*SQRT(AM4173*AM4165*AM4167))</f>
        <v>9.77844467752751</v>
      </c>
      <c r="AN4172" s="133"/>
      <c r="AO4172" s="155"/>
      <c r="AP4172" s="143">
        <f>AP4163/((N_6*AP$27*0.667)*SQRT(AP4173*AP4165*AP4167))</f>
        <v>9.029059809365279</v>
      </c>
      <c r="AQ4172" s="133"/>
      <c r="AR4172" s="155"/>
      <c r="AS4172" s="143">
        <f>AS4163/((N_6*AS$27*0.667)*SQRT(AS4173*AS4165*AS4167))</f>
        <v>13.077056696987524</v>
      </c>
      <c r="AT4172" s="133"/>
      <c r="AU4172" s="155"/>
    </row>
    <row r="4173" spans="13:47" ht="15.5" x14ac:dyDescent="0.4">
      <c r="M4173" s="27"/>
      <c r="N4173" s="27"/>
      <c r="O4173" s="2" t="s">
        <v>192</v>
      </c>
      <c r="P4173" s="85">
        <v>10</v>
      </c>
      <c r="Q4173" s="2"/>
      <c r="R4173" s="181">
        <f>F_GAMMA*R$29</f>
        <v>0.64002688015162901</v>
      </c>
      <c r="S4173" s="133"/>
      <c r="T4173" s="155"/>
      <c r="U4173" s="138">
        <f>F_GAMMA*U$29</f>
        <v>0.64016782916606918</v>
      </c>
      <c r="V4173" s="133"/>
      <c r="W4173" s="155"/>
      <c r="X4173" s="138">
        <f>F_GAMMA*X$29</f>
        <v>0.6307062319203669</v>
      </c>
      <c r="Y4173" s="133"/>
      <c r="Z4173" s="155"/>
      <c r="AA4173" s="138">
        <f>F_GAMMA*AA$29</f>
        <v>0.62217534213893466</v>
      </c>
      <c r="AB4173" s="133"/>
      <c r="AC4173" s="155"/>
      <c r="AD4173" s="138">
        <f>F_GAMMA*AD$29</f>
        <v>0.60557184969146072</v>
      </c>
      <c r="AE4173" s="133"/>
      <c r="AF4173" s="155"/>
      <c r="AG4173" s="138">
        <f>F_GAMMA*AG$29</f>
        <v>0.57289312142622573</v>
      </c>
      <c r="AH4173" s="133"/>
      <c r="AI4173" s="155"/>
      <c r="AJ4173" s="138">
        <f>F_GAMMA*AJ$29</f>
        <v>0.53590819116049981</v>
      </c>
      <c r="AK4173" s="133"/>
      <c r="AL4173" s="155"/>
      <c r="AM4173" s="138">
        <f>F_GAMMA*AM$29</f>
        <v>0.49048815926850342</v>
      </c>
      <c r="AN4173" s="133"/>
      <c r="AO4173" s="155"/>
      <c r="AP4173" s="138">
        <f>F_GAMMA*AP$29</f>
        <v>0.59352979016280105</v>
      </c>
      <c r="AQ4173" s="133"/>
      <c r="AR4173" s="155"/>
      <c r="AS4173" s="138">
        <f>F_GAMMA*AS$29</f>
        <v>0.39097221161068291</v>
      </c>
      <c r="AT4173" s="133"/>
      <c r="AU4173" s="155"/>
    </row>
    <row r="4174" spans="13:47" x14ac:dyDescent="0.25">
      <c r="M4174" s="27"/>
      <c r="N4174" s="27"/>
      <c r="O4174" s="2" t="s">
        <v>193</v>
      </c>
      <c r="P4174" s="134"/>
      <c r="Q4174" s="2"/>
      <c r="R4174" s="181">
        <f>IF(R4169&lt;R4173,R4171,R4172)</f>
        <v>18.369109704068766</v>
      </c>
      <c r="S4174" s="133"/>
      <c r="T4174" s="155"/>
      <c r="U4174" s="138">
        <f>IF(U4169&lt;U4173,U4171,U4172)</f>
        <v>62.485122081889124</v>
      </c>
      <c r="V4174" s="133"/>
      <c r="W4174" s="155"/>
      <c r="X4174" s="138">
        <f>IF(X4169&lt;X4173,X4171,X4172)</f>
        <v>108.24107410366611</v>
      </c>
      <c r="Y4174" s="133"/>
      <c r="Z4174" s="155"/>
      <c r="AA4174" s="138">
        <f>IF(AA4169&lt;AA4173,AA4171,AA4172)</f>
        <v>30.253443106122841</v>
      </c>
      <c r="AB4174" s="133"/>
      <c r="AC4174" s="155"/>
      <c r="AD4174" s="138">
        <f>IF(AD4169&lt;AD4173,AD4171,AD4172)</f>
        <v>17.08556962806653</v>
      </c>
      <c r="AE4174" s="133"/>
      <c r="AF4174" s="155"/>
      <c r="AG4174" s="138">
        <f>IF(AG4169&lt;AG4173,AG4171,AG4172)</f>
        <v>12.455064220817839</v>
      </c>
      <c r="AH4174" s="133"/>
      <c r="AI4174" s="155"/>
      <c r="AJ4174" s="138">
        <f>IF(AJ4169&lt;AJ4173,AJ4171,AJ4172)</f>
        <v>10.382106524576466</v>
      </c>
      <c r="AK4174" s="133"/>
      <c r="AL4174" s="155"/>
      <c r="AM4174" s="138">
        <f>IF(AM4169&lt;AM4173,AM4171,AM4172)</f>
        <v>9.77844467752751</v>
      </c>
      <c r="AN4174" s="133"/>
      <c r="AO4174" s="155"/>
      <c r="AP4174" s="138">
        <f>IF(AP4169&lt;AP4173,AP4171,AP4172)</f>
        <v>9.029059809365279</v>
      </c>
      <c r="AQ4174" s="133"/>
      <c r="AR4174" s="155"/>
      <c r="AS4174" s="138">
        <f>IF(AS4169&lt;AS4173,AS4171,AS4172)</f>
        <v>13.077056696987524</v>
      </c>
      <c r="AT4174" s="133"/>
      <c r="AU4174" s="155"/>
    </row>
    <row r="4175" spans="13:47" ht="13" x14ac:dyDescent="0.3">
      <c r="M4175" s="28"/>
      <c r="N4175" s="28"/>
      <c r="O4175" s="9" t="s">
        <v>194</v>
      </c>
      <c r="P4175" s="1"/>
      <c r="Q4175" s="1"/>
      <c r="R4175" s="135"/>
      <c r="S4175" s="132">
        <f>IF(R4168&lt;=0,W_max,ABS(R$23-R4174))</f>
        <v>16.369109704068766</v>
      </c>
      <c r="T4175" s="151">
        <f>R4163</f>
        <v>3943.2667470407382</v>
      </c>
      <c r="U4175" s="135"/>
      <c r="V4175" s="132">
        <f>IF(U4168&lt;=0,W_max,ABS(U$23-U4174))</f>
        <v>57.485122081889124</v>
      </c>
      <c r="W4175" s="151">
        <f>U4163</f>
        <v>8746.6726291010746</v>
      </c>
      <c r="X4175" s="135"/>
      <c r="Y4175" s="132">
        <f>IF(X4168&lt;=0,W_max,ABS(X$23-X4174))</f>
        <v>7174</v>
      </c>
      <c r="Z4175" s="151">
        <f>X4163</f>
        <v>21631.56227801113</v>
      </c>
      <c r="AA4175" s="135"/>
      <c r="AB4175" s="132">
        <f>IF(AA4168&lt;=0,W_max,ABS(AA$23-AA4174))</f>
        <v>7174</v>
      </c>
      <c r="AC4175" s="151">
        <f>AA4163</f>
        <v>42132.761960510732</v>
      </c>
      <c r="AD4175" s="135"/>
      <c r="AE4175" s="132">
        <f>IF(AD4168&lt;=0,W_max,ABS(AD$23-AD4174))</f>
        <v>7174</v>
      </c>
      <c r="AF4175" s="151">
        <f>AD4163</f>
        <v>69292.881062429384</v>
      </c>
      <c r="AG4175" s="135"/>
      <c r="AH4175" s="132">
        <f>IF(AG4168&lt;=0,W_max,ABS(AG$23-AG4174))</f>
        <v>7174</v>
      </c>
      <c r="AI4175" s="151">
        <f>AG4163</f>
        <v>97188.600283548803</v>
      </c>
      <c r="AJ4175" s="135"/>
      <c r="AK4175" s="132">
        <f>IF(AJ4168&lt;=0,W_max,ABS(AJ$23-AJ4174))</f>
        <v>7174</v>
      </c>
      <c r="AL4175" s="151">
        <f>AJ4163</f>
        <v>123403.73322234057</v>
      </c>
      <c r="AM4175" s="135"/>
      <c r="AN4175" s="132">
        <f>IF(AM4168&lt;=0,W_max,ABS(AM$23-AM4174))</f>
        <v>7174</v>
      </c>
      <c r="AO4175" s="151">
        <f>AM4163</f>
        <v>144700.58228037774</v>
      </c>
      <c r="AP4175" s="135"/>
      <c r="AQ4175" s="132">
        <f>IF(AP4168&lt;=0,W_max,ABS(AP$23-AP4174))</f>
        <v>7174</v>
      </c>
      <c r="AR4175" s="151">
        <f>AP4163</f>
        <v>161437.85939425768</v>
      </c>
      <c r="AS4175" s="135"/>
      <c r="AT4175" s="132">
        <f>IF(AS4168&lt;=0,W_max,ABS(AS$23-AS4174))</f>
        <v>7174</v>
      </c>
      <c r="AU4175" s="151">
        <f>AS4163</f>
        <v>180111.10967957933</v>
      </c>
    </row>
    <row r="4176" spans="13:47" ht="13" x14ac:dyDescent="0.25">
      <c r="M4176" s="12"/>
      <c r="N4176" s="12"/>
      <c r="O4176" s="2"/>
      <c r="P4176" s="85"/>
      <c r="Q4176" s="2"/>
      <c r="R4176" s="18"/>
      <c r="S4176" s="150"/>
      <c r="T4176" s="152"/>
      <c r="U4176" s="157"/>
      <c r="V4176" s="1"/>
      <c r="W4176" s="147"/>
      <c r="X4176" s="157"/>
      <c r="Y4176" s="1"/>
      <c r="Z4176" s="147"/>
      <c r="AA4176" s="157"/>
      <c r="AB4176" s="1"/>
      <c r="AC4176" s="147"/>
      <c r="AD4176" s="157"/>
      <c r="AE4176" s="1"/>
      <c r="AF4176" s="147"/>
      <c r="AG4176" s="157"/>
      <c r="AH4176" s="1"/>
      <c r="AI4176" s="147"/>
      <c r="AJ4176" s="157"/>
      <c r="AK4176" s="1"/>
      <c r="AL4176" s="147"/>
      <c r="AM4176" s="157"/>
      <c r="AN4176" s="1"/>
      <c r="AO4176" s="147"/>
      <c r="AP4176" s="157"/>
      <c r="AQ4176" s="1"/>
      <c r="AR4176" s="147"/>
      <c r="AS4176" s="157"/>
      <c r="AT4176" s="1"/>
      <c r="AU4176" s="147"/>
    </row>
    <row r="4177" spans="13:47" ht="14" x14ac:dyDescent="0.3">
      <c r="M4177" s="23"/>
      <c r="N4177" s="23"/>
      <c r="O4177" s="23" t="s">
        <v>238</v>
      </c>
      <c r="P4177" s="20"/>
      <c r="Q4177" s="20"/>
      <c r="R4177" s="181">
        <f>R4163*1.02</f>
        <v>4022.1320819815533</v>
      </c>
      <c r="S4177" s="128" t="s">
        <v>185</v>
      </c>
      <c r="T4177" s="153" t="s">
        <v>186</v>
      </c>
      <c r="U4177" s="143">
        <f>U4163*1.01</f>
        <v>8834.1393553920861</v>
      </c>
      <c r="V4177" s="128" t="s">
        <v>185</v>
      </c>
      <c r="W4177" s="153" t="s">
        <v>186</v>
      </c>
      <c r="X4177" s="143">
        <f>X4163*1.01</f>
        <v>21847.877900791242</v>
      </c>
      <c r="Y4177" s="128" t="s">
        <v>185</v>
      </c>
      <c r="Z4177" s="153" t="s">
        <v>186</v>
      </c>
      <c r="AA4177" s="143">
        <f>AA4163*1.01</f>
        <v>42554.08958011584</v>
      </c>
      <c r="AB4177" s="128" t="s">
        <v>185</v>
      </c>
      <c r="AC4177" s="153" t="s">
        <v>186</v>
      </c>
      <c r="AD4177" s="143">
        <f>AD4163*1.01</f>
        <v>69985.809873053673</v>
      </c>
      <c r="AE4177" s="128" t="s">
        <v>185</v>
      </c>
      <c r="AF4177" s="153" t="s">
        <v>186</v>
      </c>
      <c r="AG4177" s="143">
        <f>AG4163*1.01</f>
        <v>98160.486286384286</v>
      </c>
      <c r="AH4177" s="128" t="s">
        <v>185</v>
      </c>
      <c r="AI4177" s="153" t="s">
        <v>186</v>
      </c>
      <c r="AJ4177" s="143">
        <f>AJ4163*1.01</f>
        <v>124637.77055456398</v>
      </c>
      <c r="AK4177" s="128" t="s">
        <v>185</v>
      </c>
      <c r="AL4177" s="153" t="s">
        <v>186</v>
      </c>
      <c r="AM4177" s="143">
        <f>AM4163*1.01</f>
        <v>146147.58810318151</v>
      </c>
      <c r="AN4177" s="128" t="s">
        <v>185</v>
      </c>
      <c r="AO4177" s="153" t="s">
        <v>186</v>
      </c>
      <c r="AP4177" s="143">
        <f>AP4163*1.01</f>
        <v>163052.23798820027</v>
      </c>
      <c r="AQ4177" s="128" t="s">
        <v>185</v>
      </c>
      <c r="AR4177" s="153" t="s">
        <v>186</v>
      </c>
      <c r="AS4177" s="143">
        <f>AS4163*1.01</f>
        <v>181912.22077637512</v>
      </c>
      <c r="AT4177" s="128" t="s">
        <v>185</v>
      </c>
      <c r="AU4177" s="153" t="s">
        <v>186</v>
      </c>
    </row>
    <row r="4178" spans="13:47" ht="14" x14ac:dyDescent="0.3">
      <c r="M4178" s="12"/>
      <c r="N4178" s="12"/>
      <c r="O4178" s="20"/>
      <c r="P4178" s="20"/>
      <c r="Q4178" s="23"/>
      <c r="R4178" s="139"/>
      <c r="S4178" s="130" t="s">
        <v>228</v>
      </c>
      <c r="T4178" s="154" t="s">
        <v>187</v>
      </c>
      <c r="U4178" s="144"/>
      <c r="V4178" s="130" t="s">
        <v>228</v>
      </c>
      <c r="W4178" s="154" t="s">
        <v>187</v>
      </c>
      <c r="X4178" s="144"/>
      <c r="Y4178" s="130" t="s">
        <v>228</v>
      </c>
      <c r="Z4178" s="154" t="s">
        <v>187</v>
      </c>
      <c r="AA4178" s="144"/>
      <c r="AB4178" s="130" t="s">
        <v>228</v>
      </c>
      <c r="AC4178" s="154" t="s">
        <v>187</v>
      </c>
      <c r="AD4178" s="144"/>
      <c r="AE4178" s="130" t="s">
        <v>228</v>
      </c>
      <c r="AF4178" s="154" t="s">
        <v>187</v>
      </c>
      <c r="AG4178" s="144"/>
      <c r="AH4178" s="130" t="s">
        <v>228</v>
      </c>
      <c r="AI4178" s="154" t="s">
        <v>187</v>
      </c>
      <c r="AJ4178" s="144"/>
      <c r="AK4178" s="130" t="s">
        <v>228</v>
      </c>
      <c r="AL4178" s="154" t="s">
        <v>187</v>
      </c>
      <c r="AM4178" s="144"/>
      <c r="AN4178" s="130" t="s">
        <v>228</v>
      </c>
      <c r="AO4178" s="154" t="s">
        <v>187</v>
      </c>
      <c r="AP4178" s="144"/>
      <c r="AQ4178" s="130" t="s">
        <v>228</v>
      </c>
      <c r="AR4178" s="154" t="s">
        <v>187</v>
      </c>
      <c r="AS4178" s="144"/>
      <c r="AT4178" s="130" t="s">
        <v>228</v>
      </c>
      <c r="AU4178" s="154" t="s">
        <v>187</v>
      </c>
    </row>
    <row r="4179" spans="13:47" x14ac:dyDescent="0.25">
      <c r="M4179" s="20"/>
      <c r="N4179" s="20"/>
      <c r="O4179" s="7" t="s">
        <v>188</v>
      </c>
      <c r="P4179" s="7"/>
      <c r="Q4179" s="7"/>
      <c r="R4179" s="181">
        <f>P_1_minW-(R4177^2*R_up)+dpup_minQ</f>
        <v>94.071798589980034</v>
      </c>
      <c r="S4179" s="132"/>
      <c r="T4179" s="145"/>
      <c r="U4179" s="138">
        <f>P_1_minW-(U4177^2*R_up)+dpup_minQ</f>
        <v>69.402608253126957</v>
      </c>
      <c r="V4179" s="132"/>
      <c r="W4179" s="145"/>
      <c r="X4179" s="138">
        <f>P_1_minW-(X4177^2*R_up)+dpup_minQ</f>
        <v>-89.81810848394808</v>
      </c>
      <c r="Y4179" s="132"/>
      <c r="Z4179" s="145"/>
      <c r="AA4179" s="138">
        <f>P_1_minW-(AA4177^2*R_up)+dpup_minQ</f>
        <v>-621.57530025820165</v>
      </c>
      <c r="AB4179" s="132"/>
      <c r="AC4179" s="145"/>
      <c r="AD4179" s="138">
        <f>P_1_minW-(AD4177^2*R_up)+dpup_minQ</f>
        <v>-1852.6181051659846</v>
      </c>
      <c r="AE4179" s="132"/>
      <c r="AF4179" s="145"/>
      <c r="AG4179" s="138">
        <f>P_1_minW-(AG4177^2*R_up)+dpup_minQ</f>
        <v>-3741.7393397071974</v>
      </c>
      <c r="AH4179" s="132"/>
      <c r="AI4179" s="145"/>
      <c r="AJ4179" s="138">
        <f>P_1_minW-(AJ4177^2*R_up)+dpup_minQ</f>
        <v>-6094.0724108078475</v>
      </c>
      <c r="AK4179" s="132"/>
      <c r="AL4179" s="145"/>
      <c r="AM4179" s="138">
        <f>P_1_minW-(AM4177^2*R_up)+dpup_minQ</f>
        <v>-8416.6781374006896</v>
      </c>
      <c r="AN4179" s="132"/>
      <c r="AO4179" s="145"/>
      <c r="AP4179" s="138">
        <f>P_1_minW-(AP4177^2*R_up)+dpup_minQ</f>
        <v>-10500.972284222325</v>
      </c>
      <c r="AQ4179" s="132"/>
      <c r="AR4179" s="145"/>
      <c r="AS4179" s="138">
        <f>P_1_minW-(AS4177^2*R_up)+dpup_minQ</f>
        <v>-13095.32626515722</v>
      </c>
      <c r="AT4179" s="132"/>
      <c r="AU4179" s="145"/>
    </row>
    <row r="4180" spans="13:47" x14ac:dyDescent="0.25">
      <c r="M4180" s="20"/>
      <c r="N4180" s="20"/>
      <c r="O4180" s="7" t="s">
        <v>189</v>
      </c>
      <c r="P4180" s="1"/>
      <c r="Q4180" s="7"/>
      <c r="R4180" s="181">
        <f>P_2_minW+(R4177^2*R_dn)-dpdn_minQ</f>
        <v>50</v>
      </c>
      <c r="S4180" s="132"/>
      <c r="T4180" s="146"/>
      <c r="U4180" s="138">
        <f>P_2_minW+(U4177^2*R_dn)-dpdn_minQ</f>
        <v>50</v>
      </c>
      <c r="V4180" s="132"/>
      <c r="W4180" s="146"/>
      <c r="X4180" s="138">
        <f>P_2_minW+(X4177^2*R_dn)-dpdn_minQ</f>
        <v>50</v>
      </c>
      <c r="Y4180" s="132"/>
      <c r="Z4180" s="146"/>
      <c r="AA4180" s="138">
        <f>P_2_minW+(AA4177^2*R_dn)-dpdn_minQ</f>
        <v>50</v>
      </c>
      <c r="AB4180" s="132"/>
      <c r="AC4180" s="146"/>
      <c r="AD4180" s="138">
        <f>P_2_minW+(AD4177^2*R_dn)-dpdn_minQ</f>
        <v>50</v>
      </c>
      <c r="AE4180" s="132"/>
      <c r="AF4180" s="146"/>
      <c r="AG4180" s="138">
        <f>P_2_minW+(AG4177^2*R_dn)-dpdn_minQ</f>
        <v>50</v>
      </c>
      <c r="AH4180" s="132"/>
      <c r="AI4180" s="146"/>
      <c r="AJ4180" s="138">
        <f>P_2_minW+(AJ4177^2*R_dn)-dpdn_minQ</f>
        <v>50</v>
      </c>
      <c r="AK4180" s="132"/>
      <c r="AL4180" s="146"/>
      <c r="AM4180" s="138">
        <f>P_2_minW+(AM4177^2*R_dn)-dpdn_minQ</f>
        <v>50</v>
      </c>
      <c r="AN4180" s="132"/>
      <c r="AO4180" s="146"/>
      <c r="AP4180" s="138">
        <f>P_2_minW+(AP4177^2*R_dn)-dpdn_minQ</f>
        <v>50</v>
      </c>
      <c r="AQ4180" s="132"/>
      <c r="AR4180" s="146"/>
      <c r="AS4180" s="138">
        <f>P_2_minW+(AS4177^2*R_dn)-dpdn_minQ</f>
        <v>50</v>
      </c>
      <c r="AT4180" s="132"/>
      <c r="AU4180" s="146"/>
    </row>
    <row r="4181" spans="13:47" x14ac:dyDescent="0.25">
      <c r="M4181" s="20"/>
      <c r="N4181" s="20"/>
      <c r="O4181" s="7" t="s">
        <v>234</v>
      </c>
      <c r="P4181" s="1"/>
      <c r="Q4181" s="7"/>
      <c r="R4181" s="179">
        <f>'Valve Sizing'!G$8*R4179/P_1_maxW</f>
        <v>0.4537856079466337</v>
      </c>
      <c r="S4181" s="132"/>
      <c r="T4181" s="146"/>
      <c r="U4181" s="143">
        <f>'Valve Sizing'!$G$8*U4179/P_1_maxW</f>
        <v>0.33478582584028344</v>
      </c>
      <c r="V4181" s="132"/>
      <c r="W4181" s="146"/>
      <c r="X4181" s="143">
        <f>'Valve Sizing'!$G$8*X4179/P_1_maxW</f>
        <v>-0.4332665641979806</v>
      </c>
      <c r="Y4181" s="132"/>
      <c r="Z4181" s="146"/>
      <c r="AA4181" s="143">
        <f>'Valve Sizing'!$G$8*AA4179/P_1_maxW</f>
        <v>-2.9983685837842904</v>
      </c>
      <c r="AB4181" s="132"/>
      <c r="AC4181" s="146"/>
      <c r="AD4181" s="143">
        <f>'Valve Sizing'!$G$8*AD4179/P_1_maxW</f>
        <v>-8.9366999009970289</v>
      </c>
      <c r="AE4181" s="132"/>
      <c r="AF4181" s="146"/>
      <c r="AG4181" s="143">
        <f>'Valve Sizing'!$G$8*AG4179/P_1_maxW</f>
        <v>-18.049484399118544</v>
      </c>
      <c r="AH4181" s="132"/>
      <c r="AI4181" s="146"/>
      <c r="AJ4181" s="143">
        <f>'Valve Sizing'!$G$8*AJ4179/P_1_maxW</f>
        <v>-29.396720327018404</v>
      </c>
      <c r="AK4181" s="132"/>
      <c r="AL4181" s="146"/>
      <c r="AM4181" s="143">
        <f>'Valve Sizing'!$G$8*AM4179/P_1_maxW</f>
        <v>-40.600556837640063</v>
      </c>
      <c r="AN4181" s="132"/>
      <c r="AO4181" s="146"/>
      <c r="AP4181" s="143">
        <f>'Valve Sizing'!$G$8*AP4179/P_1_maxW</f>
        <v>-50.654820716207063</v>
      </c>
      <c r="AQ4181" s="132"/>
      <c r="AR4181" s="146"/>
      <c r="AS4181" s="143">
        <f>'Valve Sizing'!$G$8*AS4179/P_1_maxW</f>
        <v>-63.169522423980176</v>
      </c>
      <c r="AT4181" s="132"/>
      <c r="AU4181" s="146"/>
    </row>
    <row r="4182" spans="13:47" x14ac:dyDescent="0.25">
      <c r="M4182" s="20"/>
      <c r="N4182" s="20"/>
      <c r="O4182" s="7" t="s">
        <v>190</v>
      </c>
      <c r="P4182" s="1"/>
      <c r="Q4182" s="7"/>
      <c r="R4182" s="181">
        <f>R4179-R4180</f>
        <v>44.071798589980034</v>
      </c>
      <c r="S4182" s="132"/>
      <c r="T4182" s="146"/>
      <c r="U4182" s="138">
        <f>U4179-U4180</f>
        <v>19.402608253126957</v>
      </c>
      <c r="V4182" s="132"/>
      <c r="W4182" s="146"/>
      <c r="X4182" s="138">
        <f>X4179-X4180</f>
        <v>-139.81810848394809</v>
      </c>
      <c r="Y4182" s="132"/>
      <c r="Z4182" s="146"/>
      <c r="AA4182" s="138">
        <f>AA4179-AA4180</f>
        <v>-671.57530025820165</v>
      </c>
      <c r="AB4182" s="132"/>
      <c r="AC4182" s="146"/>
      <c r="AD4182" s="138">
        <f>AD4179-AD4180</f>
        <v>-1902.6181051659846</v>
      </c>
      <c r="AE4182" s="132"/>
      <c r="AF4182" s="146"/>
      <c r="AG4182" s="138">
        <f>AG4179-AG4180</f>
        <v>-3791.7393397071974</v>
      </c>
      <c r="AH4182" s="132"/>
      <c r="AI4182" s="146"/>
      <c r="AJ4182" s="138">
        <f>AJ4179-AJ4180</f>
        <v>-6144.0724108078475</v>
      </c>
      <c r="AK4182" s="132"/>
      <c r="AL4182" s="146"/>
      <c r="AM4182" s="138">
        <f>AM4179-AM4180</f>
        <v>-8466.6781374006896</v>
      </c>
      <c r="AN4182" s="132"/>
      <c r="AO4182" s="146"/>
      <c r="AP4182" s="138">
        <f>AP4179-AP4180</f>
        <v>-10550.972284222325</v>
      </c>
      <c r="AQ4182" s="132"/>
      <c r="AR4182" s="146"/>
      <c r="AS4182" s="138">
        <f>AS4179-AS4180</f>
        <v>-13145.32626515722</v>
      </c>
      <c r="AT4182" s="132"/>
      <c r="AU4182" s="146"/>
    </row>
    <row r="4183" spans="13:47" ht="14.5" x14ac:dyDescent="0.35">
      <c r="M4183" s="27"/>
      <c r="N4183" s="27"/>
      <c r="O4183" s="2" t="s">
        <v>191</v>
      </c>
      <c r="P4183" s="10"/>
      <c r="Q4183" s="2"/>
      <c r="R4183" s="181">
        <f>R4182/R4179</f>
        <v>0.46849108075493201</v>
      </c>
      <c r="S4183" s="132"/>
      <c r="T4183" s="146"/>
      <c r="U4183" s="138">
        <f>U4182/U4179</f>
        <v>0.27956598089745088</v>
      </c>
      <c r="V4183" s="132"/>
      <c r="W4183" s="146"/>
      <c r="X4183" s="138">
        <f>X4182/X4179</f>
        <v>1.5566806164587157</v>
      </c>
      <c r="Y4183" s="132"/>
      <c r="Z4183" s="146"/>
      <c r="AA4183" s="138">
        <f>AA4182/AA4179</f>
        <v>1.0804407768121256</v>
      </c>
      <c r="AB4183" s="132"/>
      <c r="AC4183" s="146"/>
      <c r="AD4183" s="138">
        <f>AD4182/AD4179</f>
        <v>1.0269888326474712</v>
      </c>
      <c r="AE4183" s="132"/>
      <c r="AF4183" s="146"/>
      <c r="AG4183" s="138">
        <f>AG4182/AG4179</f>
        <v>1.0133627694129845</v>
      </c>
      <c r="AH4183" s="132"/>
      <c r="AI4183" s="146"/>
      <c r="AJ4183" s="138">
        <f>AJ4182/AJ4179</f>
        <v>1.0082046941075602</v>
      </c>
      <c r="AK4183" s="132"/>
      <c r="AL4183" s="146"/>
      <c r="AM4183" s="138">
        <f>AM4182/AM4179</f>
        <v>1.005940585963222</v>
      </c>
      <c r="AN4183" s="132"/>
      <c r="AO4183" s="146"/>
      <c r="AP4183" s="138">
        <f>AP4182/AP4179</f>
        <v>1.0047614638575062</v>
      </c>
      <c r="AQ4183" s="132"/>
      <c r="AR4183" s="146"/>
      <c r="AS4183" s="138">
        <f>AS4182/AS4179</f>
        <v>1.0038181561106296</v>
      </c>
      <c r="AT4183" s="132"/>
      <c r="AU4183" s="146"/>
    </row>
    <row r="4184" spans="13:47" x14ac:dyDescent="0.25">
      <c r="M4184" s="27"/>
      <c r="N4184" s="27"/>
      <c r="O4184" s="2" t="s">
        <v>26</v>
      </c>
      <c r="P4184" s="7">
        <v>12</v>
      </c>
      <c r="Q4184" s="2"/>
      <c r="R4184" s="181">
        <f>1-R4183/(3*F_GAMMA*R$29)</f>
        <v>0.75600447664326142</v>
      </c>
      <c r="S4184" s="133"/>
      <c r="T4184" s="146"/>
      <c r="U4184" s="138">
        <f>1-U4183/(3*F_GAMMA*U$29)</f>
        <v>0.85443089131713346</v>
      </c>
      <c r="V4184" s="133"/>
      <c r="W4184" s="146"/>
      <c r="X4184" s="138">
        <f>1-X4183/(3*F_GAMMA*X$29)</f>
        <v>0.17728173187753204</v>
      </c>
      <c r="Y4184" s="133"/>
      <c r="Z4184" s="146"/>
      <c r="AA4184" s="138">
        <f>1-AA4183/(3*F_GAMMA*AA$29)</f>
        <v>0.42114882861490943</v>
      </c>
      <c r="AB4184" s="133"/>
      <c r="AC4184" s="146"/>
      <c r="AD4184" s="138">
        <f>1-AD4183/(3*F_GAMMA*AD$29)</f>
        <v>0.43470025719176419</v>
      </c>
      <c r="AE4184" s="133"/>
      <c r="AF4184" s="146"/>
      <c r="AG4184" s="138">
        <f>1-AG4183/(3*F_GAMMA*AG$29)</f>
        <v>0.41038288439665493</v>
      </c>
      <c r="AH4184" s="133"/>
      <c r="AI4184" s="146"/>
      <c r="AJ4184" s="138">
        <f>1-AJ4183/(3*F_GAMMA*AJ$29)</f>
        <v>0.37289961804570126</v>
      </c>
      <c r="AK4184" s="133"/>
      <c r="AL4184" s="146"/>
      <c r="AM4184" s="138">
        <f>1-AM4183/(3*F_GAMMA*AM$29)</f>
        <v>0.3163677403456957</v>
      </c>
      <c r="AN4184" s="133"/>
      <c r="AO4184" s="146"/>
      <c r="AP4184" s="138">
        <f>1-AP4183/(3*F_GAMMA*AP$29)</f>
        <v>0.43571410651412168</v>
      </c>
      <c r="AQ4184" s="133"/>
      <c r="AR4184" s="146"/>
      <c r="AS4184" s="138">
        <f>1-AS4183/(3*F_GAMMA*AS$29)</f>
        <v>0.1441692220058185</v>
      </c>
      <c r="AT4184" s="133"/>
      <c r="AU4184" s="146"/>
    </row>
    <row r="4185" spans="13:47" x14ac:dyDescent="0.25">
      <c r="M4185" s="27"/>
      <c r="N4185" s="27"/>
      <c r="O4185" s="2" t="s">
        <v>71</v>
      </c>
      <c r="P4185" s="85">
        <v>5</v>
      </c>
      <c r="Q4185" s="2"/>
      <c r="R4185" s="179">
        <f>R4177/((N_6*R$27*R4184)*SQRT(R4183*R4179*R4181))</f>
        <v>18.796369092235466</v>
      </c>
      <c r="S4185" s="133"/>
      <c r="T4185" s="146"/>
      <c r="U4185" s="143">
        <f>U4177/((N_6*U$27*U4184)*SQRT(U4183*U4179*U4181))</f>
        <v>64.134457894229598</v>
      </c>
      <c r="V4185" s="133"/>
      <c r="W4185" s="146"/>
      <c r="X4185" s="143">
        <f>X4177/((N_6*X$27*X4184)*SQRT(X4183*X4179*X4181))</f>
        <v>250.87946320294213</v>
      </c>
      <c r="Y4185" s="133"/>
      <c r="Z4185" s="146"/>
      <c r="AA4185" s="143">
        <f>AA4177/((N_6*AA$27*AA4184)*SQRT(AA4183*AA4179*AA4181))</f>
        <v>35.882736663739813</v>
      </c>
      <c r="AB4185" s="133"/>
      <c r="AC4185" s="146"/>
      <c r="AD4185" s="143">
        <f>AD4177/((N_6*AD$27*AD4184)*SQRT(AD4183*AD4179*AD4181))</f>
        <v>19.909946556915212</v>
      </c>
      <c r="AE4185" s="133"/>
      <c r="AF4185" s="146"/>
      <c r="AG4185" s="143">
        <f>AG4177/((N_6*AG$27*AG4184)*SQRT(AG4183*AG4179*AG4181))</f>
        <v>15.061941090390912</v>
      </c>
      <c r="AH4185" s="133"/>
      <c r="AI4185" s="146"/>
      <c r="AJ4185" s="143">
        <f>AJ4177/((N_6*AJ$27*AJ4184)*SQRT(AJ4183*AJ4179*AJ4181))</f>
        <v>13.400617981025297</v>
      </c>
      <c r="AK4185" s="133"/>
      <c r="AL4185" s="146"/>
      <c r="AM4185" s="143">
        <f>AM4177/((N_6*AM$27*AM4184)*SQRT(AM4183*AM4179*AM4181))</f>
        <v>14.249705204792338</v>
      </c>
      <c r="AN4185" s="133"/>
      <c r="AO4185" s="146"/>
      <c r="AP4185" s="143">
        <f>AP4177/((N_6*AP$27*AP4184)*SQRT(AP4183*AP4179*AP4181))</f>
        <v>10.516024126811811</v>
      </c>
      <c r="AQ4185" s="133"/>
      <c r="AR4185" s="146"/>
      <c r="AS4185" s="143">
        <f>AS4177/((N_6*AS$27*AS4184)*SQRT(AS4183*AS4179*AS4181))</f>
        <v>37.37836673215206</v>
      </c>
      <c r="AT4185" s="133"/>
      <c r="AU4185" s="146"/>
    </row>
    <row r="4186" spans="13:47" x14ac:dyDescent="0.25">
      <c r="M4186" s="27"/>
      <c r="N4186" s="27"/>
      <c r="O4186" s="2" t="s">
        <v>73</v>
      </c>
      <c r="P4186" s="85">
        <v>5</v>
      </c>
      <c r="Q4186" s="2"/>
      <c r="R4186" s="179">
        <f>R4177/((N_6*R$27*0.667)*SQRT(R4187*R4179*R4181))</f>
        <v>18.22737187536773</v>
      </c>
      <c r="S4186" s="133"/>
      <c r="T4186" s="155"/>
      <c r="U4186" s="143">
        <f>U4177/((N_6*U$27*0.667)*SQRT(U4187*U4179*U4181))</f>
        <v>54.292241793281342</v>
      </c>
      <c r="V4186" s="133"/>
      <c r="W4186" s="155"/>
      <c r="X4186" s="143">
        <f>X4177/((N_6*X$27*0.667)*SQRT(X4187*X4179*X4181))</f>
        <v>104.75854583370823</v>
      </c>
      <c r="Y4186" s="133"/>
      <c r="Z4186" s="155"/>
      <c r="AA4186" s="143">
        <f>AA4177/((N_6*AA$27*0.667)*SQRT(AA4187*AA4179*AA4181))</f>
        <v>29.856535165558533</v>
      </c>
      <c r="AB4186" s="133"/>
      <c r="AC4186" s="155"/>
      <c r="AD4186" s="143">
        <f>AD4177/((N_6*AD$27*0.667)*SQRT(AD4187*AD4179*AD4181))</f>
        <v>16.897956150456487</v>
      </c>
      <c r="AE4186" s="133"/>
      <c r="AF4186" s="155"/>
      <c r="AG4186" s="143">
        <f>AG4177/((N_6*AG$27*0.667)*SQRT(AG4187*AG4179*AG4181))</f>
        <v>12.325087712963843</v>
      </c>
      <c r="AH4186" s="133"/>
      <c r="AI4186" s="155"/>
      <c r="AJ4186" s="143">
        <f>AJ4177/((N_6*AJ$27*0.667)*SQRT(AJ4187*AJ4179*AJ4181))</f>
        <v>10.275905253437703</v>
      </c>
      <c r="AK4186" s="133"/>
      <c r="AL4186" s="155"/>
      <c r="AM4186" s="143">
        <f>AM4177/((N_6*AM$27*0.667)*SQRT(AM4187*AM4179*AM4181))</f>
        <v>9.6793042215806473</v>
      </c>
      <c r="AN4186" s="133"/>
      <c r="AO4186" s="155"/>
      <c r="AP4186" s="143">
        <f>AP4177/((N_6*AP$27*0.667)*SQRT(AP4187*AP4179*AP4181))</f>
        <v>8.9379430834306159</v>
      </c>
      <c r="AQ4186" s="133"/>
      <c r="AR4186" s="155"/>
      <c r="AS4186" s="143">
        <f>AS4177/((N_6*AS$27*0.667)*SQRT(AS4187*AS4179*AS4181))</f>
        <v>12.945583176067142</v>
      </c>
      <c r="AT4186" s="133"/>
      <c r="AU4186" s="155"/>
    </row>
    <row r="4187" spans="13:47" ht="15.5" x14ac:dyDescent="0.4">
      <c r="M4187" s="27"/>
      <c r="N4187" s="27"/>
      <c r="O4187" s="2" t="s">
        <v>192</v>
      </c>
      <c r="P4187" s="85">
        <v>10</v>
      </c>
      <c r="Q4187" s="2"/>
      <c r="R4187" s="181">
        <f>F_GAMMA*R$29</f>
        <v>0.64002688015162901</v>
      </c>
      <c r="S4187" s="133"/>
      <c r="T4187" s="155"/>
      <c r="U4187" s="138">
        <f>F_GAMMA*U$29</f>
        <v>0.64016782916606918</v>
      </c>
      <c r="V4187" s="133"/>
      <c r="W4187" s="155"/>
      <c r="X4187" s="138">
        <f>F_GAMMA*X$29</f>
        <v>0.6307062319203669</v>
      </c>
      <c r="Y4187" s="133"/>
      <c r="Z4187" s="155"/>
      <c r="AA4187" s="138">
        <f>F_GAMMA*AA$29</f>
        <v>0.62217534213893466</v>
      </c>
      <c r="AB4187" s="133"/>
      <c r="AC4187" s="155"/>
      <c r="AD4187" s="138">
        <f>F_GAMMA*AD$29</f>
        <v>0.60557184969146072</v>
      </c>
      <c r="AE4187" s="133"/>
      <c r="AF4187" s="155"/>
      <c r="AG4187" s="138">
        <f>F_GAMMA*AG$29</f>
        <v>0.57289312142622573</v>
      </c>
      <c r="AH4187" s="133"/>
      <c r="AI4187" s="155"/>
      <c r="AJ4187" s="138">
        <f>F_GAMMA*AJ$29</f>
        <v>0.53590819116049981</v>
      </c>
      <c r="AK4187" s="133"/>
      <c r="AL4187" s="155"/>
      <c r="AM4187" s="138">
        <f>F_GAMMA*AM$29</f>
        <v>0.49048815926850342</v>
      </c>
      <c r="AN4187" s="133"/>
      <c r="AO4187" s="155"/>
      <c r="AP4187" s="138">
        <f>F_GAMMA*AP$29</f>
        <v>0.59352979016280105</v>
      </c>
      <c r="AQ4187" s="133"/>
      <c r="AR4187" s="155"/>
      <c r="AS4187" s="138">
        <f>F_GAMMA*AS$29</f>
        <v>0.39097221161068291</v>
      </c>
      <c r="AT4187" s="133"/>
      <c r="AU4187" s="155"/>
    </row>
    <row r="4188" spans="13:47" x14ac:dyDescent="0.25">
      <c r="M4188" s="27"/>
      <c r="N4188" s="27"/>
      <c r="O4188" s="2" t="s">
        <v>193</v>
      </c>
      <c r="P4188" s="134"/>
      <c r="Q4188" s="2"/>
      <c r="R4188" s="181">
        <f>IF(R4183&lt;R4187,R4185,R4186)</f>
        <v>18.796369092235466</v>
      </c>
      <c r="S4188" s="133"/>
      <c r="T4188" s="155"/>
      <c r="U4188" s="138">
        <f>IF(U4183&lt;U4187,U4185,U4186)</f>
        <v>64.134457894229598</v>
      </c>
      <c r="V4188" s="133"/>
      <c r="W4188" s="155"/>
      <c r="X4188" s="138">
        <f>IF(X4183&lt;X4187,X4185,X4186)</f>
        <v>104.75854583370823</v>
      </c>
      <c r="Y4188" s="133"/>
      <c r="Z4188" s="155"/>
      <c r="AA4188" s="138">
        <f>IF(AA4183&lt;AA4187,AA4185,AA4186)</f>
        <v>29.856535165558533</v>
      </c>
      <c r="AB4188" s="133"/>
      <c r="AC4188" s="155"/>
      <c r="AD4188" s="138">
        <f>IF(AD4183&lt;AD4187,AD4185,AD4186)</f>
        <v>16.897956150456487</v>
      </c>
      <c r="AE4188" s="133"/>
      <c r="AF4188" s="155"/>
      <c r="AG4188" s="138">
        <f>IF(AG4183&lt;AG4187,AG4185,AG4186)</f>
        <v>12.325087712963843</v>
      </c>
      <c r="AH4188" s="133"/>
      <c r="AI4188" s="155"/>
      <c r="AJ4188" s="138">
        <f>IF(AJ4183&lt;AJ4187,AJ4185,AJ4186)</f>
        <v>10.275905253437703</v>
      </c>
      <c r="AK4188" s="133"/>
      <c r="AL4188" s="155"/>
      <c r="AM4188" s="138">
        <f>IF(AM4183&lt;AM4187,AM4185,AM4186)</f>
        <v>9.6793042215806473</v>
      </c>
      <c r="AN4188" s="133"/>
      <c r="AO4188" s="155"/>
      <c r="AP4188" s="138">
        <f>IF(AP4183&lt;AP4187,AP4185,AP4186)</f>
        <v>8.9379430834306159</v>
      </c>
      <c r="AQ4188" s="133"/>
      <c r="AR4188" s="155"/>
      <c r="AS4188" s="138">
        <f>IF(AS4183&lt;AS4187,AS4185,AS4186)</f>
        <v>12.945583176067142</v>
      </c>
      <c r="AT4188" s="133"/>
      <c r="AU4188" s="155"/>
    </row>
    <row r="4189" spans="13:47" ht="13" x14ac:dyDescent="0.3">
      <c r="M4189" s="28"/>
      <c r="N4189" s="28"/>
      <c r="O4189" s="9" t="s">
        <v>194</v>
      </c>
      <c r="P4189" s="1"/>
      <c r="Q4189" s="1"/>
      <c r="R4189" s="135"/>
      <c r="S4189" s="132">
        <f>IF(R4182&lt;=0,W_max,ABS(R$23-R4188))</f>
        <v>16.796369092235466</v>
      </c>
      <c r="T4189" s="151">
        <f>R4177</f>
        <v>4022.1320819815533</v>
      </c>
      <c r="U4189" s="135"/>
      <c r="V4189" s="132">
        <f>IF(U4182&lt;=0,W_max,ABS(U$23-U4188))</f>
        <v>59.134457894229598</v>
      </c>
      <c r="W4189" s="151">
        <f>U4177</f>
        <v>8834.1393553920861</v>
      </c>
      <c r="X4189" s="135"/>
      <c r="Y4189" s="132">
        <f>IF(X4182&lt;=0,W_max,ABS(X$23-X4188))</f>
        <v>7174</v>
      </c>
      <c r="Z4189" s="151">
        <f>X4177</f>
        <v>21847.877900791242</v>
      </c>
      <c r="AA4189" s="135"/>
      <c r="AB4189" s="132">
        <f>IF(AA4182&lt;=0,W_max,ABS(AA$23-AA4188))</f>
        <v>7174</v>
      </c>
      <c r="AC4189" s="151">
        <f>AA4177</f>
        <v>42554.08958011584</v>
      </c>
      <c r="AD4189" s="135"/>
      <c r="AE4189" s="132">
        <f>IF(AD4182&lt;=0,W_max,ABS(AD$23-AD4188))</f>
        <v>7174</v>
      </c>
      <c r="AF4189" s="151">
        <f>AD4177</f>
        <v>69985.809873053673</v>
      </c>
      <c r="AG4189" s="135"/>
      <c r="AH4189" s="132">
        <f>IF(AG4182&lt;=0,W_max,ABS(AG$23-AG4188))</f>
        <v>7174</v>
      </c>
      <c r="AI4189" s="151">
        <f>AG4177</f>
        <v>98160.486286384286</v>
      </c>
      <c r="AJ4189" s="135"/>
      <c r="AK4189" s="132">
        <f>IF(AJ4182&lt;=0,W_max,ABS(AJ$23-AJ4188))</f>
        <v>7174</v>
      </c>
      <c r="AL4189" s="151">
        <f>AJ4177</f>
        <v>124637.77055456398</v>
      </c>
      <c r="AM4189" s="135"/>
      <c r="AN4189" s="132">
        <f>IF(AM4182&lt;=0,W_max,ABS(AM$23-AM4188))</f>
        <v>7174</v>
      </c>
      <c r="AO4189" s="151">
        <f>AM4177</f>
        <v>146147.58810318151</v>
      </c>
      <c r="AP4189" s="135"/>
      <c r="AQ4189" s="132">
        <f>IF(AP4182&lt;=0,W_max,ABS(AP$23-AP4188))</f>
        <v>7174</v>
      </c>
      <c r="AR4189" s="151">
        <f>AP4177</f>
        <v>163052.23798820027</v>
      </c>
      <c r="AS4189" s="135"/>
      <c r="AT4189" s="132">
        <f>IF(AS4182&lt;=0,W_max,ABS(AS$23-AS4188))</f>
        <v>7174</v>
      </c>
      <c r="AU4189" s="151">
        <f>AS4177</f>
        <v>181912.22077637512</v>
      </c>
    </row>
    <row r="4190" spans="13:47" ht="13" x14ac:dyDescent="0.25">
      <c r="M4190" s="12"/>
      <c r="N4190" s="12"/>
      <c r="O4190" s="2"/>
      <c r="P4190" s="85"/>
      <c r="Q4190" s="2"/>
      <c r="R4190" s="18"/>
      <c r="S4190" s="150"/>
      <c r="T4190" s="148"/>
      <c r="U4190" s="157"/>
      <c r="V4190" s="1"/>
      <c r="W4190" s="147"/>
      <c r="X4190" s="157"/>
      <c r="Y4190" s="1"/>
      <c r="Z4190" s="147"/>
      <c r="AA4190" s="157"/>
      <c r="AB4190" s="1"/>
      <c r="AC4190" s="147"/>
      <c r="AD4190" s="157"/>
      <c r="AE4190" s="1"/>
      <c r="AF4190" s="147"/>
      <c r="AG4190" s="157"/>
      <c r="AH4190" s="1"/>
      <c r="AI4190" s="147"/>
      <c r="AJ4190" s="157"/>
      <c r="AK4190" s="1"/>
      <c r="AL4190" s="147"/>
      <c r="AM4190" s="157"/>
      <c r="AN4190" s="1"/>
      <c r="AO4190" s="147"/>
      <c r="AP4190" s="157"/>
      <c r="AQ4190" s="1"/>
      <c r="AR4190" s="147"/>
      <c r="AS4190" s="157"/>
      <c r="AT4190" s="1"/>
      <c r="AU4190" s="147"/>
    </row>
    <row r="4191" spans="13:47" ht="14" x14ac:dyDescent="0.3">
      <c r="M4191" s="23"/>
      <c r="N4191" s="23"/>
      <c r="O4191" s="23" t="s">
        <v>238</v>
      </c>
      <c r="P4191" s="20"/>
      <c r="Q4191" s="20"/>
      <c r="R4191" s="181">
        <f>R4177*1.02</f>
        <v>4102.5747236211846</v>
      </c>
      <c r="S4191" s="128" t="s">
        <v>185</v>
      </c>
      <c r="T4191" s="149" t="s">
        <v>186</v>
      </c>
      <c r="U4191" s="143">
        <f>U4177*1.01</f>
        <v>8922.4807489460072</v>
      </c>
      <c r="V4191" s="128" t="s">
        <v>185</v>
      </c>
      <c r="W4191" s="153" t="s">
        <v>186</v>
      </c>
      <c r="X4191" s="143">
        <f>X4177*1.01</f>
        <v>22066.356679799155</v>
      </c>
      <c r="Y4191" s="128" t="s">
        <v>185</v>
      </c>
      <c r="Z4191" s="153" t="s">
        <v>186</v>
      </c>
      <c r="AA4191" s="143">
        <f>AA4177*1.01</f>
        <v>42979.630475917002</v>
      </c>
      <c r="AB4191" s="128" t="s">
        <v>185</v>
      </c>
      <c r="AC4191" s="153" t="s">
        <v>186</v>
      </c>
      <c r="AD4191" s="143">
        <f>AD4177*1.01</f>
        <v>70685.667971784205</v>
      </c>
      <c r="AE4191" s="128" t="s">
        <v>185</v>
      </c>
      <c r="AF4191" s="153" t="s">
        <v>186</v>
      </c>
      <c r="AG4191" s="143">
        <f>AG4177*1.01</f>
        <v>99142.091149248125</v>
      </c>
      <c r="AH4191" s="128" t="s">
        <v>185</v>
      </c>
      <c r="AI4191" s="153" t="s">
        <v>186</v>
      </c>
      <c r="AJ4191" s="143">
        <f>AJ4177*1.01</f>
        <v>125884.14826010962</v>
      </c>
      <c r="AK4191" s="128" t="s">
        <v>185</v>
      </c>
      <c r="AL4191" s="153" t="s">
        <v>186</v>
      </c>
      <c r="AM4191" s="143">
        <f>AM4177*1.01</f>
        <v>147609.06398421334</v>
      </c>
      <c r="AN4191" s="128" t="s">
        <v>185</v>
      </c>
      <c r="AO4191" s="153" t="s">
        <v>186</v>
      </c>
      <c r="AP4191" s="143">
        <f>AP4177*1.01</f>
        <v>164682.76036808226</v>
      </c>
      <c r="AQ4191" s="128" t="s">
        <v>185</v>
      </c>
      <c r="AR4191" s="153" t="s">
        <v>186</v>
      </c>
      <c r="AS4191" s="143">
        <f>AS4177*1.01</f>
        <v>183731.34298413887</v>
      </c>
      <c r="AT4191" s="128" t="s">
        <v>185</v>
      </c>
      <c r="AU4191" s="153" t="s">
        <v>186</v>
      </c>
    </row>
    <row r="4192" spans="13:47" ht="14" x14ac:dyDescent="0.3">
      <c r="M4192" s="12"/>
      <c r="N4192" s="12"/>
      <c r="O4192" s="20"/>
      <c r="P4192" s="20"/>
      <c r="Q4192" s="23"/>
      <c r="R4192" s="139"/>
      <c r="S4192" s="130" t="s">
        <v>228</v>
      </c>
      <c r="T4192" s="131" t="s">
        <v>187</v>
      </c>
      <c r="U4192" s="144"/>
      <c r="V4192" s="130" t="s">
        <v>228</v>
      </c>
      <c r="W4192" s="154" t="s">
        <v>187</v>
      </c>
      <c r="X4192" s="144"/>
      <c r="Y4192" s="130" t="s">
        <v>228</v>
      </c>
      <c r="Z4192" s="154" t="s">
        <v>187</v>
      </c>
      <c r="AA4192" s="144"/>
      <c r="AB4192" s="130" t="s">
        <v>228</v>
      </c>
      <c r="AC4192" s="154" t="s">
        <v>187</v>
      </c>
      <c r="AD4192" s="144"/>
      <c r="AE4192" s="130" t="s">
        <v>228</v>
      </c>
      <c r="AF4192" s="154" t="s">
        <v>187</v>
      </c>
      <c r="AG4192" s="144"/>
      <c r="AH4192" s="130" t="s">
        <v>228</v>
      </c>
      <c r="AI4192" s="154" t="s">
        <v>187</v>
      </c>
      <c r="AJ4192" s="144"/>
      <c r="AK4192" s="130" t="s">
        <v>228</v>
      </c>
      <c r="AL4192" s="154" t="s">
        <v>187</v>
      </c>
      <c r="AM4192" s="144"/>
      <c r="AN4192" s="130" t="s">
        <v>228</v>
      </c>
      <c r="AO4192" s="154" t="s">
        <v>187</v>
      </c>
      <c r="AP4192" s="144"/>
      <c r="AQ4192" s="130" t="s">
        <v>228</v>
      </c>
      <c r="AR4192" s="154" t="s">
        <v>187</v>
      </c>
      <c r="AS4192" s="144"/>
      <c r="AT4192" s="130" t="s">
        <v>228</v>
      </c>
      <c r="AU4192" s="154" t="s">
        <v>187</v>
      </c>
    </row>
    <row r="4193" spans="13:47" x14ac:dyDescent="0.25">
      <c r="M4193" s="20"/>
      <c r="N4193" s="20"/>
      <c r="O4193" s="7" t="s">
        <v>188</v>
      </c>
      <c r="P4193" s="7"/>
      <c r="Q4193" s="7"/>
      <c r="R4193" s="181">
        <f>P_1_minW-(R4191^2*R_up)+dpup_minQ</f>
        <v>93.811178668851468</v>
      </c>
      <c r="S4193" s="132"/>
      <c r="T4193" s="145"/>
      <c r="U4193" s="138">
        <f>P_1_minW-(U4191^2*R_up)+dpup_minQ</f>
        <v>68.777092665606588</v>
      </c>
      <c r="V4193" s="132"/>
      <c r="W4193" s="145"/>
      <c r="X4193" s="138">
        <f>P_1_minW-(X4191^2*R_up)+dpup_minQ</f>
        <v>-93.643960477883681</v>
      </c>
      <c r="Y4193" s="132"/>
      <c r="Z4193" s="145"/>
      <c r="AA4193" s="138">
        <f>P_1_minW-(AA4191^2*R_up)+dpup_minQ</f>
        <v>-636.08947180679991</v>
      </c>
      <c r="AB4193" s="132"/>
      <c r="AC4193" s="145"/>
      <c r="AD4193" s="138">
        <f>P_1_minW-(AD4191^2*R_up)+dpup_minQ</f>
        <v>-1891.8762370932286</v>
      </c>
      <c r="AE4193" s="132"/>
      <c r="AF4193" s="145"/>
      <c r="AG4193" s="138">
        <f>P_1_minW-(AG4191^2*R_up)+dpup_minQ</f>
        <v>-3818.9688084487202</v>
      </c>
      <c r="AH4193" s="132"/>
      <c r="AI4193" s="145"/>
      <c r="AJ4193" s="138">
        <f>P_1_minW-(AJ4191^2*R_up)+dpup_minQ</f>
        <v>-6218.5837742784943</v>
      </c>
      <c r="AK4193" s="132"/>
      <c r="AL4193" s="145"/>
      <c r="AM4193" s="138">
        <f>P_1_minW-(AM4191^2*R_up)+dpup_minQ</f>
        <v>-8587.8738759758526</v>
      </c>
      <c r="AN4193" s="132"/>
      <c r="AO4193" s="145"/>
      <c r="AP4193" s="138">
        <f>P_1_minW-(AP4191^2*R_up)+dpup_minQ</f>
        <v>-10714.062335148599</v>
      </c>
      <c r="AQ4193" s="132"/>
      <c r="AR4193" s="145"/>
      <c r="AS4193" s="138">
        <f>P_1_minW-(AS4191^2*R_up)+dpup_minQ</f>
        <v>-13360.562831100287</v>
      </c>
      <c r="AT4193" s="132"/>
      <c r="AU4193" s="145"/>
    </row>
    <row r="4194" spans="13:47" x14ac:dyDescent="0.25">
      <c r="M4194" s="20"/>
      <c r="N4194" s="20"/>
      <c r="O4194" s="7" t="s">
        <v>189</v>
      </c>
      <c r="P4194" s="1"/>
      <c r="Q4194" s="7"/>
      <c r="R4194" s="181">
        <f>P_2_minW+(R4191^2*R_dn)-dpdn_minQ</f>
        <v>50</v>
      </c>
      <c r="S4194" s="132"/>
      <c r="T4194" s="146"/>
      <c r="U4194" s="138">
        <f>P_2_minW+(U4191^2*R_dn)-dpdn_minQ</f>
        <v>50</v>
      </c>
      <c r="V4194" s="132"/>
      <c r="W4194" s="146"/>
      <c r="X4194" s="138">
        <f>P_2_minW+(X4191^2*R_dn)-dpdn_minQ</f>
        <v>50</v>
      </c>
      <c r="Y4194" s="132"/>
      <c r="Z4194" s="146"/>
      <c r="AA4194" s="138">
        <f>P_2_minW+(AA4191^2*R_dn)-dpdn_minQ</f>
        <v>50</v>
      </c>
      <c r="AB4194" s="132"/>
      <c r="AC4194" s="146"/>
      <c r="AD4194" s="138">
        <f>P_2_minW+(AD4191^2*R_dn)-dpdn_minQ</f>
        <v>50</v>
      </c>
      <c r="AE4194" s="132"/>
      <c r="AF4194" s="146"/>
      <c r="AG4194" s="138">
        <f>P_2_minW+(AG4191^2*R_dn)-dpdn_minQ</f>
        <v>50</v>
      </c>
      <c r="AH4194" s="132"/>
      <c r="AI4194" s="146"/>
      <c r="AJ4194" s="138">
        <f>P_2_minW+(AJ4191^2*R_dn)-dpdn_minQ</f>
        <v>50</v>
      </c>
      <c r="AK4194" s="132"/>
      <c r="AL4194" s="146"/>
      <c r="AM4194" s="138">
        <f>P_2_minW+(AM4191^2*R_dn)-dpdn_minQ</f>
        <v>50</v>
      </c>
      <c r="AN4194" s="132"/>
      <c r="AO4194" s="146"/>
      <c r="AP4194" s="138">
        <f>P_2_minW+(AP4191^2*R_dn)-dpdn_minQ</f>
        <v>50</v>
      </c>
      <c r="AQ4194" s="132"/>
      <c r="AR4194" s="146"/>
      <c r="AS4194" s="138">
        <f>P_2_minW+(AS4191^2*R_dn)-dpdn_minQ</f>
        <v>50</v>
      </c>
      <c r="AT4194" s="132"/>
      <c r="AU4194" s="146"/>
    </row>
    <row r="4195" spans="13:47" x14ac:dyDescent="0.25">
      <c r="M4195" s="20"/>
      <c r="N4195" s="20"/>
      <c r="O4195" s="7" t="s">
        <v>234</v>
      </c>
      <c r="P4195" s="1"/>
      <c r="Q4195" s="7"/>
      <c r="R4195" s="179">
        <f>'Valve Sizing'!G$8*R4193/P_1_maxW</f>
        <v>0.45252842384762654</v>
      </c>
      <c r="S4195" s="132"/>
      <c r="T4195" s="146"/>
      <c r="U4195" s="143">
        <f>'Valve Sizing'!$G$8*U4193/P_1_maxW</f>
        <v>0.3317684500122714</v>
      </c>
      <c r="V4195" s="132"/>
      <c r="W4195" s="146"/>
      <c r="X4195" s="143">
        <f>'Valve Sizing'!$G$8*X4193/P_1_maxW</f>
        <v>-0.45172179306576182</v>
      </c>
      <c r="Y4195" s="132"/>
      <c r="Z4195" s="146"/>
      <c r="AA4195" s="143">
        <f>'Valve Sizing'!$G$8*AA4193/P_1_maxW</f>
        <v>-3.0683823632457576</v>
      </c>
      <c r="AB4195" s="132"/>
      <c r="AC4195" s="146"/>
      <c r="AD4195" s="143">
        <f>'Valve Sizing'!$G$8*AD4193/P_1_maxW</f>
        <v>-9.1260741399344685</v>
      </c>
      <c r="AE4195" s="132"/>
      <c r="AF4195" s="146"/>
      <c r="AG4195" s="143">
        <f>'Valve Sizing'!$G$8*AG4193/P_1_maxW</f>
        <v>-18.422025606468228</v>
      </c>
      <c r="AH4195" s="132"/>
      <c r="AI4195" s="146"/>
      <c r="AJ4195" s="143">
        <f>'Valve Sizing'!$G$8*AJ4193/P_1_maxW</f>
        <v>-29.997340976518878</v>
      </c>
      <c r="AK4195" s="132"/>
      <c r="AL4195" s="146"/>
      <c r="AM4195" s="143">
        <f>'Valve Sizing'!$G$8*AM4193/P_1_maxW</f>
        <v>-41.426374601004035</v>
      </c>
      <c r="AN4195" s="132"/>
      <c r="AO4195" s="146"/>
      <c r="AP4195" s="143">
        <f>'Valve Sizing'!$G$8*AP4193/P_1_maxW</f>
        <v>-51.682729183530213</v>
      </c>
      <c r="AQ4195" s="132"/>
      <c r="AR4195" s="146"/>
      <c r="AS4195" s="143">
        <f>'Valve Sizing'!$G$8*AS4193/P_1_maxW</f>
        <v>-64.448976395629558</v>
      </c>
      <c r="AT4195" s="132"/>
      <c r="AU4195" s="146"/>
    </row>
    <row r="4196" spans="13:47" x14ac:dyDescent="0.25">
      <c r="M4196" s="20"/>
      <c r="N4196" s="20"/>
      <c r="O4196" s="7" t="s">
        <v>190</v>
      </c>
      <c r="P4196" s="1"/>
      <c r="Q4196" s="7"/>
      <c r="R4196" s="181">
        <f>R4193-R4194</f>
        <v>43.811178668851468</v>
      </c>
      <c r="S4196" s="132"/>
      <c r="T4196" s="146"/>
      <c r="U4196" s="138">
        <f>U4193-U4194</f>
        <v>18.777092665606588</v>
      </c>
      <c r="V4196" s="132"/>
      <c r="W4196" s="146"/>
      <c r="X4196" s="138">
        <f>X4193-X4194</f>
        <v>-143.6439604778837</v>
      </c>
      <c r="Y4196" s="132"/>
      <c r="Z4196" s="146"/>
      <c r="AA4196" s="138">
        <f>AA4193-AA4194</f>
        <v>-686.08947180679991</v>
      </c>
      <c r="AB4196" s="132"/>
      <c r="AC4196" s="146"/>
      <c r="AD4196" s="138">
        <f>AD4193-AD4194</f>
        <v>-1941.8762370932286</v>
      </c>
      <c r="AE4196" s="132"/>
      <c r="AF4196" s="146"/>
      <c r="AG4196" s="138">
        <f>AG4193-AG4194</f>
        <v>-3868.9688084487202</v>
      </c>
      <c r="AH4196" s="132"/>
      <c r="AI4196" s="146"/>
      <c r="AJ4196" s="138">
        <f>AJ4193-AJ4194</f>
        <v>-6268.5837742784943</v>
      </c>
      <c r="AK4196" s="132"/>
      <c r="AL4196" s="146"/>
      <c r="AM4196" s="138">
        <f>AM4193-AM4194</f>
        <v>-8637.8738759758526</v>
      </c>
      <c r="AN4196" s="132"/>
      <c r="AO4196" s="146"/>
      <c r="AP4196" s="138">
        <f>AP4193-AP4194</f>
        <v>-10764.062335148599</v>
      </c>
      <c r="AQ4196" s="132"/>
      <c r="AR4196" s="146"/>
      <c r="AS4196" s="138">
        <f>AS4193-AS4194</f>
        <v>-13410.562831100287</v>
      </c>
      <c r="AT4196" s="132"/>
      <c r="AU4196" s="146"/>
    </row>
    <row r="4197" spans="13:47" ht="14.5" x14ac:dyDescent="0.35">
      <c r="M4197" s="27"/>
      <c r="N4197" s="27"/>
      <c r="O4197" s="2" t="s">
        <v>191</v>
      </c>
      <c r="P4197" s="10"/>
      <c r="Q4197" s="2"/>
      <c r="R4197" s="181">
        <f>R4196/R4193</f>
        <v>0.46701447834380833</v>
      </c>
      <c r="S4197" s="132"/>
      <c r="T4197" s="146"/>
      <c r="U4197" s="138">
        <f>U4196/U4193</f>
        <v>0.27301375992876858</v>
      </c>
      <c r="V4197" s="132"/>
      <c r="W4197" s="146"/>
      <c r="X4197" s="138">
        <f>X4196/X4193</f>
        <v>1.5339372634907804</v>
      </c>
      <c r="Y4197" s="132"/>
      <c r="Z4197" s="146"/>
      <c r="AA4197" s="138">
        <f>AA4196/AA4193</f>
        <v>1.0786052940916879</v>
      </c>
      <c r="AB4197" s="132"/>
      <c r="AC4197" s="146"/>
      <c r="AD4197" s="138">
        <f>AD4196/AD4193</f>
        <v>1.0264287901183338</v>
      </c>
      <c r="AE4197" s="132"/>
      <c r="AF4197" s="146"/>
      <c r="AG4197" s="138">
        <f>AG4196/AG4193</f>
        <v>1.0130925395068389</v>
      </c>
      <c r="AH4197" s="132"/>
      <c r="AI4197" s="146"/>
      <c r="AJ4197" s="138">
        <f>AJ4196/AJ4193</f>
        <v>1.0080404159234473</v>
      </c>
      <c r="AK4197" s="132"/>
      <c r="AL4197" s="146"/>
      <c r="AM4197" s="138">
        <f>AM4196/AM4193</f>
        <v>1.0058221628219148</v>
      </c>
      <c r="AN4197" s="132"/>
      <c r="AO4197" s="146"/>
      <c r="AP4197" s="138">
        <f>AP4196/AP4193</f>
        <v>1.0046667639627194</v>
      </c>
      <c r="AQ4197" s="132"/>
      <c r="AR4197" s="146"/>
      <c r="AS4197" s="138">
        <f>AS4196/AS4193</f>
        <v>1.0037423573117452</v>
      </c>
      <c r="AT4197" s="132"/>
      <c r="AU4197" s="146"/>
    </row>
    <row r="4198" spans="13:47" x14ac:dyDescent="0.25">
      <c r="M4198" s="27"/>
      <c r="N4198" s="27"/>
      <c r="O4198" s="2" t="s">
        <v>26</v>
      </c>
      <c r="P4198" s="7">
        <v>12</v>
      </c>
      <c r="Q4198" s="2"/>
      <c r="R4198" s="181">
        <f>1-R4197/(3*F_GAMMA*R$29)</f>
        <v>0.75677350809955157</v>
      </c>
      <c r="S4198" s="133"/>
      <c r="T4198" s="146"/>
      <c r="U4198" s="138">
        <f>1-U4197/(3*F_GAMMA*U$29)</f>
        <v>0.85784261173906184</v>
      </c>
      <c r="V4198" s="133"/>
      <c r="W4198" s="146"/>
      <c r="X4198" s="138">
        <f>1-X4197/(3*F_GAMMA*X$29)</f>
        <v>0.18930177745865073</v>
      </c>
      <c r="Y4198" s="133"/>
      <c r="Z4198" s="146"/>
      <c r="AA4198" s="138">
        <f>1-AA4197/(3*F_GAMMA*AA$29)</f>
        <v>0.42213219701934634</v>
      </c>
      <c r="AB4198" s="133"/>
      <c r="AC4198" s="146"/>
      <c r="AD4198" s="138">
        <f>1-AD4197/(3*F_GAMMA*AD$29)</f>
        <v>0.43500852918812749</v>
      </c>
      <c r="AE4198" s="133"/>
      <c r="AF4198" s="146"/>
      <c r="AG4198" s="138">
        <f>1-AG4197/(3*F_GAMMA*AG$29)</f>
        <v>0.4105401155310725</v>
      </c>
      <c r="AH4198" s="133"/>
      <c r="AI4198" s="146"/>
      <c r="AJ4198" s="138">
        <f>1-AJ4197/(3*F_GAMMA*AJ$29)</f>
        <v>0.37300179859753368</v>
      </c>
      <c r="AK4198" s="133"/>
      <c r="AL4198" s="146"/>
      <c r="AM4198" s="138">
        <f>1-AM4197/(3*F_GAMMA*AM$29)</f>
        <v>0.31644822012831586</v>
      </c>
      <c r="AN4198" s="133"/>
      <c r="AO4198" s="146"/>
      <c r="AP4198" s="138">
        <f>1-AP4197/(3*F_GAMMA*AP$29)</f>
        <v>0.43576729109241708</v>
      </c>
      <c r="AQ4198" s="133"/>
      <c r="AR4198" s="146"/>
      <c r="AS4198" s="138">
        <f>1-AS4197/(3*F_GAMMA*AS$29)</f>
        <v>0.14423384620555557</v>
      </c>
      <c r="AT4198" s="133"/>
      <c r="AU4198" s="146"/>
    </row>
    <row r="4199" spans="13:47" x14ac:dyDescent="0.25">
      <c r="M4199" s="27"/>
      <c r="N4199" s="27"/>
      <c r="O4199" s="2" t="s">
        <v>71</v>
      </c>
      <c r="P4199" s="85">
        <v>5</v>
      </c>
      <c r="Q4199" s="2"/>
      <c r="R4199" s="179">
        <f>R4191/((N_6*R$27*R4198)*SQRT(R4197*R4193*R4195))</f>
        <v>19.236361450529341</v>
      </c>
      <c r="S4199" s="133"/>
      <c r="T4199" s="146"/>
      <c r="U4199" s="143">
        <f>U4191/((N_6*U$27*U4198)*SQRT(U4197*U4193*U4195))</f>
        <v>65.881579154458791</v>
      </c>
      <c r="V4199" s="133"/>
      <c r="W4199" s="146"/>
      <c r="X4199" s="143">
        <f>X4191/((N_6*X$27*X4198)*SQRT(X4197*X4193*X4195))</f>
        <v>229.28512009174577</v>
      </c>
      <c r="Y4199" s="133"/>
      <c r="Z4199" s="146"/>
      <c r="AA4199" s="143">
        <f>AA4191/((N_6*AA$27*AA4198)*SQRT(AA4197*AA4193*AA4195))</f>
        <v>35.362161327509192</v>
      </c>
      <c r="AB4199" s="133"/>
      <c r="AC4199" s="146"/>
      <c r="AD4199" s="143">
        <f>AD4191/((N_6*AD$27*AD4198)*SQRT(AD4197*AD4193*AD4195))</f>
        <v>19.683178128408947</v>
      </c>
      <c r="AE4199" s="133"/>
      <c r="AF4199" s="146"/>
      <c r="AG4199" s="143">
        <f>AG4191/((N_6*AG$27*AG4198)*SQRT(AG4197*AG4193*AG4195))</f>
        <v>14.901201595318623</v>
      </c>
      <c r="AH4199" s="133"/>
      <c r="AI4199" s="146"/>
      <c r="AJ4199" s="143">
        <f>AJ4191/((N_6*AJ$27*AJ4198)*SQRT(AJ4197*AJ4193*AJ4195))</f>
        <v>13.26107462810567</v>
      </c>
      <c r="AK4199" s="133"/>
      <c r="AL4199" s="146"/>
      <c r="AM4199" s="143">
        <f>AM4191/((N_6*AM$27*AM4198)*SQRT(AM4197*AM4193*AM4195))</f>
        <v>14.10254245300626</v>
      </c>
      <c r="AN4199" s="133"/>
      <c r="AO4199" s="146"/>
      <c r="AP4199" s="143">
        <f>AP4191/((N_6*AP$27*AP4198)*SQRT(AP4197*AP4193*AP4195))</f>
        <v>10.409161585615928</v>
      </c>
      <c r="AQ4199" s="133"/>
      <c r="AR4199" s="146"/>
      <c r="AS4199" s="143">
        <f>AS4191/((N_6*AS$27*AS4198)*SQRT(AS4197*AS4193*AS4195))</f>
        <v>36.987504544812388</v>
      </c>
      <c r="AT4199" s="133"/>
      <c r="AU4199" s="146"/>
    </row>
    <row r="4200" spans="13:47" x14ac:dyDescent="0.25">
      <c r="M4200" s="27"/>
      <c r="N4200" s="27"/>
      <c r="O4200" s="2" t="s">
        <v>73</v>
      </c>
      <c r="P4200" s="85">
        <v>5</v>
      </c>
      <c r="Q4200" s="2"/>
      <c r="R4200" s="179">
        <f>R4191/((N_6*R$27*0.667)*SQRT(R4201*R4193*R4195))</f>
        <v>18.643570135449806</v>
      </c>
      <c r="S4200" s="133"/>
      <c r="T4200" s="147"/>
      <c r="U4200" s="143">
        <f>U4191/((N_6*U$27*0.667)*SQRT(U4201*U4193*U4195))</f>
        <v>55.333880406228694</v>
      </c>
      <c r="V4200" s="133"/>
      <c r="W4200" s="155"/>
      <c r="X4200" s="143">
        <f>X4191/((N_6*X$27*0.667)*SQRT(X4201*X4193*X4195))</f>
        <v>101.48339017442794</v>
      </c>
      <c r="Y4200" s="133"/>
      <c r="Z4200" s="155"/>
      <c r="AA4200" s="143">
        <f>AA4191/((N_6*AA$27*0.667)*SQRT(AA4201*AA4193*AA4195))</f>
        <v>29.467027028544578</v>
      </c>
      <c r="AB4200" s="133"/>
      <c r="AC4200" s="155"/>
      <c r="AD4200" s="143">
        <f>AD4191/((N_6*AD$27*0.667)*SQRT(AD4201*AD4193*AD4195))</f>
        <v>16.71278145988196</v>
      </c>
      <c r="AE4200" s="133"/>
      <c r="AF4200" s="155"/>
      <c r="AG4200" s="143">
        <f>AG4191/((N_6*AG$27*0.667)*SQRT(AG4201*AG4193*AG4195))</f>
        <v>12.196600850340108</v>
      </c>
      <c r="AH4200" s="133"/>
      <c r="AI4200" s="155"/>
      <c r="AJ4200" s="143">
        <f>AJ4191/((N_6*AJ$27*0.667)*SQRT(AJ4201*AJ4193*AJ4195))</f>
        <v>10.170857884020219</v>
      </c>
      <c r="AK4200" s="133"/>
      <c r="AL4200" s="155"/>
      <c r="AM4200" s="143">
        <f>AM4191/((N_6*AM$27*0.667)*SQRT(AM4201*AM4193*AM4195))</f>
        <v>9.5812147800026288</v>
      </c>
      <c r="AN4200" s="133"/>
      <c r="AO4200" s="155"/>
      <c r="AP4200" s="143">
        <f>AP4191/((N_6*AP$27*0.667)*SQRT(AP4201*AP4193*AP4195))</f>
        <v>8.8477797270270742</v>
      </c>
      <c r="AQ4200" s="133"/>
      <c r="AR4200" s="155"/>
      <c r="AS4200" s="143">
        <f>AS4191/((N_6*AS$27*0.667)*SQRT(AS4201*AS4193*AS4195))</f>
        <v>12.815470717939965</v>
      </c>
      <c r="AT4200" s="133"/>
      <c r="AU4200" s="155"/>
    </row>
    <row r="4201" spans="13:47" ht="15.5" x14ac:dyDescent="0.4">
      <c r="M4201" s="27"/>
      <c r="N4201" s="27"/>
      <c r="O4201" s="2" t="s">
        <v>192</v>
      </c>
      <c r="P4201" s="85">
        <v>10</v>
      </c>
      <c r="Q4201" s="2"/>
      <c r="R4201" s="181">
        <f>F_GAMMA*R$29</f>
        <v>0.64002688015162901</v>
      </c>
      <c r="S4201" s="133"/>
      <c r="T4201" s="147"/>
      <c r="U4201" s="138">
        <f>F_GAMMA*U$29</f>
        <v>0.64016782916606918</v>
      </c>
      <c r="V4201" s="133"/>
      <c r="W4201" s="155"/>
      <c r="X4201" s="138">
        <f>F_GAMMA*X$29</f>
        <v>0.6307062319203669</v>
      </c>
      <c r="Y4201" s="133"/>
      <c r="Z4201" s="155"/>
      <c r="AA4201" s="138">
        <f>F_GAMMA*AA$29</f>
        <v>0.62217534213893466</v>
      </c>
      <c r="AB4201" s="133"/>
      <c r="AC4201" s="155"/>
      <c r="AD4201" s="138">
        <f>F_GAMMA*AD$29</f>
        <v>0.60557184969146072</v>
      </c>
      <c r="AE4201" s="133"/>
      <c r="AF4201" s="155"/>
      <c r="AG4201" s="138">
        <f>F_GAMMA*AG$29</f>
        <v>0.57289312142622573</v>
      </c>
      <c r="AH4201" s="133"/>
      <c r="AI4201" s="155"/>
      <c r="AJ4201" s="138">
        <f>F_GAMMA*AJ$29</f>
        <v>0.53590819116049981</v>
      </c>
      <c r="AK4201" s="133"/>
      <c r="AL4201" s="155"/>
      <c r="AM4201" s="138">
        <f>F_GAMMA*AM$29</f>
        <v>0.49048815926850342</v>
      </c>
      <c r="AN4201" s="133"/>
      <c r="AO4201" s="155"/>
      <c r="AP4201" s="138">
        <f>F_GAMMA*AP$29</f>
        <v>0.59352979016280105</v>
      </c>
      <c r="AQ4201" s="133"/>
      <c r="AR4201" s="155"/>
      <c r="AS4201" s="138">
        <f>F_GAMMA*AS$29</f>
        <v>0.39097221161068291</v>
      </c>
      <c r="AT4201" s="133"/>
      <c r="AU4201" s="155"/>
    </row>
    <row r="4202" spans="13:47" x14ac:dyDescent="0.25">
      <c r="M4202" s="27"/>
      <c r="N4202" s="27"/>
      <c r="O4202" s="2" t="s">
        <v>193</v>
      </c>
      <c r="P4202" s="134"/>
      <c r="Q4202" s="2"/>
      <c r="R4202" s="181">
        <f>IF(R4197&lt;R4201,R4199,R4200)</f>
        <v>19.236361450529341</v>
      </c>
      <c r="S4202" s="133"/>
      <c r="T4202" s="147"/>
      <c r="U4202" s="138">
        <f>IF(U4197&lt;U4201,U4199,U4200)</f>
        <v>65.881579154458791</v>
      </c>
      <c r="V4202" s="133"/>
      <c r="W4202" s="155"/>
      <c r="X4202" s="138">
        <f>IF(X4197&lt;X4201,X4199,X4200)</f>
        <v>101.48339017442794</v>
      </c>
      <c r="Y4202" s="133"/>
      <c r="Z4202" s="155"/>
      <c r="AA4202" s="138">
        <f>IF(AA4197&lt;AA4201,AA4199,AA4200)</f>
        <v>29.467027028544578</v>
      </c>
      <c r="AB4202" s="133"/>
      <c r="AC4202" s="155"/>
      <c r="AD4202" s="138">
        <f>IF(AD4197&lt;AD4201,AD4199,AD4200)</f>
        <v>16.71278145988196</v>
      </c>
      <c r="AE4202" s="133"/>
      <c r="AF4202" s="155"/>
      <c r="AG4202" s="138">
        <f>IF(AG4197&lt;AG4201,AG4199,AG4200)</f>
        <v>12.196600850340108</v>
      </c>
      <c r="AH4202" s="133"/>
      <c r="AI4202" s="155"/>
      <c r="AJ4202" s="138">
        <f>IF(AJ4197&lt;AJ4201,AJ4199,AJ4200)</f>
        <v>10.170857884020219</v>
      </c>
      <c r="AK4202" s="133"/>
      <c r="AL4202" s="155"/>
      <c r="AM4202" s="138">
        <f>IF(AM4197&lt;AM4201,AM4199,AM4200)</f>
        <v>9.5812147800026288</v>
      </c>
      <c r="AN4202" s="133"/>
      <c r="AO4202" s="155"/>
      <c r="AP4202" s="138">
        <f>IF(AP4197&lt;AP4201,AP4199,AP4200)</f>
        <v>8.8477797270270742</v>
      </c>
      <c r="AQ4202" s="133"/>
      <c r="AR4202" s="155"/>
      <c r="AS4202" s="138">
        <f>IF(AS4197&lt;AS4201,AS4199,AS4200)</f>
        <v>12.815470717939965</v>
      </c>
      <c r="AT4202" s="133"/>
      <c r="AU4202" s="155"/>
    </row>
    <row r="4203" spans="13:47" ht="13" x14ac:dyDescent="0.3">
      <c r="M4203" s="28"/>
      <c r="N4203" s="28"/>
      <c r="O4203" s="9" t="s">
        <v>194</v>
      </c>
      <c r="P4203" s="1"/>
      <c r="Q4203" s="1"/>
      <c r="R4203" s="135"/>
      <c r="S4203" s="132">
        <f>IF(R4196&lt;=0,W_max,ABS(R$23-R4202))</f>
        <v>17.236361450529341</v>
      </c>
      <c r="T4203" s="151">
        <f>R4191</f>
        <v>4102.5747236211846</v>
      </c>
      <c r="U4203" s="135"/>
      <c r="V4203" s="132">
        <f>IF(U4196&lt;=0,W_max,ABS(U$23-U4202))</f>
        <v>60.881579154458791</v>
      </c>
      <c r="W4203" s="151">
        <f>U4191</f>
        <v>8922.4807489460072</v>
      </c>
      <c r="X4203" s="135"/>
      <c r="Y4203" s="132">
        <f>IF(X4196&lt;=0,W_max,ABS(X$23-X4202))</f>
        <v>7174</v>
      </c>
      <c r="Z4203" s="151">
        <f>X4191</f>
        <v>22066.356679799155</v>
      </c>
      <c r="AA4203" s="135"/>
      <c r="AB4203" s="132">
        <f>IF(AA4196&lt;=0,W_max,ABS(AA$23-AA4202))</f>
        <v>7174</v>
      </c>
      <c r="AC4203" s="151">
        <f>AA4191</f>
        <v>42979.630475917002</v>
      </c>
      <c r="AD4203" s="135"/>
      <c r="AE4203" s="132">
        <f>IF(AD4196&lt;=0,W_max,ABS(AD$23-AD4202))</f>
        <v>7174</v>
      </c>
      <c r="AF4203" s="151">
        <f>AD4191</f>
        <v>70685.667971784205</v>
      </c>
      <c r="AG4203" s="135"/>
      <c r="AH4203" s="132">
        <f>IF(AG4196&lt;=0,W_max,ABS(AG$23-AG4202))</f>
        <v>7174</v>
      </c>
      <c r="AI4203" s="151">
        <f>AG4191</f>
        <v>99142.091149248125</v>
      </c>
      <c r="AJ4203" s="135"/>
      <c r="AK4203" s="132">
        <f>IF(AJ4196&lt;=0,W_max,ABS(AJ$23-AJ4202))</f>
        <v>7174</v>
      </c>
      <c r="AL4203" s="151">
        <f>AJ4191</f>
        <v>125884.14826010962</v>
      </c>
      <c r="AM4203" s="135"/>
      <c r="AN4203" s="132">
        <f>IF(AM4196&lt;=0,W_max,ABS(AM$23-AM4202))</f>
        <v>7174</v>
      </c>
      <c r="AO4203" s="151">
        <f>AM4191</f>
        <v>147609.06398421334</v>
      </c>
      <c r="AP4203" s="135"/>
      <c r="AQ4203" s="132">
        <f>IF(AP4196&lt;=0,W_max,ABS(AP$23-AP4202))</f>
        <v>7174</v>
      </c>
      <c r="AR4203" s="151">
        <f>AP4191</f>
        <v>164682.76036808226</v>
      </c>
      <c r="AS4203" s="135"/>
      <c r="AT4203" s="132">
        <f>IF(AS4196&lt;=0,W_max,ABS(AS$23-AS4202))</f>
        <v>7174</v>
      </c>
      <c r="AU4203" s="151">
        <f>AS4191</f>
        <v>183731.34298413887</v>
      </c>
    </row>
    <row r="4204" spans="13:47" ht="13" x14ac:dyDescent="0.25">
      <c r="M4204" s="12"/>
      <c r="N4204" s="12"/>
      <c r="O4204" s="12"/>
      <c r="P4204" s="12"/>
      <c r="Q4204" s="12"/>
      <c r="R4204" s="182"/>
      <c r="S4204" s="22"/>
      <c r="T4204" s="152"/>
      <c r="U4204" s="157"/>
      <c r="V4204" s="1"/>
      <c r="W4204" s="147"/>
      <c r="X4204" s="157"/>
      <c r="Y4204" s="1"/>
      <c r="Z4204" s="147"/>
      <c r="AA4204" s="157"/>
      <c r="AB4204" s="1"/>
      <c r="AC4204" s="147"/>
      <c r="AD4204" s="157"/>
      <c r="AE4204" s="1"/>
      <c r="AF4204" s="147"/>
      <c r="AG4204" s="157"/>
      <c r="AH4204" s="1"/>
      <c r="AI4204" s="147"/>
      <c r="AJ4204" s="157"/>
      <c r="AK4204" s="1"/>
      <c r="AL4204" s="147"/>
      <c r="AM4204" s="157"/>
      <c r="AN4204" s="1"/>
      <c r="AO4204" s="147"/>
      <c r="AP4204" s="157"/>
      <c r="AQ4204" s="1"/>
      <c r="AR4204" s="147"/>
      <c r="AS4204" s="157"/>
      <c r="AT4204" s="1"/>
      <c r="AU4204" s="147"/>
    </row>
    <row r="4205" spans="13:47" ht="14" x14ac:dyDescent="0.3">
      <c r="M4205" s="23"/>
      <c r="N4205" s="23"/>
      <c r="O4205" s="23" t="s">
        <v>238</v>
      </c>
      <c r="P4205" s="20"/>
      <c r="Q4205" s="20"/>
      <c r="R4205" s="18">
        <f>R4191*1.02</f>
        <v>4184.6262180936083</v>
      </c>
      <c r="S4205" s="128" t="s">
        <v>185</v>
      </c>
      <c r="T4205" s="153" t="s">
        <v>186</v>
      </c>
      <c r="U4205" s="143">
        <f>U4191*1.01</f>
        <v>9011.7055564354669</v>
      </c>
      <c r="V4205" s="128" t="s">
        <v>185</v>
      </c>
      <c r="W4205" s="153" t="s">
        <v>186</v>
      </c>
      <c r="X4205" s="143">
        <f>X4191*1.01</f>
        <v>22287.020246597149</v>
      </c>
      <c r="Y4205" s="128" t="s">
        <v>185</v>
      </c>
      <c r="Z4205" s="153" t="s">
        <v>186</v>
      </c>
      <c r="AA4205" s="143">
        <f>AA4191*1.01</f>
        <v>43409.426780676171</v>
      </c>
      <c r="AB4205" s="128" t="s">
        <v>185</v>
      </c>
      <c r="AC4205" s="153" t="s">
        <v>186</v>
      </c>
      <c r="AD4205" s="143">
        <f>AD4191*1.01</f>
        <v>71392.524651502041</v>
      </c>
      <c r="AE4205" s="128" t="s">
        <v>185</v>
      </c>
      <c r="AF4205" s="153" t="s">
        <v>186</v>
      </c>
      <c r="AG4205" s="143">
        <f>AG4191*1.01</f>
        <v>100133.51206074061</v>
      </c>
      <c r="AH4205" s="128" t="s">
        <v>185</v>
      </c>
      <c r="AI4205" s="153" t="s">
        <v>186</v>
      </c>
      <c r="AJ4205" s="143">
        <f>AJ4191*1.01</f>
        <v>127142.98974271072</v>
      </c>
      <c r="AK4205" s="128" t="s">
        <v>185</v>
      </c>
      <c r="AL4205" s="153" t="s">
        <v>186</v>
      </c>
      <c r="AM4205" s="143">
        <f>AM4191*1.01</f>
        <v>149085.15462405546</v>
      </c>
      <c r="AN4205" s="128" t="s">
        <v>185</v>
      </c>
      <c r="AO4205" s="153" t="s">
        <v>186</v>
      </c>
      <c r="AP4205" s="143">
        <f>AP4191*1.01</f>
        <v>166329.5879717631</v>
      </c>
      <c r="AQ4205" s="128" t="s">
        <v>185</v>
      </c>
      <c r="AR4205" s="153" t="s">
        <v>186</v>
      </c>
      <c r="AS4205" s="143">
        <f>AS4191*1.01</f>
        <v>185568.65641398026</v>
      </c>
      <c r="AT4205" s="128" t="s">
        <v>185</v>
      </c>
      <c r="AU4205" s="153" t="s">
        <v>186</v>
      </c>
    </row>
    <row r="4206" spans="13:47" ht="14" x14ac:dyDescent="0.3">
      <c r="M4206" s="12"/>
      <c r="N4206" s="12"/>
      <c r="O4206" s="20"/>
      <c r="P4206" s="20"/>
      <c r="Q4206" s="23"/>
      <c r="R4206" s="139"/>
      <c r="S4206" s="130" t="s">
        <v>228</v>
      </c>
      <c r="T4206" s="154" t="s">
        <v>187</v>
      </c>
      <c r="U4206" s="144"/>
      <c r="V4206" s="130" t="s">
        <v>228</v>
      </c>
      <c r="W4206" s="154" t="s">
        <v>187</v>
      </c>
      <c r="X4206" s="144"/>
      <c r="Y4206" s="130" t="s">
        <v>228</v>
      </c>
      <c r="Z4206" s="154" t="s">
        <v>187</v>
      </c>
      <c r="AA4206" s="144"/>
      <c r="AB4206" s="130" t="s">
        <v>228</v>
      </c>
      <c r="AC4206" s="154" t="s">
        <v>187</v>
      </c>
      <c r="AD4206" s="144"/>
      <c r="AE4206" s="130" t="s">
        <v>228</v>
      </c>
      <c r="AF4206" s="154" t="s">
        <v>187</v>
      </c>
      <c r="AG4206" s="144"/>
      <c r="AH4206" s="130" t="s">
        <v>228</v>
      </c>
      <c r="AI4206" s="154" t="s">
        <v>187</v>
      </c>
      <c r="AJ4206" s="144"/>
      <c r="AK4206" s="130" t="s">
        <v>228</v>
      </c>
      <c r="AL4206" s="154" t="s">
        <v>187</v>
      </c>
      <c r="AM4206" s="144"/>
      <c r="AN4206" s="130" t="s">
        <v>228</v>
      </c>
      <c r="AO4206" s="154" t="s">
        <v>187</v>
      </c>
      <c r="AP4206" s="144"/>
      <c r="AQ4206" s="130" t="s">
        <v>228</v>
      </c>
      <c r="AR4206" s="154" t="s">
        <v>187</v>
      </c>
      <c r="AS4206" s="144"/>
      <c r="AT4206" s="130" t="s">
        <v>228</v>
      </c>
      <c r="AU4206" s="154" t="s">
        <v>187</v>
      </c>
    </row>
    <row r="4207" spans="13:47" x14ac:dyDescent="0.25">
      <c r="M4207" s="20"/>
      <c r="N4207" s="20"/>
      <c r="O4207" s="7" t="s">
        <v>188</v>
      </c>
      <c r="P4207" s="7"/>
      <c r="Q4207" s="7"/>
      <c r="R4207" s="181">
        <f>P_1_minW-(R4205^2*R_up)+dpup_minQ</f>
        <v>93.540029702909308</v>
      </c>
      <c r="S4207" s="132"/>
      <c r="T4207" s="145"/>
      <c r="U4207" s="138">
        <f>P_1_minW-(U4205^2*R_up)+dpup_minQ</f>
        <v>68.139004214777088</v>
      </c>
      <c r="V4207" s="132"/>
      <c r="W4207" s="145"/>
      <c r="X4207" s="138">
        <f>P_1_minW-(X4205^2*R_up)+dpup_minQ</f>
        <v>-97.546712096897394</v>
      </c>
      <c r="Y4207" s="132"/>
      <c r="Z4207" s="145"/>
      <c r="AA4207" s="138">
        <f>P_1_minW-(AA4205^2*R_up)+dpup_minQ</f>
        <v>-650.89537820352473</v>
      </c>
      <c r="AB4207" s="132"/>
      <c r="AC4207" s="145"/>
      <c r="AD4207" s="138">
        <f>P_1_minW-(AD4205^2*R_up)+dpup_minQ</f>
        <v>-1931.9234574722107</v>
      </c>
      <c r="AE4207" s="132"/>
      <c r="AF4207" s="145"/>
      <c r="AG4207" s="138">
        <f>P_1_minW-(AG4205^2*R_up)+dpup_minQ</f>
        <v>-3897.7505895119484</v>
      </c>
      <c r="AH4207" s="132"/>
      <c r="AI4207" s="145"/>
      <c r="AJ4207" s="138">
        <f>P_1_minW-(AJ4205^2*R_up)+dpup_minQ</f>
        <v>-6345.597816154901</v>
      </c>
      <c r="AK4207" s="132"/>
      <c r="AL4207" s="145"/>
      <c r="AM4207" s="138">
        <f>P_1_minW-(AM4205^2*R_up)+dpup_minQ</f>
        <v>-8762.5106488963738</v>
      </c>
      <c r="AN4207" s="132"/>
      <c r="AO4207" s="145"/>
      <c r="AP4207" s="138">
        <f>P_1_minW-(AP4205^2*R_up)+dpup_minQ</f>
        <v>-10931.435496098497</v>
      </c>
      <c r="AQ4207" s="132"/>
      <c r="AR4207" s="145"/>
      <c r="AS4207" s="138">
        <f>P_1_minW-(AS4205^2*R_up)+dpup_minQ</f>
        <v>-13631.130652018812</v>
      </c>
      <c r="AT4207" s="132"/>
      <c r="AU4207" s="145"/>
    </row>
    <row r="4208" spans="13:47" x14ac:dyDescent="0.25">
      <c r="M4208" s="20"/>
      <c r="N4208" s="20"/>
      <c r="O4208" s="7" t="s">
        <v>189</v>
      </c>
      <c r="P4208" s="1"/>
      <c r="Q4208" s="7"/>
      <c r="R4208" s="181">
        <f>P_2_minW+(R4205^2*R_dn)-dpdn_minQ</f>
        <v>50</v>
      </c>
      <c r="S4208" s="132"/>
      <c r="T4208" s="146"/>
      <c r="U4208" s="138">
        <f>P_2_minW+(U4205^2*R_dn)-dpdn_minQ</f>
        <v>50</v>
      </c>
      <c r="V4208" s="132"/>
      <c r="W4208" s="146"/>
      <c r="X4208" s="138">
        <f>P_2_minW+(X4205^2*R_dn)-dpdn_minQ</f>
        <v>50</v>
      </c>
      <c r="Y4208" s="132"/>
      <c r="Z4208" s="146"/>
      <c r="AA4208" s="138">
        <f>P_2_minW+(AA4205^2*R_dn)-dpdn_minQ</f>
        <v>50</v>
      </c>
      <c r="AB4208" s="132"/>
      <c r="AC4208" s="146"/>
      <c r="AD4208" s="138">
        <f>P_2_minW+(AD4205^2*R_dn)-dpdn_minQ</f>
        <v>50</v>
      </c>
      <c r="AE4208" s="132"/>
      <c r="AF4208" s="146"/>
      <c r="AG4208" s="138">
        <f>P_2_minW+(AG4205^2*R_dn)-dpdn_minQ</f>
        <v>50</v>
      </c>
      <c r="AH4208" s="132"/>
      <c r="AI4208" s="146"/>
      <c r="AJ4208" s="138">
        <f>P_2_minW+(AJ4205^2*R_dn)-dpdn_minQ</f>
        <v>50</v>
      </c>
      <c r="AK4208" s="132"/>
      <c r="AL4208" s="146"/>
      <c r="AM4208" s="138">
        <f>P_2_minW+(AM4205^2*R_dn)-dpdn_minQ</f>
        <v>50</v>
      </c>
      <c r="AN4208" s="132"/>
      <c r="AO4208" s="146"/>
      <c r="AP4208" s="138">
        <f>P_2_minW+(AP4205^2*R_dn)-dpdn_minQ</f>
        <v>50</v>
      </c>
      <c r="AQ4208" s="132"/>
      <c r="AR4208" s="146"/>
      <c r="AS4208" s="138">
        <f>P_2_minW+(AS4205^2*R_dn)-dpdn_minQ</f>
        <v>50</v>
      </c>
      <c r="AT4208" s="132"/>
      <c r="AU4208" s="146"/>
    </row>
    <row r="4209" spans="13:47" x14ac:dyDescent="0.25">
      <c r="M4209" s="20"/>
      <c r="N4209" s="20"/>
      <c r="O4209" s="7" t="s">
        <v>234</v>
      </c>
      <c r="P4209" s="1"/>
      <c r="Q4209" s="7"/>
      <c r="R4209" s="179">
        <f>'Valve Sizing'!G$8*R4207/P_1_maxW</f>
        <v>0.45122044951101942</v>
      </c>
      <c r="S4209" s="132"/>
      <c r="T4209" s="146"/>
      <c r="U4209" s="143">
        <f>'Valve Sizing'!$G$8*U4207/P_1_maxW</f>
        <v>0.32869042493011635</v>
      </c>
      <c r="V4209" s="132"/>
      <c r="W4209" s="146"/>
      <c r="X4209" s="143">
        <f>'Valve Sizing'!$G$8*X4207/P_1_maxW</f>
        <v>-0.47054797203378557</v>
      </c>
      <c r="Y4209" s="132"/>
      <c r="Z4209" s="146"/>
      <c r="AA4209" s="143">
        <f>'Valve Sizing'!$G$8*AA4207/P_1_maxW</f>
        <v>-3.1398034196743985</v>
      </c>
      <c r="AB4209" s="132"/>
      <c r="AC4209" s="146"/>
      <c r="AD4209" s="143">
        <f>'Valve Sizing'!$G$8*AD4207/P_1_maxW</f>
        <v>-9.3192548010745533</v>
      </c>
      <c r="AE4209" s="132"/>
      <c r="AF4209" s="146"/>
      <c r="AG4209" s="143">
        <f>'Valve Sizing'!$G$8*AG4207/P_1_maxW</f>
        <v>-18.802054892085643</v>
      </c>
      <c r="AH4209" s="132"/>
      <c r="AI4209" s="146"/>
      <c r="AJ4209" s="143">
        <f>'Valve Sizing'!$G$8*AJ4207/P_1_maxW</f>
        <v>-30.610034101074312</v>
      </c>
      <c r="AK4209" s="132"/>
      <c r="AL4209" s="146"/>
      <c r="AM4209" s="143">
        <f>'Valve Sizing'!$G$8*AM4207/P_1_maxW</f>
        <v>-42.268791301411611</v>
      </c>
      <c r="AN4209" s="132"/>
      <c r="AO4209" s="146"/>
      <c r="AP4209" s="143">
        <f>'Valve Sizing'!$G$8*AP4207/P_1_maxW</f>
        <v>-52.731298611046576</v>
      </c>
      <c r="AQ4209" s="132"/>
      <c r="AR4209" s="146"/>
      <c r="AS4209" s="143">
        <f>'Valve Sizing'!$G$8*AS4207/P_1_maxW</f>
        <v>-65.754147392109118</v>
      </c>
      <c r="AT4209" s="132"/>
      <c r="AU4209" s="146"/>
    </row>
    <row r="4210" spans="13:47" x14ac:dyDescent="0.25">
      <c r="M4210" s="20"/>
      <c r="N4210" s="20"/>
      <c r="O4210" s="7" t="s">
        <v>190</v>
      </c>
      <c r="P4210" s="1"/>
      <c r="Q4210" s="7"/>
      <c r="R4210" s="181">
        <f>R4207-R4208</f>
        <v>43.540029702909308</v>
      </c>
      <c r="S4210" s="132"/>
      <c r="T4210" s="146"/>
      <c r="U4210" s="138">
        <f>U4207-U4208</f>
        <v>18.139004214777088</v>
      </c>
      <c r="V4210" s="132"/>
      <c r="W4210" s="146"/>
      <c r="X4210" s="138">
        <f>X4207-X4208</f>
        <v>-147.54671209689741</v>
      </c>
      <c r="Y4210" s="132"/>
      <c r="Z4210" s="146"/>
      <c r="AA4210" s="138">
        <f>AA4207-AA4208</f>
        <v>-700.89537820352473</v>
      </c>
      <c r="AB4210" s="132"/>
      <c r="AC4210" s="146"/>
      <c r="AD4210" s="138">
        <f>AD4207-AD4208</f>
        <v>-1981.9234574722107</v>
      </c>
      <c r="AE4210" s="132"/>
      <c r="AF4210" s="146"/>
      <c r="AG4210" s="138">
        <f>AG4207-AG4208</f>
        <v>-3947.7505895119484</v>
      </c>
      <c r="AH4210" s="132"/>
      <c r="AI4210" s="146"/>
      <c r="AJ4210" s="138">
        <f>AJ4207-AJ4208</f>
        <v>-6395.597816154901</v>
      </c>
      <c r="AK4210" s="132"/>
      <c r="AL4210" s="146"/>
      <c r="AM4210" s="138">
        <f>AM4207-AM4208</f>
        <v>-8812.5106488963738</v>
      </c>
      <c r="AN4210" s="132"/>
      <c r="AO4210" s="146"/>
      <c r="AP4210" s="138">
        <f>AP4207-AP4208</f>
        <v>-10981.435496098497</v>
      </c>
      <c r="AQ4210" s="132"/>
      <c r="AR4210" s="146"/>
      <c r="AS4210" s="138">
        <f>AS4207-AS4208</f>
        <v>-13681.130652018812</v>
      </c>
      <c r="AT4210" s="132"/>
      <c r="AU4210" s="146"/>
    </row>
    <row r="4211" spans="13:47" ht="14.5" x14ac:dyDescent="0.35">
      <c r="M4211" s="27"/>
      <c r="N4211" s="27"/>
      <c r="O4211" s="2" t="s">
        <v>191</v>
      </c>
      <c r="P4211" s="10"/>
      <c r="Q4211" s="2"/>
      <c r="R4211" s="181">
        <f>R4210/R4207</f>
        <v>0.46546948767491264</v>
      </c>
      <c r="S4211" s="132"/>
      <c r="T4211" s="146"/>
      <c r="U4211" s="138">
        <f>U4210/U4207</f>
        <v>0.26620588932591621</v>
      </c>
      <c r="V4211" s="132"/>
      <c r="W4211" s="146"/>
      <c r="X4211" s="138">
        <f>X4210/X4207</f>
        <v>1.5125749389721392</v>
      </c>
      <c r="Y4211" s="132"/>
      <c r="Z4211" s="146"/>
      <c r="AA4211" s="138">
        <f>AA4210/AA4207</f>
        <v>1.0768172607677755</v>
      </c>
      <c r="AB4211" s="132"/>
      <c r="AC4211" s="146"/>
      <c r="AD4211" s="138">
        <f>AD4210/AD4207</f>
        <v>1.0258809425428383</v>
      </c>
      <c r="AE4211" s="132"/>
      <c r="AF4211" s="146"/>
      <c r="AG4211" s="138">
        <f>AG4210/AG4207</f>
        <v>1.0128279115997159</v>
      </c>
      <c r="AH4211" s="132"/>
      <c r="AI4211" s="146"/>
      <c r="AJ4211" s="138">
        <f>AJ4210/AJ4207</f>
        <v>1.0078794782538389</v>
      </c>
      <c r="AK4211" s="132"/>
      <c r="AL4211" s="146"/>
      <c r="AM4211" s="138">
        <f>AM4210/AM4207</f>
        <v>1.0057061271596055</v>
      </c>
      <c r="AN4211" s="132"/>
      <c r="AO4211" s="146"/>
      <c r="AP4211" s="138">
        <f>AP4210/AP4207</f>
        <v>1.0045739646927292</v>
      </c>
      <c r="AQ4211" s="132"/>
      <c r="AR4211" s="146"/>
      <c r="AS4211" s="138">
        <f>AS4210/AS4207</f>
        <v>1.0036680742981945</v>
      </c>
      <c r="AT4211" s="132"/>
      <c r="AU4211" s="146"/>
    </row>
    <row r="4212" spans="13:47" x14ac:dyDescent="0.25">
      <c r="M4212" s="27"/>
      <c r="N4212" s="27"/>
      <c r="O4212" s="2" t="s">
        <v>26</v>
      </c>
      <c r="P4212" s="7">
        <v>12</v>
      </c>
      <c r="Q4212" s="2"/>
      <c r="R4212" s="181">
        <f>1-R4211/(3*F_GAMMA*R$29)</f>
        <v>0.75757815694415931</v>
      </c>
      <c r="S4212" s="133"/>
      <c r="T4212" s="146"/>
      <c r="U4212" s="138">
        <f>1-U4211/(3*F_GAMMA*U$29)</f>
        <v>0.86138744810471757</v>
      </c>
      <c r="V4212" s="133"/>
      <c r="W4212" s="146"/>
      <c r="X4212" s="138">
        <f>1-X4211/(3*F_GAMMA*X$29)</f>
        <v>0.2005919383594964</v>
      </c>
      <c r="Y4212" s="133"/>
      <c r="Z4212" s="146"/>
      <c r="AA4212" s="138">
        <f>1-AA4211/(3*F_GAMMA*AA$29)</f>
        <v>0.42309014418890445</v>
      </c>
      <c r="AB4212" s="133"/>
      <c r="AC4212" s="146"/>
      <c r="AD4212" s="138">
        <f>1-AD4211/(3*F_GAMMA*AD$29)</f>
        <v>0.43531008854659425</v>
      </c>
      <c r="AE4212" s="133"/>
      <c r="AF4212" s="146"/>
      <c r="AG4212" s="138">
        <f>1-AG4211/(3*F_GAMMA*AG$29)</f>
        <v>0.4106940871866489</v>
      </c>
      <c r="AH4212" s="133"/>
      <c r="AI4212" s="146"/>
      <c r="AJ4212" s="138">
        <f>1-AJ4211/(3*F_GAMMA*AJ$29)</f>
        <v>0.37310190135907817</v>
      </c>
      <c r="AK4212" s="133"/>
      <c r="AL4212" s="146"/>
      <c r="AM4212" s="138">
        <f>1-AM4211/(3*F_GAMMA*AM$29)</f>
        <v>0.31652707739198727</v>
      </c>
      <c r="AN4212" s="133"/>
      <c r="AO4212" s="146"/>
      <c r="AP4212" s="138">
        <f>1-AP4211/(3*F_GAMMA*AP$29)</f>
        <v>0.43581940825740095</v>
      </c>
      <c r="AQ4212" s="133"/>
      <c r="AR4212" s="146"/>
      <c r="AS4212" s="138">
        <f>1-AS4211/(3*F_GAMMA*AS$29)</f>
        <v>0.14429717808383646</v>
      </c>
      <c r="AT4212" s="133"/>
      <c r="AU4212" s="146"/>
    </row>
    <row r="4213" spans="13:47" x14ac:dyDescent="0.25">
      <c r="M4213" s="27"/>
      <c r="N4213" s="27"/>
      <c r="O4213" s="2" t="s">
        <v>71</v>
      </c>
      <c r="P4213" s="85">
        <v>5</v>
      </c>
      <c r="Q4213" s="2"/>
      <c r="R4213" s="179">
        <f>R4205/((N_6*R$27*R4212)*SQRT(R4211*R4207*R4209))</f>
        <v>19.689660581422078</v>
      </c>
      <c r="S4213" s="133"/>
      <c r="T4213" s="146"/>
      <c r="U4213" s="143">
        <f>U4205/((N_6*U$27*U4212)*SQRT(U4211*U4207*U4209))</f>
        <v>67.736993998178448</v>
      </c>
      <c r="V4213" s="133"/>
      <c r="W4213" s="146"/>
      <c r="X4213" s="143">
        <f>X4205/((N_6*X$27*X4212)*SQRT(X4211*X4207*X4209))</f>
        <v>211.27638031319424</v>
      </c>
      <c r="Y4213" s="133"/>
      <c r="Z4213" s="146"/>
      <c r="AA4213" s="143">
        <f>AA4205/((N_6*AA$27*AA4212)*SQRT(AA4211*AA4207*AA4209))</f>
        <v>34.853230109689349</v>
      </c>
      <c r="AB4213" s="133"/>
      <c r="AC4213" s="146"/>
      <c r="AD4213" s="143">
        <f>AD4205/((N_6*AD$27*AD4212)*SQRT(AD4211*AD4207*AD4209))</f>
        <v>19.459620859428998</v>
      </c>
      <c r="AE4213" s="133"/>
      <c r="AF4213" s="146"/>
      <c r="AG4213" s="143">
        <f>AG4205/((N_6*AG$27*AG4212)*SQRT(AG4211*AG4207*AG4209))</f>
        <v>14.742414145849093</v>
      </c>
      <c r="AH4213" s="133"/>
      <c r="AI4213" s="146"/>
      <c r="AJ4213" s="143">
        <f>AJ4205/((N_6*AJ$27*AJ4212)*SQRT(AJ4211*AJ4207*AJ4209))</f>
        <v>13.123122234980668</v>
      </c>
      <c r="AK4213" s="133"/>
      <c r="AL4213" s="146"/>
      <c r="AM4213" s="143">
        <f>AM4205/((N_6*AM$27*AM4212)*SQRT(AM4211*AM4207*AM4209))</f>
        <v>13.957020949358782</v>
      </c>
      <c r="AN4213" s="133"/>
      <c r="AO4213" s="146"/>
      <c r="AP4213" s="143">
        <f>AP4205/((N_6*AP$27*AP4212)*SQRT(AP4211*AP4207*AP4209))</f>
        <v>10.303439301301408</v>
      </c>
      <c r="AQ4213" s="133"/>
      <c r="AR4213" s="146"/>
      <c r="AS4213" s="143">
        <f>AS4205/((N_6*AS$27*AS4212)*SQRT(AS4211*AS4207*AS4209))</f>
        <v>36.601147061894252</v>
      </c>
      <c r="AT4213" s="133"/>
      <c r="AU4213" s="146"/>
    </row>
    <row r="4214" spans="13:47" x14ac:dyDescent="0.25">
      <c r="M4214" s="27"/>
      <c r="N4214" s="27"/>
      <c r="O4214" s="2" t="s">
        <v>73</v>
      </c>
      <c r="P4214" s="85">
        <v>5</v>
      </c>
      <c r="Q4214" s="2"/>
      <c r="R4214" s="179">
        <f>R4205/((N_6*R$27*0.667)*SQRT(R4215*R4207*R4209))</f>
        <v>19.0715654083922</v>
      </c>
      <c r="S4214" s="133"/>
      <c r="T4214" s="155"/>
      <c r="U4214" s="143">
        <f>U4205/((N_6*U$27*0.667)*SQRT(U4215*U4207*U4209))</f>
        <v>56.41057568633601</v>
      </c>
      <c r="V4214" s="133"/>
      <c r="W4214" s="155"/>
      <c r="X4214" s="143">
        <f>X4205/((N_6*X$27*0.667)*SQRT(X4215*X4207*X4209))</f>
        <v>98.397367149677891</v>
      </c>
      <c r="Y4214" s="133"/>
      <c r="Z4214" s="155"/>
      <c r="AA4214" s="143">
        <f>AA4205/((N_6*AA$27*0.667)*SQRT(AA4215*AA4207*AA4209))</f>
        <v>29.084708462881721</v>
      </c>
      <c r="AB4214" s="133"/>
      <c r="AC4214" s="155"/>
      <c r="AD4214" s="143">
        <f>AD4205/((N_6*AD$27*0.667)*SQRT(AD4215*AD4207*AD4209))</f>
        <v>16.530002323417175</v>
      </c>
      <c r="AE4214" s="133"/>
      <c r="AF4214" s="155"/>
      <c r="AG4214" s="143">
        <f>AG4205/((N_6*AG$27*0.667)*SQRT(AG4215*AG4207*AG4209))</f>
        <v>12.069582575473117</v>
      </c>
      <c r="AH4214" s="133"/>
      <c r="AI4214" s="155"/>
      <c r="AJ4214" s="143">
        <f>AJ4205/((N_6*AJ$27*0.667)*SQRT(AJ4215*AJ4207*AJ4209))</f>
        <v>10.066949872478629</v>
      </c>
      <c r="AK4214" s="133"/>
      <c r="AL4214" s="155"/>
      <c r="AM4214" s="143">
        <f>AM4205/((N_6*AM$27*0.667)*SQRT(AM4215*AM4207*AM4209))</f>
        <v>9.4841638521555769</v>
      </c>
      <c r="AN4214" s="133"/>
      <c r="AO4214" s="155"/>
      <c r="AP4214" s="143">
        <f>AP4205/((N_6*AP$27*0.667)*SQRT(AP4215*AP4207*AP4209))</f>
        <v>8.7585587631591473</v>
      </c>
      <c r="AQ4214" s="133"/>
      <c r="AR4214" s="155"/>
      <c r="AS4214" s="143">
        <f>AS4205/((N_6*AS$27*0.667)*SQRT(AS4215*AS4207*AS4209))</f>
        <v>12.68670407241107</v>
      </c>
      <c r="AT4214" s="133"/>
      <c r="AU4214" s="155"/>
    </row>
    <row r="4215" spans="13:47" ht="15.5" x14ac:dyDescent="0.4">
      <c r="M4215" s="27"/>
      <c r="N4215" s="27"/>
      <c r="O4215" s="2" t="s">
        <v>192</v>
      </c>
      <c r="P4215" s="85">
        <v>10</v>
      </c>
      <c r="Q4215" s="2"/>
      <c r="R4215" s="181">
        <f>F_GAMMA*R$29</f>
        <v>0.64002688015162901</v>
      </c>
      <c r="S4215" s="133"/>
      <c r="T4215" s="155"/>
      <c r="U4215" s="138">
        <f>F_GAMMA*U$29</f>
        <v>0.64016782916606918</v>
      </c>
      <c r="V4215" s="133"/>
      <c r="W4215" s="155"/>
      <c r="X4215" s="138">
        <f>F_GAMMA*X$29</f>
        <v>0.6307062319203669</v>
      </c>
      <c r="Y4215" s="133"/>
      <c r="Z4215" s="155"/>
      <c r="AA4215" s="138">
        <f>F_GAMMA*AA$29</f>
        <v>0.62217534213893466</v>
      </c>
      <c r="AB4215" s="133"/>
      <c r="AC4215" s="155"/>
      <c r="AD4215" s="138">
        <f>F_GAMMA*AD$29</f>
        <v>0.60557184969146072</v>
      </c>
      <c r="AE4215" s="133"/>
      <c r="AF4215" s="155"/>
      <c r="AG4215" s="138">
        <f>F_GAMMA*AG$29</f>
        <v>0.57289312142622573</v>
      </c>
      <c r="AH4215" s="133"/>
      <c r="AI4215" s="155"/>
      <c r="AJ4215" s="138">
        <f>F_GAMMA*AJ$29</f>
        <v>0.53590819116049981</v>
      </c>
      <c r="AK4215" s="133"/>
      <c r="AL4215" s="155"/>
      <c r="AM4215" s="138">
        <f>F_GAMMA*AM$29</f>
        <v>0.49048815926850342</v>
      </c>
      <c r="AN4215" s="133"/>
      <c r="AO4215" s="155"/>
      <c r="AP4215" s="138">
        <f>F_GAMMA*AP$29</f>
        <v>0.59352979016280105</v>
      </c>
      <c r="AQ4215" s="133"/>
      <c r="AR4215" s="155"/>
      <c r="AS4215" s="138">
        <f>F_GAMMA*AS$29</f>
        <v>0.39097221161068291</v>
      </c>
      <c r="AT4215" s="133"/>
      <c r="AU4215" s="155"/>
    </row>
    <row r="4216" spans="13:47" x14ac:dyDescent="0.25">
      <c r="M4216" s="27"/>
      <c r="N4216" s="27"/>
      <c r="O4216" s="2" t="s">
        <v>193</v>
      </c>
      <c r="P4216" s="134"/>
      <c r="Q4216" s="2"/>
      <c r="R4216" s="181">
        <f>IF(R4211&lt;R4215,R4213,R4214)</f>
        <v>19.689660581422078</v>
      </c>
      <c r="S4216" s="133"/>
      <c r="T4216" s="155"/>
      <c r="U4216" s="138">
        <f>IF(U4211&lt;U4215,U4213,U4214)</f>
        <v>67.736993998178448</v>
      </c>
      <c r="V4216" s="133"/>
      <c r="W4216" s="155"/>
      <c r="X4216" s="138">
        <f>IF(X4211&lt;X4215,X4213,X4214)</f>
        <v>98.397367149677891</v>
      </c>
      <c r="Y4216" s="133"/>
      <c r="Z4216" s="155"/>
      <c r="AA4216" s="138">
        <f>IF(AA4211&lt;AA4215,AA4213,AA4214)</f>
        <v>29.084708462881721</v>
      </c>
      <c r="AB4216" s="133"/>
      <c r="AC4216" s="155"/>
      <c r="AD4216" s="138">
        <f>IF(AD4211&lt;AD4215,AD4213,AD4214)</f>
        <v>16.530002323417175</v>
      </c>
      <c r="AE4216" s="133"/>
      <c r="AF4216" s="155"/>
      <c r="AG4216" s="138">
        <f>IF(AG4211&lt;AG4215,AG4213,AG4214)</f>
        <v>12.069582575473117</v>
      </c>
      <c r="AH4216" s="133"/>
      <c r="AI4216" s="155"/>
      <c r="AJ4216" s="138">
        <f>IF(AJ4211&lt;AJ4215,AJ4213,AJ4214)</f>
        <v>10.066949872478629</v>
      </c>
      <c r="AK4216" s="133"/>
      <c r="AL4216" s="155"/>
      <c r="AM4216" s="138">
        <f>IF(AM4211&lt;AM4215,AM4213,AM4214)</f>
        <v>9.4841638521555769</v>
      </c>
      <c r="AN4216" s="133"/>
      <c r="AO4216" s="155"/>
      <c r="AP4216" s="138">
        <f>IF(AP4211&lt;AP4215,AP4213,AP4214)</f>
        <v>8.7585587631591473</v>
      </c>
      <c r="AQ4216" s="133"/>
      <c r="AR4216" s="155"/>
      <c r="AS4216" s="138">
        <f>IF(AS4211&lt;AS4215,AS4213,AS4214)</f>
        <v>12.68670407241107</v>
      </c>
      <c r="AT4216" s="133"/>
      <c r="AU4216" s="155"/>
    </row>
    <row r="4217" spans="13:47" ht="13" x14ac:dyDescent="0.3">
      <c r="M4217" s="28"/>
      <c r="N4217" s="28"/>
      <c r="O4217" s="9" t="s">
        <v>194</v>
      </c>
      <c r="P4217" s="1"/>
      <c r="Q4217" s="1"/>
      <c r="R4217" s="135"/>
      <c r="S4217" s="132">
        <f>IF(R4210&lt;=0,W_max,ABS(R$23-R4216))</f>
        <v>17.689660581422078</v>
      </c>
      <c r="T4217" s="151">
        <f>R4205</f>
        <v>4184.6262180936083</v>
      </c>
      <c r="U4217" s="135"/>
      <c r="V4217" s="132">
        <f>IF(U4210&lt;=0,W_max,ABS(U$23-U4216))</f>
        <v>62.736993998178448</v>
      </c>
      <c r="W4217" s="151">
        <f>U4205</f>
        <v>9011.7055564354669</v>
      </c>
      <c r="X4217" s="135"/>
      <c r="Y4217" s="132">
        <f>IF(X4210&lt;=0,W_max,ABS(X$23-X4216))</f>
        <v>7174</v>
      </c>
      <c r="Z4217" s="151">
        <f>X4205</f>
        <v>22287.020246597149</v>
      </c>
      <c r="AA4217" s="135"/>
      <c r="AB4217" s="132">
        <f>IF(AA4210&lt;=0,W_max,ABS(AA$23-AA4216))</f>
        <v>7174</v>
      </c>
      <c r="AC4217" s="151">
        <f>AA4205</f>
        <v>43409.426780676171</v>
      </c>
      <c r="AD4217" s="135"/>
      <c r="AE4217" s="132">
        <f>IF(AD4210&lt;=0,W_max,ABS(AD$23-AD4216))</f>
        <v>7174</v>
      </c>
      <c r="AF4217" s="151">
        <f>AD4205</f>
        <v>71392.524651502041</v>
      </c>
      <c r="AG4217" s="135"/>
      <c r="AH4217" s="132">
        <f>IF(AG4210&lt;=0,W_max,ABS(AG$23-AG4216))</f>
        <v>7174</v>
      </c>
      <c r="AI4217" s="151">
        <f>AG4205</f>
        <v>100133.51206074061</v>
      </c>
      <c r="AJ4217" s="135"/>
      <c r="AK4217" s="132">
        <f>IF(AJ4210&lt;=0,W_max,ABS(AJ$23-AJ4216))</f>
        <v>7174</v>
      </c>
      <c r="AL4217" s="151">
        <f>AJ4205</f>
        <v>127142.98974271072</v>
      </c>
      <c r="AM4217" s="135"/>
      <c r="AN4217" s="132">
        <f>IF(AM4210&lt;=0,W_max,ABS(AM$23-AM4216))</f>
        <v>7174</v>
      </c>
      <c r="AO4217" s="151">
        <f>AM4205</f>
        <v>149085.15462405546</v>
      </c>
      <c r="AP4217" s="135"/>
      <c r="AQ4217" s="132">
        <f>IF(AP4210&lt;=0,W_max,ABS(AP$23-AP4216))</f>
        <v>7174</v>
      </c>
      <c r="AR4217" s="151">
        <f>AP4205</f>
        <v>166329.5879717631</v>
      </c>
      <c r="AS4217" s="135"/>
      <c r="AT4217" s="132">
        <f>IF(AS4210&lt;=0,W_max,ABS(AS$23-AS4216))</f>
        <v>7174</v>
      </c>
      <c r="AU4217" s="151">
        <f>AS4205</f>
        <v>185568.65641398026</v>
      </c>
    </row>
    <row r="4218" spans="13:47" ht="13" x14ac:dyDescent="0.25">
      <c r="M4218" s="12"/>
      <c r="N4218" s="12"/>
      <c r="O4218" s="2"/>
      <c r="P4218" s="85"/>
      <c r="Q4218" s="2"/>
      <c r="R4218" s="18"/>
      <c r="S4218" s="150"/>
      <c r="T4218" s="152"/>
      <c r="U4218" s="157"/>
      <c r="V4218" s="1"/>
      <c r="W4218" s="147"/>
      <c r="X4218" s="157"/>
      <c r="Y4218" s="1"/>
      <c r="Z4218" s="147"/>
      <c r="AA4218" s="157"/>
      <c r="AB4218" s="1"/>
      <c r="AC4218" s="147"/>
      <c r="AD4218" s="157"/>
      <c r="AE4218" s="1"/>
      <c r="AF4218" s="147"/>
      <c r="AG4218" s="157"/>
      <c r="AH4218" s="1"/>
      <c r="AI4218" s="147"/>
      <c r="AJ4218" s="157"/>
      <c r="AK4218" s="1"/>
      <c r="AL4218" s="147"/>
      <c r="AM4218" s="157"/>
      <c r="AN4218" s="1"/>
      <c r="AO4218" s="147"/>
      <c r="AP4218" s="157"/>
      <c r="AQ4218" s="1"/>
      <c r="AR4218" s="147"/>
      <c r="AS4218" s="157"/>
      <c r="AT4218" s="1"/>
      <c r="AU4218" s="147"/>
    </row>
    <row r="4219" spans="13:47" ht="14" x14ac:dyDescent="0.3">
      <c r="M4219" s="23"/>
      <c r="N4219" s="23"/>
      <c r="O4219" s="23" t="s">
        <v>238</v>
      </c>
      <c r="P4219" s="20"/>
      <c r="Q4219" s="20"/>
      <c r="R4219" s="181">
        <f>R4205*1.02</f>
        <v>4268.3187424554808</v>
      </c>
      <c r="S4219" s="128" t="s">
        <v>185</v>
      </c>
      <c r="T4219" s="153" t="s">
        <v>186</v>
      </c>
      <c r="U4219" s="143">
        <f>U4205*1.01</f>
        <v>9101.8226119998217</v>
      </c>
      <c r="V4219" s="128" t="s">
        <v>185</v>
      </c>
      <c r="W4219" s="153" t="s">
        <v>186</v>
      </c>
      <c r="X4219" s="143">
        <f>X4205*1.01</f>
        <v>22509.890449063121</v>
      </c>
      <c r="Y4219" s="128" t="s">
        <v>185</v>
      </c>
      <c r="Z4219" s="153" t="s">
        <v>186</v>
      </c>
      <c r="AA4219" s="143">
        <f>AA4205*1.01</f>
        <v>43843.521048482929</v>
      </c>
      <c r="AB4219" s="128" t="s">
        <v>185</v>
      </c>
      <c r="AC4219" s="153" t="s">
        <v>186</v>
      </c>
      <c r="AD4219" s="143">
        <f>AD4205*1.01</f>
        <v>72106.449898017061</v>
      </c>
      <c r="AE4219" s="128" t="s">
        <v>185</v>
      </c>
      <c r="AF4219" s="153" t="s">
        <v>186</v>
      </c>
      <c r="AG4219" s="143">
        <f>AG4205*1.01</f>
        <v>101134.84718134801</v>
      </c>
      <c r="AH4219" s="128" t="s">
        <v>185</v>
      </c>
      <c r="AI4219" s="153" t="s">
        <v>186</v>
      </c>
      <c r="AJ4219" s="143">
        <f>AJ4205*1.01</f>
        <v>128414.41964013783</v>
      </c>
      <c r="AK4219" s="128" t="s">
        <v>185</v>
      </c>
      <c r="AL4219" s="153" t="s">
        <v>186</v>
      </c>
      <c r="AM4219" s="143">
        <f>AM4205*1.01</f>
        <v>150576.00617029602</v>
      </c>
      <c r="AN4219" s="128" t="s">
        <v>185</v>
      </c>
      <c r="AO4219" s="153" t="s">
        <v>186</v>
      </c>
      <c r="AP4219" s="143">
        <f>AP4205*1.01</f>
        <v>167992.88385148073</v>
      </c>
      <c r="AQ4219" s="128" t="s">
        <v>185</v>
      </c>
      <c r="AR4219" s="153" t="s">
        <v>186</v>
      </c>
      <c r="AS4219" s="143">
        <f>AS4205*1.01</f>
        <v>187424.34297812008</v>
      </c>
      <c r="AT4219" s="128" t="s">
        <v>185</v>
      </c>
      <c r="AU4219" s="153" t="s">
        <v>186</v>
      </c>
    </row>
    <row r="4220" spans="13:47" ht="14" x14ac:dyDescent="0.3">
      <c r="M4220" s="12"/>
      <c r="N4220" s="12"/>
      <c r="O4220" s="20"/>
      <c r="P4220" s="20"/>
      <c r="Q4220" s="23"/>
      <c r="R4220" s="139"/>
      <c r="S4220" s="130" t="s">
        <v>228</v>
      </c>
      <c r="T4220" s="154" t="s">
        <v>187</v>
      </c>
      <c r="U4220" s="144"/>
      <c r="V4220" s="130" t="s">
        <v>228</v>
      </c>
      <c r="W4220" s="154" t="s">
        <v>187</v>
      </c>
      <c r="X4220" s="144"/>
      <c r="Y4220" s="130" t="s">
        <v>228</v>
      </c>
      <c r="Z4220" s="154" t="s">
        <v>187</v>
      </c>
      <c r="AA4220" s="144"/>
      <c r="AB4220" s="130" t="s">
        <v>228</v>
      </c>
      <c r="AC4220" s="154" t="s">
        <v>187</v>
      </c>
      <c r="AD4220" s="144"/>
      <c r="AE4220" s="130" t="s">
        <v>228</v>
      </c>
      <c r="AF4220" s="154" t="s">
        <v>187</v>
      </c>
      <c r="AG4220" s="144"/>
      <c r="AH4220" s="130" t="s">
        <v>228</v>
      </c>
      <c r="AI4220" s="154" t="s">
        <v>187</v>
      </c>
      <c r="AJ4220" s="144"/>
      <c r="AK4220" s="130" t="s">
        <v>228</v>
      </c>
      <c r="AL4220" s="154" t="s">
        <v>187</v>
      </c>
      <c r="AM4220" s="144"/>
      <c r="AN4220" s="130" t="s">
        <v>228</v>
      </c>
      <c r="AO4220" s="154" t="s">
        <v>187</v>
      </c>
      <c r="AP4220" s="144"/>
      <c r="AQ4220" s="130" t="s">
        <v>228</v>
      </c>
      <c r="AR4220" s="154" t="s">
        <v>187</v>
      </c>
      <c r="AS4220" s="144"/>
      <c r="AT4220" s="130" t="s">
        <v>228</v>
      </c>
      <c r="AU4220" s="154" t="s">
        <v>187</v>
      </c>
    </row>
    <row r="4221" spans="13:47" x14ac:dyDescent="0.25">
      <c r="M4221" s="20"/>
      <c r="N4221" s="20"/>
      <c r="O4221" s="7" t="s">
        <v>188</v>
      </c>
      <c r="P4221" s="7"/>
      <c r="Q4221" s="7"/>
      <c r="R4221" s="181">
        <f>P_1_minW-(R4219^2*R_up)+dpup_minQ</f>
        <v>93.257926318743088</v>
      </c>
      <c r="S4221" s="132"/>
      <c r="T4221" s="145"/>
      <c r="U4221" s="138">
        <f>P_1_minW-(U4219^2*R_up)+dpup_minQ</f>
        <v>67.488090186085898</v>
      </c>
      <c r="V4221" s="132"/>
      <c r="W4221" s="145"/>
      <c r="X4221" s="138">
        <f>P_1_minW-(X4219^2*R_up)+dpup_minQ</f>
        <v>-101.52790902345326</v>
      </c>
      <c r="Y4221" s="132"/>
      <c r="Z4221" s="145"/>
      <c r="AA4221" s="138">
        <f>P_1_minW-(AA4219^2*R_up)+dpup_minQ</f>
        <v>-665.99888331882369</v>
      </c>
      <c r="AB4221" s="132"/>
      <c r="AC4221" s="145"/>
      <c r="AD4221" s="138">
        <f>P_1_minW-(AD4219^2*R_up)+dpup_minQ</f>
        <v>-1972.7756269808101</v>
      </c>
      <c r="AE4221" s="132"/>
      <c r="AF4221" s="145"/>
      <c r="AG4221" s="138">
        <f>P_1_minW-(AG4219^2*R_up)+dpup_minQ</f>
        <v>-3978.1158843745466</v>
      </c>
      <c r="AH4221" s="132"/>
      <c r="AI4221" s="145"/>
      <c r="AJ4221" s="138">
        <f>P_1_minW-(AJ4219^2*R_up)+dpup_minQ</f>
        <v>-6475.1648402730225</v>
      </c>
      <c r="AK4221" s="132"/>
      <c r="AL4221" s="145"/>
      <c r="AM4221" s="138">
        <f>P_1_minW-(AM4219^2*R_up)+dpup_minQ</f>
        <v>-8940.6576209526011</v>
      </c>
      <c r="AN4221" s="132"/>
      <c r="AO4221" s="145"/>
      <c r="AP4221" s="138">
        <f>P_1_minW-(AP4219^2*R_up)+dpup_minQ</f>
        <v>-11153.177857583485</v>
      </c>
      <c r="AQ4221" s="132"/>
      <c r="AR4221" s="145"/>
      <c r="AS4221" s="138">
        <f>P_1_minW-(AS4219^2*R_up)+dpup_minQ</f>
        <v>-13907.136886137801</v>
      </c>
      <c r="AT4221" s="132"/>
      <c r="AU4221" s="145"/>
    </row>
    <row r="4222" spans="13:47" x14ac:dyDescent="0.25">
      <c r="M4222" s="20"/>
      <c r="N4222" s="20"/>
      <c r="O4222" s="7" t="s">
        <v>189</v>
      </c>
      <c r="P4222" s="1"/>
      <c r="Q4222" s="7"/>
      <c r="R4222" s="181">
        <f>P_2_minW+(R4219^2*R_dn)-dpdn_minQ</f>
        <v>50</v>
      </c>
      <c r="S4222" s="132"/>
      <c r="T4222" s="146"/>
      <c r="U4222" s="138">
        <f>P_2_minW+(U4219^2*R_dn)-dpdn_minQ</f>
        <v>50</v>
      </c>
      <c r="V4222" s="132"/>
      <c r="W4222" s="146"/>
      <c r="X4222" s="138">
        <f>P_2_minW+(X4219^2*R_dn)-dpdn_minQ</f>
        <v>50</v>
      </c>
      <c r="Y4222" s="132"/>
      <c r="Z4222" s="146"/>
      <c r="AA4222" s="138">
        <f>P_2_minW+(AA4219^2*R_dn)-dpdn_minQ</f>
        <v>50</v>
      </c>
      <c r="AB4222" s="132"/>
      <c r="AC4222" s="146"/>
      <c r="AD4222" s="138">
        <f>P_2_minW+(AD4219^2*R_dn)-dpdn_minQ</f>
        <v>50</v>
      </c>
      <c r="AE4222" s="132"/>
      <c r="AF4222" s="146"/>
      <c r="AG4222" s="138">
        <f>P_2_minW+(AG4219^2*R_dn)-dpdn_minQ</f>
        <v>50</v>
      </c>
      <c r="AH4222" s="132"/>
      <c r="AI4222" s="146"/>
      <c r="AJ4222" s="138">
        <f>P_2_minW+(AJ4219^2*R_dn)-dpdn_minQ</f>
        <v>50</v>
      </c>
      <c r="AK4222" s="132"/>
      <c r="AL4222" s="146"/>
      <c r="AM4222" s="138">
        <f>P_2_minW+(AM4219^2*R_dn)-dpdn_minQ</f>
        <v>50</v>
      </c>
      <c r="AN4222" s="132"/>
      <c r="AO4222" s="146"/>
      <c r="AP4222" s="138">
        <f>P_2_minW+(AP4219^2*R_dn)-dpdn_minQ</f>
        <v>50</v>
      </c>
      <c r="AQ4222" s="132"/>
      <c r="AR4222" s="146"/>
      <c r="AS4222" s="138">
        <f>P_2_minW+(AS4219^2*R_dn)-dpdn_minQ</f>
        <v>50</v>
      </c>
      <c r="AT4222" s="132"/>
      <c r="AU4222" s="146"/>
    </row>
    <row r="4223" spans="13:47" x14ac:dyDescent="0.25">
      <c r="M4223" s="20"/>
      <c r="N4223" s="20"/>
      <c r="O4223" s="7" t="s">
        <v>234</v>
      </c>
      <c r="P4223" s="1"/>
      <c r="Q4223" s="7"/>
      <c r="R4223" s="179">
        <f>'Valve Sizing'!G$8*R4221/P_1_maxW</f>
        <v>0.44985963301121351</v>
      </c>
      <c r="S4223" s="132"/>
      <c r="T4223" s="146"/>
      <c r="U4223" s="143">
        <f>'Valve Sizing'!$G$8*U4221/P_1_maxW</f>
        <v>0.32555053154380997</v>
      </c>
      <c r="V4223" s="132"/>
      <c r="W4223" s="146"/>
      <c r="X4223" s="143">
        <f>'Valve Sizing'!$G$8*X4221/P_1_maxW</f>
        <v>-0.48975255719906646</v>
      </c>
      <c r="Y4223" s="132"/>
      <c r="Z4223" s="146"/>
      <c r="AA4223" s="143">
        <f>'Valve Sizing'!$G$8*AA4221/P_1_maxW</f>
        <v>-3.2126600393372549</v>
      </c>
      <c r="AB4223" s="132"/>
      <c r="AC4223" s="146"/>
      <c r="AD4223" s="143">
        <f>'Valve Sizing'!$G$8*AD4221/P_1_maxW</f>
        <v>-9.5163183935035516</v>
      </c>
      <c r="AE4223" s="132"/>
      <c r="AF4223" s="146"/>
      <c r="AG4223" s="143">
        <f>'Valve Sizing'!$G$8*AG4221/P_1_maxW</f>
        <v>-19.189722766343969</v>
      </c>
      <c r="AH4223" s="132"/>
      <c r="AI4223" s="146"/>
      <c r="AJ4223" s="143">
        <f>'Valve Sizing'!$G$8*AJ4221/P_1_maxW</f>
        <v>-31.235042357433304</v>
      </c>
      <c r="AK4223" s="132"/>
      <c r="AL4223" s="146"/>
      <c r="AM4223" s="143">
        <f>'Valve Sizing'!$G$8*AM4221/P_1_maxW</f>
        <v>-43.128140577497398</v>
      </c>
      <c r="AN4223" s="132"/>
      <c r="AO4223" s="146"/>
      <c r="AP4223" s="143">
        <f>'Valve Sizing'!$G$8*AP4221/P_1_maxW</f>
        <v>-53.80094428405603</v>
      </c>
      <c r="AQ4223" s="132"/>
      <c r="AR4223" s="146"/>
      <c r="AS4223" s="143">
        <f>'Valve Sizing'!$G$8*AS4221/P_1_maxW</f>
        <v>-67.08555232561794</v>
      </c>
      <c r="AT4223" s="132"/>
      <c r="AU4223" s="146"/>
    </row>
    <row r="4224" spans="13:47" x14ac:dyDescent="0.25">
      <c r="M4224" s="20"/>
      <c r="N4224" s="20"/>
      <c r="O4224" s="7" t="s">
        <v>190</v>
      </c>
      <c r="P4224" s="1"/>
      <c r="Q4224" s="7"/>
      <c r="R4224" s="181">
        <f>R4221-R4222</f>
        <v>43.257926318743088</v>
      </c>
      <c r="S4224" s="132"/>
      <c r="T4224" s="146"/>
      <c r="U4224" s="138">
        <f>U4221-U4222</f>
        <v>17.488090186085898</v>
      </c>
      <c r="V4224" s="132"/>
      <c r="W4224" s="146"/>
      <c r="X4224" s="138">
        <f>X4221-X4222</f>
        <v>-151.52790902345328</v>
      </c>
      <c r="Y4224" s="132"/>
      <c r="Z4224" s="146"/>
      <c r="AA4224" s="138">
        <f>AA4221-AA4222</f>
        <v>-715.99888331882369</v>
      </c>
      <c r="AB4224" s="132"/>
      <c r="AC4224" s="146"/>
      <c r="AD4224" s="138">
        <f>AD4221-AD4222</f>
        <v>-2022.7756269808101</v>
      </c>
      <c r="AE4224" s="132"/>
      <c r="AF4224" s="146"/>
      <c r="AG4224" s="138">
        <f>AG4221-AG4222</f>
        <v>-4028.1158843745466</v>
      </c>
      <c r="AH4224" s="132"/>
      <c r="AI4224" s="146"/>
      <c r="AJ4224" s="138">
        <f>AJ4221-AJ4222</f>
        <v>-6525.1648402730225</v>
      </c>
      <c r="AK4224" s="132"/>
      <c r="AL4224" s="146"/>
      <c r="AM4224" s="138">
        <f>AM4221-AM4222</f>
        <v>-8990.6576209526011</v>
      </c>
      <c r="AN4224" s="132"/>
      <c r="AO4224" s="146"/>
      <c r="AP4224" s="138">
        <f>AP4221-AP4222</f>
        <v>-11203.177857583485</v>
      </c>
      <c r="AQ4224" s="132"/>
      <c r="AR4224" s="146"/>
      <c r="AS4224" s="138">
        <f>AS4221-AS4222</f>
        <v>-13957.136886137801</v>
      </c>
      <c r="AT4224" s="132"/>
      <c r="AU4224" s="146"/>
    </row>
    <row r="4225" spans="13:47" ht="14.5" x14ac:dyDescent="0.35">
      <c r="M4225" s="27"/>
      <c r="N4225" s="27"/>
      <c r="O4225" s="2" t="s">
        <v>191</v>
      </c>
      <c r="P4225" s="10"/>
      <c r="Q4225" s="2"/>
      <c r="R4225" s="181">
        <f>R4224/R4221</f>
        <v>0.46385254343843435</v>
      </c>
      <c r="S4225" s="132"/>
      <c r="T4225" s="146"/>
      <c r="U4225" s="138">
        <f>U4224/U4221</f>
        <v>0.25912853864831159</v>
      </c>
      <c r="V4225" s="132"/>
      <c r="W4225" s="146"/>
      <c r="X4225" s="138">
        <f>X4224/X4221</f>
        <v>1.4924754235650599</v>
      </c>
      <c r="Y4225" s="132"/>
      <c r="Z4225" s="146"/>
      <c r="AA4225" s="138">
        <f>AA4224/AA4221</f>
        <v>1.0750752009535491</v>
      </c>
      <c r="AB4225" s="132"/>
      <c r="AC4225" s="146"/>
      <c r="AD4225" s="138">
        <f>AD4224/AD4221</f>
        <v>1.0253450008790514</v>
      </c>
      <c r="AE4225" s="132"/>
      <c r="AF4225" s="146"/>
      <c r="AG4225" s="138">
        <f>AG4224/AG4221</f>
        <v>1.0125687640715528</v>
      </c>
      <c r="AH4225" s="132"/>
      <c r="AI4225" s="146"/>
      <c r="AJ4225" s="138">
        <f>AJ4224/AJ4221</f>
        <v>1.00772181114047</v>
      </c>
      <c r="AK4225" s="132"/>
      <c r="AL4225" s="146"/>
      <c r="AM4225" s="138">
        <f>AM4224/AM4221</f>
        <v>1.0055924297875833</v>
      </c>
      <c r="AN4225" s="132"/>
      <c r="AO4225" s="146"/>
      <c r="AP4225" s="138">
        <f>AP4224/AP4221</f>
        <v>1.0044830272267202</v>
      </c>
      <c r="AQ4225" s="132"/>
      <c r="AR4225" s="146"/>
      <c r="AS4225" s="138">
        <f>AS4224/AS4221</f>
        <v>1.0035952763253404</v>
      </c>
      <c r="AT4225" s="132"/>
      <c r="AU4225" s="146"/>
    </row>
    <row r="4226" spans="13:47" x14ac:dyDescent="0.25">
      <c r="M4226" s="27"/>
      <c r="N4226" s="27"/>
      <c r="O4226" s="2" t="s">
        <v>26</v>
      </c>
      <c r="P4226" s="7">
        <v>12</v>
      </c>
      <c r="Q4226" s="2"/>
      <c r="R4226" s="181">
        <f>1-R4225/(3*F_GAMMA*R$29)</f>
        <v>0.75842028003128925</v>
      </c>
      <c r="S4226" s="133"/>
      <c r="T4226" s="146"/>
      <c r="U4226" s="138">
        <f>1-U4225/(3*F_GAMMA*U$29)</f>
        <v>0.86507260188010804</v>
      </c>
      <c r="V4226" s="133"/>
      <c r="W4226" s="146"/>
      <c r="X4226" s="138">
        <f>1-X4225/(3*F_GAMMA*X$29)</f>
        <v>0.21121469445408403</v>
      </c>
      <c r="Y4226" s="133"/>
      <c r="Z4226" s="146"/>
      <c r="AA4226" s="138">
        <f>1-AA4225/(3*F_GAMMA*AA$29)</f>
        <v>0.42402346083682207</v>
      </c>
      <c r="AB4226" s="133"/>
      <c r="AC4226" s="146"/>
      <c r="AD4226" s="138">
        <f>1-AD4225/(3*F_GAMMA*AD$29)</f>
        <v>0.43560509436853478</v>
      </c>
      <c r="AE4226" s="133"/>
      <c r="AF4226" s="146"/>
      <c r="AG4226" s="138">
        <f>1-AG4225/(3*F_GAMMA*AG$29)</f>
        <v>0.41084487012705606</v>
      </c>
      <c r="AH4226" s="133"/>
      <c r="AI4226" s="146"/>
      <c r="AJ4226" s="138">
        <f>1-AJ4225/(3*F_GAMMA*AJ$29)</f>
        <v>0.3731999698441717</v>
      </c>
      <c r="AK4226" s="133"/>
      <c r="AL4226" s="146"/>
      <c r="AM4226" s="138">
        <f>1-AM4225/(3*F_GAMMA*AM$29)</f>
        <v>0.31660434556511485</v>
      </c>
      <c r="AN4226" s="133"/>
      <c r="AO4226" s="146"/>
      <c r="AP4226" s="138">
        <f>1-AP4225/(3*F_GAMMA*AP$29)</f>
        <v>0.43587047981130111</v>
      </c>
      <c r="AQ4226" s="133"/>
      <c r="AR4226" s="146"/>
      <c r="AS4226" s="138">
        <f>1-AS4225/(3*F_GAMMA*AS$29)</f>
        <v>0.14435924385278553</v>
      </c>
      <c r="AT4226" s="133"/>
      <c r="AU4226" s="146"/>
    </row>
    <row r="4227" spans="13:47" x14ac:dyDescent="0.25">
      <c r="M4227" s="27"/>
      <c r="N4227" s="27"/>
      <c r="O4227" s="2" t="s">
        <v>71</v>
      </c>
      <c r="P4227" s="85">
        <v>5</v>
      </c>
      <c r="Q4227" s="2"/>
      <c r="R4227" s="179">
        <f>R4219/((N_6*R$27*R4226)*SQRT(R4225*R4221*R4223))</f>
        <v>20.15687929115272</v>
      </c>
      <c r="S4227" s="133"/>
      <c r="T4227" s="146"/>
      <c r="U4227" s="143">
        <f>U4219/((N_6*U$27*U4226)*SQRT(U4225*U4221*U4223))</f>
        <v>69.712896228825358</v>
      </c>
      <c r="V4227" s="133"/>
      <c r="W4227" s="146"/>
      <c r="X4227" s="143">
        <f>X4219/((N_6*X$27*X4226)*SQRT(X4225*X4221*X4223))</f>
        <v>196.01699050796066</v>
      </c>
      <c r="Y4227" s="133"/>
      <c r="Z4227" s="146"/>
      <c r="AA4227" s="143">
        <f>AA4219/((N_6*AA$27*AA4226)*SQRT(AA4225*AA4221*AA4223))</f>
        <v>34.355533631150188</v>
      </c>
      <c r="AB4227" s="133"/>
      <c r="AC4227" s="146"/>
      <c r="AD4227" s="143">
        <f>AD4219/((N_6*AD$27*AD4226)*SQRT(AD4225*AD4221*AD4223))</f>
        <v>19.239209522394635</v>
      </c>
      <c r="AE4227" s="133"/>
      <c r="AF4227" s="146"/>
      <c r="AG4227" s="143">
        <f>AG4219/((N_6*AG$27*AG4226)*SQRT(AG4225*AG4221*AG4223))</f>
        <v>14.585547837343126</v>
      </c>
      <c r="AH4227" s="133"/>
      <c r="AI4227" s="146"/>
      <c r="AJ4227" s="143">
        <f>AJ4219/((N_6*AJ$27*AJ4226)*SQRT(AJ4225*AJ4221*AJ4223))</f>
        <v>12.986738517826856</v>
      </c>
      <c r="AK4227" s="133"/>
      <c r="AL4227" s="146"/>
      <c r="AM4227" s="143">
        <f>AM4219/((N_6*AM$27*AM4226)*SQRT(AM4225*AM4221*AM4223))</f>
        <v>13.813118753443966</v>
      </c>
      <c r="AN4227" s="133"/>
      <c r="AO4227" s="146"/>
      <c r="AP4227" s="143">
        <f>AP4219/((N_6*AP$27*AP4226)*SQRT(AP4225*AP4221*AP4223))</f>
        <v>10.198843490991464</v>
      </c>
      <c r="AQ4227" s="133"/>
      <c r="AR4227" s="146"/>
      <c r="AS4227" s="143">
        <f>AS4219/((N_6*AS$27*AS4226)*SQRT(AS4225*AS4221*AS4223))</f>
        <v>36.219229825432571</v>
      </c>
      <c r="AT4227" s="133"/>
      <c r="AU4227" s="146"/>
    </row>
    <row r="4228" spans="13:47" x14ac:dyDescent="0.25">
      <c r="M4228" s="27"/>
      <c r="N4228" s="27"/>
      <c r="O4228" s="2" t="s">
        <v>73</v>
      </c>
      <c r="P4228" s="85">
        <v>5</v>
      </c>
      <c r="Q4228" s="2"/>
      <c r="R4228" s="179">
        <f>R4219/((N_6*R$27*0.667)*SQRT(R4229*R4221*R4223))</f>
        <v>19.511841647200683</v>
      </c>
      <c r="S4228" s="133"/>
      <c r="T4228" s="155"/>
      <c r="U4228" s="143">
        <f>U4219/((N_6*U$27*0.667)*SQRT(U4229*U4221*U4223))</f>
        <v>57.524194984467663</v>
      </c>
      <c r="V4228" s="133"/>
      <c r="W4228" s="155"/>
      <c r="X4228" s="143">
        <f>X4219/((N_6*X$27*0.667)*SQRT(X4229*X4221*X4223))</f>
        <v>95.484316914744539</v>
      </c>
      <c r="Y4228" s="133"/>
      <c r="Z4228" s="155"/>
      <c r="AA4228" s="143">
        <f>AA4219/((N_6*AA$27*0.667)*SQRT(AA4229*AA4221*AA4223))</f>
        <v>28.709377473358749</v>
      </c>
      <c r="AB4228" s="133"/>
      <c r="AC4228" s="155"/>
      <c r="AD4228" s="143">
        <f>AD4219/((N_6*AD$27*0.667)*SQRT(AD4229*AD4221*AD4223))</f>
        <v>16.349576602610941</v>
      </c>
      <c r="AE4228" s="133"/>
      <c r="AF4228" s="155"/>
      <c r="AG4228" s="143">
        <f>AG4219/((N_6*AG$27*0.667)*SQRT(AG4229*AG4221*AG4223))</f>
        <v>11.944012242411343</v>
      </c>
      <c r="AH4228" s="133"/>
      <c r="AI4228" s="155"/>
      <c r="AJ4228" s="143">
        <f>AJ4219/((N_6*AJ$27*0.667)*SQRT(AJ4229*AJ4221*AJ4223))</f>
        <v>9.9641669160475317</v>
      </c>
      <c r="AK4228" s="133"/>
      <c r="AL4228" s="155"/>
      <c r="AM4228" s="143">
        <f>AM4219/((N_6*AM$27*0.667)*SQRT(AM4229*AM4221*AM4223))</f>
        <v>9.388139125380361</v>
      </c>
      <c r="AN4228" s="133"/>
      <c r="AO4228" s="155"/>
      <c r="AP4228" s="143">
        <f>AP4219/((N_6*AP$27*0.667)*SQRT(AP4229*AP4221*AP4223))</f>
        <v>8.6702693702758626</v>
      </c>
      <c r="AQ4228" s="133"/>
      <c r="AR4228" s="155"/>
      <c r="AS4228" s="143">
        <f>AS4219/((N_6*AS$27*0.667)*SQRT(AS4229*AS4221*AS4223))</f>
        <v>12.559268193885318</v>
      </c>
      <c r="AT4228" s="133"/>
      <c r="AU4228" s="155"/>
    </row>
    <row r="4229" spans="13:47" ht="15.5" x14ac:dyDescent="0.4">
      <c r="M4229" s="27"/>
      <c r="N4229" s="27"/>
      <c r="O4229" s="2" t="s">
        <v>192</v>
      </c>
      <c r="P4229" s="85">
        <v>10</v>
      </c>
      <c r="Q4229" s="2"/>
      <c r="R4229" s="181">
        <f>F_GAMMA*R$29</f>
        <v>0.64002688015162901</v>
      </c>
      <c r="S4229" s="133"/>
      <c r="T4229" s="155"/>
      <c r="U4229" s="138">
        <f>F_GAMMA*U$29</f>
        <v>0.64016782916606918</v>
      </c>
      <c r="V4229" s="133"/>
      <c r="W4229" s="155"/>
      <c r="X4229" s="138">
        <f>F_GAMMA*X$29</f>
        <v>0.6307062319203669</v>
      </c>
      <c r="Y4229" s="133"/>
      <c r="Z4229" s="155"/>
      <c r="AA4229" s="138">
        <f>F_GAMMA*AA$29</f>
        <v>0.62217534213893466</v>
      </c>
      <c r="AB4229" s="133"/>
      <c r="AC4229" s="155"/>
      <c r="AD4229" s="138">
        <f>F_GAMMA*AD$29</f>
        <v>0.60557184969146072</v>
      </c>
      <c r="AE4229" s="133"/>
      <c r="AF4229" s="155"/>
      <c r="AG4229" s="138">
        <f>F_GAMMA*AG$29</f>
        <v>0.57289312142622573</v>
      </c>
      <c r="AH4229" s="133"/>
      <c r="AI4229" s="155"/>
      <c r="AJ4229" s="138">
        <f>F_GAMMA*AJ$29</f>
        <v>0.53590819116049981</v>
      </c>
      <c r="AK4229" s="133"/>
      <c r="AL4229" s="155"/>
      <c r="AM4229" s="138">
        <f>F_GAMMA*AM$29</f>
        <v>0.49048815926850342</v>
      </c>
      <c r="AN4229" s="133"/>
      <c r="AO4229" s="155"/>
      <c r="AP4229" s="138">
        <f>F_GAMMA*AP$29</f>
        <v>0.59352979016280105</v>
      </c>
      <c r="AQ4229" s="133"/>
      <c r="AR4229" s="155"/>
      <c r="AS4229" s="138">
        <f>F_GAMMA*AS$29</f>
        <v>0.39097221161068291</v>
      </c>
      <c r="AT4229" s="133"/>
      <c r="AU4229" s="155"/>
    </row>
    <row r="4230" spans="13:47" x14ac:dyDescent="0.25">
      <c r="M4230" s="27"/>
      <c r="N4230" s="27"/>
      <c r="O4230" s="2" t="s">
        <v>193</v>
      </c>
      <c r="P4230" s="134"/>
      <c r="Q4230" s="2"/>
      <c r="R4230" s="181">
        <f>IF(R4225&lt;R4229,R4227,R4228)</f>
        <v>20.15687929115272</v>
      </c>
      <c r="S4230" s="133"/>
      <c r="T4230" s="155"/>
      <c r="U4230" s="138">
        <f>IF(U4225&lt;U4229,U4227,U4228)</f>
        <v>69.712896228825358</v>
      </c>
      <c r="V4230" s="133"/>
      <c r="W4230" s="155"/>
      <c r="X4230" s="138">
        <f>IF(X4225&lt;X4229,X4227,X4228)</f>
        <v>95.484316914744539</v>
      </c>
      <c r="Y4230" s="133"/>
      <c r="Z4230" s="155"/>
      <c r="AA4230" s="138">
        <f>IF(AA4225&lt;AA4229,AA4227,AA4228)</f>
        <v>28.709377473358749</v>
      </c>
      <c r="AB4230" s="133"/>
      <c r="AC4230" s="155"/>
      <c r="AD4230" s="138">
        <f>IF(AD4225&lt;AD4229,AD4227,AD4228)</f>
        <v>16.349576602610941</v>
      </c>
      <c r="AE4230" s="133"/>
      <c r="AF4230" s="155"/>
      <c r="AG4230" s="138">
        <f>IF(AG4225&lt;AG4229,AG4227,AG4228)</f>
        <v>11.944012242411343</v>
      </c>
      <c r="AH4230" s="133"/>
      <c r="AI4230" s="155"/>
      <c r="AJ4230" s="138">
        <f>IF(AJ4225&lt;AJ4229,AJ4227,AJ4228)</f>
        <v>9.9641669160475317</v>
      </c>
      <c r="AK4230" s="133"/>
      <c r="AL4230" s="155"/>
      <c r="AM4230" s="138">
        <f>IF(AM4225&lt;AM4229,AM4227,AM4228)</f>
        <v>9.388139125380361</v>
      </c>
      <c r="AN4230" s="133"/>
      <c r="AO4230" s="155"/>
      <c r="AP4230" s="138">
        <f>IF(AP4225&lt;AP4229,AP4227,AP4228)</f>
        <v>8.6702693702758626</v>
      </c>
      <c r="AQ4230" s="133"/>
      <c r="AR4230" s="155"/>
      <c r="AS4230" s="138">
        <f>IF(AS4225&lt;AS4229,AS4227,AS4228)</f>
        <v>12.559268193885318</v>
      </c>
      <c r="AT4230" s="133"/>
      <c r="AU4230" s="155"/>
    </row>
    <row r="4231" spans="13:47" ht="13" x14ac:dyDescent="0.3">
      <c r="M4231" s="28"/>
      <c r="N4231" s="28"/>
      <c r="O4231" s="9" t="s">
        <v>194</v>
      </c>
      <c r="P4231" s="1"/>
      <c r="Q4231" s="1"/>
      <c r="R4231" s="135"/>
      <c r="S4231" s="132">
        <f>IF(R4224&lt;=0,W_max,ABS(R$23-R4230))</f>
        <v>18.15687929115272</v>
      </c>
      <c r="T4231" s="151">
        <f>R4219</f>
        <v>4268.3187424554808</v>
      </c>
      <c r="U4231" s="135"/>
      <c r="V4231" s="132">
        <f>IF(U4224&lt;=0,W_max,ABS(U$23-U4230))</f>
        <v>64.712896228825358</v>
      </c>
      <c r="W4231" s="151">
        <f>U4219</f>
        <v>9101.8226119998217</v>
      </c>
      <c r="X4231" s="135"/>
      <c r="Y4231" s="132">
        <f>IF(X4224&lt;=0,W_max,ABS(X$23-X4230))</f>
        <v>7174</v>
      </c>
      <c r="Z4231" s="151">
        <f>X4219</f>
        <v>22509.890449063121</v>
      </c>
      <c r="AA4231" s="135"/>
      <c r="AB4231" s="132">
        <f>IF(AA4224&lt;=0,W_max,ABS(AA$23-AA4230))</f>
        <v>7174</v>
      </c>
      <c r="AC4231" s="151">
        <f>AA4219</f>
        <v>43843.521048482929</v>
      </c>
      <c r="AD4231" s="135"/>
      <c r="AE4231" s="132">
        <f>IF(AD4224&lt;=0,W_max,ABS(AD$23-AD4230))</f>
        <v>7174</v>
      </c>
      <c r="AF4231" s="151">
        <f>AD4219</f>
        <v>72106.449898017061</v>
      </c>
      <c r="AG4231" s="135"/>
      <c r="AH4231" s="132">
        <f>IF(AG4224&lt;=0,W_max,ABS(AG$23-AG4230))</f>
        <v>7174</v>
      </c>
      <c r="AI4231" s="151">
        <f>AG4219</f>
        <v>101134.84718134801</v>
      </c>
      <c r="AJ4231" s="135"/>
      <c r="AK4231" s="132">
        <f>IF(AJ4224&lt;=0,W_max,ABS(AJ$23-AJ4230))</f>
        <v>7174</v>
      </c>
      <c r="AL4231" s="151">
        <f>AJ4219</f>
        <v>128414.41964013783</v>
      </c>
      <c r="AM4231" s="135"/>
      <c r="AN4231" s="132">
        <f>IF(AM4224&lt;=0,W_max,ABS(AM$23-AM4230))</f>
        <v>7174</v>
      </c>
      <c r="AO4231" s="151">
        <f>AM4219</f>
        <v>150576.00617029602</v>
      </c>
      <c r="AP4231" s="135"/>
      <c r="AQ4231" s="132">
        <f>IF(AP4224&lt;=0,W_max,ABS(AP$23-AP4230))</f>
        <v>7174</v>
      </c>
      <c r="AR4231" s="151">
        <f>AP4219</f>
        <v>167992.88385148073</v>
      </c>
      <c r="AS4231" s="135"/>
      <c r="AT4231" s="132">
        <f>IF(AS4224&lt;=0,W_max,ABS(AS$23-AS4230))</f>
        <v>7174</v>
      </c>
      <c r="AU4231" s="151">
        <f>AS4219</f>
        <v>187424.34297812008</v>
      </c>
    </row>
    <row r="4232" spans="13:47" ht="13" x14ac:dyDescent="0.25">
      <c r="M4232" s="12"/>
      <c r="N4232" s="12"/>
      <c r="O4232" s="2"/>
      <c r="P4232" s="85"/>
      <c r="Q4232" s="2"/>
      <c r="R4232" s="18"/>
      <c r="S4232" s="150"/>
      <c r="T4232" s="148"/>
      <c r="U4232" s="157"/>
      <c r="V4232" s="1"/>
      <c r="W4232" s="147"/>
      <c r="X4232" s="157"/>
      <c r="Y4232" s="1"/>
      <c r="Z4232" s="147"/>
      <c r="AA4232" s="157"/>
      <c r="AB4232" s="1"/>
      <c r="AC4232" s="147"/>
      <c r="AD4232" s="157"/>
      <c r="AE4232" s="1"/>
      <c r="AF4232" s="147"/>
      <c r="AG4232" s="157"/>
      <c r="AH4232" s="1"/>
      <c r="AI4232" s="147"/>
      <c r="AJ4232" s="157"/>
      <c r="AK4232" s="1"/>
      <c r="AL4232" s="147"/>
      <c r="AM4232" s="157"/>
      <c r="AN4232" s="1"/>
      <c r="AO4232" s="147"/>
      <c r="AP4232" s="157"/>
      <c r="AQ4232" s="1"/>
      <c r="AR4232" s="147"/>
      <c r="AS4232" s="157"/>
      <c r="AT4232" s="1"/>
      <c r="AU4232" s="147"/>
    </row>
    <row r="4233" spans="13:47" ht="14" x14ac:dyDescent="0.3">
      <c r="M4233" s="23"/>
      <c r="N4233" s="23"/>
      <c r="O4233" s="23" t="s">
        <v>238</v>
      </c>
      <c r="P4233" s="20"/>
      <c r="Q4233" s="20"/>
      <c r="R4233" s="181">
        <f>R4219*1.02</f>
        <v>4353.6851173045907</v>
      </c>
      <c r="S4233" s="128" t="s">
        <v>185</v>
      </c>
      <c r="T4233" s="149" t="s">
        <v>186</v>
      </c>
      <c r="U4233" s="143">
        <f>U4219*1.01</f>
        <v>9192.8408381198205</v>
      </c>
      <c r="V4233" s="128" t="s">
        <v>185</v>
      </c>
      <c r="W4233" s="153" t="s">
        <v>186</v>
      </c>
      <c r="X4233" s="143">
        <f>X4219*1.01</f>
        <v>22734.989353553752</v>
      </c>
      <c r="Y4233" s="128" t="s">
        <v>185</v>
      </c>
      <c r="Z4233" s="153" t="s">
        <v>186</v>
      </c>
      <c r="AA4233" s="143">
        <f>AA4219*1.01</f>
        <v>44281.956258967759</v>
      </c>
      <c r="AB4233" s="128" t="s">
        <v>185</v>
      </c>
      <c r="AC4233" s="153" t="s">
        <v>186</v>
      </c>
      <c r="AD4233" s="143">
        <f>AD4219*1.01</f>
        <v>72827.514396997227</v>
      </c>
      <c r="AE4233" s="128" t="s">
        <v>185</v>
      </c>
      <c r="AF4233" s="153" t="s">
        <v>186</v>
      </c>
      <c r="AG4233" s="143">
        <f>AG4219*1.01</f>
        <v>102146.1956531615</v>
      </c>
      <c r="AH4233" s="128" t="s">
        <v>185</v>
      </c>
      <c r="AI4233" s="153" t="s">
        <v>186</v>
      </c>
      <c r="AJ4233" s="143">
        <f>AJ4219*1.01</f>
        <v>129698.56383653921</v>
      </c>
      <c r="AK4233" s="128" t="s">
        <v>185</v>
      </c>
      <c r="AL4233" s="153" t="s">
        <v>186</v>
      </c>
      <c r="AM4233" s="143">
        <f>AM4219*1.01</f>
        <v>152081.76623199898</v>
      </c>
      <c r="AN4233" s="128" t="s">
        <v>185</v>
      </c>
      <c r="AO4233" s="153" t="s">
        <v>186</v>
      </c>
      <c r="AP4233" s="143">
        <f>AP4219*1.01</f>
        <v>169672.81268999554</v>
      </c>
      <c r="AQ4233" s="128" t="s">
        <v>185</v>
      </c>
      <c r="AR4233" s="153" t="s">
        <v>186</v>
      </c>
      <c r="AS4233" s="143">
        <f>AS4219*1.01</f>
        <v>189298.58640790128</v>
      </c>
      <c r="AT4233" s="128" t="s">
        <v>185</v>
      </c>
      <c r="AU4233" s="153" t="s">
        <v>186</v>
      </c>
    </row>
    <row r="4234" spans="13:47" ht="14" x14ac:dyDescent="0.3">
      <c r="M4234" s="12"/>
      <c r="N4234" s="12"/>
      <c r="O4234" s="20"/>
      <c r="P4234" s="20"/>
      <c r="Q4234" s="23"/>
      <c r="R4234" s="139"/>
      <c r="S4234" s="130" t="s">
        <v>228</v>
      </c>
      <c r="T4234" s="131" t="s">
        <v>187</v>
      </c>
      <c r="U4234" s="144"/>
      <c r="V4234" s="130" t="s">
        <v>228</v>
      </c>
      <c r="W4234" s="154" t="s">
        <v>187</v>
      </c>
      <c r="X4234" s="144"/>
      <c r="Y4234" s="130" t="s">
        <v>228</v>
      </c>
      <c r="Z4234" s="154" t="s">
        <v>187</v>
      </c>
      <c r="AA4234" s="144"/>
      <c r="AB4234" s="130" t="s">
        <v>228</v>
      </c>
      <c r="AC4234" s="154" t="s">
        <v>187</v>
      </c>
      <c r="AD4234" s="144"/>
      <c r="AE4234" s="130" t="s">
        <v>228</v>
      </c>
      <c r="AF4234" s="154" t="s">
        <v>187</v>
      </c>
      <c r="AG4234" s="144"/>
      <c r="AH4234" s="130" t="s">
        <v>228</v>
      </c>
      <c r="AI4234" s="154" t="s">
        <v>187</v>
      </c>
      <c r="AJ4234" s="144"/>
      <c r="AK4234" s="130" t="s">
        <v>228</v>
      </c>
      <c r="AL4234" s="154" t="s">
        <v>187</v>
      </c>
      <c r="AM4234" s="144"/>
      <c r="AN4234" s="130" t="s">
        <v>228</v>
      </c>
      <c r="AO4234" s="154" t="s">
        <v>187</v>
      </c>
      <c r="AP4234" s="144"/>
      <c r="AQ4234" s="130" t="s">
        <v>228</v>
      </c>
      <c r="AR4234" s="154" t="s">
        <v>187</v>
      </c>
      <c r="AS4234" s="144"/>
      <c r="AT4234" s="130" t="s">
        <v>228</v>
      </c>
      <c r="AU4234" s="154" t="s">
        <v>187</v>
      </c>
    </row>
    <row r="4235" spans="13:47" x14ac:dyDescent="0.25">
      <c r="M4235" s="20"/>
      <c r="N4235" s="20"/>
      <c r="O4235" s="7" t="s">
        <v>188</v>
      </c>
      <c r="P4235" s="7"/>
      <c r="Q4235" s="7"/>
      <c r="R4235" s="181">
        <f>P_1_minW-(R4233^2*R_up)+dpup_minQ</f>
        <v>92.964425957856534</v>
      </c>
      <c r="S4235" s="132"/>
      <c r="T4235" s="145"/>
      <c r="U4235" s="138">
        <f>P_1_minW-(U4233^2*R_up)+dpup_minQ</f>
        <v>66.824092785418017</v>
      </c>
      <c r="V4235" s="132"/>
      <c r="W4235" s="145"/>
      <c r="X4235" s="138">
        <f>P_1_minW-(X4233^2*R_up)+dpup_minQ</f>
        <v>-105.58912800823286</v>
      </c>
      <c r="Y4235" s="132"/>
      <c r="Z4235" s="145"/>
      <c r="AA4235" s="138">
        <f>P_1_minW-(AA4233^2*R_up)+dpup_minQ</f>
        <v>-681.40596888694017</v>
      </c>
      <c r="AB4235" s="132"/>
      <c r="AC4235" s="145"/>
      <c r="AD4235" s="138">
        <f>P_1_minW-(AD4233^2*R_up)+dpup_minQ</f>
        <v>-2014.4489250965325</v>
      </c>
      <c r="AE4235" s="132"/>
      <c r="AF4235" s="145"/>
      <c r="AG4235" s="138">
        <f>P_1_minW-(AG4233^2*R_up)+dpup_minQ</f>
        <v>-4060.0965216638833</v>
      </c>
      <c r="AH4235" s="132"/>
      <c r="AI4235" s="145"/>
      <c r="AJ4235" s="138">
        <f>P_1_minW-(AJ4233^2*R_up)+dpup_minQ</f>
        <v>-6607.3361615759177</v>
      </c>
      <c r="AK4235" s="132"/>
      <c r="AL4235" s="145"/>
      <c r="AM4235" s="138">
        <f>P_1_minW-(AM4233^2*R_up)+dpup_minQ</f>
        <v>-9122.3853471471557</v>
      </c>
      <c r="AN4235" s="132"/>
      <c r="AO4235" s="145"/>
      <c r="AP4235" s="138">
        <f>P_1_minW-(AP4233^2*R_up)+dpup_minQ</f>
        <v>-11379.377240534321</v>
      </c>
      <c r="AQ4235" s="132"/>
      <c r="AR4235" s="145"/>
      <c r="AS4235" s="138">
        <f>P_1_minW-(AS4233^2*R_up)+dpup_minQ</f>
        <v>-14188.69084556258</v>
      </c>
      <c r="AT4235" s="132"/>
      <c r="AU4235" s="145"/>
    </row>
    <row r="4236" spans="13:47" x14ac:dyDescent="0.25">
      <c r="M4236" s="20"/>
      <c r="N4236" s="20"/>
      <c r="O4236" s="7" t="s">
        <v>189</v>
      </c>
      <c r="P4236" s="1"/>
      <c r="Q4236" s="7"/>
      <c r="R4236" s="181">
        <f>P_2_minW+(R4233^2*R_dn)-dpdn_minQ</f>
        <v>50</v>
      </c>
      <c r="S4236" s="132"/>
      <c r="T4236" s="146"/>
      <c r="U4236" s="138">
        <f>P_2_minW+(U4233^2*R_dn)-dpdn_minQ</f>
        <v>50</v>
      </c>
      <c r="V4236" s="132"/>
      <c r="W4236" s="146"/>
      <c r="X4236" s="138">
        <f>P_2_minW+(X4233^2*R_dn)-dpdn_minQ</f>
        <v>50</v>
      </c>
      <c r="Y4236" s="132"/>
      <c r="Z4236" s="146"/>
      <c r="AA4236" s="138">
        <f>P_2_minW+(AA4233^2*R_dn)-dpdn_minQ</f>
        <v>50</v>
      </c>
      <c r="AB4236" s="132"/>
      <c r="AC4236" s="146"/>
      <c r="AD4236" s="138">
        <f>P_2_minW+(AD4233^2*R_dn)-dpdn_minQ</f>
        <v>50</v>
      </c>
      <c r="AE4236" s="132"/>
      <c r="AF4236" s="146"/>
      <c r="AG4236" s="138">
        <f>P_2_minW+(AG4233^2*R_dn)-dpdn_minQ</f>
        <v>50</v>
      </c>
      <c r="AH4236" s="132"/>
      <c r="AI4236" s="146"/>
      <c r="AJ4236" s="138">
        <f>P_2_minW+(AJ4233^2*R_dn)-dpdn_minQ</f>
        <v>50</v>
      </c>
      <c r="AK4236" s="132"/>
      <c r="AL4236" s="146"/>
      <c r="AM4236" s="138">
        <f>P_2_minW+(AM4233^2*R_dn)-dpdn_minQ</f>
        <v>50</v>
      </c>
      <c r="AN4236" s="132"/>
      <c r="AO4236" s="146"/>
      <c r="AP4236" s="138">
        <f>P_2_minW+(AP4233^2*R_dn)-dpdn_minQ</f>
        <v>50</v>
      </c>
      <c r="AQ4236" s="132"/>
      <c r="AR4236" s="146"/>
      <c r="AS4236" s="138">
        <f>P_2_minW+(AS4233^2*R_dn)-dpdn_minQ</f>
        <v>50</v>
      </c>
      <c r="AT4236" s="132"/>
      <c r="AU4236" s="146"/>
    </row>
    <row r="4237" spans="13:47" x14ac:dyDescent="0.25">
      <c r="M4237" s="20"/>
      <c r="N4237" s="20"/>
      <c r="O4237" s="7" t="s">
        <v>234</v>
      </c>
      <c r="P4237" s="1"/>
      <c r="Q4237" s="7"/>
      <c r="R4237" s="179">
        <f>'Valve Sizing'!G$8*R4235/P_1_maxW</f>
        <v>0.44844383952481526</v>
      </c>
      <c r="S4237" s="132"/>
      <c r="T4237" s="146"/>
      <c r="U4237" s="143">
        <f>'Valve Sizing'!$G$8*U4235/P_1_maxW</f>
        <v>0.32234752630043884</v>
      </c>
      <c r="V4237" s="132"/>
      <c r="W4237" s="146"/>
      <c r="X4237" s="143">
        <f>'Valve Sizing'!$G$8*X4235/P_1_maxW</f>
        <v>-0.50934315452616929</v>
      </c>
      <c r="Y4237" s="132"/>
      <c r="Z4237" s="146"/>
      <c r="AA4237" s="143">
        <f>'Valve Sizing'!$G$8*AA4235/P_1_maxW</f>
        <v>-3.2869810770553349</v>
      </c>
      <c r="AB4237" s="132"/>
      <c r="AC4237" s="146"/>
      <c r="AD4237" s="143">
        <f>'Valve Sizing'!$G$8*AD4235/P_1_maxW</f>
        <v>-9.717342964140375</v>
      </c>
      <c r="AE4237" s="132"/>
      <c r="AF4237" s="146"/>
      <c r="AG4237" s="143">
        <f>'Valve Sizing'!$G$8*AG4235/P_1_maxW</f>
        <v>-19.585182764874883</v>
      </c>
      <c r="AH4237" s="132"/>
      <c r="AI4237" s="146"/>
      <c r="AJ4237" s="143">
        <f>'Valve Sizing'!$G$8*AJ4235/P_1_maxW</f>
        <v>-31.87261327974511</v>
      </c>
      <c r="AK4237" s="132"/>
      <c r="AL4237" s="146"/>
      <c r="AM4237" s="143">
        <f>'Valve Sizing'!$G$8*AM4235/P_1_maxW</f>
        <v>-44.004762774032493</v>
      </c>
      <c r="AN4237" s="132"/>
      <c r="AO4237" s="146"/>
      <c r="AP4237" s="143">
        <f>'Valve Sizing'!$G$8*AP4235/P_1_maxW</f>
        <v>-54.892089835092953</v>
      </c>
      <c r="AQ4237" s="132"/>
      <c r="AR4237" s="146"/>
      <c r="AS4237" s="143">
        <f>'Valve Sizing'!$G$8*AS4235/P_1_maxW</f>
        <v>-68.443718498290266</v>
      </c>
      <c r="AT4237" s="132"/>
      <c r="AU4237" s="146"/>
    </row>
    <row r="4238" spans="13:47" x14ac:dyDescent="0.25">
      <c r="M4238" s="20"/>
      <c r="N4238" s="20"/>
      <c r="O4238" s="7" t="s">
        <v>190</v>
      </c>
      <c r="P4238" s="1"/>
      <c r="Q4238" s="7"/>
      <c r="R4238" s="181">
        <f>R4235-R4236</f>
        <v>42.964425957856534</v>
      </c>
      <c r="S4238" s="132"/>
      <c r="T4238" s="146"/>
      <c r="U4238" s="138">
        <f>U4235-U4236</f>
        <v>16.824092785418017</v>
      </c>
      <c r="V4238" s="132"/>
      <c r="W4238" s="146"/>
      <c r="X4238" s="138">
        <f>X4235-X4236</f>
        <v>-155.58912800823288</v>
      </c>
      <c r="Y4238" s="132"/>
      <c r="Z4238" s="146"/>
      <c r="AA4238" s="138">
        <f>AA4235-AA4236</f>
        <v>-731.40596888694017</v>
      </c>
      <c r="AB4238" s="132"/>
      <c r="AC4238" s="146"/>
      <c r="AD4238" s="138">
        <f>AD4235-AD4236</f>
        <v>-2064.4489250965325</v>
      </c>
      <c r="AE4238" s="132"/>
      <c r="AF4238" s="146"/>
      <c r="AG4238" s="138">
        <f>AG4235-AG4236</f>
        <v>-4110.0965216638833</v>
      </c>
      <c r="AH4238" s="132"/>
      <c r="AI4238" s="146"/>
      <c r="AJ4238" s="138">
        <f>AJ4235-AJ4236</f>
        <v>-6657.3361615759177</v>
      </c>
      <c r="AK4238" s="132"/>
      <c r="AL4238" s="146"/>
      <c r="AM4238" s="138">
        <f>AM4235-AM4236</f>
        <v>-9172.3853471471557</v>
      </c>
      <c r="AN4238" s="132"/>
      <c r="AO4238" s="146"/>
      <c r="AP4238" s="138">
        <f>AP4235-AP4236</f>
        <v>-11429.377240534321</v>
      </c>
      <c r="AQ4238" s="132"/>
      <c r="AR4238" s="146"/>
      <c r="AS4238" s="138">
        <f>AS4235-AS4236</f>
        <v>-14238.69084556258</v>
      </c>
      <c r="AT4238" s="132"/>
      <c r="AU4238" s="146"/>
    </row>
    <row r="4239" spans="13:47" ht="14.5" x14ac:dyDescent="0.35">
      <c r="M4239" s="27"/>
      <c r="N4239" s="27"/>
      <c r="O4239" s="2" t="s">
        <v>191</v>
      </c>
      <c r="P4239" s="10"/>
      <c r="Q4239" s="2"/>
      <c r="R4239" s="181">
        <f>R4238/R4235</f>
        <v>0.46215985862520736</v>
      </c>
      <c r="S4239" s="132"/>
      <c r="T4239" s="146"/>
      <c r="U4239" s="138">
        <f>U4238/U4235</f>
        <v>0.2517668715599724</v>
      </c>
      <c r="V4239" s="132"/>
      <c r="W4239" s="146"/>
      <c r="X4239" s="138">
        <f>X4238/X4235</f>
        <v>1.4735336008845672</v>
      </c>
      <c r="Y4239" s="132"/>
      <c r="Z4239" s="146"/>
      <c r="AA4239" s="138">
        <f>AA4238/AA4235</f>
        <v>1.073377695944862</v>
      </c>
      <c r="AB4239" s="132"/>
      <c r="AC4239" s="146"/>
      <c r="AD4239" s="138">
        <f>AD4238/AD4235</f>
        <v>1.024820683898751</v>
      </c>
      <c r="AE4239" s="132"/>
      <c r="AF4239" s="146"/>
      <c r="AG4239" s="138">
        <f>AG4238/AG4235</f>
        <v>1.012314978162024</v>
      </c>
      <c r="AH4239" s="132"/>
      <c r="AI4239" s="146"/>
      <c r="AJ4239" s="138">
        <f>AJ4238/AJ4235</f>
        <v>1.0075673461705745</v>
      </c>
      <c r="AK4239" s="132"/>
      <c r="AL4239" s="146"/>
      <c r="AM4239" s="138">
        <f>AM4238/AM4235</f>
        <v>1.0054810225721977</v>
      </c>
      <c r="AN4239" s="132"/>
      <c r="AO4239" s="146"/>
      <c r="AP4239" s="138">
        <f>AP4238/AP4235</f>
        <v>1.0043939135633799</v>
      </c>
      <c r="AQ4239" s="132"/>
      <c r="AR4239" s="146"/>
      <c r="AS4239" s="138">
        <f>AS4238/AS4235</f>
        <v>1.0035239332891404</v>
      </c>
      <c r="AT4239" s="132"/>
      <c r="AU4239" s="146"/>
    </row>
    <row r="4240" spans="13:47" x14ac:dyDescent="0.25">
      <c r="M4240" s="27"/>
      <c r="N4240" s="27"/>
      <c r="O4240" s="2" t="s">
        <v>26</v>
      </c>
      <c r="P4240" s="7">
        <v>12</v>
      </c>
      <c r="Q4240" s="2"/>
      <c r="R4240" s="181">
        <f>1-R4239/(3*F_GAMMA*R$29)</f>
        <v>0.75930184967871095</v>
      </c>
      <c r="S4240" s="133"/>
      <c r="T4240" s="146"/>
      <c r="U4240" s="138">
        <f>1-U4239/(3*F_GAMMA*U$29)</f>
        <v>0.86890579829774595</v>
      </c>
      <c r="V4240" s="133"/>
      <c r="W4240" s="146"/>
      <c r="X4240" s="138">
        <f>1-X4239/(3*F_GAMMA*X$29)</f>
        <v>0.22122560060015606</v>
      </c>
      <c r="Y4240" s="133"/>
      <c r="Z4240" s="146"/>
      <c r="AA4240" s="138">
        <f>1-AA4239/(3*F_GAMMA*AA$29)</f>
        <v>0.42493290704044451</v>
      </c>
      <c r="AB4240" s="133"/>
      <c r="AC4240" s="146"/>
      <c r="AD4240" s="138">
        <f>1-AD4239/(3*F_GAMMA*AD$29)</f>
        <v>0.43589370145430972</v>
      </c>
      <c r="AE4240" s="133"/>
      <c r="AF4240" s="146"/>
      <c r="AG4240" s="138">
        <f>1-AG4239/(3*F_GAMMA*AG$29)</f>
        <v>0.41099253345205056</v>
      </c>
      <c r="AH4240" s="133"/>
      <c r="AI4240" s="146"/>
      <c r="AJ4240" s="138">
        <f>1-AJ4239/(3*F_GAMMA*AJ$29)</f>
        <v>0.37329604660535531</v>
      </c>
      <c r="AK4240" s="133"/>
      <c r="AL4240" s="146"/>
      <c r="AM4240" s="138">
        <f>1-AM4239/(3*F_GAMMA*AM$29)</f>
        <v>0.31668005735909011</v>
      </c>
      <c r="AN4240" s="133"/>
      <c r="AO4240" s="146"/>
      <c r="AP4240" s="138">
        <f>1-AP4239/(3*F_GAMMA*AP$29)</f>
        <v>0.43592052709610318</v>
      </c>
      <c r="AQ4240" s="133"/>
      <c r="AR4240" s="146"/>
      <c r="AS4240" s="138">
        <f>1-AS4239/(3*F_GAMMA*AS$29)</f>
        <v>0.14442006917837258</v>
      </c>
      <c r="AT4240" s="133"/>
      <c r="AU4240" s="146"/>
    </row>
    <row r="4241" spans="13:47" x14ac:dyDescent="0.25">
      <c r="M4241" s="27"/>
      <c r="N4241" s="27"/>
      <c r="O4241" s="2" t="s">
        <v>71</v>
      </c>
      <c r="P4241" s="85">
        <v>5</v>
      </c>
      <c r="Q4241" s="2"/>
      <c r="R4241" s="179">
        <f>R4233/((N_6*R$27*R4240)*SQRT(R4239*R4235*R4237))</f>
        <v>20.638672950374954</v>
      </c>
      <c r="S4241" s="133"/>
      <c r="T4241" s="146"/>
      <c r="U4241" s="143">
        <f>U4233/((N_6*U$27*U4240)*SQRT(U4239*U4235*U4237))</f>
        <v>71.823532308819765</v>
      </c>
      <c r="V4241" s="133"/>
      <c r="W4241" s="146"/>
      <c r="X4241" s="143">
        <f>X4233/((N_6*X$27*X4240)*SQRT(X4239*X4235*X4237))</f>
        <v>182.91261067390147</v>
      </c>
      <c r="Y4241" s="133"/>
      <c r="Z4241" s="146"/>
      <c r="AA4241" s="143">
        <f>AA4233/((N_6*AA$27*AA4240)*SQRT(AA4239*AA4235*AA4237))</f>
        <v>33.868682322190935</v>
      </c>
      <c r="AB4241" s="133"/>
      <c r="AC4241" s="146"/>
      <c r="AD4241" s="143">
        <f>AD4233/((N_6*AD$27*AD4240)*SQRT(AD4239*AD4235*AD4237))</f>
        <v>19.021880796157948</v>
      </c>
      <c r="AE4241" s="133"/>
      <c r="AF4241" s="146"/>
      <c r="AG4241" s="143">
        <f>AG4233/((N_6*AG$27*AG4240)*SQRT(AG4239*AG4235*AG4237))</f>
        <v>14.430572462219986</v>
      </c>
      <c r="AH4241" s="133"/>
      <c r="AI4241" s="146"/>
      <c r="AJ4241" s="143">
        <f>AJ4233/((N_6*AJ$27*AJ4240)*SQRT(AJ4239*AJ4235*AJ4237))</f>
        <v>12.851901624602897</v>
      </c>
      <c r="AK4241" s="133"/>
      <c r="AL4241" s="146"/>
      <c r="AM4241" s="143">
        <f>AM4233/((N_6*AM$27*AM4240)*SQRT(AM4239*AM4235*AM4237))</f>
        <v>13.670814323221867</v>
      </c>
      <c r="AN4241" s="133"/>
      <c r="AO4241" s="146"/>
      <c r="AP4241" s="143">
        <f>AP4233/((N_6*AP$27*AP4240)*SQRT(AP4239*AP4235*AP4237))</f>
        <v>10.095360585344043</v>
      </c>
      <c r="AQ4241" s="133"/>
      <c r="AR4241" s="146"/>
      <c r="AS4241" s="143">
        <f>AS4233/((N_6*AS$27*AS4240)*SQRT(AS4239*AS4235*AS4237))</f>
        <v>35.841689660060446</v>
      </c>
      <c r="AT4241" s="133"/>
      <c r="AU4241" s="146"/>
    </row>
    <row r="4242" spans="13:47" x14ac:dyDescent="0.25">
      <c r="M4242" s="27"/>
      <c r="N4242" s="27"/>
      <c r="O4242" s="2" t="s">
        <v>73</v>
      </c>
      <c r="P4242" s="85">
        <v>5</v>
      </c>
      <c r="Q4242" s="2"/>
      <c r="R4242" s="179">
        <f>R4233/((N_6*R$27*0.667)*SQRT(R4243*R4235*R4237))</f>
        <v>19.964911839853311</v>
      </c>
      <c r="S4242" s="133"/>
      <c r="T4242" s="147"/>
      <c r="U4242" s="143">
        <f>U4233/((N_6*U$27*0.667)*SQRT(U4243*U4235*U4237))</f>
        <v>58.676741817874785</v>
      </c>
      <c r="V4242" s="133"/>
      <c r="W4242" s="155"/>
      <c r="X4242" s="143">
        <f>X4233/((N_6*X$27*0.667)*SQRT(X4243*X4235*X4237))</f>
        <v>92.729871493324552</v>
      </c>
      <c r="Y4242" s="133"/>
      <c r="Z4242" s="155"/>
      <c r="AA4242" s="143">
        <f>AA4233/((N_6*AA$27*0.667)*SQRT(AA4243*AA4235*AA4237))</f>
        <v>28.340839900420779</v>
      </c>
      <c r="AB4242" s="133"/>
      <c r="AC4242" s="155"/>
      <c r="AD4242" s="143">
        <f>AD4233/((N_6*AD$27*0.667)*SQRT(AD4243*AD4235*AD4237))</f>
        <v>16.171463217344353</v>
      </c>
      <c r="AE4242" s="133"/>
      <c r="AF4242" s="155"/>
      <c r="AG4242" s="143">
        <f>AG4233/((N_6*AG$27*0.667)*SQRT(AG4243*AG4235*AG4237))</f>
        <v>11.8198696057799</v>
      </c>
      <c r="AH4242" s="133"/>
      <c r="AI4242" s="155"/>
      <c r="AJ4242" s="143">
        <f>AJ4233/((N_6*AJ$27*0.667)*SQRT(AJ4243*AJ4235*AJ4237))</f>
        <v>9.8624949475302923</v>
      </c>
      <c r="AK4242" s="133"/>
      <c r="AL4242" s="155"/>
      <c r="AM4242" s="143">
        <f>AM4233/((N_6*AM$27*0.667)*SQRT(AM4243*AM4235*AM4237))</f>
        <v>9.2931284711170434</v>
      </c>
      <c r="AN4242" s="133"/>
      <c r="AO4242" s="155"/>
      <c r="AP4242" s="143">
        <f>AP4233/((N_6*AP$27*0.667)*SQRT(AP4243*AP4235*AP4237))</f>
        <v>8.5829008792802366</v>
      </c>
      <c r="AQ4242" s="133"/>
      <c r="AR4242" s="155"/>
      <c r="AS4242" s="143">
        <f>AS4233/((N_6*AS$27*0.667)*SQRT(AS4243*AS4235*AS4237))</f>
        <v>12.433148237694647</v>
      </c>
      <c r="AT4242" s="133"/>
      <c r="AU4242" s="155"/>
    </row>
    <row r="4243" spans="13:47" ht="15.5" x14ac:dyDescent="0.4">
      <c r="M4243" s="27"/>
      <c r="N4243" s="27"/>
      <c r="O4243" s="2" t="s">
        <v>192</v>
      </c>
      <c r="P4243" s="85">
        <v>10</v>
      </c>
      <c r="Q4243" s="2"/>
      <c r="R4243" s="181">
        <f>F_GAMMA*R$29</f>
        <v>0.64002688015162901</v>
      </c>
      <c r="S4243" s="133"/>
      <c r="T4243" s="147"/>
      <c r="U4243" s="138">
        <f>F_GAMMA*U$29</f>
        <v>0.64016782916606918</v>
      </c>
      <c r="V4243" s="133"/>
      <c r="W4243" s="155"/>
      <c r="X4243" s="138">
        <f>F_GAMMA*X$29</f>
        <v>0.6307062319203669</v>
      </c>
      <c r="Y4243" s="133"/>
      <c r="Z4243" s="155"/>
      <c r="AA4243" s="138">
        <f>F_GAMMA*AA$29</f>
        <v>0.62217534213893466</v>
      </c>
      <c r="AB4243" s="133"/>
      <c r="AC4243" s="155"/>
      <c r="AD4243" s="138">
        <f>F_GAMMA*AD$29</f>
        <v>0.60557184969146072</v>
      </c>
      <c r="AE4243" s="133"/>
      <c r="AF4243" s="155"/>
      <c r="AG4243" s="138">
        <f>F_GAMMA*AG$29</f>
        <v>0.57289312142622573</v>
      </c>
      <c r="AH4243" s="133"/>
      <c r="AI4243" s="155"/>
      <c r="AJ4243" s="138">
        <f>F_GAMMA*AJ$29</f>
        <v>0.53590819116049981</v>
      </c>
      <c r="AK4243" s="133"/>
      <c r="AL4243" s="155"/>
      <c r="AM4243" s="138">
        <f>F_GAMMA*AM$29</f>
        <v>0.49048815926850342</v>
      </c>
      <c r="AN4243" s="133"/>
      <c r="AO4243" s="155"/>
      <c r="AP4243" s="138">
        <f>F_GAMMA*AP$29</f>
        <v>0.59352979016280105</v>
      </c>
      <c r="AQ4243" s="133"/>
      <c r="AR4243" s="155"/>
      <c r="AS4243" s="138">
        <f>F_GAMMA*AS$29</f>
        <v>0.39097221161068291</v>
      </c>
      <c r="AT4243" s="133"/>
      <c r="AU4243" s="155"/>
    </row>
    <row r="4244" spans="13:47" x14ac:dyDescent="0.25">
      <c r="M4244" s="27"/>
      <c r="N4244" s="27"/>
      <c r="O4244" s="2" t="s">
        <v>193</v>
      </c>
      <c r="P4244" s="134"/>
      <c r="Q4244" s="2"/>
      <c r="R4244" s="181">
        <f>IF(R4239&lt;R4243,R4241,R4242)</f>
        <v>20.638672950374954</v>
      </c>
      <c r="S4244" s="133"/>
      <c r="T4244" s="147"/>
      <c r="U4244" s="138">
        <f>IF(U4239&lt;U4243,U4241,U4242)</f>
        <v>71.823532308819765</v>
      </c>
      <c r="V4244" s="133"/>
      <c r="W4244" s="155"/>
      <c r="X4244" s="138">
        <f>IF(X4239&lt;X4243,X4241,X4242)</f>
        <v>92.729871493324552</v>
      </c>
      <c r="Y4244" s="133"/>
      <c r="Z4244" s="155"/>
      <c r="AA4244" s="138">
        <f>IF(AA4239&lt;AA4243,AA4241,AA4242)</f>
        <v>28.340839900420779</v>
      </c>
      <c r="AB4244" s="133"/>
      <c r="AC4244" s="155"/>
      <c r="AD4244" s="138">
        <f>IF(AD4239&lt;AD4243,AD4241,AD4242)</f>
        <v>16.171463217344353</v>
      </c>
      <c r="AE4244" s="133"/>
      <c r="AF4244" s="155"/>
      <c r="AG4244" s="138">
        <f>IF(AG4239&lt;AG4243,AG4241,AG4242)</f>
        <v>11.8198696057799</v>
      </c>
      <c r="AH4244" s="133"/>
      <c r="AI4244" s="155"/>
      <c r="AJ4244" s="138">
        <f>IF(AJ4239&lt;AJ4243,AJ4241,AJ4242)</f>
        <v>9.8624949475302923</v>
      </c>
      <c r="AK4244" s="133"/>
      <c r="AL4244" s="155"/>
      <c r="AM4244" s="138">
        <f>IF(AM4239&lt;AM4243,AM4241,AM4242)</f>
        <v>9.2931284711170434</v>
      </c>
      <c r="AN4244" s="133"/>
      <c r="AO4244" s="155"/>
      <c r="AP4244" s="138">
        <f>IF(AP4239&lt;AP4243,AP4241,AP4242)</f>
        <v>8.5829008792802366</v>
      </c>
      <c r="AQ4244" s="133"/>
      <c r="AR4244" s="155"/>
      <c r="AS4244" s="138">
        <f>IF(AS4239&lt;AS4243,AS4241,AS4242)</f>
        <v>12.433148237694647</v>
      </c>
      <c r="AT4244" s="133"/>
      <c r="AU4244" s="155"/>
    </row>
    <row r="4245" spans="13:47" ht="13" x14ac:dyDescent="0.3">
      <c r="M4245" s="28"/>
      <c r="N4245" s="28"/>
      <c r="O4245" s="9" t="s">
        <v>194</v>
      </c>
      <c r="P4245" s="1"/>
      <c r="Q4245" s="1"/>
      <c r="R4245" s="135"/>
      <c r="S4245" s="132">
        <f>IF(R4238&lt;=0,W_max,ABS(R$23-R4244))</f>
        <v>18.638672950374954</v>
      </c>
      <c r="T4245" s="151">
        <f>R4233</f>
        <v>4353.6851173045907</v>
      </c>
      <c r="U4245" s="135"/>
      <c r="V4245" s="132">
        <f>IF(U4238&lt;=0,W_max,ABS(U$23-U4244))</f>
        <v>66.823532308819765</v>
      </c>
      <c r="W4245" s="151">
        <f>U4233</f>
        <v>9192.8408381198205</v>
      </c>
      <c r="X4245" s="135"/>
      <c r="Y4245" s="132">
        <f>IF(X4238&lt;=0,W_max,ABS(X$23-X4244))</f>
        <v>7174</v>
      </c>
      <c r="Z4245" s="151">
        <f>X4233</f>
        <v>22734.989353553752</v>
      </c>
      <c r="AA4245" s="135"/>
      <c r="AB4245" s="132">
        <f>IF(AA4238&lt;=0,W_max,ABS(AA$23-AA4244))</f>
        <v>7174</v>
      </c>
      <c r="AC4245" s="151">
        <f>AA4233</f>
        <v>44281.956258967759</v>
      </c>
      <c r="AD4245" s="135"/>
      <c r="AE4245" s="132">
        <f>IF(AD4238&lt;=0,W_max,ABS(AD$23-AD4244))</f>
        <v>7174</v>
      </c>
      <c r="AF4245" s="151">
        <f>AD4233</f>
        <v>72827.514396997227</v>
      </c>
      <c r="AG4245" s="135"/>
      <c r="AH4245" s="132">
        <f>IF(AG4238&lt;=0,W_max,ABS(AG$23-AG4244))</f>
        <v>7174</v>
      </c>
      <c r="AI4245" s="151">
        <f>AG4233</f>
        <v>102146.1956531615</v>
      </c>
      <c r="AJ4245" s="135"/>
      <c r="AK4245" s="132">
        <f>IF(AJ4238&lt;=0,W_max,ABS(AJ$23-AJ4244))</f>
        <v>7174</v>
      </c>
      <c r="AL4245" s="151">
        <f>AJ4233</f>
        <v>129698.56383653921</v>
      </c>
      <c r="AM4245" s="135"/>
      <c r="AN4245" s="132">
        <f>IF(AM4238&lt;=0,W_max,ABS(AM$23-AM4244))</f>
        <v>7174</v>
      </c>
      <c r="AO4245" s="151">
        <f>AM4233</f>
        <v>152081.76623199898</v>
      </c>
      <c r="AP4245" s="135"/>
      <c r="AQ4245" s="132">
        <f>IF(AP4238&lt;=0,W_max,ABS(AP$23-AP4244))</f>
        <v>7174</v>
      </c>
      <c r="AR4245" s="151">
        <f>AP4233</f>
        <v>169672.81268999554</v>
      </c>
      <c r="AS4245" s="135"/>
      <c r="AT4245" s="132">
        <f>IF(AS4238&lt;=0,W_max,ABS(AS$23-AS4244))</f>
        <v>7174</v>
      </c>
      <c r="AU4245" s="151">
        <f>AS4233</f>
        <v>189298.58640790128</v>
      </c>
    </row>
    <row r="4246" spans="13:47" ht="13" x14ac:dyDescent="0.25">
      <c r="M4246" s="12"/>
      <c r="N4246" s="12"/>
      <c r="O4246" s="12"/>
      <c r="P4246" s="12"/>
      <c r="Q4246" s="12"/>
      <c r="R4246" s="182"/>
      <c r="S4246" s="22"/>
      <c r="T4246" s="152"/>
      <c r="U4246" s="157"/>
      <c r="V4246" s="1"/>
      <c r="W4246" s="147"/>
      <c r="X4246" s="157"/>
      <c r="Y4246" s="1"/>
      <c r="Z4246" s="147"/>
      <c r="AA4246" s="157"/>
      <c r="AB4246" s="1"/>
      <c r="AC4246" s="147"/>
      <c r="AD4246" s="157"/>
      <c r="AE4246" s="1"/>
      <c r="AF4246" s="147"/>
      <c r="AG4246" s="157"/>
      <c r="AH4246" s="1"/>
      <c r="AI4246" s="147"/>
      <c r="AJ4246" s="157"/>
      <c r="AK4246" s="1"/>
      <c r="AL4246" s="147"/>
      <c r="AM4246" s="157"/>
      <c r="AN4246" s="1"/>
      <c r="AO4246" s="147"/>
      <c r="AP4246" s="157"/>
      <c r="AQ4246" s="1"/>
      <c r="AR4246" s="147"/>
      <c r="AS4246" s="157"/>
      <c r="AT4246" s="1"/>
      <c r="AU4246" s="147"/>
    </row>
    <row r="4247" spans="13:47" ht="14" x14ac:dyDescent="0.3">
      <c r="M4247" s="23"/>
      <c r="N4247" s="23"/>
      <c r="O4247" s="23" t="s">
        <v>238</v>
      </c>
      <c r="P4247" s="20"/>
      <c r="Q4247" s="20"/>
      <c r="R4247" s="18">
        <f>R4233*1.02</f>
        <v>4440.7588196506822</v>
      </c>
      <c r="S4247" s="128" t="s">
        <v>185</v>
      </c>
      <c r="T4247" s="153" t="s">
        <v>186</v>
      </c>
      <c r="U4247" s="143">
        <f>U4233*1.01</f>
        <v>9284.7692465010186</v>
      </c>
      <c r="V4247" s="128" t="s">
        <v>185</v>
      </c>
      <c r="W4247" s="153" t="s">
        <v>186</v>
      </c>
      <c r="X4247" s="143">
        <f>X4233*1.01</f>
        <v>22962.33924708929</v>
      </c>
      <c r="Y4247" s="128" t="s">
        <v>185</v>
      </c>
      <c r="Z4247" s="153" t="s">
        <v>186</v>
      </c>
      <c r="AA4247" s="143">
        <f>AA4233*1.01</f>
        <v>44724.775821557436</v>
      </c>
      <c r="AB4247" s="128" t="s">
        <v>185</v>
      </c>
      <c r="AC4247" s="153" t="s">
        <v>186</v>
      </c>
      <c r="AD4247" s="143">
        <f>AD4233*1.01</f>
        <v>73555.789540967206</v>
      </c>
      <c r="AE4247" s="128" t="s">
        <v>185</v>
      </c>
      <c r="AF4247" s="153" t="s">
        <v>186</v>
      </c>
      <c r="AG4247" s="143">
        <f>AG4233*1.01</f>
        <v>103167.65760969311</v>
      </c>
      <c r="AH4247" s="128" t="s">
        <v>185</v>
      </c>
      <c r="AI4247" s="153" t="s">
        <v>186</v>
      </c>
      <c r="AJ4247" s="143">
        <f>AJ4233*1.01</f>
        <v>130995.5494749046</v>
      </c>
      <c r="AK4247" s="128" t="s">
        <v>185</v>
      </c>
      <c r="AL4247" s="153" t="s">
        <v>186</v>
      </c>
      <c r="AM4247" s="143">
        <f>AM4233*1.01</f>
        <v>153602.58389431896</v>
      </c>
      <c r="AN4247" s="128" t="s">
        <v>185</v>
      </c>
      <c r="AO4247" s="153" t="s">
        <v>186</v>
      </c>
      <c r="AP4247" s="143">
        <f>AP4233*1.01</f>
        <v>171369.54081689549</v>
      </c>
      <c r="AQ4247" s="128" t="s">
        <v>185</v>
      </c>
      <c r="AR4247" s="153" t="s">
        <v>186</v>
      </c>
      <c r="AS4247" s="143">
        <f>AS4233*1.01</f>
        <v>191191.57227198029</v>
      </c>
      <c r="AT4247" s="128" t="s">
        <v>185</v>
      </c>
      <c r="AU4247" s="153" t="s">
        <v>186</v>
      </c>
    </row>
    <row r="4248" spans="13:47" ht="14" x14ac:dyDescent="0.3">
      <c r="M4248" s="12"/>
      <c r="N4248" s="12"/>
      <c r="O4248" s="20"/>
      <c r="P4248" s="20"/>
      <c r="Q4248" s="23"/>
      <c r="R4248" s="139"/>
      <c r="S4248" s="130" t="s">
        <v>228</v>
      </c>
      <c r="T4248" s="154" t="s">
        <v>187</v>
      </c>
      <c r="U4248" s="144"/>
      <c r="V4248" s="130" t="s">
        <v>228</v>
      </c>
      <c r="W4248" s="154" t="s">
        <v>187</v>
      </c>
      <c r="X4248" s="144"/>
      <c r="Y4248" s="130" t="s">
        <v>228</v>
      </c>
      <c r="Z4248" s="154" t="s">
        <v>187</v>
      </c>
      <c r="AA4248" s="144"/>
      <c r="AB4248" s="130" t="s">
        <v>228</v>
      </c>
      <c r="AC4248" s="154" t="s">
        <v>187</v>
      </c>
      <c r="AD4248" s="144"/>
      <c r="AE4248" s="130" t="s">
        <v>228</v>
      </c>
      <c r="AF4248" s="154" t="s">
        <v>187</v>
      </c>
      <c r="AG4248" s="144"/>
      <c r="AH4248" s="130" t="s">
        <v>228</v>
      </c>
      <c r="AI4248" s="154" t="s">
        <v>187</v>
      </c>
      <c r="AJ4248" s="144"/>
      <c r="AK4248" s="130" t="s">
        <v>228</v>
      </c>
      <c r="AL4248" s="154" t="s">
        <v>187</v>
      </c>
      <c r="AM4248" s="144"/>
      <c r="AN4248" s="130" t="s">
        <v>228</v>
      </c>
      <c r="AO4248" s="154" t="s">
        <v>187</v>
      </c>
      <c r="AP4248" s="144"/>
      <c r="AQ4248" s="130" t="s">
        <v>228</v>
      </c>
      <c r="AR4248" s="154" t="s">
        <v>187</v>
      </c>
      <c r="AS4248" s="144"/>
      <c r="AT4248" s="130" t="s">
        <v>228</v>
      </c>
      <c r="AU4248" s="154" t="s">
        <v>187</v>
      </c>
    </row>
    <row r="4249" spans="13:47" x14ac:dyDescent="0.25">
      <c r="M4249" s="20"/>
      <c r="N4249" s="20"/>
      <c r="O4249" s="7" t="s">
        <v>188</v>
      </c>
      <c r="P4249" s="7"/>
      <c r="Q4249" s="7"/>
      <c r="R4249" s="181">
        <f>P_1_minW-(R4247^2*R_up)+dpup_minQ</f>
        <v>92.659068182390186</v>
      </c>
      <c r="S4249" s="132"/>
      <c r="T4249" s="145"/>
      <c r="U4249" s="138">
        <f>P_1_minW-(U4247^2*R_up)+dpup_minQ</f>
        <v>66.146749036996695</v>
      </c>
      <c r="V4249" s="132"/>
      <c r="W4249" s="145"/>
      <c r="X4249" s="138">
        <f>P_1_minW-(X4247^2*R_up)+dpup_minQ</f>
        <v>-109.73197749460657</v>
      </c>
      <c r="Y4249" s="132"/>
      <c r="Z4249" s="145"/>
      <c r="AA4249" s="138">
        <f>P_1_minW-(AA4247^2*R_up)+dpup_minQ</f>
        <v>-697.12273687497589</v>
      </c>
      <c r="AB4249" s="132"/>
      <c r="AC4249" s="145"/>
      <c r="AD4249" s="138">
        <f>P_1_minW-(AD4247^2*R_up)+dpup_minQ</f>
        <v>-2056.9598565043812</v>
      </c>
      <c r="AE4249" s="132"/>
      <c r="AF4249" s="145"/>
      <c r="AG4249" s="138">
        <f>P_1_minW-(AG4247^2*R_up)+dpup_minQ</f>
        <v>-4143.7249697627349</v>
      </c>
      <c r="AH4249" s="132"/>
      <c r="AI4249" s="145"/>
      <c r="AJ4249" s="138">
        <f>P_1_minW-(AJ4247^2*R_up)+dpup_minQ</f>
        <v>-6742.1641264370028</v>
      </c>
      <c r="AK4249" s="132"/>
      <c r="AL4249" s="145"/>
      <c r="AM4249" s="138">
        <f>P_1_minW-(AM4247^2*R_up)+dpup_minQ</f>
        <v>-9307.7658006382208</v>
      </c>
      <c r="AN4249" s="132"/>
      <c r="AO4249" s="145"/>
      <c r="AP4249" s="138">
        <f>P_1_minW-(AP4247^2*R_up)+dpup_minQ</f>
        <v>-11610.123231082469</v>
      </c>
      <c r="AQ4249" s="132"/>
      <c r="AR4249" s="145"/>
      <c r="AS4249" s="138">
        <f>P_1_minW-(AS4247^2*R_up)+dpup_minQ</f>
        <v>-14475.904039571795</v>
      </c>
      <c r="AT4249" s="132"/>
      <c r="AU4249" s="145"/>
    </row>
    <row r="4250" spans="13:47" x14ac:dyDescent="0.25">
      <c r="M4250" s="20"/>
      <c r="N4250" s="20"/>
      <c r="O4250" s="7" t="s">
        <v>189</v>
      </c>
      <c r="P4250" s="1"/>
      <c r="Q4250" s="7"/>
      <c r="R4250" s="181">
        <f>P_2_minW+(R4247^2*R_dn)-dpdn_minQ</f>
        <v>50</v>
      </c>
      <c r="S4250" s="132"/>
      <c r="T4250" s="146"/>
      <c r="U4250" s="138">
        <f>P_2_minW+(U4247^2*R_dn)-dpdn_minQ</f>
        <v>50</v>
      </c>
      <c r="V4250" s="132"/>
      <c r="W4250" s="146"/>
      <c r="X4250" s="138">
        <f>P_2_minW+(X4247^2*R_dn)-dpdn_minQ</f>
        <v>50</v>
      </c>
      <c r="Y4250" s="132"/>
      <c r="Z4250" s="146"/>
      <c r="AA4250" s="138">
        <f>P_2_minW+(AA4247^2*R_dn)-dpdn_minQ</f>
        <v>50</v>
      </c>
      <c r="AB4250" s="132"/>
      <c r="AC4250" s="146"/>
      <c r="AD4250" s="138">
        <f>P_2_minW+(AD4247^2*R_dn)-dpdn_minQ</f>
        <v>50</v>
      </c>
      <c r="AE4250" s="132"/>
      <c r="AF4250" s="146"/>
      <c r="AG4250" s="138">
        <f>P_2_minW+(AG4247^2*R_dn)-dpdn_minQ</f>
        <v>50</v>
      </c>
      <c r="AH4250" s="132"/>
      <c r="AI4250" s="146"/>
      <c r="AJ4250" s="138">
        <f>P_2_minW+(AJ4247^2*R_dn)-dpdn_minQ</f>
        <v>50</v>
      </c>
      <c r="AK4250" s="132"/>
      <c r="AL4250" s="146"/>
      <c r="AM4250" s="138">
        <f>P_2_minW+(AM4247^2*R_dn)-dpdn_minQ</f>
        <v>50</v>
      </c>
      <c r="AN4250" s="132"/>
      <c r="AO4250" s="146"/>
      <c r="AP4250" s="138">
        <f>P_2_minW+(AP4247^2*R_dn)-dpdn_minQ</f>
        <v>50</v>
      </c>
      <c r="AQ4250" s="132"/>
      <c r="AR4250" s="146"/>
      <c r="AS4250" s="138">
        <f>P_2_minW+(AS4247^2*R_dn)-dpdn_minQ</f>
        <v>50</v>
      </c>
      <c r="AT4250" s="132"/>
      <c r="AU4250" s="146"/>
    </row>
    <row r="4251" spans="13:47" x14ac:dyDescent="0.25">
      <c r="M4251" s="20"/>
      <c r="N4251" s="20"/>
      <c r="O4251" s="7" t="s">
        <v>234</v>
      </c>
      <c r="P4251" s="1"/>
      <c r="Q4251" s="7"/>
      <c r="R4251" s="179">
        <f>'Valve Sizing'!G$8*R4249/P_1_maxW</f>
        <v>0.44697084798156661</v>
      </c>
      <c r="S4251" s="132"/>
      <c r="T4251" s="146"/>
      <c r="U4251" s="143">
        <f>'Valve Sizing'!$G$8*U4249/P_1_maxW</f>
        <v>0.31908014065167589</v>
      </c>
      <c r="V4251" s="132"/>
      <c r="W4251" s="146"/>
      <c r="X4251" s="143">
        <f>'Valve Sizing'!$G$8*X4249/P_1_maxW</f>
        <v>-0.52932752285954721</v>
      </c>
      <c r="Y4251" s="132"/>
      <c r="Z4251" s="146"/>
      <c r="AA4251" s="143">
        <f>'Valve Sizing'!$G$8*AA4249/P_1_maxW</f>
        <v>-3.3627959676315493</v>
      </c>
      <c r="AB4251" s="132"/>
      <c r="AC4251" s="146"/>
      <c r="AD4251" s="143">
        <f>'Valve Sizing'!$G$8*AD4249/P_1_maxW</f>
        <v>-9.9224081286469978</v>
      </c>
      <c r="AE4251" s="132"/>
      <c r="AF4251" s="146"/>
      <c r="AG4251" s="143">
        <f>'Valve Sizing'!$G$8*AG4249/P_1_maxW</f>
        <v>-19.988591509376267</v>
      </c>
      <c r="AH4251" s="132"/>
      <c r="AI4251" s="146"/>
      <c r="AJ4251" s="143">
        <f>'Valve Sizing'!$G$8*AJ4249/P_1_maxW</f>
        <v>-32.522999377595397</v>
      </c>
      <c r="AK4251" s="132"/>
      <c r="AL4251" s="146"/>
      <c r="AM4251" s="143">
        <f>'Valve Sizing'!$G$8*AM4249/P_1_maxW</f>
        <v>-44.899005076717941</v>
      </c>
      <c r="AN4251" s="132"/>
      <c r="AO4251" s="146"/>
      <c r="AP4251" s="143">
        <f>'Valve Sizing'!$G$8*AP4249/P_1_maxW</f>
        <v>-56.005167411705713</v>
      </c>
      <c r="AQ4251" s="132"/>
      <c r="AR4251" s="146"/>
      <c r="AS4251" s="143">
        <f>'Valve Sizing'!$G$8*AS4249/P_1_maxW</f>
        <v>-69.829183811033289</v>
      </c>
      <c r="AT4251" s="132"/>
      <c r="AU4251" s="146"/>
    </row>
    <row r="4252" spans="13:47" x14ac:dyDescent="0.25">
      <c r="M4252" s="20"/>
      <c r="N4252" s="20"/>
      <c r="O4252" s="7" t="s">
        <v>190</v>
      </c>
      <c r="P4252" s="1"/>
      <c r="Q4252" s="7"/>
      <c r="R4252" s="181">
        <f>R4249-R4250</f>
        <v>42.659068182390186</v>
      </c>
      <c r="S4252" s="132"/>
      <c r="T4252" s="146"/>
      <c r="U4252" s="138">
        <f>U4249-U4250</f>
        <v>16.146749036996695</v>
      </c>
      <c r="V4252" s="132"/>
      <c r="W4252" s="146"/>
      <c r="X4252" s="138">
        <f>X4249-X4250</f>
        <v>-159.73197749460655</v>
      </c>
      <c r="Y4252" s="132"/>
      <c r="Z4252" s="146"/>
      <c r="AA4252" s="138">
        <f>AA4249-AA4250</f>
        <v>-747.12273687497589</v>
      </c>
      <c r="AB4252" s="132"/>
      <c r="AC4252" s="146"/>
      <c r="AD4252" s="138">
        <f>AD4249-AD4250</f>
        <v>-2106.9598565043812</v>
      </c>
      <c r="AE4252" s="132"/>
      <c r="AF4252" s="146"/>
      <c r="AG4252" s="138">
        <f>AG4249-AG4250</f>
        <v>-4193.7249697627349</v>
      </c>
      <c r="AH4252" s="132"/>
      <c r="AI4252" s="146"/>
      <c r="AJ4252" s="138">
        <f>AJ4249-AJ4250</f>
        <v>-6792.1641264370028</v>
      </c>
      <c r="AK4252" s="132"/>
      <c r="AL4252" s="146"/>
      <c r="AM4252" s="138">
        <f>AM4249-AM4250</f>
        <v>-9357.7658006382208</v>
      </c>
      <c r="AN4252" s="132"/>
      <c r="AO4252" s="146"/>
      <c r="AP4252" s="138">
        <f>AP4249-AP4250</f>
        <v>-11660.123231082469</v>
      </c>
      <c r="AQ4252" s="132"/>
      <c r="AR4252" s="146"/>
      <c r="AS4252" s="138">
        <f>AS4249-AS4250</f>
        <v>-14525.904039571795</v>
      </c>
      <c r="AT4252" s="132"/>
      <c r="AU4252" s="146"/>
    </row>
    <row r="4253" spans="13:47" ht="14.5" x14ac:dyDescent="0.35">
      <c r="M4253" s="27"/>
      <c r="N4253" s="27"/>
      <c r="O4253" s="2" t="s">
        <v>191</v>
      </c>
      <c r="P4253" s="10"/>
      <c r="Q4253" s="2"/>
      <c r="R4253" s="181">
        <f>R4252/R4249</f>
        <v>0.46038740750576124</v>
      </c>
      <c r="S4253" s="132"/>
      <c r="T4253" s="146"/>
      <c r="U4253" s="138">
        <f>U4252/U4249</f>
        <v>0.24410495257999179</v>
      </c>
      <c r="V4253" s="132"/>
      <c r="W4253" s="146"/>
      <c r="X4253" s="138">
        <f>X4252/X4249</f>
        <v>1.4556556907256823</v>
      </c>
      <c r="Y4253" s="132"/>
      <c r="Z4253" s="146"/>
      <c r="AA4253" s="138">
        <f>AA4252/AA4249</f>
        <v>1.0717233814867915</v>
      </c>
      <c r="AB4253" s="132"/>
      <c r="AC4253" s="146"/>
      <c r="AD4253" s="138">
        <f>AD4252/AD4249</f>
        <v>1.0243077179371747</v>
      </c>
      <c r="AE4253" s="132"/>
      <c r="AF4253" s="146"/>
      <c r="AG4253" s="138">
        <f>AG4252/AG4249</f>
        <v>1.0120664378946131</v>
      </c>
      <c r="AH4253" s="132"/>
      <c r="AI4253" s="146"/>
      <c r="AJ4253" s="138">
        <f>AJ4252/AJ4249</f>
        <v>1.0074160164395796</v>
      </c>
      <c r="AK4253" s="132"/>
      <c r="AL4253" s="146"/>
      <c r="AM4253" s="138">
        <f>AM4252/AM4249</f>
        <v>1.0053718584105942</v>
      </c>
      <c r="AN4253" s="132"/>
      <c r="AO4253" s="146"/>
      <c r="AP4253" s="138">
        <f>AP4252/AP4249</f>
        <v>1.0043065865025567</v>
      </c>
      <c r="AQ4253" s="132"/>
      <c r="AR4253" s="146"/>
      <c r="AS4253" s="138">
        <f>AS4252/AS4249</f>
        <v>1.0034540157121323</v>
      </c>
      <c r="AT4253" s="132"/>
      <c r="AU4253" s="146"/>
    </row>
    <row r="4254" spans="13:47" x14ac:dyDescent="0.25">
      <c r="M4254" s="27"/>
      <c r="N4254" s="27"/>
      <c r="O4254" s="2" t="s">
        <v>26</v>
      </c>
      <c r="P4254" s="7">
        <v>12</v>
      </c>
      <c r="Q4254" s="2"/>
      <c r="R4254" s="181">
        <f>1-R4253/(3*F_GAMMA*R$29)</f>
        <v>0.76022496253246385</v>
      </c>
      <c r="S4254" s="133"/>
      <c r="T4254" s="146"/>
      <c r="U4254" s="138">
        <f>1-U4253/(3*F_GAMMA*U$29)</f>
        <v>0.87289533491137716</v>
      </c>
      <c r="V4254" s="133"/>
      <c r="W4254" s="146"/>
      <c r="X4254" s="138">
        <f>1-X4253/(3*F_GAMMA*X$29)</f>
        <v>0.23067422039284491</v>
      </c>
      <c r="Y4254" s="133"/>
      <c r="Z4254" s="146"/>
      <c r="AA4254" s="138">
        <f>1-AA4253/(3*F_GAMMA*AA$29)</f>
        <v>0.42581921370569165</v>
      </c>
      <c r="AB4254" s="133"/>
      <c r="AC4254" s="146"/>
      <c r="AD4254" s="138">
        <f>1-AD4253/(3*F_GAMMA*AD$29)</f>
        <v>0.43617606044101942</v>
      </c>
      <c r="AE4254" s="133"/>
      <c r="AF4254" s="146"/>
      <c r="AG4254" s="138">
        <f>1-AG4253/(3*F_GAMMA*AG$29)</f>
        <v>0.41113714464165152</v>
      </c>
      <c r="AH4254" s="133"/>
      <c r="AI4254" s="146"/>
      <c r="AJ4254" s="138">
        <f>1-AJ4253/(3*F_GAMMA*AJ$29)</f>
        <v>0.37339017325707857</v>
      </c>
      <c r="AK4254" s="133"/>
      <c r="AL4254" s="146"/>
      <c r="AM4254" s="138">
        <f>1-AM4253/(3*F_GAMMA*AM$29)</f>
        <v>0.31675424478478076</v>
      </c>
      <c r="AN4254" s="133"/>
      <c r="AO4254" s="146"/>
      <c r="AP4254" s="138">
        <f>1-AP4253/(3*F_GAMMA*AP$29)</f>
        <v>0.43596957100385114</v>
      </c>
      <c r="AQ4254" s="133"/>
      <c r="AR4254" s="146"/>
      <c r="AS4254" s="138">
        <f>1-AS4253/(3*F_GAMMA*AS$29)</f>
        <v>0.1444796791923596</v>
      </c>
      <c r="AT4254" s="133"/>
      <c r="AU4254" s="146"/>
    </row>
    <row r="4255" spans="13:47" x14ac:dyDescent="0.25">
      <c r="M4255" s="27"/>
      <c r="N4255" s="27"/>
      <c r="O4255" s="2" t="s">
        <v>71</v>
      </c>
      <c r="P4255" s="85">
        <v>5</v>
      </c>
      <c r="Q4255" s="2"/>
      <c r="R4255" s="179">
        <f>R4247/((N_6*R$27*R4254)*SQRT(R4253*R4249*R4251))</f>
        <v>21.135743460688854</v>
      </c>
      <c r="S4255" s="133"/>
      <c r="T4255" s="146"/>
      <c r="U4255" s="143">
        <f>U4247/((N_6*U$27*U4254)*SQRT(U4253*U4249*U4251))</f>
        <v>74.085671226138246</v>
      </c>
      <c r="V4255" s="133"/>
      <c r="W4255" s="146"/>
      <c r="X4255" s="143">
        <f>X4247/((N_6*X$27*X4254)*SQRT(X4253*X4249*X4251))</f>
        <v>171.5291879336346</v>
      </c>
      <c r="Y4255" s="133"/>
      <c r="Z4255" s="146"/>
      <c r="AA4255" s="143">
        <f>AA4247/((N_6*AA$27*AA4254)*SQRT(AA4253*AA4249*AA4251))</f>
        <v>33.392305225683771</v>
      </c>
      <c r="AB4255" s="133"/>
      <c r="AC4255" s="146"/>
      <c r="AD4255" s="143">
        <f>AD4247/((N_6*AD$27*AD4254)*SQRT(AD4253*AD4249*AD4251))</f>
        <v>18.807573194079531</v>
      </c>
      <c r="AE4255" s="133"/>
      <c r="AF4255" s="146"/>
      <c r="AG4255" s="143">
        <f>AG4247/((N_6*AG$27*AG4254)*SQRT(AG4253*AG4249*AG4251))</f>
        <v>14.277458488860741</v>
      </c>
      <c r="AH4255" s="133"/>
      <c r="AI4255" s="146"/>
      <c r="AJ4255" s="143">
        <f>AJ4247/((N_6*AJ$27*AJ4254)*SQRT(AJ4253*AJ4249*AJ4251))</f>
        <v>12.718590123580251</v>
      </c>
      <c r="AK4255" s="133"/>
      <c r="AL4255" s="146"/>
      <c r="AM4255" s="143">
        <f>AM4247/((N_6*AM$27*AM4254)*SQRT(AM4253*AM4249*AM4251))</f>
        <v>13.530086505042856</v>
      </c>
      <c r="AN4255" s="133"/>
      <c r="AO4255" s="146"/>
      <c r="AP4255" s="143">
        <f>AP4247/((N_6*AP$27*AP4254)*SQRT(AP4253*AP4249*AP4251))</f>
        <v>9.9929772239831358</v>
      </c>
      <c r="AQ4255" s="133"/>
      <c r="AR4255" s="146"/>
      <c r="AS4255" s="143">
        <f>AS4247/((N_6*AS$27*AS4254)*SQRT(AS4253*AS4249*AS4251))</f>
        <v>35.468464638234082</v>
      </c>
      <c r="AT4255" s="133"/>
      <c r="AU4255" s="146"/>
    </row>
    <row r="4256" spans="13:47" x14ac:dyDescent="0.25">
      <c r="M4256" s="27"/>
      <c r="N4256" s="27"/>
      <c r="O4256" s="2" t="s">
        <v>73</v>
      </c>
      <c r="P4256" s="85">
        <v>5</v>
      </c>
      <c r="Q4256" s="2"/>
      <c r="R4256" s="179">
        <f>R4247/((N_6*R$27*0.667)*SQRT(R4257*R4249*R4251))</f>
        <v>20.431320290578874</v>
      </c>
      <c r="S4256" s="133"/>
      <c r="T4256" s="155"/>
      <c r="U4256" s="143">
        <f>U4247/((N_6*U$27*0.667)*SQRT(U4257*U4249*U4251))</f>
        <v>59.870368500869368</v>
      </c>
      <c r="V4256" s="133"/>
      <c r="W4256" s="155"/>
      <c r="X4256" s="143">
        <f>X4247/((N_6*X$27*0.667)*SQRT(X4257*X4249*X4251))</f>
        <v>90.121213157711011</v>
      </c>
      <c r="Y4256" s="133"/>
      <c r="Z4256" s="155"/>
      <c r="AA4256" s="143">
        <f>AA4247/((N_6*AA$27*0.667)*SQRT(AA4257*AA4249*AA4251))</f>
        <v>27.9789090419928</v>
      </c>
      <c r="AB4256" s="133"/>
      <c r="AC4256" s="155"/>
      <c r="AD4256" s="143">
        <f>AD4247/((N_6*AD$27*0.667)*SQRT(AD4257*AD4249*AD4251))</f>
        <v>15.995622111112185</v>
      </c>
      <c r="AE4256" s="133"/>
      <c r="AF4256" s="155"/>
      <c r="AG4256" s="143">
        <f>AG4247/((N_6*AG$27*0.667)*SQRT(AG4257*AG4249*AG4251))</f>
        <v>11.697134810192875</v>
      </c>
      <c r="AH4256" s="133"/>
      <c r="AI4256" s="155"/>
      <c r="AJ4256" s="143">
        <f>AJ4247/((N_6*AJ$27*0.667)*SQRT(AJ4257*AJ4249*AJ4251))</f>
        <v>9.7619201299479705</v>
      </c>
      <c r="AK4256" s="133"/>
      <c r="AL4256" s="155"/>
      <c r="AM4256" s="143">
        <f>AM4247/((N_6*AM$27*0.667)*SQRT(AM4257*AM4249*AM4251))</f>
        <v>9.1991199411295721</v>
      </c>
      <c r="AN4256" s="133"/>
      <c r="AO4256" s="155"/>
      <c r="AP4256" s="143">
        <f>AP4247/((N_6*AP$27*0.667)*SQRT(AP4257*AP4249*AP4251))</f>
        <v>8.4964427706148342</v>
      </c>
      <c r="AQ4256" s="133"/>
      <c r="AR4256" s="155"/>
      <c r="AS4256" s="143">
        <f>AS4247/((N_6*AS$27*0.667)*SQRT(AS4257*AS4249*AS4251))</f>
        <v>12.3083295565137</v>
      </c>
      <c r="AT4256" s="133"/>
      <c r="AU4256" s="155"/>
    </row>
    <row r="4257" spans="13:47" ht="15.5" x14ac:dyDescent="0.4">
      <c r="M4257" s="27"/>
      <c r="N4257" s="27"/>
      <c r="O4257" s="2" t="s">
        <v>192</v>
      </c>
      <c r="P4257" s="85">
        <v>10</v>
      </c>
      <c r="Q4257" s="2"/>
      <c r="R4257" s="181">
        <f>F_GAMMA*R$29</f>
        <v>0.64002688015162901</v>
      </c>
      <c r="S4257" s="133"/>
      <c r="T4257" s="155"/>
      <c r="U4257" s="138">
        <f>F_GAMMA*U$29</f>
        <v>0.64016782916606918</v>
      </c>
      <c r="V4257" s="133"/>
      <c r="W4257" s="155"/>
      <c r="X4257" s="138">
        <f>F_GAMMA*X$29</f>
        <v>0.6307062319203669</v>
      </c>
      <c r="Y4257" s="133"/>
      <c r="Z4257" s="155"/>
      <c r="AA4257" s="138">
        <f>F_GAMMA*AA$29</f>
        <v>0.62217534213893466</v>
      </c>
      <c r="AB4257" s="133"/>
      <c r="AC4257" s="155"/>
      <c r="AD4257" s="138">
        <f>F_GAMMA*AD$29</f>
        <v>0.60557184969146072</v>
      </c>
      <c r="AE4257" s="133"/>
      <c r="AF4257" s="155"/>
      <c r="AG4257" s="138">
        <f>F_GAMMA*AG$29</f>
        <v>0.57289312142622573</v>
      </c>
      <c r="AH4257" s="133"/>
      <c r="AI4257" s="155"/>
      <c r="AJ4257" s="138">
        <f>F_GAMMA*AJ$29</f>
        <v>0.53590819116049981</v>
      </c>
      <c r="AK4257" s="133"/>
      <c r="AL4257" s="155"/>
      <c r="AM4257" s="138">
        <f>F_GAMMA*AM$29</f>
        <v>0.49048815926850342</v>
      </c>
      <c r="AN4257" s="133"/>
      <c r="AO4257" s="155"/>
      <c r="AP4257" s="138">
        <f>F_GAMMA*AP$29</f>
        <v>0.59352979016280105</v>
      </c>
      <c r="AQ4257" s="133"/>
      <c r="AR4257" s="155"/>
      <c r="AS4257" s="138">
        <f>F_GAMMA*AS$29</f>
        <v>0.39097221161068291</v>
      </c>
      <c r="AT4257" s="133"/>
      <c r="AU4257" s="155"/>
    </row>
    <row r="4258" spans="13:47" x14ac:dyDescent="0.25">
      <c r="M4258" s="27"/>
      <c r="N4258" s="27"/>
      <c r="O4258" s="2" t="s">
        <v>193</v>
      </c>
      <c r="P4258" s="134"/>
      <c r="Q4258" s="2"/>
      <c r="R4258" s="181">
        <f>IF(R4253&lt;R4257,R4255,R4256)</f>
        <v>21.135743460688854</v>
      </c>
      <c r="S4258" s="133"/>
      <c r="T4258" s="155"/>
      <c r="U4258" s="138">
        <f>IF(U4253&lt;U4257,U4255,U4256)</f>
        <v>74.085671226138246</v>
      </c>
      <c r="V4258" s="133"/>
      <c r="W4258" s="155"/>
      <c r="X4258" s="138">
        <f>IF(X4253&lt;X4257,X4255,X4256)</f>
        <v>90.121213157711011</v>
      </c>
      <c r="Y4258" s="133"/>
      <c r="Z4258" s="155"/>
      <c r="AA4258" s="138">
        <f>IF(AA4253&lt;AA4257,AA4255,AA4256)</f>
        <v>27.9789090419928</v>
      </c>
      <c r="AB4258" s="133"/>
      <c r="AC4258" s="155"/>
      <c r="AD4258" s="138">
        <f>IF(AD4253&lt;AD4257,AD4255,AD4256)</f>
        <v>15.995622111112185</v>
      </c>
      <c r="AE4258" s="133"/>
      <c r="AF4258" s="155"/>
      <c r="AG4258" s="138">
        <f>IF(AG4253&lt;AG4257,AG4255,AG4256)</f>
        <v>11.697134810192875</v>
      </c>
      <c r="AH4258" s="133"/>
      <c r="AI4258" s="155"/>
      <c r="AJ4258" s="138">
        <f>IF(AJ4253&lt;AJ4257,AJ4255,AJ4256)</f>
        <v>9.7619201299479705</v>
      </c>
      <c r="AK4258" s="133"/>
      <c r="AL4258" s="155"/>
      <c r="AM4258" s="138">
        <f>IF(AM4253&lt;AM4257,AM4255,AM4256)</f>
        <v>9.1991199411295721</v>
      </c>
      <c r="AN4258" s="133"/>
      <c r="AO4258" s="155"/>
      <c r="AP4258" s="138">
        <f>IF(AP4253&lt;AP4257,AP4255,AP4256)</f>
        <v>8.4964427706148342</v>
      </c>
      <c r="AQ4258" s="133"/>
      <c r="AR4258" s="155"/>
      <c r="AS4258" s="138">
        <f>IF(AS4253&lt;AS4257,AS4255,AS4256)</f>
        <v>12.3083295565137</v>
      </c>
      <c r="AT4258" s="133"/>
      <c r="AU4258" s="155"/>
    </row>
    <row r="4259" spans="13:47" ht="13" x14ac:dyDescent="0.3">
      <c r="M4259" s="28"/>
      <c r="N4259" s="28"/>
      <c r="O4259" s="9" t="s">
        <v>194</v>
      </c>
      <c r="P4259" s="1"/>
      <c r="Q4259" s="1"/>
      <c r="R4259" s="135"/>
      <c r="S4259" s="132">
        <f>IF(R4252&lt;=0,W_max,ABS(R$23-R4258))</f>
        <v>19.135743460688854</v>
      </c>
      <c r="T4259" s="151">
        <f>R4247</f>
        <v>4440.7588196506822</v>
      </c>
      <c r="U4259" s="135"/>
      <c r="V4259" s="132">
        <f>IF(U4252&lt;=0,W_max,ABS(U$23-U4258))</f>
        <v>69.085671226138246</v>
      </c>
      <c r="W4259" s="151">
        <f>U4247</f>
        <v>9284.7692465010186</v>
      </c>
      <c r="X4259" s="135"/>
      <c r="Y4259" s="132">
        <f>IF(X4252&lt;=0,W_max,ABS(X$23-X4258))</f>
        <v>7174</v>
      </c>
      <c r="Z4259" s="151">
        <f>X4247</f>
        <v>22962.33924708929</v>
      </c>
      <c r="AA4259" s="135"/>
      <c r="AB4259" s="132">
        <f>IF(AA4252&lt;=0,W_max,ABS(AA$23-AA4258))</f>
        <v>7174</v>
      </c>
      <c r="AC4259" s="151">
        <f>AA4247</f>
        <v>44724.775821557436</v>
      </c>
      <c r="AD4259" s="135"/>
      <c r="AE4259" s="132">
        <f>IF(AD4252&lt;=0,W_max,ABS(AD$23-AD4258))</f>
        <v>7174</v>
      </c>
      <c r="AF4259" s="151">
        <f>AD4247</f>
        <v>73555.789540967206</v>
      </c>
      <c r="AG4259" s="135"/>
      <c r="AH4259" s="132">
        <f>IF(AG4252&lt;=0,W_max,ABS(AG$23-AG4258))</f>
        <v>7174</v>
      </c>
      <c r="AI4259" s="151">
        <f>AG4247</f>
        <v>103167.65760969311</v>
      </c>
      <c r="AJ4259" s="135"/>
      <c r="AK4259" s="132">
        <f>IF(AJ4252&lt;=0,W_max,ABS(AJ$23-AJ4258))</f>
        <v>7174</v>
      </c>
      <c r="AL4259" s="151">
        <f>AJ4247</f>
        <v>130995.5494749046</v>
      </c>
      <c r="AM4259" s="135"/>
      <c r="AN4259" s="132">
        <f>IF(AM4252&lt;=0,W_max,ABS(AM$23-AM4258))</f>
        <v>7174</v>
      </c>
      <c r="AO4259" s="151">
        <f>AM4247</f>
        <v>153602.58389431896</v>
      </c>
      <c r="AP4259" s="135"/>
      <c r="AQ4259" s="132">
        <f>IF(AP4252&lt;=0,W_max,ABS(AP$23-AP4258))</f>
        <v>7174</v>
      </c>
      <c r="AR4259" s="151">
        <f>AP4247</f>
        <v>171369.54081689549</v>
      </c>
      <c r="AS4259" s="135"/>
      <c r="AT4259" s="132">
        <f>IF(AS4252&lt;=0,W_max,ABS(AS$23-AS4258))</f>
        <v>7174</v>
      </c>
      <c r="AU4259" s="151">
        <f>AS4247</f>
        <v>191191.57227198029</v>
      </c>
    </row>
    <row r="4260" spans="13:47" ht="13" x14ac:dyDescent="0.25">
      <c r="M4260" s="12"/>
      <c r="N4260" s="12"/>
      <c r="O4260" s="2"/>
      <c r="P4260" s="85"/>
      <c r="Q4260" s="2"/>
      <c r="R4260" s="18"/>
      <c r="S4260" s="150"/>
      <c r="T4260" s="152"/>
      <c r="U4260" s="157"/>
      <c r="V4260" s="1"/>
      <c r="W4260" s="147"/>
      <c r="X4260" s="157"/>
      <c r="Y4260" s="1"/>
      <c r="Z4260" s="147"/>
      <c r="AA4260" s="157"/>
      <c r="AB4260" s="1"/>
      <c r="AC4260" s="147"/>
      <c r="AD4260" s="157"/>
      <c r="AE4260" s="1"/>
      <c r="AF4260" s="147"/>
      <c r="AG4260" s="157"/>
      <c r="AH4260" s="1"/>
      <c r="AI4260" s="147"/>
      <c r="AJ4260" s="157"/>
      <c r="AK4260" s="1"/>
      <c r="AL4260" s="147"/>
      <c r="AM4260" s="157"/>
      <c r="AN4260" s="1"/>
      <c r="AO4260" s="147"/>
      <c r="AP4260" s="157"/>
      <c r="AQ4260" s="1"/>
      <c r="AR4260" s="147"/>
      <c r="AS4260" s="157"/>
      <c r="AT4260" s="1"/>
      <c r="AU4260" s="147"/>
    </row>
    <row r="4261" spans="13:47" ht="14" x14ac:dyDescent="0.3">
      <c r="M4261" s="23"/>
      <c r="N4261" s="23"/>
      <c r="O4261" s="23" t="s">
        <v>238</v>
      </c>
      <c r="P4261" s="20"/>
      <c r="Q4261" s="20"/>
      <c r="R4261" s="181">
        <f>R4247*1.02</f>
        <v>4529.5739960436958</v>
      </c>
      <c r="S4261" s="128" t="s">
        <v>185</v>
      </c>
      <c r="T4261" s="153" t="s">
        <v>186</v>
      </c>
      <c r="U4261" s="143">
        <f>U4247*1.01</f>
        <v>9377.6169389660281</v>
      </c>
      <c r="V4261" s="128" t="s">
        <v>185</v>
      </c>
      <c r="W4261" s="153" t="s">
        <v>186</v>
      </c>
      <c r="X4261" s="143">
        <f>X4247*1.01</f>
        <v>23191.962639560184</v>
      </c>
      <c r="Y4261" s="128" t="s">
        <v>185</v>
      </c>
      <c r="Z4261" s="153" t="s">
        <v>186</v>
      </c>
      <c r="AA4261" s="143">
        <f>AA4247*1.01</f>
        <v>45172.023579773013</v>
      </c>
      <c r="AB4261" s="128" t="s">
        <v>185</v>
      </c>
      <c r="AC4261" s="153" t="s">
        <v>186</v>
      </c>
      <c r="AD4261" s="143">
        <f>AD4247*1.01</f>
        <v>74291.347436376876</v>
      </c>
      <c r="AE4261" s="128" t="s">
        <v>185</v>
      </c>
      <c r="AF4261" s="153" t="s">
        <v>186</v>
      </c>
      <c r="AG4261" s="143">
        <f>AG4247*1.01</f>
        <v>104199.33418579004</v>
      </c>
      <c r="AH4261" s="128" t="s">
        <v>185</v>
      </c>
      <c r="AI4261" s="153" t="s">
        <v>186</v>
      </c>
      <c r="AJ4261" s="143">
        <f>AJ4247*1.01</f>
        <v>132305.50496965364</v>
      </c>
      <c r="AK4261" s="128" t="s">
        <v>185</v>
      </c>
      <c r="AL4261" s="153" t="s">
        <v>186</v>
      </c>
      <c r="AM4261" s="143">
        <f>AM4247*1.01</f>
        <v>155138.60973326216</v>
      </c>
      <c r="AN4261" s="128" t="s">
        <v>185</v>
      </c>
      <c r="AO4261" s="153" t="s">
        <v>186</v>
      </c>
      <c r="AP4261" s="143">
        <f>AP4247*1.01</f>
        <v>173083.23622506444</v>
      </c>
      <c r="AQ4261" s="128" t="s">
        <v>185</v>
      </c>
      <c r="AR4261" s="153" t="s">
        <v>186</v>
      </c>
      <c r="AS4261" s="143">
        <f>AS4247*1.01</f>
        <v>193103.48799470009</v>
      </c>
      <c r="AT4261" s="128" t="s">
        <v>185</v>
      </c>
      <c r="AU4261" s="153" t="s">
        <v>186</v>
      </c>
    </row>
    <row r="4262" spans="13:47" ht="14" x14ac:dyDescent="0.3">
      <c r="M4262" s="12"/>
      <c r="N4262" s="12"/>
      <c r="O4262" s="20"/>
      <c r="P4262" s="20"/>
      <c r="Q4262" s="23"/>
      <c r="R4262" s="139"/>
      <c r="S4262" s="130" t="s">
        <v>228</v>
      </c>
      <c r="T4262" s="154" t="s">
        <v>187</v>
      </c>
      <c r="U4262" s="144"/>
      <c r="V4262" s="130" t="s">
        <v>228</v>
      </c>
      <c r="W4262" s="154" t="s">
        <v>187</v>
      </c>
      <c r="X4262" s="144"/>
      <c r="Y4262" s="130" t="s">
        <v>228</v>
      </c>
      <c r="Z4262" s="154" t="s">
        <v>187</v>
      </c>
      <c r="AA4262" s="144"/>
      <c r="AB4262" s="130" t="s">
        <v>228</v>
      </c>
      <c r="AC4262" s="154" t="s">
        <v>187</v>
      </c>
      <c r="AD4262" s="144"/>
      <c r="AE4262" s="130" t="s">
        <v>228</v>
      </c>
      <c r="AF4262" s="154" t="s">
        <v>187</v>
      </c>
      <c r="AG4262" s="144"/>
      <c r="AH4262" s="130" t="s">
        <v>228</v>
      </c>
      <c r="AI4262" s="154" t="s">
        <v>187</v>
      </c>
      <c r="AJ4262" s="144"/>
      <c r="AK4262" s="130" t="s">
        <v>228</v>
      </c>
      <c r="AL4262" s="154" t="s">
        <v>187</v>
      </c>
      <c r="AM4262" s="144"/>
      <c r="AN4262" s="130" t="s">
        <v>228</v>
      </c>
      <c r="AO4262" s="154" t="s">
        <v>187</v>
      </c>
      <c r="AP4262" s="144"/>
      <c r="AQ4262" s="130" t="s">
        <v>228</v>
      </c>
      <c r="AR4262" s="154" t="s">
        <v>187</v>
      </c>
      <c r="AS4262" s="144"/>
      <c r="AT4262" s="130" t="s">
        <v>228</v>
      </c>
      <c r="AU4262" s="154" t="s">
        <v>187</v>
      </c>
    </row>
    <row r="4263" spans="13:47" x14ac:dyDescent="0.25">
      <c r="M4263" s="20"/>
      <c r="N4263" s="20"/>
      <c r="O4263" s="7" t="s">
        <v>188</v>
      </c>
      <c r="P4263" s="7"/>
      <c r="Q4263" s="7"/>
      <c r="R4263" s="181">
        <f>P_1_minW-(R4261^2*R_up)+dpup_minQ</f>
        <v>92.341373952794996</v>
      </c>
      <c r="S4263" s="132"/>
      <c r="T4263" s="145"/>
      <c r="U4263" s="138">
        <f>P_1_minW-(U4261^2*R_up)+dpup_minQ</f>
        <v>65.455790679232138</v>
      </c>
      <c r="V4263" s="132"/>
      <c r="W4263" s="145"/>
      <c r="X4263" s="138">
        <f>P_1_minW-(X4261^2*R_up)+dpup_minQ</f>
        <v>-113.9580982556564</v>
      </c>
      <c r="Y4263" s="132"/>
      <c r="Z4263" s="145"/>
      <c r="AA4263" s="138">
        <f>P_1_minW-(AA4261^2*R_up)+dpup_minQ</f>
        <v>-713.15541189957116</v>
      </c>
      <c r="AB4263" s="132"/>
      <c r="AC4263" s="145"/>
      <c r="AD4263" s="138">
        <f>P_1_minW-(AD4261^2*R_up)+dpup_minQ</f>
        <v>-2100.3252576335276</v>
      </c>
      <c r="AE4263" s="132"/>
      <c r="AF4263" s="145"/>
      <c r="AG4263" s="138">
        <f>P_1_minW-(AG4261^2*R_up)+dpup_minQ</f>
        <v>-4229.0343496683745</v>
      </c>
      <c r="AH4263" s="132"/>
      <c r="AI4263" s="145"/>
      <c r="AJ4263" s="138">
        <f>P_1_minW-(AJ4261^2*R_up)+dpup_minQ</f>
        <v>-6879.7021333917937</v>
      </c>
      <c r="AK4263" s="132"/>
      <c r="AL4263" s="145"/>
      <c r="AM4263" s="138">
        <f>P_1_minW-(AM4261^2*R_up)+dpup_minQ</f>
        <v>-9496.8724012444582</v>
      </c>
      <c r="AN4263" s="132"/>
      <c r="AO4263" s="145"/>
      <c r="AP4263" s="138">
        <f>P_1_minW-(AP4261^2*R_up)+dpup_minQ</f>
        <v>-11845.507216040633</v>
      </c>
      <c r="AQ4263" s="132"/>
      <c r="AR4263" s="145"/>
      <c r="AS4263" s="138">
        <f>P_1_minW-(AS4261^2*R_up)+dpup_minQ</f>
        <v>-14768.890218780596</v>
      </c>
      <c r="AT4263" s="132"/>
      <c r="AU4263" s="145"/>
    </row>
    <row r="4264" spans="13:47" x14ac:dyDescent="0.25">
      <c r="M4264" s="20"/>
      <c r="N4264" s="20"/>
      <c r="O4264" s="7" t="s">
        <v>189</v>
      </c>
      <c r="P4264" s="1"/>
      <c r="Q4264" s="7"/>
      <c r="R4264" s="181">
        <f>P_2_minW+(R4261^2*R_dn)-dpdn_minQ</f>
        <v>50</v>
      </c>
      <c r="S4264" s="132"/>
      <c r="T4264" s="146"/>
      <c r="U4264" s="138">
        <f>P_2_minW+(U4261^2*R_dn)-dpdn_minQ</f>
        <v>50</v>
      </c>
      <c r="V4264" s="132"/>
      <c r="W4264" s="146"/>
      <c r="X4264" s="138">
        <f>P_2_minW+(X4261^2*R_dn)-dpdn_minQ</f>
        <v>50</v>
      </c>
      <c r="Y4264" s="132"/>
      <c r="Z4264" s="146"/>
      <c r="AA4264" s="138">
        <f>P_2_minW+(AA4261^2*R_dn)-dpdn_minQ</f>
        <v>50</v>
      </c>
      <c r="AB4264" s="132"/>
      <c r="AC4264" s="146"/>
      <c r="AD4264" s="138">
        <f>P_2_minW+(AD4261^2*R_dn)-dpdn_minQ</f>
        <v>50</v>
      </c>
      <c r="AE4264" s="132"/>
      <c r="AF4264" s="146"/>
      <c r="AG4264" s="138">
        <f>P_2_minW+(AG4261^2*R_dn)-dpdn_minQ</f>
        <v>50</v>
      </c>
      <c r="AH4264" s="132"/>
      <c r="AI4264" s="146"/>
      <c r="AJ4264" s="138">
        <f>P_2_minW+(AJ4261^2*R_dn)-dpdn_minQ</f>
        <v>50</v>
      </c>
      <c r="AK4264" s="132"/>
      <c r="AL4264" s="146"/>
      <c r="AM4264" s="138">
        <f>P_2_minW+(AM4261^2*R_dn)-dpdn_minQ</f>
        <v>50</v>
      </c>
      <c r="AN4264" s="132"/>
      <c r="AO4264" s="146"/>
      <c r="AP4264" s="138">
        <f>P_2_minW+(AP4261^2*R_dn)-dpdn_minQ</f>
        <v>50</v>
      </c>
      <c r="AQ4264" s="132"/>
      <c r="AR4264" s="146"/>
      <c r="AS4264" s="138">
        <f>P_2_minW+(AS4261^2*R_dn)-dpdn_minQ</f>
        <v>50</v>
      </c>
      <c r="AT4264" s="132"/>
      <c r="AU4264" s="146"/>
    </row>
    <row r="4265" spans="13:47" x14ac:dyDescent="0.25">
      <c r="M4265" s="20"/>
      <c r="N4265" s="20"/>
      <c r="O4265" s="7" t="s">
        <v>234</v>
      </c>
      <c r="P4265" s="1"/>
      <c r="Q4265" s="7"/>
      <c r="R4265" s="179">
        <f>'Valve Sizing'!G$8*R4263/P_1_maxW</f>
        <v>0.44543834757997069</v>
      </c>
      <c r="S4265" s="132"/>
      <c r="T4265" s="146"/>
      <c r="U4265" s="143">
        <f>'Valve Sizing'!$G$8*U4263/P_1_maxW</f>
        <v>0.31574708055137296</v>
      </c>
      <c r="V4265" s="132"/>
      <c r="W4265" s="146"/>
      <c r="X4265" s="143">
        <f>'Valve Sizing'!$G$8*X4263/P_1_maxW</f>
        <v>-0.54971357699642587</v>
      </c>
      <c r="Y4265" s="132"/>
      <c r="Z4265" s="146"/>
      <c r="AA4265" s="143">
        <f>'Valve Sizing'!$G$8*AA4263/P_1_maxW</f>
        <v>-3.4401347375083455</v>
      </c>
      <c r="AB4265" s="132"/>
      <c r="AC4265" s="146"/>
      <c r="AD4265" s="143">
        <f>'Valve Sizing'!$G$8*AD4263/P_1_maxW</f>
        <v>-10.131595102960205</v>
      </c>
      <c r="AE4265" s="132"/>
      <c r="AF4265" s="146"/>
      <c r="AG4265" s="143">
        <f>'Valve Sizing'!$G$8*AG4263/P_1_maxW</f>
        <v>-20.400108769642134</v>
      </c>
      <c r="AH4265" s="132"/>
      <c r="AI4265" s="146"/>
      <c r="AJ4265" s="143">
        <f>'Valve Sizing'!$G$8*AJ4263/P_1_maxW</f>
        <v>-33.186458236012456</v>
      </c>
      <c r="AK4265" s="132"/>
      <c r="AL4265" s="146"/>
      <c r="AM4265" s="143">
        <f>'Valve Sizing'!$G$8*AM4263/P_1_maxW</f>
        <v>-45.811221649687376</v>
      </c>
      <c r="AN4265" s="132"/>
      <c r="AO4265" s="146"/>
      <c r="AP4265" s="143">
        <f>'Valve Sizing'!$G$8*AP4263/P_1_maxW</f>
        <v>-57.140617847608397</v>
      </c>
      <c r="AQ4265" s="132"/>
      <c r="AR4265" s="146"/>
      <c r="AS4265" s="143">
        <f>'Valve Sizing'!$G$8*AS4263/P_1_maxW</f>
        <v>-71.242496976562464</v>
      </c>
      <c r="AT4265" s="132"/>
      <c r="AU4265" s="146"/>
    </row>
    <row r="4266" spans="13:47" x14ac:dyDescent="0.25">
      <c r="M4266" s="20"/>
      <c r="N4266" s="20"/>
      <c r="O4266" s="7" t="s">
        <v>190</v>
      </c>
      <c r="P4266" s="1"/>
      <c r="Q4266" s="7"/>
      <c r="R4266" s="181">
        <f>R4263-R4264</f>
        <v>42.341373952794996</v>
      </c>
      <c r="S4266" s="132"/>
      <c r="T4266" s="146"/>
      <c r="U4266" s="138">
        <f>U4263-U4264</f>
        <v>15.455790679232138</v>
      </c>
      <c r="V4266" s="132"/>
      <c r="W4266" s="146"/>
      <c r="X4266" s="138">
        <f>X4263-X4264</f>
        <v>-163.95809825565641</v>
      </c>
      <c r="Y4266" s="132"/>
      <c r="Z4266" s="146"/>
      <c r="AA4266" s="138">
        <f>AA4263-AA4264</f>
        <v>-763.15541189957116</v>
      </c>
      <c r="AB4266" s="132"/>
      <c r="AC4266" s="146"/>
      <c r="AD4266" s="138">
        <f>AD4263-AD4264</f>
        <v>-2150.3252576335276</v>
      </c>
      <c r="AE4266" s="132"/>
      <c r="AF4266" s="146"/>
      <c r="AG4266" s="138">
        <f>AG4263-AG4264</f>
        <v>-4279.0343496683745</v>
      </c>
      <c r="AH4266" s="132"/>
      <c r="AI4266" s="146"/>
      <c r="AJ4266" s="138">
        <f>AJ4263-AJ4264</f>
        <v>-6929.7021333917937</v>
      </c>
      <c r="AK4266" s="132"/>
      <c r="AL4266" s="146"/>
      <c r="AM4266" s="138">
        <f>AM4263-AM4264</f>
        <v>-9546.8724012444582</v>
      </c>
      <c r="AN4266" s="132"/>
      <c r="AO4266" s="146"/>
      <c r="AP4266" s="138">
        <f>AP4263-AP4264</f>
        <v>-11895.507216040633</v>
      </c>
      <c r="AQ4266" s="132"/>
      <c r="AR4266" s="146"/>
      <c r="AS4266" s="138">
        <f>AS4263-AS4264</f>
        <v>-14818.890218780596</v>
      </c>
      <c r="AT4266" s="132"/>
      <c r="AU4266" s="146"/>
    </row>
    <row r="4267" spans="13:47" ht="14.5" x14ac:dyDescent="0.35">
      <c r="M4267" s="27"/>
      <c r="N4267" s="27"/>
      <c r="O4267" s="2" t="s">
        <v>191</v>
      </c>
      <c r="P4267" s="10"/>
      <c r="Q4267" s="2"/>
      <c r="R4267" s="181">
        <f>R4266/R4263</f>
        <v>0.45853090700642973</v>
      </c>
      <c r="S4267" s="132"/>
      <c r="T4267" s="146"/>
      <c r="U4267" s="138">
        <f>U4266/U4263</f>
        <v>0.23612564326009985</v>
      </c>
      <c r="V4267" s="132"/>
      <c r="W4267" s="146"/>
      <c r="X4267" s="138">
        <f>X4266/X4263</f>
        <v>1.4387577606624216</v>
      </c>
      <c r="Y4267" s="132"/>
      <c r="Z4267" s="146"/>
      <c r="AA4267" s="138">
        <f>AA4266/AA4263</f>
        <v>1.0701109451961099</v>
      </c>
      <c r="AB4267" s="132"/>
      <c r="AC4267" s="146"/>
      <c r="AD4267" s="138">
        <f>AD4266/AD4263</f>
        <v>1.0238058366523364</v>
      </c>
      <c r="AE4267" s="132"/>
      <c r="AF4267" s="146"/>
      <c r="AG4267" s="138">
        <f>AG4266/AG4263</f>
        <v>1.0118230300030362</v>
      </c>
      <c r="AH4267" s="132"/>
      <c r="AI4267" s="146"/>
      <c r="AJ4267" s="138">
        <f>AJ4266/AJ4263</f>
        <v>1.0072677565148229</v>
      </c>
      <c r="AK4267" s="132"/>
      <c r="AL4267" s="146"/>
      <c r="AM4267" s="138">
        <f>AM4266/AM4263</f>
        <v>1.0052648912070723</v>
      </c>
      <c r="AN4267" s="132"/>
      <c r="AO4267" s="146"/>
      <c r="AP4267" s="138">
        <f>AP4266/AP4263</f>
        <v>1.0042210096273709</v>
      </c>
      <c r="AQ4267" s="132"/>
      <c r="AR4267" s="146"/>
      <c r="AS4267" s="138">
        <f>AS4266/AS4263</f>
        <v>1.0033854947297542</v>
      </c>
      <c r="AT4267" s="132"/>
      <c r="AU4267" s="146"/>
    </row>
    <row r="4268" spans="13:47" x14ac:dyDescent="0.25">
      <c r="M4268" s="27"/>
      <c r="N4268" s="27"/>
      <c r="O4268" s="2" t="s">
        <v>26</v>
      </c>
      <c r="P4268" s="7">
        <v>12</v>
      </c>
      <c r="Q4268" s="2"/>
      <c r="R4268" s="181">
        <f>1-R4267/(3*F_GAMMA*R$29)</f>
        <v>0.76119184926639383</v>
      </c>
      <c r="S4268" s="133"/>
      <c r="T4268" s="146"/>
      <c r="U4268" s="138">
        <f>1-U4267/(3*F_GAMMA*U$29)</f>
        <v>0.87705013565599155</v>
      </c>
      <c r="V4268" s="133"/>
      <c r="W4268" s="146"/>
      <c r="X4268" s="138">
        <f>1-X4267/(3*F_GAMMA*X$29)</f>
        <v>0.23960491279661278</v>
      </c>
      <c r="Y4268" s="133"/>
      <c r="Z4268" s="146"/>
      <c r="AA4268" s="138">
        <f>1-AA4267/(3*F_GAMMA*AA$29)</f>
        <v>0.42668308394798182</v>
      </c>
      <c r="AB4268" s="133"/>
      <c r="AC4268" s="146"/>
      <c r="AD4268" s="138">
        <f>1-AD4267/(3*F_GAMMA*AD$29)</f>
        <v>0.43645231793498651</v>
      </c>
      <c r="AE4268" s="133"/>
      <c r="AF4268" s="146"/>
      <c r="AG4268" s="138">
        <f>1-AG4267/(3*F_GAMMA*AG$29)</f>
        <v>0.4112787695989506</v>
      </c>
      <c r="AH4268" s="133"/>
      <c r="AI4268" s="146"/>
      <c r="AJ4268" s="138">
        <f>1-AJ4267/(3*F_GAMMA*AJ$29)</f>
        <v>0.37348239049826659</v>
      </c>
      <c r="AK4268" s="133"/>
      <c r="AL4268" s="146"/>
      <c r="AM4268" s="138">
        <f>1-AM4267/(3*F_GAMMA*AM$29)</f>
        <v>0.31682693916859717</v>
      </c>
      <c r="AN4268" s="133"/>
      <c r="AO4268" s="146"/>
      <c r="AP4268" s="138">
        <f>1-AP4267/(3*F_GAMMA*AP$29)</f>
        <v>0.4360176319866943</v>
      </c>
      <c r="AQ4268" s="133"/>
      <c r="AR4268" s="146"/>
      <c r="AS4268" s="138">
        <f>1-AS4267/(3*F_GAMMA*AS$29)</f>
        <v>0.1445380985039656</v>
      </c>
      <c r="AT4268" s="133"/>
      <c r="AU4268" s="146"/>
    </row>
    <row r="4269" spans="13:47" x14ac:dyDescent="0.25">
      <c r="M4269" s="27"/>
      <c r="N4269" s="27"/>
      <c r="O4269" s="2" t="s">
        <v>71</v>
      </c>
      <c r="P4269" s="85">
        <v>5</v>
      </c>
      <c r="Q4269" s="2"/>
      <c r="R4269" s="179">
        <f>R4261/((N_6*R$27*R4268)*SQRT(R4267*R4263*R4265))</f>
        <v>21.648843683070712</v>
      </c>
      <c r="S4269" s="133"/>
      <c r="T4269" s="146"/>
      <c r="U4269" s="143">
        <f>U4261/((N_6*U$27*U4268)*SQRT(U4267*U4263*U4265))</f>
        <v>76.51921317964981</v>
      </c>
      <c r="V4269" s="133"/>
      <c r="W4269" s="146"/>
      <c r="X4269" s="143">
        <f>X4261/((N_6*X$27*X4268)*SQRT(X4267*X4263*X4265))</f>
        <v>161.54229655188857</v>
      </c>
      <c r="Y4269" s="133"/>
      <c r="Z4269" s="146"/>
      <c r="AA4269" s="143">
        <f>AA4261/((N_6*AA$27*AA4268)*SQRT(AA4267*AA4263*AA4265))</f>
        <v>32.926048886369365</v>
      </c>
      <c r="AB4269" s="133"/>
      <c r="AC4269" s="146"/>
      <c r="AD4269" s="143">
        <f>AD4261/((N_6*AD$27*AD4268)*SQRT(AD4267*AD4263*AD4265))</f>
        <v>18.59622699534625</v>
      </c>
      <c r="AE4269" s="133"/>
      <c r="AF4269" s="146"/>
      <c r="AG4269" s="143">
        <f>AG4261/((N_6*AG$27*AG4268)*SQRT(AG4267*AG4263*AG4265))</f>
        <v>14.126177041286084</v>
      </c>
      <c r="AH4269" s="133"/>
      <c r="AI4269" s="146"/>
      <c r="AJ4269" s="143">
        <f>AJ4261/((N_6*AJ$27*AJ4268)*SQRT(AJ4267*AJ4263*AJ4265))</f>
        <v>12.586782992251081</v>
      </c>
      <c r="AK4269" s="133"/>
      <c r="AL4269" s="146"/>
      <c r="AM4269" s="143">
        <f>AM4261/((N_6*AM$27*AM4268)*SQRT(AM4267*AM4263*AM4265))</f>
        <v>13.390914523984828</v>
      </c>
      <c r="AN4269" s="133"/>
      <c r="AO4269" s="146"/>
      <c r="AP4269" s="143">
        <f>AP4261/((N_6*AP$27*AP4268)*SQRT(AP4267*AP4263*AP4265))</f>
        <v>9.8916802510570463</v>
      </c>
      <c r="AQ4269" s="133"/>
      <c r="AR4269" s="146"/>
      <c r="AS4269" s="143">
        <f>AS4261/((N_6*AS$27*AS4268)*SQRT(AS4267*AS4263*AS4265))</f>
        <v>35.099494046616172</v>
      </c>
      <c r="AT4269" s="133"/>
      <c r="AU4269" s="146"/>
    </row>
    <row r="4270" spans="13:47" x14ac:dyDescent="0.25">
      <c r="M4270" s="27"/>
      <c r="N4270" s="27"/>
      <c r="O4270" s="2" t="s">
        <v>73</v>
      </c>
      <c r="P4270" s="85">
        <v>5</v>
      </c>
      <c r="Q4270" s="2"/>
      <c r="R4270" s="179">
        <f>R4261/((N_6*R$27*0.667)*SQRT(R4271*R4263*R4265))</f>
        <v>20.911645118528931</v>
      </c>
      <c r="S4270" s="133"/>
      <c r="T4270" s="155"/>
      <c r="U4270" s="143">
        <f>U4261/((N_6*U$27*0.667)*SQRT(U4271*U4263*U4265))</f>
        <v>61.107390207546345</v>
      </c>
      <c r="V4270" s="133"/>
      <c r="W4270" s="155"/>
      <c r="X4270" s="143">
        <f>X4261/((N_6*X$27*0.667)*SQRT(X4271*X4263*X4265))</f>
        <v>87.646870878287118</v>
      </c>
      <c r="Y4270" s="133"/>
      <c r="Z4270" s="155"/>
      <c r="AA4270" s="143">
        <f>AA4261/((N_6*AA$27*0.667)*SQRT(AA4271*AA4263*AA4265))</f>
        <v>27.623405296916566</v>
      </c>
      <c r="AB4270" s="133"/>
      <c r="AC4270" s="155"/>
      <c r="AD4270" s="143">
        <f>AD4261/((N_6*AD$27*0.667)*SQRT(AD4271*AD4263*AD4265))</f>
        <v>15.82201421766346</v>
      </c>
      <c r="AE4270" s="133"/>
      <c r="AF4270" s="155"/>
      <c r="AG4270" s="143">
        <f>AG4261/((N_6*AG$27*0.667)*SQRT(AG4271*AG4263*AG4265))</f>
        <v>11.575788380009897</v>
      </c>
      <c r="AH4270" s="133"/>
      <c r="AI4270" s="155"/>
      <c r="AJ4270" s="143">
        <f>AJ4261/((N_6*AJ$27*0.667)*SQRT(AJ4271*AJ4263*AJ4265))</f>
        <v>9.6624288513430567</v>
      </c>
      <c r="AK4270" s="133"/>
      <c r="AL4270" s="155"/>
      <c r="AM4270" s="143">
        <f>AM4261/((N_6*AM$27*0.667)*SQRT(AM4271*AM4263*AM4265))</f>
        <v>9.1061017638315214</v>
      </c>
      <c r="AN4270" s="133"/>
      <c r="AO4270" s="155"/>
      <c r="AP4270" s="143">
        <f>AP4261/((N_6*AP$27*0.667)*SQRT(AP4271*AP4263*AP4265))</f>
        <v>8.4108846714211474</v>
      </c>
      <c r="AQ4270" s="133"/>
      <c r="AR4270" s="155"/>
      <c r="AS4270" s="143">
        <f>AS4261/((N_6*AS$27*0.667)*SQRT(AS4271*AS4263*AS4265))</f>
        <v>12.184797696861136</v>
      </c>
      <c r="AT4270" s="133"/>
      <c r="AU4270" s="155"/>
    </row>
    <row r="4271" spans="13:47" ht="15.5" x14ac:dyDescent="0.4">
      <c r="M4271" s="27"/>
      <c r="N4271" s="27"/>
      <c r="O4271" s="2" t="s">
        <v>192</v>
      </c>
      <c r="P4271" s="85">
        <v>10</v>
      </c>
      <c r="Q4271" s="2"/>
      <c r="R4271" s="181">
        <f>F_GAMMA*R$29</f>
        <v>0.64002688015162901</v>
      </c>
      <c r="S4271" s="133"/>
      <c r="T4271" s="155"/>
      <c r="U4271" s="138">
        <f>F_GAMMA*U$29</f>
        <v>0.64016782916606918</v>
      </c>
      <c r="V4271" s="133"/>
      <c r="W4271" s="155"/>
      <c r="X4271" s="138">
        <f>F_GAMMA*X$29</f>
        <v>0.6307062319203669</v>
      </c>
      <c r="Y4271" s="133"/>
      <c r="Z4271" s="155"/>
      <c r="AA4271" s="138">
        <f>F_GAMMA*AA$29</f>
        <v>0.62217534213893466</v>
      </c>
      <c r="AB4271" s="133"/>
      <c r="AC4271" s="155"/>
      <c r="AD4271" s="138">
        <f>F_GAMMA*AD$29</f>
        <v>0.60557184969146072</v>
      </c>
      <c r="AE4271" s="133"/>
      <c r="AF4271" s="155"/>
      <c r="AG4271" s="138">
        <f>F_GAMMA*AG$29</f>
        <v>0.57289312142622573</v>
      </c>
      <c r="AH4271" s="133"/>
      <c r="AI4271" s="155"/>
      <c r="AJ4271" s="138">
        <f>F_GAMMA*AJ$29</f>
        <v>0.53590819116049981</v>
      </c>
      <c r="AK4271" s="133"/>
      <c r="AL4271" s="155"/>
      <c r="AM4271" s="138">
        <f>F_GAMMA*AM$29</f>
        <v>0.49048815926850342</v>
      </c>
      <c r="AN4271" s="133"/>
      <c r="AO4271" s="155"/>
      <c r="AP4271" s="138">
        <f>F_GAMMA*AP$29</f>
        <v>0.59352979016280105</v>
      </c>
      <c r="AQ4271" s="133"/>
      <c r="AR4271" s="155"/>
      <c r="AS4271" s="138">
        <f>F_GAMMA*AS$29</f>
        <v>0.39097221161068291</v>
      </c>
      <c r="AT4271" s="133"/>
      <c r="AU4271" s="155"/>
    </row>
    <row r="4272" spans="13:47" x14ac:dyDescent="0.25">
      <c r="M4272" s="27"/>
      <c r="N4272" s="27"/>
      <c r="O4272" s="2" t="s">
        <v>193</v>
      </c>
      <c r="P4272" s="134"/>
      <c r="Q4272" s="2"/>
      <c r="R4272" s="181">
        <f>IF(R4267&lt;R4271,R4269,R4270)</f>
        <v>21.648843683070712</v>
      </c>
      <c r="S4272" s="133"/>
      <c r="T4272" s="155"/>
      <c r="U4272" s="138">
        <f>IF(U4267&lt;U4271,U4269,U4270)</f>
        <v>76.51921317964981</v>
      </c>
      <c r="V4272" s="133"/>
      <c r="W4272" s="155"/>
      <c r="X4272" s="138">
        <f>IF(X4267&lt;X4271,X4269,X4270)</f>
        <v>87.646870878287118</v>
      </c>
      <c r="Y4272" s="133"/>
      <c r="Z4272" s="155"/>
      <c r="AA4272" s="138">
        <f>IF(AA4267&lt;AA4271,AA4269,AA4270)</f>
        <v>27.623405296916566</v>
      </c>
      <c r="AB4272" s="133"/>
      <c r="AC4272" s="155"/>
      <c r="AD4272" s="138">
        <f>IF(AD4267&lt;AD4271,AD4269,AD4270)</f>
        <v>15.82201421766346</v>
      </c>
      <c r="AE4272" s="133"/>
      <c r="AF4272" s="155"/>
      <c r="AG4272" s="138">
        <f>IF(AG4267&lt;AG4271,AG4269,AG4270)</f>
        <v>11.575788380009897</v>
      </c>
      <c r="AH4272" s="133"/>
      <c r="AI4272" s="155"/>
      <c r="AJ4272" s="138">
        <f>IF(AJ4267&lt;AJ4271,AJ4269,AJ4270)</f>
        <v>9.6624288513430567</v>
      </c>
      <c r="AK4272" s="133"/>
      <c r="AL4272" s="155"/>
      <c r="AM4272" s="138">
        <f>IF(AM4267&lt;AM4271,AM4269,AM4270)</f>
        <v>9.1061017638315214</v>
      </c>
      <c r="AN4272" s="133"/>
      <c r="AO4272" s="155"/>
      <c r="AP4272" s="138">
        <f>IF(AP4267&lt;AP4271,AP4269,AP4270)</f>
        <v>8.4108846714211474</v>
      </c>
      <c r="AQ4272" s="133"/>
      <c r="AR4272" s="155"/>
      <c r="AS4272" s="138">
        <f>IF(AS4267&lt;AS4271,AS4269,AS4270)</f>
        <v>12.184797696861136</v>
      </c>
      <c r="AT4272" s="133"/>
      <c r="AU4272" s="155"/>
    </row>
    <row r="4273" spans="13:47" ht="13" x14ac:dyDescent="0.3">
      <c r="M4273" s="28"/>
      <c r="N4273" s="28"/>
      <c r="O4273" s="9" t="s">
        <v>194</v>
      </c>
      <c r="P4273" s="1"/>
      <c r="Q4273" s="1"/>
      <c r="R4273" s="135"/>
      <c r="S4273" s="132">
        <f>IF(R4266&lt;=0,W_max,ABS(R$23-R4272))</f>
        <v>19.648843683070712</v>
      </c>
      <c r="T4273" s="151">
        <f>R4261</f>
        <v>4529.5739960436958</v>
      </c>
      <c r="U4273" s="135"/>
      <c r="V4273" s="132">
        <f>IF(U4266&lt;=0,W_max,ABS(U$23-U4272))</f>
        <v>71.51921317964981</v>
      </c>
      <c r="W4273" s="151">
        <f>U4261</f>
        <v>9377.6169389660281</v>
      </c>
      <c r="X4273" s="135"/>
      <c r="Y4273" s="132">
        <f>IF(X4266&lt;=0,W_max,ABS(X$23-X4272))</f>
        <v>7174</v>
      </c>
      <c r="Z4273" s="151">
        <f>X4261</f>
        <v>23191.962639560184</v>
      </c>
      <c r="AA4273" s="135"/>
      <c r="AB4273" s="132">
        <f>IF(AA4266&lt;=0,W_max,ABS(AA$23-AA4272))</f>
        <v>7174</v>
      </c>
      <c r="AC4273" s="151">
        <f>AA4261</f>
        <v>45172.023579773013</v>
      </c>
      <c r="AD4273" s="135"/>
      <c r="AE4273" s="132">
        <f>IF(AD4266&lt;=0,W_max,ABS(AD$23-AD4272))</f>
        <v>7174</v>
      </c>
      <c r="AF4273" s="151">
        <f>AD4261</f>
        <v>74291.347436376876</v>
      </c>
      <c r="AG4273" s="135"/>
      <c r="AH4273" s="132">
        <f>IF(AG4266&lt;=0,W_max,ABS(AG$23-AG4272))</f>
        <v>7174</v>
      </c>
      <c r="AI4273" s="151">
        <f>AG4261</f>
        <v>104199.33418579004</v>
      </c>
      <c r="AJ4273" s="135"/>
      <c r="AK4273" s="132">
        <f>IF(AJ4266&lt;=0,W_max,ABS(AJ$23-AJ4272))</f>
        <v>7174</v>
      </c>
      <c r="AL4273" s="151">
        <f>AJ4261</f>
        <v>132305.50496965364</v>
      </c>
      <c r="AM4273" s="135"/>
      <c r="AN4273" s="132">
        <f>IF(AM4266&lt;=0,W_max,ABS(AM$23-AM4272))</f>
        <v>7174</v>
      </c>
      <c r="AO4273" s="151">
        <f>AM4261</f>
        <v>155138.60973326216</v>
      </c>
      <c r="AP4273" s="135"/>
      <c r="AQ4273" s="132">
        <f>IF(AP4266&lt;=0,W_max,ABS(AP$23-AP4272))</f>
        <v>7174</v>
      </c>
      <c r="AR4273" s="151">
        <f>AP4261</f>
        <v>173083.23622506444</v>
      </c>
      <c r="AS4273" s="135"/>
      <c r="AT4273" s="132">
        <f>IF(AS4266&lt;=0,W_max,ABS(AS$23-AS4272))</f>
        <v>7174</v>
      </c>
      <c r="AU4273" s="151">
        <f>AS4261</f>
        <v>193103.48799470009</v>
      </c>
    </row>
    <row r="4274" spans="13:47" ht="13" x14ac:dyDescent="0.25">
      <c r="M4274" s="12"/>
      <c r="N4274" s="12"/>
      <c r="O4274" s="2"/>
      <c r="P4274" s="85"/>
      <c r="Q4274" s="2"/>
      <c r="R4274" s="18"/>
      <c r="S4274" s="150"/>
      <c r="T4274" s="148"/>
      <c r="U4274" s="157"/>
      <c r="V4274" s="1"/>
      <c r="W4274" s="147"/>
      <c r="X4274" s="157"/>
      <c r="Y4274" s="1"/>
      <c r="Z4274" s="147"/>
      <c r="AA4274" s="157"/>
      <c r="AB4274" s="1"/>
      <c r="AC4274" s="147"/>
      <c r="AD4274" s="157"/>
      <c r="AE4274" s="1"/>
      <c r="AF4274" s="147"/>
      <c r="AG4274" s="157"/>
      <c r="AH4274" s="1"/>
      <c r="AI4274" s="147"/>
      <c r="AJ4274" s="157"/>
      <c r="AK4274" s="1"/>
      <c r="AL4274" s="147"/>
      <c r="AM4274" s="157"/>
      <c r="AN4274" s="1"/>
      <c r="AO4274" s="147"/>
      <c r="AP4274" s="157"/>
      <c r="AQ4274" s="1"/>
      <c r="AR4274" s="147"/>
      <c r="AS4274" s="157"/>
      <c r="AT4274" s="1"/>
      <c r="AU4274" s="147"/>
    </row>
    <row r="4275" spans="13:47" ht="14" x14ac:dyDescent="0.3">
      <c r="M4275" s="23"/>
      <c r="N4275" s="23"/>
      <c r="O4275" s="23" t="s">
        <v>238</v>
      </c>
      <c r="P4275" s="20"/>
      <c r="Q4275" s="20"/>
      <c r="R4275" s="181">
        <f>R4261*1.02</f>
        <v>4620.1654759645699</v>
      </c>
      <c r="S4275" s="128" t="s">
        <v>185</v>
      </c>
      <c r="T4275" s="149" t="s">
        <v>186</v>
      </c>
      <c r="U4275" s="143">
        <f>U4261*1.01</f>
        <v>9471.393108355689</v>
      </c>
      <c r="V4275" s="128" t="s">
        <v>185</v>
      </c>
      <c r="W4275" s="153" t="s">
        <v>186</v>
      </c>
      <c r="X4275" s="143">
        <f>X4261*1.01</f>
        <v>23423.882265955788</v>
      </c>
      <c r="Y4275" s="128" t="s">
        <v>185</v>
      </c>
      <c r="Z4275" s="153" t="s">
        <v>186</v>
      </c>
      <c r="AA4275" s="143">
        <f>AA4261*1.01</f>
        <v>45623.743815570742</v>
      </c>
      <c r="AB4275" s="128" t="s">
        <v>185</v>
      </c>
      <c r="AC4275" s="153" t="s">
        <v>186</v>
      </c>
      <c r="AD4275" s="143">
        <f>AD4261*1.01</f>
        <v>75034.260910740646</v>
      </c>
      <c r="AE4275" s="128" t="s">
        <v>185</v>
      </c>
      <c r="AF4275" s="153" t="s">
        <v>186</v>
      </c>
      <c r="AG4275" s="143">
        <f>AG4261*1.01</f>
        <v>105241.32752764794</v>
      </c>
      <c r="AH4275" s="128" t="s">
        <v>185</v>
      </c>
      <c r="AI4275" s="153" t="s">
        <v>186</v>
      </c>
      <c r="AJ4275" s="143">
        <f>AJ4261*1.01</f>
        <v>133628.56001935017</v>
      </c>
      <c r="AK4275" s="128" t="s">
        <v>185</v>
      </c>
      <c r="AL4275" s="153" t="s">
        <v>186</v>
      </c>
      <c r="AM4275" s="143">
        <f>AM4261*1.01</f>
        <v>156689.99583059479</v>
      </c>
      <c r="AN4275" s="128" t="s">
        <v>185</v>
      </c>
      <c r="AO4275" s="153" t="s">
        <v>186</v>
      </c>
      <c r="AP4275" s="143">
        <f>AP4261*1.01</f>
        <v>174814.06858731509</v>
      </c>
      <c r="AQ4275" s="128" t="s">
        <v>185</v>
      </c>
      <c r="AR4275" s="153" t="s">
        <v>186</v>
      </c>
      <c r="AS4275" s="143">
        <f>AS4261*1.01</f>
        <v>195034.52287464708</v>
      </c>
      <c r="AT4275" s="128" t="s">
        <v>185</v>
      </c>
      <c r="AU4275" s="153" t="s">
        <v>186</v>
      </c>
    </row>
    <row r="4276" spans="13:47" ht="14" x14ac:dyDescent="0.3">
      <c r="M4276" s="12"/>
      <c r="N4276" s="12"/>
      <c r="O4276" s="20"/>
      <c r="P4276" s="20"/>
      <c r="Q4276" s="23"/>
      <c r="R4276" s="139"/>
      <c r="S4276" s="130" t="s">
        <v>228</v>
      </c>
      <c r="T4276" s="131" t="s">
        <v>187</v>
      </c>
      <c r="U4276" s="144"/>
      <c r="V4276" s="130" t="s">
        <v>228</v>
      </c>
      <c r="W4276" s="154" t="s">
        <v>187</v>
      </c>
      <c r="X4276" s="144"/>
      <c r="Y4276" s="130" t="s">
        <v>228</v>
      </c>
      <c r="Z4276" s="154" t="s">
        <v>187</v>
      </c>
      <c r="AA4276" s="144"/>
      <c r="AB4276" s="130" t="s">
        <v>228</v>
      </c>
      <c r="AC4276" s="154" t="s">
        <v>187</v>
      </c>
      <c r="AD4276" s="144"/>
      <c r="AE4276" s="130" t="s">
        <v>228</v>
      </c>
      <c r="AF4276" s="154" t="s">
        <v>187</v>
      </c>
      <c r="AG4276" s="144"/>
      <c r="AH4276" s="130" t="s">
        <v>228</v>
      </c>
      <c r="AI4276" s="154" t="s">
        <v>187</v>
      </c>
      <c r="AJ4276" s="144"/>
      <c r="AK4276" s="130" t="s">
        <v>228</v>
      </c>
      <c r="AL4276" s="154" t="s">
        <v>187</v>
      </c>
      <c r="AM4276" s="144"/>
      <c r="AN4276" s="130" t="s">
        <v>228</v>
      </c>
      <c r="AO4276" s="154" t="s">
        <v>187</v>
      </c>
      <c r="AP4276" s="144"/>
      <c r="AQ4276" s="130" t="s">
        <v>228</v>
      </c>
      <c r="AR4276" s="154" t="s">
        <v>187</v>
      </c>
      <c r="AS4276" s="144"/>
      <c r="AT4276" s="130" t="s">
        <v>228</v>
      </c>
      <c r="AU4276" s="154" t="s">
        <v>187</v>
      </c>
    </row>
    <row r="4277" spans="13:47" x14ac:dyDescent="0.25">
      <c r="M4277" s="20"/>
      <c r="N4277" s="20"/>
      <c r="O4277" s="7" t="s">
        <v>188</v>
      </c>
      <c r="P4277" s="7"/>
      <c r="Q4277" s="7"/>
      <c r="R4277" s="181">
        <f>P_1_minW-(R4275^2*R_up)+dpup_minQ</f>
        <v>92.010844876324157</v>
      </c>
      <c r="S4277" s="132"/>
      <c r="T4277" s="145"/>
      <c r="U4277" s="138">
        <f>P_1_minW-(U4275^2*R_up)+dpup_minQ</f>
        <v>64.750944058476492</v>
      </c>
      <c r="V4277" s="132"/>
      <c r="W4277" s="145"/>
      <c r="X4277" s="138">
        <f>P_1_minW-(X4275^2*R_up)+dpup_minQ</f>
        <v>-118.26916404400332</v>
      </c>
      <c r="Y4277" s="132"/>
      <c r="Z4277" s="145"/>
      <c r="AA4277" s="138">
        <f>P_1_minW-(AA4275^2*R_up)+dpup_minQ</f>
        <v>-729.51034369216086</v>
      </c>
      <c r="AB4277" s="132"/>
      <c r="AC4277" s="145"/>
      <c r="AD4277" s="138">
        <f>P_1_minW-(AD4275^2*R_up)+dpup_minQ</f>
        <v>-2144.5623033253696</v>
      </c>
      <c r="AE4277" s="132"/>
      <c r="AF4277" s="145"/>
      <c r="AG4277" s="138">
        <f>P_1_minW-(AG4275^2*R_up)+dpup_minQ</f>
        <v>-4316.0584481101168</v>
      </c>
      <c r="AH4277" s="132"/>
      <c r="AI4277" s="145"/>
      <c r="AJ4277" s="138">
        <f>P_1_minW-(AJ4275^2*R_up)+dpup_minQ</f>
        <v>-7020.0046542863774</v>
      </c>
      <c r="AK4277" s="132"/>
      <c r="AL4277" s="145"/>
      <c r="AM4277" s="138">
        <f>P_1_minW-(AM4275^2*R_up)+dpup_minQ</f>
        <v>-9689.7800445228822</v>
      </c>
      <c r="AN4277" s="132"/>
      <c r="AO4277" s="145"/>
      <c r="AP4277" s="138">
        <f>P_1_minW-(AP4275^2*R_up)+dpup_minQ</f>
        <v>-12085.62241909646</v>
      </c>
      <c r="AQ4277" s="132"/>
      <c r="AR4277" s="145"/>
      <c r="AS4277" s="138">
        <f>P_1_minW-(AS4275^2*R_up)+dpup_minQ</f>
        <v>-15067.765420191492</v>
      </c>
      <c r="AT4277" s="132"/>
      <c r="AU4277" s="145"/>
    </row>
    <row r="4278" spans="13:47" x14ac:dyDescent="0.25">
      <c r="M4278" s="20"/>
      <c r="N4278" s="20"/>
      <c r="O4278" s="7" t="s">
        <v>189</v>
      </c>
      <c r="P4278" s="1"/>
      <c r="Q4278" s="7"/>
      <c r="R4278" s="181">
        <f>P_2_minW+(R4275^2*R_dn)-dpdn_minQ</f>
        <v>50</v>
      </c>
      <c r="S4278" s="132"/>
      <c r="T4278" s="146"/>
      <c r="U4278" s="138">
        <f>P_2_minW+(U4275^2*R_dn)-dpdn_minQ</f>
        <v>50</v>
      </c>
      <c r="V4278" s="132"/>
      <c r="W4278" s="146"/>
      <c r="X4278" s="138">
        <f>P_2_minW+(X4275^2*R_dn)-dpdn_minQ</f>
        <v>50</v>
      </c>
      <c r="Y4278" s="132"/>
      <c r="Z4278" s="146"/>
      <c r="AA4278" s="138">
        <f>P_2_minW+(AA4275^2*R_dn)-dpdn_minQ</f>
        <v>50</v>
      </c>
      <c r="AB4278" s="132"/>
      <c r="AC4278" s="146"/>
      <c r="AD4278" s="138">
        <f>P_2_minW+(AD4275^2*R_dn)-dpdn_minQ</f>
        <v>50</v>
      </c>
      <c r="AE4278" s="132"/>
      <c r="AF4278" s="146"/>
      <c r="AG4278" s="138">
        <f>P_2_minW+(AG4275^2*R_dn)-dpdn_minQ</f>
        <v>50</v>
      </c>
      <c r="AH4278" s="132"/>
      <c r="AI4278" s="146"/>
      <c r="AJ4278" s="138">
        <f>P_2_minW+(AJ4275^2*R_dn)-dpdn_minQ</f>
        <v>50</v>
      </c>
      <c r="AK4278" s="132"/>
      <c r="AL4278" s="146"/>
      <c r="AM4278" s="138">
        <f>P_2_minW+(AM4275^2*R_dn)-dpdn_minQ</f>
        <v>50</v>
      </c>
      <c r="AN4278" s="132"/>
      <c r="AO4278" s="146"/>
      <c r="AP4278" s="138">
        <f>P_2_minW+(AP4275^2*R_dn)-dpdn_minQ</f>
        <v>50</v>
      </c>
      <c r="AQ4278" s="132"/>
      <c r="AR4278" s="146"/>
      <c r="AS4278" s="138">
        <f>P_2_minW+(AS4275^2*R_dn)-dpdn_minQ</f>
        <v>50</v>
      </c>
      <c r="AT4278" s="132"/>
      <c r="AU4278" s="146"/>
    </row>
    <row r="4279" spans="13:47" x14ac:dyDescent="0.25">
      <c r="M4279" s="20"/>
      <c r="N4279" s="20"/>
      <c r="O4279" s="7" t="s">
        <v>234</v>
      </c>
      <c r="P4279" s="1"/>
      <c r="Q4279" s="7"/>
      <c r="R4279" s="179">
        <f>'Valve Sizing'!G$8*R4277/P_1_maxW</f>
        <v>0.44384393416215034</v>
      </c>
      <c r="S4279" s="132"/>
      <c r="T4279" s="146"/>
      <c r="U4279" s="143">
        <f>'Valve Sizing'!$G$8*U4277/P_1_maxW</f>
        <v>0.3123470259430538</v>
      </c>
      <c r="V4279" s="132"/>
      <c r="W4279" s="146"/>
      <c r="X4279" s="143">
        <f>'Valve Sizing'!$G$8*X4277/P_1_maxW</f>
        <v>-0.5705093908214558</v>
      </c>
      <c r="Y4279" s="132"/>
      <c r="Z4279" s="146"/>
      <c r="AA4279" s="143">
        <f>'Valve Sizing'!$G$8*AA4277/P_1_maxW</f>
        <v>-3.5190280166596652</v>
      </c>
      <c r="AB4279" s="132"/>
      <c r="AC4279" s="146"/>
      <c r="AD4279" s="143">
        <f>'Valve Sizing'!$G$8*AD4277/P_1_maxW</f>
        <v>-10.344986735457107</v>
      </c>
      <c r="AE4279" s="132"/>
      <c r="AF4279" s="146"/>
      <c r="AG4279" s="143">
        <f>'Valve Sizing'!$G$8*AG4277/P_1_maxW</f>
        <v>-20.819897526839341</v>
      </c>
      <c r="AH4279" s="132"/>
      <c r="AI4279" s="146"/>
      <c r="AJ4279" s="143">
        <f>'Valve Sizing'!$G$8*AJ4277/P_1_maxW</f>
        <v>-33.863252617483717</v>
      </c>
      <c r="AK4279" s="132"/>
      <c r="AL4279" s="146"/>
      <c r="AM4279" s="143">
        <f>'Valve Sizing'!$G$8*AM4277/P_1_maxW</f>
        <v>-46.741773775773503</v>
      </c>
      <c r="AN4279" s="132"/>
      <c r="AO4279" s="146"/>
      <c r="AP4279" s="143">
        <f>'Valve Sizing'!$G$8*AP4277/P_1_maxW</f>
        <v>-58.298890837272737</v>
      </c>
      <c r="AQ4279" s="132"/>
      <c r="AR4279" s="146"/>
      <c r="AS4279" s="143">
        <f>'Valve Sizing'!$G$8*AS4277/P_1_maxW</f>
        <v>-72.68421773671875</v>
      </c>
      <c r="AT4279" s="132"/>
      <c r="AU4279" s="146"/>
    </row>
    <row r="4280" spans="13:47" x14ac:dyDescent="0.25">
      <c r="M4280" s="20"/>
      <c r="N4280" s="20"/>
      <c r="O4280" s="7" t="s">
        <v>190</v>
      </c>
      <c r="P4280" s="1"/>
      <c r="Q4280" s="7"/>
      <c r="R4280" s="181">
        <f>R4277-R4278</f>
        <v>42.010844876324157</v>
      </c>
      <c r="S4280" s="132"/>
      <c r="T4280" s="146"/>
      <c r="U4280" s="138">
        <f>U4277-U4278</f>
        <v>14.750944058476492</v>
      </c>
      <c r="V4280" s="132"/>
      <c r="W4280" s="146"/>
      <c r="X4280" s="138">
        <f>X4277-X4278</f>
        <v>-168.26916404400333</v>
      </c>
      <c r="Y4280" s="132"/>
      <c r="Z4280" s="146"/>
      <c r="AA4280" s="138">
        <f>AA4277-AA4278</f>
        <v>-779.51034369216086</v>
      </c>
      <c r="AB4280" s="132"/>
      <c r="AC4280" s="146"/>
      <c r="AD4280" s="138">
        <f>AD4277-AD4278</f>
        <v>-2194.5623033253696</v>
      </c>
      <c r="AE4280" s="132"/>
      <c r="AF4280" s="146"/>
      <c r="AG4280" s="138">
        <f>AG4277-AG4278</f>
        <v>-4366.0584481101168</v>
      </c>
      <c r="AH4280" s="132"/>
      <c r="AI4280" s="146"/>
      <c r="AJ4280" s="138">
        <f>AJ4277-AJ4278</f>
        <v>-7070.0046542863774</v>
      </c>
      <c r="AK4280" s="132"/>
      <c r="AL4280" s="146"/>
      <c r="AM4280" s="138">
        <f>AM4277-AM4278</f>
        <v>-9739.7800445228822</v>
      </c>
      <c r="AN4280" s="132"/>
      <c r="AO4280" s="146"/>
      <c r="AP4280" s="138">
        <f>AP4277-AP4278</f>
        <v>-12135.62241909646</v>
      </c>
      <c r="AQ4280" s="132"/>
      <c r="AR4280" s="146"/>
      <c r="AS4280" s="138">
        <f>AS4277-AS4278</f>
        <v>-15117.765420191492</v>
      </c>
      <c r="AT4280" s="132"/>
      <c r="AU4280" s="146"/>
    </row>
    <row r="4281" spans="13:47" ht="14.5" x14ac:dyDescent="0.35">
      <c r="M4281" s="27"/>
      <c r="N4281" s="27"/>
      <c r="O4281" s="2" t="s">
        <v>191</v>
      </c>
      <c r="P4281" s="10"/>
      <c r="Q4281" s="2"/>
      <c r="R4281" s="181">
        <f>R4280/R4277</f>
        <v>0.45658579630252055</v>
      </c>
      <c r="S4281" s="132"/>
      <c r="T4281" s="146"/>
      <c r="U4281" s="138">
        <f>U4280/U4277</f>
        <v>0.22781048636379625</v>
      </c>
      <c r="V4281" s="132"/>
      <c r="W4281" s="146"/>
      <c r="X4281" s="138">
        <f>X4280/X4277</f>
        <v>1.4227644661578649</v>
      </c>
      <c r="Y4281" s="132"/>
      <c r="Z4281" s="146"/>
      <c r="AA4281" s="138">
        <f>AA4280/AA4277</f>
        <v>1.0685391241294024</v>
      </c>
      <c r="AB4281" s="132"/>
      <c r="AC4281" s="146"/>
      <c r="AD4281" s="138">
        <f>AD4280/AD4277</f>
        <v>1.0233147807934839</v>
      </c>
      <c r="AE4281" s="132"/>
      <c r="AF4281" s="146"/>
      <c r="AG4281" s="138">
        <f>AG4280/AG4277</f>
        <v>1.0115846438599305</v>
      </c>
      <c r="AH4281" s="132"/>
      <c r="AI4281" s="146"/>
      <c r="AJ4281" s="138">
        <f>AJ4280/AJ4277</f>
        <v>1.0071225024002612</v>
      </c>
      <c r="AK4281" s="132"/>
      <c r="AL4281" s="146"/>
      <c r="AM4281" s="138">
        <f>AM4280/AM4277</f>
        <v>1.0051600758500461</v>
      </c>
      <c r="AN4281" s="132"/>
      <c r="AO4281" s="146"/>
      <c r="AP4281" s="138">
        <f>AP4280/AP4277</f>
        <v>1.0041371472867624</v>
      </c>
      <c r="AQ4281" s="132"/>
      <c r="AR4281" s="146"/>
      <c r="AS4281" s="138">
        <f>AS4280/AS4277</f>
        <v>1.0033183420769876</v>
      </c>
      <c r="AT4281" s="132"/>
      <c r="AU4281" s="146"/>
    </row>
    <row r="4282" spans="13:47" x14ac:dyDescent="0.25">
      <c r="M4282" s="27"/>
      <c r="N4282" s="27"/>
      <c r="O4282" s="2" t="s">
        <v>26</v>
      </c>
      <c r="P4282" s="7">
        <v>12</v>
      </c>
      <c r="Q4282" s="2"/>
      <c r="R4282" s="181">
        <f>1-R4281/(3*F_GAMMA*R$29)</f>
        <v>0.76220488521026353</v>
      </c>
      <c r="S4282" s="133"/>
      <c r="T4282" s="146"/>
      <c r="U4282" s="138">
        <f>1-U4281/(3*F_GAMMA*U$29)</f>
        <v>0.88137981115537611</v>
      </c>
      <c r="V4282" s="133"/>
      <c r="W4282" s="146"/>
      <c r="X4282" s="138">
        <f>1-X4281/(3*F_GAMMA*X$29)</f>
        <v>0.24805749800724797</v>
      </c>
      <c r="Y4282" s="133"/>
      <c r="Z4282" s="146"/>
      <c r="AA4282" s="138">
        <f>1-AA4281/(3*F_GAMMA*AA$29)</f>
        <v>0.42752519439512349</v>
      </c>
      <c r="AB4282" s="133"/>
      <c r="AC4282" s="146"/>
      <c r="AD4282" s="138">
        <f>1-AD4281/(3*F_GAMMA*AD$29)</f>
        <v>0.4367226166392072</v>
      </c>
      <c r="AE4282" s="133"/>
      <c r="AF4282" s="146"/>
      <c r="AG4282" s="138">
        <f>1-AG4281/(3*F_GAMMA*AG$29)</f>
        <v>0.41141747269160445</v>
      </c>
      <c r="AH4282" s="133"/>
      <c r="AI4282" s="146"/>
      <c r="AJ4282" s="138">
        <f>1-AJ4281/(3*F_GAMMA*AJ$29)</f>
        <v>0.37357273813427183</v>
      </c>
      <c r="AK4282" s="133"/>
      <c r="AL4282" s="146"/>
      <c r="AM4282" s="138">
        <f>1-AM4281/(3*F_GAMMA*AM$29)</f>
        <v>0.31689817116815078</v>
      </c>
      <c r="AN4282" s="133"/>
      <c r="AO4282" s="146"/>
      <c r="AP4282" s="138">
        <f>1-AP4281/(3*F_GAMMA*AP$29)</f>
        <v>0.43606473006668867</v>
      </c>
      <c r="AQ4282" s="133"/>
      <c r="AR4282" s="146"/>
      <c r="AS4282" s="138">
        <f>1-AS4281/(3*F_GAMMA*AS$29)</f>
        <v>0.14459535121125311</v>
      </c>
      <c r="AT4282" s="133"/>
      <c r="AU4282" s="146"/>
    </row>
    <row r="4283" spans="13:47" x14ac:dyDescent="0.25">
      <c r="M4283" s="27"/>
      <c r="N4283" s="27"/>
      <c r="O4283" s="2" t="s">
        <v>71</v>
      </c>
      <c r="P4283" s="85">
        <v>5</v>
      </c>
      <c r="Q4283" s="2"/>
      <c r="R4283" s="179">
        <f>R4275/((N_6*R$27*R4282)*SQRT(R4281*R4277*R4279))</f>
        <v>22.178782393379688</v>
      </c>
      <c r="S4283" s="133"/>
      <c r="T4283" s="146"/>
      <c r="U4283" s="143">
        <f>U4275/((N_6*U$27*U4282)*SQRT(U4281*U4277*U4279))</f>
        <v>79.14798834629913</v>
      </c>
      <c r="V4283" s="133"/>
      <c r="W4283" s="146"/>
      <c r="X4283" s="143">
        <f>X4275/((N_6*X$27*X4282)*SQRT(X4281*X4277*X4279))</f>
        <v>152.70455317235599</v>
      </c>
      <c r="Y4283" s="133"/>
      <c r="Z4283" s="146"/>
      <c r="AA4283" s="143">
        <f>AA4275/((N_6*AA$27*AA4282)*SQRT(AA4281*AA4277*AA4279))</f>
        <v>32.469576319126844</v>
      </c>
      <c r="AB4283" s="133"/>
      <c r="AC4283" s="146"/>
      <c r="AD4283" s="143">
        <f>AD4275/((N_6*AD$27*AD4282)*SQRT(AD4281*AD4277*AD4279))</f>
        <v>18.38778417936215</v>
      </c>
      <c r="AE4283" s="133"/>
      <c r="AF4283" s="146"/>
      <c r="AG4283" s="143">
        <f>AG4275/((N_6*AG$27*AG4282)*SQRT(AG4281*AG4277*AG4279))</f>
        <v>13.976699879575699</v>
      </c>
      <c r="AH4283" s="133"/>
      <c r="AI4283" s="146"/>
      <c r="AJ4283" s="143">
        <f>AJ4275/((N_6*AJ$27*AJ4282)*SQRT(AJ4281*AJ4277*AJ4279))</f>
        <v>12.456459606598893</v>
      </c>
      <c r="AK4283" s="133"/>
      <c r="AL4283" s="146"/>
      <c r="AM4283" s="143">
        <f>AM4275/((N_6*AM$27*AM4282)*SQRT(AM4281*AM4277*AM4279))</f>
        <v>13.25327797449178</v>
      </c>
      <c r="AN4283" s="133"/>
      <c r="AO4283" s="146"/>
      <c r="AP4283" s="143">
        <f>AP4275/((N_6*AP$27*AP4282)*SQRT(AP4281*AP4277*AP4279))</f>
        <v>9.791456710919455</v>
      </c>
      <c r="AQ4283" s="133"/>
      <c r="AR4283" s="146"/>
      <c r="AS4283" s="143">
        <f>AS4275/((N_6*AS$27*AS4282)*SQRT(AS4281*AS4277*AS4279))</f>
        <v>34.734718353574337</v>
      </c>
      <c r="AT4283" s="133"/>
      <c r="AU4283" s="146"/>
    </row>
    <row r="4284" spans="13:47" x14ac:dyDescent="0.25">
      <c r="M4284" s="27"/>
      <c r="N4284" s="27"/>
      <c r="O4284" s="2" t="s">
        <v>73</v>
      </c>
      <c r="P4284" s="85">
        <v>5</v>
      </c>
      <c r="Q4284" s="2"/>
      <c r="R4284" s="179">
        <f>R4275/((N_6*R$27*0.667)*SQRT(R4285*R4277*R4279))</f>
        <v>21.406500998255709</v>
      </c>
      <c r="S4284" s="133"/>
      <c r="T4284" s="147"/>
      <c r="U4284" s="143">
        <f>U4275/((N_6*U$27*0.667)*SQRT(U4285*U4277*U4279))</f>
        <v>62.390300659628075</v>
      </c>
      <c r="V4284" s="133"/>
      <c r="W4284" s="155"/>
      <c r="X4284" s="143">
        <f>X4275/((N_6*X$27*0.667)*SQRT(X4285*X4277*X4279))</f>
        <v>85.296548023530704</v>
      </c>
      <c r="Y4284" s="133"/>
      <c r="Z4284" s="155"/>
      <c r="AA4284" s="143">
        <f>AA4275/((N_6*AA$27*0.667)*SQRT(AA4285*AA4277*AA4279))</f>
        <v>27.274155828574923</v>
      </c>
      <c r="AB4284" s="133"/>
      <c r="AC4284" s="155"/>
      <c r="AD4284" s="143">
        <f>AD4275/((N_6*AD$27*0.667)*SQRT(AD4285*AD4277*AD4279))</f>
        <v>15.650601428940188</v>
      </c>
      <c r="AE4284" s="133"/>
      <c r="AF4284" s="155"/>
      <c r="AG4284" s="143">
        <f>AG4275/((N_6*AG$27*0.667)*SQRT(AG4285*AG4277*AG4279))</f>
        <v>11.455811209424088</v>
      </c>
      <c r="AH4284" s="133"/>
      <c r="AI4284" s="155"/>
      <c r="AJ4284" s="143">
        <f>AJ4275/((N_6*AJ$27*0.667)*SQRT(AJ4285*AJ4277*AJ4279))</f>
        <v>9.5640077197327198</v>
      </c>
      <c r="AK4284" s="133"/>
      <c r="AL4284" s="155"/>
      <c r="AM4284" s="143">
        <f>AM4275/((N_6*AM$27*0.667)*SQRT(AM4285*AM4277*AM4279))</f>
        <v>9.0140623407096534</v>
      </c>
      <c r="AN4284" s="133"/>
      <c r="AO4284" s="155"/>
      <c r="AP4284" s="143">
        <f>AP4275/((N_6*AP$27*0.667)*SQRT(AP4285*AP4277*AP4279))</f>
        <v>8.3262163527705066</v>
      </c>
      <c r="AQ4284" s="133"/>
      <c r="AR4284" s="155"/>
      <c r="AS4284" s="143">
        <f>AS4275/((N_6*AS$27*0.667)*SQRT(AS4285*AS4277*AS4279))</f>
        <v>12.062538395684207</v>
      </c>
      <c r="AT4284" s="133"/>
      <c r="AU4284" s="155"/>
    </row>
    <row r="4285" spans="13:47" ht="15.5" x14ac:dyDescent="0.4">
      <c r="M4285" s="27"/>
      <c r="N4285" s="27"/>
      <c r="O4285" s="2" t="s">
        <v>192</v>
      </c>
      <c r="P4285" s="85">
        <v>10</v>
      </c>
      <c r="Q4285" s="2"/>
      <c r="R4285" s="181">
        <f>F_GAMMA*R$29</f>
        <v>0.64002688015162901</v>
      </c>
      <c r="S4285" s="133"/>
      <c r="T4285" s="147"/>
      <c r="U4285" s="138">
        <f>F_GAMMA*U$29</f>
        <v>0.64016782916606918</v>
      </c>
      <c r="V4285" s="133"/>
      <c r="W4285" s="155"/>
      <c r="X4285" s="138">
        <f>F_GAMMA*X$29</f>
        <v>0.6307062319203669</v>
      </c>
      <c r="Y4285" s="133"/>
      <c r="Z4285" s="155"/>
      <c r="AA4285" s="138">
        <f>F_GAMMA*AA$29</f>
        <v>0.62217534213893466</v>
      </c>
      <c r="AB4285" s="133"/>
      <c r="AC4285" s="155"/>
      <c r="AD4285" s="138">
        <f>F_GAMMA*AD$29</f>
        <v>0.60557184969146072</v>
      </c>
      <c r="AE4285" s="133"/>
      <c r="AF4285" s="155"/>
      <c r="AG4285" s="138">
        <f>F_GAMMA*AG$29</f>
        <v>0.57289312142622573</v>
      </c>
      <c r="AH4285" s="133"/>
      <c r="AI4285" s="155"/>
      <c r="AJ4285" s="138">
        <f>F_GAMMA*AJ$29</f>
        <v>0.53590819116049981</v>
      </c>
      <c r="AK4285" s="133"/>
      <c r="AL4285" s="155"/>
      <c r="AM4285" s="138">
        <f>F_GAMMA*AM$29</f>
        <v>0.49048815926850342</v>
      </c>
      <c r="AN4285" s="133"/>
      <c r="AO4285" s="155"/>
      <c r="AP4285" s="138">
        <f>F_GAMMA*AP$29</f>
        <v>0.59352979016280105</v>
      </c>
      <c r="AQ4285" s="133"/>
      <c r="AR4285" s="155"/>
      <c r="AS4285" s="138">
        <f>F_GAMMA*AS$29</f>
        <v>0.39097221161068291</v>
      </c>
      <c r="AT4285" s="133"/>
      <c r="AU4285" s="155"/>
    </row>
    <row r="4286" spans="13:47" x14ac:dyDescent="0.25">
      <c r="M4286" s="27"/>
      <c r="N4286" s="27"/>
      <c r="O4286" s="2" t="s">
        <v>193</v>
      </c>
      <c r="P4286" s="134"/>
      <c r="Q4286" s="2"/>
      <c r="R4286" s="181">
        <f>IF(R4281&lt;R4285,R4283,R4284)</f>
        <v>22.178782393379688</v>
      </c>
      <c r="S4286" s="133"/>
      <c r="T4286" s="147"/>
      <c r="U4286" s="138">
        <f>IF(U4281&lt;U4285,U4283,U4284)</f>
        <v>79.14798834629913</v>
      </c>
      <c r="V4286" s="133"/>
      <c r="W4286" s="155"/>
      <c r="X4286" s="138">
        <f>IF(X4281&lt;X4285,X4283,X4284)</f>
        <v>85.296548023530704</v>
      </c>
      <c r="Y4286" s="133"/>
      <c r="Z4286" s="155"/>
      <c r="AA4286" s="138">
        <f>IF(AA4281&lt;AA4285,AA4283,AA4284)</f>
        <v>27.274155828574923</v>
      </c>
      <c r="AB4286" s="133"/>
      <c r="AC4286" s="155"/>
      <c r="AD4286" s="138">
        <f>IF(AD4281&lt;AD4285,AD4283,AD4284)</f>
        <v>15.650601428940188</v>
      </c>
      <c r="AE4286" s="133"/>
      <c r="AF4286" s="155"/>
      <c r="AG4286" s="138">
        <f>IF(AG4281&lt;AG4285,AG4283,AG4284)</f>
        <v>11.455811209424088</v>
      </c>
      <c r="AH4286" s="133"/>
      <c r="AI4286" s="155"/>
      <c r="AJ4286" s="138">
        <f>IF(AJ4281&lt;AJ4285,AJ4283,AJ4284)</f>
        <v>9.5640077197327198</v>
      </c>
      <c r="AK4286" s="133"/>
      <c r="AL4286" s="155"/>
      <c r="AM4286" s="138">
        <f>IF(AM4281&lt;AM4285,AM4283,AM4284)</f>
        <v>9.0140623407096534</v>
      </c>
      <c r="AN4286" s="133"/>
      <c r="AO4286" s="155"/>
      <c r="AP4286" s="138">
        <f>IF(AP4281&lt;AP4285,AP4283,AP4284)</f>
        <v>8.3262163527705066</v>
      </c>
      <c r="AQ4286" s="133"/>
      <c r="AR4286" s="155"/>
      <c r="AS4286" s="138">
        <f>IF(AS4281&lt;AS4285,AS4283,AS4284)</f>
        <v>12.062538395684207</v>
      </c>
      <c r="AT4286" s="133"/>
      <c r="AU4286" s="155"/>
    </row>
    <row r="4287" spans="13:47" ht="13" x14ac:dyDescent="0.3">
      <c r="M4287" s="28"/>
      <c r="N4287" s="28"/>
      <c r="O4287" s="9" t="s">
        <v>194</v>
      </c>
      <c r="P4287" s="1"/>
      <c r="Q4287" s="1"/>
      <c r="R4287" s="135"/>
      <c r="S4287" s="132">
        <f>IF(R4280&lt;=0,W_max,ABS(R$23-R4286))</f>
        <v>20.178782393379688</v>
      </c>
      <c r="T4287" s="151">
        <f>R4275</f>
        <v>4620.1654759645699</v>
      </c>
      <c r="U4287" s="135"/>
      <c r="V4287" s="132">
        <f>IF(U4280&lt;=0,W_max,ABS(U$23-U4286))</f>
        <v>74.14798834629913</v>
      </c>
      <c r="W4287" s="151">
        <f>U4275</f>
        <v>9471.393108355689</v>
      </c>
      <c r="X4287" s="135"/>
      <c r="Y4287" s="132">
        <f>IF(X4280&lt;=0,W_max,ABS(X$23-X4286))</f>
        <v>7174</v>
      </c>
      <c r="Z4287" s="151">
        <f>X4275</f>
        <v>23423.882265955788</v>
      </c>
      <c r="AA4287" s="135"/>
      <c r="AB4287" s="132">
        <f>IF(AA4280&lt;=0,W_max,ABS(AA$23-AA4286))</f>
        <v>7174</v>
      </c>
      <c r="AC4287" s="151">
        <f>AA4275</f>
        <v>45623.743815570742</v>
      </c>
      <c r="AD4287" s="135"/>
      <c r="AE4287" s="132">
        <f>IF(AD4280&lt;=0,W_max,ABS(AD$23-AD4286))</f>
        <v>7174</v>
      </c>
      <c r="AF4287" s="151">
        <f>AD4275</f>
        <v>75034.260910740646</v>
      </c>
      <c r="AG4287" s="135"/>
      <c r="AH4287" s="132">
        <f>IF(AG4280&lt;=0,W_max,ABS(AG$23-AG4286))</f>
        <v>7174</v>
      </c>
      <c r="AI4287" s="151">
        <f>AG4275</f>
        <v>105241.32752764794</v>
      </c>
      <c r="AJ4287" s="135"/>
      <c r="AK4287" s="132">
        <f>IF(AJ4280&lt;=0,W_max,ABS(AJ$23-AJ4286))</f>
        <v>7174</v>
      </c>
      <c r="AL4287" s="151">
        <f>AJ4275</f>
        <v>133628.56001935017</v>
      </c>
      <c r="AM4287" s="135"/>
      <c r="AN4287" s="132">
        <f>IF(AM4280&lt;=0,W_max,ABS(AM$23-AM4286))</f>
        <v>7174</v>
      </c>
      <c r="AO4287" s="151">
        <f>AM4275</f>
        <v>156689.99583059479</v>
      </c>
      <c r="AP4287" s="135"/>
      <c r="AQ4287" s="132">
        <f>IF(AP4280&lt;=0,W_max,ABS(AP$23-AP4286))</f>
        <v>7174</v>
      </c>
      <c r="AR4287" s="151">
        <f>AP4275</f>
        <v>174814.06858731509</v>
      </c>
      <c r="AS4287" s="135"/>
      <c r="AT4287" s="132">
        <f>IF(AS4280&lt;=0,W_max,ABS(AS$23-AS4286))</f>
        <v>7174</v>
      </c>
      <c r="AU4287" s="151">
        <f>AS4275</f>
        <v>195034.52287464708</v>
      </c>
    </row>
    <row r="4288" spans="13:47" ht="13" x14ac:dyDescent="0.25">
      <c r="M4288" s="12"/>
      <c r="N4288" s="12"/>
      <c r="O4288" s="12"/>
      <c r="P4288" s="12"/>
      <c r="Q4288" s="12"/>
      <c r="R4288" s="182"/>
      <c r="S4288" s="22"/>
      <c r="T4288" s="152"/>
      <c r="U4288" s="157"/>
      <c r="V4288" s="1"/>
      <c r="W4288" s="147"/>
      <c r="X4288" s="157"/>
      <c r="Y4288" s="1"/>
      <c r="Z4288" s="147"/>
      <c r="AA4288" s="157"/>
      <c r="AB4288" s="1"/>
      <c r="AC4288" s="147"/>
      <c r="AD4288" s="157"/>
      <c r="AE4288" s="1"/>
      <c r="AF4288" s="147"/>
      <c r="AG4288" s="157"/>
      <c r="AH4288" s="1"/>
      <c r="AI4288" s="147"/>
      <c r="AJ4288" s="157"/>
      <c r="AK4288" s="1"/>
      <c r="AL4288" s="147"/>
      <c r="AM4288" s="157"/>
      <c r="AN4288" s="1"/>
      <c r="AO4288" s="147"/>
      <c r="AP4288" s="157"/>
      <c r="AQ4288" s="1"/>
      <c r="AR4288" s="147"/>
      <c r="AS4288" s="157"/>
      <c r="AT4288" s="1"/>
      <c r="AU4288" s="147"/>
    </row>
    <row r="4289" spans="13:47" ht="14" x14ac:dyDescent="0.3">
      <c r="M4289" s="23"/>
      <c r="N4289" s="23"/>
      <c r="O4289" s="23" t="s">
        <v>238</v>
      </c>
      <c r="P4289" s="20"/>
      <c r="Q4289" s="20"/>
      <c r="R4289" s="18">
        <f>R4275*1.02</f>
        <v>4712.5687854838616</v>
      </c>
      <c r="S4289" s="128" t="s">
        <v>185</v>
      </c>
      <c r="T4289" s="153" t="s">
        <v>186</v>
      </c>
      <c r="U4289" s="143">
        <f>U4275*1.01</f>
        <v>9566.1070394392464</v>
      </c>
      <c r="V4289" s="128" t="s">
        <v>185</v>
      </c>
      <c r="W4289" s="153" t="s">
        <v>186</v>
      </c>
      <c r="X4289" s="143">
        <f>X4275*1.01</f>
        <v>23658.121088615346</v>
      </c>
      <c r="Y4289" s="128" t="s">
        <v>185</v>
      </c>
      <c r="Z4289" s="153" t="s">
        <v>186</v>
      </c>
      <c r="AA4289" s="143">
        <f>AA4275*1.01</f>
        <v>46079.981253726452</v>
      </c>
      <c r="AB4289" s="128" t="s">
        <v>185</v>
      </c>
      <c r="AC4289" s="153" t="s">
        <v>186</v>
      </c>
      <c r="AD4289" s="143">
        <f>AD4275*1.01</f>
        <v>75784.603519848053</v>
      </c>
      <c r="AE4289" s="128" t="s">
        <v>185</v>
      </c>
      <c r="AF4289" s="153" t="s">
        <v>186</v>
      </c>
      <c r="AG4289" s="143">
        <f>AG4275*1.01</f>
        <v>106293.74080292443</v>
      </c>
      <c r="AH4289" s="128" t="s">
        <v>185</v>
      </c>
      <c r="AI4289" s="153" t="s">
        <v>186</v>
      </c>
      <c r="AJ4289" s="143">
        <f>AJ4275*1.01</f>
        <v>134964.84561954369</v>
      </c>
      <c r="AK4289" s="128" t="s">
        <v>185</v>
      </c>
      <c r="AL4289" s="153" t="s">
        <v>186</v>
      </c>
      <c r="AM4289" s="143">
        <f>AM4275*1.01</f>
        <v>158256.89578890076</v>
      </c>
      <c r="AN4289" s="128" t="s">
        <v>185</v>
      </c>
      <c r="AO4289" s="153" t="s">
        <v>186</v>
      </c>
      <c r="AP4289" s="143">
        <f>AP4275*1.01</f>
        <v>176562.20927318826</v>
      </c>
      <c r="AQ4289" s="128" t="s">
        <v>185</v>
      </c>
      <c r="AR4289" s="153" t="s">
        <v>186</v>
      </c>
      <c r="AS4289" s="143">
        <f>AS4275*1.01</f>
        <v>196984.86810339356</v>
      </c>
      <c r="AT4289" s="128" t="s">
        <v>185</v>
      </c>
      <c r="AU4289" s="153" t="s">
        <v>186</v>
      </c>
    </row>
    <row r="4290" spans="13:47" ht="14" x14ac:dyDescent="0.3">
      <c r="M4290" s="12"/>
      <c r="N4290" s="12"/>
      <c r="O4290" s="20"/>
      <c r="P4290" s="20"/>
      <c r="Q4290" s="23"/>
      <c r="R4290" s="139"/>
      <c r="S4290" s="130" t="s">
        <v>228</v>
      </c>
      <c r="T4290" s="154" t="s">
        <v>187</v>
      </c>
      <c r="U4290" s="144"/>
      <c r="V4290" s="130" t="s">
        <v>228</v>
      </c>
      <c r="W4290" s="154" t="s">
        <v>187</v>
      </c>
      <c r="X4290" s="144"/>
      <c r="Y4290" s="130" t="s">
        <v>228</v>
      </c>
      <c r="Z4290" s="154" t="s">
        <v>187</v>
      </c>
      <c r="AA4290" s="144"/>
      <c r="AB4290" s="130" t="s">
        <v>228</v>
      </c>
      <c r="AC4290" s="154" t="s">
        <v>187</v>
      </c>
      <c r="AD4290" s="144"/>
      <c r="AE4290" s="130" t="s">
        <v>228</v>
      </c>
      <c r="AF4290" s="154" t="s">
        <v>187</v>
      </c>
      <c r="AG4290" s="144"/>
      <c r="AH4290" s="130" t="s">
        <v>228</v>
      </c>
      <c r="AI4290" s="154" t="s">
        <v>187</v>
      </c>
      <c r="AJ4290" s="144"/>
      <c r="AK4290" s="130" t="s">
        <v>228</v>
      </c>
      <c r="AL4290" s="154" t="s">
        <v>187</v>
      </c>
      <c r="AM4290" s="144"/>
      <c r="AN4290" s="130" t="s">
        <v>228</v>
      </c>
      <c r="AO4290" s="154" t="s">
        <v>187</v>
      </c>
      <c r="AP4290" s="144"/>
      <c r="AQ4290" s="130" t="s">
        <v>228</v>
      </c>
      <c r="AR4290" s="154" t="s">
        <v>187</v>
      </c>
      <c r="AS4290" s="144"/>
      <c r="AT4290" s="130" t="s">
        <v>228</v>
      </c>
      <c r="AU4290" s="154" t="s">
        <v>187</v>
      </c>
    </row>
    <row r="4291" spans="13:47" x14ac:dyDescent="0.25">
      <c r="M4291" s="20"/>
      <c r="N4291" s="20"/>
      <c r="O4291" s="7" t="s">
        <v>188</v>
      </c>
      <c r="P4291" s="7"/>
      <c r="Q4291" s="7"/>
      <c r="R4291" s="181">
        <f>P_1_minW-(R4289^2*R_up)+dpup_minQ</f>
        <v>91.666962425163888</v>
      </c>
      <c r="S4291" s="132"/>
      <c r="T4291" s="145"/>
      <c r="U4291" s="138">
        <f>P_1_minW-(U4289^2*R_up)+dpup_minQ</f>
        <v>64.031930020643657</v>
      </c>
      <c r="V4291" s="132"/>
      <c r="W4291" s="145"/>
      <c r="X4291" s="138">
        <f>P_1_minW-(X4289^2*R_up)+dpup_minQ</f>
        <v>-122.66688225469598</v>
      </c>
      <c r="Y4291" s="132"/>
      <c r="Z4291" s="145"/>
      <c r="AA4291" s="138">
        <f>P_1_minW-(AA4289^2*R_up)+dpup_minQ</f>
        <v>-746.19400961378153</v>
      </c>
      <c r="AB4291" s="132"/>
      <c r="AC4291" s="145"/>
      <c r="AD4291" s="138">
        <f>P_1_minW-(AD4289^2*R_up)+dpup_minQ</f>
        <v>-2189.6885136356177</v>
      </c>
      <c r="AE4291" s="132"/>
      <c r="AF4291" s="145"/>
      <c r="AG4291" s="138">
        <f>P_1_minW-(AG4289^2*R_up)+dpup_minQ</f>
        <v>-4404.8317309305385</v>
      </c>
      <c r="AH4291" s="132"/>
      <c r="AI4291" s="145"/>
      <c r="AJ4291" s="138">
        <f>P_1_minW-(AJ4289^2*R_up)+dpup_minQ</f>
        <v>-7163.1272558509427</v>
      </c>
      <c r="AK4291" s="132"/>
      <c r="AL4291" s="145"/>
      <c r="AM4291" s="138">
        <f>P_1_minW-(AM4289^2*R_up)+dpup_minQ</f>
        <v>-9886.5651314312017</v>
      </c>
      <c r="AN4291" s="132"/>
      <c r="AO4291" s="145"/>
      <c r="AP4291" s="138">
        <f>P_1_minW-(AP4289^2*R_up)+dpup_minQ</f>
        <v>-12330.563937733708</v>
      </c>
      <c r="AQ4291" s="132"/>
      <c r="AR4291" s="145"/>
      <c r="AS4291" s="138">
        <f>P_1_minW-(AS4289^2*R_up)+dpup_minQ</f>
        <v>-15372.648013150751</v>
      </c>
      <c r="AT4291" s="132"/>
      <c r="AU4291" s="145"/>
    </row>
    <row r="4292" spans="13:47" x14ac:dyDescent="0.25">
      <c r="M4292" s="20"/>
      <c r="N4292" s="20"/>
      <c r="O4292" s="7" t="s">
        <v>189</v>
      </c>
      <c r="P4292" s="1"/>
      <c r="Q4292" s="7"/>
      <c r="R4292" s="181">
        <f>P_2_minW+(R4289^2*R_dn)-dpdn_minQ</f>
        <v>50</v>
      </c>
      <c r="S4292" s="132"/>
      <c r="T4292" s="146"/>
      <c r="U4292" s="138">
        <f>P_2_minW+(U4289^2*R_dn)-dpdn_minQ</f>
        <v>50</v>
      </c>
      <c r="V4292" s="132"/>
      <c r="W4292" s="146"/>
      <c r="X4292" s="138">
        <f>P_2_minW+(X4289^2*R_dn)-dpdn_minQ</f>
        <v>50</v>
      </c>
      <c r="Y4292" s="132"/>
      <c r="Z4292" s="146"/>
      <c r="AA4292" s="138">
        <f>P_2_minW+(AA4289^2*R_dn)-dpdn_minQ</f>
        <v>50</v>
      </c>
      <c r="AB4292" s="132"/>
      <c r="AC4292" s="146"/>
      <c r="AD4292" s="138">
        <f>P_2_minW+(AD4289^2*R_dn)-dpdn_minQ</f>
        <v>50</v>
      </c>
      <c r="AE4292" s="132"/>
      <c r="AF4292" s="146"/>
      <c r="AG4292" s="138">
        <f>P_2_minW+(AG4289^2*R_dn)-dpdn_minQ</f>
        <v>50</v>
      </c>
      <c r="AH4292" s="132"/>
      <c r="AI4292" s="146"/>
      <c r="AJ4292" s="138">
        <f>P_2_minW+(AJ4289^2*R_dn)-dpdn_minQ</f>
        <v>50</v>
      </c>
      <c r="AK4292" s="132"/>
      <c r="AL4292" s="146"/>
      <c r="AM4292" s="138">
        <f>P_2_minW+(AM4289^2*R_dn)-dpdn_minQ</f>
        <v>50</v>
      </c>
      <c r="AN4292" s="132"/>
      <c r="AO4292" s="146"/>
      <c r="AP4292" s="138">
        <f>P_2_minW+(AP4289^2*R_dn)-dpdn_minQ</f>
        <v>50</v>
      </c>
      <c r="AQ4292" s="132"/>
      <c r="AR4292" s="146"/>
      <c r="AS4292" s="138">
        <f>P_2_minW+(AS4289^2*R_dn)-dpdn_minQ</f>
        <v>50</v>
      </c>
      <c r="AT4292" s="132"/>
      <c r="AU4292" s="146"/>
    </row>
    <row r="4293" spans="13:47" x14ac:dyDescent="0.25">
      <c r="M4293" s="20"/>
      <c r="N4293" s="20"/>
      <c r="O4293" s="7" t="s">
        <v>234</v>
      </c>
      <c r="P4293" s="1"/>
      <c r="Q4293" s="7"/>
      <c r="R4293" s="179">
        <f>'Valve Sizing'!G$8*R4291/P_1_maxW</f>
        <v>0.44218510644225006</v>
      </c>
      <c r="S4293" s="132"/>
      <c r="T4293" s="146"/>
      <c r="U4293" s="143">
        <f>'Valve Sizing'!$G$8*U4291/P_1_maxW</f>
        <v>0.30887863023710749</v>
      </c>
      <c r="V4293" s="132"/>
      <c r="W4293" s="146"/>
      <c r="X4293" s="143">
        <f>'Valve Sizing'!$G$8*X4291/P_1_maxW</f>
        <v>-0.59172320050436877</v>
      </c>
      <c r="Y4293" s="132"/>
      <c r="Z4293" s="146"/>
      <c r="AA4293" s="143">
        <f>'Valve Sizing'!$G$8*AA4291/P_1_maxW</f>
        <v>-3.5995070507219267</v>
      </c>
      <c r="AB4293" s="132"/>
      <c r="AC4293" s="146"/>
      <c r="AD4293" s="143">
        <f>'Valve Sizing'!$G$8*AD4291/P_1_maxW</f>
        <v>-10.562667539767196</v>
      </c>
      <c r="AE4293" s="132"/>
      <c r="AF4293" s="146"/>
      <c r="AG4293" s="143">
        <f>'Valve Sizing'!$G$8*AG4291/P_1_maxW</f>
        <v>-21.248124038056211</v>
      </c>
      <c r="AH4293" s="132"/>
      <c r="AI4293" s="146"/>
      <c r="AJ4293" s="143">
        <f>'Valve Sizing'!$G$8*AJ4291/P_1_maxW</f>
        <v>-34.55365056602254</v>
      </c>
      <c r="AK4293" s="132"/>
      <c r="AL4293" s="146"/>
      <c r="AM4293" s="143">
        <f>'Valve Sizing'!$G$8*AM4291/P_1_maxW</f>
        <v>-47.691029999593965</v>
      </c>
      <c r="AN4293" s="132"/>
      <c r="AO4293" s="146"/>
      <c r="AP4293" s="143">
        <f>'Valve Sizing'!$G$8*AP4291/P_1_maxW</f>
        <v>-59.48044511402933</v>
      </c>
      <c r="AQ4293" s="132"/>
      <c r="AR4293" s="146"/>
      <c r="AS4293" s="143">
        <f>'Valve Sizing'!$G$8*AS4291/P_1_maxW</f>
        <v>-74.154917084154221</v>
      </c>
      <c r="AT4293" s="132"/>
      <c r="AU4293" s="146"/>
    </row>
    <row r="4294" spans="13:47" x14ac:dyDescent="0.25">
      <c r="M4294" s="20"/>
      <c r="N4294" s="20"/>
      <c r="O4294" s="7" t="s">
        <v>190</v>
      </c>
      <c r="P4294" s="1"/>
      <c r="Q4294" s="7"/>
      <c r="R4294" s="181">
        <f>R4291-R4292</f>
        <v>41.666962425163888</v>
      </c>
      <c r="S4294" s="132"/>
      <c r="T4294" s="146"/>
      <c r="U4294" s="138">
        <f>U4291-U4292</f>
        <v>14.031930020643657</v>
      </c>
      <c r="V4294" s="132"/>
      <c r="W4294" s="146"/>
      <c r="X4294" s="138">
        <f>X4291-X4292</f>
        <v>-172.66688225469596</v>
      </c>
      <c r="Y4294" s="132"/>
      <c r="Z4294" s="146"/>
      <c r="AA4294" s="138">
        <f>AA4291-AA4292</f>
        <v>-796.19400961378153</v>
      </c>
      <c r="AB4294" s="132"/>
      <c r="AC4294" s="146"/>
      <c r="AD4294" s="138">
        <f>AD4291-AD4292</f>
        <v>-2239.6885136356177</v>
      </c>
      <c r="AE4294" s="132"/>
      <c r="AF4294" s="146"/>
      <c r="AG4294" s="138">
        <f>AG4291-AG4292</f>
        <v>-4454.8317309305385</v>
      </c>
      <c r="AH4294" s="132"/>
      <c r="AI4294" s="146"/>
      <c r="AJ4294" s="138">
        <f>AJ4291-AJ4292</f>
        <v>-7213.1272558509427</v>
      </c>
      <c r="AK4294" s="132"/>
      <c r="AL4294" s="146"/>
      <c r="AM4294" s="138">
        <f>AM4291-AM4292</f>
        <v>-9936.5651314312017</v>
      </c>
      <c r="AN4294" s="132"/>
      <c r="AO4294" s="146"/>
      <c r="AP4294" s="138">
        <f>AP4291-AP4292</f>
        <v>-12380.563937733708</v>
      </c>
      <c r="AQ4294" s="132"/>
      <c r="AR4294" s="146"/>
      <c r="AS4294" s="138">
        <f>AS4291-AS4292</f>
        <v>-15422.648013150751</v>
      </c>
      <c r="AT4294" s="132"/>
      <c r="AU4294" s="146"/>
    </row>
    <row r="4295" spans="13:47" ht="14.5" x14ac:dyDescent="0.35">
      <c r="M4295" s="27"/>
      <c r="N4295" s="27"/>
      <c r="O4295" s="2" t="s">
        <v>191</v>
      </c>
      <c r="P4295" s="10"/>
      <c r="Q4295" s="2"/>
      <c r="R4295" s="181">
        <f>R4294/R4291</f>
        <v>0.45454721442504908</v>
      </c>
      <c r="S4295" s="132"/>
      <c r="T4295" s="146"/>
      <c r="U4295" s="138">
        <f>U4294/U4291</f>
        <v>0.219139576397585</v>
      </c>
      <c r="V4295" s="132"/>
      <c r="W4295" s="146"/>
      <c r="X4295" s="138">
        <f>X4294/X4291</f>
        <v>1.4076079792766223</v>
      </c>
      <c r="Y4295" s="132"/>
      <c r="Z4295" s="146"/>
      <c r="AA4295" s="138">
        <f>AA4294/AA4291</f>
        <v>1.0670067024873051</v>
      </c>
      <c r="AB4295" s="132"/>
      <c r="AC4295" s="146"/>
      <c r="AD4295" s="138">
        <f>AD4294/AD4291</f>
        <v>1.0228342979782925</v>
      </c>
      <c r="AE4295" s="132"/>
      <c r="AF4295" s="146"/>
      <c r="AG4295" s="138">
        <f>AG4294/AG4291</f>
        <v>1.0113511714077299</v>
      </c>
      <c r="AH4295" s="132"/>
      <c r="AI4295" s="146"/>
      <c r="AJ4295" s="138">
        <f>AJ4294/AJ4291</f>
        <v>1.0069801915021346</v>
      </c>
      <c r="AK4295" s="132"/>
      <c r="AL4295" s="146"/>
      <c r="AM4295" s="138">
        <f>AM4294/AM4291</f>
        <v>1.0050573681895889</v>
      </c>
      <c r="AN4295" s="132"/>
      <c r="AO4295" s="146"/>
      <c r="AP4295" s="138">
        <f>AP4294/AP4291</f>
        <v>1.0040549645784644</v>
      </c>
      <c r="AQ4295" s="132"/>
      <c r="AR4295" s="146"/>
      <c r="AS4295" s="138">
        <f>AS4294/AS4291</f>
        <v>1.0032525300753148</v>
      </c>
      <c r="AT4295" s="132"/>
      <c r="AU4295" s="146"/>
    </row>
    <row r="4296" spans="13:47" x14ac:dyDescent="0.25">
      <c r="M4296" s="27"/>
      <c r="N4296" s="27"/>
      <c r="O4296" s="2" t="s">
        <v>26</v>
      </c>
      <c r="P4296" s="7">
        <v>12</v>
      </c>
      <c r="Q4296" s="2"/>
      <c r="R4296" s="181">
        <f>1-R4295/(3*F_GAMMA*R$29)</f>
        <v>0.76326660201242269</v>
      </c>
      <c r="S4296" s="133"/>
      <c r="T4296" s="146"/>
      <c r="U4296" s="138">
        <f>1-U4295/(3*F_GAMMA*U$29)</f>
        <v>0.885894726136086</v>
      </c>
      <c r="V4296" s="133"/>
      <c r="W4296" s="146"/>
      <c r="X4296" s="138">
        <f>1-X4295/(3*F_GAMMA*X$29)</f>
        <v>0.25606782363597169</v>
      </c>
      <c r="Y4296" s="133"/>
      <c r="Z4296" s="146"/>
      <c r="AA4296" s="138">
        <f>1-AA4295/(3*F_GAMMA*AA$29)</f>
        <v>0.42834619641728078</v>
      </c>
      <c r="AB4296" s="133"/>
      <c r="AC4296" s="146"/>
      <c r="AD4296" s="138">
        <f>1-AD4295/(3*F_GAMMA*AD$29)</f>
        <v>0.4369870954759939</v>
      </c>
      <c r="AE4296" s="133"/>
      <c r="AF4296" s="146"/>
      <c r="AG4296" s="138">
        <f>1-AG4295/(3*F_GAMMA*AG$29)</f>
        <v>0.41155331679205343</v>
      </c>
      <c r="AH4296" s="133"/>
      <c r="AI4296" s="146"/>
      <c r="AJ4296" s="138">
        <f>1-AJ4295/(3*F_GAMMA*AJ$29)</f>
        <v>0.37366125509823078</v>
      </c>
      <c r="AK4296" s="133"/>
      <c r="AL4296" s="146"/>
      <c r="AM4296" s="138">
        <f>1-AM4295/(3*F_GAMMA*AM$29)</f>
        <v>0.31696797078751393</v>
      </c>
      <c r="AN4296" s="133"/>
      <c r="AO4296" s="146"/>
      <c r="AP4296" s="138">
        <f>1-AP4295/(3*F_GAMMA*AP$29)</f>
        <v>0.4361108848453592</v>
      </c>
      <c r="AQ4296" s="133"/>
      <c r="AR4296" s="146"/>
      <c r="AS4296" s="138">
        <f>1-AS4295/(3*F_GAMMA*AS$29)</f>
        <v>0.14465146091224834</v>
      </c>
      <c r="AT4296" s="133"/>
      <c r="AU4296" s="146"/>
    </row>
    <row r="4297" spans="13:47" x14ac:dyDescent="0.25">
      <c r="M4297" s="27"/>
      <c r="N4297" s="27"/>
      <c r="O4297" s="2" t="s">
        <v>71</v>
      </c>
      <c r="P4297" s="85">
        <v>5</v>
      </c>
      <c r="Q4297" s="2"/>
      <c r="R4297" s="179">
        <f>R4289/((N_6*R$27*R4296)*SQRT(R4295*R4291*R4293))</f>
        <v>22.726429841031557</v>
      </c>
      <c r="S4297" s="133"/>
      <c r="T4297" s="146"/>
      <c r="U4297" s="143">
        <f>U4289/((N_6*U$27*U4296)*SQRT(U4295*U4291*U4293))</f>
        <v>82.000820161545221</v>
      </c>
      <c r="V4297" s="133"/>
      <c r="W4297" s="146"/>
      <c r="X4297" s="143">
        <f>X4289/((N_6*X$27*X4296)*SQRT(X4295*X4291*X4293))</f>
        <v>144.8240051405086</v>
      </c>
      <c r="Y4297" s="133"/>
      <c r="Z4297" s="146"/>
      <c r="AA4297" s="143">
        <f>AA4289/((N_6*AA$27*AA4296)*SQRT(AA4295*AA4291*AA4293))</f>
        <v>32.022566049717291</v>
      </c>
      <c r="AB4297" s="133"/>
      <c r="AC4297" s="146"/>
      <c r="AD4297" s="143">
        <f>AD4289/((N_6*AD$27*AD4296)*SQRT(AD4295*AD4291*AD4293))</f>
        <v>18.182188363053239</v>
      </c>
      <c r="AE4297" s="133"/>
      <c r="AF4297" s="146"/>
      <c r="AG4297" s="143">
        <f>AG4289/((N_6*AG$27*AG4296)*SQRT(AG4295*AG4291*AG4293))</f>
        <v>13.828999380998169</v>
      </c>
      <c r="AH4297" s="133"/>
      <c r="AI4297" s="146"/>
      <c r="AJ4297" s="143">
        <f>AJ4289/((N_6*AJ$27*AJ4296)*SQRT(AJ4295*AJ4291*AJ4293))</f>
        <v>12.327599730718317</v>
      </c>
      <c r="AK4297" s="133"/>
      <c r="AL4297" s="146"/>
      <c r="AM4297" s="143">
        <f>AM4289/((N_6*AM$27*AM4296)*SQRT(AM4295*AM4291*AM4293))</f>
        <v>13.117156811303099</v>
      </c>
      <c r="AN4297" s="133"/>
      <c r="AO4297" s="146"/>
      <c r="AP4297" s="143">
        <f>AP4289/((N_6*AP$27*AP4296)*SQRT(AP4295*AP4291*AP4293))</f>
        <v>9.6922938439292921</v>
      </c>
      <c r="AQ4297" s="133"/>
      <c r="AR4297" s="146"/>
      <c r="AS4297" s="143">
        <f>AS4289/((N_6*AS$27*AS4296)*SQRT(AS4295*AS4291*AS4293))</f>
        <v>34.374079177750858</v>
      </c>
      <c r="AT4297" s="133"/>
      <c r="AU4297" s="146"/>
    </row>
    <row r="4298" spans="13:47" x14ac:dyDescent="0.25">
      <c r="M4298" s="27"/>
      <c r="N4298" s="27"/>
      <c r="O4298" s="2" t="s">
        <v>73</v>
      </c>
      <c r="P4298" s="85">
        <v>5</v>
      </c>
      <c r="Q4298" s="2"/>
      <c r="R4298" s="179">
        <f>R4289/((N_6*R$27*0.667)*SQRT(R4299*R4291*R4293))</f>
        <v>21.916542169589626</v>
      </c>
      <c r="S4298" s="133"/>
      <c r="T4298" s="155"/>
      <c r="U4298" s="143">
        <f>U4289/((N_6*U$27*0.667)*SQRT(U4299*U4291*U4293))</f>
        <v>63.721789662839889</v>
      </c>
      <c r="V4298" s="133"/>
      <c r="W4298" s="155"/>
      <c r="X4298" s="143">
        <f>X4289/((N_6*X$27*0.667)*SQRT(X4299*X4291*X4293))</f>
        <v>83.060975852738181</v>
      </c>
      <c r="Y4298" s="133"/>
      <c r="Z4298" s="155"/>
      <c r="AA4298" s="143">
        <f>AA4289/((N_6*AA$27*0.667)*SQRT(AA4299*AA4291*AA4293))</f>
        <v>26.930994247384362</v>
      </c>
      <c r="AB4298" s="133"/>
      <c r="AC4298" s="155"/>
      <c r="AD4298" s="143">
        <f>AD4289/((N_6*AD$27*0.667)*SQRT(AD4299*AD4291*AD4293))</f>
        <v>15.481346564256206</v>
      </c>
      <c r="AE4298" s="133"/>
      <c r="AF4298" s="155"/>
      <c r="AG4298" s="143">
        <f>AG4289/((N_6*AG$27*0.667)*SQRT(AG4299*AG4291*AG4293))</f>
        <v>11.337184552869088</v>
      </c>
      <c r="AH4298" s="133"/>
      <c r="AI4298" s="155"/>
      <c r="AJ4298" s="143">
        <f>AJ4289/((N_6*AJ$27*0.667)*SQRT(AJ4299*AJ4291*AJ4293))</f>
        <v>9.466643558206691</v>
      </c>
      <c r="AK4298" s="133"/>
      <c r="AL4298" s="155"/>
      <c r="AM4298" s="143">
        <f>AM4289/((N_6*AM$27*0.667)*SQRT(AM4299*AM4291*AM4293))</f>
        <v>8.9229902428422019</v>
      </c>
      <c r="AN4298" s="133"/>
      <c r="AO4298" s="155"/>
      <c r="AP4298" s="143">
        <f>AP4289/((N_6*AP$27*0.667)*SQRT(AP4299*AP4291*AP4293))</f>
        <v>8.2424277269644044</v>
      </c>
      <c r="AQ4298" s="133"/>
      <c r="AR4298" s="155"/>
      <c r="AS4298" s="143">
        <f>AS4289/((N_6*AS$27*0.667)*SQRT(AS4299*AS4291*AS4293))</f>
        <v>11.941537577024121</v>
      </c>
      <c r="AT4298" s="133"/>
      <c r="AU4298" s="155"/>
    </row>
    <row r="4299" spans="13:47" ht="15.5" x14ac:dyDescent="0.4">
      <c r="M4299" s="27"/>
      <c r="N4299" s="27"/>
      <c r="O4299" s="2" t="s">
        <v>192</v>
      </c>
      <c r="P4299" s="85">
        <v>10</v>
      </c>
      <c r="Q4299" s="2"/>
      <c r="R4299" s="181">
        <f>F_GAMMA*R$29</f>
        <v>0.64002688015162901</v>
      </c>
      <c r="S4299" s="133"/>
      <c r="T4299" s="155"/>
      <c r="U4299" s="138">
        <f>F_GAMMA*U$29</f>
        <v>0.64016782916606918</v>
      </c>
      <c r="V4299" s="133"/>
      <c r="W4299" s="155"/>
      <c r="X4299" s="138">
        <f>F_GAMMA*X$29</f>
        <v>0.6307062319203669</v>
      </c>
      <c r="Y4299" s="133"/>
      <c r="Z4299" s="155"/>
      <c r="AA4299" s="138">
        <f>F_GAMMA*AA$29</f>
        <v>0.62217534213893466</v>
      </c>
      <c r="AB4299" s="133"/>
      <c r="AC4299" s="155"/>
      <c r="AD4299" s="138">
        <f>F_GAMMA*AD$29</f>
        <v>0.60557184969146072</v>
      </c>
      <c r="AE4299" s="133"/>
      <c r="AF4299" s="155"/>
      <c r="AG4299" s="138">
        <f>F_GAMMA*AG$29</f>
        <v>0.57289312142622573</v>
      </c>
      <c r="AH4299" s="133"/>
      <c r="AI4299" s="155"/>
      <c r="AJ4299" s="138">
        <f>F_GAMMA*AJ$29</f>
        <v>0.53590819116049981</v>
      </c>
      <c r="AK4299" s="133"/>
      <c r="AL4299" s="155"/>
      <c r="AM4299" s="138">
        <f>F_GAMMA*AM$29</f>
        <v>0.49048815926850342</v>
      </c>
      <c r="AN4299" s="133"/>
      <c r="AO4299" s="155"/>
      <c r="AP4299" s="138">
        <f>F_GAMMA*AP$29</f>
        <v>0.59352979016280105</v>
      </c>
      <c r="AQ4299" s="133"/>
      <c r="AR4299" s="155"/>
      <c r="AS4299" s="138">
        <f>F_GAMMA*AS$29</f>
        <v>0.39097221161068291</v>
      </c>
      <c r="AT4299" s="133"/>
      <c r="AU4299" s="155"/>
    </row>
    <row r="4300" spans="13:47" x14ac:dyDescent="0.25">
      <c r="M4300" s="27"/>
      <c r="N4300" s="27"/>
      <c r="O4300" s="2" t="s">
        <v>193</v>
      </c>
      <c r="P4300" s="134"/>
      <c r="Q4300" s="2"/>
      <c r="R4300" s="181">
        <f>IF(R4295&lt;R4299,R4297,R4298)</f>
        <v>22.726429841031557</v>
      </c>
      <c r="S4300" s="133"/>
      <c r="T4300" s="155"/>
      <c r="U4300" s="138">
        <f>IF(U4295&lt;U4299,U4297,U4298)</f>
        <v>82.000820161545221</v>
      </c>
      <c r="V4300" s="133"/>
      <c r="W4300" s="155"/>
      <c r="X4300" s="138">
        <f>IF(X4295&lt;X4299,X4297,X4298)</f>
        <v>83.060975852738181</v>
      </c>
      <c r="Y4300" s="133"/>
      <c r="Z4300" s="155"/>
      <c r="AA4300" s="138">
        <f>IF(AA4295&lt;AA4299,AA4297,AA4298)</f>
        <v>26.930994247384362</v>
      </c>
      <c r="AB4300" s="133"/>
      <c r="AC4300" s="155"/>
      <c r="AD4300" s="138">
        <f>IF(AD4295&lt;AD4299,AD4297,AD4298)</f>
        <v>15.481346564256206</v>
      </c>
      <c r="AE4300" s="133"/>
      <c r="AF4300" s="155"/>
      <c r="AG4300" s="138">
        <f>IF(AG4295&lt;AG4299,AG4297,AG4298)</f>
        <v>11.337184552869088</v>
      </c>
      <c r="AH4300" s="133"/>
      <c r="AI4300" s="155"/>
      <c r="AJ4300" s="138">
        <f>IF(AJ4295&lt;AJ4299,AJ4297,AJ4298)</f>
        <v>9.466643558206691</v>
      </c>
      <c r="AK4300" s="133"/>
      <c r="AL4300" s="155"/>
      <c r="AM4300" s="138">
        <f>IF(AM4295&lt;AM4299,AM4297,AM4298)</f>
        <v>8.9229902428422019</v>
      </c>
      <c r="AN4300" s="133"/>
      <c r="AO4300" s="155"/>
      <c r="AP4300" s="138">
        <f>IF(AP4295&lt;AP4299,AP4297,AP4298)</f>
        <v>8.2424277269644044</v>
      </c>
      <c r="AQ4300" s="133"/>
      <c r="AR4300" s="155"/>
      <c r="AS4300" s="138">
        <f>IF(AS4295&lt;AS4299,AS4297,AS4298)</f>
        <v>11.941537577024121</v>
      </c>
      <c r="AT4300" s="133"/>
      <c r="AU4300" s="155"/>
    </row>
    <row r="4301" spans="13:47" ht="13" x14ac:dyDescent="0.3">
      <c r="M4301" s="28"/>
      <c r="N4301" s="28"/>
      <c r="O4301" s="9" t="s">
        <v>194</v>
      </c>
      <c r="P4301" s="1"/>
      <c r="Q4301" s="1"/>
      <c r="R4301" s="135"/>
      <c r="S4301" s="132">
        <f>IF(R4294&lt;=0,W_max,ABS(R$23-R4300))</f>
        <v>20.726429841031557</v>
      </c>
      <c r="T4301" s="151">
        <f>R4289</f>
        <v>4712.5687854838616</v>
      </c>
      <c r="U4301" s="135"/>
      <c r="V4301" s="132">
        <f>IF(U4294&lt;=0,W_max,ABS(U$23-U4300))</f>
        <v>77.000820161545221</v>
      </c>
      <c r="W4301" s="151">
        <f>U4289</f>
        <v>9566.1070394392464</v>
      </c>
      <c r="X4301" s="135"/>
      <c r="Y4301" s="132">
        <f>IF(X4294&lt;=0,W_max,ABS(X$23-X4300))</f>
        <v>7174</v>
      </c>
      <c r="Z4301" s="151">
        <f>X4289</f>
        <v>23658.121088615346</v>
      </c>
      <c r="AA4301" s="135"/>
      <c r="AB4301" s="132">
        <f>IF(AA4294&lt;=0,W_max,ABS(AA$23-AA4300))</f>
        <v>7174</v>
      </c>
      <c r="AC4301" s="151">
        <f>AA4289</f>
        <v>46079.981253726452</v>
      </c>
      <c r="AD4301" s="135"/>
      <c r="AE4301" s="132">
        <f>IF(AD4294&lt;=0,W_max,ABS(AD$23-AD4300))</f>
        <v>7174</v>
      </c>
      <c r="AF4301" s="151">
        <f>AD4289</f>
        <v>75784.603519848053</v>
      </c>
      <c r="AG4301" s="135"/>
      <c r="AH4301" s="132">
        <f>IF(AG4294&lt;=0,W_max,ABS(AG$23-AG4300))</f>
        <v>7174</v>
      </c>
      <c r="AI4301" s="151">
        <f>AG4289</f>
        <v>106293.74080292443</v>
      </c>
      <c r="AJ4301" s="135"/>
      <c r="AK4301" s="132">
        <f>IF(AJ4294&lt;=0,W_max,ABS(AJ$23-AJ4300))</f>
        <v>7174</v>
      </c>
      <c r="AL4301" s="151">
        <f>AJ4289</f>
        <v>134964.84561954369</v>
      </c>
      <c r="AM4301" s="135"/>
      <c r="AN4301" s="132">
        <f>IF(AM4294&lt;=0,W_max,ABS(AM$23-AM4300))</f>
        <v>7174</v>
      </c>
      <c r="AO4301" s="151">
        <f>AM4289</f>
        <v>158256.89578890076</v>
      </c>
      <c r="AP4301" s="135"/>
      <c r="AQ4301" s="132">
        <f>IF(AP4294&lt;=0,W_max,ABS(AP$23-AP4300))</f>
        <v>7174</v>
      </c>
      <c r="AR4301" s="151">
        <f>AP4289</f>
        <v>176562.20927318826</v>
      </c>
      <c r="AS4301" s="135"/>
      <c r="AT4301" s="132">
        <f>IF(AS4294&lt;=0,W_max,ABS(AS$23-AS4300))</f>
        <v>7174</v>
      </c>
      <c r="AU4301" s="151">
        <f>AS4289</f>
        <v>196984.86810339356</v>
      </c>
    </row>
    <row r="4302" spans="13:47" ht="13" x14ac:dyDescent="0.25">
      <c r="M4302" s="12"/>
      <c r="N4302" s="12"/>
      <c r="O4302" s="2"/>
      <c r="P4302" s="85"/>
      <c r="Q4302" s="2"/>
      <c r="R4302" s="18"/>
      <c r="S4302" s="150"/>
      <c r="T4302" s="152"/>
      <c r="U4302" s="157"/>
      <c r="V4302" s="1"/>
      <c r="W4302" s="147"/>
      <c r="X4302" s="157"/>
      <c r="Y4302" s="1"/>
      <c r="Z4302" s="147"/>
      <c r="AA4302" s="157"/>
      <c r="AB4302" s="1"/>
      <c r="AC4302" s="147"/>
      <c r="AD4302" s="157"/>
      <c r="AE4302" s="1"/>
      <c r="AF4302" s="147"/>
      <c r="AG4302" s="157"/>
      <c r="AH4302" s="1"/>
      <c r="AI4302" s="147"/>
      <c r="AJ4302" s="157"/>
      <c r="AK4302" s="1"/>
      <c r="AL4302" s="147"/>
      <c r="AM4302" s="157"/>
      <c r="AN4302" s="1"/>
      <c r="AO4302" s="147"/>
      <c r="AP4302" s="157"/>
      <c r="AQ4302" s="1"/>
      <c r="AR4302" s="147"/>
      <c r="AS4302" s="157"/>
      <c r="AT4302" s="1"/>
      <c r="AU4302" s="147"/>
    </row>
    <row r="4303" spans="13:47" ht="14" x14ac:dyDescent="0.3">
      <c r="M4303" s="23"/>
      <c r="N4303" s="23"/>
      <c r="O4303" s="23" t="s">
        <v>238</v>
      </c>
      <c r="P4303" s="20"/>
      <c r="Q4303" s="20"/>
      <c r="R4303" s="181">
        <f>R4289*1.02</f>
        <v>4806.8201611935392</v>
      </c>
      <c r="S4303" s="128" t="s">
        <v>185</v>
      </c>
      <c r="T4303" s="153" t="s">
        <v>186</v>
      </c>
      <c r="U4303" s="143">
        <f>U4289*1.01</f>
        <v>9661.7681098336398</v>
      </c>
      <c r="V4303" s="128" t="s">
        <v>185</v>
      </c>
      <c r="W4303" s="153" t="s">
        <v>186</v>
      </c>
      <c r="X4303" s="143">
        <f>X4289*1.01</f>
        <v>23894.7022995015</v>
      </c>
      <c r="Y4303" s="128" t="s">
        <v>185</v>
      </c>
      <c r="Z4303" s="153" t="s">
        <v>186</v>
      </c>
      <c r="AA4303" s="143">
        <f>AA4289*1.01</f>
        <v>46540.781066263713</v>
      </c>
      <c r="AB4303" s="128" t="s">
        <v>185</v>
      </c>
      <c r="AC4303" s="153" t="s">
        <v>186</v>
      </c>
      <c r="AD4303" s="143">
        <f>AD4289*1.01</f>
        <v>76542.449555046536</v>
      </c>
      <c r="AE4303" s="128" t="s">
        <v>185</v>
      </c>
      <c r="AF4303" s="153" t="s">
        <v>186</v>
      </c>
      <c r="AG4303" s="143">
        <f>AG4289*1.01</f>
        <v>107356.67821095367</v>
      </c>
      <c r="AH4303" s="128" t="s">
        <v>185</v>
      </c>
      <c r="AI4303" s="153" t="s">
        <v>186</v>
      </c>
      <c r="AJ4303" s="143">
        <f>AJ4289*1.01</f>
        <v>136314.49407573912</v>
      </c>
      <c r="AK4303" s="128" t="s">
        <v>185</v>
      </c>
      <c r="AL4303" s="153" t="s">
        <v>186</v>
      </c>
      <c r="AM4303" s="143">
        <f>AM4289*1.01</f>
        <v>159839.46474678977</v>
      </c>
      <c r="AN4303" s="128" t="s">
        <v>185</v>
      </c>
      <c r="AO4303" s="153" t="s">
        <v>186</v>
      </c>
      <c r="AP4303" s="143">
        <f>AP4289*1.01</f>
        <v>178327.83136592014</v>
      </c>
      <c r="AQ4303" s="128" t="s">
        <v>185</v>
      </c>
      <c r="AR4303" s="153" t="s">
        <v>186</v>
      </c>
      <c r="AS4303" s="143">
        <f>AS4289*1.01</f>
        <v>198954.7167844275</v>
      </c>
      <c r="AT4303" s="128" t="s">
        <v>185</v>
      </c>
      <c r="AU4303" s="153" t="s">
        <v>186</v>
      </c>
    </row>
    <row r="4304" spans="13:47" ht="14" x14ac:dyDescent="0.3">
      <c r="M4304" s="12"/>
      <c r="N4304" s="12"/>
      <c r="O4304" s="20"/>
      <c r="P4304" s="20"/>
      <c r="Q4304" s="23"/>
      <c r="R4304" s="139"/>
      <c r="S4304" s="130" t="s">
        <v>228</v>
      </c>
      <c r="T4304" s="154" t="s">
        <v>187</v>
      </c>
      <c r="U4304" s="144"/>
      <c r="V4304" s="130" t="s">
        <v>228</v>
      </c>
      <c r="W4304" s="154" t="s">
        <v>187</v>
      </c>
      <c r="X4304" s="144"/>
      <c r="Y4304" s="130" t="s">
        <v>228</v>
      </c>
      <c r="Z4304" s="154" t="s">
        <v>187</v>
      </c>
      <c r="AA4304" s="144"/>
      <c r="AB4304" s="130" t="s">
        <v>228</v>
      </c>
      <c r="AC4304" s="154" t="s">
        <v>187</v>
      </c>
      <c r="AD4304" s="144"/>
      <c r="AE4304" s="130" t="s">
        <v>228</v>
      </c>
      <c r="AF4304" s="154" t="s">
        <v>187</v>
      </c>
      <c r="AG4304" s="144"/>
      <c r="AH4304" s="130" t="s">
        <v>228</v>
      </c>
      <c r="AI4304" s="154" t="s">
        <v>187</v>
      </c>
      <c r="AJ4304" s="144"/>
      <c r="AK4304" s="130" t="s">
        <v>228</v>
      </c>
      <c r="AL4304" s="154" t="s">
        <v>187</v>
      </c>
      <c r="AM4304" s="144"/>
      <c r="AN4304" s="130" t="s">
        <v>228</v>
      </c>
      <c r="AO4304" s="154" t="s">
        <v>187</v>
      </c>
      <c r="AP4304" s="144"/>
      <c r="AQ4304" s="130" t="s">
        <v>228</v>
      </c>
      <c r="AR4304" s="154" t="s">
        <v>187</v>
      </c>
      <c r="AS4304" s="144"/>
      <c r="AT4304" s="130" t="s">
        <v>228</v>
      </c>
      <c r="AU4304" s="154" t="s">
        <v>187</v>
      </c>
    </row>
    <row r="4305" spans="13:47" x14ac:dyDescent="0.25">
      <c r="M4305" s="20"/>
      <c r="N4305" s="20"/>
      <c r="O4305" s="7" t="s">
        <v>188</v>
      </c>
      <c r="P4305" s="7"/>
      <c r="Q4305" s="7"/>
      <c r="R4305" s="181">
        <f>P_1_minW-(R4303^2*R_up)+dpup_minQ</f>
        <v>91.309187122976738</v>
      </c>
      <c r="S4305" s="132"/>
      <c r="T4305" s="145"/>
      <c r="U4305" s="138">
        <f>P_1_minW-(U4303^2*R_up)+dpup_minQ</f>
        <v>63.298463800650381</v>
      </c>
      <c r="V4305" s="132"/>
      <c r="W4305" s="145"/>
      <c r="X4305" s="138">
        <f>P_1_minW-(X4303^2*R_up)+dpup_minQ</f>
        <v>-127.15299460142357</v>
      </c>
      <c r="Y4305" s="132"/>
      <c r="Z4305" s="145"/>
      <c r="AA4305" s="138">
        <f>P_1_minW-(AA4303^2*R_up)+dpup_minQ</f>
        <v>-763.21301722042654</v>
      </c>
      <c r="AB4305" s="132"/>
      <c r="AC4305" s="145"/>
      <c r="AD4305" s="138">
        <f>P_1_minW-(AD4303^2*R_up)+dpup_minQ</f>
        <v>-2235.7217607731018</v>
      </c>
      <c r="AE4305" s="132"/>
      <c r="AF4305" s="145"/>
      <c r="AG4305" s="138">
        <f>P_1_minW-(AG4303^2*R_up)+dpup_minQ</f>
        <v>-4495.3893567356508</v>
      </c>
      <c r="AH4305" s="132"/>
      <c r="AI4305" s="145"/>
      <c r="AJ4305" s="138">
        <f>P_1_minW-(AJ4303^2*R_up)+dpup_minQ</f>
        <v>-7309.1266217069533</v>
      </c>
      <c r="AK4305" s="132"/>
      <c r="AL4305" s="145"/>
      <c r="AM4305" s="138">
        <f>P_1_minW-(AM4303^2*R_up)+dpup_minQ</f>
        <v>-10087.305598586379</v>
      </c>
      <c r="AN4305" s="132"/>
      <c r="AO4305" s="145"/>
      <c r="AP4305" s="138">
        <f>P_1_minW-(AP4303^2*R_up)+dpup_minQ</f>
        <v>-12580.428780895565</v>
      </c>
      <c r="AQ4305" s="132"/>
      <c r="AR4305" s="145"/>
      <c r="AS4305" s="138">
        <f>P_1_minW-(AS4303^2*R_up)+dpup_minQ</f>
        <v>-15683.65874622849</v>
      </c>
      <c r="AT4305" s="132"/>
      <c r="AU4305" s="145"/>
    </row>
    <row r="4306" spans="13:47" x14ac:dyDescent="0.25">
      <c r="M4306" s="20"/>
      <c r="N4306" s="20"/>
      <c r="O4306" s="7" t="s">
        <v>189</v>
      </c>
      <c r="P4306" s="1"/>
      <c r="Q4306" s="7"/>
      <c r="R4306" s="181">
        <f>P_2_minW+(R4303^2*R_dn)-dpdn_minQ</f>
        <v>50</v>
      </c>
      <c r="S4306" s="132"/>
      <c r="T4306" s="146"/>
      <c r="U4306" s="138">
        <f>P_2_minW+(U4303^2*R_dn)-dpdn_minQ</f>
        <v>50</v>
      </c>
      <c r="V4306" s="132"/>
      <c r="W4306" s="146"/>
      <c r="X4306" s="138">
        <f>P_2_minW+(X4303^2*R_dn)-dpdn_minQ</f>
        <v>50</v>
      </c>
      <c r="Y4306" s="132"/>
      <c r="Z4306" s="146"/>
      <c r="AA4306" s="138">
        <f>P_2_minW+(AA4303^2*R_dn)-dpdn_minQ</f>
        <v>50</v>
      </c>
      <c r="AB4306" s="132"/>
      <c r="AC4306" s="146"/>
      <c r="AD4306" s="138">
        <f>P_2_minW+(AD4303^2*R_dn)-dpdn_minQ</f>
        <v>50</v>
      </c>
      <c r="AE4306" s="132"/>
      <c r="AF4306" s="146"/>
      <c r="AG4306" s="138">
        <f>P_2_minW+(AG4303^2*R_dn)-dpdn_minQ</f>
        <v>50</v>
      </c>
      <c r="AH4306" s="132"/>
      <c r="AI4306" s="146"/>
      <c r="AJ4306" s="138">
        <f>P_2_minW+(AJ4303^2*R_dn)-dpdn_minQ</f>
        <v>50</v>
      </c>
      <c r="AK4306" s="132"/>
      <c r="AL4306" s="146"/>
      <c r="AM4306" s="138">
        <f>P_2_minW+(AM4303^2*R_dn)-dpdn_minQ</f>
        <v>50</v>
      </c>
      <c r="AN4306" s="132"/>
      <c r="AO4306" s="146"/>
      <c r="AP4306" s="138">
        <f>P_2_minW+(AP4303^2*R_dn)-dpdn_minQ</f>
        <v>50</v>
      </c>
      <c r="AQ4306" s="132"/>
      <c r="AR4306" s="146"/>
      <c r="AS4306" s="138">
        <f>P_2_minW+(AS4303^2*R_dn)-dpdn_minQ</f>
        <v>50</v>
      </c>
      <c r="AT4306" s="132"/>
      <c r="AU4306" s="146"/>
    </row>
    <row r="4307" spans="13:47" x14ac:dyDescent="0.25">
      <c r="M4307" s="20"/>
      <c r="N4307" s="20"/>
      <c r="O4307" s="7" t="s">
        <v>234</v>
      </c>
      <c r="P4307" s="1"/>
      <c r="Q4307" s="7"/>
      <c r="R4307" s="179">
        <f>'Valve Sizing'!G$8*R4305/P_1_maxW</f>
        <v>0.44045926208246566</v>
      </c>
      <c r="S4307" s="132"/>
      <c r="T4307" s="146"/>
      <c r="U4307" s="143">
        <f>'Valve Sizing'!$G$8*U4305/P_1_maxW</f>
        <v>0.30534051977747156</v>
      </c>
      <c r="V4307" s="132"/>
      <c r="W4307" s="146"/>
      <c r="X4307" s="143">
        <f>'Valve Sizing'!$G$8*X4305/P_1_maxW</f>
        <v>-0.61336340776190823</v>
      </c>
      <c r="Y4307" s="132"/>
      <c r="Z4307" s="146"/>
      <c r="AA4307" s="143">
        <f>'Valve Sizing'!$G$8*AA4305/P_1_maxW</f>
        <v>-3.6816037133688377</v>
      </c>
      <c r="AB4307" s="132"/>
      <c r="AC4307" s="146"/>
      <c r="AD4307" s="143">
        <f>'Valve Sizing'!$G$8*AD4305/P_1_maxW</f>
        <v>-10.784723728243918</v>
      </c>
      <c r="AE4307" s="132"/>
      <c r="AF4307" s="146"/>
      <c r="AG4307" s="143">
        <f>'Valve Sizing'!$G$8*AG4305/P_1_maxW</f>
        <v>-21.684957902148547</v>
      </c>
      <c r="AH4307" s="132"/>
      <c r="AI4307" s="146"/>
      <c r="AJ4307" s="143">
        <f>'Valve Sizing'!$G$8*AJ4305/P_1_maxW</f>
        <v>-35.257925513326988</v>
      </c>
      <c r="AK4307" s="132"/>
      <c r="AL4307" s="146"/>
      <c r="AM4307" s="143">
        <f>'Valve Sizing'!$G$8*AM4305/P_1_maxW</f>
        <v>-48.659366273513214</v>
      </c>
      <c r="AN4307" s="132"/>
      <c r="AO4307" s="146"/>
      <c r="AP4307" s="143">
        <f>'Valve Sizing'!$G$8*AP4305/P_1_maxW</f>
        <v>-60.685748631748723</v>
      </c>
      <c r="AQ4307" s="132"/>
      <c r="AR4307" s="146"/>
      <c r="AS4307" s="143">
        <f>'Valve Sizing'!$G$8*AS4305/P_1_maxW</f>
        <v>-75.655177488473129</v>
      </c>
      <c r="AT4307" s="132"/>
      <c r="AU4307" s="146"/>
    </row>
    <row r="4308" spans="13:47" x14ac:dyDescent="0.25">
      <c r="M4308" s="20"/>
      <c r="N4308" s="20"/>
      <c r="O4308" s="7" t="s">
        <v>190</v>
      </c>
      <c r="P4308" s="1"/>
      <c r="Q4308" s="7"/>
      <c r="R4308" s="181">
        <f>R4305-R4306</f>
        <v>41.309187122976738</v>
      </c>
      <c r="S4308" s="132"/>
      <c r="T4308" s="146"/>
      <c r="U4308" s="138">
        <f>U4305-U4306</f>
        <v>13.298463800650381</v>
      </c>
      <c r="V4308" s="132"/>
      <c r="W4308" s="146"/>
      <c r="X4308" s="138">
        <f>X4305-X4306</f>
        <v>-177.15299460142359</v>
      </c>
      <c r="Y4308" s="132"/>
      <c r="Z4308" s="146"/>
      <c r="AA4308" s="138">
        <f>AA4305-AA4306</f>
        <v>-813.21301722042654</v>
      </c>
      <c r="AB4308" s="132"/>
      <c r="AC4308" s="146"/>
      <c r="AD4308" s="138">
        <f>AD4305-AD4306</f>
        <v>-2285.7217607731018</v>
      </c>
      <c r="AE4308" s="132"/>
      <c r="AF4308" s="146"/>
      <c r="AG4308" s="138">
        <f>AG4305-AG4306</f>
        <v>-4545.3893567356508</v>
      </c>
      <c r="AH4308" s="132"/>
      <c r="AI4308" s="146"/>
      <c r="AJ4308" s="138">
        <f>AJ4305-AJ4306</f>
        <v>-7359.1266217069533</v>
      </c>
      <c r="AK4308" s="132"/>
      <c r="AL4308" s="146"/>
      <c r="AM4308" s="138">
        <f>AM4305-AM4306</f>
        <v>-10137.305598586379</v>
      </c>
      <c r="AN4308" s="132"/>
      <c r="AO4308" s="146"/>
      <c r="AP4308" s="138">
        <f>AP4305-AP4306</f>
        <v>-12630.428780895565</v>
      </c>
      <c r="AQ4308" s="132"/>
      <c r="AR4308" s="146"/>
      <c r="AS4308" s="138">
        <f>AS4305-AS4306</f>
        <v>-15733.65874622849</v>
      </c>
      <c r="AT4308" s="132"/>
      <c r="AU4308" s="146"/>
    </row>
    <row r="4309" spans="13:47" ht="14.5" x14ac:dyDescent="0.35">
      <c r="M4309" s="27"/>
      <c r="N4309" s="27"/>
      <c r="O4309" s="2" t="s">
        <v>191</v>
      </c>
      <c r="P4309" s="10"/>
      <c r="Q4309" s="2"/>
      <c r="R4309" s="181">
        <f>R4308/R4305</f>
        <v>0.45240997565054253</v>
      </c>
      <c r="S4309" s="132"/>
      <c r="T4309" s="146"/>
      <c r="U4309" s="138">
        <f>U4308/U4305</f>
        <v>0.21009141458048688</v>
      </c>
      <c r="V4309" s="132"/>
      <c r="W4309" s="146"/>
      <c r="X4309" s="138">
        <f>X4308/X4305</f>
        <v>1.3932270738627199</v>
      </c>
      <c r="Y4309" s="132"/>
      <c r="Z4309" s="146"/>
      <c r="AA4309" s="138">
        <f>AA4308/AA4305</f>
        <v>1.065512509446048</v>
      </c>
      <c r="AB4309" s="132"/>
      <c r="AC4309" s="146"/>
      <c r="AD4309" s="138">
        <f>AD4308/AD4305</f>
        <v>1.0223641424784049</v>
      </c>
      <c r="AE4309" s="132"/>
      <c r="AF4309" s="146"/>
      <c r="AG4309" s="138">
        <f>AG4308/AG4305</f>
        <v>1.0111225070916454</v>
      </c>
      <c r="AH4309" s="132"/>
      <c r="AI4309" s="146"/>
      <c r="AJ4309" s="138">
        <f>AJ4308/AJ4305</f>
        <v>1.006840762595562</v>
      </c>
      <c r="AK4309" s="132"/>
      <c r="AL4309" s="146"/>
      <c r="AM4309" s="138">
        <f>AM4308/AM4305</f>
        <v>1.0049567250155489</v>
      </c>
      <c r="AN4309" s="132"/>
      <c r="AO4309" s="146"/>
      <c r="AP4309" s="138">
        <f>AP4308/AP4305</f>
        <v>1.0039744273323918</v>
      </c>
      <c r="AQ4309" s="132"/>
      <c r="AR4309" s="146"/>
      <c r="AS4309" s="138">
        <f>AS4308/AS4305</f>
        <v>1.003188031619983</v>
      </c>
      <c r="AT4309" s="132"/>
      <c r="AU4309" s="146"/>
    </row>
    <row r="4310" spans="13:47" x14ac:dyDescent="0.25">
      <c r="M4310" s="27"/>
      <c r="N4310" s="27"/>
      <c r="O4310" s="2" t="s">
        <v>26</v>
      </c>
      <c r="P4310" s="7">
        <v>12</v>
      </c>
      <c r="Q4310" s="2"/>
      <c r="R4310" s="181">
        <f>1-R4309/(3*F_GAMMA*R$29)</f>
        <v>0.76437970045707981</v>
      </c>
      <c r="S4310" s="133"/>
      <c r="T4310" s="146"/>
      <c r="U4310" s="138">
        <f>1-U4309/(3*F_GAMMA*U$29)</f>
        <v>0.8906060749443534</v>
      </c>
      <c r="V4310" s="133"/>
      <c r="W4310" s="146"/>
      <c r="X4310" s="138">
        <f>1-X4309/(3*F_GAMMA*X$29)</f>
        <v>0.26366824820030788</v>
      </c>
      <c r="Y4310" s="133"/>
      <c r="Z4310" s="146"/>
      <c r="AA4310" s="138">
        <f>1-AA4309/(3*F_GAMMA*AA$29)</f>
        <v>0.42914671728873388</v>
      </c>
      <c r="AB4310" s="133"/>
      <c r="AC4310" s="146"/>
      <c r="AD4310" s="138">
        <f>1-AD4309/(3*F_GAMMA*AD$29)</f>
        <v>0.43724588970502287</v>
      </c>
      <c r="AE4310" s="133"/>
      <c r="AF4310" s="146"/>
      <c r="AG4310" s="138">
        <f>1-AG4309/(3*F_GAMMA*AG$29)</f>
        <v>0.41168636331651687</v>
      </c>
      <c r="AH4310" s="133"/>
      <c r="AI4310" s="146"/>
      <c r="AJ4310" s="138">
        <f>1-AJ4309/(3*F_GAMMA*AJ$29)</f>
        <v>0.3737479794718408</v>
      </c>
      <c r="AK4310" s="133"/>
      <c r="AL4310" s="146"/>
      <c r="AM4310" s="138">
        <f>1-AM4309/(3*F_GAMMA*AM$29)</f>
        <v>0.31703636739209262</v>
      </c>
      <c r="AN4310" s="133"/>
      <c r="AO4310" s="146"/>
      <c r="AP4310" s="138">
        <f>1-AP4309/(3*F_GAMMA*AP$29)</f>
        <v>0.4361561155130288</v>
      </c>
      <c r="AQ4310" s="133"/>
      <c r="AR4310" s="146"/>
      <c r="AS4310" s="138">
        <f>1-AS4309/(3*F_GAMMA*AS$29)</f>
        <v>0.14470645071579991</v>
      </c>
      <c r="AT4310" s="133"/>
      <c r="AU4310" s="146"/>
    </row>
    <row r="4311" spans="13:47" x14ac:dyDescent="0.25">
      <c r="M4311" s="27"/>
      <c r="N4311" s="27"/>
      <c r="O4311" s="2" t="s">
        <v>71</v>
      </c>
      <c r="P4311" s="85">
        <v>5</v>
      </c>
      <c r="Q4311" s="2"/>
      <c r="R4311" s="179">
        <f>R4303/((N_6*R$27*R4310)*SQRT(R4309*R4305*R4307))</f>
        <v>23.292723999969173</v>
      </c>
      <c r="S4311" s="133"/>
      <c r="T4311" s="146"/>
      <c r="U4311" s="143">
        <f>U4303/((N_6*U$27*U4310)*SQRT(U4309*U4305*U4307))</f>
        <v>85.112963345115688</v>
      </c>
      <c r="V4311" s="133"/>
      <c r="W4311" s="146"/>
      <c r="X4311" s="143">
        <f>X4303/((N_6*X$27*X4310)*SQRT(X4309*X4305*X4307))</f>
        <v>137.74940956762984</v>
      </c>
      <c r="Y4311" s="133"/>
      <c r="Z4311" s="146"/>
      <c r="AA4311" s="143">
        <f>AA4303/((N_6*AA$27*AA4310)*SQRT(AA4309*AA4305*AA4307))</f>
        <v>31.584711222107043</v>
      </c>
      <c r="AB4311" s="133"/>
      <c r="AC4311" s="146"/>
      <c r="AD4311" s="143">
        <f>AD4303/((N_6*AD$27*AD4310)*SQRT(AD4309*AD4305*AD4307))</f>
        <v>17.979384740936542</v>
      </c>
      <c r="AE4311" s="133"/>
      <c r="AF4311" s="146"/>
      <c r="AG4311" s="143">
        <f>AG4303/((N_6*AG$27*AG4310)*SQRT(AG4309*AG4305*AG4307))</f>
        <v>13.683048521821565</v>
      </c>
      <c r="AH4311" s="133"/>
      <c r="AI4311" s="146"/>
      <c r="AJ4311" s="143">
        <f>AJ4303/((N_6*AJ$27*AJ4310)*SQRT(AJ4309*AJ4305*AJ4307))</f>
        <v>12.200183506770928</v>
      </c>
      <c r="AK4311" s="133"/>
      <c r="AL4311" s="146"/>
      <c r="AM4311" s="143">
        <f>AM4303/((N_6*AM$27*AM4310)*SQRT(AM4309*AM4305*AM4307))</f>
        <v>12.982531340662943</v>
      </c>
      <c r="AN4311" s="133"/>
      <c r="AO4311" s="146"/>
      <c r="AP4311" s="143">
        <f>AP4303/((N_6*AP$27*AP4310)*SQRT(AP4309*AP4305*AP4307))</f>
        <v>9.5941790823655531</v>
      </c>
      <c r="AQ4311" s="133"/>
      <c r="AR4311" s="146"/>
      <c r="AS4311" s="143">
        <f>AS4303/((N_6*AS$27*AS4310)*SQRT(AS4309*AS4305*AS4307))</f>
        <v>34.017519257663793</v>
      </c>
      <c r="AT4311" s="133"/>
      <c r="AU4311" s="146"/>
    </row>
    <row r="4312" spans="13:47" x14ac:dyDescent="0.25">
      <c r="M4312" s="27"/>
      <c r="N4312" s="27"/>
      <c r="O4312" s="2" t="s">
        <v>73</v>
      </c>
      <c r="P4312" s="85">
        <v>5</v>
      </c>
      <c r="Q4312" s="2"/>
      <c r="R4312" s="179">
        <f>R4303/((N_6*R$27*0.667)*SQRT(R4313*R4305*R4307))</f>
        <v>22.442465748165922</v>
      </c>
      <c r="S4312" s="133"/>
      <c r="T4312" s="155"/>
      <c r="U4312" s="143">
        <f>U4303/((N_6*U$27*0.667)*SQRT(U4313*U4305*U4307))</f>
        <v>65.104762751029142</v>
      </c>
      <c r="V4312" s="133"/>
      <c r="W4312" s="155"/>
      <c r="X4312" s="143">
        <f>X4303/((N_6*X$27*0.667)*SQRT(X4313*X4305*X4307))</f>
        <v>80.93178840651268</v>
      </c>
      <c r="Y4312" s="133"/>
      <c r="Z4312" s="155"/>
      <c r="AA4312" s="143">
        <f>AA4303/((N_6*AA$27*0.667)*SQRT(AA4313*AA4305*AA4307))</f>
        <v>26.593760310934087</v>
      </c>
      <c r="AB4312" s="133"/>
      <c r="AC4312" s="155"/>
      <c r="AD4312" s="143">
        <f>AD4303/((N_6*AD$27*0.667)*SQRT(AD4313*AD4305*AD4307))</f>
        <v>15.31421334066107</v>
      </c>
      <c r="AE4312" s="133"/>
      <c r="AF4312" s="155"/>
      <c r="AG4312" s="143">
        <f>AG4303/((N_6*AG$27*0.667)*SQRT(AG4313*AG4305*AG4307))</f>
        <v>11.219890015733339</v>
      </c>
      <c r="AH4312" s="133"/>
      <c r="AI4312" s="155"/>
      <c r="AJ4312" s="143">
        <f>AJ4303/((N_6*AJ$27*0.667)*SQRT(AJ4313*AJ4305*AJ4307))</f>
        <v>9.3703234001648124</v>
      </c>
      <c r="AK4312" s="133"/>
      <c r="AL4312" s="155"/>
      <c r="AM4312" s="143">
        <f>AM4303/((N_6*AM$27*0.667)*SQRT(AM4313*AM4305*AM4307))</f>
        <v>8.832874207508965</v>
      </c>
      <c r="AN4312" s="133"/>
      <c r="AO4312" s="155"/>
      <c r="AP4312" s="143">
        <f>AP4303/((N_6*AP$27*0.667)*SQRT(AP4313*AP4305*AP4307))</f>
        <v>8.1595088449021187</v>
      </c>
      <c r="AQ4312" s="133"/>
      <c r="AR4312" s="155"/>
      <c r="AS4312" s="143">
        <f>AS4303/((N_6*AS$27*0.667)*SQRT(AS4313*AS4305*AS4307))</f>
        <v>11.821781348759894</v>
      </c>
      <c r="AT4312" s="133"/>
      <c r="AU4312" s="155"/>
    </row>
    <row r="4313" spans="13:47" ht="15.5" x14ac:dyDescent="0.4">
      <c r="M4313" s="27"/>
      <c r="N4313" s="27"/>
      <c r="O4313" s="2" t="s">
        <v>192</v>
      </c>
      <c r="P4313" s="85">
        <v>10</v>
      </c>
      <c r="Q4313" s="2"/>
      <c r="R4313" s="181">
        <f>F_GAMMA*R$29</f>
        <v>0.64002688015162901</v>
      </c>
      <c r="S4313" s="133"/>
      <c r="T4313" s="155"/>
      <c r="U4313" s="138">
        <f>F_GAMMA*U$29</f>
        <v>0.64016782916606918</v>
      </c>
      <c r="V4313" s="133"/>
      <c r="W4313" s="155"/>
      <c r="X4313" s="138">
        <f>F_GAMMA*X$29</f>
        <v>0.6307062319203669</v>
      </c>
      <c r="Y4313" s="133"/>
      <c r="Z4313" s="155"/>
      <c r="AA4313" s="138">
        <f>F_GAMMA*AA$29</f>
        <v>0.62217534213893466</v>
      </c>
      <c r="AB4313" s="133"/>
      <c r="AC4313" s="155"/>
      <c r="AD4313" s="138">
        <f>F_GAMMA*AD$29</f>
        <v>0.60557184969146072</v>
      </c>
      <c r="AE4313" s="133"/>
      <c r="AF4313" s="155"/>
      <c r="AG4313" s="138">
        <f>F_GAMMA*AG$29</f>
        <v>0.57289312142622573</v>
      </c>
      <c r="AH4313" s="133"/>
      <c r="AI4313" s="155"/>
      <c r="AJ4313" s="138">
        <f>F_GAMMA*AJ$29</f>
        <v>0.53590819116049981</v>
      </c>
      <c r="AK4313" s="133"/>
      <c r="AL4313" s="155"/>
      <c r="AM4313" s="138">
        <f>F_GAMMA*AM$29</f>
        <v>0.49048815926850342</v>
      </c>
      <c r="AN4313" s="133"/>
      <c r="AO4313" s="155"/>
      <c r="AP4313" s="138">
        <f>F_GAMMA*AP$29</f>
        <v>0.59352979016280105</v>
      </c>
      <c r="AQ4313" s="133"/>
      <c r="AR4313" s="155"/>
      <c r="AS4313" s="138">
        <f>F_GAMMA*AS$29</f>
        <v>0.39097221161068291</v>
      </c>
      <c r="AT4313" s="133"/>
      <c r="AU4313" s="155"/>
    </row>
    <row r="4314" spans="13:47" x14ac:dyDescent="0.25">
      <c r="M4314" s="27"/>
      <c r="N4314" s="27"/>
      <c r="O4314" s="2" t="s">
        <v>193</v>
      </c>
      <c r="P4314" s="134"/>
      <c r="Q4314" s="2"/>
      <c r="R4314" s="181">
        <f>IF(R4309&lt;R4313,R4311,R4312)</f>
        <v>23.292723999969173</v>
      </c>
      <c r="S4314" s="133"/>
      <c r="T4314" s="155"/>
      <c r="U4314" s="138">
        <f>IF(U4309&lt;U4313,U4311,U4312)</f>
        <v>85.112963345115688</v>
      </c>
      <c r="V4314" s="133"/>
      <c r="W4314" s="155"/>
      <c r="X4314" s="138">
        <f>IF(X4309&lt;X4313,X4311,X4312)</f>
        <v>80.93178840651268</v>
      </c>
      <c r="Y4314" s="133"/>
      <c r="Z4314" s="155"/>
      <c r="AA4314" s="138">
        <f>IF(AA4309&lt;AA4313,AA4311,AA4312)</f>
        <v>26.593760310934087</v>
      </c>
      <c r="AB4314" s="133"/>
      <c r="AC4314" s="155"/>
      <c r="AD4314" s="138">
        <f>IF(AD4309&lt;AD4313,AD4311,AD4312)</f>
        <v>15.31421334066107</v>
      </c>
      <c r="AE4314" s="133"/>
      <c r="AF4314" s="155"/>
      <c r="AG4314" s="138">
        <f>IF(AG4309&lt;AG4313,AG4311,AG4312)</f>
        <v>11.219890015733339</v>
      </c>
      <c r="AH4314" s="133"/>
      <c r="AI4314" s="155"/>
      <c r="AJ4314" s="138">
        <f>IF(AJ4309&lt;AJ4313,AJ4311,AJ4312)</f>
        <v>9.3703234001648124</v>
      </c>
      <c r="AK4314" s="133"/>
      <c r="AL4314" s="155"/>
      <c r="AM4314" s="138">
        <f>IF(AM4309&lt;AM4313,AM4311,AM4312)</f>
        <v>8.832874207508965</v>
      </c>
      <c r="AN4314" s="133"/>
      <c r="AO4314" s="155"/>
      <c r="AP4314" s="138">
        <f>IF(AP4309&lt;AP4313,AP4311,AP4312)</f>
        <v>8.1595088449021187</v>
      </c>
      <c r="AQ4314" s="133"/>
      <c r="AR4314" s="155"/>
      <c r="AS4314" s="138">
        <f>IF(AS4309&lt;AS4313,AS4311,AS4312)</f>
        <v>11.821781348759894</v>
      </c>
      <c r="AT4314" s="133"/>
      <c r="AU4314" s="155"/>
    </row>
    <row r="4315" spans="13:47" ht="13" x14ac:dyDescent="0.3">
      <c r="M4315" s="28"/>
      <c r="N4315" s="28"/>
      <c r="O4315" s="9" t="s">
        <v>194</v>
      </c>
      <c r="P4315" s="1"/>
      <c r="Q4315" s="1"/>
      <c r="R4315" s="135"/>
      <c r="S4315" s="132">
        <f>IF(R4308&lt;=0,W_max,ABS(R$23-R4314))</f>
        <v>21.292723999969173</v>
      </c>
      <c r="T4315" s="151">
        <f>R4303</f>
        <v>4806.8201611935392</v>
      </c>
      <c r="U4315" s="135"/>
      <c r="V4315" s="132">
        <f>IF(U4308&lt;=0,W_max,ABS(U$23-U4314))</f>
        <v>80.112963345115688</v>
      </c>
      <c r="W4315" s="151">
        <f>U4303</f>
        <v>9661.7681098336398</v>
      </c>
      <c r="X4315" s="135"/>
      <c r="Y4315" s="132">
        <f>IF(X4308&lt;=0,W_max,ABS(X$23-X4314))</f>
        <v>7174</v>
      </c>
      <c r="Z4315" s="151">
        <f>X4303</f>
        <v>23894.7022995015</v>
      </c>
      <c r="AA4315" s="135"/>
      <c r="AB4315" s="132">
        <f>IF(AA4308&lt;=0,W_max,ABS(AA$23-AA4314))</f>
        <v>7174</v>
      </c>
      <c r="AC4315" s="151">
        <f>AA4303</f>
        <v>46540.781066263713</v>
      </c>
      <c r="AD4315" s="135"/>
      <c r="AE4315" s="132">
        <f>IF(AD4308&lt;=0,W_max,ABS(AD$23-AD4314))</f>
        <v>7174</v>
      </c>
      <c r="AF4315" s="151">
        <f>AD4303</f>
        <v>76542.449555046536</v>
      </c>
      <c r="AG4315" s="135"/>
      <c r="AH4315" s="132">
        <f>IF(AG4308&lt;=0,W_max,ABS(AG$23-AG4314))</f>
        <v>7174</v>
      </c>
      <c r="AI4315" s="151">
        <f>AG4303</f>
        <v>107356.67821095367</v>
      </c>
      <c r="AJ4315" s="135"/>
      <c r="AK4315" s="132">
        <f>IF(AJ4308&lt;=0,W_max,ABS(AJ$23-AJ4314))</f>
        <v>7174</v>
      </c>
      <c r="AL4315" s="151">
        <f>AJ4303</f>
        <v>136314.49407573912</v>
      </c>
      <c r="AM4315" s="135"/>
      <c r="AN4315" s="132">
        <f>IF(AM4308&lt;=0,W_max,ABS(AM$23-AM4314))</f>
        <v>7174</v>
      </c>
      <c r="AO4315" s="151">
        <f>AM4303</f>
        <v>159839.46474678977</v>
      </c>
      <c r="AP4315" s="135"/>
      <c r="AQ4315" s="132">
        <f>IF(AP4308&lt;=0,W_max,ABS(AP$23-AP4314))</f>
        <v>7174</v>
      </c>
      <c r="AR4315" s="151">
        <f>AP4303</f>
        <v>178327.83136592014</v>
      </c>
      <c r="AS4315" s="135"/>
      <c r="AT4315" s="132">
        <f>IF(AS4308&lt;=0,W_max,ABS(AS$23-AS4314))</f>
        <v>7174</v>
      </c>
      <c r="AU4315" s="151">
        <f>AS4303</f>
        <v>198954.7167844275</v>
      </c>
    </row>
    <row r="4316" spans="13:47" ht="13" x14ac:dyDescent="0.25">
      <c r="M4316" s="12"/>
      <c r="N4316" s="12"/>
      <c r="O4316" s="2"/>
      <c r="P4316" s="85"/>
      <c r="Q4316" s="2"/>
      <c r="R4316" s="18"/>
      <c r="S4316" s="150"/>
      <c r="T4316" s="148"/>
      <c r="U4316" s="157"/>
      <c r="V4316" s="1"/>
      <c r="W4316" s="147"/>
      <c r="X4316" s="157"/>
      <c r="Y4316" s="1"/>
      <c r="Z4316" s="147"/>
      <c r="AA4316" s="157"/>
      <c r="AB4316" s="1"/>
      <c r="AC4316" s="147"/>
      <c r="AD4316" s="157"/>
      <c r="AE4316" s="1"/>
      <c r="AF4316" s="147"/>
      <c r="AG4316" s="157"/>
      <c r="AH4316" s="1"/>
      <c r="AI4316" s="147"/>
      <c r="AJ4316" s="157"/>
      <c r="AK4316" s="1"/>
      <c r="AL4316" s="147"/>
      <c r="AM4316" s="157"/>
      <c r="AN4316" s="1"/>
      <c r="AO4316" s="147"/>
      <c r="AP4316" s="157"/>
      <c r="AQ4316" s="1"/>
      <c r="AR4316" s="147"/>
      <c r="AS4316" s="157"/>
      <c r="AT4316" s="1"/>
      <c r="AU4316" s="147"/>
    </row>
    <row r="4317" spans="13:47" ht="14" x14ac:dyDescent="0.3">
      <c r="M4317" s="23"/>
      <c r="N4317" s="23"/>
      <c r="O4317" s="23" t="s">
        <v>238</v>
      </c>
      <c r="P4317" s="20"/>
      <c r="Q4317" s="20"/>
      <c r="R4317" s="181">
        <f>R4303*1.02</f>
        <v>4902.9565644174099</v>
      </c>
      <c r="S4317" s="128" t="s">
        <v>185</v>
      </c>
      <c r="T4317" s="149" t="s">
        <v>186</v>
      </c>
      <c r="U4317" s="143">
        <f>U4303*1.01</f>
        <v>9758.3857909319759</v>
      </c>
      <c r="V4317" s="128" t="s">
        <v>185</v>
      </c>
      <c r="W4317" s="153" t="s">
        <v>186</v>
      </c>
      <c r="X4317" s="143">
        <f>X4303*1.01</f>
        <v>24133.649322496516</v>
      </c>
      <c r="Y4317" s="128" t="s">
        <v>185</v>
      </c>
      <c r="Z4317" s="153" t="s">
        <v>186</v>
      </c>
      <c r="AA4317" s="143">
        <f>AA4303*1.01</f>
        <v>47006.188876926353</v>
      </c>
      <c r="AB4317" s="128" t="s">
        <v>185</v>
      </c>
      <c r="AC4317" s="153" t="s">
        <v>186</v>
      </c>
      <c r="AD4317" s="143">
        <f>AD4303*1.01</f>
        <v>77307.874050597005</v>
      </c>
      <c r="AE4317" s="128" t="s">
        <v>185</v>
      </c>
      <c r="AF4317" s="153" t="s">
        <v>186</v>
      </c>
      <c r="AG4317" s="143">
        <f>AG4303*1.01</f>
        <v>108430.24499306321</v>
      </c>
      <c r="AH4317" s="128" t="s">
        <v>185</v>
      </c>
      <c r="AI4317" s="153" t="s">
        <v>186</v>
      </c>
      <c r="AJ4317" s="143">
        <f>AJ4303*1.01</f>
        <v>137677.63901649651</v>
      </c>
      <c r="AK4317" s="128" t="s">
        <v>185</v>
      </c>
      <c r="AL4317" s="153" t="s">
        <v>186</v>
      </c>
      <c r="AM4317" s="143">
        <f>AM4303*1.01</f>
        <v>161437.85939425768</v>
      </c>
      <c r="AN4317" s="128" t="s">
        <v>185</v>
      </c>
      <c r="AO4317" s="153" t="s">
        <v>186</v>
      </c>
      <c r="AP4317" s="143">
        <f>AP4303*1.01</f>
        <v>180111.10967957933</v>
      </c>
      <c r="AQ4317" s="128" t="s">
        <v>185</v>
      </c>
      <c r="AR4317" s="153" t="s">
        <v>186</v>
      </c>
      <c r="AS4317" s="143">
        <f>AS4303*1.01</f>
        <v>200944.26395227178</v>
      </c>
      <c r="AT4317" s="128" t="s">
        <v>185</v>
      </c>
      <c r="AU4317" s="153" t="s">
        <v>186</v>
      </c>
    </row>
    <row r="4318" spans="13:47" ht="14" x14ac:dyDescent="0.3">
      <c r="M4318" s="12"/>
      <c r="N4318" s="12"/>
      <c r="O4318" s="20"/>
      <c r="P4318" s="20"/>
      <c r="Q4318" s="23"/>
      <c r="R4318" s="139"/>
      <c r="S4318" s="130" t="s">
        <v>228</v>
      </c>
      <c r="T4318" s="131" t="s">
        <v>187</v>
      </c>
      <c r="U4318" s="144"/>
      <c r="V4318" s="130" t="s">
        <v>228</v>
      </c>
      <c r="W4318" s="154" t="s">
        <v>187</v>
      </c>
      <c r="X4318" s="144"/>
      <c r="Y4318" s="130" t="s">
        <v>228</v>
      </c>
      <c r="Z4318" s="154" t="s">
        <v>187</v>
      </c>
      <c r="AA4318" s="144"/>
      <c r="AB4318" s="130" t="s">
        <v>228</v>
      </c>
      <c r="AC4318" s="154" t="s">
        <v>187</v>
      </c>
      <c r="AD4318" s="144"/>
      <c r="AE4318" s="130" t="s">
        <v>228</v>
      </c>
      <c r="AF4318" s="154" t="s">
        <v>187</v>
      </c>
      <c r="AG4318" s="144"/>
      <c r="AH4318" s="130" t="s">
        <v>228</v>
      </c>
      <c r="AI4318" s="154" t="s">
        <v>187</v>
      </c>
      <c r="AJ4318" s="144"/>
      <c r="AK4318" s="130" t="s">
        <v>228</v>
      </c>
      <c r="AL4318" s="154" t="s">
        <v>187</v>
      </c>
      <c r="AM4318" s="144"/>
      <c r="AN4318" s="130" t="s">
        <v>228</v>
      </c>
      <c r="AO4318" s="154" t="s">
        <v>187</v>
      </c>
      <c r="AP4318" s="144"/>
      <c r="AQ4318" s="130" t="s">
        <v>228</v>
      </c>
      <c r="AR4318" s="154" t="s">
        <v>187</v>
      </c>
      <c r="AS4318" s="144"/>
      <c r="AT4318" s="130" t="s">
        <v>228</v>
      </c>
      <c r="AU4318" s="154" t="s">
        <v>187</v>
      </c>
    </row>
    <row r="4319" spans="13:47" x14ac:dyDescent="0.25">
      <c r="M4319" s="20"/>
      <c r="N4319" s="20"/>
      <c r="O4319" s="7" t="s">
        <v>188</v>
      </c>
      <c r="P4319" s="7"/>
      <c r="Q4319" s="7"/>
      <c r="R4319" s="181">
        <f>P_1_minW-(R4317^2*R_up)+dpup_minQ</f>
        <v>90.936957698581239</v>
      </c>
      <c r="S4319" s="132"/>
      <c r="T4319" s="145"/>
      <c r="U4319" s="138">
        <f>P_1_minW-(U4317^2*R_up)+dpup_minQ</f>
        <v>62.55025490963525</v>
      </c>
      <c r="V4319" s="132"/>
      <c r="W4319" s="145"/>
      <c r="X4319" s="138">
        <f>P_1_minW-(X4317^2*R_up)+dpup_minQ</f>
        <v>-131.72927780632045</v>
      </c>
      <c r="Y4319" s="132"/>
      <c r="Z4319" s="145"/>
      <c r="AA4319" s="138">
        <f>P_1_minW-(AA4317^2*R_up)+dpup_minQ</f>
        <v>-780.5741068799656</v>
      </c>
      <c r="AB4319" s="132"/>
      <c r="AC4319" s="145"/>
      <c r="AD4319" s="138">
        <f>P_1_minW-(AD4317^2*R_up)+dpup_minQ</f>
        <v>-2282.68027617805</v>
      </c>
      <c r="AE4319" s="132"/>
      <c r="AF4319" s="145"/>
      <c r="AG4319" s="138">
        <f>P_1_minW-(AG4317^2*R_up)+dpup_minQ</f>
        <v>-4587.7671908194461</v>
      </c>
      <c r="AH4319" s="132"/>
      <c r="AI4319" s="145"/>
      <c r="AJ4319" s="138">
        <f>P_1_minW-(AJ4317^2*R_up)+dpup_minQ</f>
        <v>-7458.0605748166727</v>
      </c>
      <c r="AK4319" s="132"/>
      <c r="AL4319" s="145"/>
      <c r="AM4319" s="138">
        <f>P_1_minW-(AM4317^2*R_up)+dpup_minQ</f>
        <v>-10292.080949131374</v>
      </c>
      <c r="AN4319" s="132"/>
      <c r="AO4319" s="145"/>
      <c r="AP4319" s="138">
        <f>P_1_minW-(AP4317^2*R_up)+dpup_minQ</f>
        <v>-12835.315907404971</v>
      </c>
      <c r="AQ4319" s="132"/>
      <c r="AR4319" s="145"/>
      <c r="AS4319" s="138">
        <f>P_1_minW-(AS4317^2*R_up)+dpup_minQ</f>
        <v>-16000.920795041091</v>
      </c>
      <c r="AT4319" s="132"/>
      <c r="AU4319" s="145"/>
    </row>
    <row r="4320" spans="13:47" x14ac:dyDescent="0.25">
      <c r="M4320" s="20"/>
      <c r="N4320" s="20"/>
      <c r="O4320" s="7" t="s">
        <v>189</v>
      </c>
      <c r="P4320" s="1"/>
      <c r="Q4320" s="7"/>
      <c r="R4320" s="181">
        <f>P_2_minW+(R4317^2*R_dn)-dpdn_minQ</f>
        <v>50</v>
      </c>
      <c r="S4320" s="132"/>
      <c r="T4320" s="146"/>
      <c r="U4320" s="138">
        <f>P_2_minW+(U4317^2*R_dn)-dpdn_minQ</f>
        <v>50</v>
      </c>
      <c r="V4320" s="132"/>
      <c r="W4320" s="146"/>
      <c r="X4320" s="138">
        <f>P_2_minW+(X4317^2*R_dn)-dpdn_minQ</f>
        <v>50</v>
      </c>
      <c r="Y4320" s="132"/>
      <c r="Z4320" s="146"/>
      <c r="AA4320" s="138">
        <f>P_2_minW+(AA4317^2*R_dn)-dpdn_minQ</f>
        <v>50</v>
      </c>
      <c r="AB4320" s="132"/>
      <c r="AC4320" s="146"/>
      <c r="AD4320" s="138">
        <f>P_2_minW+(AD4317^2*R_dn)-dpdn_minQ</f>
        <v>50</v>
      </c>
      <c r="AE4320" s="132"/>
      <c r="AF4320" s="146"/>
      <c r="AG4320" s="138">
        <f>P_2_minW+(AG4317^2*R_dn)-dpdn_minQ</f>
        <v>50</v>
      </c>
      <c r="AH4320" s="132"/>
      <c r="AI4320" s="146"/>
      <c r="AJ4320" s="138">
        <f>P_2_minW+(AJ4317^2*R_dn)-dpdn_minQ</f>
        <v>50</v>
      </c>
      <c r="AK4320" s="132"/>
      <c r="AL4320" s="146"/>
      <c r="AM4320" s="138">
        <f>P_2_minW+(AM4317^2*R_dn)-dpdn_minQ</f>
        <v>50</v>
      </c>
      <c r="AN4320" s="132"/>
      <c r="AO4320" s="146"/>
      <c r="AP4320" s="138">
        <f>P_2_minW+(AP4317^2*R_dn)-dpdn_minQ</f>
        <v>50</v>
      </c>
      <c r="AQ4320" s="132"/>
      <c r="AR4320" s="146"/>
      <c r="AS4320" s="138">
        <f>P_2_minW+(AS4317^2*R_dn)-dpdn_minQ</f>
        <v>50</v>
      </c>
      <c r="AT4320" s="132"/>
      <c r="AU4320" s="146"/>
    </row>
    <row r="4321" spans="13:47" x14ac:dyDescent="0.25">
      <c r="M4321" s="20"/>
      <c r="N4321" s="20"/>
      <c r="O4321" s="7" t="s">
        <v>234</v>
      </c>
      <c r="P4321" s="1"/>
      <c r="Q4321" s="7"/>
      <c r="R4321" s="179">
        <f>'Valve Sizing'!G$8*R4319/P_1_maxW</f>
        <v>0.43866369361054608</v>
      </c>
      <c r="S4321" s="132"/>
      <c r="T4321" s="146"/>
      <c r="U4321" s="143">
        <f>'Valve Sizing'!$G$8*U4319/P_1_maxW</f>
        <v>0.30173129329759707</v>
      </c>
      <c r="V4321" s="132"/>
      <c r="W4321" s="146"/>
      <c r="X4321" s="143">
        <f>'Valve Sizing'!$G$8*X4319/P_1_maxW</f>
        <v>-0.63543858318532465</v>
      </c>
      <c r="Y4321" s="132"/>
      <c r="Z4321" s="146"/>
      <c r="AA4321" s="143">
        <f>'Valve Sizing'!$G$8*AA4319/P_1_maxW</f>
        <v>-3.7653505189349543</v>
      </c>
      <c r="AB4321" s="132"/>
      <c r="AC4321" s="146"/>
      <c r="AD4321" s="143">
        <f>'Valve Sizing'!$G$8*AD4319/P_1_maxW</f>
        <v>-11.011243246109027</v>
      </c>
      <c r="AE4321" s="132"/>
      <c r="AF4321" s="146"/>
      <c r="AG4321" s="143">
        <f>'Valve Sizing'!$G$8*AG4319/P_1_maxW</f>
        <v>-22.130572126909136</v>
      </c>
      <c r="AH4321" s="132"/>
      <c r="AI4321" s="146"/>
      <c r="AJ4321" s="143">
        <f>'Valve Sizing'!$G$8*AJ4319/P_1_maxW</f>
        <v>-35.976356387072272</v>
      </c>
      <c r="AK4321" s="132"/>
      <c r="AL4321" s="146"/>
      <c r="AM4321" s="143">
        <f>'Valve Sizing'!$G$8*AM4319/P_1_maxW</f>
        <v>-49.647166106538229</v>
      </c>
      <c r="AN4321" s="132"/>
      <c r="AO4321" s="146"/>
      <c r="AP4321" s="143">
        <f>'Valve Sizing'!$G$8*AP4319/P_1_maxW</f>
        <v>-61.915278750174267</v>
      </c>
      <c r="AQ4321" s="132"/>
      <c r="AR4321" s="146"/>
      <c r="AS4321" s="143">
        <f>'Valve Sizing'!$G$8*AS4319/P_1_maxW</f>
        <v>-77.185593126918832</v>
      </c>
      <c r="AT4321" s="132"/>
      <c r="AU4321" s="146"/>
    </row>
    <row r="4322" spans="13:47" x14ac:dyDescent="0.25">
      <c r="M4322" s="20"/>
      <c r="N4322" s="20"/>
      <c r="O4322" s="7" t="s">
        <v>190</v>
      </c>
      <c r="P4322" s="1"/>
      <c r="Q4322" s="7"/>
      <c r="R4322" s="181">
        <f>R4319-R4320</f>
        <v>40.936957698581239</v>
      </c>
      <c r="S4322" s="132"/>
      <c r="T4322" s="146"/>
      <c r="U4322" s="138">
        <f>U4319-U4320</f>
        <v>12.55025490963525</v>
      </c>
      <c r="V4322" s="132"/>
      <c r="W4322" s="146"/>
      <c r="X4322" s="138">
        <f>X4319-X4320</f>
        <v>-181.72927780632045</v>
      </c>
      <c r="Y4322" s="132"/>
      <c r="Z4322" s="146"/>
      <c r="AA4322" s="138">
        <f>AA4319-AA4320</f>
        <v>-830.5741068799656</v>
      </c>
      <c r="AB4322" s="132"/>
      <c r="AC4322" s="146"/>
      <c r="AD4322" s="138">
        <f>AD4319-AD4320</f>
        <v>-2332.68027617805</v>
      </c>
      <c r="AE4322" s="132"/>
      <c r="AF4322" s="146"/>
      <c r="AG4322" s="138">
        <f>AG4319-AG4320</f>
        <v>-4637.7671908194461</v>
      </c>
      <c r="AH4322" s="132"/>
      <c r="AI4322" s="146"/>
      <c r="AJ4322" s="138">
        <f>AJ4319-AJ4320</f>
        <v>-7508.0605748166727</v>
      </c>
      <c r="AK4322" s="132"/>
      <c r="AL4322" s="146"/>
      <c r="AM4322" s="138">
        <f>AM4319-AM4320</f>
        <v>-10342.080949131374</v>
      </c>
      <c r="AN4322" s="132"/>
      <c r="AO4322" s="146"/>
      <c r="AP4322" s="138">
        <f>AP4319-AP4320</f>
        <v>-12885.315907404971</v>
      </c>
      <c r="AQ4322" s="132"/>
      <c r="AR4322" s="146"/>
      <c r="AS4322" s="138">
        <f>AS4319-AS4320</f>
        <v>-16050.920795041091</v>
      </c>
      <c r="AT4322" s="132"/>
      <c r="AU4322" s="146"/>
    </row>
    <row r="4323" spans="13:47" ht="14.5" x14ac:dyDescent="0.35">
      <c r="M4323" s="27"/>
      <c r="N4323" s="27"/>
      <c r="O4323" s="2" t="s">
        <v>191</v>
      </c>
      <c r="P4323" s="10"/>
      <c r="Q4323" s="2"/>
      <c r="R4323" s="181">
        <f>R4322/R4319</f>
        <v>0.45016854241232135</v>
      </c>
      <c r="S4323" s="132"/>
      <c r="T4323" s="146"/>
      <c r="U4323" s="138">
        <f>U4322/U4319</f>
        <v>0.20064274602503668</v>
      </c>
      <c r="V4323" s="132"/>
      <c r="W4323" s="146"/>
      <c r="X4323" s="138">
        <f>X4322/X4319</f>
        <v>1.3795663411554888</v>
      </c>
      <c r="Y4323" s="132"/>
      <c r="Z4323" s="146"/>
      <c r="AA4323" s="138">
        <f>AA4322/AA4319</f>
        <v>1.0640554171081271</v>
      </c>
      <c r="AB4323" s="132"/>
      <c r="AC4323" s="146"/>
      <c r="AD4323" s="138">
        <f>AD4322/AD4319</f>
        <v>1.0219040750129564</v>
      </c>
      <c r="AE4323" s="132"/>
      <c r="AF4323" s="146"/>
      <c r="AG4323" s="138">
        <f>AG4322/AG4319</f>
        <v>1.0108985477946777</v>
      </c>
      <c r="AH4323" s="132"/>
      <c r="AI4323" s="146"/>
      <c r="AJ4323" s="138">
        <f>AJ4322/AJ4319</f>
        <v>1.0067041557920344</v>
      </c>
      <c r="AK4323" s="132"/>
      <c r="AL4323" s="146"/>
      <c r="AM4323" s="138">
        <f>AM4322/AM4319</f>
        <v>1.0048581040362123</v>
      </c>
      <c r="AN4323" s="132"/>
      <c r="AO4323" s="146"/>
      <c r="AP4323" s="138">
        <f>AP4322/AP4319</f>
        <v>1.0038955020944327</v>
      </c>
      <c r="AQ4323" s="132"/>
      <c r="AR4323" s="146"/>
      <c r="AS4323" s="138">
        <f>AS4322/AS4319</f>
        <v>1.0031248201675678</v>
      </c>
      <c r="AT4323" s="132"/>
      <c r="AU4323" s="146"/>
    </row>
    <row r="4324" spans="13:47" x14ac:dyDescent="0.25">
      <c r="M4324" s="27"/>
      <c r="N4324" s="27"/>
      <c r="O4324" s="2" t="s">
        <v>26</v>
      </c>
      <c r="P4324" s="7">
        <v>12</v>
      </c>
      <c r="Q4324" s="2"/>
      <c r="R4324" s="181">
        <f>1-R4323/(3*F_GAMMA*R$29)</f>
        <v>0.76554706457241728</v>
      </c>
      <c r="S4324" s="133"/>
      <c r="T4324" s="146"/>
      <c r="U4324" s="138">
        <f>1-U4323/(3*F_GAMMA*U$29)</f>
        <v>0.8955259663254197</v>
      </c>
      <c r="V4324" s="133"/>
      <c r="W4324" s="146"/>
      <c r="X4324" s="138">
        <f>1-X4323/(3*F_GAMMA*X$29)</f>
        <v>0.27088805567741547</v>
      </c>
      <c r="Y4324" s="133"/>
      <c r="Z4324" s="146"/>
      <c r="AA4324" s="138">
        <f>1-AA4323/(3*F_GAMMA*AA$29)</f>
        <v>0.42992736128581654</v>
      </c>
      <c r="AB4324" s="133"/>
      <c r="AC4324" s="146"/>
      <c r="AD4324" s="138">
        <f>1-AD4323/(3*F_GAMMA*AD$29)</f>
        <v>0.43749913103698745</v>
      </c>
      <c r="AE4324" s="133"/>
      <c r="AF4324" s="146"/>
      <c r="AG4324" s="138">
        <f>1-AG4323/(3*F_GAMMA*AG$29)</f>
        <v>0.41181667226280583</v>
      </c>
      <c r="AH4324" s="133"/>
      <c r="AI4324" s="146"/>
      <c r="AJ4324" s="138">
        <f>1-AJ4323/(3*F_GAMMA*AJ$29)</f>
        <v>0.37383294850558002</v>
      </c>
      <c r="AK4324" s="133"/>
      <c r="AL4324" s="146"/>
      <c r="AM4324" s="138">
        <f>1-AM4323/(3*F_GAMMA*AM$29)</f>
        <v>0.31710338972312679</v>
      </c>
      <c r="AN4324" s="133"/>
      <c r="AO4324" s="146"/>
      <c r="AP4324" s="138">
        <f>1-AP4323/(3*F_GAMMA*AP$29)</f>
        <v>0.43620044085792153</v>
      </c>
      <c r="AQ4324" s="133"/>
      <c r="AR4324" s="146"/>
      <c r="AS4324" s="138">
        <f>1-AS4323/(3*F_GAMMA*AS$29)</f>
        <v>0.14476034325218146</v>
      </c>
      <c r="AT4324" s="133"/>
      <c r="AU4324" s="146"/>
    </row>
    <row r="4325" spans="13:47" x14ac:dyDescent="0.25">
      <c r="M4325" s="27"/>
      <c r="N4325" s="27"/>
      <c r="O4325" s="2" t="s">
        <v>71</v>
      </c>
      <c r="P4325" s="85">
        <v>5</v>
      </c>
      <c r="Q4325" s="2"/>
      <c r="R4325" s="179">
        <f>R4317/((N_6*R$27*R4324)*SQRT(R4323*R4319*R4321))</f>
        <v>23.878677616702642</v>
      </c>
      <c r="S4325" s="133"/>
      <c r="T4325" s="146"/>
      <c r="U4325" s="143">
        <f>U4317/((N_6*U$27*U4324)*SQRT(U4323*U4319*U4321))</f>
        <v>88.528083565475654</v>
      </c>
      <c r="V4325" s="133"/>
      <c r="W4325" s="146"/>
      <c r="X4325" s="143">
        <f>X4317/((N_6*X$27*X4324)*SQRT(X4323*X4319*X4321))</f>
        <v>131.35996897282823</v>
      </c>
      <c r="Y4325" s="133"/>
      <c r="Z4325" s="146"/>
      <c r="AA4325" s="143">
        <f>AA4317/((N_6*AA$27*AA4324)*SQRT(AA4323*AA4319*AA4321))</f>
        <v>31.155718767019177</v>
      </c>
      <c r="AB4325" s="133"/>
      <c r="AC4325" s="146"/>
      <c r="AD4325" s="143">
        <f>AD4317/((N_6*AD$27*AD4324)*SQRT(AD4323*AD4319*AD4321))</f>
        <v>17.779320027812336</v>
      </c>
      <c r="AE4325" s="133"/>
      <c r="AF4325" s="146"/>
      <c r="AG4325" s="143">
        <f>AG4317/((N_6*AG$27*AG4324)*SQRT(AG4323*AG4319*AG4321))</f>
        <v>13.538820859776497</v>
      </c>
      <c r="AH4325" s="133"/>
      <c r="AI4325" s="146"/>
      <c r="AJ4325" s="143">
        <f>AJ4317/((N_6*AJ$27*AJ4324)*SQRT(AJ4323*AJ4319*AJ4321))</f>
        <v>12.074191445264455</v>
      </c>
      <c r="AK4325" s="133"/>
      <c r="AL4325" s="146"/>
      <c r="AM4325" s="143">
        <f>AM4317/((N_6*AM$27*AM4324)*SQRT(AM4323*AM4319*AM4321))</f>
        <v>12.849382211799709</v>
      </c>
      <c r="AN4325" s="133"/>
      <c r="AO4325" s="146"/>
      <c r="AP4325" s="143">
        <f>AP4317/((N_6*AP$27*AP4324)*SQRT(AP4323*AP4319*AP4321))</f>
        <v>9.4971000464533653</v>
      </c>
      <c r="AQ4325" s="133"/>
      <c r="AR4325" s="146"/>
      <c r="AS4325" s="143">
        <f>AS4317/((N_6*AS$27*AS4324)*SQRT(AS4323*AS4319*AS4321))</f>
        <v>33.664982422300596</v>
      </c>
      <c r="AT4325" s="133"/>
      <c r="AU4325" s="146"/>
    </row>
    <row r="4326" spans="13:47" x14ac:dyDescent="0.25">
      <c r="M4326" s="27"/>
      <c r="N4326" s="27"/>
      <c r="O4326" s="2" t="s">
        <v>73</v>
      </c>
      <c r="P4326" s="85">
        <v>5</v>
      </c>
      <c r="Q4326" s="2"/>
      <c r="R4326" s="179">
        <f>R4317/((N_6*R$27*0.667)*SQRT(R4327*R4319*R4321))</f>
        <v>22.985015372060264</v>
      </c>
      <c r="S4326" s="133"/>
      <c r="T4326" s="147"/>
      <c r="U4326" s="143">
        <f>U4317/((N_6*U$27*0.667)*SQRT(U4327*U4319*U4321))</f>
        <v>66.542363239630163</v>
      </c>
      <c r="V4326" s="133"/>
      <c r="W4326" s="155"/>
      <c r="X4326" s="143">
        <f>X4317/((N_6*X$27*0.667)*SQRT(X4327*X4319*X4321))</f>
        <v>78.901415235585063</v>
      </c>
      <c r="Y4326" s="133"/>
      <c r="Z4326" s="155"/>
      <c r="AA4326" s="143">
        <f>AA4317/((N_6*AA$27*0.667)*SQRT(AA4327*AA4319*AA4321))</f>
        <v>26.262299640639583</v>
      </c>
      <c r="AB4326" s="133"/>
      <c r="AC4326" s="155"/>
      <c r="AD4326" s="143">
        <f>AD4317/((N_6*AD$27*0.667)*SQRT(AD4327*AD4319*AD4321))</f>
        <v>15.149166344436734</v>
      </c>
      <c r="AE4326" s="133"/>
      <c r="AF4326" s="155"/>
      <c r="AG4326" s="143">
        <f>AG4317/((N_6*AG$27*0.667)*SQRT(AG4327*AG4319*AG4321))</f>
        <v>11.103909545370351</v>
      </c>
      <c r="AH4326" s="133"/>
      <c r="AI4326" s="155"/>
      <c r="AJ4326" s="143">
        <f>AJ4317/((N_6*AJ$27*0.667)*SQRT(AJ4327*AJ4319*AJ4321))</f>
        <v>9.2750344846897548</v>
      </c>
      <c r="AK4326" s="133"/>
      <c r="AL4326" s="155"/>
      <c r="AM4326" s="143">
        <f>AM4317/((N_6*AM$27*0.667)*SQRT(AM4327*AM4319*AM4321))</f>
        <v>8.7437031348902821</v>
      </c>
      <c r="AN4326" s="133"/>
      <c r="AO4326" s="155"/>
      <c r="AP4326" s="143">
        <f>AP4317/((N_6*AP$27*0.667)*SQRT(AP4327*AP4319*AP4321))</f>
        <v>8.0774498935136485</v>
      </c>
      <c r="AQ4326" s="133"/>
      <c r="AR4326" s="155"/>
      <c r="AS4326" s="143">
        <f>AS4317/((N_6*AS$27*0.667)*SQRT(AS4327*AS4319*AS4321))</f>
        <v>11.703255999428428</v>
      </c>
      <c r="AT4326" s="133"/>
      <c r="AU4326" s="155"/>
    </row>
    <row r="4327" spans="13:47" ht="15.5" x14ac:dyDescent="0.4">
      <c r="M4327" s="27"/>
      <c r="N4327" s="27"/>
      <c r="O4327" s="2" t="s">
        <v>192</v>
      </c>
      <c r="P4327" s="85">
        <v>10</v>
      </c>
      <c r="Q4327" s="2"/>
      <c r="R4327" s="181">
        <f>F_GAMMA*R$29</f>
        <v>0.64002688015162901</v>
      </c>
      <c r="S4327" s="133"/>
      <c r="T4327" s="147"/>
      <c r="U4327" s="138">
        <f>F_GAMMA*U$29</f>
        <v>0.64016782916606918</v>
      </c>
      <c r="V4327" s="133"/>
      <c r="W4327" s="155"/>
      <c r="X4327" s="138">
        <f>F_GAMMA*X$29</f>
        <v>0.6307062319203669</v>
      </c>
      <c r="Y4327" s="133"/>
      <c r="Z4327" s="155"/>
      <c r="AA4327" s="138">
        <f>F_GAMMA*AA$29</f>
        <v>0.62217534213893466</v>
      </c>
      <c r="AB4327" s="133"/>
      <c r="AC4327" s="155"/>
      <c r="AD4327" s="138">
        <f>F_GAMMA*AD$29</f>
        <v>0.60557184969146072</v>
      </c>
      <c r="AE4327" s="133"/>
      <c r="AF4327" s="155"/>
      <c r="AG4327" s="138">
        <f>F_GAMMA*AG$29</f>
        <v>0.57289312142622573</v>
      </c>
      <c r="AH4327" s="133"/>
      <c r="AI4327" s="155"/>
      <c r="AJ4327" s="138">
        <f>F_GAMMA*AJ$29</f>
        <v>0.53590819116049981</v>
      </c>
      <c r="AK4327" s="133"/>
      <c r="AL4327" s="155"/>
      <c r="AM4327" s="138">
        <f>F_GAMMA*AM$29</f>
        <v>0.49048815926850342</v>
      </c>
      <c r="AN4327" s="133"/>
      <c r="AO4327" s="155"/>
      <c r="AP4327" s="138">
        <f>F_GAMMA*AP$29</f>
        <v>0.59352979016280105</v>
      </c>
      <c r="AQ4327" s="133"/>
      <c r="AR4327" s="155"/>
      <c r="AS4327" s="138">
        <f>F_GAMMA*AS$29</f>
        <v>0.39097221161068291</v>
      </c>
      <c r="AT4327" s="133"/>
      <c r="AU4327" s="155"/>
    </row>
    <row r="4328" spans="13:47" x14ac:dyDescent="0.25">
      <c r="M4328" s="27"/>
      <c r="N4328" s="27"/>
      <c r="O4328" s="2" t="s">
        <v>193</v>
      </c>
      <c r="P4328" s="134"/>
      <c r="Q4328" s="2"/>
      <c r="R4328" s="181">
        <f>IF(R4323&lt;R4327,R4325,R4326)</f>
        <v>23.878677616702642</v>
      </c>
      <c r="S4328" s="133"/>
      <c r="T4328" s="147"/>
      <c r="U4328" s="138">
        <f>IF(U4323&lt;U4327,U4325,U4326)</f>
        <v>88.528083565475654</v>
      </c>
      <c r="V4328" s="133"/>
      <c r="W4328" s="155"/>
      <c r="X4328" s="138">
        <f>IF(X4323&lt;X4327,X4325,X4326)</f>
        <v>78.901415235585063</v>
      </c>
      <c r="Y4328" s="133"/>
      <c r="Z4328" s="155"/>
      <c r="AA4328" s="138">
        <f>IF(AA4323&lt;AA4327,AA4325,AA4326)</f>
        <v>26.262299640639583</v>
      </c>
      <c r="AB4328" s="133"/>
      <c r="AC4328" s="155"/>
      <c r="AD4328" s="138">
        <f>IF(AD4323&lt;AD4327,AD4325,AD4326)</f>
        <v>15.149166344436734</v>
      </c>
      <c r="AE4328" s="133"/>
      <c r="AF4328" s="155"/>
      <c r="AG4328" s="138">
        <f>IF(AG4323&lt;AG4327,AG4325,AG4326)</f>
        <v>11.103909545370351</v>
      </c>
      <c r="AH4328" s="133"/>
      <c r="AI4328" s="155"/>
      <c r="AJ4328" s="138">
        <f>IF(AJ4323&lt;AJ4327,AJ4325,AJ4326)</f>
        <v>9.2750344846897548</v>
      </c>
      <c r="AK4328" s="133"/>
      <c r="AL4328" s="155"/>
      <c r="AM4328" s="138">
        <f>IF(AM4323&lt;AM4327,AM4325,AM4326)</f>
        <v>8.7437031348902821</v>
      </c>
      <c r="AN4328" s="133"/>
      <c r="AO4328" s="155"/>
      <c r="AP4328" s="138">
        <f>IF(AP4323&lt;AP4327,AP4325,AP4326)</f>
        <v>8.0774498935136485</v>
      </c>
      <c r="AQ4328" s="133"/>
      <c r="AR4328" s="155"/>
      <c r="AS4328" s="138">
        <f>IF(AS4323&lt;AS4327,AS4325,AS4326)</f>
        <v>11.703255999428428</v>
      </c>
      <c r="AT4328" s="133"/>
      <c r="AU4328" s="155"/>
    </row>
    <row r="4329" spans="13:47" ht="13" x14ac:dyDescent="0.3">
      <c r="M4329" s="28"/>
      <c r="N4329" s="28"/>
      <c r="O4329" s="9" t="s">
        <v>194</v>
      </c>
      <c r="P4329" s="1"/>
      <c r="Q4329" s="1"/>
      <c r="R4329" s="135"/>
      <c r="S4329" s="132">
        <f>IF(R4322&lt;=0,W_max,ABS(R$23-R4328))</f>
        <v>21.878677616702642</v>
      </c>
      <c r="T4329" s="151">
        <f>R4317</f>
        <v>4902.9565644174099</v>
      </c>
      <c r="U4329" s="135"/>
      <c r="V4329" s="132">
        <f>IF(U4322&lt;=0,W_max,ABS(U$23-U4328))</f>
        <v>83.528083565475654</v>
      </c>
      <c r="W4329" s="151">
        <f>U4317</f>
        <v>9758.3857909319759</v>
      </c>
      <c r="X4329" s="135"/>
      <c r="Y4329" s="132">
        <f>IF(X4322&lt;=0,W_max,ABS(X$23-X4328))</f>
        <v>7174</v>
      </c>
      <c r="Z4329" s="151">
        <f>X4317</f>
        <v>24133.649322496516</v>
      </c>
      <c r="AA4329" s="135"/>
      <c r="AB4329" s="132">
        <f>IF(AA4322&lt;=0,W_max,ABS(AA$23-AA4328))</f>
        <v>7174</v>
      </c>
      <c r="AC4329" s="151">
        <f>AA4317</f>
        <v>47006.188876926353</v>
      </c>
      <c r="AD4329" s="135"/>
      <c r="AE4329" s="132">
        <f>IF(AD4322&lt;=0,W_max,ABS(AD$23-AD4328))</f>
        <v>7174</v>
      </c>
      <c r="AF4329" s="151">
        <f>AD4317</f>
        <v>77307.874050597005</v>
      </c>
      <c r="AG4329" s="135"/>
      <c r="AH4329" s="132">
        <f>IF(AG4322&lt;=0,W_max,ABS(AG$23-AG4328))</f>
        <v>7174</v>
      </c>
      <c r="AI4329" s="151">
        <f>AG4317</f>
        <v>108430.24499306321</v>
      </c>
      <c r="AJ4329" s="135"/>
      <c r="AK4329" s="132">
        <f>IF(AJ4322&lt;=0,W_max,ABS(AJ$23-AJ4328))</f>
        <v>7174</v>
      </c>
      <c r="AL4329" s="151">
        <f>AJ4317</f>
        <v>137677.63901649651</v>
      </c>
      <c r="AM4329" s="135"/>
      <c r="AN4329" s="132">
        <f>IF(AM4322&lt;=0,W_max,ABS(AM$23-AM4328))</f>
        <v>7174</v>
      </c>
      <c r="AO4329" s="151">
        <f>AM4317</f>
        <v>161437.85939425768</v>
      </c>
      <c r="AP4329" s="135"/>
      <c r="AQ4329" s="132">
        <f>IF(AP4322&lt;=0,W_max,ABS(AP$23-AP4328))</f>
        <v>7174</v>
      </c>
      <c r="AR4329" s="151">
        <f>AP4317</f>
        <v>180111.10967957933</v>
      </c>
      <c r="AS4329" s="135"/>
      <c r="AT4329" s="132">
        <f>IF(AS4322&lt;=0,W_max,ABS(AS$23-AS4328))</f>
        <v>7174</v>
      </c>
      <c r="AU4329" s="151">
        <f>AS4317</f>
        <v>200944.26395227178</v>
      </c>
    </row>
    <row r="4330" spans="13:47" ht="13" x14ac:dyDescent="0.25">
      <c r="M4330" s="12"/>
      <c r="N4330" s="12"/>
      <c r="O4330" s="12"/>
      <c r="P4330" s="12"/>
      <c r="Q4330" s="12"/>
      <c r="R4330" s="182"/>
      <c r="S4330" s="22"/>
      <c r="T4330" s="152"/>
      <c r="U4330" s="157"/>
      <c r="V4330" s="1"/>
      <c r="W4330" s="147"/>
      <c r="X4330" s="157"/>
      <c r="Y4330" s="1"/>
      <c r="Z4330" s="147"/>
      <c r="AA4330" s="157"/>
      <c r="AB4330" s="1"/>
      <c r="AC4330" s="147"/>
      <c r="AD4330" s="157"/>
      <c r="AE4330" s="1"/>
      <c r="AF4330" s="147"/>
      <c r="AG4330" s="157"/>
      <c r="AH4330" s="1"/>
      <c r="AI4330" s="147"/>
      <c r="AJ4330" s="157"/>
      <c r="AK4330" s="1"/>
      <c r="AL4330" s="147"/>
      <c r="AM4330" s="157"/>
      <c r="AN4330" s="1"/>
      <c r="AO4330" s="147"/>
      <c r="AP4330" s="157"/>
      <c r="AQ4330" s="1"/>
      <c r="AR4330" s="147"/>
      <c r="AS4330" s="157"/>
      <c r="AT4330" s="1"/>
      <c r="AU4330" s="147"/>
    </row>
    <row r="4331" spans="13:47" ht="14" x14ac:dyDescent="0.3">
      <c r="M4331" s="23"/>
      <c r="N4331" s="23"/>
      <c r="O4331" s="23" t="s">
        <v>238</v>
      </c>
      <c r="P4331" s="20"/>
      <c r="Q4331" s="20"/>
      <c r="R4331" s="18">
        <f>R4317*1.02</f>
        <v>5001.0156957057579</v>
      </c>
      <c r="S4331" s="128" t="s">
        <v>185</v>
      </c>
      <c r="T4331" s="153" t="s">
        <v>186</v>
      </c>
      <c r="U4331" s="143">
        <f>U4317*1.01</f>
        <v>9855.9696488412956</v>
      </c>
      <c r="V4331" s="128" t="s">
        <v>185</v>
      </c>
      <c r="W4331" s="153" t="s">
        <v>186</v>
      </c>
      <c r="X4331" s="143">
        <f>X4317*1.01</f>
        <v>24374.98581572148</v>
      </c>
      <c r="Y4331" s="128" t="s">
        <v>185</v>
      </c>
      <c r="Z4331" s="153" t="s">
        <v>186</v>
      </c>
      <c r="AA4331" s="143">
        <f>AA4317*1.01</f>
        <v>47476.250765695615</v>
      </c>
      <c r="AB4331" s="128" t="s">
        <v>185</v>
      </c>
      <c r="AC4331" s="153" t="s">
        <v>186</v>
      </c>
      <c r="AD4331" s="143">
        <f>AD4317*1.01</f>
        <v>78080.952791102973</v>
      </c>
      <c r="AE4331" s="128" t="s">
        <v>185</v>
      </c>
      <c r="AF4331" s="153" t="s">
        <v>186</v>
      </c>
      <c r="AG4331" s="143">
        <f>AG4317*1.01</f>
        <v>109514.54744299385</v>
      </c>
      <c r="AH4331" s="128" t="s">
        <v>185</v>
      </c>
      <c r="AI4331" s="153" t="s">
        <v>186</v>
      </c>
      <c r="AJ4331" s="143">
        <f>AJ4317*1.01</f>
        <v>139054.41540666149</v>
      </c>
      <c r="AK4331" s="128" t="s">
        <v>185</v>
      </c>
      <c r="AL4331" s="153" t="s">
        <v>186</v>
      </c>
      <c r="AM4331" s="143">
        <f>AM4317*1.01</f>
        <v>163052.23798820027</v>
      </c>
      <c r="AN4331" s="128" t="s">
        <v>185</v>
      </c>
      <c r="AO4331" s="153" t="s">
        <v>186</v>
      </c>
      <c r="AP4331" s="143">
        <f>AP4317*1.01</f>
        <v>181912.22077637512</v>
      </c>
      <c r="AQ4331" s="128" t="s">
        <v>185</v>
      </c>
      <c r="AR4331" s="153" t="s">
        <v>186</v>
      </c>
      <c r="AS4331" s="143">
        <f>AS4317*1.01</f>
        <v>202953.7065917945</v>
      </c>
      <c r="AT4331" s="128" t="s">
        <v>185</v>
      </c>
      <c r="AU4331" s="153" t="s">
        <v>186</v>
      </c>
    </row>
    <row r="4332" spans="13:47" ht="14" x14ac:dyDescent="0.3">
      <c r="M4332" s="12"/>
      <c r="N4332" s="12"/>
      <c r="O4332" s="20"/>
      <c r="P4332" s="20"/>
      <c r="Q4332" s="23"/>
      <c r="R4332" s="139"/>
      <c r="S4332" s="130" t="s">
        <v>228</v>
      </c>
      <c r="T4332" s="154" t="s">
        <v>187</v>
      </c>
      <c r="U4332" s="144"/>
      <c r="V4332" s="130" t="s">
        <v>228</v>
      </c>
      <c r="W4332" s="154" t="s">
        <v>187</v>
      </c>
      <c r="X4332" s="144"/>
      <c r="Y4332" s="130" t="s">
        <v>228</v>
      </c>
      <c r="Z4332" s="154" t="s">
        <v>187</v>
      </c>
      <c r="AA4332" s="144"/>
      <c r="AB4332" s="130" t="s">
        <v>228</v>
      </c>
      <c r="AC4332" s="154" t="s">
        <v>187</v>
      </c>
      <c r="AD4332" s="144"/>
      <c r="AE4332" s="130" t="s">
        <v>228</v>
      </c>
      <c r="AF4332" s="154" t="s">
        <v>187</v>
      </c>
      <c r="AG4332" s="144"/>
      <c r="AH4332" s="130" t="s">
        <v>228</v>
      </c>
      <c r="AI4332" s="154" t="s">
        <v>187</v>
      </c>
      <c r="AJ4332" s="144"/>
      <c r="AK4332" s="130" t="s">
        <v>228</v>
      </c>
      <c r="AL4332" s="154" t="s">
        <v>187</v>
      </c>
      <c r="AM4332" s="144"/>
      <c r="AN4332" s="130" t="s">
        <v>228</v>
      </c>
      <c r="AO4332" s="154" t="s">
        <v>187</v>
      </c>
      <c r="AP4332" s="144"/>
      <c r="AQ4332" s="130" t="s">
        <v>228</v>
      </c>
      <c r="AR4332" s="154" t="s">
        <v>187</v>
      </c>
      <c r="AS4332" s="144"/>
      <c r="AT4332" s="130" t="s">
        <v>228</v>
      </c>
      <c r="AU4332" s="154" t="s">
        <v>187</v>
      </c>
    </row>
    <row r="4333" spans="13:47" x14ac:dyDescent="0.25">
      <c r="M4333" s="20"/>
      <c r="N4333" s="20"/>
      <c r="O4333" s="7" t="s">
        <v>188</v>
      </c>
      <c r="P4333" s="7"/>
      <c r="Q4333" s="7"/>
      <c r="R4333" s="181">
        <f>P_1_minW-(R4331^2*R_up)+dpup_minQ</f>
        <v>90.549690205440172</v>
      </c>
      <c r="S4333" s="132"/>
      <c r="T4333" s="145"/>
      <c r="U4333" s="138">
        <f>P_1_minW-(U4331^2*R_up)+dpup_minQ</f>
        <v>61.78700701991071</v>
      </c>
      <c r="V4333" s="132"/>
      <c r="W4333" s="145"/>
      <c r="X4333" s="138">
        <f>P_1_minW-(X4331^2*R_up)+dpup_minQ</f>
        <v>-136.3975443036357</v>
      </c>
      <c r="Y4333" s="132"/>
      <c r="Z4333" s="145"/>
      <c r="AA4333" s="138">
        <f>P_1_minW-(AA4331^2*R_up)+dpup_minQ</f>
        <v>-798.28415444166092</v>
      </c>
      <c r="AB4333" s="132"/>
      <c r="AC4333" s="145"/>
      <c r="AD4333" s="138">
        <f>P_1_minW-(AD4331^2*R_up)+dpup_minQ</f>
        <v>-2330.5826577426365</v>
      </c>
      <c r="AE4333" s="132"/>
      <c r="AF4333" s="145"/>
      <c r="AG4333" s="138">
        <f>P_1_minW-(AG4331^2*R_up)+dpup_minQ</f>
        <v>-4682.0018193683254</v>
      </c>
      <c r="AH4333" s="132"/>
      <c r="AI4333" s="145"/>
      <c r="AJ4333" s="138">
        <f>P_1_minW-(AJ4331^2*R_up)+dpup_minQ</f>
        <v>-7609.9881003838964</v>
      </c>
      <c r="AK4333" s="132"/>
      <c r="AL4333" s="145"/>
      <c r="AM4333" s="138">
        <f>P_1_minW-(AM4331^2*R_up)+dpup_minQ</f>
        <v>-10500.972284222325</v>
      </c>
      <c r="AN4333" s="132"/>
      <c r="AO4333" s="145"/>
      <c r="AP4333" s="138">
        <f>P_1_minW-(AP4331^2*R_up)+dpup_minQ</f>
        <v>-13095.32626515722</v>
      </c>
      <c r="AQ4333" s="132"/>
      <c r="AR4333" s="145"/>
      <c r="AS4333" s="138">
        <f>P_1_minW-(AS4331^2*R_up)+dpup_minQ</f>
        <v>-16324.559811034827</v>
      </c>
      <c r="AT4333" s="132"/>
      <c r="AU4333" s="145"/>
    </row>
    <row r="4334" spans="13:47" x14ac:dyDescent="0.25">
      <c r="M4334" s="20"/>
      <c r="N4334" s="20"/>
      <c r="O4334" s="7" t="s">
        <v>189</v>
      </c>
      <c r="P4334" s="1"/>
      <c r="Q4334" s="7"/>
      <c r="R4334" s="181">
        <f>P_2_minW+(R4331^2*R_dn)-dpdn_minQ</f>
        <v>50</v>
      </c>
      <c r="S4334" s="132"/>
      <c r="T4334" s="146"/>
      <c r="U4334" s="138">
        <f>P_2_minW+(U4331^2*R_dn)-dpdn_minQ</f>
        <v>50</v>
      </c>
      <c r="V4334" s="132"/>
      <c r="W4334" s="146"/>
      <c r="X4334" s="138">
        <f>P_2_minW+(X4331^2*R_dn)-dpdn_minQ</f>
        <v>50</v>
      </c>
      <c r="Y4334" s="132"/>
      <c r="Z4334" s="146"/>
      <c r="AA4334" s="138">
        <f>P_2_minW+(AA4331^2*R_dn)-dpdn_minQ</f>
        <v>50</v>
      </c>
      <c r="AB4334" s="132"/>
      <c r="AC4334" s="146"/>
      <c r="AD4334" s="138">
        <f>P_2_minW+(AD4331^2*R_dn)-dpdn_minQ</f>
        <v>50</v>
      </c>
      <c r="AE4334" s="132"/>
      <c r="AF4334" s="146"/>
      <c r="AG4334" s="138">
        <f>P_2_minW+(AG4331^2*R_dn)-dpdn_minQ</f>
        <v>50</v>
      </c>
      <c r="AH4334" s="132"/>
      <c r="AI4334" s="146"/>
      <c r="AJ4334" s="138">
        <f>P_2_minW+(AJ4331^2*R_dn)-dpdn_minQ</f>
        <v>50</v>
      </c>
      <c r="AK4334" s="132"/>
      <c r="AL4334" s="146"/>
      <c r="AM4334" s="138">
        <f>P_2_minW+(AM4331^2*R_dn)-dpdn_minQ</f>
        <v>50</v>
      </c>
      <c r="AN4334" s="132"/>
      <c r="AO4334" s="146"/>
      <c r="AP4334" s="138">
        <f>P_2_minW+(AP4331^2*R_dn)-dpdn_minQ</f>
        <v>50</v>
      </c>
      <c r="AQ4334" s="132"/>
      <c r="AR4334" s="146"/>
      <c r="AS4334" s="138">
        <f>P_2_minW+(AS4331^2*R_dn)-dpdn_minQ</f>
        <v>50</v>
      </c>
      <c r="AT4334" s="132"/>
      <c r="AU4334" s="146"/>
    </row>
    <row r="4335" spans="13:47" x14ac:dyDescent="0.25">
      <c r="M4335" s="20"/>
      <c r="N4335" s="20"/>
      <c r="O4335" s="7" t="s">
        <v>234</v>
      </c>
      <c r="P4335" s="1"/>
      <c r="Q4335" s="7"/>
      <c r="R4335" s="179">
        <f>'Valve Sizing'!G$8*R4333/P_1_maxW</f>
        <v>0.43679558417236103</v>
      </c>
      <c r="S4335" s="132"/>
      <c r="T4335" s="146"/>
      <c r="U4335" s="143">
        <f>'Valve Sizing'!$G$8*U4333/P_1_maxW</f>
        <v>0.29804952136547708</v>
      </c>
      <c r="V4335" s="132"/>
      <c r="W4335" s="146"/>
      <c r="X4335" s="143">
        <f>'Valve Sizing'!$G$8*X4333/P_1_maxW</f>
        <v>-0.65795746963475144</v>
      </c>
      <c r="Y4335" s="132"/>
      <c r="Z4335" s="146"/>
      <c r="AA4335" s="143">
        <f>'Valve Sizing'!$G$8*AA4333/P_1_maxW</f>
        <v>-3.8507806352929479</v>
      </c>
      <c r="AB4335" s="132"/>
      <c r="AC4335" s="146"/>
      <c r="AD4335" s="143">
        <f>'Valve Sizing'!$G$8*AD4333/P_1_maxW</f>
        <v>-11.242315806283216</v>
      </c>
      <c r="AE4335" s="132"/>
      <c r="AF4335" s="146"/>
      <c r="AG4335" s="143">
        <f>'Valve Sizing'!$G$8*AG4333/P_1_maxW</f>
        <v>-22.585143197587414</v>
      </c>
      <c r="AH4335" s="132"/>
      <c r="AI4335" s="146"/>
      <c r="AJ4335" s="143">
        <f>'Valve Sizing'!$G$8*AJ4333/P_1_maxW</f>
        <v>-36.709227721379833</v>
      </c>
      <c r="AK4335" s="132"/>
      <c r="AL4335" s="146"/>
      <c r="AM4335" s="143">
        <f>'Valve Sizing'!$G$8*AM4333/P_1_maxW</f>
        <v>-50.654820716207063</v>
      </c>
      <c r="AN4335" s="132"/>
      <c r="AO4335" s="146"/>
      <c r="AP4335" s="143">
        <f>'Valve Sizing'!$G$8*AP4333/P_1_maxW</f>
        <v>-63.169522423980176</v>
      </c>
      <c r="AQ4335" s="132"/>
      <c r="AR4335" s="146"/>
      <c r="AS4335" s="143">
        <f>'Valve Sizing'!$G$8*AS4333/P_1_maxW</f>
        <v>-78.746770119697317</v>
      </c>
      <c r="AT4335" s="132"/>
      <c r="AU4335" s="146"/>
    </row>
    <row r="4336" spans="13:47" x14ac:dyDescent="0.25">
      <c r="M4336" s="20"/>
      <c r="N4336" s="20"/>
      <c r="O4336" s="7" t="s">
        <v>190</v>
      </c>
      <c r="P4336" s="1"/>
      <c r="Q4336" s="7"/>
      <c r="R4336" s="181">
        <f>R4333-R4334</f>
        <v>40.549690205440172</v>
      </c>
      <c r="S4336" s="132"/>
      <c r="T4336" s="146"/>
      <c r="U4336" s="138">
        <f>U4333-U4334</f>
        <v>11.78700701991071</v>
      </c>
      <c r="V4336" s="132"/>
      <c r="W4336" s="146"/>
      <c r="X4336" s="138">
        <f>X4333-X4334</f>
        <v>-186.3975443036357</v>
      </c>
      <c r="Y4336" s="132"/>
      <c r="Z4336" s="146"/>
      <c r="AA4336" s="138">
        <f>AA4333-AA4334</f>
        <v>-848.28415444166092</v>
      </c>
      <c r="AB4336" s="132"/>
      <c r="AC4336" s="146"/>
      <c r="AD4336" s="138">
        <f>AD4333-AD4334</f>
        <v>-2380.5826577426365</v>
      </c>
      <c r="AE4336" s="132"/>
      <c r="AF4336" s="146"/>
      <c r="AG4336" s="138">
        <f>AG4333-AG4334</f>
        <v>-4732.0018193683254</v>
      </c>
      <c r="AH4336" s="132"/>
      <c r="AI4336" s="146"/>
      <c r="AJ4336" s="138">
        <f>AJ4333-AJ4334</f>
        <v>-7659.9881003838964</v>
      </c>
      <c r="AK4336" s="132"/>
      <c r="AL4336" s="146"/>
      <c r="AM4336" s="138">
        <f>AM4333-AM4334</f>
        <v>-10550.972284222325</v>
      </c>
      <c r="AN4336" s="132"/>
      <c r="AO4336" s="146"/>
      <c r="AP4336" s="138">
        <f>AP4333-AP4334</f>
        <v>-13145.32626515722</v>
      </c>
      <c r="AQ4336" s="132"/>
      <c r="AR4336" s="146"/>
      <c r="AS4336" s="138">
        <f>AS4333-AS4334</f>
        <v>-16374.559811034827</v>
      </c>
      <c r="AT4336" s="132"/>
      <c r="AU4336" s="146"/>
    </row>
    <row r="4337" spans="13:47" ht="14.5" x14ac:dyDescent="0.35">
      <c r="M4337" s="27"/>
      <c r="N4337" s="27"/>
      <c r="O4337" s="2" t="s">
        <v>191</v>
      </c>
      <c r="P4337" s="10"/>
      <c r="Q4337" s="2"/>
      <c r="R4337" s="181">
        <f>R4336/R4333</f>
        <v>0.44781699543577203</v>
      </c>
      <c r="S4337" s="132"/>
      <c r="T4337" s="146"/>
      <c r="U4337" s="138">
        <f>U4336/U4333</f>
        <v>0.19076837653120787</v>
      </c>
      <c r="V4337" s="132"/>
      <c r="W4337" s="146"/>
      <c r="X4337" s="138">
        <f>X4336/X4333</f>
        <v>1.3665755146492564</v>
      </c>
      <c r="Y4337" s="132"/>
      <c r="Z4337" s="146"/>
      <c r="AA4337" s="138">
        <f>AA4336/AA4333</f>
        <v>1.0626343385645318</v>
      </c>
      <c r="AB4337" s="132"/>
      <c r="AC4337" s="146"/>
      <c r="AD4337" s="138">
        <f>AD4336/AD4333</f>
        <v>1.0214538625497322</v>
      </c>
      <c r="AE4337" s="132"/>
      <c r="AF4337" s="146"/>
      <c r="AG4337" s="138">
        <f>AG4336/AG4333</f>
        <v>1.0106791927745866</v>
      </c>
      <c r="AH4337" s="132"/>
      <c r="AI4337" s="146"/>
      <c r="AJ4337" s="138">
        <f>AJ4336/AJ4333</f>
        <v>1.0065703125077787</v>
      </c>
      <c r="AK4337" s="132"/>
      <c r="AL4337" s="146"/>
      <c r="AM4337" s="138">
        <f>AM4336/AM4333</f>
        <v>1.0047614638575062</v>
      </c>
      <c r="AN4337" s="132"/>
      <c r="AO4337" s="146"/>
      <c r="AP4337" s="138">
        <f>AP4336/AP4333</f>
        <v>1.0038181561106296</v>
      </c>
      <c r="AQ4337" s="132"/>
      <c r="AR4337" s="146"/>
      <c r="AS4337" s="138">
        <f>AS4336/AS4333</f>
        <v>1.0030628697238257</v>
      </c>
      <c r="AT4337" s="132"/>
      <c r="AU4337" s="146"/>
    </row>
    <row r="4338" spans="13:47" x14ac:dyDescent="0.25">
      <c r="M4338" s="27"/>
      <c r="N4338" s="27"/>
      <c r="O4338" s="2" t="s">
        <v>26</v>
      </c>
      <c r="P4338" s="7">
        <v>12</v>
      </c>
      <c r="Q4338" s="2"/>
      <c r="R4338" s="181">
        <f>1-R4337/(3*F_GAMMA*R$29)</f>
        <v>0.76677177718448353</v>
      </c>
      <c r="S4338" s="133"/>
      <c r="T4338" s="146"/>
      <c r="U4338" s="138">
        <f>1-U4337/(3*F_GAMMA*U$29)</f>
        <v>0.9006675188183505</v>
      </c>
      <c r="V4338" s="133"/>
      <c r="W4338" s="146"/>
      <c r="X4338" s="138">
        <f>1-X4337/(3*F_GAMMA*X$29)</f>
        <v>0.27775381232119034</v>
      </c>
      <c r="Y4338" s="133"/>
      <c r="Z4338" s="146"/>
      <c r="AA4338" s="138">
        <f>1-AA4337/(3*F_GAMMA*AA$29)</f>
        <v>0.43068871072508652</v>
      </c>
      <c r="AB4338" s="133"/>
      <c r="AC4338" s="146"/>
      <c r="AD4338" s="138">
        <f>1-AD4337/(3*F_GAMMA*AD$29)</f>
        <v>0.43774694774305001</v>
      </c>
      <c r="AE4338" s="133"/>
      <c r="AF4338" s="146"/>
      <c r="AG4338" s="138">
        <f>1-AG4337/(3*F_GAMMA*AG$29)</f>
        <v>0.41194430224699619</v>
      </c>
      <c r="AH4338" s="133"/>
      <c r="AI4338" s="146"/>
      <c r="AJ4338" s="138">
        <f>1-AJ4337/(3*F_GAMMA*AJ$29)</f>
        <v>0.37391619863838466</v>
      </c>
      <c r="AK4338" s="133"/>
      <c r="AL4338" s="146"/>
      <c r="AM4338" s="138">
        <f>1-AM4337/(3*F_GAMMA*AM$29)</f>
        <v>0.31716906591182437</v>
      </c>
      <c r="AN4338" s="133"/>
      <c r="AO4338" s="146"/>
      <c r="AP4338" s="138">
        <f>1-AP4337/(3*F_GAMMA*AP$29)</f>
        <v>0.43624387927504615</v>
      </c>
      <c r="AQ4338" s="133"/>
      <c r="AR4338" s="146"/>
      <c r="AS4338" s="138">
        <f>1-AS4337/(3*F_GAMMA*AS$29)</f>
        <v>0.14481316068344841</v>
      </c>
      <c r="AT4338" s="133"/>
      <c r="AU4338" s="146"/>
    </row>
    <row r="4339" spans="13:47" x14ac:dyDescent="0.25">
      <c r="M4339" s="27"/>
      <c r="N4339" s="27"/>
      <c r="O4339" s="2" t="s">
        <v>71</v>
      </c>
      <c r="P4339" s="85">
        <v>5</v>
      </c>
      <c r="Q4339" s="2"/>
      <c r="R4339" s="179">
        <f>R4331/((N_6*R$27*R4338)*SQRT(R4337*R4333*R4335))</f>
        <v>24.485386179037114</v>
      </c>
      <c r="S4339" s="133"/>
      <c r="T4339" s="146"/>
      <c r="U4339" s="143">
        <f>U4331/((N_6*U$27*U4338)*SQRT(U4337*U4333*U4335))</f>
        <v>92.301037749017681</v>
      </c>
      <c r="V4339" s="133"/>
      <c r="W4339" s="146"/>
      <c r="X4339" s="143">
        <f>X4331/((N_6*X$27*X4338)*SQRT(X4337*X4333*X4335))</f>
        <v>125.55802487387754</v>
      </c>
      <c r="Y4339" s="133"/>
      <c r="Z4339" s="146"/>
      <c r="AA4339" s="143">
        <f>AA4331/((N_6*AA$27*AA4338)*SQRT(AA4337*AA4333*AA4335))</f>
        <v>30.735308626849868</v>
      </c>
      <c r="AB4339" s="133"/>
      <c r="AC4339" s="146"/>
      <c r="AD4339" s="143">
        <f>AD4331/((N_6*AD$27*AD4338)*SQRT(AD4337*AD4333*AD4335))</f>
        <v>17.581942403946798</v>
      </c>
      <c r="AE4339" s="133"/>
      <c r="AF4339" s="146"/>
      <c r="AG4339" s="143">
        <f>AG4331/((N_6*AG$27*AG4338)*SQRT(AG4337*AG4333*AG4335))</f>
        <v>13.39629051714461</v>
      </c>
      <c r="AH4339" s="133"/>
      <c r="AI4339" s="146"/>
      <c r="AJ4339" s="143">
        <f>AJ4331/((N_6*AJ$27*AJ4338)*SQRT(AJ4337*AJ4333*AJ4335))</f>
        <v>11.949604415643424</v>
      </c>
      <c r="AK4339" s="133"/>
      <c r="AL4339" s="146"/>
      <c r="AM4339" s="143">
        <f>AM4331/((N_6*AM$27*AM4338)*SQRT(AM4337*AM4333*AM4335))</f>
        <v>12.717690408666043</v>
      </c>
      <c r="AN4339" s="133"/>
      <c r="AO4339" s="146"/>
      <c r="AP4339" s="143">
        <f>AP4331/((N_6*AP$27*AP4338)*SQRT(AP4337*AP4333*AP4335))</f>
        <v>9.4010445404976792</v>
      </c>
      <c r="AQ4339" s="133"/>
      <c r="AR4339" s="146"/>
      <c r="AS4339" s="143">
        <f>AS4331/((N_6*AS$27*AS4338)*SQRT(AS4337*AS4333*AS4335))</f>
        <v>33.316413562666334</v>
      </c>
      <c r="AT4339" s="133"/>
      <c r="AU4339" s="146"/>
    </row>
    <row r="4340" spans="13:47" x14ac:dyDescent="0.25">
      <c r="M4340" s="27"/>
      <c r="N4340" s="27"/>
      <c r="O4340" s="2" t="s">
        <v>73</v>
      </c>
      <c r="P4340" s="85">
        <v>5</v>
      </c>
      <c r="Q4340" s="2"/>
      <c r="R4340" s="179">
        <f>R4331/((N_6*R$27*0.667)*SQRT(R4341*R4333*R4335))</f>
        <v>23.544985224852823</v>
      </c>
      <c r="S4340" s="133"/>
      <c r="T4340" s="155"/>
      <c r="U4340" s="143">
        <f>U4331/((N_6*U$27*0.667)*SQRT(U4341*U4333*U4335))</f>
        <v>68.037997040429687</v>
      </c>
      <c r="V4340" s="133"/>
      <c r="W4340" s="155"/>
      <c r="X4340" s="143">
        <f>X4331/((N_6*X$27*0.667)*SQRT(X4341*X4333*X4335))</f>
        <v>76.96298906951229</v>
      </c>
      <c r="Y4340" s="133"/>
      <c r="Z4340" s="155"/>
      <c r="AA4340" s="143">
        <f>AA4331/((N_6*AA$27*0.667)*SQRT(AA4341*AA4333*AA4335))</f>
        <v>25.936463453860842</v>
      </c>
      <c r="AB4340" s="133"/>
      <c r="AC4340" s="155"/>
      <c r="AD4340" s="143">
        <f>AD4331/((N_6*AD$27*0.667)*SQRT(AD4341*AD4333*AD4335))</f>
        <v>14.986171003677322</v>
      </c>
      <c r="AE4340" s="133"/>
      <c r="AF4340" s="155"/>
      <c r="AG4340" s="143">
        <f>AG4331/((N_6*AG$27*0.667)*SQRT(AG4341*AG4333*AG4335))</f>
        <v>10.989225422394078</v>
      </c>
      <c r="AH4340" s="133"/>
      <c r="AI4340" s="155"/>
      <c r="AJ4340" s="143">
        <f>AJ4331/((N_6*AJ$27*0.667)*SQRT(AJ4341*AJ4333*AJ4335))</f>
        <v>9.1807642520503503</v>
      </c>
      <c r="AK4340" s="133"/>
      <c r="AL4340" s="155"/>
      <c r="AM4340" s="143">
        <f>AM4331/((N_6*AM$27*0.667)*SQRT(AM4341*AM4333*AM4335))</f>
        <v>8.6554660848521952</v>
      </c>
      <c r="AN4340" s="133"/>
      <c r="AO4340" s="155"/>
      <c r="AP4340" s="143">
        <f>AP4331/((N_6*AP$27*0.667)*SQRT(AP4341*AP4333*AP4335))</f>
        <v>7.9962411932559787</v>
      </c>
      <c r="AQ4340" s="133"/>
      <c r="AR4340" s="155"/>
      <c r="AS4340" s="143">
        <f>AS4331/((N_6*AS$27*0.667)*SQRT(AS4341*AS4333*AS4335))</f>
        <v>11.585947995118632</v>
      </c>
      <c r="AT4340" s="133"/>
      <c r="AU4340" s="155"/>
    </row>
    <row r="4341" spans="13:47" ht="15.5" x14ac:dyDescent="0.4">
      <c r="M4341" s="27"/>
      <c r="N4341" s="27"/>
      <c r="O4341" s="2" t="s">
        <v>192</v>
      </c>
      <c r="P4341" s="85">
        <v>10</v>
      </c>
      <c r="Q4341" s="2"/>
      <c r="R4341" s="181">
        <f>F_GAMMA*R$29</f>
        <v>0.64002688015162901</v>
      </c>
      <c r="S4341" s="133"/>
      <c r="T4341" s="155"/>
      <c r="U4341" s="138">
        <f>F_GAMMA*U$29</f>
        <v>0.64016782916606918</v>
      </c>
      <c r="V4341" s="133"/>
      <c r="W4341" s="155"/>
      <c r="X4341" s="138">
        <f>F_GAMMA*X$29</f>
        <v>0.6307062319203669</v>
      </c>
      <c r="Y4341" s="133"/>
      <c r="Z4341" s="155"/>
      <c r="AA4341" s="138">
        <f>F_GAMMA*AA$29</f>
        <v>0.62217534213893466</v>
      </c>
      <c r="AB4341" s="133"/>
      <c r="AC4341" s="155"/>
      <c r="AD4341" s="138">
        <f>F_GAMMA*AD$29</f>
        <v>0.60557184969146072</v>
      </c>
      <c r="AE4341" s="133"/>
      <c r="AF4341" s="155"/>
      <c r="AG4341" s="138">
        <f>F_GAMMA*AG$29</f>
        <v>0.57289312142622573</v>
      </c>
      <c r="AH4341" s="133"/>
      <c r="AI4341" s="155"/>
      <c r="AJ4341" s="138">
        <f>F_GAMMA*AJ$29</f>
        <v>0.53590819116049981</v>
      </c>
      <c r="AK4341" s="133"/>
      <c r="AL4341" s="155"/>
      <c r="AM4341" s="138">
        <f>F_GAMMA*AM$29</f>
        <v>0.49048815926850342</v>
      </c>
      <c r="AN4341" s="133"/>
      <c r="AO4341" s="155"/>
      <c r="AP4341" s="138">
        <f>F_GAMMA*AP$29</f>
        <v>0.59352979016280105</v>
      </c>
      <c r="AQ4341" s="133"/>
      <c r="AR4341" s="155"/>
      <c r="AS4341" s="138">
        <f>F_GAMMA*AS$29</f>
        <v>0.39097221161068291</v>
      </c>
      <c r="AT4341" s="133"/>
      <c r="AU4341" s="155"/>
    </row>
    <row r="4342" spans="13:47" x14ac:dyDescent="0.25">
      <c r="M4342" s="27"/>
      <c r="N4342" s="27"/>
      <c r="O4342" s="2" t="s">
        <v>193</v>
      </c>
      <c r="P4342" s="134"/>
      <c r="Q4342" s="2"/>
      <c r="R4342" s="181">
        <f>IF(R4337&lt;R4341,R4339,R4340)</f>
        <v>24.485386179037114</v>
      </c>
      <c r="S4342" s="133"/>
      <c r="T4342" s="155"/>
      <c r="U4342" s="138">
        <f>IF(U4337&lt;U4341,U4339,U4340)</f>
        <v>92.301037749017681</v>
      </c>
      <c r="V4342" s="133"/>
      <c r="W4342" s="155"/>
      <c r="X4342" s="138">
        <f>IF(X4337&lt;X4341,X4339,X4340)</f>
        <v>76.96298906951229</v>
      </c>
      <c r="Y4342" s="133"/>
      <c r="Z4342" s="155"/>
      <c r="AA4342" s="138">
        <f>IF(AA4337&lt;AA4341,AA4339,AA4340)</f>
        <v>25.936463453860842</v>
      </c>
      <c r="AB4342" s="133"/>
      <c r="AC4342" s="155"/>
      <c r="AD4342" s="138">
        <f>IF(AD4337&lt;AD4341,AD4339,AD4340)</f>
        <v>14.986171003677322</v>
      </c>
      <c r="AE4342" s="133"/>
      <c r="AF4342" s="155"/>
      <c r="AG4342" s="138">
        <f>IF(AG4337&lt;AG4341,AG4339,AG4340)</f>
        <v>10.989225422394078</v>
      </c>
      <c r="AH4342" s="133"/>
      <c r="AI4342" s="155"/>
      <c r="AJ4342" s="138">
        <f>IF(AJ4337&lt;AJ4341,AJ4339,AJ4340)</f>
        <v>9.1807642520503503</v>
      </c>
      <c r="AK4342" s="133"/>
      <c r="AL4342" s="155"/>
      <c r="AM4342" s="138">
        <f>IF(AM4337&lt;AM4341,AM4339,AM4340)</f>
        <v>8.6554660848521952</v>
      </c>
      <c r="AN4342" s="133"/>
      <c r="AO4342" s="155"/>
      <c r="AP4342" s="138">
        <f>IF(AP4337&lt;AP4341,AP4339,AP4340)</f>
        <v>7.9962411932559787</v>
      </c>
      <c r="AQ4342" s="133"/>
      <c r="AR4342" s="155"/>
      <c r="AS4342" s="138">
        <f>IF(AS4337&lt;AS4341,AS4339,AS4340)</f>
        <v>11.585947995118632</v>
      </c>
      <c r="AT4342" s="133"/>
      <c r="AU4342" s="155"/>
    </row>
    <row r="4343" spans="13:47" ht="13" x14ac:dyDescent="0.3">
      <c r="M4343" s="28"/>
      <c r="N4343" s="28"/>
      <c r="O4343" s="9" t="s">
        <v>194</v>
      </c>
      <c r="P4343" s="1"/>
      <c r="Q4343" s="1"/>
      <c r="R4343" s="135"/>
      <c r="S4343" s="132">
        <f>IF(R4336&lt;=0,W_max,ABS(R$23-R4342))</f>
        <v>22.485386179037114</v>
      </c>
      <c r="T4343" s="151">
        <f>R4331</f>
        <v>5001.0156957057579</v>
      </c>
      <c r="U4343" s="135"/>
      <c r="V4343" s="132">
        <f>IF(U4336&lt;=0,W_max,ABS(U$23-U4342))</f>
        <v>87.301037749017681</v>
      </c>
      <c r="W4343" s="151">
        <f>U4331</f>
        <v>9855.9696488412956</v>
      </c>
      <c r="X4343" s="135"/>
      <c r="Y4343" s="132">
        <f>IF(X4336&lt;=0,W_max,ABS(X$23-X4342))</f>
        <v>7174</v>
      </c>
      <c r="Z4343" s="151">
        <f>X4331</f>
        <v>24374.98581572148</v>
      </c>
      <c r="AA4343" s="135"/>
      <c r="AB4343" s="132">
        <f>IF(AA4336&lt;=0,W_max,ABS(AA$23-AA4342))</f>
        <v>7174</v>
      </c>
      <c r="AC4343" s="151">
        <f>AA4331</f>
        <v>47476.250765695615</v>
      </c>
      <c r="AD4343" s="135"/>
      <c r="AE4343" s="132">
        <f>IF(AD4336&lt;=0,W_max,ABS(AD$23-AD4342))</f>
        <v>7174</v>
      </c>
      <c r="AF4343" s="151">
        <f>AD4331</f>
        <v>78080.952791102973</v>
      </c>
      <c r="AG4343" s="135"/>
      <c r="AH4343" s="132">
        <f>IF(AG4336&lt;=0,W_max,ABS(AG$23-AG4342))</f>
        <v>7174</v>
      </c>
      <c r="AI4343" s="151">
        <f>AG4331</f>
        <v>109514.54744299385</v>
      </c>
      <c r="AJ4343" s="135"/>
      <c r="AK4343" s="132">
        <f>IF(AJ4336&lt;=0,W_max,ABS(AJ$23-AJ4342))</f>
        <v>7174</v>
      </c>
      <c r="AL4343" s="151">
        <f>AJ4331</f>
        <v>139054.41540666149</v>
      </c>
      <c r="AM4343" s="135"/>
      <c r="AN4343" s="132">
        <f>IF(AM4336&lt;=0,W_max,ABS(AM$23-AM4342))</f>
        <v>7174</v>
      </c>
      <c r="AO4343" s="151">
        <f>AM4331</f>
        <v>163052.23798820027</v>
      </c>
      <c r="AP4343" s="135"/>
      <c r="AQ4343" s="132">
        <f>IF(AP4336&lt;=0,W_max,ABS(AP$23-AP4342))</f>
        <v>7174</v>
      </c>
      <c r="AR4343" s="151">
        <f>AP4331</f>
        <v>181912.22077637512</v>
      </c>
      <c r="AS4343" s="135"/>
      <c r="AT4343" s="132">
        <f>IF(AS4336&lt;=0,W_max,ABS(AS$23-AS4342))</f>
        <v>7174</v>
      </c>
      <c r="AU4343" s="151">
        <f>AS4331</f>
        <v>202953.7065917945</v>
      </c>
    </row>
    <row r="4344" spans="13:47" ht="13" x14ac:dyDescent="0.25">
      <c r="M4344" s="12"/>
      <c r="N4344" s="12"/>
      <c r="O4344" s="2"/>
      <c r="P4344" s="85"/>
      <c r="Q4344" s="2"/>
      <c r="R4344" s="18"/>
      <c r="S4344" s="150"/>
      <c r="T4344" s="152"/>
      <c r="U4344" s="157"/>
      <c r="V4344" s="1"/>
      <c r="W4344" s="147"/>
      <c r="X4344" s="157"/>
      <c r="Y4344" s="1"/>
      <c r="Z4344" s="147"/>
      <c r="AA4344" s="157"/>
      <c r="AB4344" s="1"/>
      <c r="AC4344" s="147"/>
      <c r="AD4344" s="157"/>
      <c r="AE4344" s="1"/>
      <c r="AF4344" s="147"/>
      <c r="AG4344" s="157"/>
      <c r="AH4344" s="1"/>
      <c r="AI4344" s="147"/>
      <c r="AJ4344" s="157"/>
      <c r="AK4344" s="1"/>
      <c r="AL4344" s="147"/>
      <c r="AM4344" s="157"/>
      <c r="AN4344" s="1"/>
      <c r="AO4344" s="147"/>
      <c r="AP4344" s="157"/>
      <c r="AQ4344" s="1"/>
      <c r="AR4344" s="147"/>
      <c r="AS4344" s="157"/>
      <c r="AT4344" s="1"/>
      <c r="AU4344" s="147"/>
    </row>
    <row r="4345" spans="13:47" ht="14" x14ac:dyDescent="0.3">
      <c r="M4345" s="23"/>
      <c r="N4345" s="23"/>
      <c r="O4345" s="23" t="s">
        <v>238</v>
      </c>
      <c r="P4345" s="20"/>
      <c r="Q4345" s="20"/>
      <c r="R4345" s="181">
        <f>R4331*1.02</f>
        <v>5101.0360096198729</v>
      </c>
      <c r="S4345" s="128" t="s">
        <v>185</v>
      </c>
      <c r="T4345" s="153" t="s">
        <v>186</v>
      </c>
      <c r="U4345" s="143">
        <f>U4331*1.01</f>
        <v>9954.529345329709</v>
      </c>
      <c r="V4345" s="128" t="s">
        <v>185</v>
      </c>
      <c r="W4345" s="153" t="s">
        <v>186</v>
      </c>
      <c r="X4345" s="143">
        <f>X4331*1.01</f>
        <v>24618.735673878695</v>
      </c>
      <c r="Y4345" s="128" t="s">
        <v>185</v>
      </c>
      <c r="Z4345" s="153" t="s">
        <v>186</v>
      </c>
      <c r="AA4345" s="143">
        <f>AA4331*1.01</f>
        <v>47951.013273352568</v>
      </c>
      <c r="AB4345" s="128" t="s">
        <v>185</v>
      </c>
      <c r="AC4345" s="153" t="s">
        <v>186</v>
      </c>
      <c r="AD4345" s="143">
        <f>AD4331*1.01</f>
        <v>78861.762319014</v>
      </c>
      <c r="AE4345" s="128" t="s">
        <v>185</v>
      </c>
      <c r="AF4345" s="153" t="s">
        <v>186</v>
      </c>
      <c r="AG4345" s="143">
        <f>AG4331*1.01</f>
        <v>110609.69291742379</v>
      </c>
      <c r="AH4345" s="128" t="s">
        <v>185</v>
      </c>
      <c r="AI4345" s="153" t="s">
        <v>186</v>
      </c>
      <c r="AJ4345" s="143">
        <f>AJ4331*1.01</f>
        <v>140444.95956072811</v>
      </c>
      <c r="AK4345" s="128" t="s">
        <v>185</v>
      </c>
      <c r="AL4345" s="153" t="s">
        <v>186</v>
      </c>
      <c r="AM4345" s="143">
        <f>AM4331*1.01</f>
        <v>164682.76036808226</v>
      </c>
      <c r="AN4345" s="128" t="s">
        <v>185</v>
      </c>
      <c r="AO4345" s="153" t="s">
        <v>186</v>
      </c>
      <c r="AP4345" s="143">
        <f>AP4331*1.01</f>
        <v>183731.34298413887</v>
      </c>
      <c r="AQ4345" s="128" t="s">
        <v>185</v>
      </c>
      <c r="AR4345" s="153" t="s">
        <v>186</v>
      </c>
      <c r="AS4345" s="143">
        <f>AS4331*1.01</f>
        <v>204983.24365771245</v>
      </c>
      <c r="AT4345" s="128" t="s">
        <v>185</v>
      </c>
      <c r="AU4345" s="153" t="s">
        <v>186</v>
      </c>
    </row>
    <row r="4346" spans="13:47" ht="14" x14ac:dyDescent="0.3">
      <c r="M4346" s="12"/>
      <c r="N4346" s="12"/>
      <c r="O4346" s="20"/>
      <c r="P4346" s="20"/>
      <c r="Q4346" s="23"/>
      <c r="R4346" s="139"/>
      <c r="S4346" s="130" t="s">
        <v>228</v>
      </c>
      <c r="T4346" s="154" t="s">
        <v>187</v>
      </c>
      <c r="U4346" s="144"/>
      <c r="V4346" s="130" t="s">
        <v>228</v>
      </c>
      <c r="W4346" s="154" t="s">
        <v>187</v>
      </c>
      <c r="X4346" s="144"/>
      <c r="Y4346" s="130" t="s">
        <v>228</v>
      </c>
      <c r="Z4346" s="154" t="s">
        <v>187</v>
      </c>
      <c r="AA4346" s="144"/>
      <c r="AB4346" s="130" t="s">
        <v>228</v>
      </c>
      <c r="AC4346" s="154" t="s">
        <v>187</v>
      </c>
      <c r="AD4346" s="144"/>
      <c r="AE4346" s="130" t="s">
        <v>228</v>
      </c>
      <c r="AF4346" s="154" t="s">
        <v>187</v>
      </c>
      <c r="AG4346" s="144"/>
      <c r="AH4346" s="130" t="s">
        <v>228</v>
      </c>
      <c r="AI4346" s="154" t="s">
        <v>187</v>
      </c>
      <c r="AJ4346" s="144"/>
      <c r="AK4346" s="130" t="s">
        <v>228</v>
      </c>
      <c r="AL4346" s="154" t="s">
        <v>187</v>
      </c>
      <c r="AM4346" s="144"/>
      <c r="AN4346" s="130" t="s">
        <v>228</v>
      </c>
      <c r="AO4346" s="154" t="s">
        <v>187</v>
      </c>
      <c r="AP4346" s="144"/>
      <c r="AQ4346" s="130" t="s">
        <v>228</v>
      </c>
      <c r="AR4346" s="154" t="s">
        <v>187</v>
      </c>
      <c r="AS4346" s="144"/>
      <c r="AT4346" s="130" t="s">
        <v>228</v>
      </c>
      <c r="AU4346" s="154" t="s">
        <v>187</v>
      </c>
    </row>
    <row r="4347" spans="13:47" x14ac:dyDescent="0.25">
      <c r="M4347" s="20"/>
      <c r="N4347" s="20"/>
      <c r="O4347" s="7" t="s">
        <v>188</v>
      </c>
      <c r="P4347" s="7"/>
      <c r="Q4347" s="7"/>
      <c r="R4347" s="181">
        <f>P_1_minW-(R4345^2*R_up)+dpup_minQ</f>
        <v>90.146777105576192</v>
      </c>
      <c r="S4347" s="132"/>
      <c r="T4347" s="145"/>
      <c r="U4347" s="138">
        <f>P_1_minW-(U4345^2*R_up)+dpup_minQ</f>
        <v>61.008417847602708</v>
      </c>
      <c r="V4347" s="132"/>
      <c r="W4347" s="145"/>
      <c r="X4347" s="138">
        <f>P_1_minW-(X4345^2*R_up)+dpup_minQ</f>
        <v>-141.15964295754699</v>
      </c>
      <c r="Y4347" s="132"/>
      <c r="Z4347" s="145"/>
      <c r="AA4347" s="138">
        <f>P_1_minW-(AA4345^2*R_up)+dpup_minQ</f>
        <v>-816.35017395934642</v>
      </c>
      <c r="AB4347" s="132"/>
      <c r="AC4347" s="145"/>
      <c r="AD4347" s="138">
        <f>P_1_minW-(AD4345^2*R_up)+dpup_minQ</f>
        <v>-2379.4478771766717</v>
      </c>
      <c r="AE4347" s="132"/>
      <c r="AF4347" s="145"/>
      <c r="AG4347" s="138">
        <f>P_1_minW-(AG4345^2*R_up)+dpup_minQ</f>
        <v>-4778.1305639510374</v>
      </c>
      <c r="AH4347" s="132"/>
      <c r="AI4347" s="145"/>
      <c r="AJ4347" s="138">
        <f>P_1_minW-(AJ4345^2*R_up)+dpup_minQ</f>
        <v>-7764.9693692150213</v>
      </c>
      <c r="AK4347" s="132"/>
      <c r="AL4347" s="145"/>
      <c r="AM4347" s="138">
        <f>P_1_minW-(AM4345^2*R_up)+dpup_minQ</f>
        <v>-10714.062335148599</v>
      </c>
      <c r="AN4347" s="132"/>
      <c r="AO4347" s="145"/>
      <c r="AP4347" s="138">
        <f>P_1_minW-(AP4345^2*R_up)+dpup_minQ</f>
        <v>-13360.562831100287</v>
      </c>
      <c r="AQ4347" s="132"/>
      <c r="AR4347" s="145"/>
      <c r="AS4347" s="138">
        <f>P_1_minW-(AS4345^2*R_up)+dpup_minQ</f>
        <v>-16654.703971250034</v>
      </c>
      <c r="AT4347" s="132"/>
      <c r="AU4347" s="145"/>
    </row>
    <row r="4348" spans="13:47" x14ac:dyDescent="0.25">
      <c r="M4348" s="20"/>
      <c r="N4348" s="20"/>
      <c r="O4348" s="7" t="s">
        <v>189</v>
      </c>
      <c r="P4348" s="1"/>
      <c r="Q4348" s="7"/>
      <c r="R4348" s="181">
        <f>P_2_minW+(R4345^2*R_dn)-dpdn_minQ</f>
        <v>50</v>
      </c>
      <c r="S4348" s="132"/>
      <c r="T4348" s="146"/>
      <c r="U4348" s="138">
        <f>P_2_minW+(U4345^2*R_dn)-dpdn_minQ</f>
        <v>50</v>
      </c>
      <c r="V4348" s="132"/>
      <c r="W4348" s="146"/>
      <c r="X4348" s="138">
        <f>P_2_minW+(X4345^2*R_dn)-dpdn_minQ</f>
        <v>50</v>
      </c>
      <c r="Y4348" s="132"/>
      <c r="Z4348" s="146"/>
      <c r="AA4348" s="138">
        <f>P_2_minW+(AA4345^2*R_dn)-dpdn_minQ</f>
        <v>50</v>
      </c>
      <c r="AB4348" s="132"/>
      <c r="AC4348" s="146"/>
      <c r="AD4348" s="138">
        <f>P_2_minW+(AD4345^2*R_dn)-dpdn_minQ</f>
        <v>50</v>
      </c>
      <c r="AE4348" s="132"/>
      <c r="AF4348" s="146"/>
      <c r="AG4348" s="138">
        <f>P_2_minW+(AG4345^2*R_dn)-dpdn_minQ</f>
        <v>50</v>
      </c>
      <c r="AH4348" s="132"/>
      <c r="AI4348" s="146"/>
      <c r="AJ4348" s="138">
        <f>P_2_minW+(AJ4345^2*R_dn)-dpdn_minQ</f>
        <v>50</v>
      </c>
      <c r="AK4348" s="132"/>
      <c r="AL4348" s="146"/>
      <c r="AM4348" s="138">
        <f>P_2_minW+(AM4345^2*R_dn)-dpdn_minQ</f>
        <v>50</v>
      </c>
      <c r="AN4348" s="132"/>
      <c r="AO4348" s="146"/>
      <c r="AP4348" s="138">
        <f>P_2_minW+(AP4345^2*R_dn)-dpdn_minQ</f>
        <v>50</v>
      </c>
      <c r="AQ4348" s="132"/>
      <c r="AR4348" s="146"/>
      <c r="AS4348" s="138">
        <f>P_2_minW+(AS4345^2*R_dn)-dpdn_minQ</f>
        <v>50</v>
      </c>
      <c r="AT4348" s="132"/>
      <c r="AU4348" s="146"/>
    </row>
    <row r="4349" spans="13:47" x14ac:dyDescent="0.25">
      <c r="M4349" s="20"/>
      <c r="N4349" s="20"/>
      <c r="O4349" s="7" t="s">
        <v>234</v>
      </c>
      <c r="P4349" s="1"/>
      <c r="Q4349" s="7"/>
      <c r="R4349" s="179">
        <f>'Valve Sizing'!G$8*R4347/P_1_maxW</f>
        <v>0.43485200311287314</v>
      </c>
      <c r="S4349" s="132"/>
      <c r="T4349" s="146"/>
      <c r="U4349" s="143">
        <f>'Valve Sizing'!$G$8*U4347/P_1_maxW</f>
        <v>0.29429374581752143</v>
      </c>
      <c r="V4349" s="132"/>
      <c r="W4349" s="146"/>
      <c r="X4349" s="143">
        <f>'Valve Sizing'!$G$8*X4347/P_1_maxW</f>
        <v>-0.68092898570181171</v>
      </c>
      <c r="Y4349" s="132"/>
      <c r="Z4349" s="146"/>
      <c r="AA4349" s="143">
        <f>'Valve Sizing'!$G$8*AA4347/P_1_maxW</f>
        <v>-3.9379278969897378</v>
      </c>
      <c r="AB4349" s="132"/>
      <c r="AC4349" s="146"/>
      <c r="AD4349" s="143">
        <f>'Valve Sizing'!$G$8*AD4347/P_1_maxW</f>
        <v>-11.47803292491691</v>
      </c>
      <c r="AE4349" s="132"/>
      <c r="AF4349" s="146"/>
      <c r="AG4349" s="143">
        <f>'Valve Sizing'!$G$8*AG4347/P_1_maxW</f>
        <v>-23.048851146786326</v>
      </c>
      <c r="AH4349" s="132"/>
      <c r="AI4349" s="146"/>
      <c r="AJ4349" s="143">
        <f>'Valve Sizing'!$G$8*AJ4347/P_1_maxW</f>
        <v>-37.456829769506967</v>
      </c>
      <c r="AK4349" s="132"/>
      <c r="AL4349" s="146"/>
      <c r="AM4349" s="143">
        <f>'Valve Sizing'!$G$8*AM4347/P_1_maxW</f>
        <v>-51.682729183530213</v>
      </c>
      <c r="AN4349" s="132"/>
      <c r="AO4349" s="146"/>
      <c r="AP4349" s="143">
        <f>'Valve Sizing'!$G$8*AP4347/P_1_maxW</f>
        <v>-64.448976395629558</v>
      </c>
      <c r="AQ4349" s="132"/>
      <c r="AR4349" s="146"/>
      <c r="AS4349" s="143">
        <f>'Valve Sizing'!$G$8*AS4347/P_1_maxW</f>
        <v>-80.339326770030624</v>
      </c>
      <c r="AT4349" s="132"/>
      <c r="AU4349" s="146"/>
    </row>
    <row r="4350" spans="13:47" x14ac:dyDescent="0.25">
      <c r="M4350" s="20"/>
      <c r="N4350" s="20"/>
      <c r="O4350" s="7" t="s">
        <v>190</v>
      </c>
      <c r="P4350" s="1"/>
      <c r="Q4350" s="7"/>
      <c r="R4350" s="181">
        <f>R4347-R4348</f>
        <v>40.146777105576192</v>
      </c>
      <c r="S4350" s="132"/>
      <c r="T4350" s="146"/>
      <c r="U4350" s="138">
        <f>U4347-U4348</f>
        <v>11.008417847602708</v>
      </c>
      <c r="V4350" s="132"/>
      <c r="W4350" s="146"/>
      <c r="X4350" s="138">
        <f>X4347-X4348</f>
        <v>-191.15964295754699</v>
      </c>
      <c r="Y4350" s="132"/>
      <c r="Z4350" s="146"/>
      <c r="AA4350" s="138">
        <f>AA4347-AA4348</f>
        <v>-866.35017395934642</v>
      </c>
      <c r="AB4350" s="132"/>
      <c r="AC4350" s="146"/>
      <c r="AD4350" s="138">
        <f>AD4347-AD4348</f>
        <v>-2429.4478771766717</v>
      </c>
      <c r="AE4350" s="132"/>
      <c r="AF4350" s="146"/>
      <c r="AG4350" s="138">
        <f>AG4347-AG4348</f>
        <v>-4828.1305639510374</v>
      </c>
      <c r="AH4350" s="132"/>
      <c r="AI4350" s="146"/>
      <c r="AJ4350" s="138">
        <f>AJ4347-AJ4348</f>
        <v>-7814.9693692150213</v>
      </c>
      <c r="AK4350" s="132"/>
      <c r="AL4350" s="146"/>
      <c r="AM4350" s="138">
        <f>AM4347-AM4348</f>
        <v>-10764.062335148599</v>
      </c>
      <c r="AN4350" s="132"/>
      <c r="AO4350" s="146"/>
      <c r="AP4350" s="138">
        <f>AP4347-AP4348</f>
        <v>-13410.562831100287</v>
      </c>
      <c r="AQ4350" s="132"/>
      <c r="AR4350" s="146"/>
      <c r="AS4350" s="138">
        <f>AS4347-AS4348</f>
        <v>-16704.703971250034</v>
      </c>
      <c r="AT4350" s="132"/>
      <c r="AU4350" s="146"/>
    </row>
    <row r="4351" spans="13:47" ht="14.5" x14ac:dyDescent="0.35">
      <c r="M4351" s="27"/>
      <c r="N4351" s="27"/>
      <c r="O4351" s="2" t="s">
        <v>191</v>
      </c>
      <c r="P4351" s="10"/>
      <c r="Q4351" s="2"/>
      <c r="R4351" s="181">
        <f>R4350/R4347</f>
        <v>0.44534900075859551</v>
      </c>
      <c r="S4351" s="132"/>
      <c r="T4351" s="146"/>
      <c r="U4351" s="138">
        <f>U4350/U4347</f>
        <v>0.18044096595164003</v>
      </c>
      <c r="V4351" s="132"/>
      <c r="W4351" s="146"/>
      <c r="X4351" s="138">
        <f>X4350/X4347</f>
        <v>1.3542088868490354</v>
      </c>
      <c r="Y4351" s="132"/>
      <c r="Z4351" s="146"/>
      <c r="AA4351" s="138">
        <f>AA4350/AA4347</f>
        <v>1.0612482260614915</v>
      </c>
      <c r="AB4351" s="132"/>
      <c r="AC4351" s="146"/>
      <c r="AD4351" s="138">
        <f>AD4350/AD4347</f>
        <v>1.0210132781136301</v>
      </c>
      <c r="AE4351" s="132"/>
      <c r="AF4351" s="146"/>
      <c r="AG4351" s="138">
        <f>AG4350/AG4347</f>
        <v>1.0104643436027532</v>
      </c>
      <c r="AH4351" s="132"/>
      <c r="AI4351" s="146"/>
      <c r="AJ4351" s="138">
        <f>AJ4350/AJ4347</f>
        <v>1.0064391754329682</v>
      </c>
      <c r="AK4351" s="132"/>
      <c r="AL4351" s="146"/>
      <c r="AM4351" s="138">
        <f>AM4350/AM4347</f>
        <v>1.0046667639627194</v>
      </c>
      <c r="AN4351" s="132"/>
      <c r="AO4351" s="146"/>
      <c r="AP4351" s="138">
        <f>AP4350/AP4347</f>
        <v>1.0037423573117452</v>
      </c>
      <c r="AQ4351" s="132"/>
      <c r="AR4351" s="146"/>
      <c r="AS4351" s="138">
        <f>AS4350/AS4347</f>
        <v>1.0030021548318309</v>
      </c>
      <c r="AT4351" s="132"/>
      <c r="AU4351" s="146"/>
    </row>
    <row r="4352" spans="13:47" x14ac:dyDescent="0.25">
      <c r="M4352" s="27"/>
      <c r="N4352" s="27"/>
      <c r="O4352" s="2" t="s">
        <v>26</v>
      </c>
      <c r="P4352" s="7">
        <v>12</v>
      </c>
      <c r="Q4352" s="2"/>
      <c r="R4352" s="181">
        <f>1-R4351/(3*F_GAMMA*R$29)</f>
        <v>0.76805713709342549</v>
      </c>
      <c r="S4352" s="133"/>
      <c r="T4352" s="146"/>
      <c r="U4352" s="138">
        <f>1-U4351/(3*F_GAMMA*U$29)</f>
        <v>0.90604496835009862</v>
      </c>
      <c r="V4352" s="133"/>
      <c r="W4352" s="146"/>
      <c r="X4352" s="138">
        <f>1-X4351/(3*F_GAMMA*X$29)</f>
        <v>0.28428967491159018</v>
      </c>
      <c r="Y4352" s="133"/>
      <c r="Z4352" s="146"/>
      <c r="AA4352" s="138">
        <f>1-AA4351/(3*F_GAMMA*AA$29)</f>
        <v>0.43143132694549968</v>
      </c>
      <c r="AB4352" s="133"/>
      <c r="AC4352" s="146"/>
      <c r="AD4352" s="138">
        <f>1-AD4351/(3*F_GAMMA*AD$29)</f>
        <v>0.4379894647602719</v>
      </c>
      <c r="AE4352" s="133"/>
      <c r="AF4352" s="146"/>
      <c r="AG4352" s="138">
        <f>1-AG4351/(3*F_GAMMA*AG$29)</f>
        <v>0.41206931053900164</v>
      </c>
      <c r="AH4352" s="133"/>
      <c r="AI4352" s="146"/>
      <c r="AJ4352" s="138">
        <f>1-AJ4351/(3*F_GAMMA*AJ$29)</f>
        <v>0.37399776551679997</v>
      </c>
      <c r="AK4352" s="133"/>
      <c r="AL4352" s="146"/>
      <c r="AM4352" s="138">
        <f>1-AM4351/(3*F_GAMMA*AM$29)</f>
        <v>0.31723342349314232</v>
      </c>
      <c r="AN4352" s="133"/>
      <c r="AO4352" s="146"/>
      <c r="AP4352" s="138">
        <f>1-AP4351/(3*F_GAMMA*AP$29)</f>
        <v>0.436286448774865</v>
      </c>
      <c r="AQ4352" s="133"/>
      <c r="AR4352" s="146"/>
      <c r="AS4352" s="138">
        <f>1-AS4351/(3*F_GAMMA*AS$29)</f>
        <v>0.14486492471355239</v>
      </c>
      <c r="AT4352" s="133"/>
      <c r="AU4352" s="146"/>
    </row>
    <row r="4353" spans="13:47" x14ac:dyDescent="0.25">
      <c r="M4353" s="27"/>
      <c r="N4353" s="27"/>
      <c r="O4353" s="2" t="s">
        <v>71</v>
      </c>
      <c r="P4353" s="85">
        <v>5</v>
      </c>
      <c r="Q4353" s="2"/>
      <c r="R4353" s="179">
        <f>R4345/((N_6*R$27*R4352)*SQRT(R4351*R4347*R4349))</f>
        <v>25.114036951904893</v>
      </c>
      <c r="S4353" s="133"/>
      <c r="T4353" s="146"/>
      <c r="U4353" s="143">
        <f>U4345/((N_6*U$27*U4352)*SQRT(U4351*U4347*U4349))</f>
        <v>96.501868374808012</v>
      </c>
      <c r="V4353" s="133"/>
      <c r="W4353" s="146"/>
      <c r="X4353" s="143">
        <f>X4345/((N_6*X$27*X4352)*SQRT(X4351*X4347*X4349))</f>
        <v>120.26376026582155</v>
      </c>
      <c r="Y4353" s="133"/>
      <c r="Z4353" s="146"/>
      <c r="AA4353" s="143">
        <f>AA4345/((N_6*AA$27*AA4352)*SQRT(AA4351*AA4347*AA4349))</f>
        <v>30.323213032523466</v>
      </c>
      <c r="AB4353" s="133"/>
      <c r="AC4353" s="146"/>
      <c r="AD4353" s="143">
        <f>AD4345/((N_6*AD$27*AD4352)*SQRT(AD4351*AD4347*AD4349))</f>
        <v>17.387201462619892</v>
      </c>
      <c r="AE4353" s="133"/>
      <c r="AF4353" s="146"/>
      <c r="AG4353" s="143">
        <f>AG4345/((N_6*AG$27*AG4352)*SQRT(AG4351*AG4347*AG4349))</f>
        <v>13.255432164446873</v>
      </c>
      <c r="AH4353" s="133"/>
      <c r="AI4353" s="146"/>
      <c r="AJ4353" s="143">
        <f>AJ4345/((N_6*AJ$27*AJ4352)*SQRT(AJ4351*AJ4347*AJ4349))</f>
        <v>11.826403637179665</v>
      </c>
      <c r="AK4353" s="133"/>
      <c r="AL4353" s="146"/>
      <c r="AM4353" s="143">
        <f>AM4345/((N_6*AM$27*AM4352)*SQRT(AM4351*AM4347*AM4349))</f>
        <v>12.587437241930163</v>
      </c>
      <c r="AN4353" s="133"/>
      <c r="AO4353" s="146"/>
      <c r="AP4353" s="143">
        <f>AP4345/((N_6*AP$27*AP4352)*SQRT(AP4351*AP4347*AP4349))</f>
        <v>9.3060005491212152</v>
      </c>
      <c r="AQ4353" s="133"/>
      <c r="AR4353" s="146"/>
      <c r="AS4353" s="143">
        <f>AS4345/((N_6*AS$27*AS4352)*SQRT(AS4351*AS4347*AS4349))</f>
        <v>32.971758604251399</v>
      </c>
      <c r="AT4353" s="133"/>
      <c r="AU4353" s="146"/>
    </row>
    <row r="4354" spans="13:47" x14ac:dyDescent="0.25">
      <c r="M4354" s="27"/>
      <c r="N4354" s="27"/>
      <c r="O4354" s="2" t="s">
        <v>73</v>
      </c>
      <c r="P4354" s="85">
        <v>5</v>
      </c>
      <c r="Q4354" s="2"/>
      <c r="R4354" s="179">
        <f>R4345/((N_6*R$27*0.667)*SQRT(R4355*R4347*R4349))</f>
        <v>24.123224481062618</v>
      </c>
      <c r="S4354" s="133"/>
      <c r="T4354" s="155"/>
      <c r="U4354" s="143">
        <f>U4345/((N_6*U$27*0.667)*SQRT(U4355*U4347*U4349))</f>
        <v>69.595360649597808</v>
      </c>
      <c r="V4354" s="133"/>
      <c r="W4354" s="155"/>
      <c r="X4354" s="143">
        <f>X4345/((N_6*X$27*0.667)*SQRT(X4355*X4347*X4349))</f>
        <v>75.11026605282062</v>
      </c>
      <c r="Y4354" s="133"/>
      <c r="Z4354" s="155"/>
      <c r="AA4354" s="143">
        <f>AA4345/((N_6*AA$27*0.667)*SQRT(AA4355*AA4347*AA4349))</f>
        <v>25.616108310510938</v>
      </c>
      <c r="AB4354" s="133"/>
      <c r="AC4354" s="155"/>
      <c r="AD4354" s="143">
        <f>AD4345/((N_6*AD$27*0.667)*SQRT(AD4355*AD4347*AD4349))</f>
        <v>14.825193561904653</v>
      </c>
      <c r="AE4354" s="133"/>
      <c r="AF4354" s="155"/>
      <c r="AG4354" s="143">
        <f>AG4345/((N_6*AG$27*0.667)*SQRT(AG4355*AG4347*AG4349))</f>
        <v>10.875820252249019</v>
      </c>
      <c r="AH4354" s="133"/>
      <c r="AI4354" s="155"/>
      <c r="AJ4354" s="143">
        <f>AJ4345/((N_6*AJ$27*0.667)*SQRT(AJ4355*AJ4347*AJ4349))</f>
        <v>9.0875003393312639</v>
      </c>
      <c r="AK4354" s="133"/>
      <c r="AL4354" s="155"/>
      <c r="AM4354" s="143">
        <f>AM4345/((N_6*AM$27*0.667)*SQRT(AM4355*AM4347*AM4349))</f>
        <v>8.5681522738150626</v>
      </c>
      <c r="AN4354" s="133"/>
      <c r="AO4354" s="155"/>
      <c r="AP4354" s="143">
        <f>AP4345/((N_6*AP$27*0.667)*SQRT(AP4355*AP4347*AP4349))</f>
        <v>7.9158731956708435</v>
      </c>
      <c r="AQ4354" s="133"/>
      <c r="AR4354" s="155"/>
      <c r="AS4354" s="143">
        <f>AS4345/((N_6*AS$27*0.667)*SQRT(AS4355*AS4347*AS4349))</f>
        <v>11.46984397643749</v>
      </c>
      <c r="AT4354" s="133"/>
      <c r="AU4354" s="155"/>
    </row>
    <row r="4355" spans="13:47" ht="15.5" x14ac:dyDescent="0.4">
      <c r="M4355" s="27"/>
      <c r="N4355" s="27"/>
      <c r="O4355" s="2" t="s">
        <v>192</v>
      </c>
      <c r="P4355" s="85">
        <v>10</v>
      </c>
      <c r="Q4355" s="2"/>
      <c r="R4355" s="181">
        <f>F_GAMMA*R$29</f>
        <v>0.64002688015162901</v>
      </c>
      <c r="S4355" s="133"/>
      <c r="T4355" s="155"/>
      <c r="U4355" s="138">
        <f>F_GAMMA*U$29</f>
        <v>0.64016782916606918</v>
      </c>
      <c r="V4355" s="133"/>
      <c r="W4355" s="155"/>
      <c r="X4355" s="138">
        <f>F_GAMMA*X$29</f>
        <v>0.6307062319203669</v>
      </c>
      <c r="Y4355" s="133"/>
      <c r="Z4355" s="155"/>
      <c r="AA4355" s="138">
        <f>F_GAMMA*AA$29</f>
        <v>0.62217534213893466</v>
      </c>
      <c r="AB4355" s="133"/>
      <c r="AC4355" s="155"/>
      <c r="AD4355" s="138">
        <f>F_GAMMA*AD$29</f>
        <v>0.60557184969146072</v>
      </c>
      <c r="AE4355" s="133"/>
      <c r="AF4355" s="155"/>
      <c r="AG4355" s="138">
        <f>F_GAMMA*AG$29</f>
        <v>0.57289312142622573</v>
      </c>
      <c r="AH4355" s="133"/>
      <c r="AI4355" s="155"/>
      <c r="AJ4355" s="138">
        <f>F_GAMMA*AJ$29</f>
        <v>0.53590819116049981</v>
      </c>
      <c r="AK4355" s="133"/>
      <c r="AL4355" s="155"/>
      <c r="AM4355" s="138">
        <f>F_GAMMA*AM$29</f>
        <v>0.49048815926850342</v>
      </c>
      <c r="AN4355" s="133"/>
      <c r="AO4355" s="155"/>
      <c r="AP4355" s="138">
        <f>F_GAMMA*AP$29</f>
        <v>0.59352979016280105</v>
      </c>
      <c r="AQ4355" s="133"/>
      <c r="AR4355" s="155"/>
      <c r="AS4355" s="138">
        <f>F_GAMMA*AS$29</f>
        <v>0.39097221161068291</v>
      </c>
      <c r="AT4355" s="133"/>
      <c r="AU4355" s="155"/>
    </row>
    <row r="4356" spans="13:47" x14ac:dyDescent="0.25">
      <c r="M4356" s="27"/>
      <c r="N4356" s="27"/>
      <c r="O4356" s="2" t="s">
        <v>193</v>
      </c>
      <c r="P4356" s="134"/>
      <c r="Q4356" s="2"/>
      <c r="R4356" s="181">
        <f>IF(R4351&lt;R4355,R4353,R4354)</f>
        <v>25.114036951904893</v>
      </c>
      <c r="S4356" s="133"/>
      <c r="T4356" s="155"/>
      <c r="U4356" s="138">
        <f>IF(U4351&lt;U4355,U4353,U4354)</f>
        <v>96.501868374808012</v>
      </c>
      <c r="V4356" s="133"/>
      <c r="W4356" s="155"/>
      <c r="X4356" s="138">
        <f>IF(X4351&lt;X4355,X4353,X4354)</f>
        <v>75.11026605282062</v>
      </c>
      <c r="Y4356" s="133"/>
      <c r="Z4356" s="155"/>
      <c r="AA4356" s="138">
        <f>IF(AA4351&lt;AA4355,AA4353,AA4354)</f>
        <v>25.616108310510938</v>
      </c>
      <c r="AB4356" s="133"/>
      <c r="AC4356" s="155"/>
      <c r="AD4356" s="138">
        <f>IF(AD4351&lt;AD4355,AD4353,AD4354)</f>
        <v>14.825193561904653</v>
      </c>
      <c r="AE4356" s="133"/>
      <c r="AF4356" s="155"/>
      <c r="AG4356" s="138">
        <f>IF(AG4351&lt;AG4355,AG4353,AG4354)</f>
        <v>10.875820252249019</v>
      </c>
      <c r="AH4356" s="133"/>
      <c r="AI4356" s="155"/>
      <c r="AJ4356" s="138">
        <f>IF(AJ4351&lt;AJ4355,AJ4353,AJ4354)</f>
        <v>9.0875003393312639</v>
      </c>
      <c r="AK4356" s="133"/>
      <c r="AL4356" s="155"/>
      <c r="AM4356" s="138">
        <f>IF(AM4351&lt;AM4355,AM4353,AM4354)</f>
        <v>8.5681522738150626</v>
      </c>
      <c r="AN4356" s="133"/>
      <c r="AO4356" s="155"/>
      <c r="AP4356" s="138">
        <f>IF(AP4351&lt;AP4355,AP4353,AP4354)</f>
        <v>7.9158731956708435</v>
      </c>
      <c r="AQ4356" s="133"/>
      <c r="AR4356" s="155"/>
      <c r="AS4356" s="138">
        <f>IF(AS4351&lt;AS4355,AS4353,AS4354)</f>
        <v>11.46984397643749</v>
      </c>
      <c r="AT4356" s="133"/>
      <c r="AU4356" s="155"/>
    </row>
    <row r="4357" spans="13:47" ht="13" x14ac:dyDescent="0.3">
      <c r="M4357" s="28"/>
      <c r="N4357" s="28"/>
      <c r="O4357" s="9" t="s">
        <v>194</v>
      </c>
      <c r="P4357" s="1"/>
      <c r="Q4357" s="1"/>
      <c r="R4357" s="135"/>
      <c r="S4357" s="132">
        <f>IF(R4350&lt;=0,W_max,ABS(R$23-R4356))</f>
        <v>23.114036951904893</v>
      </c>
      <c r="T4357" s="151">
        <f>R4345</f>
        <v>5101.0360096198729</v>
      </c>
      <c r="U4357" s="135"/>
      <c r="V4357" s="132">
        <f>IF(U4350&lt;=0,W_max,ABS(U$23-U4356))</f>
        <v>91.501868374808012</v>
      </c>
      <c r="W4357" s="151">
        <f>U4345</f>
        <v>9954.529345329709</v>
      </c>
      <c r="X4357" s="135"/>
      <c r="Y4357" s="132">
        <f>IF(X4350&lt;=0,W_max,ABS(X$23-X4356))</f>
        <v>7174</v>
      </c>
      <c r="Z4357" s="151">
        <f>X4345</f>
        <v>24618.735673878695</v>
      </c>
      <c r="AA4357" s="135"/>
      <c r="AB4357" s="132">
        <f>IF(AA4350&lt;=0,W_max,ABS(AA$23-AA4356))</f>
        <v>7174</v>
      </c>
      <c r="AC4357" s="151">
        <f>AA4345</f>
        <v>47951.013273352568</v>
      </c>
      <c r="AD4357" s="135"/>
      <c r="AE4357" s="132">
        <f>IF(AD4350&lt;=0,W_max,ABS(AD$23-AD4356))</f>
        <v>7174</v>
      </c>
      <c r="AF4357" s="151">
        <f>AD4345</f>
        <v>78861.762319014</v>
      </c>
      <c r="AG4357" s="135"/>
      <c r="AH4357" s="132">
        <f>IF(AG4350&lt;=0,W_max,ABS(AG$23-AG4356))</f>
        <v>7174</v>
      </c>
      <c r="AI4357" s="151">
        <f>AG4345</f>
        <v>110609.69291742379</v>
      </c>
      <c r="AJ4357" s="135"/>
      <c r="AK4357" s="132">
        <f>IF(AJ4350&lt;=0,W_max,ABS(AJ$23-AJ4356))</f>
        <v>7174</v>
      </c>
      <c r="AL4357" s="151">
        <f>AJ4345</f>
        <v>140444.95956072811</v>
      </c>
      <c r="AM4357" s="135"/>
      <c r="AN4357" s="132">
        <f>IF(AM4350&lt;=0,W_max,ABS(AM$23-AM4356))</f>
        <v>7174</v>
      </c>
      <c r="AO4357" s="151">
        <f>AM4345</f>
        <v>164682.76036808226</v>
      </c>
      <c r="AP4357" s="135"/>
      <c r="AQ4357" s="132">
        <f>IF(AP4350&lt;=0,W_max,ABS(AP$23-AP4356))</f>
        <v>7174</v>
      </c>
      <c r="AR4357" s="151">
        <f>AP4345</f>
        <v>183731.34298413887</v>
      </c>
      <c r="AS4357" s="135"/>
      <c r="AT4357" s="132">
        <f>IF(AS4350&lt;=0,W_max,ABS(AS$23-AS4356))</f>
        <v>7174</v>
      </c>
      <c r="AU4357" s="151">
        <f>AS4345</f>
        <v>204983.24365771245</v>
      </c>
    </row>
    <row r="4358" spans="13:47" ht="13" x14ac:dyDescent="0.25">
      <c r="M4358" s="12"/>
      <c r="N4358" s="12"/>
      <c r="O4358" s="2"/>
      <c r="P4358" s="85"/>
      <c r="Q4358" s="2"/>
      <c r="R4358" s="18"/>
      <c r="S4358" s="150"/>
      <c r="T4358" s="148"/>
      <c r="U4358" s="157"/>
      <c r="V4358" s="1"/>
      <c r="W4358" s="147"/>
      <c r="X4358" s="157"/>
      <c r="Y4358" s="1"/>
      <c r="Z4358" s="147"/>
      <c r="AA4358" s="157"/>
      <c r="AB4358" s="1"/>
      <c r="AC4358" s="147"/>
      <c r="AD4358" s="157"/>
      <c r="AE4358" s="1"/>
      <c r="AF4358" s="147"/>
      <c r="AG4358" s="157"/>
      <c r="AH4358" s="1"/>
      <c r="AI4358" s="147"/>
      <c r="AJ4358" s="157"/>
      <c r="AK4358" s="1"/>
      <c r="AL4358" s="147"/>
      <c r="AM4358" s="157"/>
      <c r="AN4358" s="1"/>
      <c r="AO4358" s="147"/>
      <c r="AP4358" s="157"/>
      <c r="AQ4358" s="1"/>
      <c r="AR4358" s="147"/>
      <c r="AS4358" s="157"/>
      <c r="AT4358" s="1"/>
      <c r="AU4358" s="147"/>
    </row>
    <row r="4359" spans="13:47" ht="14" x14ac:dyDescent="0.3">
      <c r="M4359" s="23"/>
      <c r="N4359" s="23"/>
      <c r="O4359" s="23" t="s">
        <v>238</v>
      </c>
      <c r="P4359" s="20"/>
      <c r="Q4359" s="20"/>
      <c r="R4359" s="181">
        <f>R4345*1.02</f>
        <v>5203.0567298122705</v>
      </c>
      <c r="S4359" s="128" t="s">
        <v>185</v>
      </c>
      <c r="T4359" s="149" t="s">
        <v>186</v>
      </c>
      <c r="U4359" s="143">
        <f>U4345*1.01</f>
        <v>10054.074638783006</v>
      </c>
      <c r="V4359" s="128" t="s">
        <v>185</v>
      </c>
      <c r="W4359" s="153" t="s">
        <v>186</v>
      </c>
      <c r="X4359" s="143">
        <f>X4345*1.01</f>
        <v>24864.923030617483</v>
      </c>
      <c r="Y4359" s="128" t="s">
        <v>185</v>
      </c>
      <c r="Z4359" s="153" t="s">
        <v>186</v>
      </c>
      <c r="AA4359" s="143">
        <f>AA4345*1.01</f>
        <v>48430.523406086097</v>
      </c>
      <c r="AB4359" s="128" t="s">
        <v>185</v>
      </c>
      <c r="AC4359" s="153" t="s">
        <v>186</v>
      </c>
      <c r="AD4359" s="143">
        <f>AD4345*1.01</f>
        <v>79650.379942204134</v>
      </c>
      <c r="AE4359" s="128" t="s">
        <v>185</v>
      </c>
      <c r="AF4359" s="153" t="s">
        <v>186</v>
      </c>
      <c r="AG4359" s="143">
        <f>AG4345*1.01</f>
        <v>111715.78984659803</v>
      </c>
      <c r="AH4359" s="128" t="s">
        <v>185</v>
      </c>
      <c r="AI4359" s="153" t="s">
        <v>186</v>
      </c>
      <c r="AJ4359" s="143">
        <f>AJ4345*1.01</f>
        <v>141849.4091563354</v>
      </c>
      <c r="AK4359" s="128" t="s">
        <v>185</v>
      </c>
      <c r="AL4359" s="153" t="s">
        <v>186</v>
      </c>
      <c r="AM4359" s="143">
        <f>AM4345*1.01</f>
        <v>166329.5879717631</v>
      </c>
      <c r="AN4359" s="128" t="s">
        <v>185</v>
      </c>
      <c r="AO4359" s="153" t="s">
        <v>186</v>
      </c>
      <c r="AP4359" s="143">
        <f>AP4345*1.01</f>
        <v>185568.65641398026</v>
      </c>
      <c r="AQ4359" s="128" t="s">
        <v>185</v>
      </c>
      <c r="AR4359" s="153" t="s">
        <v>186</v>
      </c>
      <c r="AS4359" s="143">
        <f>AS4345*1.01</f>
        <v>207033.07609428957</v>
      </c>
      <c r="AT4359" s="128" t="s">
        <v>185</v>
      </c>
      <c r="AU4359" s="153" t="s">
        <v>186</v>
      </c>
    </row>
    <row r="4360" spans="13:47" ht="14" x14ac:dyDescent="0.3">
      <c r="M4360" s="12"/>
      <c r="N4360" s="12"/>
      <c r="O4360" s="20"/>
      <c r="P4360" s="20"/>
      <c r="Q4360" s="23"/>
      <c r="R4360" s="139"/>
      <c r="S4360" s="130" t="s">
        <v>228</v>
      </c>
      <c r="T4360" s="131" t="s">
        <v>187</v>
      </c>
      <c r="U4360" s="144"/>
      <c r="V4360" s="130" t="s">
        <v>228</v>
      </c>
      <c r="W4360" s="154" t="s">
        <v>187</v>
      </c>
      <c r="X4360" s="144"/>
      <c r="Y4360" s="130" t="s">
        <v>228</v>
      </c>
      <c r="Z4360" s="154" t="s">
        <v>187</v>
      </c>
      <c r="AA4360" s="144"/>
      <c r="AB4360" s="130" t="s">
        <v>228</v>
      </c>
      <c r="AC4360" s="154" t="s">
        <v>187</v>
      </c>
      <c r="AD4360" s="144"/>
      <c r="AE4360" s="130" t="s">
        <v>228</v>
      </c>
      <c r="AF4360" s="154" t="s">
        <v>187</v>
      </c>
      <c r="AG4360" s="144"/>
      <c r="AH4360" s="130" t="s">
        <v>228</v>
      </c>
      <c r="AI4360" s="154" t="s">
        <v>187</v>
      </c>
      <c r="AJ4360" s="144"/>
      <c r="AK4360" s="130" t="s">
        <v>228</v>
      </c>
      <c r="AL4360" s="154" t="s">
        <v>187</v>
      </c>
      <c r="AM4360" s="144"/>
      <c r="AN4360" s="130" t="s">
        <v>228</v>
      </c>
      <c r="AO4360" s="154" t="s">
        <v>187</v>
      </c>
      <c r="AP4360" s="144"/>
      <c r="AQ4360" s="130" t="s">
        <v>228</v>
      </c>
      <c r="AR4360" s="154" t="s">
        <v>187</v>
      </c>
      <c r="AS4360" s="144"/>
      <c r="AT4360" s="130" t="s">
        <v>228</v>
      </c>
      <c r="AU4360" s="154" t="s">
        <v>187</v>
      </c>
    </row>
    <row r="4361" spans="13:47" x14ac:dyDescent="0.25">
      <c r="M4361" s="20"/>
      <c r="N4361" s="20"/>
      <c r="O4361" s="7" t="s">
        <v>188</v>
      </c>
      <c r="P4361" s="7"/>
      <c r="Q4361" s="7"/>
      <c r="R4361" s="181">
        <f>P_1_minW-(R4359^2*R_up)+dpup_minQ</f>
        <v>89.727586316477712</v>
      </c>
      <c r="S4361" s="132"/>
      <c r="T4361" s="145"/>
      <c r="U4361" s="138">
        <f>P_1_minW-(U4359^2*R_up)+dpup_minQ</f>
        <v>60.214179032931312</v>
      </c>
      <c r="V4361" s="132"/>
      <c r="W4361" s="145"/>
      <c r="X4361" s="138">
        <f>P_1_minW-(X4359^2*R_up)+dpup_minQ</f>
        <v>-146.0174597944019</v>
      </c>
      <c r="Y4361" s="132"/>
      <c r="Z4361" s="145"/>
      <c r="AA4361" s="138">
        <f>P_1_minW-(AA4359^2*R_up)+dpup_minQ</f>
        <v>-834.77932046933756</v>
      </c>
      <c r="AB4361" s="132"/>
      <c r="AC4361" s="145"/>
      <c r="AD4361" s="138">
        <f>P_1_minW-(AD4359^2*R_up)+dpup_minQ</f>
        <v>-2429.2952875213305</v>
      </c>
      <c r="AE4361" s="132"/>
      <c r="AF4361" s="145"/>
      <c r="AG4361" s="138">
        <f>P_1_minW-(AG4359^2*R_up)+dpup_minQ</f>
        <v>-4876.1914962998608</v>
      </c>
      <c r="AH4361" s="132"/>
      <c r="AI4361" s="145"/>
      <c r="AJ4361" s="138">
        <f>P_1_minW-(AJ4359^2*R_up)+dpup_minQ</f>
        <v>-7923.065761549653</v>
      </c>
      <c r="AK4361" s="132"/>
      <c r="AL4361" s="145"/>
      <c r="AM4361" s="138">
        <f>P_1_minW-(AM4359^2*R_up)+dpup_minQ</f>
        <v>-10931.435496098497</v>
      </c>
      <c r="AN4361" s="132"/>
      <c r="AO4361" s="145"/>
      <c r="AP4361" s="138">
        <f>P_1_minW-(AP4359^2*R_up)+dpup_minQ</f>
        <v>-13631.130652018812</v>
      </c>
      <c r="AQ4361" s="132"/>
      <c r="AR4361" s="145"/>
      <c r="AS4361" s="138">
        <f>P_1_minW-(AS4359^2*R_up)+dpup_minQ</f>
        <v>-16991.484029085565</v>
      </c>
      <c r="AT4361" s="132"/>
      <c r="AU4361" s="145"/>
    </row>
    <row r="4362" spans="13:47" x14ac:dyDescent="0.25">
      <c r="M4362" s="20"/>
      <c r="N4362" s="20"/>
      <c r="O4362" s="7" t="s">
        <v>189</v>
      </c>
      <c r="P4362" s="1"/>
      <c r="Q4362" s="7"/>
      <c r="R4362" s="181">
        <f>P_2_minW+(R4359^2*R_dn)-dpdn_minQ</f>
        <v>50</v>
      </c>
      <c r="S4362" s="132"/>
      <c r="T4362" s="146"/>
      <c r="U4362" s="138">
        <f>P_2_minW+(U4359^2*R_dn)-dpdn_minQ</f>
        <v>50</v>
      </c>
      <c r="V4362" s="132"/>
      <c r="W4362" s="146"/>
      <c r="X4362" s="138">
        <f>P_2_minW+(X4359^2*R_dn)-dpdn_minQ</f>
        <v>50</v>
      </c>
      <c r="Y4362" s="132"/>
      <c r="Z4362" s="146"/>
      <c r="AA4362" s="138">
        <f>P_2_minW+(AA4359^2*R_dn)-dpdn_minQ</f>
        <v>50</v>
      </c>
      <c r="AB4362" s="132"/>
      <c r="AC4362" s="146"/>
      <c r="AD4362" s="138">
        <f>P_2_minW+(AD4359^2*R_dn)-dpdn_minQ</f>
        <v>50</v>
      </c>
      <c r="AE4362" s="132"/>
      <c r="AF4362" s="146"/>
      <c r="AG4362" s="138">
        <f>P_2_minW+(AG4359^2*R_dn)-dpdn_minQ</f>
        <v>50</v>
      </c>
      <c r="AH4362" s="132"/>
      <c r="AI4362" s="146"/>
      <c r="AJ4362" s="138">
        <f>P_2_minW+(AJ4359^2*R_dn)-dpdn_minQ</f>
        <v>50</v>
      </c>
      <c r="AK4362" s="132"/>
      <c r="AL4362" s="146"/>
      <c r="AM4362" s="138">
        <f>P_2_minW+(AM4359^2*R_dn)-dpdn_minQ</f>
        <v>50</v>
      </c>
      <c r="AN4362" s="132"/>
      <c r="AO4362" s="146"/>
      <c r="AP4362" s="138">
        <f>P_2_minW+(AP4359^2*R_dn)-dpdn_minQ</f>
        <v>50</v>
      </c>
      <c r="AQ4362" s="132"/>
      <c r="AR4362" s="146"/>
      <c r="AS4362" s="138">
        <f>P_2_minW+(AS4359^2*R_dn)-dpdn_minQ</f>
        <v>50</v>
      </c>
      <c r="AT4362" s="132"/>
      <c r="AU4362" s="146"/>
    </row>
    <row r="4363" spans="13:47" x14ac:dyDescent="0.25">
      <c r="M4363" s="20"/>
      <c r="N4363" s="20"/>
      <c r="O4363" s="7" t="s">
        <v>234</v>
      </c>
      <c r="P4363" s="1"/>
      <c r="Q4363" s="7"/>
      <c r="R4363" s="179">
        <f>'Valve Sizing'!G$8*R4361/P_1_maxW</f>
        <v>0.43282990137858207</v>
      </c>
      <c r="S4363" s="132"/>
      <c r="T4363" s="146"/>
      <c r="U4363" s="143">
        <f>'Valve Sizing'!$G$8*U4361/P_1_maxW</f>
        <v>0.29046247918105189</v>
      </c>
      <c r="V4363" s="132"/>
      <c r="W4363" s="146"/>
      <c r="X4363" s="143">
        <f>'Valve Sizing'!$G$8*X4361/P_1_maxW</f>
        <v>-0.70436222924181979</v>
      </c>
      <c r="Y4363" s="132"/>
      <c r="Z4363" s="146"/>
      <c r="AA4363" s="143">
        <f>'Valve Sizing'!$G$8*AA4361/P_1_maxW</f>
        <v>-4.0268268186466329</v>
      </c>
      <c r="AB4363" s="132"/>
      <c r="AC4363" s="146"/>
      <c r="AD4363" s="143">
        <f>'Valve Sizing'!$G$8*AD4361/P_1_maxW</f>
        <v>-11.718487957635139</v>
      </c>
      <c r="AE4363" s="132"/>
      <c r="AF4363" s="146"/>
      <c r="AG4363" s="143">
        <f>'Valve Sizing'!$G$8*AG4361/P_1_maxW</f>
        <v>-23.521879625764129</v>
      </c>
      <c r="AH4363" s="132"/>
      <c r="AI4363" s="146"/>
      <c r="AJ4363" s="143">
        <f>'Valve Sizing'!$G$8*AJ4361/P_1_maxW</f>
        <v>-38.219458618801461</v>
      </c>
      <c r="AK4363" s="132"/>
      <c r="AL4363" s="146"/>
      <c r="AM4363" s="143">
        <f>'Valve Sizing'!$G$8*AM4361/P_1_maxW</f>
        <v>-52.731298611046576</v>
      </c>
      <c r="AN4363" s="132"/>
      <c r="AO4363" s="146"/>
      <c r="AP4363" s="143">
        <f>'Valve Sizing'!$G$8*AP4361/P_1_maxW</f>
        <v>-65.754147392109118</v>
      </c>
      <c r="AQ4363" s="132"/>
      <c r="AR4363" s="146"/>
      <c r="AS4363" s="143">
        <f>'Valve Sizing'!$G$8*AS4361/P_1_maxW</f>
        <v>-81.963893809035625</v>
      </c>
      <c r="AT4363" s="132"/>
      <c r="AU4363" s="146"/>
    </row>
    <row r="4364" spans="13:47" x14ac:dyDescent="0.25">
      <c r="M4364" s="20"/>
      <c r="N4364" s="20"/>
      <c r="O4364" s="7" t="s">
        <v>190</v>
      </c>
      <c r="P4364" s="1"/>
      <c r="Q4364" s="7"/>
      <c r="R4364" s="181">
        <f>R4361-R4362</f>
        <v>39.727586316477712</v>
      </c>
      <c r="S4364" s="132"/>
      <c r="T4364" s="146"/>
      <c r="U4364" s="138">
        <f>U4361-U4362</f>
        <v>10.214179032931312</v>
      </c>
      <c r="V4364" s="132"/>
      <c r="W4364" s="146"/>
      <c r="X4364" s="138">
        <f>X4361-X4362</f>
        <v>-196.0174597944019</v>
      </c>
      <c r="Y4364" s="132"/>
      <c r="Z4364" s="146"/>
      <c r="AA4364" s="138">
        <f>AA4361-AA4362</f>
        <v>-884.77932046933756</v>
      </c>
      <c r="AB4364" s="132"/>
      <c r="AC4364" s="146"/>
      <c r="AD4364" s="138">
        <f>AD4361-AD4362</f>
        <v>-2479.2952875213305</v>
      </c>
      <c r="AE4364" s="132"/>
      <c r="AF4364" s="146"/>
      <c r="AG4364" s="138">
        <f>AG4361-AG4362</f>
        <v>-4926.1914962998608</v>
      </c>
      <c r="AH4364" s="132"/>
      <c r="AI4364" s="146"/>
      <c r="AJ4364" s="138">
        <f>AJ4361-AJ4362</f>
        <v>-7973.065761549653</v>
      </c>
      <c r="AK4364" s="132"/>
      <c r="AL4364" s="146"/>
      <c r="AM4364" s="138">
        <f>AM4361-AM4362</f>
        <v>-10981.435496098497</v>
      </c>
      <c r="AN4364" s="132"/>
      <c r="AO4364" s="146"/>
      <c r="AP4364" s="138">
        <f>AP4361-AP4362</f>
        <v>-13681.130652018812</v>
      </c>
      <c r="AQ4364" s="132"/>
      <c r="AR4364" s="146"/>
      <c r="AS4364" s="138">
        <f>AS4361-AS4362</f>
        <v>-17041.484029085565</v>
      </c>
      <c r="AT4364" s="132"/>
      <c r="AU4364" s="146"/>
    </row>
    <row r="4365" spans="13:47" ht="14.5" x14ac:dyDescent="0.35">
      <c r="M4365" s="27"/>
      <c r="N4365" s="27"/>
      <c r="O4365" s="2" t="s">
        <v>191</v>
      </c>
      <c r="P4365" s="10"/>
      <c r="Q4365" s="2"/>
      <c r="R4365" s="181">
        <f>R4364/R4361</f>
        <v>0.44275777324885063</v>
      </c>
      <c r="S4365" s="132"/>
      <c r="T4365" s="146"/>
      <c r="U4365" s="138">
        <f>U4364/U4361</f>
        <v>0.16963079455663005</v>
      </c>
      <c r="V4365" s="132"/>
      <c r="W4365" s="146"/>
      <c r="X4365" s="138">
        <f>X4364/X4361</f>
        <v>1.342424803652946</v>
      </c>
      <c r="Y4365" s="132"/>
      <c r="Z4365" s="146"/>
      <c r="AA4365" s="138">
        <f>AA4364/AA4361</f>
        <v>1.0598960692652144</v>
      </c>
      <c r="AB4365" s="132"/>
      <c r="AC4365" s="146"/>
      <c r="AD4365" s="138">
        <f>AD4364/AD4361</f>
        <v>1.0205821006021119</v>
      </c>
      <c r="AE4365" s="132"/>
      <c r="AF4365" s="146"/>
      <c r="AG4365" s="138">
        <f>AG4364/AG4361</f>
        <v>1.0102539041048615</v>
      </c>
      <c r="AH4365" s="132"/>
      <c r="AI4365" s="146"/>
      <c r="AJ4365" s="138">
        <f>AJ4364/AJ4361</f>
        <v>1.0063106885017474</v>
      </c>
      <c r="AK4365" s="132"/>
      <c r="AL4365" s="146"/>
      <c r="AM4365" s="138">
        <f>AM4364/AM4361</f>
        <v>1.0045739646927292</v>
      </c>
      <c r="AN4365" s="132"/>
      <c r="AO4365" s="146"/>
      <c r="AP4365" s="138">
        <f>AP4364/AP4361</f>
        <v>1.0036680742981945</v>
      </c>
      <c r="AQ4365" s="132"/>
      <c r="AR4365" s="146"/>
      <c r="AS4365" s="138">
        <f>AS4364/AS4361</f>
        <v>1.0029426505603873</v>
      </c>
      <c r="AT4365" s="132"/>
      <c r="AU4365" s="146"/>
    </row>
    <row r="4366" spans="13:47" x14ac:dyDescent="0.25">
      <c r="M4366" s="27"/>
      <c r="N4366" s="27"/>
      <c r="O4366" s="2" t="s">
        <v>26</v>
      </c>
      <c r="P4366" s="7">
        <v>12</v>
      </c>
      <c r="Q4366" s="2"/>
      <c r="R4366" s="181">
        <f>1-R4365/(3*F_GAMMA*R$29)</f>
        <v>0.7694066780737101</v>
      </c>
      <c r="S4366" s="133"/>
      <c r="T4366" s="146"/>
      <c r="U4366" s="138">
        <f>1-U4365/(3*F_GAMMA*U$29)</f>
        <v>0.91167378988850267</v>
      </c>
      <c r="V4366" s="133"/>
      <c r="W4366" s="146"/>
      <c r="X4366" s="138">
        <f>1-X4365/(3*F_GAMMA*X$29)</f>
        <v>0.29051765797760454</v>
      </c>
      <c r="Y4366" s="133"/>
      <c r="Z4366" s="146"/>
      <c r="AA4366" s="138">
        <f>1-AA4365/(3*F_GAMMA*AA$29)</f>
        <v>0.43215575123808392</v>
      </c>
      <c r="AB4366" s="133"/>
      <c r="AC4366" s="146"/>
      <c r="AD4366" s="138">
        <f>1-AD4365/(3*F_GAMMA*AD$29)</f>
        <v>0.43822680379319756</v>
      </c>
      <c r="AE4366" s="133"/>
      <c r="AF4366" s="146"/>
      <c r="AG4366" s="138">
        <f>1-AG4365/(3*F_GAMMA*AG$29)</f>
        <v>0.41219175309708744</v>
      </c>
      <c r="AH4366" s="133"/>
      <c r="AI4366" s="146"/>
      <c r="AJ4366" s="138">
        <f>1-AJ4365/(3*F_GAMMA*AJ$29)</f>
        <v>0.37407768401362473</v>
      </c>
      <c r="AK4366" s="133"/>
      <c r="AL4366" s="146"/>
      <c r="AM4366" s="138">
        <f>1-AM4365/(3*F_GAMMA*AM$29)</f>
        <v>0.31729648941922473</v>
      </c>
      <c r="AN4366" s="133"/>
      <c r="AO4366" s="146"/>
      <c r="AP4366" s="138">
        <f>1-AP4365/(3*F_GAMMA*AP$29)</f>
        <v>0.43632816699175536</v>
      </c>
      <c r="AQ4366" s="133"/>
      <c r="AR4366" s="146"/>
      <c r="AS4366" s="138">
        <f>1-AS4365/(3*F_GAMMA*AS$29)</f>
        <v>0.14491565659822037</v>
      </c>
      <c r="AT4366" s="133"/>
      <c r="AU4366" s="146"/>
    </row>
    <row r="4367" spans="13:47" x14ac:dyDescent="0.25">
      <c r="M4367" s="27"/>
      <c r="N4367" s="27"/>
      <c r="O4367" s="2" t="s">
        <v>71</v>
      </c>
      <c r="P4367" s="85">
        <v>5</v>
      </c>
      <c r="Q4367" s="2"/>
      <c r="R4367" s="179">
        <f>R4359/((N_6*R$27*R4366)*SQRT(R4365*R4361*R4363))</f>
        <v>25.765919254425114</v>
      </c>
      <c r="S4367" s="133"/>
      <c r="T4367" s="146"/>
      <c r="U4367" s="143">
        <f>U4359/((N_6*U$27*U4366)*SQRT(U4365*U4361*U4363))</f>
        <v>101.22169270774374</v>
      </c>
      <c r="V4367" s="133"/>
      <c r="W4367" s="146"/>
      <c r="X4367" s="143">
        <f>X4359/((N_6*X$27*X4366)*SQRT(X4365*X4361*X4363))</f>
        <v>115.41129470205141</v>
      </c>
      <c r="Y4367" s="133"/>
      <c r="Z4367" s="146"/>
      <c r="AA4367" s="143">
        <f>AA4359/((N_6*AA$27*AA4366)*SQRT(AA4365*AA4361*AA4363))</f>
        <v>29.91917582825474</v>
      </c>
      <c r="AB4367" s="133"/>
      <c r="AC4367" s="146"/>
      <c r="AD4367" s="143">
        <f>AD4359/((N_6*AD$27*AD4366)*SQRT(AD4365*AD4361*AD4363))</f>
        <v>17.195048159920546</v>
      </c>
      <c r="AE4367" s="133"/>
      <c r="AF4367" s="146"/>
      <c r="AG4367" s="143">
        <f>AG4359/((N_6*AG$27*AG4366)*SQRT(AG4365*AG4361*AG4363))</f>
        <v>13.116221004707057</v>
      </c>
      <c r="AH4367" s="133"/>
      <c r="AI4367" s="146"/>
      <c r="AJ4367" s="143">
        <f>AJ4359/((N_6*AJ$27*AJ4366)*SQRT(AJ4365*AJ4361*AJ4363))</f>
        <v>11.70457067015165</v>
      </c>
      <c r="AK4367" s="133"/>
      <c r="AL4367" s="146"/>
      <c r="AM4367" s="143">
        <f>AM4359/((N_6*AM$27*AM4366)*SQRT(AM4365*AM4361*AM4363))</f>
        <v>12.458604341209464</v>
      </c>
      <c r="AN4367" s="133"/>
      <c r="AO4367" s="146"/>
      <c r="AP4367" s="143">
        <f>AP4359/((N_6*AP$27*AP4366)*SQRT(AP4365*AP4361*AP4363))</f>
        <v>9.2119562336032264</v>
      </c>
      <c r="AQ4367" s="133"/>
      <c r="AR4367" s="146"/>
      <c r="AS4367" s="143">
        <f>AS4359/((N_6*AS$27*AS4366)*SQRT(AS4365*AS4361*AS4363))</f>
        <v>32.630964480384236</v>
      </c>
      <c r="AT4367" s="133"/>
      <c r="AU4367" s="146"/>
    </row>
    <row r="4368" spans="13:47" x14ac:dyDescent="0.25">
      <c r="M4368" s="27"/>
      <c r="N4368" s="27"/>
      <c r="O4368" s="2" t="s">
        <v>73</v>
      </c>
      <c r="P4368" s="85">
        <v>5</v>
      </c>
      <c r="Q4368" s="2"/>
      <c r="R4368" s="179">
        <f>R4359/((N_6*R$27*0.667)*SQRT(R4369*R4361*R4363))</f>
        <v>24.720642226414533</v>
      </c>
      <c r="S4368" s="133"/>
      <c r="T4368" s="147"/>
      <c r="U4368" s="143">
        <f>U4359/((N_6*U$27*0.667)*SQRT(U4369*U4361*U4363))</f>
        <v>71.21847279272221</v>
      </c>
      <c r="V4368" s="133"/>
      <c r="W4368" s="155"/>
      <c r="X4368" s="143">
        <f>X4359/((N_6*X$27*0.667)*SQRT(X4369*X4361*X4363))</f>
        <v>73.3375565971714</v>
      </c>
      <c r="Y4368" s="133"/>
      <c r="Z4368" s="155"/>
      <c r="AA4368" s="143">
        <f>AA4359/((N_6*AA$27*0.667)*SQRT(AA4369*AA4361*AA4363))</f>
        <v>25.301095873250411</v>
      </c>
      <c r="AB4368" s="133"/>
      <c r="AC4368" s="155"/>
      <c r="AD4368" s="143">
        <f>AD4359/((N_6*AD$27*0.667)*SQRT(AD4369*AD4361*AD4363))</f>
        <v>14.666201052674838</v>
      </c>
      <c r="AE4368" s="133"/>
      <c r="AF4368" s="155"/>
      <c r="AG4368" s="143">
        <f>AG4359/((N_6*AG$27*0.667)*SQRT(AG4369*AG4361*AG4363))</f>
        <v>10.763676957045043</v>
      </c>
      <c r="AH4368" s="133"/>
      <c r="AI4368" s="155"/>
      <c r="AJ4368" s="143">
        <f>AJ4359/((N_6*AJ$27*0.667)*SQRT(AJ4369*AJ4361*AJ4363))</f>
        <v>8.9952305761848521</v>
      </c>
      <c r="AK4368" s="133"/>
      <c r="AL4368" s="155"/>
      <c r="AM4368" s="143">
        <f>AM4359/((N_6*AM$27*0.667)*SQRT(AM4369*AM4361*AM4363))</f>
        <v>8.4817510717031066</v>
      </c>
      <c r="AN4368" s="133"/>
      <c r="AO4368" s="155"/>
      <c r="AP4368" s="143">
        <f>AP4359/((N_6*AP$27*0.667)*SQRT(AP4369*AP4361*AP4363))</f>
        <v>7.8363364810020846</v>
      </c>
      <c r="AQ4368" s="133"/>
      <c r="AR4368" s="155"/>
      <c r="AS4368" s="143">
        <f>AS4359/((N_6*AS$27*0.667)*SQRT(AS4369*AS4361*AS4363))</f>
        <v>11.35493075554596</v>
      </c>
      <c r="AT4368" s="133"/>
      <c r="AU4368" s="155"/>
    </row>
    <row r="4369" spans="13:47" ht="15.5" x14ac:dyDescent="0.4">
      <c r="M4369" s="27"/>
      <c r="N4369" s="27"/>
      <c r="O4369" s="2" t="s">
        <v>192</v>
      </c>
      <c r="P4369" s="85">
        <v>10</v>
      </c>
      <c r="Q4369" s="2"/>
      <c r="R4369" s="181">
        <f>F_GAMMA*R$29</f>
        <v>0.64002688015162901</v>
      </c>
      <c r="S4369" s="133"/>
      <c r="T4369" s="147"/>
      <c r="U4369" s="138">
        <f>F_GAMMA*U$29</f>
        <v>0.64016782916606918</v>
      </c>
      <c r="V4369" s="133"/>
      <c r="W4369" s="155"/>
      <c r="X4369" s="138">
        <f>F_GAMMA*X$29</f>
        <v>0.6307062319203669</v>
      </c>
      <c r="Y4369" s="133"/>
      <c r="Z4369" s="155"/>
      <c r="AA4369" s="138">
        <f>F_GAMMA*AA$29</f>
        <v>0.62217534213893466</v>
      </c>
      <c r="AB4369" s="133"/>
      <c r="AC4369" s="155"/>
      <c r="AD4369" s="138">
        <f>F_GAMMA*AD$29</f>
        <v>0.60557184969146072</v>
      </c>
      <c r="AE4369" s="133"/>
      <c r="AF4369" s="155"/>
      <c r="AG4369" s="138">
        <f>F_GAMMA*AG$29</f>
        <v>0.57289312142622573</v>
      </c>
      <c r="AH4369" s="133"/>
      <c r="AI4369" s="155"/>
      <c r="AJ4369" s="138">
        <f>F_GAMMA*AJ$29</f>
        <v>0.53590819116049981</v>
      </c>
      <c r="AK4369" s="133"/>
      <c r="AL4369" s="155"/>
      <c r="AM4369" s="138">
        <f>F_GAMMA*AM$29</f>
        <v>0.49048815926850342</v>
      </c>
      <c r="AN4369" s="133"/>
      <c r="AO4369" s="155"/>
      <c r="AP4369" s="138">
        <f>F_GAMMA*AP$29</f>
        <v>0.59352979016280105</v>
      </c>
      <c r="AQ4369" s="133"/>
      <c r="AR4369" s="155"/>
      <c r="AS4369" s="138">
        <f>F_GAMMA*AS$29</f>
        <v>0.39097221161068291</v>
      </c>
      <c r="AT4369" s="133"/>
      <c r="AU4369" s="155"/>
    </row>
    <row r="4370" spans="13:47" x14ac:dyDescent="0.25">
      <c r="M4370" s="27"/>
      <c r="N4370" s="27"/>
      <c r="O4370" s="2" t="s">
        <v>193</v>
      </c>
      <c r="P4370" s="134"/>
      <c r="Q4370" s="2"/>
      <c r="R4370" s="181">
        <f>IF(R4365&lt;R4369,R4367,R4368)</f>
        <v>25.765919254425114</v>
      </c>
      <c r="S4370" s="133"/>
      <c r="T4370" s="147"/>
      <c r="U4370" s="138">
        <f>IF(U4365&lt;U4369,U4367,U4368)</f>
        <v>101.22169270774374</v>
      </c>
      <c r="V4370" s="133"/>
      <c r="W4370" s="155"/>
      <c r="X4370" s="138">
        <f>IF(X4365&lt;X4369,X4367,X4368)</f>
        <v>73.3375565971714</v>
      </c>
      <c r="Y4370" s="133"/>
      <c r="Z4370" s="155"/>
      <c r="AA4370" s="138">
        <f>IF(AA4365&lt;AA4369,AA4367,AA4368)</f>
        <v>25.301095873250411</v>
      </c>
      <c r="AB4370" s="133"/>
      <c r="AC4370" s="155"/>
      <c r="AD4370" s="138">
        <f>IF(AD4365&lt;AD4369,AD4367,AD4368)</f>
        <v>14.666201052674838</v>
      </c>
      <c r="AE4370" s="133"/>
      <c r="AF4370" s="155"/>
      <c r="AG4370" s="138">
        <f>IF(AG4365&lt;AG4369,AG4367,AG4368)</f>
        <v>10.763676957045043</v>
      </c>
      <c r="AH4370" s="133"/>
      <c r="AI4370" s="155"/>
      <c r="AJ4370" s="138">
        <f>IF(AJ4365&lt;AJ4369,AJ4367,AJ4368)</f>
        <v>8.9952305761848521</v>
      </c>
      <c r="AK4370" s="133"/>
      <c r="AL4370" s="155"/>
      <c r="AM4370" s="138">
        <f>IF(AM4365&lt;AM4369,AM4367,AM4368)</f>
        <v>8.4817510717031066</v>
      </c>
      <c r="AN4370" s="133"/>
      <c r="AO4370" s="155"/>
      <c r="AP4370" s="138">
        <f>IF(AP4365&lt;AP4369,AP4367,AP4368)</f>
        <v>7.8363364810020846</v>
      </c>
      <c r="AQ4370" s="133"/>
      <c r="AR4370" s="155"/>
      <c r="AS4370" s="138">
        <f>IF(AS4365&lt;AS4369,AS4367,AS4368)</f>
        <v>11.35493075554596</v>
      </c>
      <c r="AT4370" s="133"/>
      <c r="AU4370" s="155"/>
    </row>
    <row r="4371" spans="13:47" ht="13" x14ac:dyDescent="0.3">
      <c r="M4371" s="28"/>
      <c r="N4371" s="28"/>
      <c r="O4371" s="9" t="s">
        <v>194</v>
      </c>
      <c r="P4371" s="1"/>
      <c r="Q4371" s="1"/>
      <c r="R4371" s="135"/>
      <c r="S4371" s="132">
        <f>IF(R4364&lt;=0,W_max,ABS(R$23-R4370))</f>
        <v>23.765919254425114</v>
      </c>
      <c r="T4371" s="151">
        <f>R4359</f>
        <v>5203.0567298122705</v>
      </c>
      <c r="U4371" s="135"/>
      <c r="V4371" s="132">
        <f>IF(U4364&lt;=0,W_max,ABS(U$23-U4370))</f>
        <v>96.221692707743742</v>
      </c>
      <c r="W4371" s="151">
        <f>U4359</f>
        <v>10054.074638783006</v>
      </c>
      <c r="X4371" s="135"/>
      <c r="Y4371" s="132">
        <f>IF(X4364&lt;=0,W_max,ABS(X$23-X4370))</f>
        <v>7174</v>
      </c>
      <c r="Z4371" s="151">
        <f>X4359</f>
        <v>24864.923030617483</v>
      </c>
      <c r="AA4371" s="135"/>
      <c r="AB4371" s="132">
        <f>IF(AA4364&lt;=0,W_max,ABS(AA$23-AA4370))</f>
        <v>7174</v>
      </c>
      <c r="AC4371" s="151">
        <f>AA4359</f>
        <v>48430.523406086097</v>
      </c>
      <c r="AD4371" s="135"/>
      <c r="AE4371" s="132">
        <f>IF(AD4364&lt;=0,W_max,ABS(AD$23-AD4370))</f>
        <v>7174</v>
      </c>
      <c r="AF4371" s="151">
        <f>AD4359</f>
        <v>79650.379942204134</v>
      </c>
      <c r="AG4371" s="135"/>
      <c r="AH4371" s="132">
        <f>IF(AG4364&lt;=0,W_max,ABS(AG$23-AG4370))</f>
        <v>7174</v>
      </c>
      <c r="AI4371" s="151">
        <f>AG4359</f>
        <v>111715.78984659803</v>
      </c>
      <c r="AJ4371" s="135"/>
      <c r="AK4371" s="132">
        <f>IF(AJ4364&lt;=0,W_max,ABS(AJ$23-AJ4370))</f>
        <v>7174</v>
      </c>
      <c r="AL4371" s="151">
        <f>AJ4359</f>
        <v>141849.4091563354</v>
      </c>
      <c r="AM4371" s="135"/>
      <c r="AN4371" s="132">
        <f>IF(AM4364&lt;=0,W_max,ABS(AM$23-AM4370))</f>
        <v>7174</v>
      </c>
      <c r="AO4371" s="151">
        <f>AM4359</f>
        <v>166329.5879717631</v>
      </c>
      <c r="AP4371" s="135"/>
      <c r="AQ4371" s="132">
        <f>IF(AP4364&lt;=0,W_max,ABS(AP$23-AP4370))</f>
        <v>7174</v>
      </c>
      <c r="AR4371" s="151">
        <f>AP4359</f>
        <v>185568.65641398026</v>
      </c>
      <c r="AS4371" s="135"/>
      <c r="AT4371" s="132">
        <f>IF(AS4364&lt;=0,W_max,ABS(AS$23-AS4370))</f>
        <v>7174</v>
      </c>
      <c r="AU4371" s="151">
        <f>AS4359</f>
        <v>207033.07609428957</v>
      </c>
    </row>
    <row r="4372" spans="13:47" ht="13" x14ac:dyDescent="0.25">
      <c r="M4372" s="12"/>
      <c r="N4372" s="12"/>
      <c r="O4372" s="12"/>
      <c r="P4372" s="12"/>
      <c r="Q4372" s="12"/>
      <c r="R4372" s="182"/>
      <c r="S4372" s="22"/>
      <c r="T4372" s="152"/>
      <c r="U4372" s="157"/>
      <c r="V4372" s="1"/>
      <c r="W4372" s="147"/>
      <c r="X4372" s="157"/>
      <c r="Y4372" s="1"/>
      <c r="Z4372" s="147"/>
      <c r="AA4372" s="157"/>
      <c r="AB4372" s="1"/>
      <c r="AC4372" s="147"/>
      <c r="AD4372" s="157"/>
      <c r="AE4372" s="1"/>
      <c r="AF4372" s="147"/>
      <c r="AG4372" s="157"/>
      <c r="AH4372" s="1"/>
      <c r="AI4372" s="147"/>
      <c r="AJ4372" s="157"/>
      <c r="AK4372" s="1"/>
      <c r="AL4372" s="147"/>
      <c r="AM4372" s="157"/>
      <c r="AN4372" s="1"/>
      <c r="AO4372" s="147"/>
      <c r="AP4372" s="157"/>
      <c r="AQ4372" s="1"/>
      <c r="AR4372" s="147"/>
      <c r="AS4372" s="157"/>
      <c r="AT4372" s="1"/>
      <c r="AU4372" s="147"/>
    </row>
    <row r="4373" spans="13:47" ht="14" x14ac:dyDescent="0.3">
      <c r="M4373" s="23"/>
      <c r="N4373" s="23"/>
      <c r="O4373" s="23" t="s">
        <v>238</v>
      </c>
      <c r="P4373" s="20"/>
      <c r="Q4373" s="20"/>
      <c r="R4373" s="18">
        <f>R4359*1.02</f>
        <v>5307.1178644085157</v>
      </c>
      <c r="S4373" s="128" t="s">
        <v>185</v>
      </c>
      <c r="T4373" s="153" t="s">
        <v>186</v>
      </c>
      <c r="U4373" s="143">
        <f>U4359*1.01</f>
        <v>10154.615385170837</v>
      </c>
      <c r="V4373" s="128" t="s">
        <v>185</v>
      </c>
      <c r="W4373" s="153" t="s">
        <v>186</v>
      </c>
      <c r="X4373" s="143">
        <f>X4359*1.01</f>
        <v>25113.572260923658</v>
      </c>
      <c r="Y4373" s="128" t="s">
        <v>185</v>
      </c>
      <c r="Z4373" s="153" t="s">
        <v>186</v>
      </c>
      <c r="AA4373" s="143">
        <f>AA4359*1.01</f>
        <v>48914.82864014696</v>
      </c>
      <c r="AB4373" s="128" t="s">
        <v>185</v>
      </c>
      <c r="AC4373" s="153" t="s">
        <v>186</v>
      </c>
      <c r="AD4373" s="143">
        <f>AD4359*1.01</f>
        <v>80446.883741626181</v>
      </c>
      <c r="AE4373" s="128" t="s">
        <v>185</v>
      </c>
      <c r="AF4373" s="153" t="s">
        <v>186</v>
      </c>
      <c r="AG4373" s="143">
        <f>AG4359*1.01</f>
        <v>112832.94774506401</v>
      </c>
      <c r="AH4373" s="128" t="s">
        <v>185</v>
      </c>
      <c r="AI4373" s="153" t="s">
        <v>186</v>
      </c>
      <c r="AJ4373" s="143">
        <f>AJ4359*1.01</f>
        <v>143267.90324789876</v>
      </c>
      <c r="AK4373" s="128" t="s">
        <v>185</v>
      </c>
      <c r="AL4373" s="153" t="s">
        <v>186</v>
      </c>
      <c r="AM4373" s="143">
        <f>AM4359*1.01</f>
        <v>167992.88385148073</v>
      </c>
      <c r="AN4373" s="128" t="s">
        <v>185</v>
      </c>
      <c r="AO4373" s="153" t="s">
        <v>186</v>
      </c>
      <c r="AP4373" s="143">
        <f>AP4359*1.01</f>
        <v>187424.34297812008</v>
      </c>
      <c r="AQ4373" s="128" t="s">
        <v>185</v>
      </c>
      <c r="AR4373" s="153" t="s">
        <v>186</v>
      </c>
      <c r="AS4373" s="143">
        <f>AS4359*1.01</f>
        <v>209103.40685523246</v>
      </c>
      <c r="AT4373" s="128" t="s">
        <v>185</v>
      </c>
      <c r="AU4373" s="153" t="s">
        <v>186</v>
      </c>
    </row>
    <row r="4374" spans="13:47" ht="14" x14ac:dyDescent="0.3">
      <c r="M4374" s="12"/>
      <c r="N4374" s="12"/>
      <c r="O4374" s="20"/>
      <c r="P4374" s="20"/>
      <c r="Q4374" s="23"/>
      <c r="R4374" s="139"/>
      <c r="S4374" s="130" t="s">
        <v>228</v>
      </c>
      <c r="T4374" s="154" t="s">
        <v>187</v>
      </c>
      <c r="U4374" s="144"/>
      <c r="V4374" s="130" t="s">
        <v>228</v>
      </c>
      <c r="W4374" s="154" t="s">
        <v>187</v>
      </c>
      <c r="X4374" s="144"/>
      <c r="Y4374" s="130" t="s">
        <v>228</v>
      </c>
      <c r="Z4374" s="154" t="s">
        <v>187</v>
      </c>
      <c r="AA4374" s="144"/>
      <c r="AB4374" s="130" t="s">
        <v>228</v>
      </c>
      <c r="AC4374" s="154" t="s">
        <v>187</v>
      </c>
      <c r="AD4374" s="144"/>
      <c r="AE4374" s="130" t="s">
        <v>228</v>
      </c>
      <c r="AF4374" s="154" t="s">
        <v>187</v>
      </c>
      <c r="AG4374" s="144"/>
      <c r="AH4374" s="130" t="s">
        <v>228</v>
      </c>
      <c r="AI4374" s="154" t="s">
        <v>187</v>
      </c>
      <c r="AJ4374" s="144"/>
      <c r="AK4374" s="130" t="s">
        <v>228</v>
      </c>
      <c r="AL4374" s="154" t="s">
        <v>187</v>
      </c>
      <c r="AM4374" s="144"/>
      <c r="AN4374" s="130" t="s">
        <v>228</v>
      </c>
      <c r="AO4374" s="154" t="s">
        <v>187</v>
      </c>
      <c r="AP4374" s="144"/>
      <c r="AQ4374" s="130" t="s">
        <v>228</v>
      </c>
      <c r="AR4374" s="154" t="s">
        <v>187</v>
      </c>
      <c r="AS4374" s="144"/>
      <c r="AT4374" s="130" t="s">
        <v>228</v>
      </c>
      <c r="AU4374" s="154" t="s">
        <v>187</v>
      </c>
    </row>
    <row r="4375" spans="13:47" x14ac:dyDescent="0.25">
      <c r="M4375" s="20"/>
      <c r="N4375" s="20"/>
      <c r="O4375" s="7" t="s">
        <v>188</v>
      </c>
      <c r="P4375" s="7"/>
      <c r="Q4375" s="7"/>
      <c r="R4375" s="181">
        <f>P_1_minW-(R4373^2*R_up)+dpup_minQ</f>
        <v>89.291460219499655</v>
      </c>
      <c r="S4375" s="132"/>
      <c r="T4375" s="145"/>
      <c r="U4375" s="138">
        <f>P_1_minW-(U4373^2*R_up)+dpup_minQ</f>
        <v>59.403976018085018</v>
      </c>
      <c r="V4375" s="132"/>
      <c r="W4375" s="145"/>
      <c r="X4375" s="138">
        <f>P_1_minW-(X4373^2*R_up)+dpup_minQ</f>
        <v>-150.97291874967758</v>
      </c>
      <c r="Y4375" s="132"/>
      <c r="Z4375" s="145"/>
      <c r="AA4375" s="138">
        <f>P_1_minW-(AA4373^2*R_up)+dpup_minQ</f>
        <v>-853.57889282417966</v>
      </c>
      <c r="AB4375" s="132"/>
      <c r="AC4375" s="145"/>
      <c r="AD4375" s="138">
        <f>P_1_minW-(AD4373^2*R_up)+dpup_minQ</f>
        <v>-2480.144630813918</v>
      </c>
      <c r="AE4375" s="132"/>
      <c r="AF4375" s="145"/>
      <c r="AG4375" s="138">
        <f>P_1_minW-(AG4373^2*R_up)+dpup_minQ</f>
        <v>-4976.2234533888968</v>
      </c>
      <c r="AH4375" s="132"/>
      <c r="AI4375" s="145"/>
      <c r="AJ4375" s="138">
        <f>P_1_minW-(AJ4373^2*R_up)+dpup_minQ</f>
        <v>-8084.3398913702113</v>
      </c>
      <c r="AK4375" s="132"/>
      <c r="AL4375" s="145"/>
      <c r="AM4375" s="138">
        <f>P_1_minW-(AM4373^2*R_up)+dpup_minQ</f>
        <v>-11153.177857583485</v>
      </c>
      <c r="AN4375" s="132"/>
      <c r="AO4375" s="145"/>
      <c r="AP4375" s="138">
        <f>P_1_minW-(AP4373^2*R_up)+dpup_minQ</f>
        <v>-13907.136886137801</v>
      </c>
      <c r="AQ4375" s="132"/>
      <c r="AR4375" s="145"/>
      <c r="AS4375" s="138">
        <f>P_1_minW-(AS4373^2*R_up)+dpup_minQ</f>
        <v>-17335.033366083593</v>
      </c>
      <c r="AT4375" s="132"/>
      <c r="AU4375" s="145"/>
    </row>
    <row r="4376" spans="13:47" x14ac:dyDescent="0.25">
      <c r="M4376" s="20"/>
      <c r="N4376" s="20"/>
      <c r="O4376" s="7" t="s">
        <v>189</v>
      </c>
      <c r="P4376" s="1"/>
      <c r="Q4376" s="7"/>
      <c r="R4376" s="181">
        <f>P_2_minW+(R4373^2*R_dn)-dpdn_minQ</f>
        <v>50</v>
      </c>
      <c r="S4376" s="132"/>
      <c r="T4376" s="146"/>
      <c r="U4376" s="138">
        <f>P_2_minW+(U4373^2*R_dn)-dpdn_minQ</f>
        <v>50</v>
      </c>
      <c r="V4376" s="132"/>
      <c r="W4376" s="146"/>
      <c r="X4376" s="138">
        <f>P_2_minW+(X4373^2*R_dn)-dpdn_minQ</f>
        <v>50</v>
      </c>
      <c r="Y4376" s="132"/>
      <c r="Z4376" s="146"/>
      <c r="AA4376" s="138">
        <f>P_2_minW+(AA4373^2*R_dn)-dpdn_minQ</f>
        <v>50</v>
      </c>
      <c r="AB4376" s="132"/>
      <c r="AC4376" s="146"/>
      <c r="AD4376" s="138">
        <f>P_2_minW+(AD4373^2*R_dn)-dpdn_minQ</f>
        <v>50</v>
      </c>
      <c r="AE4376" s="132"/>
      <c r="AF4376" s="146"/>
      <c r="AG4376" s="138">
        <f>P_2_minW+(AG4373^2*R_dn)-dpdn_minQ</f>
        <v>50</v>
      </c>
      <c r="AH4376" s="132"/>
      <c r="AI4376" s="146"/>
      <c r="AJ4376" s="138">
        <f>P_2_minW+(AJ4373^2*R_dn)-dpdn_minQ</f>
        <v>50</v>
      </c>
      <c r="AK4376" s="132"/>
      <c r="AL4376" s="146"/>
      <c r="AM4376" s="138">
        <f>P_2_minW+(AM4373^2*R_dn)-dpdn_minQ</f>
        <v>50</v>
      </c>
      <c r="AN4376" s="132"/>
      <c r="AO4376" s="146"/>
      <c r="AP4376" s="138">
        <f>P_2_minW+(AP4373^2*R_dn)-dpdn_minQ</f>
        <v>50</v>
      </c>
      <c r="AQ4376" s="132"/>
      <c r="AR4376" s="146"/>
      <c r="AS4376" s="138">
        <f>P_2_minW+(AS4373^2*R_dn)-dpdn_minQ</f>
        <v>50</v>
      </c>
      <c r="AT4376" s="132"/>
      <c r="AU4376" s="146"/>
    </row>
    <row r="4377" spans="13:47" x14ac:dyDescent="0.25">
      <c r="M4377" s="20"/>
      <c r="N4377" s="20"/>
      <c r="O4377" s="7" t="s">
        <v>234</v>
      </c>
      <c r="P4377" s="1"/>
      <c r="Q4377" s="7"/>
      <c r="R4377" s="179">
        <f>'Valve Sizing'!G$8*R4375/P_1_maxW</f>
        <v>0.43072610673422557</v>
      </c>
      <c r="S4377" s="132"/>
      <c r="T4377" s="146"/>
      <c r="U4377" s="143">
        <f>'Valve Sizing'!$G$8*U4375/P_1_maxW</f>
        <v>0.28655420408518928</v>
      </c>
      <c r="V4377" s="132"/>
      <c r="W4377" s="146"/>
      <c r="X4377" s="143">
        <f>'Valve Sizing'!$G$8*X4375/P_1_maxW</f>
        <v>-0.7282664809769821</v>
      </c>
      <c r="Y4377" s="132"/>
      <c r="Z4377" s="146"/>
      <c r="AA4377" s="143">
        <f>'Valve Sizing'!$G$8*AA4375/P_1_maxW</f>
        <v>-4.1175126086288332</v>
      </c>
      <c r="AB4377" s="132"/>
      <c r="AC4377" s="146"/>
      <c r="AD4377" s="143">
        <f>'Valve Sizing'!$G$8*AD4375/P_1_maxW</f>
        <v>-11.963776136511012</v>
      </c>
      <c r="AE4377" s="132"/>
      <c r="AF4377" s="146"/>
      <c r="AG4377" s="143">
        <f>'Valve Sizing'!$G$8*AG4375/P_1_maxW</f>
        <v>-24.004415977169394</v>
      </c>
      <c r="AH4377" s="132"/>
      <c r="AI4377" s="146"/>
      <c r="AJ4377" s="143">
        <f>'Valve Sizing'!$G$8*AJ4375/P_1_maxW</f>
        <v>-38.997416307966787</v>
      </c>
      <c r="AK4377" s="132"/>
      <c r="AL4377" s="146"/>
      <c r="AM4377" s="143">
        <f>'Valve Sizing'!$G$8*AM4375/P_1_maxW</f>
        <v>-53.80094428405603</v>
      </c>
      <c r="AN4377" s="132"/>
      <c r="AO4377" s="146"/>
      <c r="AP4377" s="143">
        <f>'Valve Sizing'!$G$8*AP4375/P_1_maxW</f>
        <v>-67.08555232561794</v>
      </c>
      <c r="AQ4377" s="132"/>
      <c r="AR4377" s="146"/>
      <c r="AS4377" s="143">
        <f>'Valve Sizing'!$G$8*AS4375/P_1_maxW</f>
        <v>-83.621114645524642</v>
      </c>
      <c r="AT4377" s="132"/>
      <c r="AU4377" s="146"/>
    </row>
    <row r="4378" spans="13:47" x14ac:dyDescent="0.25">
      <c r="M4378" s="20"/>
      <c r="N4378" s="20"/>
      <c r="O4378" s="7" t="s">
        <v>190</v>
      </c>
      <c r="P4378" s="1"/>
      <c r="Q4378" s="7"/>
      <c r="R4378" s="181">
        <f>R4375-R4376</f>
        <v>39.291460219499655</v>
      </c>
      <c r="S4378" s="132"/>
      <c r="T4378" s="146"/>
      <c r="U4378" s="138">
        <f>U4375-U4376</f>
        <v>9.403976018085018</v>
      </c>
      <c r="V4378" s="132"/>
      <c r="W4378" s="146"/>
      <c r="X4378" s="138">
        <f>X4375-X4376</f>
        <v>-200.97291874967758</v>
      </c>
      <c r="Y4378" s="132"/>
      <c r="Z4378" s="146"/>
      <c r="AA4378" s="138">
        <f>AA4375-AA4376</f>
        <v>-903.57889282417966</v>
      </c>
      <c r="AB4378" s="132"/>
      <c r="AC4378" s="146"/>
      <c r="AD4378" s="138">
        <f>AD4375-AD4376</f>
        <v>-2530.144630813918</v>
      </c>
      <c r="AE4378" s="132"/>
      <c r="AF4378" s="146"/>
      <c r="AG4378" s="138">
        <f>AG4375-AG4376</f>
        <v>-5026.2234533888968</v>
      </c>
      <c r="AH4378" s="132"/>
      <c r="AI4378" s="146"/>
      <c r="AJ4378" s="138">
        <f>AJ4375-AJ4376</f>
        <v>-8134.3398913702113</v>
      </c>
      <c r="AK4378" s="132"/>
      <c r="AL4378" s="146"/>
      <c r="AM4378" s="138">
        <f>AM4375-AM4376</f>
        <v>-11203.177857583485</v>
      </c>
      <c r="AN4378" s="132"/>
      <c r="AO4378" s="146"/>
      <c r="AP4378" s="138">
        <f>AP4375-AP4376</f>
        <v>-13957.136886137801</v>
      </c>
      <c r="AQ4378" s="132"/>
      <c r="AR4378" s="146"/>
      <c r="AS4378" s="138">
        <f>AS4375-AS4376</f>
        <v>-17385.033366083593</v>
      </c>
      <c r="AT4378" s="132"/>
      <c r="AU4378" s="146"/>
    </row>
    <row r="4379" spans="13:47" ht="14.5" x14ac:dyDescent="0.35">
      <c r="M4379" s="27"/>
      <c r="N4379" s="27"/>
      <c r="O4379" s="2" t="s">
        <v>191</v>
      </c>
      <c r="P4379" s="10"/>
      <c r="Q4379" s="2"/>
      <c r="R4379" s="181">
        <f>R4378/R4375</f>
        <v>0.44003603617761317</v>
      </c>
      <c r="S4379" s="132"/>
      <c r="T4379" s="146"/>
      <c r="U4379" s="138">
        <f>U4378/U4375</f>
        <v>0.15830549819126685</v>
      </c>
      <c r="V4379" s="132"/>
      <c r="W4379" s="146"/>
      <c r="X4379" s="138">
        <f>X4378/X4375</f>
        <v>1.3311852245693354</v>
      </c>
      <c r="Y4379" s="132"/>
      <c r="Z4379" s="146"/>
      <c r="AA4379" s="138">
        <f>AA4378/AA4375</f>
        <v>1.058576893618548</v>
      </c>
      <c r="AB4379" s="132"/>
      <c r="AC4379" s="146"/>
      <c r="AD4379" s="138">
        <f>AD4378/AD4375</f>
        <v>1.0201601146073451</v>
      </c>
      <c r="AE4379" s="132"/>
      <c r="AF4379" s="146"/>
      <c r="AG4379" s="138">
        <f>AG4378/AG4375</f>
        <v>1.0100477803033441</v>
      </c>
      <c r="AH4379" s="132"/>
      <c r="AI4379" s="146"/>
      <c r="AJ4379" s="138">
        <f>AJ4378/AJ4375</f>
        <v>1.0061847968630528</v>
      </c>
      <c r="AK4379" s="132"/>
      <c r="AL4379" s="146"/>
      <c r="AM4379" s="138">
        <f>AM4378/AM4375</f>
        <v>1.0044830272267202</v>
      </c>
      <c r="AN4379" s="132"/>
      <c r="AO4379" s="146"/>
      <c r="AP4379" s="138">
        <f>AP4378/AP4375</f>
        <v>1.0035952763253404</v>
      </c>
      <c r="AQ4379" s="132"/>
      <c r="AR4379" s="146"/>
      <c r="AS4379" s="138">
        <f>AS4378/AS4375</f>
        <v>1.0028843324927097</v>
      </c>
      <c r="AT4379" s="132"/>
      <c r="AU4379" s="146"/>
    </row>
    <row r="4380" spans="13:47" x14ac:dyDescent="0.25">
      <c r="M4380" s="27"/>
      <c r="N4380" s="27"/>
      <c r="O4380" s="2" t="s">
        <v>26</v>
      </c>
      <c r="P4380" s="7">
        <v>12</v>
      </c>
      <c r="Q4380" s="2"/>
      <c r="R4380" s="181">
        <f>1-R4379/(3*F_GAMMA*R$29)</f>
        <v>0.77082418992914581</v>
      </c>
      <c r="S4380" s="133"/>
      <c r="T4380" s="146"/>
      <c r="U4380" s="138">
        <f>1-U4379/(3*F_GAMMA*U$29)</f>
        <v>0.91757083534511696</v>
      </c>
      <c r="V4380" s="133"/>
      <c r="W4380" s="146"/>
      <c r="X4380" s="138">
        <f>1-X4379/(3*F_GAMMA*X$29)</f>
        <v>0.29645786622605674</v>
      </c>
      <c r="Y4380" s="133"/>
      <c r="Z4380" s="146"/>
      <c r="AA4380" s="138">
        <f>1-AA4379/(3*F_GAMMA*AA$29)</f>
        <v>0.43286250572636653</v>
      </c>
      <c r="AB4380" s="133"/>
      <c r="AC4380" s="146"/>
      <c r="AD4380" s="138">
        <f>1-AD4379/(3*F_GAMMA*AD$29)</f>
        <v>0.4384590834117551</v>
      </c>
      <c r="AE4380" s="133"/>
      <c r="AF4380" s="146"/>
      <c r="AG4380" s="138">
        <f>1-AG4379/(3*F_GAMMA*AG$29)</f>
        <v>0.41231168460135847</v>
      </c>
      <c r="AH4380" s="133"/>
      <c r="AI4380" s="146"/>
      <c r="AJ4380" s="138">
        <f>1-AJ4379/(3*F_GAMMA*AJ$29)</f>
        <v>0.37415598824606044</v>
      </c>
      <c r="AK4380" s="133"/>
      <c r="AL4380" s="146"/>
      <c r="AM4380" s="138">
        <f>1-AM4379/(3*F_GAMMA*AM$29)</f>
        <v>0.31735829007250627</v>
      </c>
      <c r="AN4380" s="133"/>
      <c r="AO4380" s="146"/>
      <c r="AP4380" s="138">
        <f>1-AP4379/(3*F_GAMMA*AP$29)</f>
        <v>0.43636905119226821</v>
      </c>
      <c r="AQ4380" s="133"/>
      <c r="AR4380" s="146"/>
      <c r="AS4380" s="138">
        <f>1-AS4379/(3*F_GAMMA*AS$29)</f>
        <v>0.14496537715460589</v>
      </c>
      <c r="AT4380" s="133"/>
      <c r="AU4380" s="146"/>
    </row>
    <row r="4381" spans="13:47" x14ac:dyDescent="0.25">
      <c r="M4381" s="27"/>
      <c r="N4381" s="27"/>
      <c r="O4381" s="2" t="s">
        <v>71</v>
      </c>
      <c r="P4381" s="85">
        <v>5</v>
      </c>
      <c r="Q4381" s="2"/>
      <c r="R4381" s="179">
        <f>R4373/((N_6*R$27*R4380)*SQRT(R4379*R4375*R4377))</f>
        <v>26.442436186143624</v>
      </c>
      <c r="S4381" s="133"/>
      <c r="T4381" s="146"/>
      <c r="U4381" s="143">
        <f>U4373/((N_6*U$27*U4380)*SQRT(U4379*U4375*U4377))</f>
        <v>106.58165057094702</v>
      </c>
      <c r="V4381" s="133"/>
      <c r="W4381" s="146"/>
      <c r="X4381" s="143">
        <f>X4373/((N_6*X$27*X4380)*SQRT(X4379*X4375*X4377))</f>
        <v>110.94576270851414</v>
      </c>
      <c r="Y4381" s="133"/>
      <c r="Z4381" s="146"/>
      <c r="AA4381" s="143">
        <f>AA4373/((N_6*AA$27*AA4380)*SQRT(AA4379*AA4375*AA4377))</f>
        <v>29.522951840541015</v>
      </c>
      <c r="AB4381" s="133"/>
      <c r="AC4381" s="146"/>
      <c r="AD4381" s="143">
        <f>AD4373/((N_6*AD$27*AD4380)*SQRT(AD4379*AD4375*AD4377))</f>
        <v>17.005434766677691</v>
      </c>
      <c r="AE4381" s="133"/>
      <c r="AF4381" s="146"/>
      <c r="AG4381" s="143">
        <f>AG4373/((N_6*AG$27*AG4380)*SQRT(AG4379*AG4375*AG4377))</f>
        <v>12.978632758267116</v>
      </c>
      <c r="AH4381" s="133"/>
      <c r="AI4381" s="146"/>
      <c r="AJ4381" s="143">
        <f>AJ4373/((N_6*AJ$27*AJ4380)*SQRT(AJ4379*AJ4375*AJ4377))</f>
        <v>11.584087407302098</v>
      </c>
      <c r="AK4381" s="133"/>
      <c r="AL4381" s="146"/>
      <c r="AM4381" s="143">
        <f>AM4373/((N_6*AM$27*AM4380)*SQRT(AM4379*AM4375*AM4377))</f>
        <v>12.331173647538126</v>
      </c>
      <c r="AN4381" s="133"/>
      <c r="AO4381" s="146"/>
      <c r="AP4381" s="143">
        <f>AP4373/((N_6*AP$27*AP4380)*SQRT(AP4379*AP4375*AP4377))</f>
        <v>9.1188999283159848</v>
      </c>
      <c r="AQ4381" s="133"/>
      <c r="AR4381" s="146"/>
      <c r="AS4381" s="143">
        <f>AS4373/((N_6*AS$27*AS4380)*SQRT(AS4379*AS4375*AS4377))</f>
        <v>32.293979106436112</v>
      </c>
      <c r="AT4381" s="133"/>
      <c r="AU4381" s="146"/>
    </row>
    <row r="4382" spans="13:47" x14ac:dyDescent="0.25">
      <c r="M4382" s="27"/>
      <c r="N4382" s="27"/>
      <c r="O4382" s="2" t="s">
        <v>73</v>
      </c>
      <c r="P4382" s="85">
        <v>5</v>
      </c>
      <c r="Q4382" s="2"/>
      <c r="R4382" s="179">
        <f>R4373/((N_6*R$27*0.667)*SQRT(R4383*R4375*R4377))</f>
        <v>25.338212912982183</v>
      </c>
      <c r="S4382" s="133"/>
      <c r="T4382" s="155"/>
      <c r="U4382" s="143">
        <f>U4373/((N_6*U$27*0.667)*SQRT(U4383*U4375*U4377))</f>
        <v>72.911710296735748</v>
      </c>
      <c r="V4382" s="133"/>
      <c r="W4382" s="155"/>
      <c r="X4382" s="143">
        <f>X4373/((N_6*X$27*0.667)*SQRT(X4383*X4375*X4377))</f>
        <v>71.639665236906723</v>
      </c>
      <c r="Y4382" s="133"/>
      <c r="Z4382" s="155"/>
      <c r="AA4382" s="143">
        <f>AA4373/((N_6*AA$27*0.667)*SQRT(AA4383*AA4375*AA4377))</f>
        <v>24.991292680426589</v>
      </c>
      <c r="AB4382" s="133"/>
      <c r="AC4382" s="155"/>
      <c r="AD4382" s="143">
        <f>AD4373/((N_6*AD$27*0.667)*SQRT(AD4383*AD4375*AD4377))</f>
        <v>14.509161275133025</v>
      </c>
      <c r="AE4382" s="133"/>
      <c r="AF4382" s="155"/>
      <c r="AG4382" s="143">
        <f>AG4373/((N_6*AG$27*0.667)*SQRT(AG4383*AG4375*AG4377))</f>
        <v>10.652778767647433</v>
      </c>
      <c r="AH4382" s="133"/>
      <c r="AI4382" s="155"/>
      <c r="AJ4382" s="143">
        <f>AJ4373/((N_6*AJ$27*0.667)*SQRT(AJ4383*AJ4375*AJ4377))</f>
        <v>8.9039429807012525</v>
      </c>
      <c r="AK4382" s="133"/>
      <c r="AL4382" s="155"/>
      <c r="AM4382" s="143">
        <f>AM4373/((N_6*AM$27*0.667)*SQRT(AM4383*AM4375*AM4377))</f>
        <v>8.3962519989723656</v>
      </c>
      <c r="AN4382" s="133"/>
      <c r="AO4382" s="155"/>
      <c r="AP4382" s="143">
        <f>AP4373/((N_6*AP$27*0.667)*SQRT(AP4383*AP4375*AP4377))</f>
        <v>7.7576217558709493</v>
      </c>
      <c r="AQ4382" s="133"/>
      <c r="AR4382" s="155"/>
      <c r="AS4382" s="143">
        <f>AS4373/((N_6*AS$27*0.667)*SQRT(AS4383*AS4375*AS4377))</f>
        <v>11.241195313262846</v>
      </c>
      <c r="AT4382" s="133"/>
      <c r="AU4382" s="155"/>
    </row>
    <row r="4383" spans="13:47" ht="15.5" x14ac:dyDescent="0.4">
      <c r="M4383" s="27"/>
      <c r="N4383" s="27"/>
      <c r="O4383" s="2" t="s">
        <v>192</v>
      </c>
      <c r="P4383" s="85">
        <v>10</v>
      </c>
      <c r="Q4383" s="2"/>
      <c r="R4383" s="181">
        <f>F_GAMMA*R$29</f>
        <v>0.64002688015162901</v>
      </c>
      <c r="S4383" s="133"/>
      <c r="T4383" s="155"/>
      <c r="U4383" s="138">
        <f>F_GAMMA*U$29</f>
        <v>0.64016782916606918</v>
      </c>
      <c r="V4383" s="133"/>
      <c r="W4383" s="155"/>
      <c r="X4383" s="138">
        <f>F_GAMMA*X$29</f>
        <v>0.6307062319203669</v>
      </c>
      <c r="Y4383" s="133"/>
      <c r="Z4383" s="155"/>
      <c r="AA4383" s="138">
        <f>F_GAMMA*AA$29</f>
        <v>0.62217534213893466</v>
      </c>
      <c r="AB4383" s="133"/>
      <c r="AC4383" s="155"/>
      <c r="AD4383" s="138">
        <f>F_GAMMA*AD$29</f>
        <v>0.60557184969146072</v>
      </c>
      <c r="AE4383" s="133"/>
      <c r="AF4383" s="155"/>
      <c r="AG4383" s="138">
        <f>F_GAMMA*AG$29</f>
        <v>0.57289312142622573</v>
      </c>
      <c r="AH4383" s="133"/>
      <c r="AI4383" s="155"/>
      <c r="AJ4383" s="138">
        <f>F_GAMMA*AJ$29</f>
        <v>0.53590819116049981</v>
      </c>
      <c r="AK4383" s="133"/>
      <c r="AL4383" s="155"/>
      <c r="AM4383" s="138">
        <f>F_GAMMA*AM$29</f>
        <v>0.49048815926850342</v>
      </c>
      <c r="AN4383" s="133"/>
      <c r="AO4383" s="155"/>
      <c r="AP4383" s="138">
        <f>F_GAMMA*AP$29</f>
        <v>0.59352979016280105</v>
      </c>
      <c r="AQ4383" s="133"/>
      <c r="AR4383" s="155"/>
      <c r="AS4383" s="138">
        <f>F_GAMMA*AS$29</f>
        <v>0.39097221161068291</v>
      </c>
      <c r="AT4383" s="133"/>
      <c r="AU4383" s="155"/>
    </row>
    <row r="4384" spans="13:47" x14ac:dyDescent="0.25">
      <c r="M4384" s="27"/>
      <c r="N4384" s="27"/>
      <c r="O4384" s="2" t="s">
        <v>193</v>
      </c>
      <c r="P4384" s="134"/>
      <c r="Q4384" s="2"/>
      <c r="R4384" s="181">
        <f>IF(R4379&lt;R4383,R4381,R4382)</f>
        <v>26.442436186143624</v>
      </c>
      <c r="S4384" s="133"/>
      <c r="T4384" s="155"/>
      <c r="U4384" s="138">
        <f>IF(U4379&lt;U4383,U4381,U4382)</f>
        <v>106.58165057094702</v>
      </c>
      <c r="V4384" s="133"/>
      <c r="W4384" s="155"/>
      <c r="X4384" s="138">
        <f>IF(X4379&lt;X4383,X4381,X4382)</f>
        <v>71.639665236906723</v>
      </c>
      <c r="Y4384" s="133"/>
      <c r="Z4384" s="155"/>
      <c r="AA4384" s="138">
        <f>IF(AA4379&lt;AA4383,AA4381,AA4382)</f>
        <v>24.991292680426589</v>
      </c>
      <c r="AB4384" s="133"/>
      <c r="AC4384" s="155"/>
      <c r="AD4384" s="138">
        <f>IF(AD4379&lt;AD4383,AD4381,AD4382)</f>
        <v>14.509161275133025</v>
      </c>
      <c r="AE4384" s="133"/>
      <c r="AF4384" s="155"/>
      <c r="AG4384" s="138">
        <f>IF(AG4379&lt;AG4383,AG4381,AG4382)</f>
        <v>10.652778767647433</v>
      </c>
      <c r="AH4384" s="133"/>
      <c r="AI4384" s="155"/>
      <c r="AJ4384" s="138">
        <f>IF(AJ4379&lt;AJ4383,AJ4381,AJ4382)</f>
        <v>8.9039429807012525</v>
      </c>
      <c r="AK4384" s="133"/>
      <c r="AL4384" s="155"/>
      <c r="AM4384" s="138">
        <f>IF(AM4379&lt;AM4383,AM4381,AM4382)</f>
        <v>8.3962519989723656</v>
      </c>
      <c r="AN4384" s="133"/>
      <c r="AO4384" s="155"/>
      <c r="AP4384" s="138">
        <f>IF(AP4379&lt;AP4383,AP4381,AP4382)</f>
        <v>7.7576217558709493</v>
      </c>
      <c r="AQ4384" s="133"/>
      <c r="AR4384" s="155"/>
      <c r="AS4384" s="138">
        <f>IF(AS4379&lt;AS4383,AS4381,AS4382)</f>
        <v>11.241195313262846</v>
      </c>
      <c r="AT4384" s="133"/>
      <c r="AU4384" s="155"/>
    </row>
    <row r="4385" spans="13:47" ht="13" x14ac:dyDescent="0.3">
      <c r="M4385" s="28"/>
      <c r="N4385" s="28"/>
      <c r="O4385" s="9" t="s">
        <v>194</v>
      </c>
      <c r="P4385" s="1"/>
      <c r="Q4385" s="1"/>
      <c r="R4385" s="135"/>
      <c r="S4385" s="132">
        <f>IF(R4378&lt;=0,W_max,ABS(R$23-R4384))</f>
        <v>24.442436186143624</v>
      </c>
      <c r="T4385" s="151">
        <f>R4373</f>
        <v>5307.1178644085157</v>
      </c>
      <c r="U4385" s="135"/>
      <c r="V4385" s="132">
        <f>IF(U4378&lt;=0,W_max,ABS(U$23-U4384))</f>
        <v>101.58165057094702</v>
      </c>
      <c r="W4385" s="151">
        <f>U4373</f>
        <v>10154.615385170837</v>
      </c>
      <c r="X4385" s="135"/>
      <c r="Y4385" s="132">
        <f>IF(X4378&lt;=0,W_max,ABS(X$23-X4384))</f>
        <v>7174</v>
      </c>
      <c r="Z4385" s="151">
        <f>X4373</f>
        <v>25113.572260923658</v>
      </c>
      <c r="AA4385" s="135"/>
      <c r="AB4385" s="132">
        <f>IF(AA4378&lt;=0,W_max,ABS(AA$23-AA4384))</f>
        <v>7174</v>
      </c>
      <c r="AC4385" s="151">
        <f>AA4373</f>
        <v>48914.82864014696</v>
      </c>
      <c r="AD4385" s="135"/>
      <c r="AE4385" s="132">
        <f>IF(AD4378&lt;=0,W_max,ABS(AD$23-AD4384))</f>
        <v>7174</v>
      </c>
      <c r="AF4385" s="151">
        <f>AD4373</f>
        <v>80446.883741626181</v>
      </c>
      <c r="AG4385" s="135"/>
      <c r="AH4385" s="132">
        <f>IF(AG4378&lt;=0,W_max,ABS(AG$23-AG4384))</f>
        <v>7174</v>
      </c>
      <c r="AI4385" s="151">
        <f>AG4373</f>
        <v>112832.94774506401</v>
      </c>
      <c r="AJ4385" s="135"/>
      <c r="AK4385" s="132">
        <f>IF(AJ4378&lt;=0,W_max,ABS(AJ$23-AJ4384))</f>
        <v>7174</v>
      </c>
      <c r="AL4385" s="151">
        <f>AJ4373</f>
        <v>143267.90324789876</v>
      </c>
      <c r="AM4385" s="135"/>
      <c r="AN4385" s="132">
        <f>IF(AM4378&lt;=0,W_max,ABS(AM$23-AM4384))</f>
        <v>7174</v>
      </c>
      <c r="AO4385" s="151">
        <f>AM4373</f>
        <v>167992.88385148073</v>
      </c>
      <c r="AP4385" s="135"/>
      <c r="AQ4385" s="132">
        <f>IF(AP4378&lt;=0,W_max,ABS(AP$23-AP4384))</f>
        <v>7174</v>
      </c>
      <c r="AR4385" s="151">
        <f>AP4373</f>
        <v>187424.34297812008</v>
      </c>
      <c r="AS4385" s="135"/>
      <c r="AT4385" s="132">
        <f>IF(AS4378&lt;=0,W_max,ABS(AS$23-AS4384))</f>
        <v>7174</v>
      </c>
      <c r="AU4385" s="151">
        <f>AS4373</f>
        <v>209103.40685523246</v>
      </c>
    </row>
    <row r="4386" spans="13:47" ht="13" x14ac:dyDescent="0.25">
      <c r="M4386" s="12"/>
      <c r="N4386" s="12"/>
      <c r="O4386" s="2"/>
      <c r="P4386" s="85"/>
      <c r="Q4386" s="2"/>
      <c r="R4386" s="18"/>
      <c r="S4386" s="150"/>
      <c r="T4386" s="152"/>
      <c r="U4386" s="157"/>
      <c r="V4386" s="1"/>
      <c r="W4386" s="147"/>
      <c r="X4386" s="157"/>
      <c r="Y4386" s="1"/>
      <c r="Z4386" s="147"/>
      <c r="AA4386" s="157"/>
      <c r="AB4386" s="1"/>
      <c r="AC4386" s="147"/>
      <c r="AD4386" s="157"/>
      <c r="AE4386" s="1"/>
      <c r="AF4386" s="147"/>
      <c r="AG4386" s="157"/>
      <c r="AH4386" s="1"/>
      <c r="AI4386" s="147"/>
      <c r="AJ4386" s="157"/>
      <c r="AK4386" s="1"/>
      <c r="AL4386" s="147"/>
      <c r="AM4386" s="157"/>
      <c r="AN4386" s="1"/>
      <c r="AO4386" s="147"/>
      <c r="AP4386" s="157"/>
      <c r="AQ4386" s="1"/>
      <c r="AR4386" s="147"/>
      <c r="AS4386" s="157"/>
      <c r="AT4386" s="1"/>
      <c r="AU4386" s="147"/>
    </row>
    <row r="4387" spans="13:47" ht="14" x14ac:dyDescent="0.3">
      <c r="M4387" s="23"/>
      <c r="N4387" s="23"/>
      <c r="O4387" s="23" t="s">
        <v>238</v>
      </c>
      <c r="P4387" s="20"/>
      <c r="Q4387" s="20"/>
      <c r="R4387" s="181">
        <f>R4373*1.02</f>
        <v>5413.2602216966861</v>
      </c>
      <c r="S4387" s="128" t="s">
        <v>185</v>
      </c>
      <c r="T4387" s="153" t="s">
        <v>186</v>
      </c>
      <c r="U4387" s="143">
        <f>U4373*1.01</f>
        <v>10256.161539022545</v>
      </c>
      <c r="V4387" s="128" t="s">
        <v>185</v>
      </c>
      <c r="W4387" s="153" t="s">
        <v>186</v>
      </c>
      <c r="X4387" s="143">
        <f>X4373*1.01</f>
        <v>25364.707983532895</v>
      </c>
      <c r="Y4387" s="128" t="s">
        <v>185</v>
      </c>
      <c r="Z4387" s="153" t="s">
        <v>186</v>
      </c>
      <c r="AA4387" s="143">
        <f>AA4373*1.01</f>
        <v>49403.976926548428</v>
      </c>
      <c r="AB4387" s="128" t="s">
        <v>185</v>
      </c>
      <c r="AC4387" s="153" t="s">
        <v>186</v>
      </c>
      <c r="AD4387" s="143">
        <f>AD4373*1.01</f>
        <v>81251.352579042446</v>
      </c>
      <c r="AE4387" s="128" t="s">
        <v>185</v>
      </c>
      <c r="AF4387" s="153" t="s">
        <v>186</v>
      </c>
      <c r="AG4387" s="143">
        <f>AG4373*1.01</f>
        <v>113961.27722251465</v>
      </c>
      <c r="AH4387" s="128" t="s">
        <v>185</v>
      </c>
      <c r="AI4387" s="153" t="s">
        <v>186</v>
      </c>
      <c r="AJ4387" s="143">
        <f>AJ4373*1.01</f>
        <v>144700.58228037774</v>
      </c>
      <c r="AK4387" s="128" t="s">
        <v>185</v>
      </c>
      <c r="AL4387" s="153" t="s">
        <v>186</v>
      </c>
      <c r="AM4387" s="143">
        <f>AM4373*1.01</f>
        <v>169672.81268999554</v>
      </c>
      <c r="AN4387" s="128" t="s">
        <v>185</v>
      </c>
      <c r="AO4387" s="153" t="s">
        <v>186</v>
      </c>
      <c r="AP4387" s="143">
        <f>AP4373*1.01</f>
        <v>189298.58640790128</v>
      </c>
      <c r="AQ4387" s="128" t="s">
        <v>185</v>
      </c>
      <c r="AR4387" s="153" t="s">
        <v>186</v>
      </c>
      <c r="AS4387" s="143">
        <f>AS4373*1.01</f>
        <v>211194.4409237848</v>
      </c>
      <c r="AT4387" s="128" t="s">
        <v>185</v>
      </c>
      <c r="AU4387" s="153" t="s">
        <v>186</v>
      </c>
    </row>
    <row r="4388" spans="13:47" ht="14" x14ac:dyDescent="0.3">
      <c r="M4388" s="12"/>
      <c r="N4388" s="12"/>
      <c r="O4388" s="20"/>
      <c r="P4388" s="20"/>
      <c r="Q4388" s="23"/>
      <c r="R4388" s="139"/>
      <c r="S4388" s="130" t="s">
        <v>228</v>
      </c>
      <c r="T4388" s="154" t="s">
        <v>187</v>
      </c>
      <c r="U4388" s="144"/>
      <c r="V4388" s="130" t="s">
        <v>228</v>
      </c>
      <c r="W4388" s="154" t="s">
        <v>187</v>
      </c>
      <c r="X4388" s="144"/>
      <c r="Y4388" s="130" t="s">
        <v>228</v>
      </c>
      <c r="Z4388" s="154" t="s">
        <v>187</v>
      </c>
      <c r="AA4388" s="144"/>
      <c r="AB4388" s="130" t="s">
        <v>228</v>
      </c>
      <c r="AC4388" s="154" t="s">
        <v>187</v>
      </c>
      <c r="AD4388" s="144"/>
      <c r="AE4388" s="130" t="s">
        <v>228</v>
      </c>
      <c r="AF4388" s="154" t="s">
        <v>187</v>
      </c>
      <c r="AG4388" s="144"/>
      <c r="AH4388" s="130" t="s">
        <v>228</v>
      </c>
      <c r="AI4388" s="154" t="s">
        <v>187</v>
      </c>
      <c r="AJ4388" s="144"/>
      <c r="AK4388" s="130" t="s">
        <v>228</v>
      </c>
      <c r="AL4388" s="154" t="s">
        <v>187</v>
      </c>
      <c r="AM4388" s="144"/>
      <c r="AN4388" s="130" t="s">
        <v>228</v>
      </c>
      <c r="AO4388" s="154" t="s">
        <v>187</v>
      </c>
      <c r="AP4388" s="144"/>
      <c r="AQ4388" s="130" t="s">
        <v>228</v>
      </c>
      <c r="AR4388" s="154" t="s">
        <v>187</v>
      </c>
      <c r="AS4388" s="144"/>
      <c r="AT4388" s="130" t="s">
        <v>228</v>
      </c>
      <c r="AU4388" s="154" t="s">
        <v>187</v>
      </c>
    </row>
    <row r="4389" spans="13:47" x14ac:dyDescent="0.25">
      <c r="M4389" s="20"/>
      <c r="N4389" s="20"/>
      <c r="O4389" s="7" t="s">
        <v>188</v>
      </c>
      <c r="P4389" s="7"/>
      <c r="Q4389" s="7"/>
      <c r="R4389" s="181">
        <f>P_1_minW-(R4387^2*R_up)+dpup_minQ</f>
        <v>88.83771462820367</v>
      </c>
      <c r="S4389" s="132"/>
      <c r="T4389" s="145"/>
      <c r="U4389" s="138">
        <f>P_1_minW-(U4387^2*R_up)+dpup_minQ</f>
        <v>58.577487922640316</v>
      </c>
      <c r="V4389" s="132"/>
      <c r="W4389" s="145"/>
      <c r="X4389" s="138">
        <f>P_1_minW-(X4387^2*R_up)+dpup_minQ</f>
        <v>-156.02798242995433</v>
      </c>
      <c r="Y4389" s="132"/>
      <c r="Z4389" s="145"/>
      <c r="AA4389" s="138">
        <f>P_1_minW-(AA4387^2*R_up)+dpup_minQ</f>
        <v>-872.75633658335369</v>
      </c>
      <c r="AB4389" s="132"/>
      <c r="AC4389" s="145"/>
      <c r="AD4389" s="138">
        <f>P_1_minW-(AD4387^2*R_up)+dpup_minQ</f>
        <v>-2532.016045906686</v>
      </c>
      <c r="AE4389" s="132"/>
      <c r="AF4389" s="145"/>
      <c r="AG4389" s="138">
        <f>P_1_minW-(AG4387^2*R_up)+dpup_minQ</f>
        <v>-5078.266052815422</v>
      </c>
      <c r="AH4389" s="132"/>
      <c r="AI4389" s="145"/>
      <c r="AJ4389" s="138">
        <f>P_1_minW-(AJ4387^2*R_up)+dpup_minQ</f>
        <v>-8248.8556312001583</v>
      </c>
      <c r="AK4389" s="132"/>
      <c r="AL4389" s="145"/>
      <c r="AM4389" s="138">
        <f>P_1_minW-(AM4387^2*R_up)+dpup_minQ</f>
        <v>-11379.377240534321</v>
      </c>
      <c r="AN4389" s="132"/>
      <c r="AO4389" s="145"/>
      <c r="AP4389" s="138">
        <f>P_1_minW-(AP4387^2*R_up)+dpup_minQ</f>
        <v>-14188.69084556258</v>
      </c>
      <c r="AQ4389" s="132"/>
      <c r="AR4389" s="145"/>
      <c r="AS4389" s="138">
        <f>P_1_minW-(AS4387^2*R_up)+dpup_minQ</f>
        <v>-17685.488044755286</v>
      </c>
      <c r="AT4389" s="132"/>
      <c r="AU4389" s="145"/>
    </row>
    <row r="4390" spans="13:47" x14ac:dyDescent="0.25">
      <c r="M4390" s="20"/>
      <c r="N4390" s="20"/>
      <c r="O4390" s="7" t="s">
        <v>189</v>
      </c>
      <c r="P4390" s="1"/>
      <c r="Q4390" s="7"/>
      <c r="R4390" s="181">
        <f>P_2_minW+(R4387^2*R_dn)-dpdn_minQ</f>
        <v>50</v>
      </c>
      <c r="S4390" s="132"/>
      <c r="T4390" s="146"/>
      <c r="U4390" s="138">
        <f>P_2_minW+(U4387^2*R_dn)-dpdn_minQ</f>
        <v>50</v>
      </c>
      <c r="V4390" s="132"/>
      <c r="W4390" s="146"/>
      <c r="X4390" s="138">
        <f>P_2_minW+(X4387^2*R_dn)-dpdn_minQ</f>
        <v>50</v>
      </c>
      <c r="Y4390" s="132"/>
      <c r="Z4390" s="146"/>
      <c r="AA4390" s="138">
        <f>P_2_minW+(AA4387^2*R_dn)-dpdn_minQ</f>
        <v>50</v>
      </c>
      <c r="AB4390" s="132"/>
      <c r="AC4390" s="146"/>
      <c r="AD4390" s="138">
        <f>P_2_minW+(AD4387^2*R_dn)-dpdn_minQ</f>
        <v>50</v>
      </c>
      <c r="AE4390" s="132"/>
      <c r="AF4390" s="146"/>
      <c r="AG4390" s="138">
        <f>P_2_minW+(AG4387^2*R_dn)-dpdn_minQ</f>
        <v>50</v>
      </c>
      <c r="AH4390" s="132"/>
      <c r="AI4390" s="146"/>
      <c r="AJ4390" s="138">
        <f>P_2_minW+(AJ4387^2*R_dn)-dpdn_minQ</f>
        <v>50</v>
      </c>
      <c r="AK4390" s="132"/>
      <c r="AL4390" s="146"/>
      <c r="AM4390" s="138">
        <f>P_2_minW+(AM4387^2*R_dn)-dpdn_minQ</f>
        <v>50</v>
      </c>
      <c r="AN4390" s="132"/>
      <c r="AO4390" s="146"/>
      <c r="AP4390" s="138">
        <f>P_2_minW+(AP4387^2*R_dn)-dpdn_minQ</f>
        <v>50</v>
      </c>
      <c r="AQ4390" s="132"/>
      <c r="AR4390" s="146"/>
      <c r="AS4390" s="138">
        <f>P_2_minW+(AS4387^2*R_dn)-dpdn_minQ</f>
        <v>50</v>
      </c>
      <c r="AT4390" s="132"/>
      <c r="AU4390" s="146"/>
    </row>
    <row r="4391" spans="13:47" x14ac:dyDescent="0.25">
      <c r="M4391" s="20"/>
      <c r="N4391" s="20"/>
      <c r="O4391" s="7" t="s">
        <v>234</v>
      </c>
      <c r="P4391" s="1"/>
      <c r="Q4391" s="7"/>
      <c r="R4391" s="179">
        <f>'Valve Sizing'!G$8*R4389/P_1_maxW</f>
        <v>0.42853731878623708</v>
      </c>
      <c r="S4391" s="132"/>
      <c r="T4391" s="146"/>
      <c r="U4391" s="143">
        <f>'Valve Sizing'!$G$8*U4389/P_1_maxW</f>
        <v>0.2825673726598999</v>
      </c>
      <c r="V4391" s="132"/>
      <c r="W4391" s="146"/>
      <c r="X4391" s="143">
        <f>'Valve Sizing'!$G$8*X4389/P_1_maxW</f>
        <v>-0.75265120817202125</v>
      </c>
      <c r="Y4391" s="132"/>
      <c r="Z4391" s="146"/>
      <c r="AA4391" s="143">
        <f>'Valve Sizing'!$G$8*AA4389/P_1_maxW</f>
        <v>-4.2100211829896734</v>
      </c>
      <c r="AB4391" s="132"/>
      <c r="AC4391" s="146"/>
      <c r="AD4391" s="143">
        <f>'Valve Sizing'!$G$8*AD4389/P_1_maxW</f>
        <v>-12.213994607782285</v>
      </c>
      <c r="AE4391" s="132"/>
      <c r="AF4391" s="146"/>
      <c r="AG4391" s="143">
        <f>'Valve Sizing'!$G$8*AG4389/P_1_maxW</f>
        <v>-24.496651309237897</v>
      </c>
      <c r="AH4391" s="132"/>
      <c r="AI4391" s="146"/>
      <c r="AJ4391" s="143">
        <f>'Valve Sizing'!$G$8*AJ4389/P_1_maxW</f>
        <v>-39.79101094668431</v>
      </c>
      <c r="AK4391" s="132"/>
      <c r="AL4391" s="146"/>
      <c r="AM4391" s="143">
        <f>'Valve Sizing'!$G$8*AM4389/P_1_maxW</f>
        <v>-54.892089835092953</v>
      </c>
      <c r="AN4391" s="132"/>
      <c r="AO4391" s="146"/>
      <c r="AP4391" s="143">
        <f>'Valve Sizing'!$G$8*AP4389/P_1_maxW</f>
        <v>-68.443718498290266</v>
      </c>
      <c r="AQ4391" s="132"/>
      <c r="AR4391" s="146"/>
      <c r="AS4391" s="143">
        <f>'Valve Sizing'!$G$8*AS4389/P_1_maxW</f>
        <v>-85.311645620827107</v>
      </c>
      <c r="AT4391" s="132"/>
      <c r="AU4391" s="146"/>
    </row>
    <row r="4392" spans="13:47" x14ac:dyDescent="0.25">
      <c r="M4392" s="20"/>
      <c r="N4392" s="20"/>
      <c r="O4392" s="7" t="s">
        <v>190</v>
      </c>
      <c r="P4392" s="1"/>
      <c r="Q4392" s="7"/>
      <c r="R4392" s="181">
        <f>R4389-R4390</f>
        <v>38.83771462820367</v>
      </c>
      <c r="S4392" s="132"/>
      <c r="T4392" s="146"/>
      <c r="U4392" s="138">
        <f>U4389-U4390</f>
        <v>8.5774879226403158</v>
      </c>
      <c r="V4392" s="132"/>
      <c r="W4392" s="146"/>
      <c r="X4392" s="138">
        <f>X4389-X4390</f>
        <v>-206.02798242995433</v>
      </c>
      <c r="Y4392" s="132"/>
      <c r="Z4392" s="146"/>
      <c r="AA4392" s="138">
        <f>AA4389-AA4390</f>
        <v>-922.75633658335369</v>
      </c>
      <c r="AB4392" s="132"/>
      <c r="AC4392" s="146"/>
      <c r="AD4392" s="138">
        <f>AD4389-AD4390</f>
        <v>-2582.016045906686</v>
      </c>
      <c r="AE4392" s="132"/>
      <c r="AF4392" s="146"/>
      <c r="AG4392" s="138">
        <f>AG4389-AG4390</f>
        <v>-5128.266052815422</v>
      </c>
      <c r="AH4392" s="132"/>
      <c r="AI4392" s="146"/>
      <c r="AJ4392" s="138">
        <f>AJ4389-AJ4390</f>
        <v>-8298.8556312001583</v>
      </c>
      <c r="AK4392" s="132"/>
      <c r="AL4392" s="146"/>
      <c r="AM4392" s="138">
        <f>AM4389-AM4390</f>
        <v>-11429.377240534321</v>
      </c>
      <c r="AN4392" s="132"/>
      <c r="AO4392" s="146"/>
      <c r="AP4392" s="138">
        <f>AP4389-AP4390</f>
        <v>-14238.69084556258</v>
      </c>
      <c r="AQ4392" s="132"/>
      <c r="AR4392" s="146"/>
      <c r="AS4392" s="138">
        <f>AS4389-AS4390</f>
        <v>-17735.488044755286</v>
      </c>
      <c r="AT4392" s="132"/>
      <c r="AU4392" s="146"/>
    </row>
    <row r="4393" spans="13:47" ht="14.5" x14ac:dyDescent="0.35">
      <c r="M4393" s="27"/>
      <c r="N4393" s="27"/>
      <c r="O4393" s="2" t="s">
        <v>191</v>
      </c>
      <c r="P4393" s="10"/>
      <c r="Q4393" s="2"/>
      <c r="R4393" s="181">
        <f>R4392/R4389</f>
        <v>0.43717597633779859</v>
      </c>
      <c r="S4393" s="132"/>
      <c r="T4393" s="146"/>
      <c r="U4393" s="138">
        <f>U4392/U4389</f>
        <v>0.14642976725065568</v>
      </c>
      <c r="V4393" s="132"/>
      <c r="W4393" s="146"/>
      <c r="X4393" s="138">
        <f>X4392/X4389</f>
        <v>1.3204553389802789</v>
      </c>
      <c r="Y4393" s="132"/>
      <c r="Z4393" s="146"/>
      <c r="AA4393" s="138">
        <f>AA4392/AA4389</f>
        <v>1.0572897587839223</v>
      </c>
      <c r="AB4393" s="132"/>
      <c r="AC4393" s="146"/>
      <c r="AD4393" s="138">
        <f>AD4392/AD4389</f>
        <v>1.019747110244752</v>
      </c>
      <c r="AE4393" s="132"/>
      <c r="AF4393" s="146"/>
      <c r="AG4393" s="138">
        <f>AG4392/AG4389</f>
        <v>1.0098458803615222</v>
      </c>
      <c r="AH4393" s="132"/>
      <c r="AI4393" s="146"/>
      <c r="AJ4393" s="138">
        <f>AJ4392/AJ4389</f>
        <v>1.0060614468522011</v>
      </c>
      <c r="AK4393" s="132"/>
      <c r="AL4393" s="146"/>
      <c r="AM4393" s="138">
        <f>AM4392/AM4389</f>
        <v>1.0043939135633799</v>
      </c>
      <c r="AN4393" s="132"/>
      <c r="AO4393" s="146"/>
      <c r="AP4393" s="138">
        <f>AP4392/AP4389</f>
        <v>1.0035239332891404</v>
      </c>
      <c r="AQ4393" s="132"/>
      <c r="AR4393" s="146"/>
      <c r="AS4393" s="138">
        <f>AS4392/AS4389</f>
        <v>1.0028271767153651</v>
      </c>
      <c r="AT4393" s="132"/>
      <c r="AU4393" s="146"/>
    </row>
    <row r="4394" spans="13:47" x14ac:dyDescent="0.25">
      <c r="M4394" s="27"/>
      <c r="N4394" s="27"/>
      <c r="O4394" s="2" t="s">
        <v>26</v>
      </c>
      <c r="P4394" s="7">
        <v>12</v>
      </c>
      <c r="Q4394" s="2"/>
      <c r="R4394" s="181">
        <f>1-R4393/(3*F_GAMMA*R$29)</f>
        <v>0.772313741867515</v>
      </c>
      <c r="S4394" s="133"/>
      <c r="T4394" s="146"/>
      <c r="U4394" s="138">
        <f>1-U4393/(3*F_GAMMA*U$29)</f>
        <v>0.92375449031784573</v>
      </c>
      <c r="V4394" s="133"/>
      <c r="W4394" s="146"/>
      <c r="X4394" s="138">
        <f>1-X4393/(3*F_GAMMA*X$29)</f>
        <v>0.30212869734943948</v>
      </c>
      <c r="Y4394" s="133"/>
      <c r="Z4394" s="146"/>
      <c r="AA4394" s="138">
        <f>1-AA4393/(3*F_GAMMA*AA$29)</f>
        <v>0.43355209420057428</v>
      </c>
      <c r="AB4394" s="133"/>
      <c r="AC4394" s="146"/>
      <c r="AD4394" s="138">
        <f>1-AD4393/(3*F_GAMMA*AD$29)</f>
        <v>0.43868641914563133</v>
      </c>
      <c r="AE4394" s="133"/>
      <c r="AF4394" s="146"/>
      <c r="AG4394" s="138">
        <f>1-AG4393/(3*F_GAMMA*AG$29)</f>
        <v>0.41242915848625994</v>
      </c>
      <c r="AH4394" s="133"/>
      <c r="AI4394" s="146"/>
      <c r="AJ4394" s="138">
        <f>1-AJ4393/(3*F_GAMMA*AJ$29)</f>
        <v>0.374232711593384</v>
      </c>
      <c r="AK4394" s="133"/>
      <c r="AL4394" s="146"/>
      <c r="AM4394" s="138">
        <f>1-AM4393/(3*F_GAMMA*AM$29)</f>
        <v>0.31741885127849145</v>
      </c>
      <c r="AN4394" s="133"/>
      <c r="AO4394" s="146"/>
      <c r="AP4394" s="138">
        <f>1-AP4393/(3*F_GAMMA*AP$29)</f>
        <v>0.43640911828318907</v>
      </c>
      <c r="AQ4394" s="133"/>
      <c r="AR4394" s="146"/>
      <c r="AS4394" s="138">
        <f>1-AS4393/(3*F_GAMMA*AS$29)</f>
        <v>0.14501410677071602</v>
      </c>
      <c r="AT4394" s="133"/>
      <c r="AU4394" s="146"/>
    </row>
    <row r="4395" spans="13:47" x14ac:dyDescent="0.25">
      <c r="M4395" s="27"/>
      <c r="N4395" s="27"/>
      <c r="O4395" s="2" t="s">
        <v>71</v>
      </c>
      <c r="P4395" s="85">
        <v>5</v>
      </c>
      <c r="Q4395" s="2"/>
      <c r="R4395" s="179">
        <f>R4387/((N_6*R$27*R4394)*SQRT(R4393*R4389*R4391))</f>
        <v>27.145118051914277</v>
      </c>
      <c r="S4395" s="133"/>
      <c r="T4395" s="146"/>
      <c r="U4395" s="143">
        <f>U4387/((N_6*U$27*U4394)*SQRT(U4393*U4389*U4391))</f>
        <v>112.74698535021943</v>
      </c>
      <c r="V4395" s="133"/>
      <c r="W4395" s="146"/>
      <c r="X4395" s="143">
        <f>X4387/((N_6*X$27*X4394)*SQRT(X4393*X4389*X4391))</f>
        <v>106.82109819707263</v>
      </c>
      <c r="Y4395" s="133"/>
      <c r="Z4395" s="146"/>
      <c r="AA4395" s="143">
        <f>AA4387/((N_6*AA$27*AA4394)*SQRT(AA4393*AA4389*AA4391))</f>
        <v>29.134306288027613</v>
      </c>
      <c r="AB4395" s="133"/>
      <c r="AC4395" s="146"/>
      <c r="AD4395" s="143">
        <f>AD4387/((N_6*AD$27*AD4394)*SQRT(AD4393*AD4389*AD4391))</f>
        <v>16.818314822422174</v>
      </c>
      <c r="AE4395" s="133"/>
      <c r="AF4395" s="146"/>
      <c r="AG4395" s="143">
        <f>AG4387/((N_6*AG$27*AG4394)*SQRT(AG4393*AG4389*AG4391))</f>
        <v>12.842643648132123</v>
      </c>
      <c r="AH4395" s="133"/>
      <c r="AI4395" s="146"/>
      <c r="AJ4395" s="143">
        <f>AJ4387/((N_6*AJ$27*AJ4394)*SQRT(AJ4393*AJ4389*AJ4391))</f>
        <v>11.464936065563618</v>
      </c>
      <c r="AK4395" s="133"/>
      <c r="AL4395" s="146"/>
      <c r="AM4395" s="143">
        <f>AM4387/((N_6*AM$27*AM4394)*SQRT(AM4393*AM4389*AM4391))</f>
        <v>12.205127406060358</v>
      </c>
      <c r="AN4395" s="133"/>
      <c r="AO4395" s="146"/>
      <c r="AP4395" s="143">
        <f>AP4387/((N_6*AP$27*AP4394)*SQRT(AP4393*AP4389*AP4391))</f>
        <v>9.0268201372558377</v>
      </c>
      <c r="AQ4395" s="133"/>
      <c r="AR4395" s="146"/>
      <c r="AS4395" s="143">
        <f>AS4387/((N_6*AS$27*AS4394)*SQRT(AS4393*AS4389*AS4391))</f>
        <v>31.960751354847083</v>
      </c>
      <c r="AT4395" s="133"/>
      <c r="AU4395" s="146"/>
    </row>
    <row r="4396" spans="13:47" x14ac:dyDescent="0.25">
      <c r="M4396" s="27"/>
      <c r="N4396" s="27"/>
      <c r="O4396" s="2" t="s">
        <v>73</v>
      </c>
      <c r="P4396" s="85">
        <v>5</v>
      </c>
      <c r="Q4396" s="2"/>
      <c r="R4396" s="179">
        <f>R4387/((N_6*R$27*0.667)*SQRT(R4397*R4389*R4391))</f>
        <v>25.976982418086315</v>
      </c>
      <c r="S4396" s="133"/>
      <c r="T4396" s="155"/>
      <c r="U4396" s="143">
        <f>U4387/((N_6*U$27*0.667)*SQRT(U4397*U4389*U4391))</f>
        <v>74.679848862435179</v>
      </c>
      <c r="V4396" s="133"/>
      <c r="W4396" s="155"/>
      <c r="X4396" s="143">
        <f>X4387/((N_6*X$27*0.667)*SQRT(X4397*X4389*X4391))</f>
        <v>70.011838149354404</v>
      </c>
      <c r="Y4396" s="133"/>
      <c r="Z4396" s="155"/>
      <c r="AA4396" s="143">
        <f>AA4387/((N_6*AA$27*0.667)*SQRT(AA4397*AA4389*AA4391))</f>
        <v>24.68656993097623</v>
      </c>
      <c r="AB4396" s="133"/>
      <c r="AC4396" s="155"/>
      <c r="AD4396" s="143">
        <f>AD4387/((N_6*AD$27*0.667)*SQRT(AD4397*AD4389*AD4391))</f>
        <v>14.354042770475859</v>
      </c>
      <c r="AE4396" s="133"/>
      <c r="AF4396" s="155"/>
      <c r="AG4396" s="143">
        <f>AG4387/((N_6*AG$27*0.667)*SQRT(AG4397*AG4389*AG4391))</f>
        <v>10.543109216012901</v>
      </c>
      <c r="AH4396" s="133"/>
      <c r="AI4396" s="155"/>
      <c r="AJ4396" s="143">
        <f>AJ4387/((N_6*AJ$27*0.667)*SQRT(AJ4397*AJ4389*AJ4391))</f>
        <v>8.8136257553927937</v>
      </c>
      <c r="AK4396" s="133"/>
      <c r="AL4396" s="155"/>
      <c r="AM4396" s="143">
        <f>AM4387/((N_6*AM$27*0.667)*SQRT(AM4397*AM4389*AM4391))</f>
        <v>8.3116447237146769</v>
      </c>
      <c r="AN4396" s="133"/>
      <c r="AO4396" s="155"/>
      <c r="AP4396" s="143">
        <f>AP4387/((N_6*AP$27*0.667)*SQRT(AP4397*AP4389*AP4391))</f>
        <v>7.679719851007528</v>
      </c>
      <c r="AQ4396" s="133"/>
      <c r="AR4396" s="155"/>
      <c r="AS4396" s="143">
        <f>AS4387/((N_6*AS$27*0.667)*SQRT(AS4397*AS4389*AS4391))</f>
        <v>11.128624796234625</v>
      </c>
      <c r="AT4396" s="133"/>
      <c r="AU4396" s="155"/>
    </row>
    <row r="4397" spans="13:47" ht="15.5" x14ac:dyDescent="0.4">
      <c r="M4397" s="27"/>
      <c r="N4397" s="27"/>
      <c r="O4397" s="2" t="s">
        <v>192</v>
      </c>
      <c r="P4397" s="85">
        <v>10</v>
      </c>
      <c r="Q4397" s="2"/>
      <c r="R4397" s="181">
        <f>F_GAMMA*R$29</f>
        <v>0.64002688015162901</v>
      </c>
      <c r="S4397" s="133"/>
      <c r="T4397" s="155"/>
      <c r="U4397" s="138">
        <f>F_GAMMA*U$29</f>
        <v>0.64016782916606918</v>
      </c>
      <c r="V4397" s="133"/>
      <c r="W4397" s="155"/>
      <c r="X4397" s="138">
        <f>F_GAMMA*X$29</f>
        <v>0.6307062319203669</v>
      </c>
      <c r="Y4397" s="133"/>
      <c r="Z4397" s="155"/>
      <c r="AA4397" s="138">
        <f>F_GAMMA*AA$29</f>
        <v>0.62217534213893466</v>
      </c>
      <c r="AB4397" s="133"/>
      <c r="AC4397" s="155"/>
      <c r="AD4397" s="138">
        <f>F_GAMMA*AD$29</f>
        <v>0.60557184969146072</v>
      </c>
      <c r="AE4397" s="133"/>
      <c r="AF4397" s="155"/>
      <c r="AG4397" s="138">
        <f>F_GAMMA*AG$29</f>
        <v>0.57289312142622573</v>
      </c>
      <c r="AH4397" s="133"/>
      <c r="AI4397" s="155"/>
      <c r="AJ4397" s="138">
        <f>F_GAMMA*AJ$29</f>
        <v>0.53590819116049981</v>
      </c>
      <c r="AK4397" s="133"/>
      <c r="AL4397" s="155"/>
      <c r="AM4397" s="138">
        <f>F_GAMMA*AM$29</f>
        <v>0.49048815926850342</v>
      </c>
      <c r="AN4397" s="133"/>
      <c r="AO4397" s="155"/>
      <c r="AP4397" s="138">
        <f>F_GAMMA*AP$29</f>
        <v>0.59352979016280105</v>
      </c>
      <c r="AQ4397" s="133"/>
      <c r="AR4397" s="155"/>
      <c r="AS4397" s="138">
        <f>F_GAMMA*AS$29</f>
        <v>0.39097221161068291</v>
      </c>
      <c r="AT4397" s="133"/>
      <c r="AU4397" s="155"/>
    </row>
    <row r="4398" spans="13:47" x14ac:dyDescent="0.25">
      <c r="M4398" s="27"/>
      <c r="N4398" s="27"/>
      <c r="O4398" s="2" t="s">
        <v>193</v>
      </c>
      <c r="P4398" s="134"/>
      <c r="Q4398" s="2"/>
      <c r="R4398" s="181">
        <f>IF(R4393&lt;R4397,R4395,R4396)</f>
        <v>27.145118051914277</v>
      </c>
      <c r="S4398" s="133"/>
      <c r="T4398" s="155"/>
      <c r="U4398" s="138">
        <f>IF(U4393&lt;U4397,U4395,U4396)</f>
        <v>112.74698535021943</v>
      </c>
      <c r="V4398" s="133"/>
      <c r="W4398" s="155"/>
      <c r="X4398" s="138">
        <f>IF(X4393&lt;X4397,X4395,X4396)</f>
        <v>70.011838149354404</v>
      </c>
      <c r="Y4398" s="133"/>
      <c r="Z4398" s="155"/>
      <c r="AA4398" s="138">
        <f>IF(AA4393&lt;AA4397,AA4395,AA4396)</f>
        <v>24.68656993097623</v>
      </c>
      <c r="AB4398" s="133"/>
      <c r="AC4398" s="155"/>
      <c r="AD4398" s="138">
        <f>IF(AD4393&lt;AD4397,AD4395,AD4396)</f>
        <v>14.354042770475859</v>
      </c>
      <c r="AE4398" s="133"/>
      <c r="AF4398" s="155"/>
      <c r="AG4398" s="138">
        <f>IF(AG4393&lt;AG4397,AG4395,AG4396)</f>
        <v>10.543109216012901</v>
      </c>
      <c r="AH4398" s="133"/>
      <c r="AI4398" s="155"/>
      <c r="AJ4398" s="138">
        <f>IF(AJ4393&lt;AJ4397,AJ4395,AJ4396)</f>
        <v>8.8136257553927937</v>
      </c>
      <c r="AK4398" s="133"/>
      <c r="AL4398" s="155"/>
      <c r="AM4398" s="138">
        <f>IF(AM4393&lt;AM4397,AM4395,AM4396)</f>
        <v>8.3116447237146769</v>
      </c>
      <c r="AN4398" s="133"/>
      <c r="AO4398" s="155"/>
      <c r="AP4398" s="138">
        <f>IF(AP4393&lt;AP4397,AP4395,AP4396)</f>
        <v>7.679719851007528</v>
      </c>
      <c r="AQ4398" s="133"/>
      <c r="AR4398" s="155"/>
      <c r="AS4398" s="138">
        <f>IF(AS4393&lt;AS4397,AS4395,AS4396)</f>
        <v>11.128624796234625</v>
      </c>
      <c r="AT4398" s="133"/>
      <c r="AU4398" s="155"/>
    </row>
    <row r="4399" spans="13:47" ht="13" x14ac:dyDescent="0.3">
      <c r="M4399" s="28"/>
      <c r="N4399" s="28"/>
      <c r="O4399" s="9" t="s">
        <v>194</v>
      </c>
      <c r="P4399" s="1"/>
      <c r="Q4399" s="1"/>
      <c r="R4399" s="135"/>
      <c r="S4399" s="132">
        <f>IF(R4392&lt;=0,W_max,ABS(R$23-R4398))</f>
        <v>25.145118051914277</v>
      </c>
      <c r="T4399" s="151">
        <f>R4387</f>
        <v>5413.2602216966861</v>
      </c>
      <c r="U4399" s="135"/>
      <c r="V4399" s="132">
        <f>IF(U4392&lt;=0,W_max,ABS(U$23-U4398))</f>
        <v>107.74698535021943</v>
      </c>
      <c r="W4399" s="151">
        <f>U4387</f>
        <v>10256.161539022545</v>
      </c>
      <c r="X4399" s="135"/>
      <c r="Y4399" s="132">
        <f>IF(X4392&lt;=0,W_max,ABS(X$23-X4398))</f>
        <v>7174</v>
      </c>
      <c r="Z4399" s="151">
        <f>X4387</f>
        <v>25364.707983532895</v>
      </c>
      <c r="AA4399" s="135"/>
      <c r="AB4399" s="132">
        <f>IF(AA4392&lt;=0,W_max,ABS(AA$23-AA4398))</f>
        <v>7174</v>
      </c>
      <c r="AC4399" s="151">
        <f>AA4387</f>
        <v>49403.976926548428</v>
      </c>
      <c r="AD4399" s="135"/>
      <c r="AE4399" s="132">
        <f>IF(AD4392&lt;=0,W_max,ABS(AD$23-AD4398))</f>
        <v>7174</v>
      </c>
      <c r="AF4399" s="151">
        <f>AD4387</f>
        <v>81251.352579042446</v>
      </c>
      <c r="AG4399" s="135"/>
      <c r="AH4399" s="132">
        <f>IF(AG4392&lt;=0,W_max,ABS(AG$23-AG4398))</f>
        <v>7174</v>
      </c>
      <c r="AI4399" s="151">
        <f>AG4387</f>
        <v>113961.27722251465</v>
      </c>
      <c r="AJ4399" s="135"/>
      <c r="AK4399" s="132">
        <f>IF(AJ4392&lt;=0,W_max,ABS(AJ$23-AJ4398))</f>
        <v>7174</v>
      </c>
      <c r="AL4399" s="151">
        <f>AJ4387</f>
        <v>144700.58228037774</v>
      </c>
      <c r="AM4399" s="135"/>
      <c r="AN4399" s="132">
        <f>IF(AM4392&lt;=0,W_max,ABS(AM$23-AM4398))</f>
        <v>7174</v>
      </c>
      <c r="AO4399" s="151">
        <f>AM4387</f>
        <v>169672.81268999554</v>
      </c>
      <c r="AP4399" s="135"/>
      <c r="AQ4399" s="132">
        <f>IF(AP4392&lt;=0,W_max,ABS(AP$23-AP4398))</f>
        <v>7174</v>
      </c>
      <c r="AR4399" s="151">
        <f>AP4387</f>
        <v>189298.58640790128</v>
      </c>
      <c r="AS4399" s="135"/>
      <c r="AT4399" s="132">
        <f>IF(AS4392&lt;=0,W_max,ABS(AS$23-AS4398))</f>
        <v>7174</v>
      </c>
      <c r="AU4399" s="151">
        <f>AS4387</f>
        <v>211194.4409237848</v>
      </c>
    </row>
    <row r="4400" spans="13:47" ht="13" x14ac:dyDescent="0.25">
      <c r="M4400" s="12"/>
      <c r="N4400" s="12"/>
      <c r="O4400" s="2"/>
      <c r="P4400" s="85"/>
      <c r="Q4400" s="2"/>
      <c r="R4400" s="18"/>
      <c r="S4400" s="150"/>
      <c r="T4400" s="148"/>
      <c r="U4400" s="157"/>
      <c r="V4400" s="1"/>
      <c r="W4400" s="147"/>
      <c r="X4400" s="157"/>
      <c r="Y4400" s="1"/>
      <c r="Z4400" s="147"/>
      <c r="AA4400" s="157"/>
      <c r="AB4400" s="1"/>
      <c r="AC4400" s="147"/>
      <c r="AD4400" s="157"/>
      <c r="AE4400" s="1"/>
      <c r="AF4400" s="147"/>
      <c r="AG4400" s="157"/>
      <c r="AH4400" s="1"/>
      <c r="AI4400" s="147"/>
      <c r="AJ4400" s="157"/>
      <c r="AK4400" s="1"/>
      <c r="AL4400" s="147"/>
      <c r="AM4400" s="157"/>
      <c r="AN4400" s="1"/>
      <c r="AO4400" s="147"/>
      <c r="AP4400" s="157"/>
      <c r="AQ4400" s="1"/>
      <c r="AR4400" s="147"/>
      <c r="AS4400" s="157"/>
      <c r="AT4400" s="1"/>
      <c r="AU4400" s="147"/>
    </row>
    <row r="4401" spans="13:47" ht="14" x14ac:dyDescent="0.3">
      <c r="M4401" s="23"/>
      <c r="N4401" s="23"/>
      <c r="O4401" s="23" t="s">
        <v>238</v>
      </c>
      <c r="P4401" s="20"/>
      <c r="Q4401" s="20"/>
      <c r="R4401" s="181">
        <f>R4387*1.02</f>
        <v>5521.52542613062</v>
      </c>
      <c r="S4401" s="128" t="s">
        <v>185</v>
      </c>
      <c r="T4401" s="149" t="s">
        <v>186</v>
      </c>
      <c r="U4401" s="143">
        <f>U4387*1.01</f>
        <v>10358.72315441277</v>
      </c>
      <c r="V4401" s="128" t="s">
        <v>185</v>
      </c>
      <c r="W4401" s="153" t="s">
        <v>186</v>
      </c>
      <c r="X4401" s="143">
        <f>X4387*1.01</f>
        <v>25618.355063368224</v>
      </c>
      <c r="Y4401" s="128" t="s">
        <v>185</v>
      </c>
      <c r="Z4401" s="153" t="s">
        <v>186</v>
      </c>
      <c r="AA4401" s="143">
        <f>AA4387*1.01</f>
        <v>49898.016695813916</v>
      </c>
      <c r="AB4401" s="128" t="s">
        <v>185</v>
      </c>
      <c r="AC4401" s="153" t="s">
        <v>186</v>
      </c>
      <c r="AD4401" s="143">
        <f>AD4387*1.01</f>
        <v>82063.866104832865</v>
      </c>
      <c r="AE4401" s="128" t="s">
        <v>185</v>
      </c>
      <c r="AF4401" s="153" t="s">
        <v>186</v>
      </c>
      <c r="AG4401" s="143">
        <f>AG4387*1.01</f>
        <v>115100.88999473979</v>
      </c>
      <c r="AH4401" s="128" t="s">
        <v>185</v>
      </c>
      <c r="AI4401" s="153" t="s">
        <v>186</v>
      </c>
      <c r="AJ4401" s="143">
        <f>AJ4387*1.01</f>
        <v>146147.58810318151</v>
      </c>
      <c r="AK4401" s="128" t="s">
        <v>185</v>
      </c>
      <c r="AL4401" s="153" t="s">
        <v>186</v>
      </c>
      <c r="AM4401" s="143">
        <f>AM4387*1.01</f>
        <v>171369.54081689549</v>
      </c>
      <c r="AN4401" s="128" t="s">
        <v>185</v>
      </c>
      <c r="AO4401" s="153" t="s">
        <v>186</v>
      </c>
      <c r="AP4401" s="143">
        <f>AP4387*1.01</f>
        <v>191191.57227198029</v>
      </c>
      <c r="AQ4401" s="128" t="s">
        <v>185</v>
      </c>
      <c r="AR4401" s="153" t="s">
        <v>186</v>
      </c>
      <c r="AS4401" s="143">
        <f>AS4387*1.01</f>
        <v>213306.38533302266</v>
      </c>
      <c r="AT4401" s="128" t="s">
        <v>185</v>
      </c>
      <c r="AU4401" s="153" t="s">
        <v>186</v>
      </c>
    </row>
    <row r="4402" spans="13:47" ht="14" x14ac:dyDescent="0.3">
      <c r="M4402" s="12"/>
      <c r="N4402" s="12"/>
      <c r="O4402" s="20"/>
      <c r="P4402" s="20"/>
      <c r="Q4402" s="23"/>
      <c r="R4402" s="139"/>
      <c r="S4402" s="130" t="s">
        <v>228</v>
      </c>
      <c r="T4402" s="131" t="s">
        <v>187</v>
      </c>
      <c r="U4402" s="144"/>
      <c r="V4402" s="130" t="s">
        <v>228</v>
      </c>
      <c r="W4402" s="154" t="s">
        <v>187</v>
      </c>
      <c r="X4402" s="144"/>
      <c r="Y4402" s="130" t="s">
        <v>228</v>
      </c>
      <c r="Z4402" s="154" t="s">
        <v>187</v>
      </c>
      <c r="AA4402" s="144"/>
      <c r="AB4402" s="130" t="s">
        <v>228</v>
      </c>
      <c r="AC4402" s="154" t="s">
        <v>187</v>
      </c>
      <c r="AD4402" s="144"/>
      <c r="AE4402" s="130" t="s">
        <v>228</v>
      </c>
      <c r="AF4402" s="154" t="s">
        <v>187</v>
      </c>
      <c r="AG4402" s="144"/>
      <c r="AH4402" s="130" t="s">
        <v>228</v>
      </c>
      <c r="AI4402" s="154" t="s">
        <v>187</v>
      </c>
      <c r="AJ4402" s="144"/>
      <c r="AK4402" s="130" t="s">
        <v>228</v>
      </c>
      <c r="AL4402" s="154" t="s">
        <v>187</v>
      </c>
      <c r="AM4402" s="144"/>
      <c r="AN4402" s="130" t="s">
        <v>228</v>
      </c>
      <c r="AO4402" s="154" t="s">
        <v>187</v>
      </c>
      <c r="AP4402" s="144"/>
      <c r="AQ4402" s="130" t="s">
        <v>228</v>
      </c>
      <c r="AR4402" s="154" t="s">
        <v>187</v>
      </c>
      <c r="AS4402" s="144"/>
      <c r="AT4402" s="130" t="s">
        <v>228</v>
      </c>
      <c r="AU4402" s="154" t="s">
        <v>187</v>
      </c>
    </row>
    <row r="4403" spans="13:47" x14ac:dyDescent="0.25">
      <c r="M4403" s="20"/>
      <c r="N4403" s="20"/>
      <c r="O4403" s="7" t="s">
        <v>188</v>
      </c>
      <c r="P4403" s="7"/>
      <c r="Q4403" s="7"/>
      <c r="R4403" s="181">
        <f>P_1_minW-(R4401^2*R_up)+dpup_minQ</f>
        <v>88.365637715019346</v>
      </c>
      <c r="S4403" s="132"/>
      <c r="T4403" s="145"/>
      <c r="U4403" s="138">
        <f>P_1_minW-(U4401^2*R_up)+dpup_minQ</f>
        <v>57.73438741647719</v>
      </c>
      <c r="V4403" s="132"/>
      <c r="W4403" s="145"/>
      <c r="X4403" s="138">
        <f>P_1_minW-(X4401^2*R_up)+dpup_minQ</f>
        <v>-161.1846528902046</v>
      </c>
      <c r="Y4403" s="132"/>
      <c r="Z4403" s="145"/>
      <c r="AA4403" s="138">
        <f>P_1_minW-(AA4401^2*R_up)+dpup_minQ</f>
        <v>-892.31924696208762</v>
      </c>
      <c r="AB4403" s="132"/>
      <c r="AC4403" s="145"/>
      <c r="AD4403" s="138">
        <f>P_1_minW-(AD4401^2*R_up)+dpup_minQ</f>
        <v>-2584.9300764428185</v>
      </c>
      <c r="AE4403" s="132"/>
      <c r="AF4403" s="145"/>
      <c r="AG4403" s="138">
        <f>P_1_minW-(AG4401^2*R_up)+dpup_minQ</f>
        <v>-5182.3597084904195</v>
      </c>
      <c r="AH4403" s="132"/>
      <c r="AI4403" s="145"/>
      <c r="AJ4403" s="138">
        <f>P_1_minW-(AJ4401^2*R_up)+dpup_minQ</f>
        <v>-8416.6781374006896</v>
      </c>
      <c r="AK4403" s="132"/>
      <c r="AL4403" s="145"/>
      <c r="AM4403" s="138">
        <f>P_1_minW-(AM4401^2*R_up)+dpup_minQ</f>
        <v>-11610.123231082469</v>
      </c>
      <c r="AN4403" s="132"/>
      <c r="AO4403" s="145"/>
      <c r="AP4403" s="138">
        <f>P_1_minW-(AP4401^2*R_up)+dpup_minQ</f>
        <v>-14475.904039571795</v>
      </c>
      <c r="AQ4403" s="132"/>
      <c r="AR4403" s="145"/>
      <c r="AS4403" s="138">
        <f>P_1_minW-(AS4401^2*R_up)+dpup_minQ</f>
        <v>-18042.986862468275</v>
      </c>
      <c r="AT4403" s="132"/>
      <c r="AU4403" s="145"/>
    </row>
    <row r="4404" spans="13:47" x14ac:dyDescent="0.25">
      <c r="M4404" s="20"/>
      <c r="N4404" s="20"/>
      <c r="O4404" s="7" t="s">
        <v>189</v>
      </c>
      <c r="P4404" s="1"/>
      <c r="Q4404" s="7"/>
      <c r="R4404" s="181">
        <f>P_2_minW+(R4401^2*R_dn)-dpdn_minQ</f>
        <v>50</v>
      </c>
      <c r="S4404" s="132"/>
      <c r="T4404" s="146"/>
      <c r="U4404" s="138">
        <f>P_2_minW+(U4401^2*R_dn)-dpdn_minQ</f>
        <v>50</v>
      </c>
      <c r="V4404" s="132"/>
      <c r="W4404" s="146"/>
      <c r="X4404" s="138">
        <f>P_2_minW+(X4401^2*R_dn)-dpdn_minQ</f>
        <v>50</v>
      </c>
      <c r="Y4404" s="132"/>
      <c r="Z4404" s="146"/>
      <c r="AA4404" s="138">
        <f>P_2_minW+(AA4401^2*R_dn)-dpdn_minQ</f>
        <v>50</v>
      </c>
      <c r="AB4404" s="132"/>
      <c r="AC4404" s="146"/>
      <c r="AD4404" s="138">
        <f>P_2_minW+(AD4401^2*R_dn)-dpdn_minQ</f>
        <v>50</v>
      </c>
      <c r="AE4404" s="132"/>
      <c r="AF4404" s="146"/>
      <c r="AG4404" s="138">
        <f>P_2_minW+(AG4401^2*R_dn)-dpdn_minQ</f>
        <v>50</v>
      </c>
      <c r="AH4404" s="132"/>
      <c r="AI4404" s="146"/>
      <c r="AJ4404" s="138">
        <f>P_2_minW+(AJ4401^2*R_dn)-dpdn_minQ</f>
        <v>50</v>
      </c>
      <c r="AK4404" s="132"/>
      <c r="AL4404" s="146"/>
      <c r="AM4404" s="138">
        <f>P_2_minW+(AM4401^2*R_dn)-dpdn_minQ</f>
        <v>50</v>
      </c>
      <c r="AN4404" s="132"/>
      <c r="AO4404" s="146"/>
      <c r="AP4404" s="138">
        <f>P_2_minW+(AP4401^2*R_dn)-dpdn_minQ</f>
        <v>50</v>
      </c>
      <c r="AQ4404" s="132"/>
      <c r="AR4404" s="146"/>
      <c r="AS4404" s="138">
        <f>P_2_minW+(AS4401^2*R_dn)-dpdn_minQ</f>
        <v>50</v>
      </c>
      <c r="AT4404" s="132"/>
      <c r="AU4404" s="146"/>
    </row>
    <row r="4405" spans="13:47" x14ac:dyDescent="0.25">
      <c r="M4405" s="20"/>
      <c r="N4405" s="20"/>
      <c r="O4405" s="7" t="s">
        <v>234</v>
      </c>
      <c r="P4405" s="1"/>
      <c r="Q4405" s="7"/>
      <c r="R4405" s="179">
        <f>'Valve Sizing'!G$8*R4403/P_1_maxW</f>
        <v>0.42626010380514989</v>
      </c>
      <c r="S4405" s="132"/>
      <c r="T4405" s="146"/>
      <c r="U4405" s="143">
        <f>'Valve Sizing'!$G$8*U4403/P_1_maxW</f>
        <v>0.27850040592296221</v>
      </c>
      <c r="V4405" s="132"/>
      <c r="W4405" s="146"/>
      <c r="X4405" s="143">
        <f>'Valve Sizing'!$G$8*X4403/P_1_maxW</f>
        <v>-0.77752606838368044</v>
      </c>
      <c r="Y4405" s="132"/>
      <c r="Z4405" s="146"/>
      <c r="AA4405" s="143">
        <f>'Valve Sizing'!$G$8*AA4403/P_1_maxW</f>
        <v>-4.3043891796951694</v>
      </c>
      <c r="AB4405" s="132"/>
      <c r="AC4405" s="146"/>
      <c r="AD4405" s="143">
        <f>'Valve Sizing'!$G$8*AD4403/P_1_maxW</f>
        <v>-12.46924247032611</v>
      </c>
      <c r="AE4405" s="132"/>
      <c r="AF4405" s="146"/>
      <c r="AG4405" s="143">
        <f>'Valve Sizing'!$G$8*AG4403/P_1_maxW</f>
        <v>-24.998780571480978</v>
      </c>
      <c r="AH4405" s="132"/>
      <c r="AI4405" s="146"/>
      <c r="AJ4405" s="143">
        <f>'Valve Sizing'!$G$8*AJ4403/P_1_maxW</f>
        <v>-40.600556837640063</v>
      </c>
      <c r="AK4405" s="132"/>
      <c r="AL4405" s="146"/>
      <c r="AM4405" s="143">
        <f>'Valve Sizing'!$G$8*AM4403/P_1_maxW</f>
        <v>-56.005167411705713</v>
      </c>
      <c r="AN4405" s="132"/>
      <c r="AO4405" s="146"/>
      <c r="AP4405" s="143">
        <f>'Valve Sizing'!$G$8*AP4403/P_1_maxW</f>
        <v>-69.829183811033289</v>
      </c>
      <c r="AQ4405" s="132"/>
      <c r="AR4405" s="146"/>
      <c r="AS4405" s="143">
        <f>'Valve Sizing'!$G$8*AS4403/P_1_maxW</f>
        <v>-87.036156268733137</v>
      </c>
      <c r="AT4405" s="132"/>
      <c r="AU4405" s="146"/>
    </row>
    <row r="4406" spans="13:47" x14ac:dyDescent="0.25">
      <c r="M4406" s="20"/>
      <c r="N4406" s="20"/>
      <c r="O4406" s="7" t="s">
        <v>190</v>
      </c>
      <c r="P4406" s="1"/>
      <c r="Q4406" s="7"/>
      <c r="R4406" s="181">
        <f>R4403-R4404</f>
        <v>38.365637715019346</v>
      </c>
      <c r="S4406" s="132"/>
      <c r="T4406" s="146"/>
      <c r="U4406" s="138">
        <f>U4403-U4404</f>
        <v>7.7343874164771904</v>
      </c>
      <c r="V4406" s="132"/>
      <c r="W4406" s="146"/>
      <c r="X4406" s="138">
        <f>X4403-X4404</f>
        <v>-211.1846528902046</v>
      </c>
      <c r="Y4406" s="132"/>
      <c r="Z4406" s="146"/>
      <c r="AA4406" s="138">
        <f>AA4403-AA4404</f>
        <v>-942.31924696208762</v>
      </c>
      <c r="AB4406" s="132"/>
      <c r="AC4406" s="146"/>
      <c r="AD4406" s="138">
        <f>AD4403-AD4404</f>
        <v>-2634.9300764428185</v>
      </c>
      <c r="AE4406" s="132"/>
      <c r="AF4406" s="146"/>
      <c r="AG4406" s="138">
        <f>AG4403-AG4404</f>
        <v>-5232.3597084904195</v>
      </c>
      <c r="AH4406" s="132"/>
      <c r="AI4406" s="146"/>
      <c r="AJ4406" s="138">
        <f>AJ4403-AJ4404</f>
        <v>-8466.6781374006896</v>
      </c>
      <c r="AK4406" s="132"/>
      <c r="AL4406" s="146"/>
      <c r="AM4406" s="138">
        <f>AM4403-AM4404</f>
        <v>-11660.123231082469</v>
      </c>
      <c r="AN4406" s="132"/>
      <c r="AO4406" s="146"/>
      <c r="AP4406" s="138">
        <f>AP4403-AP4404</f>
        <v>-14525.904039571795</v>
      </c>
      <c r="AQ4406" s="132"/>
      <c r="AR4406" s="146"/>
      <c r="AS4406" s="138">
        <f>AS4403-AS4404</f>
        <v>-18092.986862468275</v>
      </c>
      <c r="AT4406" s="132"/>
      <c r="AU4406" s="146"/>
    </row>
    <row r="4407" spans="13:47" ht="14.5" x14ac:dyDescent="0.35">
      <c r="M4407" s="27"/>
      <c r="N4407" s="27"/>
      <c r="O4407" s="2" t="s">
        <v>191</v>
      </c>
      <c r="P4407" s="10"/>
      <c r="Q4407" s="2"/>
      <c r="R4407" s="181">
        <f>R4406/R4403</f>
        <v>0.43416919412440802</v>
      </c>
      <c r="S4407" s="132"/>
      <c r="T4407" s="146"/>
      <c r="U4407" s="138">
        <f>U4406/U4403</f>
        <v>0.13396500357202756</v>
      </c>
      <c r="V4407" s="132"/>
      <c r="W4407" s="146"/>
      <c r="X4407" s="138">
        <f>X4406/X4403</f>
        <v>1.3102032302917752</v>
      </c>
      <c r="Y4407" s="132"/>
      <c r="Z4407" s="146"/>
      <c r="AA4407" s="138">
        <f>AA4406/AA4403</f>
        <v>1.0560337571673206</v>
      </c>
      <c r="AB4407" s="132"/>
      <c r="AC4407" s="146"/>
      <c r="AD4407" s="138">
        <f>AD4406/AD4403</f>
        <v>1.0193428829876923</v>
      </c>
      <c r="AE4407" s="132"/>
      <c r="AF4407" s="146"/>
      <c r="AG4407" s="138">
        <f>AG4406/AG4403</f>
        <v>1.0096481145293876</v>
      </c>
      <c r="AH4407" s="132"/>
      <c r="AI4407" s="146"/>
      <c r="AJ4407" s="138">
        <f>AJ4406/AJ4403</f>
        <v>1.005940585963222</v>
      </c>
      <c r="AK4407" s="132"/>
      <c r="AL4407" s="146"/>
      <c r="AM4407" s="138">
        <f>AM4406/AM4403</f>
        <v>1.0043065865025567</v>
      </c>
      <c r="AN4407" s="132"/>
      <c r="AO4407" s="146"/>
      <c r="AP4407" s="138">
        <f>AP4406/AP4403</f>
        <v>1.0034540157121323</v>
      </c>
      <c r="AQ4407" s="132"/>
      <c r="AR4407" s="146"/>
      <c r="AS4407" s="138">
        <f>AS4406/AS4403</f>
        <v>1.0027711598074711</v>
      </c>
      <c r="AT4407" s="132"/>
      <c r="AU4407" s="146"/>
    </row>
    <row r="4408" spans="13:47" x14ac:dyDescent="0.25">
      <c r="M4408" s="27"/>
      <c r="N4408" s="27"/>
      <c r="O4408" s="2" t="s">
        <v>26</v>
      </c>
      <c r="P4408" s="7">
        <v>12</v>
      </c>
      <c r="Q4408" s="2"/>
      <c r="R4408" s="181">
        <f>1-R4407/(3*F_GAMMA*R$29)</f>
        <v>0.77387970849935295</v>
      </c>
      <c r="S4408" s="133"/>
      <c r="T4408" s="146"/>
      <c r="U4408" s="138">
        <f>1-U4407/(3*F_GAMMA*U$29)</f>
        <v>0.93024485274612001</v>
      </c>
      <c r="V4408" s="133"/>
      <c r="W4408" s="146"/>
      <c r="X4408" s="138">
        <f>1-X4407/(3*F_GAMMA*X$29)</f>
        <v>0.30754701952524777</v>
      </c>
      <c r="Y4408" s="133"/>
      <c r="Z4408" s="146"/>
      <c r="AA4408" s="138">
        <f>1-AA4407/(3*F_GAMMA*AA$29)</f>
        <v>0.4342250029084227</v>
      </c>
      <c r="AB4408" s="133"/>
      <c r="AC4408" s="146"/>
      <c r="AD4408" s="138">
        <f>1-AD4407/(3*F_GAMMA*AD$29)</f>
        <v>0.43890892357526845</v>
      </c>
      <c r="AE4408" s="133"/>
      <c r="AF4408" s="146"/>
      <c r="AG4408" s="138">
        <f>1-AG4407/(3*F_GAMMA*AG$29)</f>
        <v>0.41254422697212467</v>
      </c>
      <c r="AH4408" s="133"/>
      <c r="AI4408" s="146"/>
      <c r="AJ4408" s="138">
        <f>1-AJ4407/(3*F_GAMMA*AJ$29)</f>
        <v>0.37430788671415571</v>
      </c>
      <c r="AK4408" s="133"/>
      <c r="AL4408" s="146"/>
      <c r="AM4408" s="138">
        <f>1-AM4407/(3*F_GAMMA*AM$29)</f>
        <v>0.31747819831821988</v>
      </c>
      <c r="AN4408" s="133"/>
      <c r="AO4408" s="146"/>
      <c r="AP4408" s="138">
        <f>1-AP4407/(3*F_GAMMA*AP$29)</f>
        <v>0.4364483848194084</v>
      </c>
      <c r="AQ4408" s="133"/>
      <c r="AR4408" s="146"/>
      <c r="AS4408" s="138">
        <f>1-AS4407/(3*F_GAMMA*AS$29)</f>
        <v>0.14506186541462174</v>
      </c>
      <c r="AT4408" s="133"/>
      <c r="AU4408" s="146"/>
    </row>
    <row r="4409" spans="13:47" x14ac:dyDescent="0.25">
      <c r="M4409" s="27"/>
      <c r="N4409" s="27"/>
      <c r="O4409" s="2" t="s">
        <v>71</v>
      </c>
      <c r="P4409" s="85">
        <v>5</v>
      </c>
      <c r="Q4409" s="2"/>
      <c r="R4409" s="179">
        <f>R4401/((N_6*R$27*R4408)*SQRT(R4407*R4403*R4405))</f>
        <v>27.875637786079153</v>
      </c>
      <c r="S4409" s="133"/>
      <c r="T4409" s="146"/>
      <c r="U4409" s="143">
        <f>U4401/((N_6*U$27*U4408)*SQRT(U4407*U4403*U4405))</f>
        <v>119.9501474390952</v>
      </c>
      <c r="V4409" s="133"/>
      <c r="W4409" s="146"/>
      <c r="X4409" s="143">
        <f>X4401/((N_6*X$27*X4408)*SQRT(X4407*X4403*X4405))</f>
        <v>102.99833348294412</v>
      </c>
      <c r="Y4409" s="133"/>
      <c r="Z4409" s="146"/>
      <c r="AA4409" s="143">
        <f>AA4401/((N_6*AA$27*AA4408)*SQRT(AA4407*AA4403*AA4405))</f>
        <v>28.753014229178191</v>
      </c>
      <c r="AB4409" s="133"/>
      <c r="AC4409" s="146"/>
      <c r="AD4409" s="143">
        <f>AD4401/((N_6*AD$27*AD4408)*SQRT(AD4407*AD4403*AD4405))</f>
        <v>16.633643091280408</v>
      </c>
      <c r="AE4409" s="133"/>
      <c r="AF4409" s="146"/>
      <c r="AG4409" s="143">
        <f>AG4401/((N_6*AG$27*AG4408)*SQRT(AG4407*AG4403*AG4405))</f>
        <v>12.70823038582343</v>
      </c>
      <c r="AH4409" s="133"/>
      <c r="AI4409" s="146"/>
      <c r="AJ4409" s="143">
        <f>AJ4401/((N_6*AJ$27*AJ4408)*SQRT(AJ4407*AJ4403*AJ4405))</f>
        <v>11.34709917804272</v>
      </c>
      <c r="AK4409" s="133"/>
      <c r="AL4409" s="146"/>
      <c r="AM4409" s="143">
        <f>AM4401/((N_6*AM$27*AM4408)*SQRT(AM4407*AM4403*AM4405))</f>
        <v>12.080448158941465</v>
      </c>
      <c r="AN4409" s="133"/>
      <c r="AO4409" s="146"/>
      <c r="AP4409" s="143">
        <f>AP4401/((N_6*AP$27*AP4408)*SQRT(AP4407*AP4403*AP4405))</f>
        <v>8.9357055306658193</v>
      </c>
      <c r="AQ4409" s="133"/>
      <c r="AR4409" s="146"/>
      <c r="AS4409" s="143">
        <f>AS4401/((N_6*AS$27*AS4408)*SQRT(AS4407*AS4403*AS4405))</f>
        <v>31.631231030942359</v>
      </c>
      <c r="AT4409" s="133"/>
      <c r="AU4409" s="146"/>
    </row>
    <row r="4410" spans="13:47" x14ac:dyDescent="0.25">
      <c r="M4410" s="27"/>
      <c r="N4410" s="27"/>
      <c r="O4410" s="2" t="s">
        <v>73</v>
      </c>
      <c r="P4410" s="85">
        <v>5</v>
      </c>
      <c r="Q4410" s="2"/>
      <c r="R4410" s="179">
        <f>R4401/((N_6*R$27*0.667)*SQRT(R4411*R4403*R4405))</f>
        <v>26.638074786155553</v>
      </c>
      <c r="S4410" s="133"/>
      <c r="T4410" s="147"/>
      <c r="U4410" s="143">
        <f>U4401/((N_6*U$27*0.667)*SQRT(U4411*U4403*U4405))</f>
        <v>76.52810953686452</v>
      </c>
      <c r="V4410" s="133"/>
      <c r="W4410" s="155"/>
      <c r="X4410" s="143">
        <f>X4401/((N_6*X$27*0.667)*SQRT(X4411*X4403*X4405))</f>
        <v>68.449717223998377</v>
      </c>
      <c r="Y4410" s="133"/>
      <c r="Z4410" s="155"/>
      <c r="AA4410" s="143">
        <f>AA4401/((N_6*AA$27*0.667)*SQRT(AA4411*AA4403*AA4405))</f>
        <v>24.386803280563804</v>
      </c>
      <c r="AB4410" s="133"/>
      <c r="AC4410" s="155"/>
      <c r="AD4410" s="143">
        <f>AD4401/((N_6*AD$27*0.667)*SQRT(AD4411*AD4403*AD4405))</f>
        <v>14.200814799282838</v>
      </c>
      <c r="AE4410" s="133"/>
      <c r="AF4410" s="155"/>
      <c r="AG4410" s="143">
        <f>AG4401/((N_6*AG$27*0.667)*SQRT(AG4411*AG4403*AG4405))</f>
        <v>10.434652127762799</v>
      </c>
      <c r="AH4410" s="133"/>
      <c r="AI4410" s="155"/>
      <c r="AJ4410" s="143">
        <f>AJ4401/((N_6*AJ$27*0.667)*SQRT(AJ4411*AJ4403*AJ4405))</f>
        <v>8.7242672832890698</v>
      </c>
      <c r="AK4410" s="133"/>
      <c r="AL4410" s="155"/>
      <c r="AM4410" s="143">
        <f>AM4401/((N_6*AM$27*0.667)*SQRT(AM4411*AM4403*AM4405))</f>
        <v>8.2279190588353455</v>
      </c>
      <c r="AN4410" s="133"/>
      <c r="AO4410" s="155"/>
      <c r="AP4410" s="143">
        <f>AP4401/((N_6*AP$27*0.667)*SQRT(AP4411*AP4403*AP4405))</f>
        <v>7.6026217190367591</v>
      </c>
      <c r="AQ4410" s="133"/>
      <c r="AR4410" s="155"/>
      <c r="AS4410" s="143">
        <f>AS4401/((N_6*AS$27*0.667)*SQRT(AS4411*AS4403*AS4405))</f>
        <v>11.017206514169404</v>
      </c>
      <c r="AT4410" s="133"/>
      <c r="AU4410" s="155"/>
    </row>
    <row r="4411" spans="13:47" ht="15.5" x14ac:dyDescent="0.4">
      <c r="M4411" s="27"/>
      <c r="N4411" s="27"/>
      <c r="O4411" s="2" t="s">
        <v>192</v>
      </c>
      <c r="P4411" s="85">
        <v>10</v>
      </c>
      <c r="Q4411" s="2"/>
      <c r="R4411" s="181">
        <f>F_GAMMA*R$29</f>
        <v>0.64002688015162901</v>
      </c>
      <c r="S4411" s="133"/>
      <c r="T4411" s="147"/>
      <c r="U4411" s="138">
        <f>F_GAMMA*U$29</f>
        <v>0.64016782916606918</v>
      </c>
      <c r="V4411" s="133"/>
      <c r="W4411" s="155"/>
      <c r="X4411" s="138">
        <f>F_GAMMA*X$29</f>
        <v>0.6307062319203669</v>
      </c>
      <c r="Y4411" s="133"/>
      <c r="Z4411" s="155"/>
      <c r="AA4411" s="138">
        <f>F_GAMMA*AA$29</f>
        <v>0.62217534213893466</v>
      </c>
      <c r="AB4411" s="133"/>
      <c r="AC4411" s="155"/>
      <c r="AD4411" s="138">
        <f>F_GAMMA*AD$29</f>
        <v>0.60557184969146072</v>
      </c>
      <c r="AE4411" s="133"/>
      <c r="AF4411" s="155"/>
      <c r="AG4411" s="138">
        <f>F_GAMMA*AG$29</f>
        <v>0.57289312142622573</v>
      </c>
      <c r="AH4411" s="133"/>
      <c r="AI4411" s="155"/>
      <c r="AJ4411" s="138">
        <f>F_GAMMA*AJ$29</f>
        <v>0.53590819116049981</v>
      </c>
      <c r="AK4411" s="133"/>
      <c r="AL4411" s="155"/>
      <c r="AM4411" s="138">
        <f>F_GAMMA*AM$29</f>
        <v>0.49048815926850342</v>
      </c>
      <c r="AN4411" s="133"/>
      <c r="AO4411" s="155"/>
      <c r="AP4411" s="138">
        <f>F_GAMMA*AP$29</f>
        <v>0.59352979016280105</v>
      </c>
      <c r="AQ4411" s="133"/>
      <c r="AR4411" s="155"/>
      <c r="AS4411" s="138">
        <f>F_GAMMA*AS$29</f>
        <v>0.39097221161068291</v>
      </c>
      <c r="AT4411" s="133"/>
      <c r="AU4411" s="155"/>
    </row>
    <row r="4412" spans="13:47" x14ac:dyDescent="0.25">
      <c r="M4412" s="27"/>
      <c r="N4412" s="27"/>
      <c r="O4412" s="2" t="s">
        <v>193</v>
      </c>
      <c r="P4412" s="134"/>
      <c r="Q4412" s="2"/>
      <c r="R4412" s="181">
        <f>IF(R4407&lt;R4411,R4409,R4410)</f>
        <v>27.875637786079153</v>
      </c>
      <c r="S4412" s="133"/>
      <c r="T4412" s="147"/>
      <c r="U4412" s="138">
        <f>IF(U4407&lt;U4411,U4409,U4410)</f>
        <v>119.9501474390952</v>
      </c>
      <c r="V4412" s="133"/>
      <c r="W4412" s="155"/>
      <c r="X4412" s="138">
        <f>IF(X4407&lt;X4411,X4409,X4410)</f>
        <v>68.449717223998377</v>
      </c>
      <c r="Y4412" s="133"/>
      <c r="Z4412" s="155"/>
      <c r="AA4412" s="138">
        <f>IF(AA4407&lt;AA4411,AA4409,AA4410)</f>
        <v>24.386803280563804</v>
      </c>
      <c r="AB4412" s="133"/>
      <c r="AC4412" s="155"/>
      <c r="AD4412" s="138">
        <f>IF(AD4407&lt;AD4411,AD4409,AD4410)</f>
        <v>14.200814799282838</v>
      </c>
      <c r="AE4412" s="133"/>
      <c r="AF4412" s="155"/>
      <c r="AG4412" s="138">
        <f>IF(AG4407&lt;AG4411,AG4409,AG4410)</f>
        <v>10.434652127762799</v>
      </c>
      <c r="AH4412" s="133"/>
      <c r="AI4412" s="155"/>
      <c r="AJ4412" s="138">
        <f>IF(AJ4407&lt;AJ4411,AJ4409,AJ4410)</f>
        <v>8.7242672832890698</v>
      </c>
      <c r="AK4412" s="133"/>
      <c r="AL4412" s="155"/>
      <c r="AM4412" s="138">
        <f>IF(AM4407&lt;AM4411,AM4409,AM4410)</f>
        <v>8.2279190588353455</v>
      </c>
      <c r="AN4412" s="133"/>
      <c r="AO4412" s="155"/>
      <c r="AP4412" s="138">
        <f>IF(AP4407&lt;AP4411,AP4409,AP4410)</f>
        <v>7.6026217190367591</v>
      </c>
      <c r="AQ4412" s="133"/>
      <c r="AR4412" s="155"/>
      <c r="AS4412" s="138">
        <f>IF(AS4407&lt;AS4411,AS4409,AS4410)</f>
        <v>11.017206514169404</v>
      </c>
      <c r="AT4412" s="133"/>
      <c r="AU4412" s="155"/>
    </row>
    <row r="4413" spans="13:47" ht="13" x14ac:dyDescent="0.3">
      <c r="M4413" s="28"/>
      <c r="N4413" s="28"/>
      <c r="O4413" s="9" t="s">
        <v>194</v>
      </c>
      <c r="P4413" s="1"/>
      <c r="Q4413" s="1"/>
      <c r="R4413" s="135"/>
      <c r="S4413" s="132">
        <f>IF(R4406&lt;=0,W_max,ABS(R$23-R4412))</f>
        <v>25.875637786079153</v>
      </c>
      <c r="T4413" s="151">
        <f>R4401</f>
        <v>5521.52542613062</v>
      </c>
      <c r="U4413" s="135"/>
      <c r="V4413" s="132">
        <f>IF(U4406&lt;=0,W_max,ABS(U$23-U4412))</f>
        <v>114.9501474390952</v>
      </c>
      <c r="W4413" s="151">
        <f>U4401</f>
        <v>10358.72315441277</v>
      </c>
      <c r="X4413" s="135"/>
      <c r="Y4413" s="132">
        <f>IF(X4406&lt;=0,W_max,ABS(X$23-X4412))</f>
        <v>7174</v>
      </c>
      <c r="Z4413" s="151">
        <f>X4401</f>
        <v>25618.355063368224</v>
      </c>
      <c r="AA4413" s="135"/>
      <c r="AB4413" s="132">
        <f>IF(AA4406&lt;=0,W_max,ABS(AA$23-AA4412))</f>
        <v>7174</v>
      </c>
      <c r="AC4413" s="151">
        <f>AA4401</f>
        <v>49898.016695813916</v>
      </c>
      <c r="AD4413" s="135"/>
      <c r="AE4413" s="132">
        <f>IF(AD4406&lt;=0,W_max,ABS(AD$23-AD4412))</f>
        <v>7174</v>
      </c>
      <c r="AF4413" s="151">
        <f>AD4401</f>
        <v>82063.866104832865</v>
      </c>
      <c r="AG4413" s="135"/>
      <c r="AH4413" s="132">
        <f>IF(AG4406&lt;=0,W_max,ABS(AG$23-AG4412))</f>
        <v>7174</v>
      </c>
      <c r="AI4413" s="151">
        <f>AG4401</f>
        <v>115100.88999473979</v>
      </c>
      <c r="AJ4413" s="135"/>
      <c r="AK4413" s="132">
        <f>IF(AJ4406&lt;=0,W_max,ABS(AJ$23-AJ4412))</f>
        <v>7174</v>
      </c>
      <c r="AL4413" s="151">
        <f>AJ4401</f>
        <v>146147.58810318151</v>
      </c>
      <c r="AM4413" s="135"/>
      <c r="AN4413" s="132">
        <f>IF(AM4406&lt;=0,W_max,ABS(AM$23-AM4412))</f>
        <v>7174</v>
      </c>
      <c r="AO4413" s="151">
        <f>AM4401</f>
        <v>171369.54081689549</v>
      </c>
      <c r="AP4413" s="135"/>
      <c r="AQ4413" s="132">
        <f>IF(AP4406&lt;=0,W_max,ABS(AP$23-AP4412))</f>
        <v>7174</v>
      </c>
      <c r="AR4413" s="151">
        <f>AP4401</f>
        <v>191191.57227198029</v>
      </c>
      <c r="AS4413" s="135"/>
      <c r="AT4413" s="132">
        <f>IF(AS4406&lt;=0,W_max,ABS(AS$23-AS4412))</f>
        <v>7174</v>
      </c>
      <c r="AU4413" s="151">
        <f>AS4401</f>
        <v>213306.38533302266</v>
      </c>
    </row>
    <row r="4414" spans="13:47" ht="13" x14ac:dyDescent="0.25">
      <c r="M4414" s="12"/>
      <c r="N4414" s="12"/>
      <c r="O4414" s="12"/>
      <c r="P4414" s="12"/>
      <c r="Q4414" s="12"/>
      <c r="R4414" s="182"/>
      <c r="S4414" s="22"/>
      <c r="T4414" s="152"/>
      <c r="U4414" s="157"/>
      <c r="V4414" s="1"/>
      <c r="W4414" s="147"/>
      <c r="X4414" s="157"/>
      <c r="Y4414" s="1"/>
      <c r="Z4414" s="147"/>
      <c r="AA4414" s="157"/>
      <c r="AB4414" s="1"/>
      <c r="AC4414" s="147"/>
      <c r="AD4414" s="157"/>
      <c r="AE4414" s="1"/>
      <c r="AF4414" s="147"/>
      <c r="AG4414" s="157"/>
      <c r="AH4414" s="1"/>
      <c r="AI4414" s="147"/>
      <c r="AJ4414" s="157"/>
      <c r="AK4414" s="1"/>
      <c r="AL4414" s="147"/>
      <c r="AM4414" s="157"/>
      <c r="AN4414" s="1"/>
      <c r="AO4414" s="147"/>
      <c r="AP4414" s="157"/>
      <c r="AQ4414" s="1"/>
      <c r="AR4414" s="147"/>
      <c r="AS4414" s="157"/>
      <c r="AT4414" s="1"/>
      <c r="AU4414" s="147"/>
    </row>
    <row r="4415" spans="13:47" ht="14" x14ac:dyDescent="0.3">
      <c r="M4415" s="23"/>
      <c r="N4415" s="23"/>
      <c r="O4415" s="23" t="s">
        <v>238</v>
      </c>
      <c r="P4415" s="20"/>
      <c r="Q4415" s="20"/>
      <c r="R4415" s="18">
        <f>R4401*1.02</f>
        <v>5631.9559346532324</v>
      </c>
      <c r="S4415" s="128" t="s">
        <v>185</v>
      </c>
      <c r="T4415" s="153" t="s">
        <v>186</v>
      </c>
      <c r="U4415" s="143">
        <f>U4401*1.01</f>
        <v>10462.310385956898</v>
      </c>
      <c r="V4415" s="128" t="s">
        <v>185</v>
      </c>
      <c r="W4415" s="153" t="s">
        <v>186</v>
      </c>
      <c r="X4415" s="143">
        <f>X4401*1.01</f>
        <v>25874.538614001907</v>
      </c>
      <c r="Y4415" s="128" t="s">
        <v>185</v>
      </c>
      <c r="Z4415" s="153" t="s">
        <v>186</v>
      </c>
      <c r="AA4415" s="143">
        <f>AA4401*1.01</f>
        <v>50396.996862772059</v>
      </c>
      <c r="AB4415" s="128" t="s">
        <v>185</v>
      </c>
      <c r="AC4415" s="153" t="s">
        <v>186</v>
      </c>
      <c r="AD4415" s="143">
        <f>AD4401*1.01</f>
        <v>82884.504765881196</v>
      </c>
      <c r="AE4415" s="128" t="s">
        <v>185</v>
      </c>
      <c r="AF4415" s="153" t="s">
        <v>186</v>
      </c>
      <c r="AG4415" s="143">
        <f>AG4401*1.01</f>
        <v>116251.89889468718</v>
      </c>
      <c r="AH4415" s="128" t="s">
        <v>185</v>
      </c>
      <c r="AI4415" s="153" t="s">
        <v>186</v>
      </c>
      <c r="AJ4415" s="143">
        <f>AJ4401*1.01</f>
        <v>147609.06398421334</v>
      </c>
      <c r="AK4415" s="128" t="s">
        <v>185</v>
      </c>
      <c r="AL4415" s="153" t="s">
        <v>186</v>
      </c>
      <c r="AM4415" s="143">
        <f>AM4401*1.01</f>
        <v>173083.23622506444</v>
      </c>
      <c r="AN4415" s="128" t="s">
        <v>185</v>
      </c>
      <c r="AO4415" s="153" t="s">
        <v>186</v>
      </c>
      <c r="AP4415" s="143">
        <f>AP4401*1.01</f>
        <v>193103.48799470009</v>
      </c>
      <c r="AQ4415" s="128" t="s">
        <v>185</v>
      </c>
      <c r="AR4415" s="153" t="s">
        <v>186</v>
      </c>
      <c r="AS4415" s="143">
        <f>AS4401*1.01</f>
        <v>215439.4491863529</v>
      </c>
      <c r="AT4415" s="128" t="s">
        <v>185</v>
      </c>
      <c r="AU4415" s="153" t="s">
        <v>186</v>
      </c>
    </row>
    <row r="4416" spans="13:47" ht="14" x14ac:dyDescent="0.3">
      <c r="M4416" s="12"/>
      <c r="N4416" s="12"/>
      <c r="O4416" s="20"/>
      <c r="P4416" s="20"/>
      <c r="Q4416" s="23"/>
      <c r="R4416" s="139"/>
      <c r="S4416" s="130" t="s">
        <v>228</v>
      </c>
      <c r="T4416" s="154" t="s">
        <v>187</v>
      </c>
      <c r="U4416" s="144"/>
      <c r="V4416" s="130" t="s">
        <v>228</v>
      </c>
      <c r="W4416" s="154" t="s">
        <v>187</v>
      </c>
      <c r="X4416" s="144"/>
      <c r="Y4416" s="130" t="s">
        <v>228</v>
      </c>
      <c r="Z4416" s="154" t="s">
        <v>187</v>
      </c>
      <c r="AA4416" s="144"/>
      <c r="AB4416" s="130" t="s">
        <v>228</v>
      </c>
      <c r="AC4416" s="154" t="s">
        <v>187</v>
      </c>
      <c r="AD4416" s="144"/>
      <c r="AE4416" s="130" t="s">
        <v>228</v>
      </c>
      <c r="AF4416" s="154" t="s">
        <v>187</v>
      </c>
      <c r="AG4416" s="144"/>
      <c r="AH4416" s="130" t="s">
        <v>228</v>
      </c>
      <c r="AI4416" s="154" t="s">
        <v>187</v>
      </c>
      <c r="AJ4416" s="144"/>
      <c r="AK4416" s="130" t="s">
        <v>228</v>
      </c>
      <c r="AL4416" s="154" t="s">
        <v>187</v>
      </c>
      <c r="AM4416" s="144"/>
      <c r="AN4416" s="130" t="s">
        <v>228</v>
      </c>
      <c r="AO4416" s="154" t="s">
        <v>187</v>
      </c>
      <c r="AP4416" s="144"/>
      <c r="AQ4416" s="130" t="s">
        <v>228</v>
      </c>
      <c r="AR4416" s="154" t="s">
        <v>187</v>
      </c>
      <c r="AS4416" s="144"/>
      <c r="AT4416" s="130" t="s">
        <v>228</v>
      </c>
      <c r="AU4416" s="154" t="s">
        <v>187</v>
      </c>
    </row>
    <row r="4417" spans="13:47" x14ac:dyDescent="0.25">
      <c r="M4417" s="20"/>
      <c r="N4417" s="20"/>
      <c r="O4417" s="7" t="s">
        <v>188</v>
      </c>
      <c r="P4417" s="7"/>
      <c r="Q4417" s="7"/>
      <c r="R4417" s="181">
        <f>P_1_minW-(R4415^2*R_up)+dpup_minQ</f>
        <v>87.874488894542367</v>
      </c>
      <c r="S4417" s="132"/>
      <c r="T4417" s="145"/>
      <c r="U4417" s="138">
        <f>P_1_minW-(U4415^2*R_up)+dpup_minQ</f>
        <v>56.874340590140172</v>
      </c>
      <c r="V4417" s="132"/>
      <c r="W4417" s="145"/>
      <c r="X4417" s="138">
        <f>P_1_minW-(X4415^2*R_up)+dpup_minQ</f>
        <v>-166.44497242670596</v>
      </c>
      <c r="Y4417" s="132"/>
      <c r="Z4417" s="145"/>
      <c r="AA4417" s="138">
        <f>P_1_minW-(AA4415^2*R_up)+dpup_minQ</f>
        <v>-912.27537183943389</v>
      </c>
      <c r="AB4417" s="132"/>
      <c r="AC4417" s="145"/>
      <c r="AD4417" s="138">
        <f>P_1_minW-(AD4415^2*R_up)+dpup_minQ</f>
        <v>-2638.9076789927276</v>
      </c>
      <c r="AE4417" s="132"/>
      <c r="AF4417" s="145"/>
      <c r="AG4417" s="138">
        <f>P_1_minW-(AG4415^2*R_up)+dpup_minQ</f>
        <v>-5288.5456466444848</v>
      </c>
      <c r="AH4417" s="132"/>
      <c r="AI4417" s="145"/>
      <c r="AJ4417" s="138">
        <f>P_1_minW-(AJ4415^2*R_up)+dpup_minQ</f>
        <v>-8587.8738759758526</v>
      </c>
      <c r="AK4417" s="132"/>
      <c r="AL4417" s="145"/>
      <c r="AM4417" s="138">
        <f>P_1_minW-(AM4415^2*R_up)+dpup_minQ</f>
        <v>-11845.507216040633</v>
      </c>
      <c r="AN4417" s="132"/>
      <c r="AO4417" s="145"/>
      <c r="AP4417" s="138">
        <f>P_1_minW-(AP4415^2*R_up)+dpup_minQ</f>
        <v>-14768.890218780596</v>
      </c>
      <c r="AQ4417" s="132"/>
      <c r="AR4417" s="145"/>
      <c r="AS4417" s="138">
        <f>P_1_minW-(AS4415^2*R_up)+dpup_minQ</f>
        <v>-18407.671406417299</v>
      </c>
      <c r="AT4417" s="132"/>
      <c r="AU4417" s="145"/>
    </row>
    <row r="4418" spans="13:47" x14ac:dyDescent="0.25">
      <c r="M4418" s="20"/>
      <c r="N4418" s="20"/>
      <c r="O4418" s="7" t="s">
        <v>189</v>
      </c>
      <c r="P4418" s="1"/>
      <c r="Q4418" s="7"/>
      <c r="R4418" s="181">
        <f>P_2_minW+(R4415^2*R_dn)-dpdn_minQ</f>
        <v>50</v>
      </c>
      <c r="S4418" s="132"/>
      <c r="T4418" s="146"/>
      <c r="U4418" s="138">
        <f>P_2_minW+(U4415^2*R_dn)-dpdn_minQ</f>
        <v>50</v>
      </c>
      <c r="V4418" s="132"/>
      <c r="W4418" s="146"/>
      <c r="X4418" s="138">
        <f>P_2_minW+(X4415^2*R_dn)-dpdn_minQ</f>
        <v>50</v>
      </c>
      <c r="Y4418" s="132"/>
      <c r="Z4418" s="146"/>
      <c r="AA4418" s="138">
        <f>P_2_minW+(AA4415^2*R_dn)-dpdn_minQ</f>
        <v>50</v>
      </c>
      <c r="AB4418" s="132"/>
      <c r="AC4418" s="146"/>
      <c r="AD4418" s="138">
        <f>P_2_minW+(AD4415^2*R_dn)-dpdn_minQ</f>
        <v>50</v>
      </c>
      <c r="AE4418" s="132"/>
      <c r="AF4418" s="146"/>
      <c r="AG4418" s="138">
        <f>P_2_minW+(AG4415^2*R_dn)-dpdn_minQ</f>
        <v>50</v>
      </c>
      <c r="AH4418" s="132"/>
      <c r="AI4418" s="146"/>
      <c r="AJ4418" s="138">
        <f>P_2_minW+(AJ4415^2*R_dn)-dpdn_minQ</f>
        <v>50</v>
      </c>
      <c r="AK4418" s="132"/>
      <c r="AL4418" s="146"/>
      <c r="AM4418" s="138">
        <f>P_2_minW+(AM4415^2*R_dn)-dpdn_minQ</f>
        <v>50</v>
      </c>
      <c r="AN4418" s="132"/>
      <c r="AO4418" s="146"/>
      <c r="AP4418" s="138">
        <f>P_2_minW+(AP4415^2*R_dn)-dpdn_minQ</f>
        <v>50</v>
      </c>
      <c r="AQ4418" s="132"/>
      <c r="AR4418" s="146"/>
      <c r="AS4418" s="138">
        <f>P_2_minW+(AS4415^2*R_dn)-dpdn_minQ</f>
        <v>50</v>
      </c>
      <c r="AT4418" s="132"/>
      <c r="AU4418" s="146"/>
    </row>
    <row r="4419" spans="13:47" x14ac:dyDescent="0.25">
      <c r="M4419" s="20"/>
      <c r="N4419" s="20"/>
      <c r="O4419" s="7" t="s">
        <v>234</v>
      </c>
      <c r="P4419" s="1"/>
      <c r="Q4419" s="7"/>
      <c r="R4419" s="179">
        <f>'Valve Sizing'!G$8*R4417/P_1_maxW</f>
        <v>0.42389088933882679</v>
      </c>
      <c r="S4419" s="132"/>
      <c r="T4419" s="146"/>
      <c r="U4419" s="143">
        <f>'Valve Sizing'!$G$8*U4417/P_1_maxW</f>
        <v>0.27435169315461205</v>
      </c>
      <c r="V4419" s="132"/>
      <c r="W4419" s="146"/>
      <c r="X4419" s="143">
        <f>'Valve Sizing'!$G$8*X4417/P_1_maxW</f>
        <v>-0.80290091328559432</v>
      </c>
      <c r="Y4419" s="132"/>
      <c r="Z4419" s="146"/>
      <c r="AA4419" s="143">
        <f>'Valve Sizing'!$G$8*AA4417/P_1_maxW</f>
        <v>-4.4006539731344443</v>
      </c>
      <c r="AB4419" s="132"/>
      <c r="AC4419" s="146"/>
      <c r="AD4419" s="143">
        <f>'Valve Sizing'!$G$8*AD4417/P_1_maxW</f>
        <v>-12.729620814907067</v>
      </c>
      <c r="AE4419" s="132"/>
      <c r="AF4419" s="146"/>
      <c r="AG4419" s="143">
        <f>'Valve Sizing'!$G$8*AG4417/P_1_maxW</f>
        <v>-25.511002631895145</v>
      </c>
      <c r="AH4419" s="132"/>
      <c r="AI4419" s="146"/>
      <c r="AJ4419" s="143">
        <f>'Valve Sizing'!$G$8*AJ4417/P_1_maxW</f>
        <v>-41.426374601004035</v>
      </c>
      <c r="AK4419" s="132"/>
      <c r="AL4419" s="146"/>
      <c r="AM4419" s="143">
        <f>'Valve Sizing'!$G$8*AM4417/P_1_maxW</f>
        <v>-57.140617847608397</v>
      </c>
      <c r="AN4419" s="132"/>
      <c r="AO4419" s="146"/>
      <c r="AP4419" s="143">
        <f>'Valve Sizing'!$G$8*AP4417/P_1_maxW</f>
        <v>-71.242496976562464</v>
      </c>
      <c r="AQ4419" s="132"/>
      <c r="AR4419" s="146"/>
      <c r="AS4419" s="143">
        <f>'Valve Sizing'!$G$8*AS4417/P_1_maxW</f>
        <v>-88.795329580662084</v>
      </c>
      <c r="AT4419" s="132"/>
      <c r="AU4419" s="146"/>
    </row>
    <row r="4420" spans="13:47" x14ac:dyDescent="0.25">
      <c r="M4420" s="20"/>
      <c r="N4420" s="20"/>
      <c r="O4420" s="7" t="s">
        <v>190</v>
      </c>
      <c r="P4420" s="1"/>
      <c r="Q4420" s="7"/>
      <c r="R4420" s="181">
        <f>R4417-R4418</f>
        <v>37.874488894542367</v>
      </c>
      <c r="S4420" s="132"/>
      <c r="T4420" s="146"/>
      <c r="U4420" s="138">
        <f>U4417-U4418</f>
        <v>6.8743405901401715</v>
      </c>
      <c r="V4420" s="132"/>
      <c r="W4420" s="146"/>
      <c r="X4420" s="138">
        <f>X4417-X4418</f>
        <v>-216.44497242670596</v>
      </c>
      <c r="Y4420" s="132"/>
      <c r="Z4420" s="146"/>
      <c r="AA4420" s="138">
        <f>AA4417-AA4418</f>
        <v>-962.27537183943389</v>
      </c>
      <c r="AB4420" s="132"/>
      <c r="AC4420" s="146"/>
      <c r="AD4420" s="138">
        <f>AD4417-AD4418</f>
        <v>-2688.9076789927276</v>
      </c>
      <c r="AE4420" s="132"/>
      <c r="AF4420" s="146"/>
      <c r="AG4420" s="138">
        <f>AG4417-AG4418</f>
        <v>-5338.5456466444848</v>
      </c>
      <c r="AH4420" s="132"/>
      <c r="AI4420" s="146"/>
      <c r="AJ4420" s="138">
        <f>AJ4417-AJ4418</f>
        <v>-8637.8738759758526</v>
      </c>
      <c r="AK4420" s="132"/>
      <c r="AL4420" s="146"/>
      <c r="AM4420" s="138">
        <f>AM4417-AM4418</f>
        <v>-11895.507216040633</v>
      </c>
      <c r="AN4420" s="132"/>
      <c r="AO4420" s="146"/>
      <c r="AP4420" s="138">
        <f>AP4417-AP4418</f>
        <v>-14818.890218780596</v>
      </c>
      <c r="AQ4420" s="132"/>
      <c r="AR4420" s="146"/>
      <c r="AS4420" s="138">
        <f>AS4417-AS4418</f>
        <v>-18457.671406417299</v>
      </c>
      <c r="AT4420" s="132"/>
      <c r="AU4420" s="146"/>
    </row>
    <row r="4421" spans="13:47" ht="14.5" x14ac:dyDescent="0.35">
      <c r="M4421" s="27"/>
      <c r="N4421" s="27"/>
      <c r="O4421" s="2" t="s">
        <v>191</v>
      </c>
      <c r="P4421" s="10"/>
      <c r="Q4421" s="2"/>
      <c r="R4421" s="181">
        <f>R4420/R4417</f>
        <v>0.43100664790204707</v>
      </c>
      <c r="S4421" s="132"/>
      <c r="T4421" s="146"/>
      <c r="U4421" s="138">
        <f>U4420/U4417</f>
        <v>0.12086892821631973</v>
      </c>
      <c r="V4421" s="132"/>
      <c r="W4421" s="146"/>
      <c r="X4421" s="138">
        <f>X4420/X4417</f>
        <v>1.3003995811409534</v>
      </c>
      <c r="Y4421" s="132"/>
      <c r="Z4421" s="146"/>
      <c r="AA4421" s="138">
        <f>AA4420/AA4417</f>
        <v>1.0548080125183958</v>
      </c>
      <c r="AB4421" s="132"/>
      <c r="AC4421" s="146"/>
      <c r="AD4421" s="138">
        <f>AD4420/AD4417</f>
        <v>1.0189472335080267</v>
      </c>
      <c r="AE4421" s="132"/>
      <c r="AF4421" s="146"/>
      <c r="AG4421" s="138">
        <f>AG4420/AG4417</f>
        <v>1.0094543950909689</v>
      </c>
      <c r="AH4421" s="132"/>
      <c r="AI4421" s="146"/>
      <c r="AJ4421" s="138">
        <f>AJ4420/AJ4417</f>
        <v>1.0058221628219148</v>
      </c>
      <c r="AK4421" s="132"/>
      <c r="AL4421" s="146"/>
      <c r="AM4421" s="138">
        <f>AM4420/AM4417</f>
        <v>1.0042210096273709</v>
      </c>
      <c r="AN4421" s="132"/>
      <c r="AO4421" s="146"/>
      <c r="AP4421" s="138">
        <f>AP4420/AP4417</f>
        <v>1.0033854947297542</v>
      </c>
      <c r="AQ4421" s="132"/>
      <c r="AR4421" s="146"/>
      <c r="AS4421" s="138">
        <f>AS4420/AS4417</f>
        <v>1.0027162588301402</v>
      </c>
      <c r="AT4421" s="132"/>
      <c r="AU4421" s="146"/>
    </row>
    <row r="4422" spans="13:47" x14ac:dyDescent="0.25">
      <c r="M4422" s="27"/>
      <c r="N4422" s="27"/>
      <c r="O4422" s="2" t="s">
        <v>26</v>
      </c>
      <c r="P4422" s="7">
        <v>12</v>
      </c>
      <c r="Q4422" s="2"/>
      <c r="R4422" s="181">
        <f>1-R4421/(3*F_GAMMA*R$29)</f>
        <v>0.77552679881198261</v>
      </c>
      <c r="S4422" s="133"/>
      <c r="T4422" s="146"/>
      <c r="U4422" s="138">
        <f>1-U4421/(3*F_GAMMA*U$29)</f>
        <v>0.9370639371377697</v>
      </c>
      <c r="V4422" s="133"/>
      <c r="W4422" s="146"/>
      <c r="X4422" s="138">
        <f>1-X4421/(3*F_GAMMA*X$29)</f>
        <v>0.31272832721634802</v>
      </c>
      <c r="Y4422" s="133"/>
      <c r="Z4422" s="146"/>
      <c r="AA4422" s="138">
        <f>1-AA4421/(3*F_GAMMA*AA$29)</f>
        <v>0.43488170130511095</v>
      </c>
      <c r="AB4422" s="133"/>
      <c r="AC4422" s="146"/>
      <c r="AD4422" s="138">
        <f>1-AD4421/(3*F_GAMMA*AD$29)</f>
        <v>0.43912670641962581</v>
      </c>
      <c r="AE4422" s="133"/>
      <c r="AF4422" s="146"/>
      <c r="AG4422" s="138">
        <f>1-AG4421/(3*F_GAMMA*AG$29)</f>
        <v>0.4126569410957972</v>
      </c>
      <c r="AH4422" s="133"/>
      <c r="AI4422" s="146"/>
      <c r="AJ4422" s="138">
        <f>1-AJ4421/(3*F_GAMMA*AJ$29)</f>
        <v>0.37438154556297876</v>
      </c>
      <c r="AK4422" s="133"/>
      <c r="AL4422" s="146"/>
      <c r="AM4422" s="138">
        <f>1-AM4421/(3*F_GAMMA*AM$29)</f>
        <v>0.31753635594042318</v>
      </c>
      <c r="AN4422" s="133"/>
      <c r="AO4422" s="146"/>
      <c r="AP4422" s="138">
        <f>1-AP4421/(3*F_GAMMA*AP$29)</f>
        <v>0.43648686701160488</v>
      </c>
      <c r="AQ4422" s="133"/>
      <c r="AR4422" s="146"/>
      <c r="AS4422" s="138">
        <f>1-AS4421/(3*F_GAMMA*AS$29)</f>
        <v>0.14510867264345673</v>
      </c>
      <c r="AT4422" s="133"/>
      <c r="AU4422" s="146"/>
    </row>
    <row r="4423" spans="13:47" x14ac:dyDescent="0.25">
      <c r="M4423" s="27"/>
      <c r="N4423" s="27"/>
      <c r="O4423" s="2" t="s">
        <v>71</v>
      </c>
      <c r="P4423" s="85">
        <v>5</v>
      </c>
      <c r="Q4423" s="2"/>
      <c r="R4423" s="179">
        <f>R4415/((N_6*R$27*R4422)*SQRT(R4421*R4417*R4419))</f>
        <v>28.635828740092858</v>
      </c>
      <c r="S4423" s="133"/>
      <c r="T4423" s="146"/>
      <c r="U4423" s="143">
        <f>U4415/((N_6*U$27*U4422)*SQRT(U4421*U4417*U4419))</f>
        <v>128.53066169057092</v>
      </c>
      <c r="V4423" s="133"/>
      <c r="W4423" s="146"/>
      <c r="X4423" s="143">
        <f>X4415/((N_6*X$27*X4422)*SQRT(X4421*X4417*X4419))</f>
        <v>99.444278606844136</v>
      </c>
      <c r="Y4423" s="133"/>
      <c r="Z4423" s="146"/>
      <c r="AA4423" s="143">
        <f>AA4415/((N_6*AA$27*AA4422)*SQRT(AA4421*AA4417*AA4419))</f>
        <v>28.378860044943725</v>
      </c>
      <c r="AB4423" s="133"/>
      <c r="AC4423" s="146"/>
      <c r="AD4423" s="143">
        <f>AD4415/((N_6*AD$27*AD4422)*SQRT(AD4421*AD4417*AD4419))</f>
        <v>16.451375519706016</v>
      </c>
      <c r="AE4423" s="133"/>
      <c r="AF4423" s="146"/>
      <c r="AG4423" s="143">
        <f>AG4415/((N_6*AG$27*AG4422)*SQRT(AG4421*AG4417*AG4419))</f>
        <v>12.575370157719844</v>
      </c>
      <c r="AH4423" s="133"/>
      <c r="AI4423" s="146"/>
      <c r="AJ4423" s="143">
        <f>AJ4415/((N_6*AJ$27*AJ4422)*SQRT(AJ4421*AJ4417*AJ4419))</f>
        <v>11.230559586252847</v>
      </c>
      <c r="AK4423" s="133"/>
      <c r="AL4423" s="146"/>
      <c r="AM4423" s="143">
        <f>AM4415/((N_6*AM$27*AM4422)*SQRT(AM4421*AM4417*AM4419))</f>
        <v>11.957118738489269</v>
      </c>
      <c r="AN4423" s="133"/>
      <c r="AO4423" s="146"/>
      <c r="AP4423" s="143">
        <f>AP4415/((N_6*AP$27*AP4422)*SQRT(AP4421*AP4417*AP4419))</f>
        <v>8.8455449417470309</v>
      </c>
      <c r="AQ4423" s="133"/>
      <c r="AR4423" s="146"/>
      <c r="AS4423" s="143">
        <f>AS4415/((N_6*AS$27*AS4422)*SQRT(AS4421*AS4417*AS4419))</f>
        <v>31.305368849510543</v>
      </c>
      <c r="AT4423" s="133"/>
      <c r="AU4423" s="146"/>
    </row>
    <row r="4424" spans="13:47" x14ac:dyDescent="0.25">
      <c r="M4424" s="27"/>
      <c r="N4424" s="27"/>
      <c r="O4424" s="2" t="s">
        <v>73</v>
      </c>
      <c r="P4424" s="85">
        <v>5</v>
      </c>
      <c r="Q4424" s="2"/>
      <c r="R4424" s="179">
        <f>R4415/((N_6*R$27*0.667)*SQRT(R4425*R4417*R4419))</f>
        <v>27.32269974485974</v>
      </c>
      <c r="S4424" s="133"/>
      <c r="T4424" s="155"/>
      <c r="U4424" s="143">
        <f>U4415/((N_6*U$27*0.667)*SQRT(U4425*U4417*U4419))</f>
        <v>78.462211837372635</v>
      </c>
      <c r="V4424" s="133"/>
      <c r="W4424" s="155"/>
      <c r="X4424" s="143">
        <f>X4415/((N_6*X$27*0.667)*SQRT(X4425*X4417*X4419))</f>
        <v>66.949299746507236</v>
      </c>
      <c r="Y4424" s="133"/>
      <c r="Z4424" s="155"/>
      <c r="AA4424" s="143">
        <f>AA4415/((N_6*AA$27*0.667)*SQRT(AA4425*AA4417*AA4419))</f>
        <v>24.091872648278464</v>
      </c>
      <c r="AB4424" s="133"/>
      <c r="AC4424" s="155"/>
      <c r="AD4424" s="143">
        <f>AD4415/((N_6*AD$27*0.667)*SQRT(AD4425*AD4417*AD4419))</f>
        <v>14.049447319679908</v>
      </c>
      <c r="AE4424" s="133"/>
      <c r="AF4424" s="155"/>
      <c r="AG4424" s="143">
        <f>AG4415/((N_6*AG$27*0.667)*SQRT(AG4425*AG4417*AG4419))</f>
        <v>10.327391614985075</v>
      </c>
      <c r="AH4424" s="133"/>
      <c r="AI4424" s="155"/>
      <c r="AJ4424" s="143">
        <f>AJ4415/((N_6*AJ$27*0.667)*SQRT(AJ4425*AJ4417*AJ4419))</f>
        <v>8.6358561241390959</v>
      </c>
      <c r="AK4424" s="133"/>
      <c r="AL4424" s="155"/>
      <c r="AM4424" s="143">
        <f>AM4415/((N_6*AM$27*0.667)*SQRT(AM4425*AM4417*AM4419))</f>
        <v>8.1450649593022852</v>
      </c>
      <c r="AN4424" s="133"/>
      <c r="AO4424" s="155"/>
      <c r="AP4424" s="143">
        <f>AP4415/((N_6*AP$27*0.667)*SQRT(AP4425*AP4417*AP4419))</f>
        <v>7.5263184323173551</v>
      </c>
      <c r="AQ4424" s="133"/>
      <c r="AR4424" s="155"/>
      <c r="AS4424" s="143">
        <f>AS4415/((N_6*AS$27*0.667)*SQRT(AS4425*AS4417*AS4419))</f>
        <v>10.906927937133212</v>
      </c>
      <c r="AT4424" s="133"/>
      <c r="AU4424" s="155"/>
    </row>
    <row r="4425" spans="13:47" ht="15.5" x14ac:dyDescent="0.4">
      <c r="M4425" s="27"/>
      <c r="N4425" s="27"/>
      <c r="O4425" s="2" t="s">
        <v>192</v>
      </c>
      <c r="P4425" s="85">
        <v>10</v>
      </c>
      <c r="Q4425" s="2"/>
      <c r="R4425" s="181">
        <f>F_GAMMA*R$29</f>
        <v>0.64002688015162901</v>
      </c>
      <c r="S4425" s="133"/>
      <c r="T4425" s="155"/>
      <c r="U4425" s="138">
        <f>F_GAMMA*U$29</f>
        <v>0.64016782916606918</v>
      </c>
      <c r="V4425" s="133"/>
      <c r="W4425" s="155"/>
      <c r="X4425" s="138">
        <f>F_GAMMA*X$29</f>
        <v>0.6307062319203669</v>
      </c>
      <c r="Y4425" s="133"/>
      <c r="Z4425" s="155"/>
      <c r="AA4425" s="138">
        <f>F_GAMMA*AA$29</f>
        <v>0.62217534213893466</v>
      </c>
      <c r="AB4425" s="133"/>
      <c r="AC4425" s="155"/>
      <c r="AD4425" s="138">
        <f>F_GAMMA*AD$29</f>
        <v>0.60557184969146072</v>
      </c>
      <c r="AE4425" s="133"/>
      <c r="AF4425" s="155"/>
      <c r="AG4425" s="138">
        <f>F_GAMMA*AG$29</f>
        <v>0.57289312142622573</v>
      </c>
      <c r="AH4425" s="133"/>
      <c r="AI4425" s="155"/>
      <c r="AJ4425" s="138">
        <f>F_GAMMA*AJ$29</f>
        <v>0.53590819116049981</v>
      </c>
      <c r="AK4425" s="133"/>
      <c r="AL4425" s="155"/>
      <c r="AM4425" s="138">
        <f>F_GAMMA*AM$29</f>
        <v>0.49048815926850342</v>
      </c>
      <c r="AN4425" s="133"/>
      <c r="AO4425" s="155"/>
      <c r="AP4425" s="138">
        <f>F_GAMMA*AP$29</f>
        <v>0.59352979016280105</v>
      </c>
      <c r="AQ4425" s="133"/>
      <c r="AR4425" s="155"/>
      <c r="AS4425" s="138">
        <f>F_GAMMA*AS$29</f>
        <v>0.39097221161068291</v>
      </c>
      <c r="AT4425" s="133"/>
      <c r="AU4425" s="155"/>
    </row>
    <row r="4426" spans="13:47" x14ac:dyDescent="0.25">
      <c r="M4426" s="27"/>
      <c r="N4426" s="27"/>
      <c r="O4426" s="2" t="s">
        <v>193</v>
      </c>
      <c r="P4426" s="134"/>
      <c r="Q4426" s="2"/>
      <c r="R4426" s="181">
        <f>IF(R4421&lt;R4425,R4423,R4424)</f>
        <v>28.635828740092858</v>
      </c>
      <c r="S4426" s="133"/>
      <c r="T4426" s="155"/>
      <c r="U4426" s="138">
        <f>IF(U4421&lt;U4425,U4423,U4424)</f>
        <v>128.53066169057092</v>
      </c>
      <c r="V4426" s="133"/>
      <c r="W4426" s="155"/>
      <c r="X4426" s="138">
        <f>IF(X4421&lt;X4425,X4423,X4424)</f>
        <v>66.949299746507236</v>
      </c>
      <c r="Y4426" s="133"/>
      <c r="Z4426" s="155"/>
      <c r="AA4426" s="138">
        <f>IF(AA4421&lt;AA4425,AA4423,AA4424)</f>
        <v>24.091872648278464</v>
      </c>
      <c r="AB4426" s="133"/>
      <c r="AC4426" s="155"/>
      <c r="AD4426" s="138">
        <f>IF(AD4421&lt;AD4425,AD4423,AD4424)</f>
        <v>14.049447319679908</v>
      </c>
      <c r="AE4426" s="133"/>
      <c r="AF4426" s="155"/>
      <c r="AG4426" s="138">
        <f>IF(AG4421&lt;AG4425,AG4423,AG4424)</f>
        <v>10.327391614985075</v>
      </c>
      <c r="AH4426" s="133"/>
      <c r="AI4426" s="155"/>
      <c r="AJ4426" s="138">
        <f>IF(AJ4421&lt;AJ4425,AJ4423,AJ4424)</f>
        <v>8.6358561241390959</v>
      </c>
      <c r="AK4426" s="133"/>
      <c r="AL4426" s="155"/>
      <c r="AM4426" s="138">
        <f>IF(AM4421&lt;AM4425,AM4423,AM4424)</f>
        <v>8.1450649593022852</v>
      </c>
      <c r="AN4426" s="133"/>
      <c r="AO4426" s="155"/>
      <c r="AP4426" s="138">
        <f>IF(AP4421&lt;AP4425,AP4423,AP4424)</f>
        <v>7.5263184323173551</v>
      </c>
      <c r="AQ4426" s="133"/>
      <c r="AR4426" s="155"/>
      <c r="AS4426" s="138">
        <f>IF(AS4421&lt;AS4425,AS4423,AS4424)</f>
        <v>10.906927937133212</v>
      </c>
      <c r="AT4426" s="133"/>
      <c r="AU4426" s="155"/>
    </row>
    <row r="4427" spans="13:47" ht="13" x14ac:dyDescent="0.3">
      <c r="M4427" s="28"/>
      <c r="N4427" s="28"/>
      <c r="O4427" s="9" t="s">
        <v>194</v>
      </c>
      <c r="P4427" s="1"/>
      <c r="Q4427" s="1"/>
      <c r="R4427" s="135"/>
      <c r="S4427" s="132">
        <f>IF(R4420&lt;=0,W_max,ABS(R$23-R4426))</f>
        <v>26.635828740092858</v>
      </c>
      <c r="T4427" s="151">
        <f>R4415</f>
        <v>5631.9559346532324</v>
      </c>
      <c r="U4427" s="135"/>
      <c r="V4427" s="132">
        <f>IF(U4420&lt;=0,W_max,ABS(U$23-U4426))</f>
        <v>123.53066169057092</v>
      </c>
      <c r="W4427" s="151">
        <f>U4415</f>
        <v>10462.310385956898</v>
      </c>
      <c r="X4427" s="135"/>
      <c r="Y4427" s="132">
        <f>IF(X4420&lt;=0,W_max,ABS(X$23-X4426))</f>
        <v>7174</v>
      </c>
      <c r="Z4427" s="151">
        <f>X4415</f>
        <v>25874.538614001907</v>
      </c>
      <c r="AA4427" s="135"/>
      <c r="AB4427" s="132">
        <f>IF(AA4420&lt;=0,W_max,ABS(AA$23-AA4426))</f>
        <v>7174</v>
      </c>
      <c r="AC4427" s="151">
        <f>AA4415</f>
        <v>50396.996862772059</v>
      </c>
      <c r="AD4427" s="135"/>
      <c r="AE4427" s="132">
        <f>IF(AD4420&lt;=0,W_max,ABS(AD$23-AD4426))</f>
        <v>7174</v>
      </c>
      <c r="AF4427" s="151">
        <f>AD4415</f>
        <v>82884.504765881196</v>
      </c>
      <c r="AG4427" s="135"/>
      <c r="AH4427" s="132">
        <f>IF(AG4420&lt;=0,W_max,ABS(AG$23-AG4426))</f>
        <v>7174</v>
      </c>
      <c r="AI4427" s="151">
        <f>AG4415</f>
        <v>116251.89889468718</v>
      </c>
      <c r="AJ4427" s="135"/>
      <c r="AK4427" s="132">
        <f>IF(AJ4420&lt;=0,W_max,ABS(AJ$23-AJ4426))</f>
        <v>7174</v>
      </c>
      <c r="AL4427" s="151">
        <f>AJ4415</f>
        <v>147609.06398421334</v>
      </c>
      <c r="AM4427" s="135"/>
      <c r="AN4427" s="132">
        <f>IF(AM4420&lt;=0,W_max,ABS(AM$23-AM4426))</f>
        <v>7174</v>
      </c>
      <c r="AO4427" s="151">
        <f>AM4415</f>
        <v>173083.23622506444</v>
      </c>
      <c r="AP4427" s="135"/>
      <c r="AQ4427" s="132">
        <f>IF(AP4420&lt;=0,W_max,ABS(AP$23-AP4426))</f>
        <v>7174</v>
      </c>
      <c r="AR4427" s="151">
        <f>AP4415</f>
        <v>193103.48799470009</v>
      </c>
      <c r="AS4427" s="135"/>
      <c r="AT4427" s="132">
        <f>IF(AS4420&lt;=0,W_max,ABS(AS$23-AS4426))</f>
        <v>7174</v>
      </c>
      <c r="AU4427" s="151">
        <f>AS4415</f>
        <v>215439.4491863529</v>
      </c>
    </row>
    <row r="4428" spans="13:47" ht="13" x14ac:dyDescent="0.25">
      <c r="M4428" s="12"/>
      <c r="N4428" s="12"/>
      <c r="O4428" s="2"/>
      <c r="P4428" s="85"/>
      <c r="Q4428" s="2"/>
      <c r="R4428" s="18"/>
      <c r="S4428" s="150"/>
      <c r="T4428" s="152"/>
      <c r="U4428" s="157"/>
      <c r="V4428" s="1"/>
      <c r="W4428" s="147"/>
      <c r="X4428" s="157"/>
      <c r="Y4428" s="1"/>
      <c r="Z4428" s="147"/>
      <c r="AA4428" s="157"/>
      <c r="AB4428" s="1"/>
      <c r="AC4428" s="147"/>
      <c r="AD4428" s="157"/>
      <c r="AE4428" s="1"/>
      <c r="AF4428" s="147"/>
      <c r="AG4428" s="157"/>
      <c r="AH4428" s="1"/>
      <c r="AI4428" s="147"/>
      <c r="AJ4428" s="157"/>
      <c r="AK4428" s="1"/>
      <c r="AL4428" s="147"/>
      <c r="AM4428" s="157"/>
      <c r="AN4428" s="1"/>
      <c r="AO4428" s="147"/>
      <c r="AP4428" s="157"/>
      <c r="AQ4428" s="1"/>
      <c r="AR4428" s="147"/>
      <c r="AS4428" s="157"/>
      <c r="AT4428" s="1"/>
      <c r="AU4428" s="147"/>
    </row>
    <row r="4429" spans="13:47" ht="14" x14ac:dyDescent="0.3">
      <c r="M4429" s="23"/>
      <c r="N4429" s="23"/>
      <c r="O4429" s="23" t="s">
        <v>238</v>
      </c>
      <c r="P4429" s="20"/>
      <c r="Q4429" s="20"/>
      <c r="R4429" s="181">
        <f>R4415*1.02</f>
        <v>5744.5950533462974</v>
      </c>
      <c r="S4429" s="128" t="s">
        <v>185</v>
      </c>
      <c r="T4429" s="153" t="s">
        <v>186</v>
      </c>
      <c r="U4429" s="143">
        <f>U4415*1.01</f>
        <v>10566.933489816467</v>
      </c>
      <c r="V4429" s="128" t="s">
        <v>185</v>
      </c>
      <c r="W4429" s="153" t="s">
        <v>186</v>
      </c>
      <c r="X4429" s="143">
        <f>X4415*1.01</f>
        <v>26133.284000141928</v>
      </c>
      <c r="Y4429" s="128" t="s">
        <v>185</v>
      </c>
      <c r="Z4429" s="153" t="s">
        <v>186</v>
      </c>
      <c r="AA4429" s="143">
        <f>AA4415*1.01</f>
        <v>50900.966831399783</v>
      </c>
      <c r="AB4429" s="128" t="s">
        <v>185</v>
      </c>
      <c r="AC4429" s="153" t="s">
        <v>186</v>
      </c>
      <c r="AD4429" s="143">
        <f>AD4415*1.01</f>
        <v>83713.349813540015</v>
      </c>
      <c r="AE4429" s="128" t="s">
        <v>185</v>
      </c>
      <c r="AF4429" s="153" t="s">
        <v>186</v>
      </c>
      <c r="AG4429" s="143">
        <f>AG4415*1.01</f>
        <v>117414.41788363406</v>
      </c>
      <c r="AH4429" s="128" t="s">
        <v>185</v>
      </c>
      <c r="AI4429" s="153" t="s">
        <v>186</v>
      </c>
      <c r="AJ4429" s="143">
        <f>AJ4415*1.01</f>
        <v>149085.15462405546</v>
      </c>
      <c r="AK4429" s="128" t="s">
        <v>185</v>
      </c>
      <c r="AL4429" s="153" t="s">
        <v>186</v>
      </c>
      <c r="AM4429" s="143">
        <f>AM4415*1.01</f>
        <v>174814.06858731509</v>
      </c>
      <c r="AN4429" s="128" t="s">
        <v>185</v>
      </c>
      <c r="AO4429" s="153" t="s">
        <v>186</v>
      </c>
      <c r="AP4429" s="143">
        <f>AP4415*1.01</f>
        <v>195034.52287464708</v>
      </c>
      <c r="AQ4429" s="128" t="s">
        <v>185</v>
      </c>
      <c r="AR4429" s="153" t="s">
        <v>186</v>
      </c>
      <c r="AS4429" s="143">
        <f>AS4415*1.01</f>
        <v>217593.84367821642</v>
      </c>
      <c r="AT4429" s="128" t="s">
        <v>185</v>
      </c>
      <c r="AU4429" s="153" t="s">
        <v>186</v>
      </c>
    </row>
    <row r="4430" spans="13:47" ht="14" x14ac:dyDescent="0.3">
      <c r="M4430" s="12"/>
      <c r="N4430" s="12"/>
      <c r="O4430" s="20"/>
      <c r="P4430" s="20"/>
      <c r="Q4430" s="23"/>
      <c r="R4430" s="139"/>
      <c r="S4430" s="130" t="s">
        <v>228</v>
      </c>
      <c r="T4430" s="154" t="s">
        <v>187</v>
      </c>
      <c r="U4430" s="144"/>
      <c r="V4430" s="130" t="s">
        <v>228</v>
      </c>
      <c r="W4430" s="154" t="s">
        <v>187</v>
      </c>
      <c r="X4430" s="144"/>
      <c r="Y4430" s="130" t="s">
        <v>228</v>
      </c>
      <c r="Z4430" s="154" t="s">
        <v>187</v>
      </c>
      <c r="AA4430" s="144"/>
      <c r="AB4430" s="130" t="s">
        <v>228</v>
      </c>
      <c r="AC4430" s="154" t="s">
        <v>187</v>
      </c>
      <c r="AD4430" s="144"/>
      <c r="AE4430" s="130" t="s">
        <v>228</v>
      </c>
      <c r="AF4430" s="154" t="s">
        <v>187</v>
      </c>
      <c r="AG4430" s="144"/>
      <c r="AH4430" s="130" t="s">
        <v>228</v>
      </c>
      <c r="AI4430" s="154" t="s">
        <v>187</v>
      </c>
      <c r="AJ4430" s="144"/>
      <c r="AK4430" s="130" t="s">
        <v>228</v>
      </c>
      <c r="AL4430" s="154" t="s">
        <v>187</v>
      </c>
      <c r="AM4430" s="144"/>
      <c r="AN4430" s="130" t="s">
        <v>228</v>
      </c>
      <c r="AO4430" s="154" t="s">
        <v>187</v>
      </c>
      <c r="AP4430" s="144"/>
      <c r="AQ4430" s="130" t="s">
        <v>228</v>
      </c>
      <c r="AR4430" s="154" t="s">
        <v>187</v>
      </c>
      <c r="AS4430" s="144"/>
      <c r="AT4430" s="130" t="s">
        <v>228</v>
      </c>
      <c r="AU4430" s="154" t="s">
        <v>187</v>
      </c>
    </row>
    <row r="4431" spans="13:47" x14ac:dyDescent="0.25">
      <c r="M4431" s="20"/>
      <c r="N4431" s="20"/>
      <c r="O4431" s="7" t="s">
        <v>188</v>
      </c>
      <c r="P4431" s="7"/>
      <c r="Q4431" s="7"/>
      <c r="R4431" s="181">
        <f>P_1_minW-(R4429^2*R_up)+dpup_minQ</f>
        <v>87.363497661718114</v>
      </c>
      <c r="S4431" s="132"/>
      <c r="T4431" s="145"/>
      <c r="U4431" s="138">
        <f>P_1_minW-(U4429^2*R_up)+dpup_minQ</f>
        <v>55.997006822593782</v>
      </c>
      <c r="V4431" s="132"/>
      <c r="W4431" s="145"/>
      <c r="X4431" s="138">
        <f>P_1_minW-(X4429^2*R_up)+dpup_minQ</f>
        <v>-171.81102438589099</v>
      </c>
      <c r="Y4431" s="132"/>
      <c r="Z4431" s="145"/>
      <c r="AA4431" s="138">
        <f>P_1_minW-(AA4429^2*R_up)+dpup_minQ</f>
        <v>-932.6326148268148</v>
      </c>
      <c r="AB4431" s="132"/>
      <c r="AC4431" s="145"/>
      <c r="AD4431" s="138">
        <f>P_1_minW-(AD4429^2*R_up)+dpup_minQ</f>
        <v>-2693.9702313538896</v>
      </c>
      <c r="AE4431" s="132"/>
      <c r="AF4431" s="145"/>
      <c r="AG4431" s="138">
        <f>P_1_minW-(AG4429^2*R_up)+dpup_minQ</f>
        <v>-5396.8659221554472</v>
      </c>
      <c r="AH4431" s="132"/>
      <c r="AI4431" s="145"/>
      <c r="AJ4431" s="138">
        <f>P_1_minW-(AJ4429^2*R_up)+dpup_minQ</f>
        <v>-8762.5106488963738</v>
      </c>
      <c r="AK4431" s="132"/>
      <c r="AL4431" s="145"/>
      <c r="AM4431" s="138">
        <f>P_1_minW-(AM4429^2*R_up)+dpup_minQ</f>
        <v>-12085.62241909646</v>
      </c>
      <c r="AN4431" s="132"/>
      <c r="AO4431" s="145"/>
      <c r="AP4431" s="138">
        <f>P_1_minW-(AP4429^2*R_up)+dpup_minQ</f>
        <v>-15067.765420191492</v>
      </c>
      <c r="AQ4431" s="132"/>
      <c r="AR4431" s="145"/>
      <c r="AS4431" s="138">
        <f>P_1_minW-(AS4429^2*R_up)+dpup_minQ</f>
        <v>-18779.686109699694</v>
      </c>
      <c r="AT4431" s="132"/>
      <c r="AU4431" s="145"/>
    </row>
    <row r="4432" spans="13:47" x14ac:dyDescent="0.25">
      <c r="M4432" s="20"/>
      <c r="N4432" s="20"/>
      <c r="O4432" s="7" t="s">
        <v>189</v>
      </c>
      <c r="P4432" s="1"/>
      <c r="Q4432" s="7"/>
      <c r="R4432" s="181">
        <f>P_2_minW+(R4429^2*R_dn)-dpdn_minQ</f>
        <v>50</v>
      </c>
      <c r="S4432" s="132"/>
      <c r="T4432" s="146"/>
      <c r="U4432" s="138">
        <f>P_2_minW+(U4429^2*R_dn)-dpdn_minQ</f>
        <v>50</v>
      </c>
      <c r="V4432" s="132"/>
      <c r="W4432" s="146"/>
      <c r="X4432" s="138">
        <f>P_2_minW+(X4429^2*R_dn)-dpdn_minQ</f>
        <v>50</v>
      </c>
      <c r="Y4432" s="132"/>
      <c r="Z4432" s="146"/>
      <c r="AA4432" s="138">
        <f>P_2_minW+(AA4429^2*R_dn)-dpdn_minQ</f>
        <v>50</v>
      </c>
      <c r="AB4432" s="132"/>
      <c r="AC4432" s="146"/>
      <c r="AD4432" s="138">
        <f>P_2_minW+(AD4429^2*R_dn)-dpdn_minQ</f>
        <v>50</v>
      </c>
      <c r="AE4432" s="132"/>
      <c r="AF4432" s="146"/>
      <c r="AG4432" s="138">
        <f>P_2_minW+(AG4429^2*R_dn)-dpdn_minQ</f>
        <v>50</v>
      </c>
      <c r="AH4432" s="132"/>
      <c r="AI4432" s="146"/>
      <c r="AJ4432" s="138">
        <f>P_2_minW+(AJ4429^2*R_dn)-dpdn_minQ</f>
        <v>50</v>
      </c>
      <c r="AK4432" s="132"/>
      <c r="AL4432" s="146"/>
      <c r="AM4432" s="138">
        <f>P_2_minW+(AM4429^2*R_dn)-dpdn_minQ</f>
        <v>50</v>
      </c>
      <c r="AN4432" s="132"/>
      <c r="AO4432" s="146"/>
      <c r="AP4432" s="138">
        <f>P_2_minW+(AP4429^2*R_dn)-dpdn_minQ</f>
        <v>50</v>
      </c>
      <c r="AQ4432" s="132"/>
      <c r="AR4432" s="146"/>
      <c r="AS4432" s="138">
        <f>P_2_minW+(AS4429^2*R_dn)-dpdn_minQ</f>
        <v>50</v>
      </c>
      <c r="AT4432" s="132"/>
      <c r="AU4432" s="146"/>
    </row>
    <row r="4433" spans="13:47" x14ac:dyDescent="0.25">
      <c r="M4433" s="20"/>
      <c r="N4433" s="20"/>
      <c r="O4433" s="7" t="s">
        <v>234</v>
      </c>
      <c r="P4433" s="1"/>
      <c r="Q4433" s="7"/>
      <c r="R4433" s="179">
        <f>'Valve Sizing'!G$8*R4431/P_1_maxW</f>
        <v>0.42142595860806409</v>
      </c>
      <c r="S4433" s="132"/>
      <c r="T4433" s="146"/>
      <c r="U4433" s="143">
        <f>'Valve Sizing'!$G$8*U4431/P_1_maxW</f>
        <v>0.27011959125961804</v>
      </c>
      <c r="V4433" s="132"/>
      <c r="W4433" s="146"/>
      <c r="X4433" s="143">
        <f>'Valve Sizing'!$G$8*X4431/P_1_maxW</f>
        <v>-0.82878579257003671</v>
      </c>
      <c r="Y4433" s="132"/>
      <c r="Z4433" s="146"/>
      <c r="AA4433" s="143">
        <f>'Valve Sizing'!$G$8*AA4431/P_1_maxW</f>
        <v>-4.4988536889218489</v>
      </c>
      <c r="AB4433" s="132"/>
      <c r="AC4433" s="146"/>
      <c r="AD4433" s="143">
        <f>'Valve Sizing'!$G$8*AD4431/P_1_maxW</f>
        <v>-12.9952327642141</v>
      </c>
      <c r="AE4433" s="132"/>
      <c r="AF4433" s="146"/>
      <c r="AG4433" s="143">
        <f>'Valve Sizing'!$G$8*AG4431/P_1_maxW</f>
        <v>-26.033520355723642</v>
      </c>
      <c r="AH4433" s="132"/>
      <c r="AI4433" s="146"/>
      <c r="AJ4433" s="143">
        <f>'Valve Sizing'!$G$8*AJ4431/P_1_maxW</f>
        <v>-42.268791301411611</v>
      </c>
      <c r="AK4433" s="132"/>
      <c r="AL4433" s="146"/>
      <c r="AM4433" s="143">
        <f>'Valve Sizing'!$G$8*AM4431/P_1_maxW</f>
        <v>-58.298890837272737</v>
      </c>
      <c r="AN4433" s="132"/>
      <c r="AO4433" s="146"/>
      <c r="AP4433" s="143">
        <f>'Valve Sizing'!$G$8*AP4431/P_1_maxW</f>
        <v>-72.68421773671875</v>
      </c>
      <c r="AQ4433" s="132"/>
      <c r="AR4433" s="146"/>
      <c r="AS4433" s="143">
        <f>'Valve Sizing'!$G$8*AS4431/P_1_maxW</f>
        <v>-90.589862276160801</v>
      </c>
      <c r="AT4433" s="132"/>
      <c r="AU4433" s="146"/>
    </row>
    <row r="4434" spans="13:47" x14ac:dyDescent="0.25">
      <c r="M4434" s="20"/>
      <c r="N4434" s="20"/>
      <c r="O4434" s="7" t="s">
        <v>190</v>
      </c>
      <c r="P4434" s="1"/>
      <c r="Q4434" s="7"/>
      <c r="R4434" s="181">
        <f>R4431-R4432</f>
        <v>37.363497661718114</v>
      </c>
      <c r="S4434" s="132"/>
      <c r="T4434" s="146"/>
      <c r="U4434" s="138">
        <f>U4431-U4432</f>
        <v>5.9970068225937823</v>
      </c>
      <c r="V4434" s="132"/>
      <c r="W4434" s="146"/>
      <c r="X4434" s="138">
        <f>X4431-X4432</f>
        <v>-221.81102438589099</v>
      </c>
      <c r="Y4434" s="132"/>
      <c r="Z4434" s="146"/>
      <c r="AA4434" s="138">
        <f>AA4431-AA4432</f>
        <v>-982.6326148268148</v>
      </c>
      <c r="AB4434" s="132"/>
      <c r="AC4434" s="146"/>
      <c r="AD4434" s="138">
        <f>AD4431-AD4432</f>
        <v>-2743.9702313538896</v>
      </c>
      <c r="AE4434" s="132"/>
      <c r="AF4434" s="146"/>
      <c r="AG4434" s="138">
        <f>AG4431-AG4432</f>
        <v>-5446.8659221554472</v>
      </c>
      <c r="AH4434" s="132"/>
      <c r="AI4434" s="146"/>
      <c r="AJ4434" s="138">
        <f>AJ4431-AJ4432</f>
        <v>-8812.5106488963738</v>
      </c>
      <c r="AK4434" s="132"/>
      <c r="AL4434" s="146"/>
      <c r="AM4434" s="138">
        <f>AM4431-AM4432</f>
        <v>-12135.62241909646</v>
      </c>
      <c r="AN4434" s="132"/>
      <c r="AO4434" s="146"/>
      <c r="AP4434" s="138">
        <f>AP4431-AP4432</f>
        <v>-15117.765420191492</v>
      </c>
      <c r="AQ4434" s="132"/>
      <c r="AR4434" s="146"/>
      <c r="AS4434" s="138">
        <f>AS4431-AS4432</f>
        <v>-18829.686109699694</v>
      </c>
      <c r="AT4434" s="132"/>
      <c r="AU4434" s="146"/>
    </row>
    <row r="4435" spans="13:47" ht="14.5" x14ac:dyDescent="0.35">
      <c r="M4435" s="27"/>
      <c r="N4435" s="27"/>
      <c r="O4435" s="2" t="s">
        <v>191</v>
      </c>
      <c r="P4435" s="10"/>
      <c r="Q4435" s="2"/>
      <c r="R4435" s="181">
        <f>R4434/R4431</f>
        <v>0.42767859188049034</v>
      </c>
      <c r="S4435" s="132"/>
      <c r="T4435" s="146"/>
      <c r="U4435" s="138">
        <f>U4434/U4431</f>
        <v>0.10709513173790029</v>
      </c>
      <c r="V4435" s="132"/>
      <c r="W4435" s="146"/>
      <c r="X4435" s="138">
        <f>X4434/X4431</f>
        <v>1.2910174139215829</v>
      </c>
      <c r="Y4435" s="132"/>
      <c r="Z4435" s="146"/>
      <c r="AA4435" s="138">
        <f>AA4434/AA4431</f>
        <v>1.0536116786021736</v>
      </c>
      <c r="AB4435" s="132"/>
      <c r="AC4435" s="146"/>
      <c r="AD4435" s="138">
        <f>AD4434/AD4431</f>
        <v>1.0185599675223107</v>
      </c>
      <c r="AE4435" s="132"/>
      <c r="AF4435" s="146"/>
      <c r="AG4435" s="138">
        <f>AG4434/AG4431</f>
        <v>1.0092646363132236</v>
      </c>
      <c r="AH4435" s="132"/>
      <c r="AI4435" s="146"/>
      <c r="AJ4435" s="138">
        <f>AJ4434/AJ4431</f>
        <v>1.0057061271596055</v>
      </c>
      <c r="AK4435" s="132"/>
      <c r="AL4435" s="146"/>
      <c r="AM4435" s="138">
        <f>AM4434/AM4431</f>
        <v>1.0041371472867624</v>
      </c>
      <c r="AN4435" s="132"/>
      <c r="AO4435" s="146"/>
      <c r="AP4435" s="138">
        <f>AP4434/AP4431</f>
        <v>1.0033183420769876</v>
      </c>
      <c r="AQ4435" s="132"/>
      <c r="AR4435" s="146"/>
      <c r="AS4435" s="138">
        <f>AS4434/AS4431</f>
        <v>1.0026624513161684</v>
      </c>
      <c r="AT4435" s="132"/>
      <c r="AU4435" s="146"/>
    </row>
    <row r="4436" spans="13:47" x14ac:dyDescent="0.25">
      <c r="M4436" s="27"/>
      <c r="N4436" s="27"/>
      <c r="O4436" s="2" t="s">
        <v>26</v>
      </c>
      <c r="P4436" s="7">
        <v>12</v>
      </c>
      <c r="Q4436" s="2"/>
      <c r="R4436" s="181">
        <f>1-R4435/(3*F_GAMMA*R$29)</f>
        <v>0.77726008852463147</v>
      </c>
      <c r="S4436" s="133"/>
      <c r="T4436" s="146"/>
      <c r="U4436" s="138">
        <f>1-U4435/(3*F_GAMMA*U$29)</f>
        <v>0.94423590874213381</v>
      </c>
      <c r="V4436" s="133"/>
      <c r="W4436" s="146"/>
      <c r="X4436" s="138">
        <f>1-X4435/(3*F_GAMMA*X$29)</f>
        <v>0.31768687830534126</v>
      </c>
      <c r="Y4436" s="133"/>
      <c r="Z4436" s="146"/>
      <c r="AA4436" s="138">
        <f>1-AA4435/(3*F_GAMMA*AA$29)</f>
        <v>0.43552264276496233</v>
      </c>
      <c r="AB4436" s="133"/>
      <c r="AC4436" s="146"/>
      <c r="AD4436" s="138">
        <f>1-AD4435/(3*F_GAMMA*AD$29)</f>
        <v>0.43933987462084112</v>
      </c>
      <c r="AE4436" s="133"/>
      <c r="AF4436" s="146"/>
      <c r="AG4436" s="138">
        <f>1-AG4435/(3*F_GAMMA*AG$29)</f>
        <v>0.41276735074037041</v>
      </c>
      <c r="AH4436" s="133"/>
      <c r="AI4436" s="146"/>
      <c r="AJ4436" s="138">
        <f>1-AJ4435/(3*F_GAMMA*AJ$29)</f>
        <v>0.37445371940682193</v>
      </c>
      <c r="AK4436" s="133"/>
      <c r="AL4436" s="146"/>
      <c r="AM4436" s="138">
        <f>1-AM4435/(3*F_GAMMA*AM$29)</f>
        <v>0.31759334837338604</v>
      </c>
      <c r="AN4436" s="133"/>
      <c r="AO4436" s="146"/>
      <c r="AP4436" s="138">
        <f>1-AP4435/(3*F_GAMMA*AP$29)</f>
        <v>0.43652458073374634</v>
      </c>
      <c r="AQ4436" s="133"/>
      <c r="AR4436" s="146"/>
      <c r="AS4436" s="138">
        <f>1-AS4435/(3*F_GAMMA*AS$29)</f>
        <v>0.14515454761220881</v>
      </c>
      <c r="AT4436" s="133"/>
      <c r="AU4436" s="146"/>
    </row>
    <row r="4437" spans="13:47" x14ac:dyDescent="0.25">
      <c r="M4437" s="27"/>
      <c r="N4437" s="27"/>
      <c r="O4437" s="2" t="s">
        <v>71</v>
      </c>
      <c r="P4437" s="85">
        <v>5</v>
      </c>
      <c r="Q4437" s="2"/>
      <c r="R4437" s="179">
        <f>R4429/((N_6*R$27*R4436)*SQRT(R4435*R4431*R4433))</f>
        <v>29.42770527691896</v>
      </c>
      <c r="S4437" s="133"/>
      <c r="T4437" s="146"/>
      <c r="U4437" s="143">
        <f>U4429/((N_6*U$27*U4436)*SQRT(U4435*U4431*U4433))</f>
        <v>139.00834120122838</v>
      </c>
      <c r="V4437" s="133"/>
      <c r="W4437" s="146"/>
      <c r="X4437" s="143">
        <f>X4429/((N_6*X$27*X4436)*SQRT(X4435*X4431*X4433))</f>
        <v>96.130485284542857</v>
      </c>
      <c r="Y4437" s="133"/>
      <c r="Z4437" s="146"/>
      <c r="AA4437" s="143">
        <f>AA4429/((N_6*AA$27*AA4436)*SQRT(AA4435*AA4431*AA4433))</f>
        <v>28.011636953859359</v>
      </c>
      <c r="AB4437" s="133"/>
      <c r="AC4437" s="146"/>
      <c r="AD4437" s="143">
        <f>AD4429/((N_6*AD$27*AD4436)*SQRT(AD4435*AD4431*AD4433))</f>
        <v>16.271469195961039</v>
      </c>
      <c r="AE4437" s="133"/>
      <c r="AF4437" s="146"/>
      <c r="AG4437" s="143">
        <f>AG4429/((N_6*AG$27*AG4436)*SQRT(AG4435*AG4431*AG4433))</f>
        <v>12.444040611867296</v>
      </c>
      <c r="AH4437" s="133"/>
      <c r="AI4437" s="146"/>
      <c r="AJ4437" s="143">
        <f>AJ4429/((N_6*AJ$27*AJ4436)*SQRT(AJ4435*AJ4431*AJ4433))</f>
        <v>11.115300432587437</v>
      </c>
      <c r="AK4437" s="133"/>
      <c r="AL4437" s="146"/>
      <c r="AM4437" s="143">
        <f>AM4429/((N_6*AM$27*AM4436)*SQRT(AM4435*AM4431*AM4433))</f>
        <v>11.835122260478494</v>
      </c>
      <c r="AN4437" s="133"/>
      <c r="AO4437" s="146"/>
      <c r="AP4437" s="143">
        <f>AP4429/((N_6*AP$27*AP4436)*SQRT(AP4435*AP4431*AP4433))</f>
        <v>8.7563273634559309</v>
      </c>
      <c r="AQ4437" s="133"/>
      <c r="AR4437" s="146"/>
      <c r="AS4437" s="143">
        <f>AS4429/((N_6*AS$27*AS4436)*SQRT(AS4435*AS4431*AS4433))</f>
        <v>30.983116412116235</v>
      </c>
      <c r="AT4437" s="133"/>
      <c r="AU4437" s="146"/>
    </row>
    <row r="4438" spans="13:47" x14ac:dyDescent="0.25">
      <c r="M4438" s="27"/>
      <c r="N4438" s="27"/>
      <c r="O4438" s="2" t="s">
        <v>73</v>
      </c>
      <c r="P4438" s="85">
        <v>5</v>
      </c>
      <c r="Q4438" s="2"/>
      <c r="R4438" s="179">
        <f>R4429/((N_6*R$27*0.667)*SQRT(R4439*R4431*R4433))</f>
        <v>28.032161101050889</v>
      </c>
      <c r="S4438" s="133"/>
      <c r="T4438" s="155"/>
      <c r="U4438" s="143">
        <f>U4429/((N_6*U$27*0.667)*SQRT(U4439*U4431*U4433))</f>
        <v>80.488434665241158</v>
      </c>
      <c r="V4438" s="133"/>
      <c r="W4438" s="155"/>
      <c r="X4438" s="143">
        <f>X4429/((N_6*X$27*0.667)*SQRT(X4439*X4431*X4433))</f>
        <v>65.506902912813615</v>
      </c>
      <c r="Y4438" s="133"/>
      <c r="Z4438" s="155"/>
      <c r="AA4438" s="143">
        <f>AA4429/((N_6*AA$27*0.667)*SQRT(AA4439*AA4431*AA4433))</f>
        <v>23.801662033258172</v>
      </c>
      <c r="AB4438" s="133"/>
      <c r="AC4438" s="155"/>
      <c r="AD4438" s="143">
        <f>AD4429/((N_6*AD$27*0.667)*SQRT(AD4439*AD4431*AD4433))</f>
        <v>13.899910966300185</v>
      </c>
      <c r="AE4438" s="133"/>
      <c r="AF4438" s="155"/>
      <c r="AG4438" s="143">
        <f>AG4429/((N_6*AG$27*0.667)*SQRT(AG4439*AG4431*AG4433))</f>
        <v>10.221312069256816</v>
      </c>
      <c r="AH4438" s="133"/>
      <c r="AI4438" s="155"/>
      <c r="AJ4438" s="143">
        <f>AJ4429/((N_6*AJ$27*0.667)*SQRT(AJ4439*AJ4431*AJ4433))</f>
        <v>8.548381010717085</v>
      </c>
      <c r="AK4438" s="133"/>
      <c r="AL4438" s="155"/>
      <c r="AM4438" s="143">
        <f>AM4429/((N_6*AM$27*0.667)*SQRT(AM4439*AM4431*AM4433))</f>
        <v>8.0630725194644626</v>
      </c>
      <c r="AN4438" s="133"/>
      <c r="AO4438" s="155"/>
      <c r="AP4438" s="143">
        <f>AP4429/((N_6*AP$27*0.667)*SQRT(AP4439*AP4431*AP4433))</f>
        <v>7.4508011808321557</v>
      </c>
      <c r="AQ4438" s="133"/>
      <c r="AR4438" s="155"/>
      <c r="AS4438" s="143">
        <f>AS4429/((N_6*AS$27*0.667)*SQRT(AS4439*AS4431*AS4433))</f>
        <v>10.797776692906924</v>
      </c>
      <c r="AT4438" s="133"/>
      <c r="AU4438" s="155"/>
    </row>
    <row r="4439" spans="13:47" ht="15.5" x14ac:dyDescent="0.4">
      <c r="M4439" s="27"/>
      <c r="N4439" s="27"/>
      <c r="O4439" s="2" t="s">
        <v>192</v>
      </c>
      <c r="P4439" s="85">
        <v>10</v>
      </c>
      <c r="Q4439" s="2"/>
      <c r="R4439" s="181">
        <f>F_GAMMA*R$29</f>
        <v>0.64002688015162901</v>
      </c>
      <c r="S4439" s="133"/>
      <c r="T4439" s="155"/>
      <c r="U4439" s="138">
        <f>F_GAMMA*U$29</f>
        <v>0.64016782916606918</v>
      </c>
      <c r="V4439" s="133"/>
      <c r="W4439" s="155"/>
      <c r="X4439" s="138">
        <f>F_GAMMA*X$29</f>
        <v>0.6307062319203669</v>
      </c>
      <c r="Y4439" s="133"/>
      <c r="Z4439" s="155"/>
      <c r="AA4439" s="138">
        <f>F_GAMMA*AA$29</f>
        <v>0.62217534213893466</v>
      </c>
      <c r="AB4439" s="133"/>
      <c r="AC4439" s="155"/>
      <c r="AD4439" s="138">
        <f>F_GAMMA*AD$29</f>
        <v>0.60557184969146072</v>
      </c>
      <c r="AE4439" s="133"/>
      <c r="AF4439" s="155"/>
      <c r="AG4439" s="138">
        <f>F_GAMMA*AG$29</f>
        <v>0.57289312142622573</v>
      </c>
      <c r="AH4439" s="133"/>
      <c r="AI4439" s="155"/>
      <c r="AJ4439" s="138">
        <f>F_GAMMA*AJ$29</f>
        <v>0.53590819116049981</v>
      </c>
      <c r="AK4439" s="133"/>
      <c r="AL4439" s="155"/>
      <c r="AM4439" s="138">
        <f>F_GAMMA*AM$29</f>
        <v>0.49048815926850342</v>
      </c>
      <c r="AN4439" s="133"/>
      <c r="AO4439" s="155"/>
      <c r="AP4439" s="138">
        <f>F_GAMMA*AP$29</f>
        <v>0.59352979016280105</v>
      </c>
      <c r="AQ4439" s="133"/>
      <c r="AR4439" s="155"/>
      <c r="AS4439" s="138">
        <f>F_GAMMA*AS$29</f>
        <v>0.39097221161068291</v>
      </c>
      <c r="AT4439" s="133"/>
      <c r="AU4439" s="155"/>
    </row>
    <row r="4440" spans="13:47" x14ac:dyDescent="0.25">
      <c r="M4440" s="27"/>
      <c r="N4440" s="27"/>
      <c r="O4440" s="2" t="s">
        <v>193</v>
      </c>
      <c r="P4440" s="134"/>
      <c r="Q4440" s="2"/>
      <c r="R4440" s="181">
        <f>IF(R4435&lt;R4439,R4437,R4438)</f>
        <v>29.42770527691896</v>
      </c>
      <c r="S4440" s="133"/>
      <c r="T4440" s="155"/>
      <c r="U4440" s="138">
        <f>IF(U4435&lt;U4439,U4437,U4438)</f>
        <v>139.00834120122838</v>
      </c>
      <c r="V4440" s="133"/>
      <c r="W4440" s="155"/>
      <c r="X4440" s="138">
        <f>IF(X4435&lt;X4439,X4437,X4438)</f>
        <v>65.506902912813615</v>
      </c>
      <c r="Y4440" s="133"/>
      <c r="Z4440" s="155"/>
      <c r="AA4440" s="138">
        <f>IF(AA4435&lt;AA4439,AA4437,AA4438)</f>
        <v>23.801662033258172</v>
      </c>
      <c r="AB4440" s="133"/>
      <c r="AC4440" s="155"/>
      <c r="AD4440" s="138">
        <f>IF(AD4435&lt;AD4439,AD4437,AD4438)</f>
        <v>13.899910966300185</v>
      </c>
      <c r="AE4440" s="133"/>
      <c r="AF4440" s="155"/>
      <c r="AG4440" s="138">
        <f>IF(AG4435&lt;AG4439,AG4437,AG4438)</f>
        <v>10.221312069256816</v>
      </c>
      <c r="AH4440" s="133"/>
      <c r="AI4440" s="155"/>
      <c r="AJ4440" s="138">
        <f>IF(AJ4435&lt;AJ4439,AJ4437,AJ4438)</f>
        <v>8.548381010717085</v>
      </c>
      <c r="AK4440" s="133"/>
      <c r="AL4440" s="155"/>
      <c r="AM4440" s="138">
        <f>IF(AM4435&lt;AM4439,AM4437,AM4438)</f>
        <v>8.0630725194644626</v>
      </c>
      <c r="AN4440" s="133"/>
      <c r="AO4440" s="155"/>
      <c r="AP4440" s="138">
        <f>IF(AP4435&lt;AP4439,AP4437,AP4438)</f>
        <v>7.4508011808321557</v>
      </c>
      <c r="AQ4440" s="133"/>
      <c r="AR4440" s="155"/>
      <c r="AS4440" s="138">
        <f>IF(AS4435&lt;AS4439,AS4437,AS4438)</f>
        <v>10.797776692906924</v>
      </c>
      <c r="AT4440" s="133"/>
      <c r="AU4440" s="155"/>
    </row>
    <row r="4441" spans="13:47" ht="13" x14ac:dyDescent="0.3">
      <c r="M4441" s="28"/>
      <c r="N4441" s="28"/>
      <c r="O4441" s="9" t="s">
        <v>194</v>
      </c>
      <c r="P4441" s="1"/>
      <c r="Q4441" s="1"/>
      <c r="R4441" s="135"/>
      <c r="S4441" s="132">
        <f>IF(R4434&lt;=0,W_max,ABS(R$23-R4440))</f>
        <v>27.42770527691896</v>
      </c>
      <c r="T4441" s="151">
        <f>R4429</f>
        <v>5744.5950533462974</v>
      </c>
      <c r="U4441" s="135"/>
      <c r="V4441" s="132">
        <f>IF(U4434&lt;=0,W_max,ABS(U$23-U4440))</f>
        <v>134.00834120122838</v>
      </c>
      <c r="W4441" s="151">
        <f>U4429</f>
        <v>10566.933489816467</v>
      </c>
      <c r="X4441" s="135"/>
      <c r="Y4441" s="132">
        <f>IF(X4434&lt;=0,W_max,ABS(X$23-X4440))</f>
        <v>7174</v>
      </c>
      <c r="Z4441" s="151">
        <f>X4429</f>
        <v>26133.284000141928</v>
      </c>
      <c r="AA4441" s="135"/>
      <c r="AB4441" s="132">
        <f>IF(AA4434&lt;=0,W_max,ABS(AA$23-AA4440))</f>
        <v>7174</v>
      </c>
      <c r="AC4441" s="151">
        <f>AA4429</f>
        <v>50900.966831399783</v>
      </c>
      <c r="AD4441" s="135"/>
      <c r="AE4441" s="132">
        <f>IF(AD4434&lt;=0,W_max,ABS(AD$23-AD4440))</f>
        <v>7174</v>
      </c>
      <c r="AF4441" s="151">
        <f>AD4429</f>
        <v>83713.349813540015</v>
      </c>
      <c r="AG4441" s="135"/>
      <c r="AH4441" s="132">
        <f>IF(AG4434&lt;=0,W_max,ABS(AG$23-AG4440))</f>
        <v>7174</v>
      </c>
      <c r="AI4441" s="151">
        <f>AG4429</f>
        <v>117414.41788363406</v>
      </c>
      <c r="AJ4441" s="135"/>
      <c r="AK4441" s="132">
        <f>IF(AJ4434&lt;=0,W_max,ABS(AJ$23-AJ4440))</f>
        <v>7174</v>
      </c>
      <c r="AL4441" s="151">
        <f>AJ4429</f>
        <v>149085.15462405546</v>
      </c>
      <c r="AM4441" s="135"/>
      <c r="AN4441" s="132">
        <f>IF(AM4434&lt;=0,W_max,ABS(AM$23-AM4440))</f>
        <v>7174</v>
      </c>
      <c r="AO4441" s="151">
        <f>AM4429</f>
        <v>174814.06858731509</v>
      </c>
      <c r="AP4441" s="135"/>
      <c r="AQ4441" s="132">
        <f>IF(AP4434&lt;=0,W_max,ABS(AP$23-AP4440))</f>
        <v>7174</v>
      </c>
      <c r="AR4441" s="151">
        <f>AP4429</f>
        <v>195034.52287464708</v>
      </c>
      <c r="AS4441" s="135"/>
      <c r="AT4441" s="132">
        <f>IF(AS4434&lt;=0,W_max,ABS(AS$23-AS4440))</f>
        <v>7174</v>
      </c>
      <c r="AU4441" s="151">
        <f>AS4429</f>
        <v>217593.84367821642</v>
      </c>
    </row>
    <row r="4442" spans="13:47" ht="13" x14ac:dyDescent="0.25">
      <c r="M4442" s="12"/>
      <c r="N4442" s="12"/>
      <c r="O4442" s="2"/>
      <c r="P4442" s="85"/>
      <c r="Q4442" s="2"/>
      <c r="R4442" s="18"/>
      <c r="S4442" s="150"/>
      <c r="T4442" s="148"/>
      <c r="U4442" s="157"/>
      <c r="V4442" s="1"/>
      <c r="W4442" s="147"/>
      <c r="X4442" s="157"/>
      <c r="Y4442" s="1"/>
      <c r="Z4442" s="147"/>
      <c r="AA4442" s="157"/>
      <c r="AB4442" s="1"/>
      <c r="AC4442" s="147"/>
      <c r="AD4442" s="157"/>
      <c r="AE4442" s="1"/>
      <c r="AF4442" s="147"/>
      <c r="AG4442" s="157"/>
      <c r="AH4442" s="1"/>
      <c r="AI4442" s="147"/>
      <c r="AJ4442" s="157"/>
      <c r="AK4442" s="1"/>
      <c r="AL4442" s="147"/>
      <c r="AM4442" s="157"/>
      <c r="AN4442" s="1"/>
      <c r="AO4442" s="147"/>
      <c r="AP4442" s="157"/>
      <c r="AQ4442" s="1"/>
      <c r="AR4442" s="147"/>
      <c r="AS4442" s="157"/>
      <c r="AT4442" s="1"/>
      <c r="AU4442" s="147"/>
    </row>
    <row r="4443" spans="13:47" ht="14" x14ac:dyDescent="0.3">
      <c r="M4443" s="23"/>
      <c r="N4443" s="23"/>
      <c r="O4443" s="23" t="s">
        <v>238</v>
      </c>
      <c r="P4443" s="20"/>
      <c r="Q4443" s="20"/>
      <c r="R4443" s="181">
        <f>R4429*1.02</f>
        <v>5859.4869544132234</v>
      </c>
      <c r="S4443" s="128" t="s">
        <v>185</v>
      </c>
      <c r="T4443" s="149" t="s">
        <v>186</v>
      </c>
      <c r="U4443" s="143">
        <f>U4429*1.01</f>
        <v>10672.602824714631</v>
      </c>
      <c r="V4443" s="128" t="s">
        <v>185</v>
      </c>
      <c r="W4443" s="153" t="s">
        <v>186</v>
      </c>
      <c r="X4443" s="143">
        <f>X4429*1.01</f>
        <v>26394.616840143346</v>
      </c>
      <c r="Y4443" s="128" t="s">
        <v>185</v>
      </c>
      <c r="Z4443" s="153" t="s">
        <v>186</v>
      </c>
      <c r="AA4443" s="143">
        <f>AA4429*1.01</f>
        <v>51409.976499713783</v>
      </c>
      <c r="AB4443" s="128" t="s">
        <v>185</v>
      </c>
      <c r="AC4443" s="153" t="s">
        <v>186</v>
      </c>
      <c r="AD4443" s="143">
        <f>AD4429*1.01</f>
        <v>84550.483311675416</v>
      </c>
      <c r="AE4443" s="128" t="s">
        <v>185</v>
      </c>
      <c r="AF4443" s="153" t="s">
        <v>186</v>
      </c>
      <c r="AG4443" s="143">
        <f>AG4429*1.01</f>
        <v>118588.5620624704</v>
      </c>
      <c r="AH4443" s="128" t="s">
        <v>185</v>
      </c>
      <c r="AI4443" s="153" t="s">
        <v>186</v>
      </c>
      <c r="AJ4443" s="143">
        <f>AJ4429*1.01</f>
        <v>150576.00617029602</v>
      </c>
      <c r="AK4443" s="128" t="s">
        <v>185</v>
      </c>
      <c r="AL4443" s="153" t="s">
        <v>186</v>
      </c>
      <c r="AM4443" s="143">
        <f>AM4429*1.01</f>
        <v>176562.20927318826</v>
      </c>
      <c r="AN4443" s="128" t="s">
        <v>185</v>
      </c>
      <c r="AO4443" s="153" t="s">
        <v>186</v>
      </c>
      <c r="AP4443" s="143">
        <f>AP4429*1.01</f>
        <v>196984.86810339356</v>
      </c>
      <c r="AQ4443" s="128" t="s">
        <v>185</v>
      </c>
      <c r="AR4443" s="153" t="s">
        <v>186</v>
      </c>
      <c r="AS4443" s="143">
        <f>AS4429*1.01</f>
        <v>219769.78211499858</v>
      </c>
      <c r="AT4443" s="128" t="s">
        <v>185</v>
      </c>
      <c r="AU4443" s="153" t="s">
        <v>186</v>
      </c>
    </row>
    <row r="4444" spans="13:47" ht="14" x14ac:dyDescent="0.3">
      <c r="M4444" s="12"/>
      <c r="N4444" s="12"/>
      <c r="O4444" s="20"/>
      <c r="P4444" s="20"/>
      <c r="Q4444" s="23"/>
      <c r="R4444" s="139"/>
      <c r="S4444" s="130" t="s">
        <v>228</v>
      </c>
      <c r="T4444" s="131" t="s">
        <v>187</v>
      </c>
      <c r="U4444" s="144"/>
      <c r="V4444" s="130" t="s">
        <v>228</v>
      </c>
      <c r="W4444" s="154" t="s">
        <v>187</v>
      </c>
      <c r="X4444" s="144"/>
      <c r="Y4444" s="130" t="s">
        <v>228</v>
      </c>
      <c r="Z4444" s="154" t="s">
        <v>187</v>
      </c>
      <c r="AA4444" s="144"/>
      <c r="AB4444" s="130" t="s">
        <v>228</v>
      </c>
      <c r="AC4444" s="154" t="s">
        <v>187</v>
      </c>
      <c r="AD4444" s="144"/>
      <c r="AE4444" s="130" t="s">
        <v>228</v>
      </c>
      <c r="AF4444" s="154" t="s">
        <v>187</v>
      </c>
      <c r="AG4444" s="144"/>
      <c r="AH4444" s="130" t="s">
        <v>228</v>
      </c>
      <c r="AI4444" s="154" t="s">
        <v>187</v>
      </c>
      <c r="AJ4444" s="144"/>
      <c r="AK4444" s="130" t="s">
        <v>228</v>
      </c>
      <c r="AL4444" s="154" t="s">
        <v>187</v>
      </c>
      <c r="AM4444" s="144"/>
      <c r="AN4444" s="130" t="s">
        <v>228</v>
      </c>
      <c r="AO4444" s="154" t="s">
        <v>187</v>
      </c>
      <c r="AP4444" s="144"/>
      <c r="AQ4444" s="130" t="s">
        <v>228</v>
      </c>
      <c r="AR4444" s="154" t="s">
        <v>187</v>
      </c>
      <c r="AS4444" s="144"/>
      <c r="AT4444" s="130" t="s">
        <v>228</v>
      </c>
      <c r="AU4444" s="154" t="s">
        <v>187</v>
      </c>
    </row>
    <row r="4445" spans="13:47" x14ac:dyDescent="0.25">
      <c r="M4445" s="20"/>
      <c r="N4445" s="20"/>
      <c r="O4445" s="7" t="s">
        <v>188</v>
      </c>
      <c r="P4445" s="7"/>
      <c r="Q4445" s="7"/>
      <c r="R4445" s="181">
        <f>P_1_minW-(R4443^2*R_up)+dpup_minQ</f>
        <v>86.831862383087767</v>
      </c>
      <c r="S4445" s="132"/>
      <c r="T4445" s="145"/>
      <c r="U4445" s="138">
        <f>P_1_minW-(U4443^2*R_up)+dpup_minQ</f>
        <v>55.102038646319713</v>
      </c>
      <c r="V4445" s="132"/>
      <c r="W4445" s="145"/>
      <c r="X4445" s="138">
        <f>P_1_minW-(X4443^2*R_up)+dpup_minQ</f>
        <v>-177.28493398945554</v>
      </c>
      <c r="Y4445" s="132"/>
      <c r="Z4445" s="145"/>
      <c r="AA4445" s="138">
        <f>P_1_minW-(AA4443^2*R_up)+dpup_minQ</f>
        <v>-953.39903839824194</v>
      </c>
      <c r="AB4445" s="132"/>
      <c r="AC4445" s="145"/>
      <c r="AD4445" s="138">
        <f>P_1_minW-(AD4443^2*R_up)+dpup_minQ</f>
        <v>-2750.139541017511</v>
      </c>
      <c r="AE4445" s="132"/>
      <c r="AF4445" s="145"/>
      <c r="AG4445" s="138">
        <f>P_1_minW-(AG4443^2*R_up)+dpup_minQ</f>
        <v>-5507.36343520418</v>
      </c>
      <c r="AH4445" s="132"/>
      <c r="AI4445" s="145"/>
      <c r="AJ4445" s="138">
        <f>P_1_minW-(AJ4443^2*R_up)+dpup_minQ</f>
        <v>-8940.6576209526011</v>
      </c>
      <c r="AK4445" s="132"/>
      <c r="AL4445" s="145"/>
      <c r="AM4445" s="138">
        <f>P_1_minW-(AM4443^2*R_up)+dpup_minQ</f>
        <v>-12330.563937733708</v>
      </c>
      <c r="AN4445" s="132"/>
      <c r="AO4445" s="145"/>
      <c r="AP4445" s="138">
        <f>P_1_minW-(AP4443^2*R_up)+dpup_minQ</f>
        <v>-15372.648013150751</v>
      </c>
      <c r="AQ4445" s="132"/>
      <c r="AR4445" s="145"/>
      <c r="AS4445" s="138">
        <f>P_1_minW-(AS4443^2*R_up)+dpup_minQ</f>
        <v>-19159.178308518065</v>
      </c>
      <c r="AT4445" s="132"/>
      <c r="AU4445" s="145"/>
    </row>
    <row r="4446" spans="13:47" x14ac:dyDescent="0.25">
      <c r="M4446" s="20"/>
      <c r="N4446" s="20"/>
      <c r="O4446" s="7" t="s">
        <v>189</v>
      </c>
      <c r="P4446" s="1"/>
      <c r="Q4446" s="7"/>
      <c r="R4446" s="181">
        <f>P_2_minW+(R4443^2*R_dn)-dpdn_minQ</f>
        <v>50</v>
      </c>
      <c r="S4446" s="132"/>
      <c r="T4446" s="146"/>
      <c r="U4446" s="138">
        <f>P_2_minW+(U4443^2*R_dn)-dpdn_minQ</f>
        <v>50</v>
      </c>
      <c r="V4446" s="132"/>
      <c r="W4446" s="146"/>
      <c r="X4446" s="138">
        <f>P_2_minW+(X4443^2*R_dn)-dpdn_minQ</f>
        <v>50</v>
      </c>
      <c r="Y4446" s="132"/>
      <c r="Z4446" s="146"/>
      <c r="AA4446" s="138">
        <f>P_2_minW+(AA4443^2*R_dn)-dpdn_minQ</f>
        <v>50</v>
      </c>
      <c r="AB4446" s="132"/>
      <c r="AC4446" s="146"/>
      <c r="AD4446" s="138">
        <f>P_2_minW+(AD4443^2*R_dn)-dpdn_minQ</f>
        <v>50</v>
      </c>
      <c r="AE4446" s="132"/>
      <c r="AF4446" s="146"/>
      <c r="AG4446" s="138">
        <f>P_2_minW+(AG4443^2*R_dn)-dpdn_minQ</f>
        <v>50</v>
      </c>
      <c r="AH4446" s="132"/>
      <c r="AI4446" s="146"/>
      <c r="AJ4446" s="138">
        <f>P_2_minW+(AJ4443^2*R_dn)-dpdn_minQ</f>
        <v>50</v>
      </c>
      <c r="AK4446" s="132"/>
      <c r="AL4446" s="146"/>
      <c r="AM4446" s="138">
        <f>P_2_minW+(AM4443^2*R_dn)-dpdn_minQ</f>
        <v>50</v>
      </c>
      <c r="AN4446" s="132"/>
      <c r="AO4446" s="146"/>
      <c r="AP4446" s="138">
        <f>P_2_minW+(AP4443^2*R_dn)-dpdn_minQ</f>
        <v>50</v>
      </c>
      <c r="AQ4446" s="132"/>
      <c r="AR4446" s="146"/>
      <c r="AS4446" s="138">
        <f>P_2_minW+(AS4443^2*R_dn)-dpdn_minQ</f>
        <v>50</v>
      </c>
      <c r="AT4446" s="132"/>
      <c r="AU4446" s="146"/>
    </row>
    <row r="4447" spans="13:47" x14ac:dyDescent="0.25">
      <c r="M4447" s="20"/>
      <c r="N4447" s="20"/>
      <c r="O4447" s="7" t="s">
        <v>234</v>
      </c>
      <c r="P4447" s="1"/>
      <c r="Q4447" s="7"/>
      <c r="R4447" s="179">
        <f>'Valve Sizing'!G$8*R4445/P_1_maxW</f>
        <v>0.41886144467577874</v>
      </c>
      <c r="S4447" s="132"/>
      <c r="T4447" s="146"/>
      <c r="U4447" s="143">
        <f>'Valve Sizing'!$G$8*U4445/P_1_maxW</f>
        <v>0.26580242411653465</v>
      </c>
      <c r="V4447" s="132"/>
      <c r="W4447" s="146"/>
      <c r="X4447" s="143">
        <f>'Valve Sizing'!$G$8*X4445/P_1_maxW</f>
        <v>-0.85519095792809574</v>
      </c>
      <c r="Y4447" s="132"/>
      <c r="Z4447" s="146"/>
      <c r="AA4447" s="143">
        <f>'Valve Sizing'!$G$8*AA4445/P_1_maxW</f>
        <v>-4.5990272189965795</v>
      </c>
      <c r="AB4447" s="132"/>
      <c r="AC4447" s="146"/>
      <c r="AD4447" s="143">
        <f>'Valve Sizing'!$G$8*AD4445/P_1_maxW</f>
        <v>-13.266183513702206</v>
      </c>
      <c r="AE4447" s="132"/>
      <c r="AF4447" s="146"/>
      <c r="AG4447" s="143">
        <f>'Valve Sizing'!$G$8*AG4445/P_1_maxW</f>
        <v>-26.56654068580109</v>
      </c>
      <c r="AH4447" s="132"/>
      <c r="AI4447" s="146"/>
      <c r="AJ4447" s="143">
        <f>'Valve Sizing'!$G$8*AJ4445/P_1_maxW</f>
        <v>-43.128140577497398</v>
      </c>
      <c r="AK4447" s="132"/>
      <c r="AL4447" s="146"/>
      <c r="AM4447" s="143">
        <f>'Valve Sizing'!$G$8*AM4445/P_1_maxW</f>
        <v>-59.48044511402933</v>
      </c>
      <c r="AN4447" s="132"/>
      <c r="AO4447" s="146"/>
      <c r="AP4447" s="143">
        <f>'Valve Sizing'!$G$8*AP4445/P_1_maxW</f>
        <v>-74.154917084154221</v>
      </c>
      <c r="AQ4447" s="132"/>
      <c r="AR4447" s="146"/>
      <c r="AS4447" s="143">
        <f>'Valve Sizing'!$G$8*AS4445/P_1_maxW</f>
        <v>-92.42046507883903</v>
      </c>
      <c r="AT4447" s="132"/>
      <c r="AU4447" s="146"/>
    </row>
    <row r="4448" spans="13:47" x14ac:dyDescent="0.25">
      <c r="M4448" s="20"/>
      <c r="N4448" s="20"/>
      <c r="O4448" s="7" t="s">
        <v>190</v>
      </c>
      <c r="P4448" s="1"/>
      <c r="Q4448" s="7"/>
      <c r="R4448" s="181">
        <f>R4445-R4446</f>
        <v>36.831862383087767</v>
      </c>
      <c r="S4448" s="132"/>
      <c r="T4448" s="146"/>
      <c r="U4448" s="138">
        <f>U4445-U4446</f>
        <v>5.1020386463197127</v>
      </c>
      <c r="V4448" s="132"/>
      <c r="W4448" s="146"/>
      <c r="X4448" s="138">
        <f>X4445-X4446</f>
        <v>-227.28493398945554</v>
      </c>
      <c r="Y4448" s="132"/>
      <c r="Z4448" s="146"/>
      <c r="AA4448" s="138">
        <f>AA4445-AA4446</f>
        <v>-1003.3990383982419</v>
      </c>
      <c r="AB4448" s="132"/>
      <c r="AC4448" s="146"/>
      <c r="AD4448" s="138">
        <f>AD4445-AD4446</f>
        <v>-2800.139541017511</v>
      </c>
      <c r="AE4448" s="132"/>
      <c r="AF4448" s="146"/>
      <c r="AG4448" s="138">
        <f>AG4445-AG4446</f>
        <v>-5557.36343520418</v>
      </c>
      <c r="AH4448" s="132"/>
      <c r="AI4448" s="146"/>
      <c r="AJ4448" s="138">
        <f>AJ4445-AJ4446</f>
        <v>-8990.6576209526011</v>
      </c>
      <c r="AK4448" s="132"/>
      <c r="AL4448" s="146"/>
      <c r="AM4448" s="138">
        <f>AM4445-AM4446</f>
        <v>-12380.563937733708</v>
      </c>
      <c r="AN4448" s="132"/>
      <c r="AO4448" s="146"/>
      <c r="AP4448" s="138">
        <f>AP4445-AP4446</f>
        <v>-15422.648013150751</v>
      </c>
      <c r="AQ4448" s="132"/>
      <c r="AR4448" s="146"/>
      <c r="AS4448" s="138">
        <f>AS4445-AS4446</f>
        <v>-19209.178308518065</v>
      </c>
      <c r="AT4448" s="132"/>
      <c r="AU4448" s="146"/>
    </row>
    <row r="4449" spans="13:47" ht="14.5" x14ac:dyDescent="0.35">
      <c r="M4449" s="27"/>
      <c r="N4449" s="27"/>
      <c r="O4449" s="2" t="s">
        <v>191</v>
      </c>
      <c r="P4449" s="10"/>
      <c r="Q4449" s="2"/>
      <c r="R4449" s="181">
        <f>R4448/R4445</f>
        <v>0.42417450659519085</v>
      </c>
      <c r="S4449" s="132"/>
      <c r="T4449" s="146"/>
      <c r="U4449" s="138">
        <f>U4448/U4445</f>
        <v>9.2592556857430897E-2</v>
      </c>
      <c r="V4449" s="132"/>
      <c r="W4449" s="146"/>
      <c r="X4449" s="138">
        <f>X4448/X4445</f>
        <v>1.2820318617879503</v>
      </c>
      <c r="Y4449" s="132"/>
      <c r="Z4449" s="146"/>
      <c r="AA4449" s="138">
        <f>AA4448/AA4445</f>
        <v>1.0524439379380983</v>
      </c>
      <c r="AB4449" s="132"/>
      <c r="AC4449" s="146"/>
      <c r="AD4449" s="138">
        <f>AD4448/AD4445</f>
        <v>1.01818089564339</v>
      </c>
      <c r="AE4449" s="132"/>
      <c r="AF4449" s="146"/>
      <c r="AG4449" s="138">
        <f>AG4448/AG4445</f>
        <v>1.0090787543964121</v>
      </c>
      <c r="AH4449" s="132"/>
      <c r="AI4449" s="146"/>
      <c r="AJ4449" s="138">
        <f>AJ4448/AJ4445</f>
        <v>1.0055924297875833</v>
      </c>
      <c r="AK4449" s="132"/>
      <c r="AL4449" s="146"/>
      <c r="AM4449" s="138">
        <f>AM4448/AM4445</f>
        <v>1.0040549645784644</v>
      </c>
      <c r="AN4449" s="132"/>
      <c r="AO4449" s="146"/>
      <c r="AP4449" s="138">
        <f>AP4448/AP4445</f>
        <v>1.0032525300753148</v>
      </c>
      <c r="AQ4449" s="132"/>
      <c r="AR4449" s="146"/>
      <c r="AS4449" s="138">
        <f>AS4448/AS4445</f>
        <v>1.0026097152599582</v>
      </c>
      <c r="AT4449" s="132"/>
      <c r="AU4449" s="146"/>
    </row>
    <row r="4450" spans="13:47" x14ac:dyDescent="0.25">
      <c r="M4450" s="27"/>
      <c r="N4450" s="27"/>
      <c r="O4450" s="2" t="s">
        <v>26</v>
      </c>
      <c r="P4450" s="7">
        <v>12</v>
      </c>
      <c r="Q4450" s="2"/>
      <c r="R4450" s="181">
        <f>1-R4449/(3*F_GAMMA*R$29)</f>
        <v>0.77908505629497959</v>
      </c>
      <c r="S4450" s="133"/>
      <c r="T4450" s="146"/>
      <c r="U4450" s="138">
        <f>1-U4449/(3*F_GAMMA*U$29)</f>
        <v>0.9517873529206401</v>
      </c>
      <c r="V4450" s="133"/>
      <c r="W4450" s="146"/>
      <c r="X4450" s="138">
        <f>1-X4449/(3*F_GAMMA*X$29)</f>
        <v>0.32243581512086072</v>
      </c>
      <c r="Y4450" s="133"/>
      <c r="Z4450" s="146"/>
      <c r="AA4450" s="138">
        <f>1-AA4449/(3*F_GAMMA*AA$29)</f>
        <v>0.43614826525698669</v>
      </c>
      <c r="AB4450" s="133"/>
      <c r="AC4450" s="146"/>
      <c r="AD4450" s="138">
        <f>1-AD4449/(3*F_GAMMA*AD$29)</f>
        <v>0.43954853242591896</v>
      </c>
      <c r="AE4450" s="133"/>
      <c r="AF4450" s="146"/>
      <c r="AG4450" s="138">
        <f>1-AG4449/(3*F_GAMMA*AG$29)</f>
        <v>0.41287550466406031</v>
      </c>
      <c r="AH4450" s="133"/>
      <c r="AI4450" s="146"/>
      <c r="AJ4450" s="138">
        <f>1-AJ4449/(3*F_GAMMA*AJ$29)</f>
        <v>0.37452443884092002</v>
      </c>
      <c r="AK4450" s="133"/>
      <c r="AL4450" s="146"/>
      <c r="AM4450" s="138">
        <f>1-AM4449/(3*F_GAMMA*AM$29)</f>
        <v>0.3176491993365167</v>
      </c>
      <c r="AN4450" s="133"/>
      <c r="AO4450" s="146"/>
      <c r="AP4450" s="138">
        <f>1-AP4449/(3*F_GAMMA*AP$29)</f>
        <v>0.43656154153041493</v>
      </c>
      <c r="AQ4450" s="133"/>
      <c r="AR4450" s="146"/>
      <c r="AS4450" s="138">
        <f>1-AS4449/(3*F_GAMMA*AS$29)</f>
        <v>0.14519950908231172</v>
      </c>
      <c r="AT4450" s="133"/>
      <c r="AU4450" s="146"/>
    </row>
    <row r="4451" spans="13:47" x14ac:dyDescent="0.25">
      <c r="M4451" s="27"/>
      <c r="N4451" s="27"/>
      <c r="O4451" s="2" t="s">
        <v>71</v>
      </c>
      <c r="P4451" s="85">
        <v>5</v>
      </c>
      <c r="Q4451" s="2"/>
      <c r="R4451" s="179">
        <f>R4443/((N_6*R$27*R4450)*SQRT(R4449*R4445*R4447))</f>
        <v>30.253486714880538</v>
      </c>
      <c r="S4451" s="133"/>
      <c r="T4451" s="146"/>
      <c r="U4451" s="143">
        <f>U4443/((N_6*U$27*U4450)*SQRT(U4449*U4445*U4447))</f>
        <v>152.22878814201439</v>
      </c>
      <c r="V4451" s="133"/>
      <c r="W4451" s="146"/>
      <c r="X4451" s="143">
        <f>X4443/((N_6*X$27*X4450)*SQRT(X4449*X4445*X4447))</f>
        <v>93.032426366060889</v>
      </c>
      <c r="Y4451" s="133"/>
      <c r="Z4451" s="146"/>
      <c r="AA4451" s="143">
        <f>AA4443/((N_6*AA$27*AA4450)*SQRT(AA4449*AA4445*AA4447))</f>
        <v>27.651146557213313</v>
      </c>
      <c r="AB4451" s="133"/>
      <c r="AC4451" s="146"/>
      <c r="AD4451" s="143">
        <f>AD4443/((N_6*AD$27*AD4450)*SQRT(AD4449*AD4445*AD4447))</f>
        <v>16.093882311262938</v>
      </c>
      <c r="AE4451" s="133"/>
      <c r="AF4451" s="146"/>
      <c r="AG4451" s="143">
        <f>AG4443/((N_6*AG$27*AG4450)*SQRT(AG4449*AG4445*AG4447))</f>
        <v>12.314219845238542</v>
      </c>
      <c r="AH4451" s="133"/>
      <c r="AI4451" s="146"/>
      <c r="AJ4451" s="143">
        <f>AJ4443/((N_6*AJ$27*AJ4450)*SQRT(AJ4449*AJ4445*AJ4447))</f>
        <v>11.001305153024436</v>
      </c>
      <c r="AK4451" s="133"/>
      <c r="AL4451" s="146"/>
      <c r="AM4451" s="143">
        <f>AM4443/((N_6*AM$27*AM4450)*SQRT(AM4449*AM4445*AM4447))</f>
        <v>11.714442117671254</v>
      </c>
      <c r="AN4451" s="133"/>
      <c r="AO4451" s="146"/>
      <c r="AP4451" s="143">
        <f>AP4443/((N_6*AP$27*AP4450)*SQRT(AP4449*AP4445*AP4447))</f>
        <v>8.6680419453848945</v>
      </c>
      <c r="AQ4451" s="133"/>
      <c r="AR4451" s="146"/>
      <c r="AS4451" s="143">
        <f>AS4443/((N_6*AS$27*AS4450)*SQRT(AS4449*AS4445*AS4447))</f>
        <v>30.664426185119865</v>
      </c>
      <c r="AT4451" s="133"/>
      <c r="AU4451" s="146"/>
    </row>
    <row r="4452" spans="13:47" x14ac:dyDescent="0.25">
      <c r="M4452" s="27"/>
      <c r="N4452" s="27"/>
      <c r="O4452" s="2" t="s">
        <v>73</v>
      </c>
      <c r="P4452" s="85">
        <v>5</v>
      </c>
      <c r="Q4452" s="2"/>
      <c r="R4452" s="179">
        <f>R4443/((N_6*R$27*0.667)*SQRT(R4453*R4445*R4447))</f>
        <v>28.767866138814785</v>
      </c>
      <c r="S4452" s="133"/>
      <c r="T4452" s="147"/>
      <c r="U4452" s="143">
        <f>U4443/((N_6*U$27*0.667)*SQRT(U4453*U4445*U4447))</f>
        <v>82.613686374820546</v>
      </c>
      <c r="V4452" s="133"/>
      <c r="W4452" s="155"/>
      <c r="X4452" s="143">
        <f>X4443/((N_6*X$27*0.667)*SQRT(X4453*X4445*X4447))</f>
        <v>64.11913251134861</v>
      </c>
      <c r="Y4452" s="133"/>
      <c r="Z4452" s="155"/>
      <c r="AA4452" s="143">
        <f>AA4443/((N_6*AA$27*0.667)*SQRT(AA4453*AA4445*AA4447))</f>
        <v>23.516059340653147</v>
      </c>
      <c r="AB4452" s="133"/>
      <c r="AC4452" s="155"/>
      <c r="AD4452" s="143">
        <f>AD4443/((N_6*AD$27*0.667)*SQRT(AD4453*AD4445*AD4447))</f>
        <v>13.752177030008449</v>
      </c>
      <c r="AE4452" s="133"/>
      <c r="AF4452" s="155"/>
      <c r="AG4452" s="143">
        <f>AG4443/((N_6*AG$27*0.667)*SQRT(AG4453*AG4445*AG4447))</f>
        <v>10.116398154879644</v>
      </c>
      <c r="AH4452" s="133"/>
      <c r="AI4452" s="155"/>
      <c r="AJ4452" s="143">
        <f>AJ4443/((N_6*AJ$27*0.667)*SQRT(AJ4453*AJ4445*AJ4447))</f>
        <v>8.4618308452285405</v>
      </c>
      <c r="AK4452" s="133"/>
      <c r="AL4452" s="155"/>
      <c r="AM4452" s="143">
        <f>AM4443/((N_6*AM$27*0.667)*SQRT(AM4453*AM4445*AM4447))</f>
        <v>7.9819319704375236</v>
      </c>
      <c r="AN4452" s="133"/>
      <c r="AO4452" s="155"/>
      <c r="AP4452" s="143">
        <f>AP4443/((N_6*AP$27*0.667)*SQRT(AP4453*AP4445*AP4447))</f>
        <v>7.3760612701283872</v>
      </c>
      <c r="AQ4452" s="133"/>
      <c r="AR4452" s="155"/>
      <c r="AS4452" s="143">
        <f>AS4443/((N_6*AS$27*0.667)*SQRT(AS4453*AS4445*AS4447))</f>
        <v>10.689740564402053</v>
      </c>
      <c r="AT4452" s="133"/>
      <c r="AU4452" s="155"/>
    </row>
    <row r="4453" spans="13:47" ht="15.5" x14ac:dyDescent="0.4">
      <c r="M4453" s="27"/>
      <c r="N4453" s="27"/>
      <c r="O4453" s="2" t="s">
        <v>192</v>
      </c>
      <c r="P4453" s="85">
        <v>10</v>
      </c>
      <c r="Q4453" s="2"/>
      <c r="R4453" s="181">
        <f>F_GAMMA*R$29</f>
        <v>0.64002688015162901</v>
      </c>
      <c r="S4453" s="133"/>
      <c r="T4453" s="147"/>
      <c r="U4453" s="138">
        <f>F_GAMMA*U$29</f>
        <v>0.64016782916606918</v>
      </c>
      <c r="V4453" s="133"/>
      <c r="W4453" s="155"/>
      <c r="X4453" s="138">
        <f>F_GAMMA*X$29</f>
        <v>0.6307062319203669</v>
      </c>
      <c r="Y4453" s="133"/>
      <c r="Z4453" s="155"/>
      <c r="AA4453" s="138">
        <f>F_GAMMA*AA$29</f>
        <v>0.62217534213893466</v>
      </c>
      <c r="AB4453" s="133"/>
      <c r="AC4453" s="155"/>
      <c r="AD4453" s="138">
        <f>F_GAMMA*AD$29</f>
        <v>0.60557184969146072</v>
      </c>
      <c r="AE4453" s="133"/>
      <c r="AF4453" s="155"/>
      <c r="AG4453" s="138">
        <f>F_GAMMA*AG$29</f>
        <v>0.57289312142622573</v>
      </c>
      <c r="AH4453" s="133"/>
      <c r="AI4453" s="155"/>
      <c r="AJ4453" s="138">
        <f>F_GAMMA*AJ$29</f>
        <v>0.53590819116049981</v>
      </c>
      <c r="AK4453" s="133"/>
      <c r="AL4453" s="155"/>
      <c r="AM4453" s="138">
        <f>F_GAMMA*AM$29</f>
        <v>0.49048815926850342</v>
      </c>
      <c r="AN4453" s="133"/>
      <c r="AO4453" s="155"/>
      <c r="AP4453" s="138">
        <f>F_GAMMA*AP$29</f>
        <v>0.59352979016280105</v>
      </c>
      <c r="AQ4453" s="133"/>
      <c r="AR4453" s="155"/>
      <c r="AS4453" s="138">
        <f>F_GAMMA*AS$29</f>
        <v>0.39097221161068291</v>
      </c>
      <c r="AT4453" s="133"/>
      <c r="AU4453" s="155"/>
    </row>
    <row r="4454" spans="13:47" x14ac:dyDescent="0.25">
      <c r="M4454" s="27"/>
      <c r="N4454" s="27"/>
      <c r="O4454" s="2" t="s">
        <v>193</v>
      </c>
      <c r="P4454" s="134"/>
      <c r="Q4454" s="2"/>
      <c r="R4454" s="181">
        <f>IF(R4449&lt;R4453,R4451,R4452)</f>
        <v>30.253486714880538</v>
      </c>
      <c r="S4454" s="133"/>
      <c r="T4454" s="147"/>
      <c r="U4454" s="138">
        <f>IF(U4449&lt;U4453,U4451,U4452)</f>
        <v>152.22878814201439</v>
      </c>
      <c r="V4454" s="133"/>
      <c r="W4454" s="155"/>
      <c r="X4454" s="138">
        <f>IF(X4449&lt;X4453,X4451,X4452)</f>
        <v>64.11913251134861</v>
      </c>
      <c r="Y4454" s="133"/>
      <c r="Z4454" s="155"/>
      <c r="AA4454" s="138">
        <f>IF(AA4449&lt;AA4453,AA4451,AA4452)</f>
        <v>23.516059340653147</v>
      </c>
      <c r="AB4454" s="133"/>
      <c r="AC4454" s="155"/>
      <c r="AD4454" s="138">
        <f>IF(AD4449&lt;AD4453,AD4451,AD4452)</f>
        <v>13.752177030008449</v>
      </c>
      <c r="AE4454" s="133"/>
      <c r="AF4454" s="155"/>
      <c r="AG4454" s="138">
        <f>IF(AG4449&lt;AG4453,AG4451,AG4452)</f>
        <v>10.116398154879644</v>
      </c>
      <c r="AH4454" s="133"/>
      <c r="AI4454" s="155"/>
      <c r="AJ4454" s="138">
        <f>IF(AJ4449&lt;AJ4453,AJ4451,AJ4452)</f>
        <v>8.4618308452285405</v>
      </c>
      <c r="AK4454" s="133"/>
      <c r="AL4454" s="155"/>
      <c r="AM4454" s="138">
        <f>IF(AM4449&lt;AM4453,AM4451,AM4452)</f>
        <v>7.9819319704375236</v>
      </c>
      <c r="AN4454" s="133"/>
      <c r="AO4454" s="155"/>
      <c r="AP4454" s="138">
        <f>IF(AP4449&lt;AP4453,AP4451,AP4452)</f>
        <v>7.3760612701283872</v>
      </c>
      <c r="AQ4454" s="133"/>
      <c r="AR4454" s="155"/>
      <c r="AS4454" s="138">
        <f>IF(AS4449&lt;AS4453,AS4451,AS4452)</f>
        <v>10.689740564402053</v>
      </c>
      <c r="AT4454" s="133"/>
      <c r="AU4454" s="155"/>
    </row>
    <row r="4455" spans="13:47" ht="13" x14ac:dyDescent="0.3">
      <c r="M4455" s="28"/>
      <c r="N4455" s="28"/>
      <c r="O4455" s="9" t="s">
        <v>194</v>
      </c>
      <c r="P4455" s="1"/>
      <c r="Q4455" s="1"/>
      <c r="R4455" s="135"/>
      <c r="S4455" s="132">
        <f>IF(R4448&lt;=0,W_max,ABS(R$23-R4454))</f>
        <v>28.253486714880538</v>
      </c>
      <c r="T4455" s="151">
        <f>R4443</f>
        <v>5859.4869544132234</v>
      </c>
      <c r="U4455" s="135"/>
      <c r="V4455" s="132">
        <f>IF(U4448&lt;=0,W_max,ABS(U$23-U4454))</f>
        <v>147.22878814201439</v>
      </c>
      <c r="W4455" s="151">
        <f>U4443</f>
        <v>10672.602824714631</v>
      </c>
      <c r="X4455" s="135"/>
      <c r="Y4455" s="132">
        <f>IF(X4448&lt;=0,W_max,ABS(X$23-X4454))</f>
        <v>7174</v>
      </c>
      <c r="Z4455" s="151">
        <f>X4443</f>
        <v>26394.616840143346</v>
      </c>
      <c r="AA4455" s="135"/>
      <c r="AB4455" s="132">
        <f>IF(AA4448&lt;=0,W_max,ABS(AA$23-AA4454))</f>
        <v>7174</v>
      </c>
      <c r="AC4455" s="151">
        <f>AA4443</f>
        <v>51409.976499713783</v>
      </c>
      <c r="AD4455" s="135"/>
      <c r="AE4455" s="132">
        <f>IF(AD4448&lt;=0,W_max,ABS(AD$23-AD4454))</f>
        <v>7174</v>
      </c>
      <c r="AF4455" s="151">
        <f>AD4443</f>
        <v>84550.483311675416</v>
      </c>
      <c r="AG4455" s="135"/>
      <c r="AH4455" s="132">
        <f>IF(AG4448&lt;=0,W_max,ABS(AG$23-AG4454))</f>
        <v>7174</v>
      </c>
      <c r="AI4455" s="151">
        <f>AG4443</f>
        <v>118588.5620624704</v>
      </c>
      <c r="AJ4455" s="135"/>
      <c r="AK4455" s="132">
        <f>IF(AJ4448&lt;=0,W_max,ABS(AJ$23-AJ4454))</f>
        <v>7174</v>
      </c>
      <c r="AL4455" s="151">
        <f>AJ4443</f>
        <v>150576.00617029602</v>
      </c>
      <c r="AM4455" s="135"/>
      <c r="AN4455" s="132">
        <f>IF(AM4448&lt;=0,W_max,ABS(AM$23-AM4454))</f>
        <v>7174</v>
      </c>
      <c r="AO4455" s="151">
        <f>AM4443</f>
        <v>176562.20927318826</v>
      </c>
      <c r="AP4455" s="135"/>
      <c r="AQ4455" s="132">
        <f>IF(AP4448&lt;=0,W_max,ABS(AP$23-AP4454))</f>
        <v>7174</v>
      </c>
      <c r="AR4455" s="151">
        <f>AP4443</f>
        <v>196984.86810339356</v>
      </c>
      <c r="AS4455" s="135"/>
      <c r="AT4455" s="132">
        <f>IF(AS4448&lt;=0,W_max,ABS(AS$23-AS4454))</f>
        <v>7174</v>
      </c>
      <c r="AU4455" s="151">
        <f>AS4443</f>
        <v>219769.78211499858</v>
      </c>
    </row>
    <row r="4456" spans="13:47" ht="13" x14ac:dyDescent="0.25">
      <c r="M4456" s="12"/>
      <c r="N4456" s="12"/>
      <c r="O4456" s="12"/>
      <c r="P4456" s="12"/>
      <c r="Q4456" s="12"/>
      <c r="R4456" s="182"/>
      <c r="S4456" s="22"/>
      <c r="T4456" s="152"/>
      <c r="U4456" s="157"/>
      <c r="V4456" s="1"/>
      <c r="W4456" s="147"/>
      <c r="X4456" s="157"/>
      <c r="Y4456" s="1"/>
      <c r="Z4456" s="147"/>
      <c r="AA4456" s="157"/>
      <c r="AB4456" s="1"/>
      <c r="AC4456" s="147"/>
      <c r="AD4456" s="157"/>
      <c r="AE4456" s="1"/>
      <c r="AF4456" s="147"/>
      <c r="AG4456" s="157"/>
      <c r="AH4456" s="1"/>
      <c r="AI4456" s="147"/>
      <c r="AJ4456" s="157"/>
      <c r="AK4456" s="1"/>
      <c r="AL4456" s="147"/>
      <c r="AM4456" s="157"/>
      <c r="AN4456" s="1"/>
      <c r="AO4456" s="147"/>
      <c r="AP4456" s="157"/>
      <c r="AQ4456" s="1"/>
      <c r="AR4456" s="147"/>
      <c r="AS4456" s="157"/>
      <c r="AT4456" s="1"/>
      <c r="AU4456" s="147"/>
    </row>
    <row r="4457" spans="13:47" ht="14" x14ac:dyDescent="0.3">
      <c r="M4457" s="23"/>
      <c r="N4457" s="23"/>
      <c r="O4457" s="23" t="s">
        <v>238</v>
      </c>
      <c r="P4457" s="20"/>
      <c r="Q4457" s="20"/>
      <c r="R4457" s="18">
        <f>R4443*1.02</f>
        <v>5976.6766935014884</v>
      </c>
      <c r="S4457" s="128" t="s">
        <v>185</v>
      </c>
      <c r="T4457" s="153" t="s">
        <v>186</v>
      </c>
      <c r="U4457" s="143">
        <f>U4443*1.01</f>
        <v>10779.328852961778</v>
      </c>
      <c r="V4457" s="128" t="s">
        <v>185</v>
      </c>
      <c r="W4457" s="153" t="s">
        <v>186</v>
      </c>
      <c r="X4457" s="143">
        <f>X4443*1.01</f>
        <v>26658.563008544781</v>
      </c>
      <c r="Y4457" s="128" t="s">
        <v>185</v>
      </c>
      <c r="Z4457" s="153" t="s">
        <v>186</v>
      </c>
      <c r="AA4457" s="143">
        <f>AA4443*1.01</f>
        <v>51924.076264710922</v>
      </c>
      <c r="AB4457" s="128" t="s">
        <v>185</v>
      </c>
      <c r="AC4457" s="153" t="s">
        <v>186</v>
      </c>
      <c r="AD4457" s="143">
        <f>AD4443*1.01</f>
        <v>85395.988144792165</v>
      </c>
      <c r="AE4457" s="128" t="s">
        <v>185</v>
      </c>
      <c r="AF4457" s="153" t="s">
        <v>186</v>
      </c>
      <c r="AG4457" s="143">
        <f>AG4443*1.01</f>
        <v>119774.4476830951</v>
      </c>
      <c r="AH4457" s="128" t="s">
        <v>185</v>
      </c>
      <c r="AI4457" s="153" t="s">
        <v>186</v>
      </c>
      <c r="AJ4457" s="143">
        <f>AJ4443*1.01</f>
        <v>152081.76623199898</v>
      </c>
      <c r="AK4457" s="128" t="s">
        <v>185</v>
      </c>
      <c r="AL4457" s="153" t="s">
        <v>186</v>
      </c>
      <c r="AM4457" s="143">
        <f>AM4443*1.01</f>
        <v>178327.83136592014</v>
      </c>
      <c r="AN4457" s="128" t="s">
        <v>185</v>
      </c>
      <c r="AO4457" s="153" t="s">
        <v>186</v>
      </c>
      <c r="AP4457" s="143">
        <f>AP4443*1.01</f>
        <v>198954.7167844275</v>
      </c>
      <c r="AQ4457" s="128" t="s">
        <v>185</v>
      </c>
      <c r="AR4457" s="153" t="s">
        <v>186</v>
      </c>
      <c r="AS4457" s="143">
        <f>AS4443*1.01</f>
        <v>221967.47993614856</v>
      </c>
      <c r="AT4457" s="128" t="s">
        <v>185</v>
      </c>
      <c r="AU4457" s="153" t="s">
        <v>186</v>
      </c>
    </row>
    <row r="4458" spans="13:47" ht="14" x14ac:dyDescent="0.3">
      <c r="M4458" s="12"/>
      <c r="N4458" s="12"/>
      <c r="O4458" s="20"/>
      <c r="P4458" s="20"/>
      <c r="Q4458" s="23"/>
      <c r="R4458" s="139"/>
      <c r="S4458" s="130" t="s">
        <v>228</v>
      </c>
      <c r="T4458" s="154" t="s">
        <v>187</v>
      </c>
      <c r="U4458" s="144"/>
      <c r="V4458" s="130" t="s">
        <v>228</v>
      </c>
      <c r="W4458" s="154" t="s">
        <v>187</v>
      </c>
      <c r="X4458" s="144"/>
      <c r="Y4458" s="130" t="s">
        <v>228</v>
      </c>
      <c r="Z4458" s="154" t="s">
        <v>187</v>
      </c>
      <c r="AA4458" s="144"/>
      <c r="AB4458" s="130" t="s">
        <v>228</v>
      </c>
      <c r="AC4458" s="154" t="s">
        <v>187</v>
      </c>
      <c r="AD4458" s="144"/>
      <c r="AE4458" s="130" t="s">
        <v>228</v>
      </c>
      <c r="AF4458" s="154" t="s">
        <v>187</v>
      </c>
      <c r="AG4458" s="144"/>
      <c r="AH4458" s="130" t="s">
        <v>228</v>
      </c>
      <c r="AI4458" s="154" t="s">
        <v>187</v>
      </c>
      <c r="AJ4458" s="144"/>
      <c r="AK4458" s="130" t="s">
        <v>228</v>
      </c>
      <c r="AL4458" s="154" t="s">
        <v>187</v>
      </c>
      <c r="AM4458" s="144"/>
      <c r="AN4458" s="130" t="s">
        <v>228</v>
      </c>
      <c r="AO4458" s="154" t="s">
        <v>187</v>
      </c>
      <c r="AP4458" s="144"/>
      <c r="AQ4458" s="130" t="s">
        <v>228</v>
      </c>
      <c r="AR4458" s="154" t="s">
        <v>187</v>
      </c>
      <c r="AS4458" s="144"/>
      <c r="AT4458" s="130" t="s">
        <v>228</v>
      </c>
      <c r="AU4458" s="154" t="s">
        <v>187</v>
      </c>
    </row>
    <row r="4459" spans="13:47" x14ac:dyDescent="0.25">
      <c r="M4459" s="20"/>
      <c r="N4459" s="20"/>
      <c r="O4459" s="7" t="s">
        <v>188</v>
      </c>
      <c r="P4459" s="7"/>
      <c r="Q4459" s="7"/>
      <c r="R4459" s="181">
        <f>P_1_minW-(R4457^2*R_up)+dpup_minQ</f>
        <v>86.278749039200747</v>
      </c>
      <c r="S4459" s="132"/>
      <c r="T4459" s="145"/>
      <c r="U4459" s="138">
        <f>P_1_minW-(U4457^2*R_up)+dpup_minQ</f>
        <v>54.189081609702527</v>
      </c>
      <c r="V4459" s="132"/>
      <c r="W4459" s="145"/>
      <c r="X4459" s="138">
        <f>P_1_minW-(X4457^2*R_up)+dpup_minQ</f>
        <v>-182.86886917605185</v>
      </c>
      <c r="Y4459" s="132"/>
      <c r="Z4459" s="145"/>
      <c r="AA4459" s="138">
        <f>P_1_minW-(AA4457^2*R_up)+dpup_minQ</f>
        <v>-974.58286708345497</v>
      </c>
      <c r="AB4459" s="132"/>
      <c r="AC4459" s="145"/>
      <c r="AD4459" s="138">
        <f>P_1_minW-(AD4457^2*R_up)+dpup_minQ</f>
        <v>-2807.4378538053711</v>
      </c>
      <c r="AE4459" s="132"/>
      <c r="AF4459" s="145"/>
      <c r="AG4459" s="138">
        <f>P_1_minW-(AG4457^2*R_up)+dpup_minQ</f>
        <v>-5620.0819482651923</v>
      </c>
      <c r="AH4459" s="132"/>
      <c r="AI4459" s="145"/>
      <c r="AJ4459" s="138">
        <f>P_1_minW-(AJ4457^2*R_up)+dpup_minQ</f>
        <v>-9122.3853471471557</v>
      </c>
      <c r="AK4459" s="132"/>
      <c r="AL4459" s="145"/>
      <c r="AM4459" s="138">
        <f>P_1_minW-(AM4457^2*R_up)+dpup_minQ</f>
        <v>-12580.428780895565</v>
      </c>
      <c r="AN4459" s="132"/>
      <c r="AO4459" s="145"/>
      <c r="AP4459" s="138">
        <f>P_1_minW-(AP4457^2*R_up)+dpup_minQ</f>
        <v>-15683.65874622849</v>
      </c>
      <c r="AQ4459" s="132"/>
      <c r="AR4459" s="145"/>
      <c r="AS4459" s="138">
        <f>P_1_minW-(AS4457^2*R_up)+dpup_minQ</f>
        <v>-19546.298300532686</v>
      </c>
      <c r="AT4459" s="132"/>
      <c r="AU4459" s="145"/>
    </row>
    <row r="4460" spans="13:47" x14ac:dyDescent="0.25">
      <c r="M4460" s="20"/>
      <c r="N4460" s="20"/>
      <c r="O4460" s="7" t="s">
        <v>189</v>
      </c>
      <c r="P4460" s="1"/>
      <c r="Q4460" s="7"/>
      <c r="R4460" s="181">
        <f>P_2_minW+(R4457^2*R_dn)-dpdn_minQ</f>
        <v>50</v>
      </c>
      <c r="S4460" s="132"/>
      <c r="T4460" s="146"/>
      <c r="U4460" s="138">
        <f>P_2_minW+(U4457^2*R_dn)-dpdn_minQ</f>
        <v>50</v>
      </c>
      <c r="V4460" s="132"/>
      <c r="W4460" s="146"/>
      <c r="X4460" s="138">
        <f>P_2_minW+(X4457^2*R_dn)-dpdn_minQ</f>
        <v>50</v>
      </c>
      <c r="Y4460" s="132"/>
      <c r="Z4460" s="146"/>
      <c r="AA4460" s="138">
        <f>P_2_minW+(AA4457^2*R_dn)-dpdn_minQ</f>
        <v>50</v>
      </c>
      <c r="AB4460" s="132"/>
      <c r="AC4460" s="146"/>
      <c r="AD4460" s="138">
        <f>P_2_minW+(AD4457^2*R_dn)-dpdn_minQ</f>
        <v>50</v>
      </c>
      <c r="AE4460" s="132"/>
      <c r="AF4460" s="146"/>
      <c r="AG4460" s="138">
        <f>P_2_minW+(AG4457^2*R_dn)-dpdn_minQ</f>
        <v>50</v>
      </c>
      <c r="AH4460" s="132"/>
      <c r="AI4460" s="146"/>
      <c r="AJ4460" s="138">
        <f>P_2_minW+(AJ4457^2*R_dn)-dpdn_minQ</f>
        <v>50</v>
      </c>
      <c r="AK4460" s="132"/>
      <c r="AL4460" s="146"/>
      <c r="AM4460" s="138">
        <f>P_2_minW+(AM4457^2*R_dn)-dpdn_minQ</f>
        <v>50</v>
      </c>
      <c r="AN4460" s="132"/>
      <c r="AO4460" s="146"/>
      <c r="AP4460" s="138">
        <f>P_2_minW+(AP4457^2*R_dn)-dpdn_minQ</f>
        <v>50</v>
      </c>
      <c r="AQ4460" s="132"/>
      <c r="AR4460" s="146"/>
      <c r="AS4460" s="138">
        <f>P_2_minW+(AS4457^2*R_dn)-dpdn_minQ</f>
        <v>50</v>
      </c>
      <c r="AT4460" s="132"/>
      <c r="AU4460" s="146"/>
    </row>
    <row r="4461" spans="13:47" x14ac:dyDescent="0.25">
      <c r="M4461" s="20"/>
      <c r="N4461" s="20"/>
      <c r="O4461" s="7" t="s">
        <v>234</v>
      </c>
      <c r="P4461" s="1"/>
      <c r="Q4461" s="7"/>
      <c r="R4461" s="179">
        <f>'Valve Sizing'!G$8*R4459/P_1_maxW</f>
        <v>0.41619332438062895</v>
      </c>
      <c r="S4461" s="132"/>
      <c r="T4461" s="146"/>
      <c r="U4461" s="143">
        <f>'Valve Sizing'!$G$8*U4459/P_1_maxW</f>
        <v>0.26139848191387527</v>
      </c>
      <c r="V4461" s="132"/>
      <c r="W4461" s="146"/>
      <c r="X4461" s="143">
        <f>'Valve Sizing'!$G$8*X4459/P_1_maxW</f>
        <v>-0.88212686710985244</v>
      </c>
      <c r="Y4461" s="132"/>
      <c r="Z4461" s="146"/>
      <c r="AA4461" s="143">
        <f>'Valve Sizing'!$G$8*AA4459/P_1_maxW</f>
        <v>-4.7012142370258134</v>
      </c>
      <c r="AB4461" s="132"/>
      <c r="AC4461" s="146"/>
      <c r="AD4461" s="143">
        <f>'Valve Sizing'!$G$8*AD4459/P_1_maxW</f>
        <v>-13.542580373255021</v>
      </c>
      <c r="AE4461" s="132"/>
      <c r="AF4461" s="146"/>
      <c r="AG4461" s="143">
        <f>'Valve Sizing'!$G$8*AG4459/P_1_maxW</f>
        <v>-27.11027472451309</v>
      </c>
      <c r="AH4461" s="132"/>
      <c r="AI4461" s="146"/>
      <c r="AJ4461" s="143">
        <f>'Valve Sizing'!$G$8*AJ4459/P_1_maxW</f>
        <v>-44.004762774032493</v>
      </c>
      <c r="AK4461" s="132"/>
      <c r="AL4461" s="146"/>
      <c r="AM4461" s="143">
        <f>'Valve Sizing'!$G$8*AM4459/P_1_maxW</f>
        <v>-60.685748631748723</v>
      </c>
      <c r="AN4461" s="132"/>
      <c r="AO4461" s="146"/>
      <c r="AP4461" s="143">
        <f>'Valve Sizing'!$G$8*AP4459/P_1_maxW</f>
        <v>-75.655177488473129</v>
      </c>
      <c r="AQ4461" s="132"/>
      <c r="AR4461" s="146"/>
      <c r="AS4461" s="143">
        <f>'Valve Sizing'!$G$8*AS4459/P_1_maxW</f>
        <v>-94.287862997851079</v>
      </c>
      <c r="AT4461" s="132"/>
      <c r="AU4461" s="146"/>
    </row>
    <row r="4462" spans="13:47" x14ac:dyDescent="0.25">
      <c r="M4462" s="20"/>
      <c r="N4462" s="20"/>
      <c r="O4462" s="7" t="s">
        <v>190</v>
      </c>
      <c r="P4462" s="1"/>
      <c r="Q4462" s="7"/>
      <c r="R4462" s="181">
        <f>R4459-R4460</f>
        <v>36.278749039200747</v>
      </c>
      <c r="S4462" s="132"/>
      <c r="T4462" s="146"/>
      <c r="U4462" s="138">
        <f>U4459-U4460</f>
        <v>4.1890816097025265</v>
      </c>
      <c r="V4462" s="132"/>
      <c r="W4462" s="146"/>
      <c r="X4462" s="138">
        <f>X4459-X4460</f>
        <v>-232.86886917605185</v>
      </c>
      <c r="Y4462" s="132"/>
      <c r="Z4462" s="146"/>
      <c r="AA4462" s="138">
        <f>AA4459-AA4460</f>
        <v>-1024.5828670834549</v>
      </c>
      <c r="AB4462" s="132"/>
      <c r="AC4462" s="146"/>
      <c r="AD4462" s="138">
        <f>AD4459-AD4460</f>
        <v>-2857.4378538053711</v>
      </c>
      <c r="AE4462" s="132"/>
      <c r="AF4462" s="146"/>
      <c r="AG4462" s="138">
        <f>AG4459-AG4460</f>
        <v>-5670.0819482651923</v>
      </c>
      <c r="AH4462" s="132"/>
      <c r="AI4462" s="146"/>
      <c r="AJ4462" s="138">
        <f>AJ4459-AJ4460</f>
        <v>-9172.3853471471557</v>
      </c>
      <c r="AK4462" s="132"/>
      <c r="AL4462" s="146"/>
      <c r="AM4462" s="138">
        <f>AM4459-AM4460</f>
        <v>-12630.428780895565</v>
      </c>
      <c r="AN4462" s="132"/>
      <c r="AO4462" s="146"/>
      <c r="AP4462" s="138">
        <f>AP4459-AP4460</f>
        <v>-15733.65874622849</v>
      </c>
      <c r="AQ4462" s="132"/>
      <c r="AR4462" s="146"/>
      <c r="AS4462" s="138">
        <f>AS4459-AS4460</f>
        <v>-19596.298300532686</v>
      </c>
      <c r="AT4462" s="132"/>
      <c r="AU4462" s="146"/>
    </row>
    <row r="4463" spans="13:47" ht="14.5" x14ac:dyDescent="0.35">
      <c r="M4463" s="27"/>
      <c r="N4463" s="27"/>
      <c r="O4463" s="2" t="s">
        <v>191</v>
      </c>
      <c r="P4463" s="10"/>
      <c r="Q4463" s="2"/>
      <c r="R4463" s="181">
        <f>R4462/R4459</f>
        <v>0.42048302094316992</v>
      </c>
      <c r="S4463" s="132"/>
      <c r="T4463" s="146"/>
      <c r="U4463" s="138">
        <f>U4462/U4459</f>
        <v>7.7304901379846858E-2</v>
      </c>
      <c r="V4463" s="132"/>
      <c r="W4463" s="146"/>
      <c r="X4463" s="138">
        <f>X4462/X4459</f>
        <v>1.2734199660406054</v>
      </c>
      <c r="Y4463" s="132"/>
      <c r="Z4463" s="146"/>
      <c r="AA4463" s="138">
        <f>AA4462/AA4459</f>
        <v>1.0513040006024632</v>
      </c>
      <c r="AB4463" s="132"/>
      <c r="AC4463" s="146"/>
      <c r="AD4463" s="138">
        <f>AD4462/AD4459</f>
        <v>1.0178098332371728</v>
      </c>
      <c r="AE4463" s="132"/>
      <c r="AF4463" s="146"/>
      <c r="AG4463" s="138">
        <f>AG4462/AG4459</f>
        <v>1.0088966674258966</v>
      </c>
      <c r="AH4463" s="132"/>
      <c r="AI4463" s="146"/>
      <c r="AJ4463" s="138">
        <f>AJ4462/AJ4459</f>
        <v>1.0054810225721977</v>
      </c>
      <c r="AK4463" s="132"/>
      <c r="AL4463" s="146"/>
      <c r="AM4463" s="138">
        <f>AM4462/AM4459</f>
        <v>1.0039744273323918</v>
      </c>
      <c r="AN4463" s="132"/>
      <c r="AO4463" s="146"/>
      <c r="AP4463" s="138">
        <f>AP4462/AP4459</f>
        <v>1.003188031619983</v>
      </c>
      <c r="AQ4463" s="132"/>
      <c r="AR4463" s="146"/>
      <c r="AS4463" s="138">
        <f>AS4462/AS4459</f>
        <v>1.0025580291076719</v>
      </c>
      <c r="AT4463" s="132"/>
      <c r="AU4463" s="146"/>
    </row>
    <row r="4464" spans="13:47" x14ac:dyDescent="0.25">
      <c r="M4464" s="27"/>
      <c r="N4464" s="27"/>
      <c r="O4464" s="2" t="s">
        <v>26</v>
      </c>
      <c r="P4464" s="7">
        <v>12</v>
      </c>
      <c r="Q4464" s="2"/>
      <c r="R4464" s="181">
        <f>1-R4463/(3*F_GAMMA*R$29)</f>
        <v>0.78100762432376114</v>
      </c>
      <c r="S4464" s="133"/>
      <c r="T4464" s="146"/>
      <c r="U4464" s="138">
        <f>1-U4463/(3*F_GAMMA*U$29)</f>
        <v>0.95974758604549582</v>
      </c>
      <c r="V4464" s="133"/>
      <c r="W4464" s="146"/>
      <c r="X4464" s="138">
        <f>1-X4463/(3*F_GAMMA*X$29)</f>
        <v>0.32698727152084139</v>
      </c>
      <c r="Y4464" s="133"/>
      <c r="Z4464" s="146"/>
      <c r="AA4464" s="138">
        <f>1-AA4463/(3*F_GAMMA*AA$29)</f>
        <v>0.43675899198648405</v>
      </c>
      <c r="AB4464" s="133"/>
      <c r="AC4464" s="146"/>
      <c r="AD4464" s="138">
        <f>1-AD4463/(3*F_GAMMA*AD$29)</f>
        <v>0.43975278146556984</v>
      </c>
      <c r="AE4464" s="133"/>
      <c r="AF4464" s="146"/>
      <c r="AG4464" s="138">
        <f>1-AG4463/(3*F_GAMMA*AG$29)</f>
        <v>0.41298145052825119</v>
      </c>
      <c r="AH4464" s="133"/>
      <c r="AI4464" s="146"/>
      <c r="AJ4464" s="138">
        <f>1-AJ4463/(3*F_GAMMA*AJ$29)</f>
        <v>0.37459373380426331</v>
      </c>
      <c r="AK4464" s="133"/>
      <c r="AL4464" s="146"/>
      <c r="AM4464" s="138">
        <f>1-AM4463/(3*F_GAMMA*AM$29)</f>
        <v>0.31770393205163638</v>
      </c>
      <c r="AN4464" s="133"/>
      <c r="AO4464" s="146"/>
      <c r="AP4464" s="138">
        <f>1-AP4463/(3*F_GAMMA*AP$29)</f>
        <v>0.43659776462395949</v>
      </c>
      <c r="AQ4464" s="133"/>
      <c r="AR4464" s="146"/>
      <c r="AS4464" s="138">
        <f>1-AS4463/(3*F_GAMMA*AS$29)</f>
        <v>0.14524357543003963</v>
      </c>
      <c r="AT4464" s="133"/>
      <c r="AU4464" s="146"/>
    </row>
    <row r="4465" spans="13:47" x14ac:dyDescent="0.25">
      <c r="M4465" s="27"/>
      <c r="N4465" s="27"/>
      <c r="O4465" s="2" t="s">
        <v>71</v>
      </c>
      <c r="P4465" s="85">
        <v>5</v>
      </c>
      <c r="Q4465" s="2"/>
      <c r="R4465" s="179">
        <f>R4457/((N_6*R$27*R4464)*SQRT(R4463*R4459*R4461))</f>
        <v>31.115625289106841</v>
      </c>
      <c r="S4465" s="133"/>
      <c r="T4465" s="146"/>
      <c r="U4465" s="143">
        <f>U4457/((N_6*U$27*U4464)*SQRT(U4463*U4459*U4461))</f>
        <v>169.68422322004162</v>
      </c>
      <c r="V4465" s="133"/>
      <c r="W4465" s="146"/>
      <c r="X4465" s="143">
        <f>X4457/((N_6*X$27*X4464)*SQRT(X4463*X4459*X4461))</f>
        <v>90.128840229412091</v>
      </c>
      <c r="Y4465" s="133"/>
      <c r="Z4465" s="146"/>
      <c r="AA4465" s="143">
        <f>AA4457/((N_6*AA$27*AA4464)*SQRT(AA4463*AA4459*AA4461))</f>
        <v>27.297198412125752</v>
      </c>
      <c r="AB4465" s="133"/>
      <c r="AC4465" s="146"/>
      <c r="AD4465" s="143">
        <f>AD4457/((N_6*AD$27*AD4464)*SQRT(AD4463*AD4459*AD4461))</f>
        <v>15.918574122518415</v>
      </c>
      <c r="AE4465" s="133"/>
      <c r="AF4465" s="146"/>
      <c r="AG4465" s="143">
        <f>AG4457/((N_6*AG$27*AG4464)*SQRT(AG4463*AG4459*AG4461))</f>
        <v>12.185886391425221</v>
      </c>
      <c r="AH4465" s="133"/>
      <c r="AI4465" s="146"/>
      <c r="AJ4465" s="143">
        <f>AJ4457/((N_6*AJ$27*AJ4464)*SQRT(AJ4463*AJ4459*AJ4461))</f>
        <v>10.888557470054034</v>
      </c>
      <c r="AK4465" s="133"/>
      <c r="AL4465" s="146"/>
      <c r="AM4465" s="143">
        <f>AM4457/((N_6*AM$27*AM4464)*SQRT(AM4463*AM4459*AM4461))</f>
        <v>11.595061973526816</v>
      </c>
      <c r="AN4465" s="133"/>
      <c r="AO4465" s="146"/>
      <c r="AP4465" s="143">
        <f>AP4457/((N_6*AP$27*AP4464)*SQRT(AP4463*AP4459*AP4461))</f>
        <v>8.5806779907234532</v>
      </c>
      <c r="AQ4465" s="133"/>
      <c r="AR4465" s="146"/>
      <c r="AS4465" s="143">
        <f>AS4457/((N_6*AS$27*AS4464)*SQRT(AS4463*AS4459*AS4461))</f>
        <v>30.349251478379895</v>
      </c>
      <c r="AT4465" s="133"/>
      <c r="AU4465" s="146"/>
    </row>
    <row r="4466" spans="13:47" x14ac:dyDescent="0.25">
      <c r="M4466" s="27"/>
      <c r="N4466" s="27"/>
      <c r="O4466" s="2" t="s">
        <v>73</v>
      </c>
      <c r="P4466" s="85">
        <v>5</v>
      </c>
      <c r="Q4466" s="2"/>
      <c r="R4466" s="179">
        <f>R4457/((N_6*R$27*0.667)*SQRT(R4467*R4459*R4461))</f>
        <v>29.531336161763534</v>
      </c>
      <c r="S4466" s="133"/>
      <c r="T4466" s="155"/>
      <c r="U4466" s="143">
        <f>U4457/((N_6*U$27*0.667)*SQRT(U4467*U4459*U4461))</f>
        <v>84.845585644885418</v>
      </c>
      <c r="V4466" s="133"/>
      <c r="W4466" s="155"/>
      <c r="X4466" s="143">
        <f>X4457/((N_6*X$27*0.667)*SQRT(X4467*X4459*X4461))</f>
        <v>62.78285521320695</v>
      </c>
      <c r="Y4466" s="133"/>
      <c r="Z4466" s="155"/>
      <c r="AA4466" s="143">
        <f>AA4457/((N_6*AA$27*0.667)*SQRT(AA4467*AA4459*AA4461))</f>
        <v>23.234956216379477</v>
      </c>
      <c r="AB4466" s="133"/>
      <c r="AC4466" s="155"/>
      <c r="AD4466" s="143">
        <f>AD4457/((N_6*AD$27*0.667)*SQRT(AD4467*AD4459*AD4461))</f>
        <v>13.606217438357639</v>
      </c>
      <c r="AE4466" s="133"/>
      <c r="AF4466" s="155"/>
      <c r="AG4466" s="143">
        <f>AG4457/((N_6*AG$27*0.667)*SQRT(AG4467*AG4459*AG4461))</f>
        <v>10.012634802320399</v>
      </c>
      <c r="AH4466" s="133"/>
      <c r="AI4466" s="155"/>
      <c r="AJ4466" s="143">
        <f>AJ4457/((N_6*AJ$27*0.667)*SQRT(AJ4467*AJ4459*AJ4461))</f>
        <v>8.376194695813453</v>
      </c>
      <c r="AK4466" s="133"/>
      <c r="AL4466" s="155"/>
      <c r="AM4466" s="143">
        <f>AM4457/((N_6*AM$27*0.667)*SQRT(AM4467*AM4459*AM4461))</f>
        <v>7.9016336775546261</v>
      </c>
      <c r="AN4466" s="133"/>
      <c r="AO4466" s="155"/>
      <c r="AP4466" s="143">
        <f>AP4457/((N_6*AP$27*0.667)*SQRT(AP4467*AP4459*AP4461))</f>
        <v>7.3020901193064027</v>
      </c>
      <c r="AQ4466" s="133"/>
      <c r="AR4466" s="155"/>
      <c r="AS4466" s="143">
        <f>AS4457/((N_6*AS$27*0.667)*SQRT(AS4467*AS4459*AS4461))</f>
        <v>10.582807487133866</v>
      </c>
      <c r="AT4466" s="133"/>
      <c r="AU4466" s="155"/>
    </row>
    <row r="4467" spans="13:47" ht="15.5" x14ac:dyDescent="0.4">
      <c r="M4467" s="27"/>
      <c r="N4467" s="27"/>
      <c r="O4467" s="2" t="s">
        <v>192</v>
      </c>
      <c r="P4467" s="85">
        <v>10</v>
      </c>
      <c r="Q4467" s="2"/>
      <c r="R4467" s="181">
        <f>F_GAMMA*R$29</f>
        <v>0.64002688015162901</v>
      </c>
      <c r="S4467" s="133"/>
      <c r="T4467" s="155"/>
      <c r="U4467" s="138">
        <f>F_GAMMA*U$29</f>
        <v>0.64016782916606918</v>
      </c>
      <c r="V4467" s="133"/>
      <c r="W4467" s="155"/>
      <c r="X4467" s="138">
        <f>F_GAMMA*X$29</f>
        <v>0.6307062319203669</v>
      </c>
      <c r="Y4467" s="133"/>
      <c r="Z4467" s="155"/>
      <c r="AA4467" s="138">
        <f>F_GAMMA*AA$29</f>
        <v>0.62217534213893466</v>
      </c>
      <c r="AB4467" s="133"/>
      <c r="AC4467" s="155"/>
      <c r="AD4467" s="138">
        <f>F_GAMMA*AD$29</f>
        <v>0.60557184969146072</v>
      </c>
      <c r="AE4467" s="133"/>
      <c r="AF4467" s="155"/>
      <c r="AG4467" s="138">
        <f>F_GAMMA*AG$29</f>
        <v>0.57289312142622573</v>
      </c>
      <c r="AH4467" s="133"/>
      <c r="AI4467" s="155"/>
      <c r="AJ4467" s="138">
        <f>F_GAMMA*AJ$29</f>
        <v>0.53590819116049981</v>
      </c>
      <c r="AK4467" s="133"/>
      <c r="AL4467" s="155"/>
      <c r="AM4467" s="138">
        <f>F_GAMMA*AM$29</f>
        <v>0.49048815926850342</v>
      </c>
      <c r="AN4467" s="133"/>
      <c r="AO4467" s="155"/>
      <c r="AP4467" s="138">
        <f>F_GAMMA*AP$29</f>
        <v>0.59352979016280105</v>
      </c>
      <c r="AQ4467" s="133"/>
      <c r="AR4467" s="155"/>
      <c r="AS4467" s="138">
        <f>F_GAMMA*AS$29</f>
        <v>0.39097221161068291</v>
      </c>
      <c r="AT4467" s="133"/>
      <c r="AU4467" s="155"/>
    </row>
    <row r="4468" spans="13:47" x14ac:dyDescent="0.25">
      <c r="M4468" s="27"/>
      <c r="N4468" s="27"/>
      <c r="O4468" s="2" t="s">
        <v>193</v>
      </c>
      <c r="P4468" s="134"/>
      <c r="Q4468" s="2"/>
      <c r="R4468" s="181">
        <f>IF(R4463&lt;R4467,R4465,R4466)</f>
        <v>31.115625289106841</v>
      </c>
      <c r="S4468" s="133"/>
      <c r="T4468" s="155"/>
      <c r="U4468" s="138">
        <f>IF(U4463&lt;U4467,U4465,U4466)</f>
        <v>169.68422322004162</v>
      </c>
      <c r="V4468" s="133"/>
      <c r="W4468" s="155"/>
      <c r="X4468" s="138">
        <f>IF(X4463&lt;X4467,X4465,X4466)</f>
        <v>62.78285521320695</v>
      </c>
      <c r="Y4468" s="133"/>
      <c r="Z4468" s="155"/>
      <c r="AA4468" s="138">
        <f>IF(AA4463&lt;AA4467,AA4465,AA4466)</f>
        <v>23.234956216379477</v>
      </c>
      <c r="AB4468" s="133"/>
      <c r="AC4468" s="155"/>
      <c r="AD4468" s="138">
        <f>IF(AD4463&lt;AD4467,AD4465,AD4466)</f>
        <v>13.606217438357639</v>
      </c>
      <c r="AE4468" s="133"/>
      <c r="AF4468" s="155"/>
      <c r="AG4468" s="138">
        <f>IF(AG4463&lt;AG4467,AG4465,AG4466)</f>
        <v>10.012634802320399</v>
      </c>
      <c r="AH4468" s="133"/>
      <c r="AI4468" s="155"/>
      <c r="AJ4468" s="138">
        <f>IF(AJ4463&lt;AJ4467,AJ4465,AJ4466)</f>
        <v>8.376194695813453</v>
      </c>
      <c r="AK4468" s="133"/>
      <c r="AL4468" s="155"/>
      <c r="AM4468" s="138">
        <f>IF(AM4463&lt;AM4467,AM4465,AM4466)</f>
        <v>7.9016336775546261</v>
      </c>
      <c r="AN4468" s="133"/>
      <c r="AO4468" s="155"/>
      <c r="AP4468" s="138">
        <f>IF(AP4463&lt;AP4467,AP4465,AP4466)</f>
        <v>7.3020901193064027</v>
      </c>
      <c r="AQ4468" s="133"/>
      <c r="AR4468" s="155"/>
      <c r="AS4468" s="138">
        <f>IF(AS4463&lt;AS4467,AS4465,AS4466)</f>
        <v>10.582807487133866</v>
      </c>
      <c r="AT4468" s="133"/>
      <c r="AU4468" s="155"/>
    </row>
    <row r="4469" spans="13:47" ht="13" x14ac:dyDescent="0.3">
      <c r="M4469" s="28"/>
      <c r="N4469" s="28"/>
      <c r="O4469" s="9" t="s">
        <v>194</v>
      </c>
      <c r="P4469" s="1"/>
      <c r="Q4469" s="1"/>
      <c r="R4469" s="135"/>
      <c r="S4469" s="132">
        <f>IF(R4462&lt;=0,W_max,ABS(R$23-R4468))</f>
        <v>29.115625289106841</v>
      </c>
      <c r="T4469" s="151">
        <f>R4457</f>
        <v>5976.6766935014884</v>
      </c>
      <c r="U4469" s="135"/>
      <c r="V4469" s="132">
        <f>IF(U4462&lt;=0,W_max,ABS(U$23-U4468))</f>
        <v>164.68422322004162</v>
      </c>
      <c r="W4469" s="151">
        <f>U4457</f>
        <v>10779.328852961778</v>
      </c>
      <c r="X4469" s="135"/>
      <c r="Y4469" s="132">
        <f>IF(X4462&lt;=0,W_max,ABS(X$23-X4468))</f>
        <v>7174</v>
      </c>
      <c r="Z4469" s="151">
        <f>X4457</f>
        <v>26658.563008544781</v>
      </c>
      <c r="AA4469" s="135"/>
      <c r="AB4469" s="132">
        <f>IF(AA4462&lt;=0,W_max,ABS(AA$23-AA4468))</f>
        <v>7174</v>
      </c>
      <c r="AC4469" s="151">
        <f>AA4457</f>
        <v>51924.076264710922</v>
      </c>
      <c r="AD4469" s="135"/>
      <c r="AE4469" s="132">
        <f>IF(AD4462&lt;=0,W_max,ABS(AD$23-AD4468))</f>
        <v>7174</v>
      </c>
      <c r="AF4469" s="151">
        <f>AD4457</f>
        <v>85395.988144792165</v>
      </c>
      <c r="AG4469" s="135"/>
      <c r="AH4469" s="132">
        <f>IF(AG4462&lt;=0,W_max,ABS(AG$23-AG4468))</f>
        <v>7174</v>
      </c>
      <c r="AI4469" s="151">
        <f>AG4457</f>
        <v>119774.4476830951</v>
      </c>
      <c r="AJ4469" s="135"/>
      <c r="AK4469" s="132">
        <f>IF(AJ4462&lt;=0,W_max,ABS(AJ$23-AJ4468))</f>
        <v>7174</v>
      </c>
      <c r="AL4469" s="151">
        <f>AJ4457</f>
        <v>152081.76623199898</v>
      </c>
      <c r="AM4469" s="135"/>
      <c r="AN4469" s="132">
        <f>IF(AM4462&lt;=0,W_max,ABS(AM$23-AM4468))</f>
        <v>7174</v>
      </c>
      <c r="AO4469" s="151">
        <f>AM4457</f>
        <v>178327.83136592014</v>
      </c>
      <c r="AP4469" s="135"/>
      <c r="AQ4469" s="132">
        <f>IF(AP4462&lt;=0,W_max,ABS(AP$23-AP4468))</f>
        <v>7174</v>
      </c>
      <c r="AR4469" s="151">
        <f>AP4457</f>
        <v>198954.7167844275</v>
      </c>
      <c r="AS4469" s="135"/>
      <c r="AT4469" s="132">
        <f>IF(AS4462&lt;=0,W_max,ABS(AS$23-AS4468))</f>
        <v>7174</v>
      </c>
      <c r="AU4469" s="151">
        <f>AS4457</f>
        <v>221967.47993614856</v>
      </c>
    </row>
    <row r="4470" spans="13:47" ht="13" x14ac:dyDescent="0.25">
      <c r="M4470" s="12"/>
      <c r="N4470" s="12"/>
      <c r="O4470" s="2"/>
      <c r="P4470" s="85"/>
      <c r="Q4470" s="2"/>
      <c r="R4470" s="18"/>
      <c r="S4470" s="150"/>
      <c r="T4470" s="152"/>
      <c r="U4470" s="157"/>
      <c r="V4470" s="1"/>
      <c r="W4470" s="147"/>
      <c r="X4470" s="157"/>
      <c r="Y4470" s="1"/>
      <c r="Z4470" s="147"/>
      <c r="AA4470" s="157"/>
      <c r="AB4470" s="1"/>
      <c r="AC4470" s="147"/>
      <c r="AD4470" s="157"/>
      <c r="AE4470" s="1"/>
      <c r="AF4470" s="147"/>
      <c r="AG4470" s="157"/>
      <c r="AH4470" s="1"/>
      <c r="AI4470" s="147"/>
      <c r="AJ4470" s="157"/>
      <c r="AK4470" s="1"/>
      <c r="AL4470" s="147"/>
      <c r="AM4470" s="157"/>
      <c r="AN4470" s="1"/>
      <c r="AO4470" s="147"/>
      <c r="AP4470" s="157"/>
      <c r="AQ4470" s="1"/>
      <c r="AR4470" s="147"/>
      <c r="AS4470" s="157"/>
      <c r="AT4470" s="1"/>
      <c r="AU4470" s="147"/>
    </row>
    <row r="4471" spans="13:47" ht="14" x14ac:dyDescent="0.3">
      <c r="M4471" s="23"/>
      <c r="N4471" s="23"/>
      <c r="O4471" s="23" t="s">
        <v>238</v>
      </c>
      <c r="P4471" s="20"/>
      <c r="Q4471" s="20"/>
      <c r="R4471" s="181">
        <f>R4457*1.02</f>
        <v>6096.2102273715182</v>
      </c>
      <c r="S4471" s="128" t="s">
        <v>185</v>
      </c>
      <c r="T4471" s="153" t="s">
        <v>186</v>
      </c>
      <c r="U4471" s="143">
        <f>U4457*1.01</f>
        <v>10887.122141491396</v>
      </c>
      <c r="V4471" s="128" t="s">
        <v>185</v>
      </c>
      <c r="W4471" s="153" t="s">
        <v>186</v>
      </c>
      <c r="X4471" s="143">
        <f>X4457*1.01</f>
        <v>26925.148638630228</v>
      </c>
      <c r="Y4471" s="128" t="s">
        <v>185</v>
      </c>
      <c r="Z4471" s="153" t="s">
        <v>186</v>
      </c>
      <c r="AA4471" s="143">
        <f>AA4457*1.01</f>
        <v>52443.317027358033</v>
      </c>
      <c r="AB4471" s="128" t="s">
        <v>185</v>
      </c>
      <c r="AC4471" s="153" t="s">
        <v>186</v>
      </c>
      <c r="AD4471" s="143">
        <f>AD4457*1.01</f>
        <v>86249.94802624009</v>
      </c>
      <c r="AE4471" s="128" t="s">
        <v>185</v>
      </c>
      <c r="AF4471" s="153" t="s">
        <v>186</v>
      </c>
      <c r="AG4471" s="143">
        <f>AG4457*1.01</f>
        <v>120972.19215992605</v>
      </c>
      <c r="AH4471" s="128" t="s">
        <v>185</v>
      </c>
      <c r="AI4471" s="153" t="s">
        <v>186</v>
      </c>
      <c r="AJ4471" s="143">
        <f>AJ4457*1.01</f>
        <v>153602.58389431896</v>
      </c>
      <c r="AK4471" s="128" t="s">
        <v>185</v>
      </c>
      <c r="AL4471" s="153" t="s">
        <v>186</v>
      </c>
      <c r="AM4471" s="143">
        <f>AM4457*1.01</f>
        <v>180111.10967957933</v>
      </c>
      <c r="AN4471" s="128" t="s">
        <v>185</v>
      </c>
      <c r="AO4471" s="153" t="s">
        <v>186</v>
      </c>
      <c r="AP4471" s="143">
        <f>AP4457*1.01</f>
        <v>200944.26395227178</v>
      </c>
      <c r="AQ4471" s="128" t="s">
        <v>185</v>
      </c>
      <c r="AR4471" s="153" t="s">
        <v>186</v>
      </c>
      <c r="AS4471" s="143">
        <f>AS4457*1.01</f>
        <v>224187.15473551006</v>
      </c>
      <c r="AT4471" s="128" t="s">
        <v>185</v>
      </c>
      <c r="AU4471" s="153" t="s">
        <v>186</v>
      </c>
    </row>
    <row r="4472" spans="13:47" ht="14" x14ac:dyDescent="0.3">
      <c r="M4472" s="12"/>
      <c r="N4472" s="12"/>
      <c r="O4472" s="20"/>
      <c r="P4472" s="20"/>
      <c r="Q4472" s="23"/>
      <c r="R4472" s="139"/>
      <c r="S4472" s="130" t="s">
        <v>228</v>
      </c>
      <c r="T4472" s="154" t="s">
        <v>187</v>
      </c>
      <c r="U4472" s="144"/>
      <c r="V4472" s="130" t="s">
        <v>228</v>
      </c>
      <c r="W4472" s="154" t="s">
        <v>187</v>
      </c>
      <c r="X4472" s="144"/>
      <c r="Y4472" s="130" t="s">
        <v>228</v>
      </c>
      <c r="Z4472" s="154" t="s">
        <v>187</v>
      </c>
      <c r="AA4472" s="144"/>
      <c r="AB4472" s="130" t="s">
        <v>228</v>
      </c>
      <c r="AC4472" s="154" t="s">
        <v>187</v>
      </c>
      <c r="AD4472" s="144"/>
      <c r="AE4472" s="130" t="s">
        <v>228</v>
      </c>
      <c r="AF4472" s="154" t="s">
        <v>187</v>
      </c>
      <c r="AG4472" s="144"/>
      <c r="AH4472" s="130" t="s">
        <v>228</v>
      </c>
      <c r="AI4472" s="154" t="s">
        <v>187</v>
      </c>
      <c r="AJ4472" s="144"/>
      <c r="AK4472" s="130" t="s">
        <v>228</v>
      </c>
      <c r="AL4472" s="154" t="s">
        <v>187</v>
      </c>
      <c r="AM4472" s="144"/>
      <c r="AN4472" s="130" t="s">
        <v>228</v>
      </c>
      <c r="AO4472" s="154" t="s">
        <v>187</v>
      </c>
      <c r="AP4472" s="144"/>
      <c r="AQ4472" s="130" t="s">
        <v>228</v>
      </c>
      <c r="AR4472" s="154" t="s">
        <v>187</v>
      </c>
      <c r="AS4472" s="144"/>
      <c r="AT4472" s="130" t="s">
        <v>228</v>
      </c>
      <c r="AU4472" s="154" t="s">
        <v>187</v>
      </c>
    </row>
    <row r="4473" spans="13:47" x14ac:dyDescent="0.25">
      <c r="M4473" s="20"/>
      <c r="N4473" s="20"/>
      <c r="O4473" s="7" t="s">
        <v>188</v>
      </c>
      <c r="P4473" s="7"/>
      <c r="Q4473" s="7"/>
      <c r="R4473" s="181">
        <f>P_1_minW-(R4471^2*R_up)+dpup_minQ</f>
        <v>85.703289916220697</v>
      </c>
      <c r="S4473" s="132"/>
      <c r="T4473" s="145"/>
      <c r="U4473" s="138">
        <f>P_1_minW-(U4471^2*R_up)+dpup_minQ</f>
        <v>53.257774136649338</v>
      </c>
      <c r="V4473" s="132"/>
      <c r="W4473" s="145"/>
      <c r="X4473" s="138">
        <f>P_1_minW-(X4471^2*R_up)+dpup_minQ</f>
        <v>-188.56504145989865</v>
      </c>
      <c r="Y4473" s="132"/>
      <c r="Z4473" s="145"/>
      <c r="AA4473" s="138">
        <f>P_1_minW-(AA4471^2*R_up)+dpup_minQ</f>
        <v>-996.19249072524087</v>
      </c>
      <c r="AB4473" s="132"/>
      <c r="AC4473" s="145"/>
      <c r="AD4473" s="138">
        <f>P_1_minW-(AD4471^2*R_up)+dpup_minQ</f>
        <v>-2865.8878626802675</v>
      </c>
      <c r="AE4473" s="132"/>
      <c r="AF4473" s="145"/>
      <c r="AG4473" s="138">
        <f>P_1_minW-(AG4471^2*R_up)+dpup_minQ</f>
        <v>-5735.0661034387313</v>
      </c>
      <c r="AH4473" s="132"/>
      <c r="AI4473" s="145"/>
      <c r="AJ4473" s="138">
        <f>P_1_minW-(AJ4471^2*R_up)+dpup_minQ</f>
        <v>-9307.7658006382208</v>
      </c>
      <c r="AK4473" s="132"/>
      <c r="AL4473" s="145"/>
      <c r="AM4473" s="138">
        <f>P_1_minW-(AM4471^2*R_up)+dpup_minQ</f>
        <v>-12835.315907404971</v>
      </c>
      <c r="AN4473" s="132"/>
      <c r="AO4473" s="145"/>
      <c r="AP4473" s="138">
        <f>P_1_minW-(AP4471^2*R_up)+dpup_minQ</f>
        <v>-16000.920795041091</v>
      </c>
      <c r="AQ4473" s="132"/>
      <c r="AR4473" s="145"/>
      <c r="AS4473" s="138">
        <f>P_1_minW-(AS4471^2*R_up)+dpup_minQ</f>
        <v>-19941.199404386804</v>
      </c>
      <c r="AT4473" s="132"/>
      <c r="AU4473" s="145"/>
    </row>
    <row r="4474" spans="13:47" x14ac:dyDescent="0.25">
      <c r="M4474" s="20"/>
      <c r="N4474" s="20"/>
      <c r="O4474" s="7" t="s">
        <v>189</v>
      </c>
      <c r="P4474" s="1"/>
      <c r="Q4474" s="7"/>
      <c r="R4474" s="181">
        <f>P_2_minW+(R4471^2*R_dn)-dpdn_minQ</f>
        <v>50</v>
      </c>
      <c r="S4474" s="132"/>
      <c r="T4474" s="146"/>
      <c r="U4474" s="138">
        <f>P_2_minW+(U4471^2*R_dn)-dpdn_minQ</f>
        <v>50</v>
      </c>
      <c r="V4474" s="132"/>
      <c r="W4474" s="146"/>
      <c r="X4474" s="138">
        <f>P_2_minW+(X4471^2*R_dn)-dpdn_minQ</f>
        <v>50</v>
      </c>
      <c r="Y4474" s="132"/>
      <c r="Z4474" s="146"/>
      <c r="AA4474" s="138">
        <f>P_2_minW+(AA4471^2*R_dn)-dpdn_minQ</f>
        <v>50</v>
      </c>
      <c r="AB4474" s="132"/>
      <c r="AC4474" s="146"/>
      <c r="AD4474" s="138">
        <f>P_2_minW+(AD4471^2*R_dn)-dpdn_minQ</f>
        <v>50</v>
      </c>
      <c r="AE4474" s="132"/>
      <c r="AF4474" s="146"/>
      <c r="AG4474" s="138">
        <f>P_2_minW+(AG4471^2*R_dn)-dpdn_minQ</f>
        <v>50</v>
      </c>
      <c r="AH4474" s="132"/>
      <c r="AI4474" s="146"/>
      <c r="AJ4474" s="138">
        <f>P_2_minW+(AJ4471^2*R_dn)-dpdn_minQ</f>
        <v>50</v>
      </c>
      <c r="AK4474" s="132"/>
      <c r="AL4474" s="146"/>
      <c r="AM4474" s="138">
        <f>P_2_minW+(AM4471^2*R_dn)-dpdn_minQ</f>
        <v>50</v>
      </c>
      <c r="AN4474" s="132"/>
      <c r="AO4474" s="146"/>
      <c r="AP4474" s="138">
        <f>P_2_minW+(AP4471^2*R_dn)-dpdn_minQ</f>
        <v>50</v>
      </c>
      <c r="AQ4474" s="132"/>
      <c r="AR4474" s="146"/>
      <c r="AS4474" s="138">
        <f>P_2_minW+(AS4471^2*R_dn)-dpdn_minQ</f>
        <v>50</v>
      </c>
      <c r="AT4474" s="132"/>
      <c r="AU4474" s="146"/>
    </row>
    <row r="4475" spans="13:47" x14ac:dyDescent="0.25">
      <c r="M4475" s="20"/>
      <c r="N4475" s="20"/>
      <c r="O4475" s="7" t="s">
        <v>234</v>
      </c>
      <c r="P4475" s="1"/>
      <c r="Q4475" s="7"/>
      <c r="R4475" s="179">
        <f>'Valve Sizing'!G$8*R4473/P_1_maxW</f>
        <v>0.4134174120255551</v>
      </c>
      <c r="S4475" s="132"/>
      <c r="T4475" s="146"/>
      <c r="U4475" s="143">
        <f>'Valve Sizing'!$G$8*U4473/P_1_maxW</f>
        <v>0.25690602047294242</v>
      </c>
      <c r="V4475" s="132"/>
      <c r="W4475" s="146"/>
      <c r="X4475" s="143">
        <f>'Valve Sizing'!$G$8*X4473/P_1_maxW</f>
        <v>-0.90960418806616194</v>
      </c>
      <c r="Y4475" s="132"/>
      <c r="Z4475" s="146"/>
      <c r="AA4475" s="143">
        <f>'Valve Sizing'!$G$8*AA4473/P_1_maxW</f>
        <v>-4.8054552141174351</v>
      </c>
      <c r="AB4475" s="132"/>
      <c r="AC4475" s="146"/>
      <c r="AD4475" s="143">
        <f>'Valve Sizing'!$G$8*AD4473/P_1_maxW</f>
        <v>-13.82453280968485</v>
      </c>
      <c r="AE4475" s="132"/>
      <c r="AF4475" s="146"/>
      <c r="AG4475" s="143">
        <f>'Valve Sizing'!$G$8*AG4473/P_1_maxW</f>
        <v>-27.66493781740321</v>
      </c>
      <c r="AH4475" s="132"/>
      <c r="AI4475" s="146"/>
      <c r="AJ4475" s="143">
        <f>'Valve Sizing'!$G$8*AJ4473/P_1_maxW</f>
        <v>-44.899005076717941</v>
      </c>
      <c r="AK4475" s="132"/>
      <c r="AL4475" s="146"/>
      <c r="AM4475" s="143">
        <f>'Valve Sizing'!$G$8*AM4473/P_1_maxW</f>
        <v>-61.915278750174267</v>
      </c>
      <c r="AN4475" s="132"/>
      <c r="AO4475" s="146"/>
      <c r="AP4475" s="143">
        <f>'Valve Sizing'!$G$8*AP4473/P_1_maxW</f>
        <v>-77.185593126918832</v>
      </c>
      <c r="AQ4475" s="132"/>
      <c r="AR4475" s="146"/>
      <c r="AS4475" s="143">
        <f>'Valve Sizing'!$G$8*AS4473/P_1_maxW</f>
        <v>-96.192795615035308</v>
      </c>
      <c r="AT4475" s="132"/>
      <c r="AU4475" s="146"/>
    </row>
    <row r="4476" spans="13:47" x14ac:dyDescent="0.25">
      <c r="M4476" s="20"/>
      <c r="N4476" s="20"/>
      <c r="O4476" s="7" t="s">
        <v>190</v>
      </c>
      <c r="P4476" s="1"/>
      <c r="Q4476" s="7"/>
      <c r="R4476" s="181">
        <f>R4473-R4474</f>
        <v>35.703289916220697</v>
      </c>
      <c r="S4476" s="132"/>
      <c r="T4476" s="146"/>
      <c r="U4476" s="138">
        <f>U4473-U4474</f>
        <v>3.2577741366493385</v>
      </c>
      <c r="V4476" s="132"/>
      <c r="W4476" s="146"/>
      <c r="X4476" s="138">
        <f>X4473-X4474</f>
        <v>-238.56504145989865</v>
      </c>
      <c r="Y4476" s="132"/>
      <c r="Z4476" s="146"/>
      <c r="AA4476" s="138">
        <f>AA4473-AA4474</f>
        <v>-1046.192490725241</v>
      </c>
      <c r="AB4476" s="132"/>
      <c r="AC4476" s="146"/>
      <c r="AD4476" s="138">
        <f>AD4473-AD4474</f>
        <v>-2915.8878626802675</v>
      </c>
      <c r="AE4476" s="132"/>
      <c r="AF4476" s="146"/>
      <c r="AG4476" s="138">
        <f>AG4473-AG4474</f>
        <v>-5785.0661034387313</v>
      </c>
      <c r="AH4476" s="132"/>
      <c r="AI4476" s="146"/>
      <c r="AJ4476" s="138">
        <f>AJ4473-AJ4474</f>
        <v>-9357.7658006382208</v>
      </c>
      <c r="AK4476" s="132"/>
      <c r="AL4476" s="146"/>
      <c r="AM4476" s="138">
        <f>AM4473-AM4474</f>
        <v>-12885.315907404971</v>
      </c>
      <c r="AN4476" s="132"/>
      <c r="AO4476" s="146"/>
      <c r="AP4476" s="138">
        <f>AP4473-AP4474</f>
        <v>-16050.920795041091</v>
      </c>
      <c r="AQ4476" s="132"/>
      <c r="AR4476" s="146"/>
      <c r="AS4476" s="138">
        <f>AS4473-AS4474</f>
        <v>-19991.199404386804</v>
      </c>
      <c r="AT4476" s="132"/>
      <c r="AU4476" s="146"/>
    </row>
    <row r="4477" spans="13:47" ht="14.5" x14ac:dyDescent="0.35">
      <c r="M4477" s="27"/>
      <c r="N4477" s="27"/>
      <c r="O4477" s="2" t="s">
        <v>191</v>
      </c>
      <c r="P4477" s="10"/>
      <c r="Q4477" s="2"/>
      <c r="R4477" s="181">
        <f>R4476/R4473</f>
        <v>0.41659182455098831</v>
      </c>
      <c r="S4477" s="132"/>
      <c r="T4477" s="146"/>
      <c r="U4477" s="138">
        <f>U4476/U4473</f>
        <v>6.1169926634382213E-2</v>
      </c>
      <c r="V4477" s="132"/>
      <c r="W4477" s="146"/>
      <c r="X4477" s="138">
        <f>X4476/X4473</f>
        <v>1.2651604964148844</v>
      </c>
      <c r="Y4477" s="132"/>
      <c r="Z4477" s="146"/>
      <c r="AA4477" s="138">
        <f>AA4476/AA4473</f>
        <v>1.0501911030905278</v>
      </c>
      <c r="AB4477" s="132"/>
      <c r="AC4477" s="146"/>
      <c r="AD4477" s="138">
        <f>AD4476/AD4473</f>
        <v>1.0174466002843665</v>
      </c>
      <c r="AE4477" s="132"/>
      <c r="AF4477" s="146"/>
      <c r="AG4477" s="138">
        <f>AG4476/AG4473</f>
        <v>1.008718295325318</v>
      </c>
      <c r="AH4477" s="132"/>
      <c r="AI4477" s="146"/>
      <c r="AJ4477" s="138">
        <f>AJ4476/AJ4473</f>
        <v>1.0053718584105942</v>
      </c>
      <c r="AK4477" s="132"/>
      <c r="AL4477" s="146"/>
      <c r="AM4477" s="138">
        <f>AM4476/AM4473</f>
        <v>1.0038955020944327</v>
      </c>
      <c r="AN4477" s="132"/>
      <c r="AO4477" s="146"/>
      <c r="AP4477" s="138">
        <f>AP4476/AP4473</f>
        <v>1.0031248201675678</v>
      </c>
      <c r="AQ4477" s="132"/>
      <c r="AR4477" s="146"/>
      <c r="AS4477" s="138">
        <f>AS4476/AS4473</f>
        <v>1.0025073717476092</v>
      </c>
      <c r="AT4477" s="132"/>
      <c r="AU4477" s="146"/>
    </row>
    <row r="4478" spans="13:47" x14ac:dyDescent="0.25">
      <c r="M4478" s="27"/>
      <c r="N4478" s="27"/>
      <c r="O4478" s="2" t="s">
        <v>26</v>
      </c>
      <c r="P4478" s="7">
        <v>12</v>
      </c>
      <c r="Q4478" s="2"/>
      <c r="R4478" s="181">
        <f>1-R4477/(3*F_GAMMA*R$29)</f>
        <v>0.78303420399452939</v>
      </c>
      <c r="S4478" s="133"/>
      <c r="T4478" s="146"/>
      <c r="U4478" s="138">
        <f>1-U4477/(3*F_GAMMA*U$29)</f>
        <v>0.96814901559274602</v>
      </c>
      <c r="V4478" s="133"/>
      <c r="W4478" s="146"/>
      <c r="X4478" s="138">
        <f>1-X4477/(3*F_GAMMA*X$29)</f>
        <v>0.33135246787148509</v>
      </c>
      <c r="Y4478" s="133"/>
      <c r="Z4478" s="146"/>
      <c r="AA4478" s="138">
        <f>1-AA4477/(3*F_GAMMA*AA$29)</f>
        <v>0.43735523200467008</v>
      </c>
      <c r="AB4478" s="133"/>
      <c r="AC4478" s="146"/>
      <c r="AD4478" s="138">
        <f>1-AD4477/(3*F_GAMMA*AD$29)</f>
        <v>0.43995272083031589</v>
      </c>
      <c r="AE4478" s="133"/>
      <c r="AF4478" s="146"/>
      <c r="AG4478" s="138">
        <f>1-AG4477/(3*F_GAMMA*AG$29)</f>
        <v>0.41308523492473948</v>
      </c>
      <c r="AH4478" s="133"/>
      <c r="AI4478" s="146"/>
      <c r="AJ4478" s="138">
        <f>1-AJ4477/(3*F_GAMMA*AJ$29)</f>
        <v>0.37466163359469029</v>
      </c>
      <c r="AK4478" s="133"/>
      <c r="AL4478" s="146"/>
      <c r="AM4478" s="138">
        <f>1-AM4477/(3*F_GAMMA*AM$29)</f>
        <v>0.31775756925399479</v>
      </c>
      <c r="AN4478" s="133"/>
      <c r="AO4478" s="146"/>
      <c r="AP4478" s="138">
        <f>1-AP4477/(3*F_GAMMA*AP$29)</f>
        <v>0.43663326492148058</v>
      </c>
      <c r="AQ4478" s="133"/>
      <c r="AR4478" s="146"/>
      <c r="AS4478" s="138">
        <f>1-AS4477/(3*F_GAMMA*AS$29)</f>
        <v>0.14528676465471113</v>
      </c>
      <c r="AT4478" s="133"/>
      <c r="AU4478" s="146"/>
    </row>
    <row r="4479" spans="13:47" x14ac:dyDescent="0.25">
      <c r="M4479" s="27"/>
      <c r="N4479" s="27"/>
      <c r="O4479" s="2" t="s">
        <v>71</v>
      </c>
      <c r="P4479" s="85">
        <v>5</v>
      </c>
      <c r="Q4479" s="2"/>
      <c r="R4479" s="179">
        <f>R4471/((N_6*R$27*R4478)*SQRT(R4477*R4473*R4475))</f>
        <v>32.016838958210528</v>
      </c>
      <c r="S4479" s="133"/>
      <c r="T4479" s="146"/>
      <c r="U4479" s="143">
        <f>U4471/((N_6*U$27*U4478)*SQRT(U4477*U4473*U4475))</f>
        <v>194.33050233861928</v>
      </c>
      <c r="V4479" s="133"/>
      <c r="W4479" s="146"/>
      <c r="X4479" s="143">
        <f>X4471/((N_6*X$27*X4478)*SQRT(X4477*X4473*X4475))</f>
        <v>87.401202661206497</v>
      </c>
      <c r="Y4479" s="133"/>
      <c r="Z4479" s="146"/>
      <c r="AA4479" s="143">
        <f>AA4471/((N_6*AA$27*AA4478)*SQRT(AA4477*AA4473*AA4475))</f>
        <v>26.949609630552452</v>
      </c>
      <c r="AB4479" s="133"/>
      <c r="AC4479" s="146"/>
      <c r="AD4479" s="143">
        <f>AD4471/((N_6*AD$27*AD4478)*SQRT(AD4477*AD4473*AD4475))</f>
        <v>15.745504916569102</v>
      </c>
      <c r="AE4479" s="133"/>
      <c r="AF4479" s="146"/>
      <c r="AG4479" s="143">
        <f>AG4471/((N_6*AG$27*AG4478)*SQRT(AG4477*AG4473*AG4475))</f>
        <v>12.059019208745214</v>
      </c>
      <c r="AH4479" s="133"/>
      <c r="AI4479" s="146"/>
      <c r="AJ4479" s="143">
        <f>AJ4471/((N_6*AJ$27*AJ4478)*SQRT(AJ4477*AJ4473*AJ4475))</f>
        <v>10.777041385821624</v>
      </c>
      <c r="AK4479" s="133"/>
      <c r="AL4479" s="146"/>
      <c r="AM4479" s="143">
        <f>AM4471/((N_6*AM$27*AM4478)*SQRT(AM4477*AM4473*AM4475))</f>
        <v>11.476965756094318</v>
      </c>
      <c r="AN4479" s="133"/>
      <c r="AO4479" s="146"/>
      <c r="AP4479" s="143">
        <f>AP4471/((N_6*AP$27*AP4478)*SQRT(AP4477*AP4473*AP4475))</f>
        <v>8.4942249532977101</v>
      </c>
      <c r="AQ4479" s="133"/>
      <c r="AR4479" s="146"/>
      <c r="AS4479" s="143">
        <f>AS4471/((N_6*AS$27*AS4478)*SQRT(AS4477*AS4473*AS4475))</f>
        <v>30.037546424612547</v>
      </c>
      <c r="AT4479" s="133"/>
      <c r="AU4479" s="146"/>
    </row>
    <row r="4480" spans="13:47" x14ac:dyDescent="0.25">
      <c r="M4480" s="27"/>
      <c r="N4480" s="27"/>
      <c r="O4480" s="2" t="s">
        <v>73</v>
      </c>
      <c r="P4480" s="85">
        <v>5</v>
      </c>
      <c r="Q4480" s="2"/>
      <c r="R4480" s="179">
        <f>R4471/((N_6*R$27*0.667)*SQRT(R4481*R4473*R4475))</f>
        <v>30.32421834521724</v>
      </c>
      <c r="S4480" s="133"/>
      <c r="T4480" s="155"/>
      <c r="U4480" s="143">
        <f>U4471/((N_6*U$27*0.667)*SQRT(U4481*U4473*U4475))</f>
        <v>87.192555146338506</v>
      </c>
      <c r="V4480" s="133"/>
      <c r="W4480" s="155"/>
      <c r="X4480" s="143">
        <f>X4471/((N_6*X$27*0.667)*SQRT(X4481*X4473*X4475))</f>
        <v>61.495173994453339</v>
      </c>
      <c r="Y4480" s="133"/>
      <c r="Z4480" s="155"/>
      <c r="AA4480" s="143">
        <f>AA4471/((N_6*AA$27*0.667)*SQRT(AA4481*AA4473*AA4475))</f>
        <v>22.958247890150798</v>
      </c>
      <c r="AB4480" s="133"/>
      <c r="AC4480" s="155"/>
      <c r="AD4480" s="143">
        <f>AD4471/((N_6*AD$27*0.667)*SQRT(AD4481*AD4473*AD4475))</f>
        <v>13.462004736747001</v>
      </c>
      <c r="AE4480" s="133"/>
      <c r="AF4480" s="155"/>
      <c r="AG4480" s="143">
        <f>AG4471/((N_6*AG$27*0.667)*SQRT(AG4481*AG4473*AG4475))</f>
        <v>9.9100072018499965</v>
      </c>
      <c r="AH4480" s="133"/>
      <c r="AI4480" s="155"/>
      <c r="AJ4480" s="143">
        <f>AJ4471/((N_6*AJ$27*0.667)*SQRT(AJ4481*AJ4473*AJ4475))</f>
        <v>8.2914617931435277</v>
      </c>
      <c r="AK4480" s="133"/>
      <c r="AL4480" s="155"/>
      <c r="AM4480" s="143">
        <f>AM4471/((N_6*AM$27*0.667)*SQRT(AM4481*AM4473*AM4475))</f>
        <v>7.8221681378804995</v>
      </c>
      <c r="AN4480" s="133"/>
      <c r="AO4480" s="155"/>
      <c r="AP4480" s="143">
        <f>AP4471/((N_6*AP$27*0.667)*SQRT(AP4481*AP4473*AP4475))</f>
        <v>7.228879259055514</v>
      </c>
      <c r="AQ4480" s="133"/>
      <c r="AR4480" s="155"/>
      <c r="AS4480" s="143">
        <f>AS4471/((N_6*AS$27*0.667)*SQRT(AS4481*AS4473*AS4475))</f>
        <v>10.476965546750172</v>
      </c>
      <c r="AT4480" s="133"/>
      <c r="AU4480" s="155"/>
    </row>
    <row r="4481" spans="13:47" ht="15.5" x14ac:dyDescent="0.4">
      <c r="M4481" s="27"/>
      <c r="N4481" s="27"/>
      <c r="O4481" s="2" t="s">
        <v>192</v>
      </c>
      <c r="P4481" s="85">
        <v>10</v>
      </c>
      <c r="Q4481" s="2"/>
      <c r="R4481" s="181">
        <f>F_GAMMA*R$29</f>
        <v>0.64002688015162901</v>
      </c>
      <c r="S4481" s="133"/>
      <c r="T4481" s="155"/>
      <c r="U4481" s="138">
        <f>F_GAMMA*U$29</f>
        <v>0.64016782916606918</v>
      </c>
      <c r="V4481" s="133"/>
      <c r="W4481" s="155"/>
      <c r="X4481" s="138">
        <f>F_GAMMA*X$29</f>
        <v>0.6307062319203669</v>
      </c>
      <c r="Y4481" s="133"/>
      <c r="Z4481" s="155"/>
      <c r="AA4481" s="138">
        <f>F_GAMMA*AA$29</f>
        <v>0.62217534213893466</v>
      </c>
      <c r="AB4481" s="133"/>
      <c r="AC4481" s="155"/>
      <c r="AD4481" s="138">
        <f>F_GAMMA*AD$29</f>
        <v>0.60557184969146072</v>
      </c>
      <c r="AE4481" s="133"/>
      <c r="AF4481" s="155"/>
      <c r="AG4481" s="138">
        <f>F_GAMMA*AG$29</f>
        <v>0.57289312142622573</v>
      </c>
      <c r="AH4481" s="133"/>
      <c r="AI4481" s="155"/>
      <c r="AJ4481" s="138">
        <f>F_GAMMA*AJ$29</f>
        <v>0.53590819116049981</v>
      </c>
      <c r="AK4481" s="133"/>
      <c r="AL4481" s="155"/>
      <c r="AM4481" s="138">
        <f>F_GAMMA*AM$29</f>
        <v>0.49048815926850342</v>
      </c>
      <c r="AN4481" s="133"/>
      <c r="AO4481" s="155"/>
      <c r="AP4481" s="138">
        <f>F_GAMMA*AP$29</f>
        <v>0.59352979016280105</v>
      </c>
      <c r="AQ4481" s="133"/>
      <c r="AR4481" s="155"/>
      <c r="AS4481" s="138">
        <f>F_GAMMA*AS$29</f>
        <v>0.39097221161068291</v>
      </c>
      <c r="AT4481" s="133"/>
      <c r="AU4481" s="155"/>
    </row>
    <row r="4482" spans="13:47" x14ac:dyDescent="0.25">
      <c r="M4482" s="27"/>
      <c r="N4482" s="27"/>
      <c r="O4482" s="2" t="s">
        <v>193</v>
      </c>
      <c r="P4482" s="134"/>
      <c r="Q4482" s="2"/>
      <c r="R4482" s="181">
        <f>IF(R4477&lt;R4481,R4479,R4480)</f>
        <v>32.016838958210528</v>
      </c>
      <c r="S4482" s="133"/>
      <c r="T4482" s="155"/>
      <c r="U4482" s="138">
        <f>IF(U4477&lt;U4481,U4479,U4480)</f>
        <v>194.33050233861928</v>
      </c>
      <c r="V4482" s="133"/>
      <c r="W4482" s="155"/>
      <c r="X4482" s="138">
        <f>IF(X4477&lt;X4481,X4479,X4480)</f>
        <v>61.495173994453339</v>
      </c>
      <c r="Y4482" s="133"/>
      <c r="Z4482" s="155"/>
      <c r="AA4482" s="138">
        <f>IF(AA4477&lt;AA4481,AA4479,AA4480)</f>
        <v>22.958247890150798</v>
      </c>
      <c r="AB4482" s="133"/>
      <c r="AC4482" s="155"/>
      <c r="AD4482" s="138">
        <f>IF(AD4477&lt;AD4481,AD4479,AD4480)</f>
        <v>13.462004736747001</v>
      </c>
      <c r="AE4482" s="133"/>
      <c r="AF4482" s="155"/>
      <c r="AG4482" s="138">
        <f>IF(AG4477&lt;AG4481,AG4479,AG4480)</f>
        <v>9.9100072018499965</v>
      </c>
      <c r="AH4482" s="133"/>
      <c r="AI4482" s="155"/>
      <c r="AJ4482" s="138">
        <f>IF(AJ4477&lt;AJ4481,AJ4479,AJ4480)</f>
        <v>8.2914617931435277</v>
      </c>
      <c r="AK4482" s="133"/>
      <c r="AL4482" s="155"/>
      <c r="AM4482" s="138">
        <f>IF(AM4477&lt;AM4481,AM4479,AM4480)</f>
        <v>7.8221681378804995</v>
      </c>
      <c r="AN4482" s="133"/>
      <c r="AO4482" s="155"/>
      <c r="AP4482" s="138">
        <f>IF(AP4477&lt;AP4481,AP4479,AP4480)</f>
        <v>7.228879259055514</v>
      </c>
      <c r="AQ4482" s="133"/>
      <c r="AR4482" s="155"/>
      <c r="AS4482" s="138">
        <f>IF(AS4477&lt;AS4481,AS4479,AS4480)</f>
        <v>10.476965546750172</v>
      </c>
      <c r="AT4482" s="133"/>
      <c r="AU4482" s="155"/>
    </row>
    <row r="4483" spans="13:47" ht="13" x14ac:dyDescent="0.3">
      <c r="M4483" s="28"/>
      <c r="N4483" s="28"/>
      <c r="O4483" s="9" t="s">
        <v>194</v>
      </c>
      <c r="P4483" s="1"/>
      <c r="Q4483" s="1"/>
      <c r="R4483" s="135"/>
      <c r="S4483" s="132">
        <f>IF(R4476&lt;=0,W_max,ABS(R$23-R4482))</f>
        <v>30.016838958210528</v>
      </c>
      <c r="T4483" s="151">
        <f>R4471</f>
        <v>6096.2102273715182</v>
      </c>
      <c r="U4483" s="135"/>
      <c r="V4483" s="132">
        <f>IF(U4476&lt;=0,W_max,ABS(U$23-U4482))</f>
        <v>189.33050233861928</v>
      </c>
      <c r="W4483" s="151">
        <f>U4471</f>
        <v>10887.122141491396</v>
      </c>
      <c r="X4483" s="135"/>
      <c r="Y4483" s="132">
        <f>IF(X4476&lt;=0,W_max,ABS(X$23-X4482))</f>
        <v>7174</v>
      </c>
      <c r="Z4483" s="151">
        <f>X4471</f>
        <v>26925.148638630228</v>
      </c>
      <c r="AA4483" s="135"/>
      <c r="AB4483" s="132">
        <f>IF(AA4476&lt;=0,W_max,ABS(AA$23-AA4482))</f>
        <v>7174</v>
      </c>
      <c r="AC4483" s="151">
        <f>AA4471</f>
        <v>52443.317027358033</v>
      </c>
      <c r="AD4483" s="135"/>
      <c r="AE4483" s="132">
        <f>IF(AD4476&lt;=0,W_max,ABS(AD$23-AD4482))</f>
        <v>7174</v>
      </c>
      <c r="AF4483" s="151">
        <f>AD4471</f>
        <v>86249.94802624009</v>
      </c>
      <c r="AG4483" s="135"/>
      <c r="AH4483" s="132">
        <f>IF(AG4476&lt;=0,W_max,ABS(AG$23-AG4482))</f>
        <v>7174</v>
      </c>
      <c r="AI4483" s="151">
        <f>AG4471</f>
        <v>120972.19215992605</v>
      </c>
      <c r="AJ4483" s="135"/>
      <c r="AK4483" s="132">
        <f>IF(AJ4476&lt;=0,W_max,ABS(AJ$23-AJ4482))</f>
        <v>7174</v>
      </c>
      <c r="AL4483" s="151">
        <f>AJ4471</f>
        <v>153602.58389431896</v>
      </c>
      <c r="AM4483" s="135"/>
      <c r="AN4483" s="132">
        <f>IF(AM4476&lt;=0,W_max,ABS(AM$23-AM4482))</f>
        <v>7174</v>
      </c>
      <c r="AO4483" s="151">
        <f>AM4471</f>
        <v>180111.10967957933</v>
      </c>
      <c r="AP4483" s="135"/>
      <c r="AQ4483" s="132">
        <f>IF(AP4476&lt;=0,W_max,ABS(AP$23-AP4482))</f>
        <v>7174</v>
      </c>
      <c r="AR4483" s="151">
        <f>AP4471</f>
        <v>200944.26395227178</v>
      </c>
      <c r="AS4483" s="135"/>
      <c r="AT4483" s="132">
        <f>IF(AS4476&lt;=0,W_max,ABS(AS$23-AS4482))</f>
        <v>7174</v>
      </c>
      <c r="AU4483" s="151">
        <f>AS4471</f>
        <v>224187.15473551006</v>
      </c>
    </row>
    <row r="4484" spans="13:47" ht="13" x14ac:dyDescent="0.25">
      <c r="M4484" s="12"/>
      <c r="N4484" s="12"/>
      <c r="O4484" s="2"/>
      <c r="P4484" s="85"/>
      <c r="Q4484" s="2"/>
      <c r="R4484" s="18"/>
      <c r="S4484" s="150"/>
      <c r="T4484" s="148"/>
      <c r="U4484" s="157"/>
      <c r="V4484" s="1"/>
      <c r="W4484" s="147"/>
      <c r="X4484" s="157"/>
      <c r="Y4484" s="1"/>
      <c r="Z4484" s="147"/>
      <c r="AA4484" s="157"/>
      <c r="AB4484" s="1"/>
      <c r="AC4484" s="147"/>
      <c r="AD4484" s="157"/>
      <c r="AE4484" s="1"/>
      <c r="AF4484" s="147"/>
      <c r="AG4484" s="157"/>
      <c r="AH4484" s="1"/>
      <c r="AI4484" s="147"/>
      <c r="AJ4484" s="157"/>
      <c r="AK4484" s="1"/>
      <c r="AL4484" s="147"/>
      <c r="AM4484" s="157"/>
      <c r="AN4484" s="1"/>
      <c r="AO4484" s="147"/>
      <c r="AP4484" s="157"/>
      <c r="AQ4484" s="1"/>
      <c r="AR4484" s="147"/>
      <c r="AS4484" s="157"/>
      <c r="AT4484" s="1"/>
      <c r="AU4484" s="147"/>
    </row>
    <row r="4485" spans="13:47" ht="14" x14ac:dyDescent="0.3">
      <c r="M4485" s="23"/>
      <c r="N4485" s="23"/>
      <c r="O4485" s="23" t="s">
        <v>238</v>
      </c>
      <c r="P4485" s="20"/>
      <c r="Q4485" s="20"/>
      <c r="R4485" s="181">
        <f>R4471*1.02</f>
        <v>6218.1344319189484</v>
      </c>
      <c r="S4485" s="128" t="s">
        <v>185</v>
      </c>
      <c r="T4485" s="149" t="s">
        <v>186</v>
      </c>
      <c r="U4485" s="143">
        <f>U4471*1.01</f>
        <v>10995.993362906311</v>
      </c>
      <c r="V4485" s="128" t="s">
        <v>185</v>
      </c>
      <c r="W4485" s="153" t="s">
        <v>186</v>
      </c>
      <c r="X4485" s="143">
        <f>X4471*1.01</f>
        <v>27194.400125016531</v>
      </c>
      <c r="Y4485" s="128" t="s">
        <v>185</v>
      </c>
      <c r="Z4485" s="153" t="s">
        <v>186</v>
      </c>
      <c r="AA4485" s="143">
        <f>AA4471*1.01</f>
        <v>52967.750197631613</v>
      </c>
      <c r="AB4485" s="128" t="s">
        <v>185</v>
      </c>
      <c r="AC4485" s="153" t="s">
        <v>186</v>
      </c>
      <c r="AD4485" s="143">
        <f>AD4471*1.01</f>
        <v>87112.447506502489</v>
      </c>
      <c r="AE4485" s="128" t="s">
        <v>185</v>
      </c>
      <c r="AF4485" s="153" t="s">
        <v>186</v>
      </c>
      <c r="AG4485" s="143">
        <f>AG4471*1.01</f>
        <v>122181.91408152532</v>
      </c>
      <c r="AH4485" s="128" t="s">
        <v>185</v>
      </c>
      <c r="AI4485" s="153" t="s">
        <v>186</v>
      </c>
      <c r="AJ4485" s="143">
        <f>AJ4471*1.01</f>
        <v>155138.60973326216</v>
      </c>
      <c r="AK4485" s="128" t="s">
        <v>185</v>
      </c>
      <c r="AL4485" s="153" t="s">
        <v>186</v>
      </c>
      <c r="AM4485" s="143">
        <f>AM4471*1.01</f>
        <v>181912.22077637512</v>
      </c>
      <c r="AN4485" s="128" t="s">
        <v>185</v>
      </c>
      <c r="AO4485" s="153" t="s">
        <v>186</v>
      </c>
      <c r="AP4485" s="143">
        <f>AP4471*1.01</f>
        <v>202953.7065917945</v>
      </c>
      <c r="AQ4485" s="128" t="s">
        <v>185</v>
      </c>
      <c r="AR4485" s="153" t="s">
        <v>186</v>
      </c>
      <c r="AS4485" s="143">
        <f>AS4471*1.01</f>
        <v>226429.02628286518</v>
      </c>
      <c r="AT4485" s="128" t="s">
        <v>185</v>
      </c>
      <c r="AU4485" s="153" t="s">
        <v>186</v>
      </c>
    </row>
    <row r="4486" spans="13:47" ht="14" x14ac:dyDescent="0.3">
      <c r="M4486" s="12"/>
      <c r="N4486" s="12"/>
      <c r="O4486" s="20"/>
      <c r="P4486" s="20"/>
      <c r="Q4486" s="23"/>
      <c r="R4486" s="139"/>
      <c r="S4486" s="130" t="s">
        <v>228</v>
      </c>
      <c r="T4486" s="131" t="s">
        <v>187</v>
      </c>
      <c r="U4486" s="144"/>
      <c r="V4486" s="130" t="s">
        <v>228</v>
      </c>
      <c r="W4486" s="154" t="s">
        <v>187</v>
      </c>
      <c r="X4486" s="144"/>
      <c r="Y4486" s="130" t="s">
        <v>228</v>
      </c>
      <c r="Z4486" s="154" t="s">
        <v>187</v>
      </c>
      <c r="AA4486" s="144"/>
      <c r="AB4486" s="130" t="s">
        <v>228</v>
      </c>
      <c r="AC4486" s="154" t="s">
        <v>187</v>
      </c>
      <c r="AD4486" s="144"/>
      <c r="AE4486" s="130" t="s">
        <v>228</v>
      </c>
      <c r="AF4486" s="154" t="s">
        <v>187</v>
      </c>
      <c r="AG4486" s="144"/>
      <c r="AH4486" s="130" t="s">
        <v>228</v>
      </c>
      <c r="AI4486" s="154" t="s">
        <v>187</v>
      </c>
      <c r="AJ4486" s="144"/>
      <c r="AK4486" s="130" t="s">
        <v>228</v>
      </c>
      <c r="AL4486" s="154" t="s">
        <v>187</v>
      </c>
      <c r="AM4486" s="144"/>
      <c r="AN4486" s="130" t="s">
        <v>228</v>
      </c>
      <c r="AO4486" s="154" t="s">
        <v>187</v>
      </c>
      <c r="AP4486" s="144"/>
      <c r="AQ4486" s="130" t="s">
        <v>228</v>
      </c>
      <c r="AR4486" s="154" t="s">
        <v>187</v>
      </c>
      <c r="AS4486" s="144"/>
      <c r="AT4486" s="130" t="s">
        <v>228</v>
      </c>
      <c r="AU4486" s="154" t="s">
        <v>187</v>
      </c>
    </row>
    <row r="4487" spans="13:47" x14ac:dyDescent="0.25">
      <c r="M4487" s="20"/>
      <c r="N4487" s="20"/>
      <c r="O4487" s="7" t="s">
        <v>188</v>
      </c>
      <c r="P4487" s="7"/>
      <c r="Q4487" s="7"/>
      <c r="R4487" s="181">
        <f>P_1_minW-(R4485^2*R_up)+dpup_minQ</f>
        <v>85.104582244672258</v>
      </c>
      <c r="S4487" s="132"/>
      <c r="T4487" s="145"/>
      <c r="U4487" s="138">
        <f>P_1_minW-(U4485^2*R_up)+dpup_minQ</f>
        <v>52.307747383387778</v>
      </c>
      <c r="V4487" s="132"/>
      <c r="W4487" s="145"/>
      <c r="X4487" s="138">
        <f>P_1_minW-(X4485^2*R_up)+dpup_minQ</f>
        <v>-194.37570680665092</v>
      </c>
      <c r="Y4487" s="132"/>
      <c r="Z4487" s="145"/>
      <c r="AA4487" s="138">
        <f>P_1_minW-(AA4485^2*R_up)+dpup_minQ</f>
        <v>-1018.2364678022262</v>
      </c>
      <c r="AB4487" s="132"/>
      <c r="AC4487" s="145"/>
      <c r="AD4487" s="138">
        <f>P_1_minW-(AD4485^2*R_up)+dpup_minQ</f>
        <v>-2925.512716733549</v>
      </c>
      <c r="AE4487" s="132"/>
      <c r="AF4487" s="145"/>
      <c r="AG4487" s="138">
        <f>P_1_minW-(AG4485^2*R_up)+dpup_minQ</f>
        <v>-5852.361440131258</v>
      </c>
      <c r="AH4487" s="132"/>
      <c r="AI4487" s="145"/>
      <c r="AJ4487" s="138">
        <f>P_1_minW-(AJ4485^2*R_up)+dpup_minQ</f>
        <v>-9496.8724012444582</v>
      </c>
      <c r="AK4487" s="132"/>
      <c r="AL4487" s="145"/>
      <c r="AM4487" s="138">
        <f>P_1_minW-(AM4485^2*R_up)+dpup_minQ</f>
        <v>-13095.32626515722</v>
      </c>
      <c r="AN4487" s="132"/>
      <c r="AO4487" s="145"/>
      <c r="AP4487" s="138">
        <f>P_1_minW-(AP4485^2*R_up)+dpup_minQ</f>
        <v>-16324.559811034827</v>
      </c>
      <c r="AQ4487" s="132"/>
      <c r="AR4487" s="145"/>
      <c r="AS4487" s="138">
        <f>P_1_minW-(AS4485^2*R_up)+dpup_minQ</f>
        <v>-20344.038020428387</v>
      </c>
      <c r="AT4487" s="132"/>
      <c r="AU4487" s="145"/>
    </row>
    <row r="4488" spans="13:47" x14ac:dyDescent="0.25">
      <c r="M4488" s="20"/>
      <c r="N4488" s="20"/>
      <c r="O4488" s="7" t="s">
        <v>189</v>
      </c>
      <c r="P4488" s="1"/>
      <c r="Q4488" s="7"/>
      <c r="R4488" s="181">
        <f>P_2_minW+(R4485^2*R_dn)-dpdn_minQ</f>
        <v>50</v>
      </c>
      <c r="S4488" s="132"/>
      <c r="T4488" s="146"/>
      <c r="U4488" s="138">
        <f>P_2_minW+(U4485^2*R_dn)-dpdn_minQ</f>
        <v>50</v>
      </c>
      <c r="V4488" s="132"/>
      <c r="W4488" s="146"/>
      <c r="X4488" s="138">
        <f>P_2_minW+(X4485^2*R_dn)-dpdn_minQ</f>
        <v>50</v>
      </c>
      <c r="Y4488" s="132"/>
      <c r="Z4488" s="146"/>
      <c r="AA4488" s="138">
        <f>P_2_minW+(AA4485^2*R_dn)-dpdn_minQ</f>
        <v>50</v>
      </c>
      <c r="AB4488" s="132"/>
      <c r="AC4488" s="146"/>
      <c r="AD4488" s="138">
        <f>P_2_minW+(AD4485^2*R_dn)-dpdn_minQ</f>
        <v>50</v>
      </c>
      <c r="AE4488" s="132"/>
      <c r="AF4488" s="146"/>
      <c r="AG4488" s="138">
        <f>P_2_minW+(AG4485^2*R_dn)-dpdn_minQ</f>
        <v>50</v>
      </c>
      <c r="AH4488" s="132"/>
      <c r="AI4488" s="146"/>
      <c r="AJ4488" s="138">
        <f>P_2_minW+(AJ4485^2*R_dn)-dpdn_minQ</f>
        <v>50</v>
      </c>
      <c r="AK4488" s="132"/>
      <c r="AL4488" s="146"/>
      <c r="AM4488" s="138">
        <f>P_2_minW+(AM4485^2*R_dn)-dpdn_minQ</f>
        <v>50</v>
      </c>
      <c r="AN4488" s="132"/>
      <c r="AO4488" s="146"/>
      <c r="AP4488" s="138">
        <f>P_2_minW+(AP4485^2*R_dn)-dpdn_minQ</f>
        <v>50</v>
      </c>
      <c r="AQ4488" s="132"/>
      <c r="AR4488" s="146"/>
      <c r="AS4488" s="138">
        <f>P_2_minW+(AS4485^2*R_dn)-dpdn_minQ</f>
        <v>50</v>
      </c>
      <c r="AT4488" s="132"/>
      <c r="AU4488" s="146"/>
    </row>
    <row r="4489" spans="13:47" x14ac:dyDescent="0.25">
      <c r="M4489" s="20"/>
      <c r="N4489" s="20"/>
      <c r="O4489" s="7" t="s">
        <v>234</v>
      </c>
      <c r="P4489" s="1"/>
      <c r="Q4489" s="7"/>
      <c r="R4489" s="179">
        <f>'Valve Sizing'!G$8*R4487/P_1_maxW</f>
        <v>0.4105293528113364</v>
      </c>
      <c r="S4489" s="132"/>
      <c r="T4489" s="146"/>
      <c r="U4489" s="143">
        <f>'Valve Sizing'!$G$8*U4487/P_1_maxW</f>
        <v>0.25232326055704679</v>
      </c>
      <c r="V4489" s="132"/>
      <c r="W4489" s="146"/>
      <c r="X4489" s="143">
        <f>'Valve Sizing'!$G$8*X4487/P_1_maxW</f>
        <v>-0.93763380317369405</v>
      </c>
      <c r="Y4489" s="132"/>
      <c r="Z4489" s="146"/>
      <c r="AA4489" s="143">
        <f>'Valve Sizing'!$G$8*AA4487/P_1_maxW</f>
        <v>-4.9117914348485963</v>
      </c>
      <c r="AB4489" s="132"/>
      <c r="AC4489" s="146"/>
      <c r="AD4489" s="143">
        <f>'Valve Sizing'!$G$8*AD4487/P_1_maxW</f>
        <v>-14.112152490086917</v>
      </c>
      <c r="AE4489" s="132"/>
      <c r="AF4489" s="146"/>
      <c r="AG4489" s="143">
        <f>'Valve Sizing'!$G$8*AG4487/P_1_maxW</f>
        <v>-28.230749638460416</v>
      </c>
      <c r="AH4489" s="132"/>
      <c r="AI4489" s="146"/>
      <c r="AJ4489" s="143">
        <f>'Valve Sizing'!$G$8*AJ4487/P_1_maxW</f>
        <v>-45.811221649687376</v>
      </c>
      <c r="AK4489" s="132"/>
      <c r="AL4489" s="146"/>
      <c r="AM4489" s="143">
        <f>'Valve Sizing'!$G$8*AM4487/P_1_maxW</f>
        <v>-63.169522423980176</v>
      </c>
      <c r="AN4489" s="132"/>
      <c r="AO4489" s="146"/>
      <c r="AP4489" s="143">
        <f>'Valve Sizing'!$G$8*AP4487/P_1_maxW</f>
        <v>-78.746770119697317</v>
      </c>
      <c r="AQ4489" s="132"/>
      <c r="AR4489" s="146"/>
      <c r="AS4489" s="143">
        <f>'Valve Sizing'!$G$8*AS4487/P_1_maxW</f>
        <v>-98.136017377824913</v>
      </c>
      <c r="AT4489" s="132"/>
      <c r="AU4489" s="146"/>
    </row>
    <row r="4490" spans="13:47" x14ac:dyDescent="0.25">
      <c r="M4490" s="20"/>
      <c r="N4490" s="20"/>
      <c r="O4490" s="7" t="s">
        <v>190</v>
      </c>
      <c r="P4490" s="1"/>
      <c r="Q4490" s="7"/>
      <c r="R4490" s="181">
        <f>R4487-R4488</f>
        <v>35.104582244672258</v>
      </c>
      <c r="S4490" s="132"/>
      <c r="T4490" s="146"/>
      <c r="U4490" s="138">
        <f>U4487-U4488</f>
        <v>2.3077473833877775</v>
      </c>
      <c r="V4490" s="132"/>
      <c r="W4490" s="146"/>
      <c r="X4490" s="138">
        <f>X4487-X4488</f>
        <v>-244.37570680665092</v>
      </c>
      <c r="Y4490" s="132"/>
      <c r="Z4490" s="146"/>
      <c r="AA4490" s="138">
        <f>AA4487-AA4488</f>
        <v>-1068.2364678022263</v>
      </c>
      <c r="AB4490" s="132"/>
      <c r="AC4490" s="146"/>
      <c r="AD4490" s="138">
        <f>AD4487-AD4488</f>
        <v>-2975.512716733549</v>
      </c>
      <c r="AE4490" s="132"/>
      <c r="AF4490" s="146"/>
      <c r="AG4490" s="138">
        <f>AG4487-AG4488</f>
        <v>-5902.361440131258</v>
      </c>
      <c r="AH4490" s="132"/>
      <c r="AI4490" s="146"/>
      <c r="AJ4490" s="138">
        <f>AJ4487-AJ4488</f>
        <v>-9546.8724012444582</v>
      </c>
      <c r="AK4490" s="132"/>
      <c r="AL4490" s="146"/>
      <c r="AM4490" s="138">
        <f>AM4487-AM4488</f>
        <v>-13145.32626515722</v>
      </c>
      <c r="AN4490" s="132"/>
      <c r="AO4490" s="146"/>
      <c r="AP4490" s="138">
        <f>AP4487-AP4488</f>
        <v>-16374.559811034827</v>
      </c>
      <c r="AQ4490" s="132"/>
      <c r="AR4490" s="146"/>
      <c r="AS4490" s="138">
        <f>AS4487-AS4488</f>
        <v>-20394.038020428387</v>
      </c>
      <c r="AT4490" s="132"/>
      <c r="AU4490" s="146"/>
    </row>
    <row r="4491" spans="13:47" ht="14.5" x14ac:dyDescent="0.35">
      <c r="M4491" s="27"/>
      <c r="N4491" s="27"/>
      <c r="O4491" s="2" t="s">
        <v>191</v>
      </c>
      <c r="P4491" s="10"/>
      <c r="Q4491" s="2"/>
      <c r="R4491" s="181">
        <f>R4490/R4487</f>
        <v>0.41248756904473127</v>
      </c>
      <c r="S4491" s="132"/>
      <c r="T4491" s="146"/>
      <c r="U4491" s="138">
        <f>U4490/U4487</f>
        <v>4.4118653523219517E-2</v>
      </c>
      <c r="V4491" s="132"/>
      <c r="W4491" s="146"/>
      <c r="X4491" s="138">
        <f>X4490/X4487</f>
        <v>1.257233791307758</v>
      </c>
      <c r="Y4491" s="132"/>
      <c r="Z4491" s="146"/>
      <c r="AA4491" s="138">
        <f>AA4490/AA4487</f>
        <v>1.0491045072348673</v>
      </c>
      <c r="AB4491" s="132"/>
      <c r="AC4491" s="146"/>
      <c r="AD4491" s="138">
        <f>AD4490/AD4487</f>
        <v>1.0170910212469788</v>
      </c>
      <c r="AE4491" s="132"/>
      <c r="AF4491" s="146"/>
      <c r="AG4491" s="138">
        <f>AG4490/AG4487</f>
        <v>1.0085435598111108</v>
      </c>
      <c r="AH4491" s="132"/>
      <c r="AI4491" s="146"/>
      <c r="AJ4491" s="138">
        <f>AJ4490/AJ4487</f>
        <v>1.0052648912070723</v>
      </c>
      <c r="AK4491" s="132"/>
      <c r="AL4491" s="146"/>
      <c r="AM4491" s="138">
        <f>AM4490/AM4487</f>
        <v>1.0038181561106296</v>
      </c>
      <c r="AN4491" s="132"/>
      <c r="AO4491" s="146"/>
      <c r="AP4491" s="138">
        <f>AP4490/AP4487</f>
        <v>1.0030628697238257</v>
      </c>
      <c r="AQ4491" s="132"/>
      <c r="AR4491" s="146"/>
      <c r="AS4491" s="138">
        <f>AS4490/AS4487</f>
        <v>1.0024577225008031</v>
      </c>
      <c r="AT4491" s="132"/>
      <c r="AU4491" s="146"/>
    </row>
    <row r="4492" spans="13:47" x14ac:dyDescent="0.25">
      <c r="M4492" s="27"/>
      <c r="N4492" s="27"/>
      <c r="O4492" s="2" t="s">
        <v>26</v>
      </c>
      <c r="P4492" s="7">
        <v>12</v>
      </c>
      <c r="Q4492" s="2"/>
      <c r="R4492" s="181">
        <f>1-R4491/(3*F_GAMMA*R$29)</f>
        <v>0.78517174729337991</v>
      </c>
      <c r="S4492" s="133"/>
      <c r="T4492" s="146"/>
      <c r="U4492" s="138">
        <f>1-U4491/(3*F_GAMMA*U$29)</f>
        <v>0.97702755875716119</v>
      </c>
      <c r="V4492" s="133"/>
      <c r="W4492" s="146"/>
      <c r="X4492" s="138">
        <f>1-X4491/(3*F_GAMMA*X$29)</f>
        <v>0.3355417954886607</v>
      </c>
      <c r="Y4492" s="133"/>
      <c r="Z4492" s="146"/>
      <c r="AA4492" s="138">
        <f>1-AA4491/(3*F_GAMMA*AA$29)</f>
        <v>0.4379373807881759</v>
      </c>
      <c r="AB4492" s="133"/>
      <c r="AC4492" s="146"/>
      <c r="AD4492" s="138">
        <f>1-AD4491/(3*F_GAMMA*AD$29)</f>
        <v>0.44014844714397505</v>
      </c>
      <c r="AE4492" s="133"/>
      <c r="AF4492" s="146"/>
      <c r="AG4492" s="138">
        <f>1-AG4491/(3*F_GAMMA*AG$29)</f>
        <v>0.41318690340219899</v>
      </c>
      <c r="AH4492" s="133"/>
      <c r="AI4492" s="146"/>
      <c r="AJ4492" s="138">
        <f>1-AJ4491/(3*F_GAMMA*AJ$29)</f>
        <v>0.37472816688359201</v>
      </c>
      <c r="AK4492" s="133"/>
      <c r="AL4492" s="146"/>
      <c r="AM4492" s="138">
        <f>1-AM4491/(3*F_GAMMA*AM$29)</f>
        <v>0.31781013320301943</v>
      </c>
      <c r="AN4492" s="133"/>
      <c r="AO4492" s="146"/>
      <c r="AP4492" s="138">
        <f>1-AP4491/(3*F_GAMMA*AP$29)</f>
        <v>0.4366680570216519</v>
      </c>
      <c r="AQ4492" s="133"/>
      <c r="AR4492" s="146"/>
      <c r="AS4492" s="138">
        <f>1-AS4491/(3*F_GAMMA*AS$29)</f>
        <v>0.14532909438670705</v>
      </c>
      <c r="AT4492" s="133"/>
      <c r="AU4492" s="146"/>
    </row>
    <row r="4493" spans="13:47" x14ac:dyDescent="0.25">
      <c r="M4493" s="27"/>
      <c r="N4493" s="27"/>
      <c r="O4493" s="2" t="s">
        <v>71</v>
      </c>
      <c r="P4493" s="85">
        <v>5</v>
      </c>
      <c r="Q4493" s="2"/>
      <c r="R4493" s="179">
        <f>R4485/((N_6*R$27*R4492)*SQRT(R4491*R4487*R4489))</f>
        <v>32.960150088035441</v>
      </c>
      <c r="S4493" s="133"/>
      <c r="T4493" s="146"/>
      <c r="U4493" s="143">
        <f>U4485/((N_6*U$27*U4492)*SQRT(U4491*U4487*U4489))</f>
        <v>233.16995573167776</v>
      </c>
      <c r="V4493" s="133"/>
      <c r="W4493" s="146"/>
      <c r="X4493" s="143">
        <f>X4485/((N_6*X$27*X4492)*SQRT(X4491*X4487*X4489))</f>
        <v>84.833298190597432</v>
      </c>
      <c r="Y4493" s="133"/>
      <c r="Z4493" s="146"/>
      <c r="AA4493" s="143">
        <f>AA4485/((N_6*AA$27*AA4492)*SQRT(AA4491*AA4487*AA4489))</f>
        <v>26.608204502387782</v>
      </c>
      <c r="AB4493" s="133"/>
      <c r="AC4493" s="146"/>
      <c r="AD4493" s="143">
        <f>AD4485/((N_6*AD$27*AD4492)*SQRT(AD4491*AD4487*AD4489))</f>
        <v>15.574635975878291</v>
      </c>
      <c r="AE4493" s="133"/>
      <c r="AF4493" s="146"/>
      <c r="AG4493" s="143">
        <f>AG4485/((N_6*AG$27*AG4492)*SQRT(AG4491*AG4487*AG4489))</f>
        <v>11.933597668749352</v>
      </c>
      <c r="AH4493" s="133"/>
      <c r="AI4493" s="146"/>
      <c r="AJ4493" s="143">
        <f>AJ4485/((N_6*AJ$27*AJ4492)*SQRT(AJ4491*AJ4487*AJ4489))</f>
        <v>10.666741175478499</v>
      </c>
      <c r="AK4493" s="133"/>
      <c r="AL4493" s="146"/>
      <c r="AM4493" s="143">
        <f>AM4485/((N_6*AM$27*AM4492)*SQRT(AM4491*AM4487*AM4489))</f>
        <v>11.360137652082127</v>
      </c>
      <c r="AN4493" s="133"/>
      <c r="AO4493" s="146"/>
      <c r="AP4493" s="143">
        <f>AP4485/((N_6*AP$27*AP4492)*SQRT(AP4491*AP4487*AP4489))</f>
        <v>8.4086724346855224</v>
      </c>
      <c r="AQ4493" s="133"/>
      <c r="AR4493" s="146"/>
      <c r="AS4493" s="143">
        <f>AS4485/((N_6*AS$27*AS4492)*SQRT(AS4491*AS4487*AS4489))</f>
        <v>29.729265959385664</v>
      </c>
      <c r="AT4493" s="133"/>
      <c r="AU4493" s="146"/>
    </row>
    <row r="4494" spans="13:47" x14ac:dyDescent="0.25">
      <c r="M4494" s="27"/>
      <c r="N4494" s="27"/>
      <c r="O4494" s="2" t="s">
        <v>73</v>
      </c>
      <c r="P4494" s="85">
        <v>5</v>
      </c>
      <c r="Q4494" s="2"/>
      <c r="R4494" s="179">
        <f>R4485/((N_6*R$27*0.667)*SQRT(R4495*R4487*R4489))</f>
        <v>31.148299091913351</v>
      </c>
      <c r="S4494" s="133"/>
      <c r="T4494" s="147"/>
      <c r="U4494" s="143">
        <f>U4485/((N_6*U$27*0.667)*SQRT(U4495*U4487*U4489))</f>
        <v>89.663930432499683</v>
      </c>
      <c r="V4494" s="133"/>
      <c r="W4494" s="155"/>
      <c r="X4494" s="143">
        <f>X4485/((N_6*X$27*0.667)*SQRT(X4495*X4487*X4489))</f>
        <v>60.253406285159883</v>
      </c>
      <c r="Y4494" s="133"/>
      <c r="Z4494" s="155"/>
      <c r="AA4494" s="143">
        <f>AA4485/((N_6*AA$27*0.667)*SQRT(AA4495*AA4487*AA4489))</f>
        <v>22.685833026309624</v>
      </c>
      <c r="AB4494" s="133"/>
      <c r="AC4494" s="155"/>
      <c r="AD4494" s="143">
        <f>AD4485/((N_6*AD$27*0.667)*SQRT(AD4495*AD4487*AD4489))</f>
        <v>13.319512070253076</v>
      </c>
      <c r="AE4494" s="133"/>
      <c r="AF4494" s="155"/>
      <c r="AG4494" s="143">
        <f>AG4485/((N_6*AG$27*0.667)*SQRT(AG4495*AG4487*AG4489))</f>
        <v>9.8085007973734815</v>
      </c>
      <c r="AH4494" s="133"/>
      <c r="AI4494" s="155"/>
      <c r="AJ4494" s="143">
        <f>AJ4485/((N_6*AJ$27*0.667)*SQRT(AJ4495*AJ4487*AJ4489))</f>
        <v>8.2076215271104349</v>
      </c>
      <c r="AK4494" s="133"/>
      <c r="AL4494" s="155"/>
      <c r="AM4494" s="143">
        <f>AM4485/((N_6*AM$27*0.667)*SQRT(AM4495*AM4487*AM4489))</f>
        <v>7.743525977786839</v>
      </c>
      <c r="AN4494" s="133"/>
      <c r="AO4494" s="155"/>
      <c r="AP4494" s="143">
        <f>AP4485/((N_6*AP$27*0.667)*SQRT(AP4495*AP4487*AP4489))</f>
        <v>7.1564203297355302</v>
      </c>
      <c r="AQ4494" s="133"/>
      <c r="AR4494" s="155"/>
      <c r="AS4494" s="143">
        <f>AS4485/((N_6*AS$27*0.667)*SQRT(AS4495*AS4487*AS4489))</f>
        <v>10.372202976614307</v>
      </c>
      <c r="AT4494" s="133"/>
      <c r="AU4494" s="155"/>
    </row>
    <row r="4495" spans="13:47" ht="15.5" x14ac:dyDescent="0.4">
      <c r="M4495" s="27"/>
      <c r="N4495" s="27"/>
      <c r="O4495" s="2" t="s">
        <v>192</v>
      </c>
      <c r="P4495" s="85">
        <v>10</v>
      </c>
      <c r="Q4495" s="2"/>
      <c r="R4495" s="181">
        <f>F_GAMMA*R$29</f>
        <v>0.64002688015162901</v>
      </c>
      <c r="S4495" s="133"/>
      <c r="T4495" s="147"/>
      <c r="U4495" s="138">
        <f>F_GAMMA*U$29</f>
        <v>0.64016782916606918</v>
      </c>
      <c r="V4495" s="133"/>
      <c r="W4495" s="155"/>
      <c r="X4495" s="138">
        <f>F_GAMMA*X$29</f>
        <v>0.6307062319203669</v>
      </c>
      <c r="Y4495" s="133"/>
      <c r="Z4495" s="155"/>
      <c r="AA4495" s="138">
        <f>F_GAMMA*AA$29</f>
        <v>0.62217534213893466</v>
      </c>
      <c r="AB4495" s="133"/>
      <c r="AC4495" s="155"/>
      <c r="AD4495" s="138">
        <f>F_GAMMA*AD$29</f>
        <v>0.60557184969146072</v>
      </c>
      <c r="AE4495" s="133"/>
      <c r="AF4495" s="155"/>
      <c r="AG4495" s="138">
        <f>F_GAMMA*AG$29</f>
        <v>0.57289312142622573</v>
      </c>
      <c r="AH4495" s="133"/>
      <c r="AI4495" s="155"/>
      <c r="AJ4495" s="138">
        <f>F_GAMMA*AJ$29</f>
        <v>0.53590819116049981</v>
      </c>
      <c r="AK4495" s="133"/>
      <c r="AL4495" s="155"/>
      <c r="AM4495" s="138">
        <f>F_GAMMA*AM$29</f>
        <v>0.49048815926850342</v>
      </c>
      <c r="AN4495" s="133"/>
      <c r="AO4495" s="155"/>
      <c r="AP4495" s="138">
        <f>F_GAMMA*AP$29</f>
        <v>0.59352979016280105</v>
      </c>
      <c r="AQ4495" s="133"/>
      <c r="AR4495" s="155"/>
      <c r="AS4495" s="138">
        <f>F_GAMMA*AS$29</f>
        <v>0.39097221161068291</v>
      </c>
      <c r="AT4495" s="133"/>
      <c r="AU4495" s="155"/>
    </row>
    <row r="4496" spans="13:47" x14ac:dyDescent="0.25">
      <c r="M4496" s="27"/>
      <c r="N4496" s="27"/>
      <c r="O4496" s="2" t="s">
        <v>193</v>
      </c>
      <c r="P4496" s="134"/>
      <c r="Q4496" s="2"/>
      <c r="R4496" s="181">
        <f>IF(R4491&lt;R4495,R4493,R4494)</f>
        <v>32.960150088035441</v>
      </c>
      <c r="S4496" s="133"/>
      <c r="T4496" s="147"/>
      <c r="U4496" s="138">
        <f>IF(U4491&lt;U4495,U4493,U4494)</f>
        <v>233.16995573167776</v>
      </c>
      <c r="V4496" s="133"/>
      <c r="W4496" s="155"/>
      <c r="X4496" s="138">
        <f>IF(X4491&lt;X4495,X4493,X4494)</f>
        <v>60.253406285159883</v>
      </c>
      <c r="Y4496" s="133"/>
      <c r="Z4496" s="155"/>
      <c r="AA4496" s="138">
        <f>IF(AA4491&lt;AA4495,AA4493,AA4494)</f>
        <v>22.685833026309624</v>
      </c>
      <c r="AB4496" s="133"/>
      <c r="AC4496" s="155"/>
      <c r="AD4496" s="138">
        <f>IF(AD4491&lt;AD4495,AD4493,AD4494)</f>
        <v>13.319512070253076</v>
      </c>
      <c r="AE4496" s="133"/>
      <c r="AF4496" s="155"/>
      <c r="AG4496" s="138">
        <f>IF(AG4491&lt;AG4495,AG4493,AG4494)</f>
        <v>9.8085007973734815</v>
      </c>
      <c r="AH4496" s="133"/>
      <c r="AI4496" s="155"/>
      <c r="AJ4496" s="138">
        <f>IF(AJ4491&lt;AJ4495,AJ4493,AJ4494)</f>
        <v>8.2076215271104349</v>
      </c>
      <c r="AK4496" s="133"/>
      <c r="AL4496" s="155"/>
      <c r="AM4496" s="138">
        <f>IF(AM4491&lt;AM4495,AM4493,AM4494)</f>
        <v>7.743525977786839</v>
      </c>
      <c r="AN4496" s="133"/>
      <c r="AO4496" s="155"/>
      <c r="AP4496" s="138">
        <f>IF(AP4491&lt;AP4495,AP4493,AP4494)</f>
        <v>7.1564203297355302</v>
      </c>
      <c r="AQ4496" s="133"/>
      <c r="AR4496" s="155"/>
      <c r="AS4496" s="138">
        <f>IF(AS4491&lt;AS4495,AS4493,AS4494)</f>
        <v>10.372202976614307</v>
      </c>
      <c r="AT4496" s="133"/>
      <c r="AU4496" s="155"/>
    </row>
    <row r="4497" spans="13:47" ht="13" x14ac:dyDescent="0.3">
      <c r="M4497" s="28"/>
      <c r="N4497" s="28"/>
      <c r="O4497" s="9" t="s">
        <v>194</v>
      </c>
      <c r="P4497" s="1"/>
      <c r="Q4497" s="1"/>
      <c r="R4497" s="135"/>
      <c r="S4497" s="132">
        <f>IF(R4490&lt;=0,W_max,ABS(R$23-R4496))</f>
        <v>30.960150088035441</v>
      </c>
      <c r="T4497" s="151">
        <f>R4485</f>
        <v>6218.1344319189484</v>
      </c>
      <c r="U4497" s="135"/>
      <c r="V4497" s="132">
        <f>IF(U4490&lt;=0,W_max,ABS(U$23-U4496))</f>
        <v>228.16995573167776</v>
      </c>
      <c r="W4497" s="151">
        <f>U4485</f>
        <v>10995.993362906311</v>
      </c>
      <c r="X4497" s="135"/>
      <c r="Y4497" s="132">
        <f>IF(X4490&lt;=0,W_max,ABS(X$23-X4496))</f>
        <v>7174</v>
      </c>
      <c r="Z4497" s="151">
        <f>X4485</f>
        <v>27194.400125016531</v>
      </c>
      <c r="AA4497" s="135"/>
      <c r="AB4497" s="132">
        <f>IF(AA4490&lt;=0,W_max,ABS(AA$23-AA4496))</f>
        <v>7174</v>
      </c>
      <c r="AC4497" s="151">
        <f>AA4485</f>
        <v>52967.750197631613</v>
      </c>
      <c r="AD4497" s="135"/>
      <c r="AE4497" s="132">
        <f>IF(AD4490&lt;=0,W_max,ABS(AD$23-AD4496))</f>
        <v>7174</v>
      </c>
      <c r="AF4497" s="151">
        <f>AD4485</f>
        <v>87112.447506502489</v>
      </c>
      <c r="AG4497" s="135"/>
      <c r="AH4497" s="132">
        <f>IF(AG4490&lt;=0,W_max,ABS(AG$23-AG4496))</f>
        <v>7174</v>
      </c>
      <c r="AI4497" s="151">
        <f>AG4485</f>
        <v>122181.91408152532</v>
      </c>
      <c r="AJ4497" s="135"/>
      <c r="AK4497" s="132">
        <f>IF(AJ4490&lt;=0,W_max,ABS(AJ$23-AJ4496))</f>
        <v>7174</v>
      </c>
      <c r="AL4497" s="151">
        <f>AJ4485</f>
        <v>155138.60973326216</v>
      </c>
      <c r="AM4497" s="135"/>
      <c r="AN4497" s="132">
        <f>IF(AM4490&lt;=0,W_max,ABS(AM$23-AM4496))</f>
        <v>7174</v>
      </c>
      <c r="AO4497" s="151">
        <f>AM4485</f>
        <v>181912.22077637512</v>
      </c>
      <c r="AP4497" s="135"/>
      <c r="AQ4497" s="132">
        <f>IF(AP4490&lt;=0,W_max,ABS(AP$23-AP4496))</f>
        <v>7174</v>
      </c>
      <c r="AR4497" s="151">
        <f>AP4485</f>
        <v>202953.7065917945</v>
      </c>
      <c r="AS4497" s="135"/>
      <c r="AT4497" s="132">
        <f>IF(AS4490&lt;=0,W_max,ABS(AS$23-AS4496))</f>
        <v>7174</v>
      </c>
      <c r="AU4497" s="151">
        <f>AS4485</f>
        <v>226429.02628286518</v>
      </c>
    </row>
    <row r="4498" spans="13:47" ht="13" x14ac:dyDescent="0.25">
      <c r="M4498" s="12"/>
      <c r="N4498" s="12"/>
      <c r="O4498" s="12"/>
      <c r="P4498" s="12"/>
      <c r="Q4498" s="12"/>
      <c r="R4498" s="182"/>
      <c r="S4498" s="22"/>
      <c r="T4498" s="152"/>
      <c r="U4498" s="157"/>
      <c r="V4498" s="1"/>
      <c r="W4498" s="147"/>
      <c r="X4498" s="157"/>
      <c r="Y4498" s="1"/>
      <c r="Z4498" s="147"/>
      <c r="AA4498" s="157"/>
      <c r="AB4498" s="1"/>
      <c r="AC4498" s="147"/>
      <c r="AD4498" s="157"/>
      <c r="AE4498" s="1"/>
      <c r="AF4498" s="147"/>
      <c r="AG4498" s="157"/>
      <c r="AH4498" s="1"/>
      <c r="AI4498" s="147"/>
      <c r="AJ4498" s="157"/>
      <c r="AK4498" s="1"/>
      <c r="AL4498" s="147"/>
      <c r="AM4498" s="157"/>
      <c r="AN4498" s="1"/>
      <c r="AO4498" s="147"/>
      <c r="AP4498" s="157"/>
      <c r="AQ4498" s="1"/>
      <c r="AR4498" s="147"/>
      <c r="AS4498" s="157"/>
      <c r="AT4498" s="1"/>
      <c r="AU4498" s="147"/>
    </row>
    <row r="4499" spans="13:47" ht="14" x14ac:dyDescent="0.3">
      <c r="M4499" s="23"/>
      <c r="N4499" s="23"/>
      <c r="O4499" s="23" t="s">
        <v>238</v>
      </c>
      <c r="P4499" s="20"/>
      <c r="Q4499" s="20"/>
      <c r="R4499" s="18">
        <f>R4485*1.02</f>
        <v>6342.4971205573274</v>
      </c>
      <c r="S4499" s="128" t="s">
        <v>185</v>
      </c>
      <c r="T4499" s="153" t="s">
        <v>186</v>
      </c>
      <c r="U4499" s="143">
        <f>U4485*1.01</f>
        <v>11105.953296535374</v>
      </c>
      <c r="V4499" s="128" t="s">
        <v>185</v>
      </c>
      <c r="W4499" s="153" t="s">
        <v>186</v>
      </c>
      <c r="X4499" s="143">
        <f>X4485*1.01</f>
        <v>27466.344126266697</v>
      </c>
      <c r="Y4499" s="128" t="s">
        <v>185</v>
      </c>
      <c r="Z4499" s="153" t="s">
        <v>186</v>
      </c>
      <c r="AA4499" s="143">
        <f>AA4485*1.01</f>
        <v>53497.427699607928</v>
      </c>
      <c r="AB4499" s="128" t="s">
        <v>185</v>
      </c>
      <c r="AC4499" s="153" t="s">
        <v>186</v>
      </c>
      <c r="AD4499" s="143">
        <f>AD4485*1.01</f>
        <v>87983.571981567511</v>
      </c>
      <c r="AE4499" s="128" t="s">
        <v>185</v>
      </c>
      <c r="AF4499" s="153" t="s">
        <v>186</v>
      </c>
      <c r="AG4499" s="143">
        <f>AG4485*1.01</f>
        <v>123403.73322234057</v>
      </c>
      <c r="AH4499" s="128" t="s">
        <v>185</v>
      </c>
      <c r="AI4499" s="153" t="s">
        <v>186</v>
      </c>
      <c r="AJ4499" s="143">
        <f>AJ4485*1.01</f>
        <v>156689.99583059479</v>
      </c>
      <c r="AK4499" s="128" t="s">
        <v>185</v>
      </c>
      <c r="AL4499" s="153" t="s">
        <v>186</v>
      </c>
      <c r="AM4499" s="143">
        <f>AM4485*1.01</f>
        <v>183731.34298413887</v>
      </c>
      <c r="AN4499" s="128" t="s">
        <v>185</v>
      </c>
      <c r="AO4499" s="153" t="s">
        <v>186</v>
      </c>
      <c r="AP4499" s="143">
        <f>AP4485*1.01</f>
        <v>204983.24365771245</v>
      </c>
      <c r="AQ4499" s="128" t="s">
        <v>185</v>
      </c>
      <c r="AR4499" s="153" t="s">
        <v>186</v>
      </c>
      <c r="AS4499" s="143">
        <f>AS4485*1.01</f>
        <v>228693.31654569381</v>
      </c>
      <c r="AT4499" s="128" t="s">
        <v>185</v>
      </c>
      <c r="AU4499" s="153" t="s">
        <v>186</v>
      </c>
    </row>
    <row r="4500" spans="13:47" ht="14" x14ac:dyDescent="0.3">
      <c r="M4500" s="12"/>
      <c r="N4500" s="12"/>
      <c r="O4500" s="20"/>
      <c r="P4500" s="20"/>
      <c r="Q4500" s="23"/>
      <c r="R4500" s="139"/>
      <c r="S4500" s="130" t="s">
        <v>228</v>
      </c>
      <c r="T4500" s="154" t="s">
        <v>187</v>
      </c>
      <c r="U4500" s="144"/>
      <c r="V4500" s="130" t="s">
        <v>228</v>
      </c>
      <c r="W4500" s="154" t="s">
        <v>187</v>
      </c>
      <c r="X4500" s="144"/>
      <c r="Y4500" s="130" t="s">
        <v>228</v>
      </c>
      <c r="Z4500" s="154" t="s">
        <v>187</v>
      </c>
      <c r="AA4500" s="144"/>
      <c r="AB4500" s="130" t="s">
        <v>228</v>
      </c>
      <c r="AC4500" s="154" t="s">
        <v>187</v>
      </c>
      <c r="AD4500" s="144"/>
      <c r="AE4500" s="130" t="s">
        <v>228</v>
      </c>
      <c r="AF4500" s="154" t="s">
        <v>187</v>
      </c>
      <c r="AG4500" s="144"/>
      <c r="AH4500" s="130" t="s">
        <v>228</v>
      </c>
      <c r="AI4500" s="154" t="s">
        <v>187</v>
      </c>
      <c r="AJ4500" s="144"/>
      <c r="AK4500" s="130" t="s">
        <v>228</v>
      </c>
      <c r="AL4500" s="154" t="s">
        <v>187</v>
      </c>
      <c r="AM4500" s="144"/>
      <c r="AN4500" s="130" t="s">
        <v>228</v>
      </c>
      <c r="AO4500" s="154" t="s">
        <v>187</v>
      </c>
      <c r="AP4500" s="144"/>
      <c r="AQ4500" s="130" t="s">
        <v>228</v>
      </c>
      <c r="AR4500" s="154" t="s">
        <v>187</v>
      </c>
      <c r="AS4500" s="144"/>
      <c r="AT4500" s="130" t="s">
        <v>228</v>
      </c>
      <c r="AU4500" s="154" t="s">
        <v>187</v>
      </c>
    </row>
    <row r="4501" spans="13:47" x14ac:dyDescent="0.25">
      <c r="M4501" s="20"/>
      <c r="N4501" s="20"/>
      <c r="O4501" s="7" t="s">
        <v>188</v>
      </c>
      <c r="P4501" s="7"/>
      <c r="Q4501" s="7"/>
      <c r="R4501" s="181">
        <f>P_1_minW-(R4499^2*R_up)+dpup_minQ</f>
        <v>84.481686783193254</v>
      </c>
      <c r="S4501" s="132"/>
      <c r="T4501" s="145"/>
      <c r="U4501" s="138">
        <f>P_1_minW-(U4499^2*R_up)+dpup_minQ</f>
        <v>51.338625092385662</v>
      </c>
      <c r="V4501" s="132"/>
      <c r="W4501" s="145"/>
      <c r="X4501" s="138">
        <f>P_1_minW-(X4499^2*R_up)+dpup_minQ</f>
        <v>-200.30316652687279</v>
      </c>
      <c r="Y4501" s="132"/>
      <c r="Z4501" s="145"/>
      <c r="AA4501" s="138">
        <f>P_1_minW-(AA4499^2*R_up)+dpup_minQ</f>
        <v>-1040.7235288184593</v>
      </c>
      <c r="AB4501" s="132"/>
      <c r="AC4501" s="145"/>
      <c r="AD4501" s="138">
        <f>P_1_minW-(AD4499^2*R_up)+dpup_minQ</f>
        <v>-2986.3360303533013</v>
      </c>
      <c r="AE4501" s="132"/>
      <c r="AF4501" s="145"/>
      <c r="AG4501" s="138">
        <f>P_1_minW-(AG4499^2*R_up)+dpup_minQ</f>
        <v>-5972.014413091304</v>
      </c>
      <c r="AH4501" s="132"/>
      <c r="AI4501" s="145"/>
      <c r="AJ4501" s="138">
        <f>P_1_minW-(AJ4499^2*R_up)+dpup_minQ</f>
        <v>-9689.7800445228822</v>
      </c>
      <c r="AK4501" s="132"/>
      <c r="AL4501" s="145"/>
      <c r="AM4501" s="138">
        <f>P_1_minW-(AM4499^2*R_up)+dpup_minQ</f>
        <v>-13360.562831100287</v>
      </c>
      <c r="AN4501" s="132"/>
      <c r="AO4501" s="145"/>
      <c r="AP4501" s="138">
        <f>P_1_minW-(AP4499^2*R_up)+dpup_minQ</f>
        <v>-16654.703971250034</v>
      </c>
      <c r="AQ4501" s="132"/>
      <c r="AR4501" s="145"/>
      <c r="AS4501" s="138">
        <f>P_1_minW-(AS4499^2*R_up)+dpup_minQ</f>
        <v>-20754.973692652406</v>
      </c>
      <c r="AT4501" s="132"/>
      <c r="AU4501" s="145"/>
    </row>
    <row r="4502" spans="13:47" x14ac:dyDescent="0.25">
      <c r="M4502" s="20"/>
      <c r="N4502" s="20"/>
      <c r="O4502" s="7" t="s">
        <v>189</v>
      </c>
      <c r="P4502" s="1"/>
      <c r="Q4502" s="7"/>
      <c r="R4502" s="181">
        <f>P_2_minW+(R4499^2*R_dn)-dpdn_minQ</f>
        <v>50</v>
      </c>
      <c r="S4502" s="132"/>
      <c r="T4502" s="146"/>
      <c r="U4502" s="138">
        <f>P_2_minW+(U4499^2*R_dn)-dpdn_minQ</f>
        <v>50</v>
      </c>
      <c r="V4502" s="132"/>
      <c r="W4502" s="146"/>
      <c r="X4502" s="138">
        <f>P_2_minW+(X4499^2*R_dn)-dpdn_minQ</f>
        <v>50</v>
      </c>
      <c r="Y4502" s="132"/>
      <c r="Z4502" s="146"/>
      <c r="AA4502" s="138">
        <f>P_2_minW+(AA4499^2*R_dn)-dpdn_minQ</f>
        <v>50</v>
      </c>
      <c r="AB4502" s="132"/>
      <c r="AC4502" s="146"/>
      <c r="AD4502" s="138">
        <f>P_2_minW+(AD4499^2*R_dn)-dpdn_minQ</f>
        <v>50</v>
      </c>
      <c r="AE4502" s="132"/>
      <c r="AF4502" s="146"/>
      <c r="AG4502" s="138">
        <f>P_2_minW+(AG4499^2*R_dn)-dpdn_minQ</f>
        <v>50</v>
      </c>
      <c r="AH4502" s="132"/>
      <c r="AI4502" s="146"/>
      <c r="AJ4502" s="138">
        <f>P_2_minW+(AJ4499^2*R_dn)-dpdn_minQ</f>
        <v>50</v>
      </c>
      <c r="AK4502" s="132"/>
      <c r="AL4502" s="146"/>
      <c r="AM4502" s="138">
        <f>P_2_minW+(AM4499^2*R_dn)-dpdn_minQ</f>
        <v>50</v>
      </c>
      <c r="AN4502" s="132"/>
      <c r="AO4502" s="146"/>
      <c r="AP4502" s="138">
        <f>P_2_minW+(AP4499^2*R_dn)-dpdn_minQ</f>
        <v>50</v>
      </c>
      <c r="AQ4502" s="132"/>
      <c r="AR4502" s="146"/>
      <c r="AS4502" s="138">
        <f>P_2_minW+(AS4499^2*R_dn)-dpdn_minQ</f>
        <v>50</v>
      </c>
      <c r="AT4502" s="132"/>
      <c r="AU4502" s="146"/>
    </row>
    <row r="4503" spans="13:47" x14ac:dyDescent="0.25">
      <c r="M4503" s="20"/>
      <c r="N4503" s="20"/>
      <c r="O4503" s="7" t="s">
        <v>234</v>
      </c>
      <c r="P4503" s="1"/>
      <c r="Q4503" s="7"/>
      <c r="R4503" s="179">
        <f>'Valve Sizing'!G$8*R4501/P_1_maxW</f>
        <v>0.40752461600486323</v>
      </c>
      <c r="S4503" s="132"/>
      <c r="T4503" s="146"/>
      <c r="U4503" s="143">
        <f>'Valve Sizing'!$G$8*U4501/P_1_maxW</f>
        <v>0.24764838716684173</v>
      </c>
      <c r="V4503" s="132"/>
      <c r="W4503" s="146"/>
      <c r="X4503" s="143">
        <f>'Valve Sizing'!$G$8*X4501/P_1_maxW</f>
        <v>-0.96622681354488671</v>
      </c>
      <c r="Y4503" s="132"/>
      <c r="Z4503" s="146"/>
      <c r="AA4503" s="143">
        <f>'Valve Sizing'!$G$8*AA4501/P_1_maxW</f>
        <v>-5.0202650136164548</v>
      </c>
      <c r="AB4503" s="132"/>
      <c r="AC4503" s="146"/>
      <c r="AD4503" s="143">
        <f>'Valve Sizing'!$G$8*AD4501/P_1_maxW</f>
        <v>-14.405553326065064</v>
      </c>
      <c r="AE4503" s="132"/>
      <c r="AF4503" s="146"/>
      <c r="AG4503" s="143">
        <f>'Valve Sizing'!$G$8*AG4501/P_1_maxW</f>
        <v>-28.807934277120872</v>
      </c>
      <c r="AH4503" s="132"/>
      <c r="AI4503" s="146"/>
      <c r="AJ4503" s="143">
        <f>'Valve Sizing'!$G$8*AJ4501/P_1_maxW</f>
        <v>-46.741773775773503</v>
      </c>
      <c r="AK4503" s="132"/>
      <c r="AL4503" s="146"/>
      <c r="AM4503" s="143">
        <f>'Valve Sizing'!$G$8*AM4501/P_1_maxW</f>
        <v>-64.448976395629558</v>
      </c>
      <c r="AN4503" s="132"/>
      <c r="AO4503" s="146"/>
      <c r="AP4503" s="143">
        <f>'Valve Sizing'!$G$8*AP4501/P_1_maxW</f>
        <v>-80.339326770030624</v>
      </c>
      <c r="AQ4503" s="132"/>
      <c r="AR4503" s="146"/>
      <c r="AS4503" s="143">
        <f>'Valve Sizing'!$G$8*AS4501/P_1_maxW</f>
        <v>-100.11829789804661</v>
      </c>
      <c r="AT4503" s="132"/>
      <c r="AU4503" s="146"/>
    </row>
    <row r="4504" spans="13:47" x14ac:dyDescent="0.25">
      <c r="M4504" s="20"/>
      <c r="N4504" s="20"/>
      <c r="O4504" s="7" t="s">
        <v>190</v>
      </c>
      <c r="P4504" s="1"/>
      <c r="Q4504" s="7"/>
      <c r="R4504" s="181">
        <f>R4501-R4502</f>
        <v>34.481686783193254</v>
      </c>
      <c r="S4504" s="132"/>
      <c r="T4504" s="146"/>
      <c r="U4504" s="138">
        <f>U4501-U4502</f>
        <v>1.3386250923856622</v>
      </c>
      <c r="V4504" s="132"/>
      <c r="W4504" s="146"/>
      <c r="X4504" s="138">
        <f>X4501-X4502</f>
        <v>-250.30316652687279</v>
      </c>
      <c r="Y4504" s="132"/>
      <c r="Z4504" s="146"/>
      <c r="AA4504" s="138">
        <f>AA4501-AA4502</f>
        <v>-1090.7235288184593</v>
      </c>
      <c r="AB4504" s="132"/>
      <c r="AC4504" s="146"/>
      <c r="AD4504" s="138">
        <f>AD4501-AD4502</f>
        <v>-3036.3360303533013</v>
      </c>
      <c r="AE4504" s="132"/>
      <c r="AF4504" s="146"/>
      <c r="AG4504" s="138">
        <f>AG4501-AG4502</f>
        <v>-6022.014413091304</v>
      </c>
      <c r="AH4504" s="132"/>
      <c r="AI4504" s="146"/>
      <c r="AJ4504" s="138">
        <f>AJ4501-AJ4502</f>
        <v>-9739.7800445228822</v>
      </c>
      <c r="AK4504" s="132"/>
      <c r="AL4504" s="146"/>
      <c r="AM4504" s="138">
        <f>AM4501-AM4502</f>
        <v>-13410.562831100287</v>
      </c>
      <c r="AN4504" s="132"/>
      <c r="AO4504" s="146"/>
      <c r="AP4504" s="138">
        <f>AP4501-AP4502</f>
        <v>-16704.703971250034</v>
      </c>
      <c r="AQ4504" s="132"/>
      <c r="AR4504" s="146"/>
      <c r="AS4504" s="138">
        <f>AS4501-AS4502</f>
        <v>-20804.973692652406</v>
      </c>
      <c r="AT4504" s="132"/>
      <c r="AU4504" s="146"/>
    </row>
    <row r="4505" spans="13:47" ht="14.5" x14ac:dyDescent="0.35">
      <c r="M4505" s="27"/>
      <c r="N4505" s="27"/>
      <c r="O4505" s="2" t="s">
        <v>191</v>
      </c>
      <c r="P4505" s="10"/>
      <c r="Q4505" s="2"/>
      <c r="R4505" s="181">
        <f>R4504/R4501</f>
        <v>0.40815575654501518</v>
      </c>
      <c r="S4505" s="132"/>
      <c r="T4505" s="146"/>
      <c r="U4505" s="138">
        <f>U4504/U4501</f>
        <v>2.6074424275616247E-2</v>
      </c>
      <c r="V4505" s="132"/>
      <c r="W4505" s="146"/>
      <c r="X4505" s="138">
        <f>X4504/X4501</f>
        <v>1.2496216154091202</v>
      </c>
      <c r="Y4505" s="132"/>
      <c r="Z4505" s="146"/>
      <c r="AA4505" s="138">
        <f>AA4504/AA4501</f>
        <v>1.0480434991767364</v>
      </c>
      <c r="AB4505" s="132"/>
      <c r="AC4505" s="146"/>
      <c r="AD4505" s="138">
        <f>AD4504/AD4501</f>
        <v>1.0167429249393896</v>
      </c>
      <c r="AE4505" s="132"/>
      <c r="AF4505" s="146"/>
      <c r="AG4505" s="138">
        <f>AG4504/AG4501</f>
        <v>1.0083723843483021</v>
      </c>
      <c r="AH4505" s="132"/>
      <c r="AI4505" s="146"/>
      <c r="AJ4505" s="138">
        <f>AJ4504/AJ4501</f>
        <v>1.0051600758500461</v>
      </c>
      <c r="AK4505" s="132"/>
      <c r="AL4505" s="146"/>
      <c r="AM4505" s="138">
        <f>AM4504/AM4501</f>
        <v>1.0037423573117452</v>
      </c>
      <c r="AN4505" s="132"/>
      <c r="AO4505" s="146"/>
      <c r="AP4505" s="138">
        <f>AP4504/AP4501</f>
        <v>1.0030021548318309</v>
      </c>
      <c r="AQ4505" s="132"/>
      <c r="AR4505" s="146"/>
      <c r="AS4505" s="138">
        <f>AS4504/AS4501</f>
        <v>1.0024090611118288</v>
      </c>
      <c r="AT4505" s="132"/>
      <c r="AU4505" s="146"/>
    </row>
    <row r="4506" spans="13:47" x14ac:dyDescent="0.25">
      <c r="M4506" s="27"/>
      <c r="N4506" s="27"/>
      <c r="O4506" s="2" t="s">
        <v>26</v>
      </c>
      <c r="P4506" s="7">
        <v>12</v>
      </c>
      <c r="Q4506" s="2"/>
      <c r="R4506" s="181">
        <f>1-R4505/(3*F_GAMMA*R$29)</f>
        <v>0.7874278048820289</v>
      </c>
      <c r="S4506" s="133"/>
      <c r="T4506" s="146"/>
      <c r="U4506" s="138">
        <f>1-U4505/(3*F_GAMMA*U$29)</f>
        <v>0.98642313099385059</v>
      </c>
      <c r="V4506" s="133"/>
      <c r="W4506" s="146"/>
      <c r="X4506" s="138">
        <f>1-X4505/(3*F_GAMMA*X$29)</f>
        <v>0.33956489188091732</v>
      </c>
      <c r="Y4506" s="133"/>
      <c r="Z4506" s="146"/>
      <c r="AA4506" s="138">
        <f>1-AA4505/(3*F_GAMMA*AA$29)</f>
        <v>0.43850582079014444</v>
      </c>
      <c r="AB4506" s="133"/>
      <c r="AC4506" s="146"/>
      <c r="AD4506" s="138">
        <f>1-AD4505/(3*F_GAMMA*AD$29)</f>
        <v>0.44034005463462855</v>
      </c>
      <c r="AE4506" s="133"/>
      <c r="AF4506" s="146"/>
      <c r="AG4506" s="138">
        <f>1-AG4505/(3*F_GAMMA*AG$29)</f>
        <v>0.41328650049189841</v>
      </c>
      <c r="AH4506" s="133"/>
      <c r="AI4506" s="146"/>
      <c r="AJ4506" s="138">
        <f>1-AJ4505/(3*F_GAMMA*AJ$29)</f>
        <v>0.37479336173024369</v>
      </c>
      <c r="AK4506" s="133"/>
      <c r="AL4506" s="146"/>
      <c r="AM4506" s="138">
        <f>1-AM4505/(3*F_GAMMA*AM$29)</f>
        <v>0.31786164569280617</v>
      </c>
      <c r="AN4506" s="133"/>
      <c r="AO4506" s="146"/>
      <c r="AP4506" s="138">
        <f>1-AP4505/(3*F_GAMMA*AP$29)</f>
        <v>0.43670215522138356</v>
      </c>
      <c r="AQ4506" s="133"/>
      <c r="AR4506" s="146"/>
      <c r="AS4506" s="138">
        <f>1-AS4505/(3*F_GAMMA*AS$29)</f>
        <v>0.14537058189530672</v>
      </c>
      <c r="AT4506" s="133"/>
      <c r="AU4506" s="146"/>
    </row>
    <row r="4507" spans="13:47" x14ac:dyDescent="0.25">
      <c r="M4507" s="27"/>
      <c r="N4507" s="27"/>
      <c r="O4507" s="2" t="s">
        <v>71</v>
      </c>
      <c r="P4507" s="85">
        <v>5</v>
      </c>
      <c r="Q4507" s="2"/>
      <c r="R4507" s="179">
        <f>R4499/((N_6*R$27*R4506)*SQRT(R4505*R4501*R4503))</f>
        <v>33.948931307746946</v>
      </c>
      <c r="S4507" s="133"/>
      <c r="T4507" s="146"/>
      <c r="U4507" s="143">
        <f>U4499/((N_6*U$27*U4506)*SQRT(U4505*U4501*U4503))</f>
        <v>309.14560394292158</v>
      </c>
      <c r="V4507" s="133"/>
      <c r="W4507" s="146"/>
      <c r="X4507" s="143">
        <f>X4499/((N_6*X$27*X4506)*SQRT(X4505*X4501*X4503))</f>
        <v>82.410869675536375</v>
      </c>
      <c r="Y4507" s="133"/>
      <c r="Z4507" s="146"/>
      <c r="AA4507" s="143">
        <f>AA4499/((N_6*AA$27*AA4506)*SQRT(AA4505*AA4501*AA4503))</f>
        <v>26.27281414098799</v>
      </c>
      <c r="AB4507" s="133"/>
      <c r="AC4507" s="146"/>
      <c r="AD4507" s="143">
        <f>AD4499/((N_6*AD$27*AD4506)*SQRT(AD4505*AD4501*AD4503))</f>
        <v>15.405929545591706</v>
      </c>
      <c r="AE4507" s="133"/>
      <c r="AF4507" s="146"/>
      <c r="AG4507" s="143">
        <f>AG4499/((N_6*AG$27*AG4506)*SQRT(AG4505*AG4501*AG4503))</f>
        <v>11.809601545111793</v>
      </c>
      <c r="AH4507" s="133"/>
      <c r="AI4507" s="146"/>
      <c r="AJ4507" s="143">
        <f>AJ4499/((N_6*AJ$27*AJ4506)*SQRT(AJ4505*AJ4501*AJ4503))</f>
        <v>10.557641380732848</v>
      </c>
      <c r="AK4507" s="133"/>
      <c r="AL4507" s="146"/>
      <c r="AM4507" s="143">
        <f>AM4499/((N_6*AM$27*AM4506)*SQRT(AM4505*AM4501*AM4503))</f>
        <v>11.244562101097928</v>
      </c>
      <c r="AN4507" s="133"/>
      <c r="AO4507" s="146"/>
      <c r="AP4507" s="143">
        <f>AP4499/((N_6*AP$27*AP4506)*SQRT(AP4505*AP4501*AP4503))</f>
        <v>8.3240101814051481</v>
      </c>
      <c r="AQ4507" s="133"/>
      <c r="AR4507" s="146"/>
      <c r="AS4507" s="143">
        <f>AS4499/((N_6*AS$27*AS4506)*SQRT(AS4505*AS4501*AS4503))</f>
        <v>29.424365801724182</v>
      </c>
      <c r="AT4507" s="133"/>
      <c r="AU4507" s="146"/>
    </row>
    <row r="4508" spans="13:47" x14ac:dyDescent="0.25">
      <c r="M4508" s="27"/>
      <c r="N4508" s="27"/>
      <c r="O4508" s="2" t="s">
        <v>73</v>
      </c>
      <c r="P4508" s="85">
        <v>5</v>
      </c>
      <c r="Q4508" s="2"/>
      <c r="R4508" s="179">
        <f>R4499/((N_6*R$27*0.667)*SQRT(R4509*R4501*R4503))</f>
        <v>32.005519118307731</v>
      </c>
      <c r="S4508" s="133"/>
      <c r="T4508" s="155"/>
      <c r="U4508" s="143">
        <f>U4499/((N_6*U$27*0.667)*SQRT(U4509*U4501*U4503))</f>
        <v>92.27008701859593</v>
      </c>
      <c r="V4508" s="133"/>
      <c r="W4508" s="155"/>
      <c r="X4508" s="143">
        <f>X4499/((N_6*X$27*0.667)*SQRT(X4509*X4501*X4503))</f>
        <v>59.055064498649067</v>
      </c>
      <c r="Y4508" s="133"/>
      <c r="Z4508" s="155"/>
      <c r="AA4508" s="143">
        <f>AA4499/((N_6*AA$27*0.667)*SQRT(AA4509*AA4501*AA4503))</f>
        <v>22.417613582011089</v>
      </c>
      <c r="AB4508" s="133"/>
      <c r="AC4508" s="155"/>
      <c r="AD4508" s="143">
        <f>AD4499/((N_6*AD$27*0.667)*SQRT(AD4509*AD4501*AD4503))</f>
        <v>13.178713166105902</v>
      </c>
      <c r="AE4508" s="133"/>
      <c r="AF4508" s="155"/>
      <c r="AG4508" s="143">
        <f>AG4499/((N_6*AG$27*0.667)*SQRT(AG4509*AG4501*AG4503))</f>
        <v>9.7081012804446694</v>
      </c>
      <c r="AH4508" s="133"/>
      <c r="AI4508" s="155"/>
      <c r="AJ4508" s="143">
        <f>AJ4499/((N_6*AJ$27*0.667)*SQRT(AJ4509*AJ4501*AJ4503))</f>
        <v>8.1246634436022607</v>
      </c>
      <c r="AK4508" s="133"/>
      <c r="AL4508" s="155"/>
      <c r="AM4508" s="143">
        <f>AM4499/((N_6*AM$27*0.667)*SQRT(AM4509*AM4501*AM4503))</f>
        <v>7.6656979505872487</v>
      </c>
      <c r="AN4508" s="133"/>
      <c r="AO4508" s="155"/>
      <c r="AP4508" s="143">
        <f>AP4499/((N_6*AP$27*0.667)*SQRT(AP4509*AP4501*AP4503))</f>
        <v>7.0847050795027648</v>
      </c>
      <c r="AQ4508" s="133"/>
      <c r="AR4508" s="155"/>
      <c r="AS4508" s="143">
        <f>AS4499/((N_6*AS$27*0.667)*SQRT(AS4509*AS4501*AS4503))</f>
        <v>10.268508155440793</v>
      </c>
      <c r="AT4508" s="133"/>
      <c r="AU4508" s="155"/>
    </row>
    <row r="4509" spans="13:47" ht="15.5" x14ac:dyDescent="0.4">
      <c r="M4509" s="27"/>
      <c r="N4509" s="27"/>
      <c r="O4509" s="2" t="s">
        <v>192</v>
      </c>
      <c r="P4509" s="85">
        <v>10</v>
      </c>
      <c r="Q4509" s="2"/>
      <c r="R4509" s="181">
        <f>F_GAMMA*R$29</f>
        <v>0.64002688015162901</v>
      </c>
      <c r="S4509" s="133"/>
      <c r="T4509" s="155"/>
      <c r="U4509" s="138">
        <f>F_GAMMA*U$29</f>
        <v>0.64016782916606918</v>
      </c>
      <c r="V4509" s="133"/>
      <c r="W4509" s="155"/>
      <c r="X4509" s="138">
        <f>F_GAMMA*X$29</f>
        <v>0.6307062319203669</v>
      </c>
      <c r="Y4509" s="133"/>
      <c r="Z4509" s="155"/>
      <c r="AA4509" s="138">
        <f>F_GAMMA*AA$29</f>
        <v>0.62217534213893466</v>
      </c>
      <c r="AB4509" s="133"/>
      <c r="AC4509" s="155"/>
      <c r="AD4509" s="138">
        <f>F_GAMMA*AD$29</f>
        <v>0.60557184969146072</v>
      </c>
      <c r="AE4509" s="133"/>
      <c r="AF4509" s="155"/>
      <c r="AG4509" s="138">
        <f>F_GAMMA*AG$29</f>
        <v>0.57289312142622573</v>
      </c>
      <c r="AH4509" s="133"/>
      <c r="AI4509" s="155"/>
      <c r="AJ4509" s="138">
        <f>F_GAMMA*AJ$29</f>
        <v>0.53590819116049981</v>
      </c>
      <c r="AK4509" s="133"/>
      <c r="AL4509" s="155"/>
      <c r="AM4509" s="138">
        <f>F_GAMMA*AM$29</f>
        <v>0.49048815926850342</v>
      </c>
      <c r="AN4509" s="133"/>
      <c r="AO4509" s="155"/>
      <c r="AP4509" s="138">
        <f>F_GAMMA*AP$29</f>
        <v>0.59352979016280105</v>
      </c>
      <c r="AQ4509" s="133"/>
      <c r="AR4509" s="155"/>
      <c r="AS4509" s="138">
        <f>F_GAMMA*AS$29</f>
        <v>0.39097221161068291</v>
      </c>
      <c r="AT4509" s="133"/>
      <c r="AU4509" s="155"/>
    </row>
    <row r="4510" spans="13:47" x14ac:dyDescent="0.25">
      <c r="M4510" s="27"/>
      <c r="N4510" s="27"/>
      <c r="O4510" s="2" t="s">
        <v>193</v>
      </c>
      <c r="P4510" s="134"/>
      <c r="Q4510" s="2"/>
      <c r="R4510" s="181">
        <f>IF(R4505&lt;R4509,R4507,R4508)</f>
        <v>33.948931307746946</v>
      </c>
      <c r="S4510" s="133"/>
      <c r="T4510" s="155"/>
      <c r="U4510" s="138">
        <f>IF(U4505&lt;U4509,U4507,U4508)</f>
        <v>309.14560394292158</v>
      </c>
      <c r="V4510" s="133"/>
      <c r="W4510" s="155"/>
      <c r="X4510" s="138">
        <f>IF(X4505&lt;X4509,X4507,X4508)</f>
        <v>59.055064498649067</v>
      </c>
      <c r="Y4510" s="133"/>
      <c r="Z4510" s="155"/>
      <c r="AA4510" s="138">
        <f>IF(AA4505&lt;AA4509,AA4507,AA4508)</f>
        <v>22.417613582011089</v>
      </c>
      <c r="AB4510" s="133"/>
      <c r="AC4510" s="155"/>
      <c r="AD4510" s="138">
        <f>IF(AD4505&lt;AD4509,AD4507,AD4508)</f>
        <v>13.178713166105902</v>
      </c>
      <c r="AE4510" s="133"/>
      <c r="AF4510" s="155"/>
      <c r="AG4510" s="138">
        <f>IF(AG4505&lt;AG4509,AG4507,AG4508)</f>
        <v>9.7081012804446694</v>
      </c>
      <c r="AH4510" s="133"/>
      <c r="AI4510" s="155"/>
      <c r="AJ4510" s="138">
        <f>IF(AJ4505&lt;AJ4509,AJ4507,AJ4508)</f>
        <v>8.1246634436022607</v>
      </c>
      <c r="AK4510" s="133"/>
      <c r="AL4510" s="155"/>
      <c r="AM4510" s="138">
        <f>IF(AM4505&lt;AM4509,AM4507,AM4508)</f>
        <v>7.6656979505872487</v>
      </c>
      <c r="AN4510" s="133"/>
      <c r="AO4510" s="155"/>
      <c r="AP4510" s="138">
        <f>IF(AP4505&lt;AP4509,AP4507,AP4508)</f>
        <v>7.0847050795027648</v>
      </c>
      <c r="AQ4510" s="133"/>
      <c r="AR4510" s="155"/>
      <c r="AS4510" s="138">
        <f>IF(AS4505&lt;AS4509,AS4507,AS4508)</f>
        <v>10.268508155440793</v>
      </c>
      <c r="AT4510" s="133"/>
      <c r="AU4510" s="155"/>
    </row>
    <row r="4511" spans="13:47" ht="13" x14ac:dyDescent="0.3">
      <c r="M4511" s="28"/>
      <c r="N4511" s="28"/>
      <c r="O4511" s="9" t="s">
        <v>194</v>
      </c>
      <c r="P4511" s="1"/>
      <c r="Q4511" s="1"/>
      <c r="R4511" s="135"/>
      <c r="S4511" s="132">
        <f>IF(R4504&lt;=0,W_max,ABS(R$23-R4510))</f>
        <v>31.948931307746946</v>
      </c>
      <c r="T4511" s="151">
        <f>R4499</f>
        <v>6342.4971205573274</v>
      </c>
      <c r="U4511" s="135"/>
      <c r="V4511" s="132">
        <f>IF(U4504&lt;=0,W_max,ABS(U$23-U4510))</f>
        <v>304.14560394292158</v>
      </c>
      <c r="W4511" s="151">
        <f>U4499</f>
        <v>11105.953296535374</v>
      </c>
      <c r="X4511" s="135"/>
      <c r="Y4511" s="132">
        <f>IF(X4504&lt;=0,W_max,ABS(X$23-X4510))</f>
        <v>7174</v>
      </c>
      <c r="Z4511" s="151">
        <f>X4499</f>
        <v>27466.344126266697</v>
      </c>
      <c r="AA4511" s="135"/>
      <c r="AB4511" s="132">
        <f>IF(AA4504&lt;=0,W_max,ABS(AA$23-AA4510))</f>
        <v>7174</v>
      </c>
      <c r="AC4511" s="151">
        <f>AA4499</f>
        <v>53497.427699607928</v>
      </c>
      <c r="AD4511" s="135"/>
      <c r="AE4511" s="132">
        <f>IF(AD4504&lt;=0,W_max,ABS(AD$23-AD4510))</f>
        <v>7174</v>
      </c>
      <c r="AF4511" s="151">
        <f>AD4499</f>
        <v>87983.571981567511</v>
      </c>
      <c r="AG4511" s="135"/>
      <c r="AH4511" s="132">
        <f>IF(AG4504&lt;=0,W_max,ABS(AG$23-AG4510))</f>
        <v>7174</v>
      </c>
      <c r="AI4511" s="151">
        <f>AG4499</f>
        <v>123403.73322234057</v>
      </c>
      <c r="AJ4511" s="135"/>
      <c r="AK4511" s="132">
        <f>IF(AJ4504&lt;=0,W_max,ABS(AJ$23-AJ4510))</f>
        <v>7174</v>
      </c>
      <c r="AL4511" s="151">
        <f>AJ4499</f>
        <v>156689.99583059479</v>
      </c>
      <c r="AM4511" s="135"/>
      <c r="AN4511" s="132">
        <f>IF(AM4504&lt;=0,W_max,ABS(AM$23-AM4510))</f>
        <v>7174</v>
      </c>
      <c r="AO4511" s="151">
        <f>AM4499</f>
        <v>183731.34298413887</v>
      </c>
      <c r="AP4511" s="135"/>
      <c r="AQ4511" s="132">
        <f>IF(AP4504&lt;=0,W_max,ABS(AP$23-AP4510))</f>
        <v>7174</v>
      </c>
      <c r="AR4511" s="151">
        <f>AP4499</f>
        <v>204983.24365771245</v>
      </c>
      <c r="AS4511" s="135"/>
      <c r="AT4511" s="132">
        <f>IF(AS4504&lt;=0,W_max,ABS(AS$23-AS4510))</f>
        <v>7174</v>
      </c>
      <c r="AU4511" s="151">
        <f>AS4499</f>
        <v>228693.31654569381</v>
      </c>
    </row>
    <row r="4512" spans="13:47" ht="13" x14ac:dyDescent="0.25">
      <c r="M4512" s="12"/>
      <c r="N4512" s="12"/>
      <c r="O4512" s="2"/>
      <c r="P4512" s="85"/>
      <c r="Q4512" s="2"/>
      <c r="R4512" s="18"/>
      <c r="S4512" s="150"/>
      <c r="T4512" s="152"/>
      <c r="U4512" s="157"/>
      <c r="V4512" s="1"/>
      <c r="W4512" s="147"/>
      <c r="X4512" s="157"/>
      <c r="Y4512" s="1"/>
      <c r="Z4512" s="147"/>
      <c r="AA4512" s="157"/>
      <c r="AB4512" s="1"/>
      <c r="AC4512" s="147"/>
      <c r="AD4512" s="157"/>
      <c r="AE4512" s="1"/>
      <c r="AF4512" s="147"/>
      <c r="AG4512" s="157"/>
      <c r="AH4512" s="1"/>
      <c r="AI4512" s="147"/>
      <c r="AJ4512" s="157"/>
      <c r="AK4512" s="1"/>
      <c r="AL4512" s="147"/>
      <c r="AM4512" s="157"/>
      <c r="AN4512" s="1"/>
      <c r="AO4512" s="147"/>
      <c r="AP4512" s="157"/>
      <c r="AQ4512" s="1"/>
      <c r="AR4512" s="147"/>
      <c r="AS4512" s="157"/>
      <c r="AT4512" s="1"/>
      <c r="AU4512" s="147"/>
    </row>
    <row r="4513" spans="13:47" ht="14" x14ac:dyDescent="0.3">
      <c r="M4513" s="23"/>
      <c r="N4513" s="23"/>
      <c r="O4513" s="23" t="s">
        <v>238</v>
      </c>
      <c r="P4513" s="20"/>
      <c r="Q4513" s="20"/>
      <c r="R4513" s="181">
        <f>R4499*1.02</f>
        <v>6469.3470629684743</v>
      </c>
      <c r="S4513" s="128" t="s">
        <v>185</v>
      </c>
      <c r="T4513" s="153" t="s">
        <v>186</v>
      </c>
      <c r="U4513" s="143">
        <f>U4499*1.01</f>
        <v>11217.012829500727</v>
      </c>
      <c r="V4513" s="128" t="s">
        <v>185</v>
      </c>
      <c r="W4513" s="153" t="s">
        <v>186</v>
      </c>
      <c r="X4513" s="143">
        <f>X4499*1.01</f>
        <v>27741.007567529363</v>
      </c>
      <c r="Y4513" s="128" t="s">
        <v>185</v>
      </c>
      <c r="Z4513" s="153" t="s">
        <v>186</v>
      </c>
      <c r="AA4513" s="143">
        <f>AA4499*1.01</f>
        <v>54032.401976604007</v>
      </c>
      <c r="AB4513" s="128" t="s">
        <v>185</v>
      </c>
      <c r="AC4513" s="153" t="s">
        <v>186</v>
      </c>
      <c r="AD4513" s="143">
        <f>AD4499*1.01</f>
        <v>88863.407701383185</v>
      </c>
      <c r="AE4513" s="128" t="s">
        <v>185</v>
      </c>
      <c r="AF4513" s="153" t="s">
        <v>186</v>
      </c>
      <c r="AG4513" s="143">
        <f>AG4499*1.01</f>
        <v>124637.77055456398</v>
      </c>
      <c r="AH4513" s="128" t="s">
        <v>185</v>
      </c>
      <c r="AI4513" s="153" t="s">
        <v>186</v>
      </c>
      <c r="AJ4513" s="143">
        <f>AJ4499*1.01</f>
        <v>158256.89578890076</v>
      </c>
      <c r="AK4513" s="128" t="s">
        <v>185</v>
      </c>
      <c r="AL4513" s="153" t="s">
        <v>186</v>
      </c>
      <c r="AM4513" s="143">
        <f>AM4499*1.01</f>
        <v>185568.65641398026</v>
      </c>
      <c r="AN4513" s="128" t="s">
        <v>185</v>
      </c>
      <c r="AO4513" s="153" t="s">
        <v>186</v>
      </c>
      <c r="AP4513" s="143">
        <f>AP4499*1.01</f>
        <v>207033.07609428957</v>
      </c>
      <c r="AQ4513" s="128" t="s">
        <v>185</v>
      </c>
      <c r="AR4513" s="153" t="s">
        <v>186</v>
      </c>
      <c r="AS4513" s="143">
        <f>AS4499*1.01</f>
        <v>230980.24971115077</v>
      </c>
      <c r="AT4513" s="128" t="s">
        <v>185</v>
      </c>
      <c r="AU4513" s="153" t="s">
        <v>186</v>
      </c>
    </row>
    <row r="4514" spans="13:47" ht="14" x14ac:dyDescent="0.3">
      <c r="M4514" s="12"/>
      <c r="N4514" s="12"/>
      <c r="O4514" s="20"/>
      <c r="P4514" s="20"/>
      <c r="Q4514" s="23"/>
      <c r="R4514" s="139"/>
      <c r="S4514" s="130" t="s">
        <v>228</v>
      </c>
      <c r="T4514" s="154" t="s">
        <v>187</v>
      </c>
      <c r="U4514" s="144"/>
      <c r="V4514" s="130" t="s">
        <v>228</v>
      </c>
      <c r="W4514" s="154" t="s">
        <v>187</v>
      </c>
      <c r="X4514" s="144"/>
      <c r="Y4514" s="130" t="s">
        <v>228</v>
      </c>
      <c r="Z4514" s="154" t="s">
        <v>187</v>
      </c>
      <c r="AA4514" s="144"/>
      <c r="AB4514" s="130" t="s">
        <v>228</v>
      </c>
      <c r="AC4514" s="154" t="s">
        <v>187</v>
      </c>
      <c r="AD4514" s="144"/>
      <c r="AE4514" s="130" t="s">
        <v>228</v>
      </c>
      <c r="AF4514" s="154" t="s">
        <v>187</v>
      </c>
      <c r="AG4514" s="144"/>
      <c r="AH4514" s="130" t="s">
        <v>228</v>
      </c>
      <c r="AI4514" s="154" t="s">
        <v>187</v>
      </c>
      <c r="AJ4514" s="144"/>
      <c r="AK4514" s="130" t="s">
        <v>228</v>
      </c>
      <c r="AL4514" s="154" t="s">
        <v>187</v>
      </c>
      <c r="AM4514" s="144"/>
      <c r="AN4514" s="130" t="s">
        <v>228</v>
      </c>
      <c r="AO4514" s="154" t="s">
        <v>187</v>
      </c>
      <c r="AP4514" s="144"/>
      <c r="AQ4514" s="130" t="s">
        <v>228</v>
      </c>
      <c r="AR4514" s="154" t="s">
        <v>187</v>
      </c>
      <c r="AS4514" s="144"/>
      <c r="AT4514" s="130" t="s">
        <v>228</v>
      </c>
      <c r="AU4514" s="154" t="s">
        <v>187</v>
      </c>
    </row>
    <row r="4515" spans="13:47" x14ac:dyDescent="0.25">
      <c r="M4515" s="20"/>
      <c r="N4515" s="20"/>
      <c r="O4515" s="7" t="s">
        <v>188</v>
      </c>
      <c r="P4515" s="7"/>
      <c r="Q4515" s="7"/>
      <c r="R4515" s="181">
        <f>P_1_minW-(R4513^2*R_up)+dpup_minQ</f>
        <v>83.833626345070499</v>
      </c>
      <c r="S4515" s="132"/>
      <c r="T4515" s="145"/>
      <c r="U4515" s="138">
        <f>P_1_minW-(U4513^2*R_up)+dpup_minQ</f>
        <v>50.350023443334415</v>
      </c>
      <c r="V4515" s="132"/>
      <c r="W4515" s="145"/>
      <c r="X4515" s="138">
        <f>P_1_minW-(X4513^2*R_up)+dpup_minQ</f>
        <v>-206.34976818747114</v>
      </c>
      <c r="Y4515" s="132"/>
      <c r="Z4515" s="145"/>
      <c r="AA4515" s="138">
        <f>P_1_minW-(AA4513^2*R_up)+dpup_minQ</f>
        <v>-1063.6625797611184</v>
      </c>
      <c r="AB4515" s="132"/>
      <c r="AC4515" s="145"/>
      <c r="AD4515" s="138">
        <f>P_1_minW-(AD4513^2*R_up)+dpup_minQ</f>
        <v>-3048.3818925768105</v>
      </c>
      <c r="AE4515" s="132"/>
      <c r="AF4515" s="145"/>
      <c r="AG4515" s="138">
        <f>P_1_minW-(AG4513^2*R_up)+dpup_minQ</f>
        <v>-6094.0724108078475</v>
      </c>
      <c r="AH4515" s="132"/>
      <c r="AI4515" s="145"/>
      <c r="AJ4515" s="138">
        <f>P_1_minW-(AJ4513^2*R_up)+dpup_minQ</f>
        <v>-9886.5651314312017</v>
      </c>
      <c r="AK4515" s="132"/>
      <c r="AL4515" s="145"/>
      <c r="AM4515" s="138">
        <f>P_1_minW-(AM4513^2*R_up)+dpup_minQ</f>
        <v>-13631.130652018812</v>
      </c>
      <c r="AN4515" s="132"/>
      <c r="AO4515" s="145"/>
      <c r="AP4515" s="138">
        <f>P_1_minW-(AP4513^2*R_up)+dpup_minQ</f>
        <v>-16991.484029085565</v>
      </c>
      <c r="AQ4515" s="132"/>
      <c r="AR4515" s="145"/>
      <c r="AS4515" s="138">
        <f>P_1_minW-(AS4513^2*R_up)+dpup_minQ</f>
        <v>-21174.16917188813</v>
      </c>
      <c r="AT4515" s="132"/>
      <c r="AU4515" s="145"/>
    </row>
    <row r="4516" spans="13:47" x14ac:dyDescent="0.25">
      <c r="M4516" s="20"/>
      <c r="N4516" s="20"/>
      <c r="O4516" s="7" t="s">
        <v>189</v>
      </c>
      <c r="P4516" s="1"/>
      <c r="Q4516" s="7"/>
      <c r="R4516" s="181">
        <f>P_2_minW+(R4513^2*R_dn)-dpdn_minQ</f>
        <v>50</v>
      </c>
      <c r="S4516" s="132"/>
      <c r="T4516" s="146"/>
      <c r="U4516" s="138">
        <f>P_2_minW+(U4513^2*R_dn)-dpdn_minQ</f>
        <v>50</v>
      </c>
      <c r="V4516" s="132"/>
      <c r="W4516" s="146"/>
      <c r="X4516" s="138">
        <f>P_2_minW+(X4513^2*R_dn)-dpdn_minQ</f>
        <v>50</v>
      </c>
      <c r="Y4516" s="132"/>
      <c r="Z4516" s="146"/>
      <c r="AA4516" s="138">
        <f>P_2_minW+(AA4513^2*R_dn)-dpdn_minQ</f>
        <v>50</v>
      </c>
      <c r="AB4516" s="132"/>
      <c r="AC4516" s="146"/>
      <c r="AD4516" s="138">
        <f>P_2_minW+(AD4513^2*R_dn)-dpdn_minQ</f>
        <v>50</v>
      </c>
      <c r="AE4516" s="132"/>
      <c r="AF4516" s="146"/>
      <c r="AG4516" s="138">
        <f>P_2_minW+(AG4513^2*R_dn)-dpdn_minQ</f>
        <v>50</v>
      </c>
      <c r="AH4516" s="132"/>
      <c r="AI4516" s="146"/>
      <c r="AJ4516" s="138">
        <f>P_2_minW+(AJ4513^2*R_dn)-dpdn_minQ</f>
        <v>50</v>
      </c>
      <c r="AK4516" s="132"/>
      <c r="AL4516" s="146"/>
      <c r="AM4516" s="138">
        <f>P_2_minW+(AM4513^2*R_dn)-dpdn_minQ</f>
        <v>50</v>
      </c>
      <c r="AN4516" s="132"/>
      <c r="AO4516" s="146"/>
      <c r="AP4516" s="138">
        <f>P_2_minW+(AP4513^2*R_dn)-dpdn_minQ</f>
        <v>50</v>
      </c>
      <c r="AQ4516" s="132"/>
      <c r="AR4516" s="146"/>
      <c r="AS4516" s="138">
        <f>P_2_minW+(AS4513^2*R_dn)-dpdn_minQ</f>
        <v>50</v>
      </c>
      <c r="AT4516" s="132"/>
      <c r="AU4516" s="146"/>
    </row>
    <row r="4517" spans="13:47" x14ac:dyDescent="0.25">
      <c r="M4517" s="20"/>
      <c r="N4517" s="20"/>
      <c r="O4517" s="7" t="s">
        <v>234</v>
      </c>
      <c r="P4517" s="1"/>
      <c r="Q4517" s="7"/>
      <c r="R4517" s="179">
        <f>'Valve Sizing'!G$8*R4515/P_1_maxW</f>
        <v>0.40439848783140847</v>
      </c>
      <c r="S4517" s="132"/>
      <c r="T4517" s="146"/>
      <c r="U4517" s="143">
        <f>'Valve Sizing'!$G$8*U4515/P_1_maxW</f>
        <v>0.2428795488214936</v>
      </c>
      <c r="V4517" s="132"/>
      <c r="W4517" s="146"/>
      <c r="X4517" s="143">
        <f>'Valve Sizing'!$G$8*X4515/P_1_maxW</f>
        <v>-0.99539454342454081</v>
      </c>
      <c r="Y4517" s="132"/>
      <c r="Z4517" s="146"/>
      <c r="AA4517" s="143">
        <f>'Valve Sizing'!$G$8*AA4515/P_1_maxW</f>
        <v>-5.1309189113175471</v>
      </c>
      <c r="AB4517" s="132"/>
      <c r="AC4517" s="146"/>
      <c r="AD4517" s="143">
        <f>'Valve Sizing'!$G$8*AD4515/P_1_maxW</f>
        <v>-14.704851518846372</v>
      </c>
      <c r="AE4517" s="132"/>
      <c r="AF4517" s="146"/>
      <c r="AG4517" s="143">
        <f>'Valve Sizing'!$G$8*AG4515/P_1_maxW</f>
        <v>-29.396720327018404</v>
      </c>
      <c r="AH4517" s="132"/>
      <c r="AI4517" s="146"/>
      <c r="AJ4517" s="143">
        <f>'Valve Sizing'!$G$8*AJ4515/P_1_maxW</f>
        <v>-47.691029999593965</v>
      </c>
      <c r="AK4517" s="132"/>
      <c r="AL4517" s="146"/>
      <c r="AM4517" s="143">
        <f>'Valve Sizing'!$G$8*AM4515/P_1_maxW</f>
        <v>-65.754147392109118</v>
      </c>
      <c r="AN4517" s="132"/>
      <c r="AO4517" s="146"/>
      <c r="AP4517" s="143">
        <f>'Valve Sizing'!$G$8*AP4515/P_1_maxW</f>
        <v>-81.963893809035625</v>
      </c>
      <c r="AQ4517" s="132"/>
      <c r="AR4517" s="146"/>
      <c r="AS4517" s="143">
        <f>'Valve Sizing'!$G$8*AS4515/P_1_maxW</f>
        <v>-102.14042225672475</v>
      </c>
      <c r="AT4517" s="132"/>
      <c r="AU4517" s="146"/>
    </row>
    <row r="4518" spans="13:47" x14ac:dyDescent="0.25">
      <c r="M4518" s="20"/>
      <c r="N4518" s="20"/>
      <c r="O4518" s="7" t="s">
        <v>190</v>
      </c>
      <c r="P4518" s="1"/>
      <c r="Q4518" s="7"/>
      <c r="R4518" s="181">
        <f>R4515-R4516</f>
        <v>33.833626345070499</v>
      </c>
      <c r="S4518" s="132"/>
      <c r="T4518" s="146"/>
      <c r="U4518" s="138">
        <f>U4515-U4516</f>
        <v>0.35002344333441471</v>
      </c>
      <c r="V4518" s="132"/>
      <c r="W4518" s="146"/>
      <c r="X4518" s="138">
        <f>X4515-X4516</f>
        <v>-256.34976818747111</v>
      </c>
      <c r="Y4518" s="132"/>
      <c r="Z4518" s="146"/>
      <c r="AA4518" s="138">
        <f>AA4515-AA4516</f>
        <v>-1113.6625797611184</v>
      </c>
      <c r="AB4518" s="132"/>
      <c r="AC4518" s="146"/>
      <c r="AD4518" s="138">
        <f>AD4515-AD4516</f>
        <v>-3098.3818925768105</v>
      </c>
      <c r="AE4518" s="132"/>
      <c r="AF4518" s="146"/>
      <c r="AG4518" s="138">
        <f>AG4515-AG4516</f>
        <v>-6144.0724108078475</v>
      </c>
      <c r="AH4518" s="132"/>
      <c r="AI4518" s="146"/>
      <c r="AJ4518" s="138">
        <f>AJ4515-AJ4516</f>
        <v>-9936.5651314312017</v>
      </c>
      <c r="AK4518" s="132"/>
      <c r="AL4518" s="146"/>
      <c r="AM4518" s="138">
        <f>AM4515-AM4516</f>
        <v>-13681.130652018812</v>
      </c>
      <c r="AN4518" s="132"/>
      <c r="AO4518" s="146"/>
      <c r="AP4518" s="138">
        <f>AP4515-AP4516</f>
        <v>-17041.484029085565</v>
      </c>
      <c r="AQ4518" s="132"/>
      <c r="AR4518" s="146"/>
      <c r="AS4518" s="138">
        <f>AS4515-AS4516</f>
        <v>-21224.16917188813</v>
      </c>
      <c r="AT4518" s="132"/>
      <c r="AU4518" s="146"/>
    </row>
    <row r="4519" spans="13:47" ht="14.5" x14ac:dyDescent="0.35">
      <c r="M4519" s="27"/>
      <c r="N4519" s="27"/>
      <c r="O4519" s="2" t="s">
        <v>191</v>
      </c>
      <c r="P4519" s="10"/>
      <c r="Q4519" s="2"/>
      <c r="R4519" s="181">
        <f>R4518/R4515</f>
        <v>0.40358061341408202</v>
      </c>
      <c r="S4519" s="132"/>
      <c r="T4519" s="146"/>
      <c r="U4519" s="138">
        <f>U4518/U4515</f>
        <v>6.9518029863152439E-3</v>
      </c>
      <c r="V4519" s="132"/>
      <c r="W4519" s="146"/>
      <c r="X4519" s="138">
        <f>X4518/X4515</f>
        <v>1.2423070325650882</v>
      </c>
      <c r="Y4519" s="132"/>
      <c r="Z4519" s="146"/>
      <c r="AA4519" s="138">
        <f>AA4518/AA4515</f>
        <v>1.0470073883874238</v>
      </c>
      <c r="AB4519" s="132"/>
      <c r="AC4519" s="146"/>
      <c r="AD4519" s="138">
        <f>AD4518/AD4515</f>
        <v>1.0164021444038085</v>
      </c>
      <c r="AE4519" s="132"/>
      <c r="AF4519" s="146"/>
      <c r="AG4519" s="138">
        <f>AG4518/AG4515</f>
        <v>1.0082046941075602</v>
      </c>
      <c r="AH4519" s="132"/>
      <c r="AI4519" s="146"/>
      <c r="AJ4519" s="138">
        <f>AJ4518/AJ4515</f>
        <v>1.0050573681895889</v>
      </c>
      <c r="AK4519" s="132"/>
      <c r="AL4519" s="146"/>
      <c r="AM4519" s="138">
        <f>AM4518/AM4515</f>
        <v>1.0036680742981945</v>
      </c>
      <c r="AN4519" s="132"/>
      <c r="AO4519" s="146"/>
      <c r="AP4519" s="138">
        <f>AP4518/AP4515</f>
        <v>1.0029426505603873</v>
      </c>
      <c r="AQ4519" s="132"/>
      <c r="AR4519" s="146"/>
      <c r="AS4519" s="138">
        <f>AS4518/AS4515</f>
        <v>1.0023613677398207</v>
      </c>
      <c r="AT4519" s="132"/>
      <c r="AU4519" s="146"/>
    </row>
    <row r="4520" spans="13:47" x14ac:dyDescent="0.25">
      <c r="M4520" s="27"/>
      <c r="N4520" s="27"/>
      <c r="O4520" s="2" t="s">
        <v>26</v>
      </c>
      <c r="P4520" s="7">
        <v>12</v>
      </c>
      <c r="Q4520" s="2"/>
      <c r="R4520" s="181">
        <f>1-R4519/(3*F_GAMMA*R$29)</f>
        <v>0.7898105918517726</v>
      </c>
      <c r="S4520" s="133"/>
      <c r="T4520" s="146"/>
      <c r="U4520" s="138">
        <f>1-U4519/(3*F_GAMMA*U$29)</f>
        <v>0.9963802185043823</v>
      </c>
      <c r="V4520" s="133"/>
      <c r="W4520" s="146"/>
      <c r="X4520" s="138">
        <f>1-X4519/(3*F_GAMMA*X$29)</f>
        <v>0.34343070794225572</v>
      </c>
      <c r="Y4520" s="133"/>
      <c r="Z4520" s="146"/>
      <c r="AA4520" s="138">
        <f>1-AA4519/(3*F_GAMMA*AA$29)</f>
        <v>0.43906092196454471</v>
      </c>
      <c r="AB4520" s="133"/>
      <c r="AC4520" s="146"/>
      <c r="AD4520" s="138">
        <f>1-AD4519/(3*F_GAMMA*AD$29)</f>
        <v>0.44052763520317417</v>
      </c>
      <c r="AE4520" s="133"/>
      <c r="AF4520" s="146"/>
      <c r="AG4520" s="138">
        <f>1-AG4519/(3*F_GAMMA*AG$29)</f>
        <v>0.41338406973269293</v>
      </c>
      <c r="AH4520" s="133"/>
      <c r="AI4520" s="146"/>
      <c r="AJ4520" s="138">
        <f>1-AJ4519/(3*F_GAMMA*AJ$29)</f>
        <v>0.37485724559577094</v>
      </c>
      <c r="AK4520" s="133"/>
      <c r="AL4520" s="146"/>
      <c r="AM4520" s="138">
        <f>1-AM4519/(3*F_GAMMA*AM$29)</f>
        <v>0.3179121280623578</v>
      </c>
      <c r="AN4520" s="133"/>
      <c r="AO4520" s="146"/>
      <c r="AP4520" s="138">
        <f>1-AP4519/(3*F_GAMMA*AP$29)</f>
        <v>0.43673557352232917</v>
      </c>
      <c r="AQ4520" s="133"/>
      <c r="AR4520" s="146"/>
      <c r="AS4520" s="138">
        <f>1-AS4519/(3*F_GAMMA*AS$29)</f>
        <v>0.14541124409634631</v>
      </c>
      <c r="AT4520" s="133"/>
      <c r="AU4520" s="146"/>
    </row>
    <row r="4521" spans="13:47" x14ac:dyDescent="0.25">
      <c r="M4521" s="27"/>
      <c r="N4521" s="27"/>
      <c r="O4521" s="2" t="s">
        <v>71</v>
      </c>
      <c r="P4521" s="85">
        <v>5</v>
      </c>
      <c r="Q4521" s="2"/>
      <c r="R4521" s="179">
        <f>R4513/((N_6*R$27*R4520)*SQRT(R4519*R4515*R4517))</f>
        <v>34.98696017610721</v>
      </c>
      <c r="S4521" s="133"/>
      <c r="T4521" s="146"/>
      <c r="U4521" s="143">
        <f>U4513/((N_6*U$27*U4520)*SQRT(U4519*U4515*U4517))</f>
        <v>610.41583669083082</v>
      </c>
      <c r="V4521" s="133"/>
      <c r="W4521" s="146"/>
      <c r="X4521" s="143">
        <f>X4513/((N_6*X$27*X4520)*SQRT(X4519*X4515*X4517))</f>
        <v>80.121329954509122</v>
      </c>
      <c r="Y4521" s="133"/>
      <c r="Z4521" s="146"/>
      <c r="AA4521" s="143">
        <f>AA4513/((N_6*AA$27*AA4520)*SQRT(AA4519*AA4515*AA4517))</f>
        <v>25.943276149568458</v>
      </c>
      <c r="AB4521" s="133"/>
      <c r="AC4521" s="146"/>
      <c r="AD4521" s="143">
        <f>AD4513/((N_6*AD$27*AD4520)*SQRT(AD4519*AD4515*AD4517))</f>
        <v>15.239348801908731</v>
      </c>
      <c r="AE4521" s="133"/>
      <c r="AF4521" s="146"/>
      <c r="AG4521" s="143">
        <f>AG4513/((N_6*AG$27*AG4520)*SQRT(AG4519*AG4515*AG4517))</f>
        <v>11.687011002889443</v>
      </c>
      <c r="AH4521" s="133"/>
      <c r="AI4521" s="146"/>
      <c r="AJ4521" s="143">
        <f>AJ4513/((N_6*AJ$27*AJ4520)*SQRT(AJ4519*AJ4515*AJ4517))</f>
        <v>10.449726803594169</v>
      </c>
      <c r="AK4521" s="133"/>
      <c r="AL4521" s="146"/>
      <c r="AM4521" s="143">
        <f>AM4513/((N_6*AM$27*AM4520)*SQRT(AM4519*AM4515*AM4517))</f>
        <v>11.130223790053767</v>
      </c>
      <c r="AN4521" s="133"/>
      <c r="AO4521" s="146"/>
      <c r="AP4521" s="143">
        <f>AP4513/((N_6*AP$27*AP4520)*SQRT(AP4519*AP4515*AP4517))</f>
        <v>8.240228082175074</v>
      </c>
      <c r="AQ4521" s="133"/>
      <c r="AR4521" s="146"/>
      <c r="AS4521" s="143">
        <f>AS4513/((N_6*AS$27*AS4520)*SQRT(AS4519*AS4515*AS4517))</f>
        <v>29.122802435305793</v>
      </c>
      <c r="AT4521" s="133"/>
      <c r="AU4521" s="146"/>
    </row>
    <row r="4522" spans="13:47" x14ac:dyDescent="0.25">
      <c r="M4522" s="27"/>
      <c r="N4522" s="27"/>
      <c r="O4522" s="2" t="s">
        <v>73</v>
      </c>
      <c r="P4522" s="85">
        <v>5</v>
      </c>
      <c r="Q4522" s="2"/>
      <c r="R4522" s="179">
        <f>R4513/((N_6*R$27*0.667)*SQRT(R4523*R4515*R4517))</f>
        <v>32.897990538593419</v>
      </c>
      <c r="S4522" s="133"/>
      <c r="T4522" s="155"/>
      <c r="U4522" s="143">
        <f>U4513/((N_6*U$27*0.667)*SQRT(U4523*U4515*U4517))</f>
        <v>95.022589296724021</v>
      </c>
      <c r="V4522" s="133"/>
      <c r="W4522" s="155"/>
      <c r="X4522" s="143">
        <f>X4513/((N_6*X$27*0.667)*SQRT(X4523*X4515*X4517))</f>
        <v>57.897838643846811</v>
      </c>
      <c r="Y4522" s="133"/>
      <c r="Z4522" s="155"/>
      <c r="AA4522" s="143">
        <f>AA4513/((N_6*AA$27*0.667)*SQRT(AA4523*AA4515*AA4517))</f>
        <v>22.153494672341353</v>
      </c>
      <c r="AB4522" s="133"/>
      <c r="AC4522" s="155"/>
      <c r="AD4522" s="143">
        <f>AD4513/((N_6*AD$27*0.667)*SQRT(AD4523*AD4515*AD4517))</f>
        <v>13.03958231678423</v>
      </c>
      <c r="AE4522" s="133"/>
      <c r="AF4522" s="155"/>
      <c r="AG4522" s="143">
        <f>AG4513/((N_6*AG$27*0.667)*SQRT(AG4523*AG4515*AG4517))</f>
        <v>9.6087945844589857</v>
      </c>
      <c r="AH4522" s="133"/>
      <c r="AI4522" s="155"/>
      <c r="AJ4522" s="143">
        <f>AJ4513/((N_6*AJ$27*0.667)*SQRT(AJ4523*AJ4515*AJ4517))</f>
        <v>8.0425772413653238</v>
      </c>
      <c r="AK4522" s="133"/>
      <c r="AL4522" s="155"/>
      <c r="AM4522" s="143">
        <f>AM4513/((N_6*AM$27*0.667)*SQRT(AM4523*AM4515*AM4517))</f>
        <v>7.5886749342299149</v>
      </c>
      <c r="AN4522" s="133"/>
      <c r="AO4522" s="155"/>
      <c r="AP4522" s="143">
        <f>AP4513/((N_6*AP$27*0.667)*SQRT(AP4523*AP4515*AP4517))</f>
        <v>7.0137253624791756</v>
      </c>
      <c r="AQ4522" s="133"/>
      <c r="AR4522" s="155"/>
      <c r="AS4522" s="143">
        <f>AS4513/((N_6*AS$27*0.667)*SQRT(AS4523*AS4515*AS4517))</f>
        <v>10.165869604982261</v>
      </c>
      <c r="AT4522" s="133"/>
      <c r="AU4522" s="155"/>
    </row>
    <row r="4523" spans="13:47" ht="15.5" x14ac:dyDescent="0.4">
      <c r="M4523" s="27"/>
      <c r="N4523" s="27"/>
      <c r="O4523" s="2" t="s">
        <v>192</v>
      </c>
      <c r="P4523" s="85">
        <v>10</v>
      </c>
      <c r="Q4523" s="2"/>
      <c r="R4523" s="181">
        <f>F_GAMMA*R$29</f>
        <v>0.64002688015162901</v>
      </c>
      <c r="S4523" s="133"/>
      <c r="T4523" s="155"/>
      <c r="U4523" s="138">
        <f>F_GAMMA*U$29</f>
        <v>0.64016782916606918</v>
      </c>
      <c r="V4523" s="133"/>
      <c r="W4523" s="155"/>
      <c r="X4523" s="138">
        <f>F_GAMMA*X$29</f>
        <v>0.6307062319203669</v>
      </c>
      <c r="Y4523" s="133"/>
      <c r="Z4523" s="155"/>
      <c r="AA4523" s="138">
        <f>F_GAMMA*AA$29</f>
        <v>0.62217534213893466</v>
      </c>
      <c r="AB4523" s="133"/>
      <c r="AC4523" s="155"/>
      <c r="AD4523" s="138">
        <f>F_GAMMA*AD$29</f>
        <v>0.60557184969146072</v>
      </c>
      <c r="AE4523" s="133"/>
      <c r="AF4523" s="155"/>
      <c r="AG4523" s="138">
        <f>F_GAMMA*AG$29</f>
        <v>0.57289312142622573</v>
      </c>
      <c r="AH4523" s="133"/>
      <c r="AI4523" s="155"/>
      <c r="AJ4523" s="138">
        <f>F_GAMMA*AJ$29</f>
        <v>0.53590819116049981</v>
      </c>
      <c r="AK4523" s="133"/>
      <c r="AL4523" s="155"/>
      <c r="AM4523" s="138">
        <f>F_GAMMA*AM$29</f>
        <v>0.49048815926850342</v>
      </c>
      <c r="AN4523" s="133"/>
      <c r="AO4523" s="155"/>
      <c r="AP4523" s="138">
        <f>F_GAMMA*AP$29</f>
        <v>0.59352979016280105</v>
      </c>
      <c r="AQ4523" s="133"/>
      <c r="AR4523" s="155"/>
      <c r="AS4523" s="138">
        <f>F_GAMMA*AS$29</f>
        <v>0.39097221161068291</v>
      </c>
      <c r="AT4523" s="133"/>
      <c r="AU4523" s="155"/>
    </row>
    <row r="4524" spans="13:47" x14ac:dyDescent="0.25">
      <c r="M4524" s="27"/>
      <c r="N4524" s="27"/>
      <c r="O4524" s="2" t="s">
        <v>193</v>
      </c>
      <c r="P4524" s="134"/>
      <c r="Q4524" s="2"/>
      <c r="R4524" s="181">
        <f>IF(R4519&lt;R4523,R4521,R4522)</f>
        <v>34.98696017610721</v>
      </c>
      <c r="S4524" s="133"/>
      <c r="T4524" s="155"/>
      <c r="U4524" s="138">
        <f>IF(U4519&lt;U4523,U4521,U4522)</f>
        <v>610.41583669083082</v>
      </c>
      <c r="V4524" s="133"/>
      <c r="W4524" s="155"/>
      <c r="X4524" s="138">
        <f>IF(X4519&lt;X4523,X4521,X4522)</f>
        <v>57.897838643846811</v>
      </c>
      <c r="Y4524" s="133"/>
      <c r="Z4524" s="155"/>
      <c r="AA4524" s="138">
        <f>IF(AA4519&lt;AA4523,AA4521,AA4522)</f>
        <v>22.153494672341353</v>
      </c>
      <c r="AB4524" s="133"/>
      <c r="AC4524" s="155"/>
      <c r="AD4524" s="138">
        <f>IF(AD4519&lt;AD4523,AD4521,AD4522)</f>
        <v>13.03958231678423</v>
      </c>
      <c r="AE4524" s="133"/>
      <c r="AF4524" s="155"/>
      <c r="AG4524" s="138">
        <f>IF(AG4519&lt;AG4523,AG4521,AG4522)</f>
        <v>9.6087945844589857</v>
      </c>
      <c r="AH4524" s="133"/>
      <c r="AI4524" s="155"/>
      <c r="AJ4524" s="138">
        <f>IF(AJ4519&lt;AJ4523,AJ4521,AJ4522)</f>
        <v>8.0425772413653238</v>
      </c>
      <c r="AK4524" s="133"/>
      <c r="AL4524" s="155"/>
      <c r="AM4524" s="138">
        <f>IF(AM4519&lt;AM4523,AM4521,AM4522)</f>
        <v>7.5886749342299149</v>
      </c>
      <c r="AN4524" s="133"/>
      <c r="AO4524" s="155"/>
      <c r="AP4524" s="138">
        <f>IF(AP4519&lt;AP4523,AP4521,AP4522)</f>
        <v>7.0137253624791756</v>
      </c>
      <c r="AQ4524" s="133"/>
      <c r="AR4524" s="155"/>
      <c r="AS4524" s="138">
        <f>IF(AS4519&lt;AS4523,AS4521,AS4522)</f>
        <v>10.165869604982261</v>
      </c>
      <c r="AT4524" s="133"/>
      <c r="AU4524" s="155"/>
    </row>
    <row r="4525" spans="13:47" ht="13" x14ac:dyDescent="0.3">
      <c r="M4525" s="28"/>
      <c r="N4525" s="28"/>
      <c r="O4525" s="9" t="s">
        <v>194</v>
      </c>
      <c r="P4525" s="1"/>
      <c r="Q4525" s="1"/>
      <c r="R4525" s="135"/>
      <c r="S4525" s="132">
        <f>IF(R4518&lt;=0,W_max,ABS(R$23-R4524))</f>
        <v>32.98696017610721</v>
      </c>
      <c r="T4525" s="151">
        <f>R4513</f>
        <v>6469.3470629684743</v>
      </c>
      <c r="U4525" s="135"/>
      <c r="V4525" s="132">
        <f>IF(U4518&lt;=0,W_max,ABS(U$23-U4524))</f>
        <v>605.41583669083082</v>
      </c>
      <c r="W4525" s="151">
        <f>U4513</f>
        <v>11217.012829500727</v>
      </c>
      <c r="X4525" s="135"/>
      <c r="Y4525" s="132">
        <f>IF(X4518&lt;=0,W_max,ABS(X$23-X4524))</f>
        <v>7174</v>
      </c>
      <c r="Z4525" s="151">
        <f>X4513</f>
        <v>27741.007567529363</v>
      </c>
      <c r="AA4525" s="135"/>
      <c r="AB4525" s="132">
        <f>IF(AA4518&lt;=0,W_max,ABS(AA$23-AA4524))</f>
        <v>7174</v>
      </c>
      <c r="AC4525" s="151">
        <f>AA4513</f>
        <v>54032.401976604007</v>
      </c>
      <c r="AD4525" s="135"/>
      <c r="AE4525" s="132">
        <f>IF(AD4518&lt;=0,W_max,ABS(AD$23-AD4524))</f>
        <v>7174</v>
      </c>
      <c r="AF4525" s="151">
        <f>AD4513</f>
        <v>88863.407701383185</v>
      </c>
      <c r="AG4525" s="135"/>
      <c r="AH4525" s="132">
        <f>IF(AG4518&lt;=0,W_max,ABS(AG$23-AG4524))</f>
        <v>7174</v>
      </c>
      <c r="AI4525" s="151">
        <f>AG4513</f>
        <v>124637.77055456398</v>
      </c>
      <c r="AJ4525" s="135"/>
      <c r="AK4525" s="132">
        <f>IF(AJ4518&lt;=0,W_max,ABS(AJ$23-AJ4524))</f>
        <v>7174</v>
      </c>
      <c r="AL4525" s="151">
        <f>AJ4513</f>
        <v>158256.89578890076</v>
      </c>
      <c r="AM4525" s="135"/>
      <c r="AN4525" s="132">
        <f>IF(AM4518&lt;=0,W_max,ABS(AM$23-AM4524))</f>
        <v>7174</v>
      </c>
      <c r="AO4525" s="151">
        <f>AM4513</f>
        <v>185568.65641398026</v>
      </c>
      <c r="AP4525" s="135"/>
      <c r="AQ4525" s="132">
        <f>IF(AP4518&lt;=0,W_max,ABS(AP$23-AP4524))</f>
        <v>7174</v>
      </c>
      <c r="AR4525" s="151">
        <f>AP4513</f>
        <v>207033.07609428957</v>
      </c>
      <c r="AS4525" s="135"/>
      <c r="AT4525" s="132">
        <f>IF(AS4518&lt;=0,W_max,ABS(AS$23-AS4524))</f>
        <v>7174</v>
      </c>
      <c r="AU4525" s="151">
        <f>AS4513</f>
        <v>230980.24971115077</v>
      </c>
    </row>
    <row r="4526" spans="13:47" ht="13" x14ac:dyDescent="0.25">
      <c r="M4526" s="12"/>
      <c r="N4526" s="12"/>
      <c r="O4526" s="2"/>
      <c r="P4526" s="85"/>
      <c r="Q4526" s="2"/>
      <c r="R4526" s="18"/>
      <c r="S4526" s="150"/>
      <c r="T4526" s="148"/>
      <c r="U4526" s="157"/>
      <c r="V4526" s="1"/>
      <c r="W4526" s="147"/>
      <c r="X4526" s="157"/>
      <c r="Y4526" s="1"/>
      <c r="Z4526" s="147"/>
      <c r="AA4526" s="157"/>
      <c r="AB4526" s="1"/>
      <c r="AC4526" s="147"/>
      <c r="AD4526" s="157"/>
      <c r="AE4526" s="1"/>
      <c r="AF4526" s="147"/>
      <c r="AG4526" s="157"/>
      <c r="AH4526" s="1"/>
      <c r="AI4526" s="147"/>
      <c r="AJ4526" s="157"/>
      <c r="AK4526" s="1"/>
      <c r="AL4526" s="147"/>
      <c r="AM4526" s="157"/>
      <c r="AN4526" s="1"/>
      <c r="AO4526" s="147"/>
      <c r="AP4526" s="157"/>
      <c r="AQ4526" s="1"/>
      <c r="AR4526" s="147"/>
      <c r="AS4526" s="157"/>
      <c r="AT4526" s="1"/>
      <c r="AU4526" s="147"/>
    </row>
    <row r="4527" spans="13:47" ht="14" x14ac:dyDescent="0.3">
      <c r="M4527" s="23"/>
      <c r="N4527" s="23"/>
      <c r="O4527" s="23" t="s">
        <v>238</v>
      </c>
      <c r="P4527" s="20"/>
      <c r="Q4527" s="20"/>
      <c r="R4527" s="181">
        <f>R4513*1.02</f>
        <v>6598.7340042278438</v>
      </c>
      <c r="S4527" s="128" t="s">
        <v>185</v>
      </c>
      <c r="T4527" s="149" t="s">
        <v>186</v>
      </c>
      <c r="U4527" s="143">
        <f>U4513*1.01</f>
        <v>11329.182957795734</v>
      </c>
      <c r="V4527" s="128" t="s">
        <v>185</v>
      </c>
      <c r="W4527" s="153" t="s">
        <v>186</v>
      </c>
      <c r="X4527" s="143">
        <f>X4513*1.01</f>
        <v>28018.417643204655</v>
      </c>
      <c r="Y4527" s="128" t="s">
        <v>185</v>
      </c>
      <c r="Z4527" s="153" t="s">
        <v>186</v>
      </c>
      <c r="AA4527" s="143">
        <f>AA4513*1.01</f>
        <v>54572.725996370049</v>
      </c>
      <c r="AB4527" s="128" t="s">
        <v>185</v>
      </c>
      <c r="AC4527" s="153" t="s">
        <v>186</v>
      </c>
      <c r="AD4527" s="143">
        <f>AD4513*1.01</f>
        <v>89752.041778397019</v>
      </c>
      <c r="AE4527" s="128" t="s">
        <v>185</v>
      </c>
      <c r="AF4527" s="153" t="s">
        <v>186</v>
      </c>
      <c r="AG4527" s="143">
        <f>AG4513*1.01</f>
        <v>125884.14826010962</v>
      </c>
      <c r="AH4527" s="128" t="s">
        <v>185</v>
      </c>
      <c r="AI4527" s="153" t="s">
        <v>186</v>
      </c>
      <c r="AJ4527" s="143">
        <f>AJ4513*1.01</f>
        <v>159839.46474678977</v>
      </c>
      <c r="AK4527" s="128" t="s">
        <v>185</v>
      </c>
      <c r="AL4527" s="153" t="s">
        <v>186</v>
      </c>
      <c r="AM4527" s="143">
        <f>AM4513*1.01</f>
        <v>187424.34297812008</v>
      </c>
      <c r="AN4527" s="128" t="s">
        <v>185</v>
      </c>
      <c r="AO4527" s="153" t="s">
        <v>186</v>
      </c>
      <c r="AP4527" s="143">
        <f>AP4513*1.01</f>
        <v>209103.40685523246</v>
      </c>
      <c r="AQ4527" s="128" t="s">
        <v>185</v>
      </c>
      <c r="AR4527" s="153" t="s">
        <v>186</v>
      </c>
      <c r="AS4527" s="143">
        <f>AS4513*1.01</f>
        <v>233290.05220826229</v>
      </c>
      <c r="AT4527" s="128" t="s">
        <v>185</v>
      </c>
      <c r="AU4527" s="153" t="s">
        <v>186</v>
      </c>
    </row>
    <row r="4528" spans="13:47" ht="14" x14ac:dyDescent="0.3">
      <c r="M4528" s="12"/>
      <c r="N4528" s="12"/>
      <c r="O4528" s="20"/>
      <c r="P4528" s="20"/>
      <c r="Q4528" s="23"/>
      <c r="R4528" s="139"/>
      <c r="S4528" s="130" t="s">
        <v>228</v>
      </c>
      <c r="T4528" s="131" t="s">
        <v>187</v>
      </c>
      <c r="U4528" s="144"/>
      <c r="V4528" s="130" t="s">
        <v>228</v>
      </c>
      <c r="W4528" s="154" t="s">
        <v>187</v>
      </c>
      <c r="X4528" s="144"/>
      <c r="Y4528" s="130" t="s">
        <v>228</v>
      </c>
      <c r="Z4528" s="154" t="s">
        <v>187</v>
      </c>
      <c r="AA4528" s="144"/>
      <c r="AB4528" s="130" t="s">
        <v>228</v>
      </c>
      <c r="AC4528" s="154" t="s">
        <v>187</v>
      </c>
      <c r="AD4528" s="144"/>
      <c r="AE4528" s="130" t="s">
        <v>228</v>
      </c>
      <c r="AF4528" s="154" t="s">
        <v>187</v>
      </c>
      <c r="AG4528" s="144"/>
      <c r="AH4528" s="130" t="s">
        <v>228</v>
      </c>
      <c r="AI4528" s="154" t="s">
        <v>187</v>
      </c>
      <c r="AJ4528" s="144"/>
      <c r="AK4528" s="130" t="s">
        <v>228</v>
      </c>
      <c r="AL4528" s="154" t="s">
        <v>187</v>
      </c>
      <c r="AM4528" s="144"/>
      <c r="AN4528" s="130" t="s">
        <v>228</v>
      </c>
      <c r="AO4528" s="154" t="s">
        <v>187</v>
      </c>
      <c r="AP4528" s="144"/>
      <c r="AQ4528" s="130" t="s">
        <v>228</v>
      </c>
      <c r="AR4528" s="154" t="s">
        <v>187</v>
      </c>
      <c r="AS4528" s="144"/>
      <c r="AT4528" s="130" t="s">
        <v>228</v>
      </c>
      <c r="AU4528" s="154" t="s">
        <v>187</v>
      </c>
    </row>
    <row r="4529" spans="13:47" x14ac:dyDescent="0.25">
      <c r="M4529" s="20"/>
      <c r="N4529" s="20"/>
      <c r="O4529" s="7" t="s">
        <v>188</v>
      </c>
      <c r="P4529" s="7"/>
      <c r="Q4529" s="7"/>
      <c r="R4529" s="181">
        <f>P_1_minW-(R4527^2*R_up)+dpup_minQ</f>
        <v>83.159384265247596</v>
      </c>
      <c r="S4529" s="132"/>
      <c r="T4529" s="145"/>
      <c r="U4529" s="138">
        <f>P_1_minW-(U4527^2*R_up)+dpup_minQ</f>
        <v>49.341550901137232</v>
      </c>
      <c r="V4529" s="132"/>
      <c r="W4529" s="145"/>
      <c r="X4529" s="138">
        <f>P_1_minW-(X4527^2*R_up)+dpup_minQ</f>
        <v>-212.51790654144745</v>
      </c>
      <c r="Y4529" s="132"/>
      <c r="Z4529" s="145"/>
      <c r="AA4529" s="138">
        <f>P_1_minW-(AA4527^2*R_up)+dpup_minQ</f>
        <v>-1087.0627056277253</v>
      </c>
      <c r="AB4529" s="132"/>
      <c r="AC4529" s="145"/>
      <c r="AD4529" s="138">
        <f>P_1_minW-(AD4527^2*R_up)+dpup_minQ</f>
        <v>-3111.6748766310129</v>
      </c>
      <c r="AE4529" s="132"/>
      <c r="AF4529" s="145"/>
      <c r="AG4529" s="138">
        <f>P_1_minW-(AG4527^2*R_up)+dpup_minQ</f>
        <v>-6218.5837742784943</v>
      </c>
      <c r="AH4529" s="132"/>
      <c r="AI4529" s="145"/>
      <c r="AJ4529" s="138">
        <f>P_1_minW-(AJ4527^2*R_up)+dpup_minQ</f>
        <v>-10087.305598586379</v>
      </c>
      <c r="AK4529" s="132"/>
      <c r="AL4529" s="145"/>
      <c r="AM4529" s="138">
        <f>P_1_minW-(AM4527^2*R_up)+dpup_minQ</f>
        <v>-13907.136886137801</v>
      </c>
      <c r="AN4529" s="132"/>
      <c r="AO4529" s="145"/>
      <c r="AP4529" s="138">
        <f>P_1_minW-(AP4527^2*R_up)+dpup_minQ</f>
        <v>-17335.033366083593</v>
      </c>
      <c r="AQ4529" s="132"/>
      <c r="AR4529" s="145"/>
      <c r="AS4529" s="138">
        <f>P_1_minW-(AS4527^2*R_up)+dpup_minQ</f>
        <v>-21601.790480256492</v>
      </c>
      <c r="AT4529" s="132"/>
      <c r="AU4529" s="145"/>
    </row>
    <row r="4530" spans="13:47" x14ac:dyDescent="0.25">
      <c r="M4530" s="20"/>
      <c r="N4530" s="20"/>
      <c r="O4530" s="7" t="s">
        <v>189</v>
      </c>
      <c r="P4530" s="1"/>
      <c r="Q4530" s="7"/>
      <c r="R4530" s="181">
        <f>P_2_minW+(R4527^2*R_dn)-dpdn_minQ</f>
        <v>50</v>
      </c>
      <c r="S4530" s="132"/>
      <c r="T4530" s="146"/>
      <c r="U4530" s="138">
        <f>P_2_minW+(U4527^2*R_dn)-dpdn_minQ</f>
        <v>50</v>
      </c>
      <c r="V4530" s="132"/>
      <c r="W4530" s="146"/>
      <c r="X4530" s="138">
        <f>P_2_minW+(X4527^2*R_dn)-dpdn_minQ</f>
        <v>50</v>
      </c>
      <c r="Y4530" s="132"/>
      <c r="Z4530" s="146"/>
      <c r="AA4530" s="138">
        <f>P_2_minW+(AA4527^2*R_dn)-dpdn_minQ</f>
        <v>50</v>
      </c>
      <c r="AB4530" s="132"/>
      <c r="AC4530" s="146"/>
      <c r="AD4530" s="138">
        <f>P_2_minW+(AD4527^2*R_dn)-dpdn_minQ</f>
        <v>50</v>
      </c>
      <c r="AE4530" s="132"/>
      <c r="AF4530" s="146"/>
      <c r="AG4530" s="138">
        <f>P_2_minW+(AG4527^2*R_dn)-dpdn_minQ</f>
        <v>50</v>
      </c>
      <c r="AH4530" s="132"/>
      <c r="AI4530" s="146"/>
      <c r="AJ4530" s="138">
        <f>P_2_minW+(AJ4527^2*R_dn)-dpdn_minQ</f>
        <v>50</v>
      </c>
      <c r="AK4530" s="132"/>
      <c r="AL4530" s="146"/>
      <c r="AM4530" s="138">
        <f>P_2_minW+(AM4527^2*R_dn)-dpdn_minQ</f>
        <v>50</v>
      </c>
      <c r="AN4530" s="132"/>
      <c r="AO4530" s="146"/>
      <c r="AP4530" s="138">
        <f>P_2_minW+(AP4527^2*R_dn)-dpdn_minQ</f>
        <v>50</v>
      </c>
      <c r="AQ4530" s="132"/>
      <c r="AR4530" s="146"/>
      <c r="AS4530" s="138">
        <f>P_2_minW+(AS4527^2*R_dn)-dpdn_minQ</f>
        <v>50</v>
      </c>
      <c r="AT4530" s="132"/>
      <c r="AU4530" s="146"/>
    </row>
    <row r="4531" spans="13:47" x14ac:dyDescent="0.25">
      <c r="M4531" s="20"/>
      <c r="N4531" s="20"/>
      <c r="O4531" s="7" t="s">
        <v>234</v>
      </c>
      <c r="P4531" s="1"/>
      <c r="Q4531" s="7"/>
      <c r="R4531" s="179">
        <f>'Valve Sizing'!G$8*R4529/P_1_maxW</f>
        <v>0.40114606407974618</v>
      </c>
      <c r="S4531" s="132"/>
      <c r="T4531" s="146"/>
      <c r="U4531" s="143">
        <f>'Valve Sizing'!$G$8*U4529/P_1_maxW</f>
        <v>0.23801485682540391</v>
      </c>
      <c r="V4531" s="132"/>
      <c r="W4531" s="146"/>
      <c r="X4531" s="143">
        <f>'Valve Sizing'!$G$8*X4529/P_1_maxW</f>
        <v>-1.0251485446747755</v>
      </c>
      <c r="Y4531" s="132"/>
      <c r="Z4531" s="146"/>
      <c r="AA4531" s="143">
        <f>'Valve Sizing'!$G$8*AA4529/P_1_maxW</f>
        <v>-5.2437969523624322</v>
      </c>
      <c r="AB4531" s="132"/>
      <c r="AC4531" s="146"/>
      <c r="AD4531" s="143">
        <f>'Valve Sizing'!$G$8*AD4529/P_1_maxW</f>
        <v>-15.010165605302586</v>
      </c>
      <c r="AE4531" s="132"/>
      <c r="AF4531" s="146"/>
      <c r="AG4531" s="143">
        <f>'Valve Sizing'!$G$8*AG4529/P_1_maxW</f>
        <v>-29.997340976518878</v>
      </c>
      <c r="AH4531" s="132"/>
      <c r="AI4531" s="146"/>
      <c r="AJ4531" s="143">
        <f>'Valve Sizing'!$G$8*AJ4529/P_1_maxW</f>
        <v>-48.659366273513214</v>
      </c>
      <c r="AK4531" s="132"/>
      <c r="AL4531" s="146"/>
      <c r="AM4531" s="143">
        <f>'Valve Sizing'!$G$8*AM4529/P_1_maxW</f>
        <v>-67.08555232561794</v>
      </c>
      <c r="AN4531" s="132"/>
      <c r="AO4531" s="146"/>
      <c r="AP4531" s="143">
        <f>'Valve Sizing'!$G$8*AP4529/P_1_maxW</f>
        <v>-83.621114645524642</v>
      </c>
      <c r="AQ4531" s="132"/>
      <c r="AR4531" s="146"/>
      <c r="AS4531" s="143">
        <f>'Valve Sizing'!$G$8*AS4529/P_1_maxW</f>
        <v>-104.20319131501233</v>
      </c>
      <c r="AT4531" s="132"/>
      <c r="AU4531" s="146"/>
    </row>
    <row r="4532" spans="13:47" x14ac:dyDescent="0.25">
      <c r="M4532" s="20"/>
      <c r="N4532" s="20"/>
      <c r="O4532" s="7" t="s">
        <v>190</v>
      </c>
      <c r="P4532" s="1"/>
      <c r="Q4532" s="7"/>
      <c r="R4532" s="181">
        <f>R4529-R4530</f>
        <v>33.159384265247596</v>
      </c>
      <c r="S4532" s="132"/>
      <c r="T4532" s="146"/>
      <c r="U4532" s="138">
        <f>U4529-U4530</f>
        <v>-0.65844909886276781</v>
      </c>
      <c r="V4532" s="132"/>
      <c r="W4532" s="146"/>
      <c r="X4532" s="138">
        <f>X4529-X4530</f>
        <v>-262.51790654144747</v>
      </c>
      <c r="Y4532" s="132"/>
      <c r="Z4532" s="146"/>
      <c r="AA4532" s="138">
        <f>AA4529-AA4530</f>
        <v>-1137.0627056277253</v>
      </c>
      <c r="AB4532" s="132"/>
      <c r="AC4532" s="146"/>
      <c r="AD4532" s="138">
        <f>AD4529-AD4530</f>
        <v>-3161.6748766310129</v>
      </c>
      <c r="AE4532" s="132"/>
      <c r="AF4532" s="146"/>
      <c r="AG4532" s="138">
        <f>AG4529-AG4530</f>
        <v>-6268.5837742784943</v>
      </c>
      <c r="AH4532" s="132"/>
      <c r="AI4532" s="146"/>
      <c r="AJ4532" s="138">
        <f>AJ4529-AJ4530</f>
        <v>-10137.305598586379</v>
      </c>
      <c r="AK4532" s="132"/>
      <c r="AL4532" s="146"/>
      <c r="AM4532" s="138">
        <f>AM4529-AM4530</f>
        <v>-13957.136886137801</v>
      </c>
      <c r="AN4532" s="132"/>
      <c r="AO4532" s="146"/>
      <c r="AP4532" s="138">
        <f>AP4529-AP4530</f>
        <v>-17385.033366083593</v>
      </c>
      <c r="AQ4532" s="132"/>
      <c r="AR4532" s="146"/>
      <c r="AS4532" s="138">
        <f>AS4529-AS4530</f>
        <v>-21651.790480256492</v>
      </c>
      <c r="AT4532" s="132"/>
      <c r="AU4532" s="146"/>
    </row>
    <row r="4533" spans="13:47" ht="14.5" x14ac:dyDescent="0.35">
      <c r="M4533" s="27"/>
      <c r="N4533" s="27"/>
      <c r="O4533" s="2" t="s">
        <v>191</v>
      </c>
      <c r="P4533" s="10"/>
      <c r="Q4533" s="2"/>
      <c r="R4533" s="181">
        <f>R4532/R4529</f>
        <v>0.3987449469260313</v>
      </c>
      <c r="S4533" s="132"/>
      <c r="T4533" s="146"/>
      <c r="U4533" s="138">
        <f>U4532/U4529</f>
        <v>-1.3344718332467165E-2</v>
      </c>
      <c r="V4533" s="132"/>
      <c r="W4533" s="146"/>
      <c r="X4533" s="138">
        <f>X4532/X4529</f>
        <v>1.2352742920053588</v>
      </c>
      <c r="Y4533" s="132"/>
      <c r="Z4533" s="146"/>
      <c r="AA4533" s="138">
        <f>AA4532/AA4529</f>
        <v>1.0459955067367779</v>
      </c>
      <c r="AB4533" s="132"/>
      <c r="AC4533" s="146"/>
      <c r="AD4533" s="138">
        <f>AD4532/AD4529</f>
        <v>1.0160685167899464</v>
      </c>
      <c r="AE4533" s="132"/>
      <c r="AF4533" s="146"/>
      <c r="AG4533" s="138">
        <f>AG4532/AG4529</f>
        <v>1.0080404159234473</v>
      </c>
      <c r="AH4533" s="132"/>
      <c r="AI4533" s="146"/>
      <c r="AJ4533" s="138">
        <f>AJ4532/AJ4529</f>
        <v>1.0049567250155489</v>
      </c>
      <c r="AK4533" s="132"/>
      <c r="AL4533" s="146"/>
      <c r="AM4533" s="138">
        <f>AM4532/AM4529</f>
        <v>1.0035952763253404</v>
      </c>
      <c r="AN4533" s="132"/>
      <c r="AO4533" s="146"/>
      <c r="AP4533" s="138">
        <f>AP4532/AP4529</f>
        <v>1.0028843324927097</v>
      </c>
      <c r="AQ4533" s="132"/>
      <c r="AR4533" s="146"/>
      <c r="AS4533" s="138">
        <f>AS4532/AS4529</f>
        <v>1.0023146229496902</v>
      </c>
      <c r="AT4533" s="132"/>
      <c r="AU4533" s="146"/>
    </row>
    <row r="4534" spans="13:47" x14ac:dyDescent="0.25">
      <c r="M4534" s="27"/>
      <c r="N4534" s="27"/>
      <c r="O4534" s="2" t="s">
        <v>26</v>
      </c>
      <c r="P4534" s="7">
        <v>12</v>
      </c>
      <c r="Q4534" s="2"/>
      <c r="R4534" s="181">
        <f>1-R4533/(3*F_GAMMA*R$29)</f>
        <v>0.79232906237127387</v>
      </c>
      <c r="S4534" s="133"/>
      <c r="T4534" s="146"/>
      <c r="U4534" s="138">
        <f>1-U4533/(3*F_GAMMA*U$29)</f>
        <v>1.0069485519913588</v>
      </c>
      <c r="V4534" s="133"/>
      <c r="W4534" s="146"/>
      <c r="X4534" s="138">
        <f>1-X4533/(3*F_GAMMA*X$29)</f>
        <v>0.34714756808188907</v>
      </c>
      <c r="Y4534" s="133"/>
      <c r="Z4534" s="146"/>
      <c r="AA4534" s="138">
        <f>1-AA4533/(3*F_GAMMA*AA$29)</f>
        <v>0.43960304226521285</v>
      </c>
      <c r="AB4534" s="133"/>
      <c r="AC4534" s="146"/>
      <c r="AD4534" s="138">
        <f>1-AD4533/(3*F_GAMMA*AD$29)</f>
        <v>0.44071127848956104</v>
      </c>
      <c r="AE4534" s="133"/>
      <c r="AF4534" s="146"/>
      <c r="AG4534" s="138">
        <f>1-AG4533/(3*F_GAMMA*AG$29)</f>
        <v>0.41347965369531403</v>
      </c>
      <c r="AH4534" s="133"/>
      <c r="AI4534" s="146"/>
      <c r="AJ4534" s="138">
        <f>1-AJ4533/(3*F_GAMMA*AJ$29)</f>
        <v>0.37491984535676237</v>
      </c>
      <c r="AK4534" s="133"/>
      <c r="AL4534" s="146"/>
      <c r="AM4534" s="138">
        <f>1-AM4533/(3*F_GAMMA*AM$29)</f>
        <v>0.31796160120557815</v>
      </c>
      <c r="AN4534" s="133"/>
      <c r="AO4534" s="146"/>
      <c r="AP4534" s="138">
        <f>1-AP4533/(3*F_GAMMA*AP$29)</f>
        <v>0.43676832563724355</v>
      </c>
      <c r="AQ4534" s="133"/>
      <c r="AR4534" s="146"/>
      <c r="AS4534" s="138">
        <f>1-AS4533/(3*F_GAMMA*AS$29)</f>
        <v>0.1454510975597062</v>
      </c>
      <c r="AT4534" s="133"/>
      <c r="AU4534" s="146"/>
    </row>
    <row r="4535" spans="13:47" x14ac:dyDescent="0.25">
      <c r="M4535" s="27"/>
      <c r="N4535" s="27"/>
      <c r="O4535" s="2" t="s">
        <v>71</v>
      </c>
      <c r="P4535" s="85">
        <v>5</v>
      </c>
      <c r="Q4535" s="2"/>
      <c r="R4535" s="179">
        <f>R4527/((N_6*R$27*R4534)*SQRT(R4533*R4529*R4531))</f>
        <v>36.078484745074782</v>
      </c>
      <c r="S4535" s="133"/>
      <c r="T4535" s="146"/>
      <c r="U4535" s="143" t="e">
        <f>U4527/((N_6*U$27*U4534)*SQRT(U4533*U4529*U4531))</f>
        <v>#NUM!</v>
      </c>
      <c r="V4535" s="133"/>
      <c r="W4535" s="146"/>
      <c r="X4535" s="143">
        <f>X4527/((N_6*X$27*X4534)*SQRT(X4533*X4529*X4531))</f>
        <v>77.953523095114548</v>
      </c>
      <c r="Y4535" s="133"/>
      <c r="Z4535" s="146"/>
      <c r="AA4535" s="143">
        <f>AA4527/((N_6*AA$27*AA4534)*SQRT(AA4533*AA4529*AA4531))</f>
        <v>25.619434307049332</v>
      </c>
      <c r="AB4535" s="133"/>
      <c r="AC4535" s="146"/>
      <c r="AD4535" s="143">
        <f>AD4527/((N_6*AD$27*AD4534)*SQRT(AD4533*AD4529*AD4531))</f>
        <v>15.074857821703924</v>
      </c>
      <c r="AE4535" s="133"/>
      <c r="AF4535" s="146"/>
      <c r="AG4535" s="143">
        <f>AG4527/((N_6*AG$27*AG4534)*SQRT(AG4533*AG4529*AG4531))</f>
        <v>11.5658065881362</v>
      </c>
      <c r="AH4535" s="133"/>
      <c r="AI4535" s="146"/>
      <c r="AJ4535" s="143">
        <f>AJ4527/((N_6*AJ$27*AJ4534)*SQRT(AJ4533*AJ4529*AJ4531))</f>
        <v>10.342982500304243</v>
      </c>
      <c r="AK4535" s="133"/>
      <c r="AL4535" s="146"/>
      <c r="AM4535" s="143">
        <f>AM4527/((N_6*AM$27*AM4534)*SQRT(AM4533*AM4529*AM4531))</f>
        <v>11.017107647730537</v>
      </c>
      <c r="AN4535" s="133"/>
      <c r="AO4535" s="146"/>
      <c r="AP4535" s="143">
        <f>AP4527/((N_6*AP$27*AP4534)*SQRT(AP4533*AP4529*AP4531))</f>
        <v>8.1573161652428841</v>
      </c>
      <c r="AQ4535" s="133"/>
      <c r="AR4535" s="146"/>
      <c r="AS4535" s="143">
        <f>AS4527/((N_6*AS$27*AS4534)*SQRT(AS4533*AS4529*AS4531))</f>
        <v>28.824533090225415</v>
      </c>
      <c r="AT4535" s="133"/>
      <c r="AU4535" s="146"/>
    </row>
    <row r="4536" spans="13:47" x14ac:dyDescent="0.25">
      <c r="M4536" s="27"/>
      <c r="N4536" s="27"/>
      <c r="O4536" s="2" t="s">
        <v>73</v>
      </c>
      <c r="P4536" s="85">
        <v>5</v>
      </c>
      <c r="Q4536" s="2"/>
      <c r="R4536" s="179">
        <f>R4527/((N_6*R$27*0.667)*SQRT(R4537*R4529*R4531))</f>
        <v>33.82801626175619</v>
      </c>
      <c r="S4536" s="133"/>
      <c r="T4536" s="147"/>
      <c r="U4536" s="143">
        <f>U4527/((N_6*U$27*0.667)*SQRT(U4537*U4529*U4531))</f>
        <v>97.934365792551162</v>
      </c>
      <c r="V4536" s="133"/>
      <c r="W4536" s="155"/>
      <c r="X4536" s="143">
        <f>X4527/((N_6*X$27*0.667)*SQRT(X4537*X4529*X4531))</f>
        <v>56.779580765290305</v>
      </c>
      <c r="Y4536" s="133"/>
      <c r="Z4536" s="155"/>
      <c r="AA4536" s="143">
        <f>AA4527/((N_6*AA$27*0.667)*SQRT(AA4537*AA4529*AA4531))</f>
        <v>21.893384441979208</v>
      </c>
      <c r="AB4536" s="133"/>
      <c r="AC4536" s="155"/>
      <c r="AD4536" s="143">
        <f>AD4527/((N_6*AD$27*0.667)*SQRT(AD4537*AD4529*AD4531))</f>
        <v>12.90209436370464</v>
      </c>
      <c r="AE4536" s="133"/>
      <c r="AF4536" s="155"/>
      <c r="AG4536" s="143">
        <f>AG4527/((N_6*AG$27*0.667)*SQRT(AG4537*AG4529*AG4531))</f>
        <v>9.5105668790183682</v>
      </c>
      <c r="AH4536" s="133"/>
      <c r="AI4536" s="155"/>
      <c r="AJ4536" s="143">
        <f>AJ4527/((N_6*AJ$27*0.667)*SQRT(AJ4537*AJ4529*AJ4531))</f>
        <v>7.96135276894874</v>
      </c>
      <c r="AK4536" s="133"/>
      <c r="AL4536" s="155"/>
      <c r="AM4536" s="143">
        <f>AM4527/((N_6*AM$27*0.667)*SQRT(AM4537*AM4529*AM4531))</f>
        <v>7.5124479290463553</v>
      </c>
      <c r="AN4536" s="133"/>
      <c r="AO4536" s="155"/>
      <c r="AP4536" s="143">
        <f>AP4527/((N_6*AP$27*0.667)*SQRT(AP4537*AP4529*AP4531))</f>
        <v>6.9434731369634681</v>
      </c>
      <c r="AQ4536" s="133"/>
      <c r="AR4536" s="155"/>
      <c r="AS4536" s="143">
        <f>AS4527/((N_6*AS$27*0.667)*SQRT(AS4537*AS4529*AS4531))</f>
        <v>10.064275987766226</v>
      </c>
      <c r="AT4536" s="133"/>
      <c r="AU4536" s="155"/>
    </row>
    <row r="4537" spans="13:47" ht="15.5" x14ac:dyDescent="0.4">
      <c r="M4537" s="27"/>
      <c r="N4537" s="27"/>
      <c r="O4537" s="2" t="s">
        <v>192</v>
      </c>
      <c r="P4537" s="85">
        <v>10</v>
      </c>
      <c r="Q4537" s="2"/>
      <c r="R4537" s="181">
        <f>F_GAMMA*R$29</f>
        <v>0.64002688015162901</v>
      </c>
      <c r="S4537" s="133"/>
      <c r="T4537" s="147"/>
      <c r="U4537" s="138">
        <f>F_GAMMA*U$29</f>
        <v>0.64016782916606918</v>
      </c>
      <c r="V4537" s="133"/>
      <c r="W4537" s="155"/>
      <c r="X4537" s="138">
        <f>F_GAMMA*X$29</f>
        <v>0.6307062319203669</v>
      </c>
      <c r="Y4537" s="133"/>
      <c r="Z4537" s="155"/>
      <c r="AA4537" s="138">
        <f>F_GAMMA*AA$29</f>
        <v>0.62217534213893466</v>
      </c>
      <c r="AB4537" s="133"/>
      <c r="AC4537" s="155"/>
      <c r="AD4537" s="138">
        <f>F_GAMMA*AD$29</f>
        <v>0.60557184969146072</v>
      </c>
      <c r="AE4537" s="133"/>
      <c r="AF4537" s="155"/>
      <c r="AG4537" s="138">
        <f>F_GAMMA*AG$29</f>
        <v>0.57289312142622573</v>
      </c>
      <c r="AH4537" s="133"/>
      <c r="AI4537" s="155"/>
      <c r="AJ4537" s="138">
        <f>F_GAMMA*AJ$29</f>
        <v>0.53590819116049981</v>
      </c>
      <c r="AK4537" s="133"/>
      <c r="AL4537" s="155"/>
      <c r="AM4537" s="138">
        <f>F_GAMMA*AM$29</f>
        <v>0.49048815926850342</v>
      </c>
      <c r="AN4537" s="133"/>
      <c r="AO4537" s="155"/>
      <c r="AP4537" s="138">
        <f>F_GAMMA*AP$29</f>
        <v>0.59352979016280105</v>
      </c>
      <c r="AQ4537" s="133"/>
      <c r="AR4537" s="155"/>
      <c r="AS4537" s="138">
        <f>F_GAMMA*AS$29</f>
        <v>0.39097221161068291</v>
      </c>
      <c r="AT4537" s="133"/>
      <c r="AU4537" s="155"/>
    </row>
    <row r="4538" spans="13:47" x14ac:dyDescent="0.25">
      <c r="M4538" s="27"/>
      <c r="N4538" s="27"/>
      <c r="O4538" s="2" t="s">
        <v>193</v>
      </c>
      <c r="P4538" s="134"/>
      <c r="Q4538" s="2"/>
      <c r="R4538" s="181">
        <f>IF(R4533&lt;R4537,R4535,R4536)</f>
        <v>36.078484745074782</v>
      </c>
      <c r="S4538" s="133"/>
      <c r="T4538" s="147"/>
      <c r="U4538" s="138" t="e">
        <f>IF(U4533&lt;U4537,U4535,U4536)</f>
        <v>#NUM!</v>
      </c>
      <c r="V4538" s="133"/>
      <c r="W4538" s="155"/>
      <c r="X4538" s="138">
        <f>IF(X4533&lt;X4537,X4535,X4536)</f>
        <v>56.779580765290305</v>
      </c>
      <c r="Y4538" s="133"/>
      <c r="Z4538" s="155"/>
      <c r="AA4538" s="138">
        <f>IF(AA4533&lt;AA4537,AA4535,AA4536)</f>
        <v>21.893384441979208</v>
      </c>
      <c r="AB4538" s="133"/>
      <c r="AC4538" s="155"/>
      <c r="AD4538" s="138">
        <f>IF(AD4533&lt;AD4537,AD4535,AD4536)</f>
        <v>12.90209436370464</v>
      </c>
      <c r="AE4538" s="133"/>
      <c r="AF4538" s="155"/>
      <c r="AG4538" s="138">
        <f>IF(AG4533&lt;AG4537,AG4535,AG4536)</f>
        <v>9.5105668790183682</v>
      </c>
      <c r="AH4538" s="133"/>
      <c r="AI4538" s="155"/>
      <c r="AJ4538" s="138">
        <f>IF(AJ4533&lt;AJ4537,AJ4535,AJ4536)</f>
        <v>7.96135276894874</v>
      </c>
      <c r="AK4538" s="133"/>
      <c r="AL4538" s="155"/>
      <c r="AM4538" s="138">
        <f>IF(AM4533&lt;AM4537,AM4535,AM4536)</f>
        <v>7.5124479290463553</v>
      </c>
      <c r="AN4538" s="133"/>
      <c r="AO4538" s="155"/>
      <c r="AP4538" s="138">
        <f>IF(AP4533&lt;AP4537,AP4535,AP4536)</f>
        <v>6.9434731369634681</v>
      </c>
      <c r="AQ4538" s="133"/>
      <c r="AR4538" s="155"/>
      <c r="AS4538" s="138">
        <f>IF(AS4533&lt;AS4537,AS4535,AS4536)</f>
        <v>10.064275987766226</v>
      </c>
      <c r="AT4538" s="133"/>
      <c r="AU4538" s="155"/>
    </row>
    <row r="4539" spans="13:47" ht="13" x14ac:dyDescent="0.3">
      <c r="M4539" s="28"/>
      <c r="N4539" s="28"/>
      <c r="O4539" s="9" t="s">
        <v>194</v>
      </c>
      <c r="P4539" s="1"/>
      <c r="Q4539" s="1"/>
      <c r="R4539" s="135"/>
      <c r="S4539" s="132">
        <f>IF(R4532&lt;=0,W_max,ABS(R$23-R4538))</f>
        <v>34.078484745074782</v>
      </c>
      <c r="T4539" s="151">
        <f>R4527</f>
        <v>6598.7340042278438</v>
      </c>
      <c r="U4539" s="135"/>
      <c r="V4539" s="132">
        <f>IF(U4532&lt;=0,W_max,ABS(U$23-U4538))</f>
        <v>7174</v>
      </c>
      <c r="W4539" s="151">
        <f>U4527</f>
        <v>11329.182957795734</v>
      </c>
      <c r="X4539" s="135"/>
      <c r="Y4539" s="132">
        <f>IF(X4532&lt;=0,W_max,ABS(X$23-X4538))</f>
        <v>7174</v>
      </c>
      <c r="Z4539" s="151">
        <f>X4527</f>
        <v>28018.417643204655</v>
      </c>
      <c r="AA4539" s="135"/>
      <c r="AB4539" s="132">
        <f>IF(AA4532&lt;=0,W_max,ABS(AA$23-AA4538))</f>
        <v>7174</v>
      </c>
      <c r="AC4539" s="151">
        <f>AA4527</f>
        <v>54572.725996370049</v>
      </c>
      <c r="AD4539" s="135"/>
      <c r="AE4539" s="132">
        <f>IF(AD4532&lt;=0,W_max,ABS(AD$23-AD4538))</f>
        <v>7174</v>
      </c>
      <c r="AF4539" s="151">
        <f>AD4527</f>
        <v>89752.041778397019</v>
      </c>
      <c r="AG4539" s="135"/>
      <c r="AH4539" s="132">
        <f>IF(AG4532&lt;=0,W_max,ABS(AG$23-AG4538))</f>
        <v>7174</v>
      </c>
      <c r="AI4539" s="151">
        <f>AG4527</f>
        <v>125884.14826010962</v>
      </c>
      <c r="AJ4539" s="135"/>
      <c r="AK4539" s="132">
        <f>IF(AJ4532&lt;=0,W_max,ABS(AJ$23-AJ4538))</f>
        <v>7174</v>
      </c>
      <c r="AL4539" s="151">
        <f>AJ4527</f>
        <v>159839.46474678977</v>
      </c>
      <c r="AM4539" s="135"/>
      <c r="AN4539" s="132">
        <f>IF(AM4532&lt;=0,W_max,ABS(AM$23-AM4538))</f>
        <v>7174</v>
      </c>
      <c r="AO4539" s="151">
        <f>AM4527</f>
        <v>187424.34297812008</v>
      </c>
      <c r="AP4539" s="135"/>
      <c r="AQ4539" s="132">
        <f>IF(AP4532&lt;=0,W_max,ABS(AP$23-AP4538))</f>
        <v>7174</v>
      </c>
      <c r="AR4539" s="151">
        <f>AP4527</f>
        <v>209103.40685523246</v>
      </c>
      <c r="AS4539" s="135"/>
      <c r="AT4539" s="132">
        <f>IF(AS4532&lt;=0,W_max,ABS(AS$23-AS4538))</f>
        <v>7174</v>
      </c>
      <c r="AU4539" s="151">
        <f>AS4527</f>
        <v>233290.05220826229</v>
      </c>
    </row>
    <row r="4540" spans="13:47" ht="13" x14ac:dyDescent="0.25">
      <c r="M4540" s="12"/>
      <c r="N4540" s="12"/>
      <c r="O4540" s="12"/>
      <c r="P4540" s="12"/>
      <c r="Q4540" s="12"/>
      <c r="R4540" s="182"/>
      <c r="S4540" s="22"/>
      <c r="T4540" s="152"/>
      <c r="U4540" s="157"/>
      <c r="V4540" s="1"/>
      <c r="W4540" s="147"/>
      <c r="X4540" s="157"/>
      <c r="Y4540" s="1"/>
      <c r="Z4540" s="147"/>
      <c r="AA4540" s="157"/>
      <c r="AB4540" s="1"/>
      <c r="AC4540" s="147"/>
      <c r="AD4540" s="157"/>
      <c r="AE4540" s="1"/>
      <c r="AF4540" s="147"/>
      <c r="AG4540" s="157"/>
      <c r="AH4540" s="1"/>
      <c r="AI4540" s="147"/>
      <c r="AJ4540" s="157"/>
      <c r="AK4540" s="1"/>
      <c r="AL4540" s="147"/>
      <c r="AM4540" s="157"/>
      <c r="AN4540" s="1"/>
      <c r="AO4540" s="147"/>
      <c r="AP4540" s="157"/>
      <c r="AQ4540" s="1"/>
      <c r="AR4540" s="147"/>
      <c r="AS4540" s="157"/>
      <c r="AT4540" s="1"/>
      <c r="AU4540" s="147"/>
    </row>
    <row r="4541" spans="13:47" ht="14" x14ac:dyDescent="0.3">
      <c r="M4541" s="23"/>
      <c r="N4541" s="23"/>
      <c r="O4541" s="23" t="s">
        <v>238</v>
      </c>
      <c r="P4541" s="20"/>
      <c r="Q4541" s="20"/>
      <c r="R4541" s="18">
        <f>R4527*1.02</f>
        <v>6730.7086843124007</v>
      </c>
      <c r="S4541" s="128" t="s">
        <v>185</v>
      </c>
      <c r="T4541" s="153" t="s">
        <v>186</v>
      </c>
      <c r="U4541" s="143">
        <f>U4527*1.01</f>
        <v>11442.474787373692</v>
      </c>
      <c r="V4541" s="128" t="s">
        <v>185</v>
      </c>
      <c r="W4541" s="153" t="s">
        <v>186</v>
      </c>
      <c r="X4541" s="143">
        <f>X4527*1.01</f>
        <v>28298.6018196367</v>
      </c>
      <c r="Y4541" s="128" t="s">
        <v>185</v>
      </c>
      <c r="Z4541" s="153" t="s">
        <v>186</v>
      </c>
      <c r="AA4541" s="143">
        <f>AA4527*1.01</f>
        <v>55118.453256333749</v>
      </c>
      <c r="AB4541" s="128" t="s">
        <v>185</v>
      </c>
      <c r="AC4541" s="153" t="s">
        <v>186</v>
      </c>
      <c r="AD4541" s="143">
        <f>AD4527*1.01</f>
        <v>90649.562196180996</v>
      </c>
      <c r="AE4541" s="128" t="s">
        <v>185</v>
      </c>
      <c r="AF4541" s="153" t="s">
        <v>186</v>
      </c>
      <c r="AG4541" s="143">
        <f>AG4527*1.01</f>
        <v>127142.98974271072</v>
      </c>
      <c r="AH4541" s="128" t="s">
        <v>185</v>
      </c>
      <c r="AI4541" s="153" t="s">
        <v>186</v>
      </c>
      <c r="AJ4541" s="143">
        <f>AJ4527*1.01</f>
        <v>161437.85939425768</v>
      </c>
      <c r="AK4541" s="128" t="s">
        <v>185</v>
      </c>
      <c r="AL4541" s="153" t="s">
        <v>186</v>
      </c>
      <c r="AM4541" s="143">
        <f>AM4527*1.01</f>
        <v>189298.58640790128</v>
      </c>
      <c r="AN4541" s="128" t="s">
        <v>185</v>
      </c>
      <c r="AO4541" s="153" t="s">
        <v>186</v>
      </c>
      <c r="AP4541" s="143">
        <f>AP4527*1.01</f>
        <v>211194.4409237848</v>
      </c>
      <c r="AQ4541" s="128" t="s">
        <v>185</v>
      </c>
      <c r="AR4541" s="153" t="s">
        <v>186</v>
      </c>
      <c r="AS4541" s="143">
        <f>AS4527*1.01</f>
        <v>235622.95273034493</v>
      </c>
      <c r="AT4541" s="128" t="s">
        <v>185</v>
      </c>
      <c r="AU4541" s="153" t="s">
        <v>186</v>
      </c>
    </row>
    <row r="4542" spans="13:47" ht="14" x14ac:dyDescent="0.3">
      <c r="M4542" s="12"/>
      <c r="N4542" s="12"/>
      <c r="O4542" s="20"/>
      <c r="P4542" s="20"/>
      <c r="Q4542" s="23"/>
      <c r="R4542" s="139"/>
      <c r="S4542" s="130" t="s">
        <v>228</v>
      </c>
      <c r="T4542" s="154" t="s">
        <v>187</v>
      </c>
      <c r="U4542" s="144"/>
      <c r="V4542" s="130" t="s">
        <v>228</v>
      </c>
      <c r="W4542" s="154" t="s">
        <v>187</v>
      </c>
      <c r="X4542" s="144"/>
      <c r="Y4542" s="130" t="s">
        <v>228</v>
      </c>
      <c r="Z4542" s="154" t="s">
        <v>187</v>
      </c>
      <c r="AA4542" s="144"/>
      <c r="AB4542" s="130" t="s">
        <v>228</v>
      </c>
      <c r="AC4542" s="154" t="s">
        <v>187</v>
      </c>
      <c r="AD4542" s="144"/>
      <c r="AE4542" s="130" t="s">
        <v>228</v>
      </c>
      <c r="AF4542" s="154" t="s">
        <v>187</v>
      </c>
      <c r="AG4542" s="144"/>
      <c r="AH4542" s="130" t="s">
        <v>228</v>
      </c>
      <c r="AI4542" s="154" t="s">
        <v>187</v>
      </c>
      <c r="AJ4542" s="144"/>
      <c r="AK4542" s="130" t="s">
        <v>228</v>
      </c>
      <c r="AL4542" s="154" t="s">
        <v>187</v>
      </c>
      <c r="AM4542" s="144"/>
      <c r="AN4542" s="130" t="s">
        <v>228</v>
      </c>
      <c r="AO4542" s="154" t="s">
        <v>187</v>
      </c>
      <c r="AP4542" s="144"/>
      <c r="AQ4542" s="130" t="s">
        <v>228</v>
      </c>
      <c r="AR4542" s="154" t="s">
        <v>187</v>
      </c>
      <c r="AS4542" s="144"/>
      <c r="AT4542" s="130" t="s">
        <v>228</v>
      </c>
      <c r="AU4542" s="154" t="s">
        <v>187</v>
      </c>
    </row>
    <row r="4543" spans="13:47" x14ac:dyDescent="0.25">
      <c r="M4543" s="20"/>
      <c r="N4543" s="20"/>
      <c r="O4543" s="7" t="s">
        <v>188</v>
      </c>
      <c r="P4543" s="7"/>
      <c r="Q4543" s="7"/>
      <c r="R4543" s="181">
        <f>P_1_minW-(R4541^2*R_up)+dpup_minQ</f>
        <v>82.457902805399826</v>
      </c>
      <c r="S4543" s="132"/>
      <c r="T4543" s="145"/>
      <c r="U4543" s="138">
        <f>P_1_minW-(U4541^2*R_up)+dpup_minQ</f>
        <v>48.312808060841874</v>
      </c>
      <c r="V4543" s="132"/>
      <c r="W4543" s="145"/>
      <c r="X4543" s="138">
        <f>P_1_minW-(X4541^2*R_up)+dpup_minQ</f>
        <v>-218.81002447633873</v>
      </c>
      <c r="Y4543" s="132"/>
      <c r="Z4543" s="145"/>
      <c r="AA4543" s="138">
        <f>P_1_minW-(AA4541^2*R_up)+dpup_minQ</f>
        <v>-1110.9331740242508</v>
      </c>
      <c r="AB4543" s="132"/>
      <c r="AC4543" s="145"/>
      <c r="AD4543" s="138">
        <f>P_1_minW-(AD4541^2*R_up)+dpup_minQ</f>
        <v>-3176.2400496647047</v>
      </c>
      <c r="AE4543" s="132"/>
      <c r="AF4543" s="145"/>
      <c r="AG4543" s="138">
        <f>P_1_minW-(AG4541^2*R_up)+dpup_minQ</f>
        <v>-6345.597816154901</v>
      </c>
      <c r="AH4543" s="132"/>
      <c r="AI4543" s="145"/>
      <c r="AJ4543" s="138">
        <f>P_1_minW-(AJ4541^2*R_up)+dpup_minQ</f>
        <v>-10292.080949131374</v>
      </c>
      <c r="AK4543" s="132"/>
      <c r="AL4543" s="145"/>
      <c r="AM4543" s="138">
        <f>P_1_minW-(AM4541^2*R_up)+dpup_minQ</f>
        <v>-14188.69084556258</v>
      </c>
      <c r="AN4543" s="132"/>
      <c r="AO4543" s="145"/>
      <c r="AP4543" s="138">
        <f>P_1_minW-(AP4541^2*R_up)+dpup_minQ</f>
        <v>-17685.488044755286</v>
      </c>
      <c r="AQ4543" s="132"/>
      <c r="AR4543" s="145"/>
      <c r="AS4543" s="138">
        <f>P_1_minW-(AS4541^2*R_up)+dpup_minQ</f>
        <v>-22038.006976923058</v>
      </c>
      <c r="AT4543" s="132"/>
      <c r="AU4543" s="145"/>
    </row>
    <row r="4544" spans="13:47" x14ac:dyDescent="0.25">
      <c r="M4544" s="20"/>
      <c r="N4544" s="20"/>
      <c r="O4544" s="7" t="s">
        <v>189</v>
      </c>
      <c r="P4544" s="1"/>
      <c r="Q4544" s="7"/>
      <c r="R4544" s="181">
        <f>P_2_minW+(R4541^2*R_dn)-dpdn_minQ</f>
        <v>50</v>
      </c>
      <c r="S4544" s="132"/>
      <c r="T4544" s="146"/>
      <c r="U4544" s="138">
        <f>P_2_minW+(U4541^2*R_dn)-dpdn_minQ</f>
        <v>50</v>
      </c>
      <c r="V4544" s="132"/>
      <c r="W4544" s="146"/>
      <c r="X4544" s="138">
        <f>P_2_minW+(X4541^2*R_dn)-dpdn_minQ</f>
        <v>50</v>
      </c>
      <c r="Y4544" s="132"/>
      <c r="Z4544" s="146"/>
      <c r="AA4544" s="138">
        <f>P_2_minW+(AA4541^2*R_dn)-dpdn_minQ</f>
        <v>50</v>
      </c>
      <c r="AB4544" s="132"/>
      <c r="AC4544" s="146"/>
      <c r="AD4544" s="138">
        <f>P_2_minW+(AD4541^2*R_dn)-dpdn_minQ</f>
        <v>50</v>
      </c>
      <c r="AE4544" s="132"/>
      <c r="AF4544" s="146"/>
      <c r="AG4544" s="138">
        <f>P_2_minW+(AG4541^2*R_dn)-dpdn_minQ</f>
        <v>50</v>
      </c>
      <c r="AH4544" s="132"/>
      <c r="AI4544" s="146"/>
      <c r="AJ4544" s="138">
        <f>P_2_minW+(AJ4541^2*R_dn)-dpdn_minQ</f>
        <v>50</v>
      </c>
      <c r="AK4544" s="132"/>
      <c r="AL4544" s="146"/>
      <c r="AM4544" s="138">
        <f>P_2_minW+(AM4541^2*R_dn)-dpdn_minQ</f>
        <v>50</v>
      </c>
      <c r="AN4544" s="132"/>
      <c r="AO4544" s="146"/>
      <c r="AP4544" s="138">
        <f>P_2_minW+(AP4541^2*R_dn)-dpdn_minQ</f>
        <v>50</v>
      </c>
      <c r="AQ4544" s="132"/>
      <c r="AR4544" s="146"/>
      <c r="AS4544" s="138">
        <f>P_2_minW+(AS4541^2*R_dn)-dpdn_minQ</f>
        <v>50</v>
      </c>
      <c r="AT4544" s="132"/>
      <c r="AU4544" s="146"/>
    </row>
    <row r="4545" spans="13:47" x14ac:dyDescent="0.25">
      <c r="M4545" s="20"/>
      <c r="N4545" s="20"/>
      <c r="O4545" s="7" t="s">
        <v>234</v>
      </c>
      <c r="P4545" s="1"/>
      <c r="Q4545" s="7"/>
      <c r="R4545" s="179">
        <f>'Valve Sizing'!G$8*R4543/P_1_maxW</f>
        <v>0.39776224240851665</v>
      </c>
      <c r="S4545" s="132"/>
      <c r="T4545" s="146"/>
      <c r="U4545" s="143">
        <f>'Valve Sizing'!$G$8*U4543/P_1_maxW</f>
        <v>0.23305238452019278</v>
      </c>
      <c r="V4545" s="132"/>
      <c r="W4545" s="146"/>
      <c r="X4545" s="143">
        <f>'Valve Sizing'!$G$8*X4543/P_1_maxW</f>
        <v>-1.05550060135014</v>
      </c>
      <c r="Y4545" s="132"/>
      <c r="Z4545" s="146"/>
      <c r="AA4545" s="143">
        <f>'Valve Sizing'!$G$8*AA4543/P_1_maxW</f>
        <v>-5.3589438420323194</v>
      </c>
      <c r="AB4545" s="132"/>
      <c r="AC4545" s="146"/>
      <c r="AD4545" s="143">
        <f>'Valve Sizing'!$G$8*AD4543/P_1_maxW</f>
        <v>-15.321616504896571</v>
      </c>
      <c r="AE4545" s="132"/>
      <c r="AF4545" s="146"/>
      <c r="AG4545" s="143">
        <f>'Valve Sizing'!$G$8*AG4543/P_1_maxW</f>
        <v>-30.610034101074312</v>
      </c>
      <c r="AH4545" s="132"/>
      <c r="AI4545" s="146"/>
      <c r="AJ4545" s="143">
        <f>'Valve Sizing'!$G$8*AJ4543/P_1_maxW</f>
        <v>-49.647166106538229</v>
      </c>
      <c r="AK4545" s="132"/>
      <c r="AL4545" s="146"/>
      <c r="AM4545" s="143">
        <f>'Valve Sizing'!$G$8*AM4543/P_1_maxW</f>
        <v>-68.443718498290266</v>
      </c>
      <c r="AN4545" s="132"/>
      <c r="AO4545" s="146"/>
      <c r="AP4545" s="143">
        <f>'Valve Sizing'!$G$8*AP4543/P_1_maxW</f>
        <v>-85.311645620827107</v>
      </c>
      <c r="AQ4545" s="132"/>
      <c r="AR4545" s="146"/>
      <c r="AS4545" s="143">
        <f>'Valve Sizing'!$G$8*AS4543/P_1_maxW</f>
        <v>-106.30742203137149</v>
      </c>
      <c r="AT4545" s="132"/>
      <c r="AU4545" s="146"/>
    </row>
    <row r="4546" spans="13:47" x14ac:dyDescent="0.25">
      <c r="M4546" s="20"/>
      <c r="N4546" s="20"/>
      <c r="O4546" s="7" t="s">
        <v>190</v>
      </c>
      <c r="P4546" s="1"/>
      <c r="Q4546" s="7"/>
      <c r="R4546" s="181">
        <f>R4543-R4544</f>
        <v>32.457902805399826</v>
      </c>
      <c r="S4546" s="132"/>
      <c r="T4546" s="146"/>
      <c r="U4546" s="138">
        <f>U4543-U4544</f>
        <v>-1.6871919391581258</v>
      </c>
      <c r="V4546" s="132"/>
      <c r="W4546" s="146"/>
      <c r="X4546" s="138">
        <f>X4543-X4544</f>
        <v>-268.81002447633875</v>
      </c>
      <c r="Y4546" s="132"/>
      <c r="Z4546" s="146"/>
      <c r="AA4546" s="138">
        <f>AA4543-AA4544</f>
        <v>-1160.9331740242508</v>
      </c>
      <c r="AB4546" s="132"/>
      <c r="AC4546" s="146"/>
      <c r="AD4546" s="138">
        <f>AD4543-AD4544</f>
        <v>-3226.2400496647047</v>
      </c>
      <c r="AE4546" s="132"/>
      <c r="AF4546" s="146"/>
      <c r="AG4546" s="138">
        <f>AG4543-AG4544</f>
        <v>-6395.597816154901</v>
      </c>
      <c r="AH4546" s="132"/>
      <c r="AI4546" s="146"/>
      <c r="AJ4546" s="138">
        <f>AJ4543-AJ4544</f>
        <v>-10342.080949131374</v>
      </c>
      <c r="AK4546" s="132"/>
      <c r="AL4546" s="146"/>
      <c r="AM4546" s="138">
        <f>AM4543-AM4544</f>
        <v>-14238.69084556258</v>
      </c>
      <c r="AN4546" s="132"/>
      <c r="AO4546" s="146"/>
      <c r="AP4546" s="138">
        <f>AP4543-AP4544</f>
        <v>-17735.488044755286</v>
      </c>
      <c r="AQ4546" s="132"/>
      <c r="AR4546" s="146"/>
      <c r="AS4546" s="138">
        <f>AS4543-AS4544</f>
        <v>-22088.006976923058</v>
      </c>
      <c r="AT4546" s="132"/>
      <c r="AU4546" s="146"/>
    </row>
    <row r="4547" spans="13:47" ht="14.5" x14ac:dyDescent="0.35">
      <c r="M4547" s="27"/>
      <c r="N4547" s="27"/>
      <c r="O4547" s="2" t="s">
        <v>191</v>
      </c>
      <c r="P4547" s="10"/>
      <c r="Q4547" s="2"/>
      <c r="R4547" s="181">
        <f>R4546/R4543</f>
        <v>0.39362998210129463</v>
      </c>
      <c r="S4547" s="132"/>
      <c r="T4547" s="146"/>
      <c r="U4547" s="138">
        <f>U4546/U4543</f>
        <v>-3.4922249541641019E-2</v>
      </c>
      <c r="V4547" s="132"/>
      <c r="W4547" s="146"/>
      <c r="X4547" s="138">
        <f>X4546/X4543</f>
        <v>1.2285087263239478</v>
      </c>
      <c r="Y4547" s="132"/>
      <c r="Z4547" s="146"/>
      <c r="AA4547" s="138">
        <f>AA4546/AA4543</f>
        <v>1.0450072076062682</v>
      </c>
      <c r="AB4547" s="132"/>
      <c r="AC4547" s="146"/>
      <c r="AD4547" s="138">
        <f>AD4546/AD4543</f>
        <v>1.0157418832387302</v>
      </c>
      <c r="AE4547" s="132"/>
      <c r="AF4547" s="146"/>
      <c r="AG4547" s="138">
        <f>AG4546/AG4543</f>
        <v>1.0078794782538389</v>
      </c>
      <c r="AH4547" s="132"/>
      <c r="AI4547" s="146"/>
      <c r="AJ4547" s="138">
        <f>AJ4546/AJ4543</f>
        <v>1.0048581040362123</v>
      </c>
      <c r="AK4547" s="132"/>
      <c r="AL4547" s="146"/>
      <c r="AM4547" s="138">
        <f>AM4546/AM4543</f>
        <v>1.0035239332891404</v>
      </c>
      <c r="AN4547" s="132"/>
      <c r="AO4547" s="146"/>
      <c r="AP4547" s="138">
        <f>AP4546/AP4543</f>
        <v>1.0028271767153651</v>
      </c>
      <c r="AQ4547" s="132"/>
      <c r="AR4547" s="146"/>
      <c r="AS4547" s="138">
        <f>AS4546/AS4543</f>
        <v>1.002268807703544</v>
      </c>
      <c r="AT4547" s="132"/>
      <c r="AU4547" s="146"/>
    </row>
    <row r="4548" spans="13:47" x14ac:dyDescent="0.25">
      <c r="M4548" s="27"/>
      <c r="N4548" s="27"/>
      <c r="O4548" s="2" t="s">
        <v>26</v>
      </c>
      <c r="P4548" s="7">
        <v>12</v>
      </c>
      <c r="Q4548" s="2"/>
      <c r="R4548" s="181">
        <f>1-R4547/(3*F_GAMMA*R$29)</f>
        <v>0.7949929946650367</v>
      </c>
      <c r="S4548" s="133"/>
      <c r="T4548" s="146"/>
      <c r="U4548" s="138">
        <f>1-U4547/(3*F_GAMMA*U$29)</f>
        <v>1.0181839032154705</v>
      </c>
      <c r="V4548" s="133"/>
      <c r="W4548" s="146"/>
      <c r="X4548" s="138">
        <f>1-X4547/(3*F_GAMMA*X$29)</f>
        <v>0.3507232241422451</v>
      </c>
      <c r="Y4548" s="133"/>
      <c r="Z4548" s="146"/>
      <c r="AA4548" s="138">
        <f>1-AA4547/(3*F_GAMMA*AA$29)</f>
        <v>0.44013252812103398</v>
      </c>
      <c r="AB4548" s="133"/>
      <c r="AC4548" s="146"/>
      <c r="AD4548" s="138">
        <f>1-AD4547/(3*F_GAMMA*AD$29)</f>
        <v>0.44089107193679755</v>
      </c>
      <c r="AE4548" s="133"/>
      <c r="AF4548" s="146"/>
      <c r="AG4548" s="138">
        <f>1-AG4547/(3*F_GAMMA*AG$29)</f>
        <v>0.4135732940059812</v>
      </c>
      <c r="AH4548" s="133"/>
      <c r="AI4548" s="146"/>
      <c r="AJ4548" s="138">
        <f>1-AJ4547/(3*F_GAMMA*AJ$29)</f>
        <v>0.37498118731854069</v>
      </c>
      <c r="AK4548" s="133"/>
      <c r="AL4548" s="146"/>
      <c r="AM4548" s="138">
        <f>1-AM4547/(3*F_GAMMA*AM$29)</f>
        <v>0.31801008558102595</v>
      </c>
      <c r="AN4548" s="133"/>
      <c r="AO4548" s="146"/>
      <c r="AP4548" s="138">
        <f>1-AP4547/(3*F_GAMMA*AP$29)</f>
        <v>0.43680042499619287</v>
      </c>
      <c r="AQ4548" s="133"/>
      <c r="AR4548" s="146"/>
      <c r="AS4548" s="138">
        <f>1-AS4547/(3*F_GAMMA*AS$29)</f>
        <v>0.14549015851662817</v>
      </c>
      <c r="AT4548" s="133"/>
      <c r="AU4548" s="146"/>
    </row>
    <row r="4549" spans="13:47" x14ac:dyDescent="0.25">
      <c r="M4549" s="27"/>
      <c r="N4549" s="27"/>
      <c r="O4549" s="2" t="s">
        <v>71</v>
      </c>
      <c r="P4549" s="85">
        <v>5</v>
      </c>
      <c r="Q4549" s="2"/>
      <c r="R4549" s="179">
        <f>R4541/((N_6*R$27*R4548)*SQRT(R4547*R4543*R4545))</f>
        <v>37.228302702525603</v>
      </c>
      <c r="S4549" s="133"/>
      <c r="T4549" s="146"/>
      <c r="U4549" s="143" t="e">
        <f>U4541/((N_6*U$27*U4548)*SQRT(U4547*U4543*U4545))</f>
        <v>#NUM!</v>
      </c>
      <c r="V4549" s="133"/>
      <c r="W4549" s="146"/>
      <c r="X4549" s="143">
        <f>X4541/((N_6*X$27*X4548)*SQRT(X4547*X4543*X4545))</f>
        <v>75.897525554843568</v>
      </c>
      <c r="Y4549" s="133"/>
      <c r="Z4549" s="146"/>
      <c r="AA4549" s="143">
        <f>AA4541/((N_6*AA$27*AA4548)*SQRT(AA4547*AA4543*AA4545))</f>
        <v>25.301138272035264</v>
      </c>
      <c r="AB4549" s="133"/>
      <c r="AC4549" s="146"/>
      <c r="AD4549" s="143">
        <f>AD4541/((N_6*AD$27*AD4548)*SQRT(AD4547*AD4543*AD4545))</f>
        <v>14.91242155334181</v>
      </c>
      <c r="AE4549" s="133"/>
      <c r="AF4549" s="146"/>
      <c r="AG4549" s="143">
        <f>AG4541/((N_6*AG$27*AG4548)*SQRT(AG4547*AG4543*AG4545))</f>
        <v>11.445969217858535</v>
      </c>
      <c r="AH4549" s="133"/>
      <c r="AI4549" s="146"/>
      <c r="AJ4549" s="143">
        <f>AJ4541/((N_6*AJ$27*AJ4548)*SQRT(AJ4547*AJ4543*AJ4545))</f>
        <v>10.23739377544827</v>
      </c>
      <c r="AK4549" s="133"/>
      <c r="AL4549" s="146"/>
      <c r="AM4549" s="143">
        <f>AM4541/((N_6*AM$27*AM4548)*SQRT(AM4547*AM4543*AM4545))</f>
        <v>10.90519883949662</v>
      </c>
      <c r="AN4549" s="133"/>
      <c r="AO4549" s="146"/>
      <c r="AP4549" s="143">
        <f>AP4541/((N_6*AP$27*AP4548)*SQRT(AP4547*AP4543*AP4545))</f>
        <v>8.0752645957810749</v>
      </c>
      <c r="AQ4549" s="133"/>
      <c r="AR4549" s="146"/>
      <c r="AS4549" s="143">
        <f>AS4541/((N_6*AS$27*AS4548)*SQRT(AS4547*AS4543*AS4545))</f>
        <v>28.529515725309377</v>
      </c>
      <c r="AT4549" s="133"/>
      <c r="AU4549" s="146"/>
    </row>
    <row r="4550" spans="13:47" x14ac:dyDescent="0.25">
      <c r="M4550" s="27"/>
      <c r="N4550" s="27"/>
      <c r="O4550" s="2" t="s">
        <v>73</v>
      </c>
      <c r="P4550" s="85">
        <v>5</v>
      </c>
      <c r="Q4550" s="2"/>
      <c r="R4550" s="179">
        <f>R4541/((N_6*R$27*0.667)*SQRT(R4551*R4543*R4545))</f>
        <v>34.798112075188165</v>
      </c>
      <c r="S4550" s="133"/>
      <c r="T4550" s="155"/>
      <c r="U4550" s="143">
        <f>U4541/((N_6*U$27*0.667)*SQRT(U4551*U4543*U4545))</f>
        <v>101.0199163651335</v>
      </c>
      <c r="V4550" s="133"/>
      <c r="W4550" s="155"/>
      <c r="X4550" s="143">
        <f>X4541/((N_6*X$27*0.667)*SQRT(X4551*X4543*X4545))</f>
        <v>55.698290990520086</v>
      </c>
      <c r="Y4550" s="133"/>
      <c r="Z4550" s="155"/>
      <c r="AA4550" s="143">
        <f>AA4541/((N_6*AA$27*0.667)*SQRT(AA4551*AA4543*AA4545))</f>
        <v>21.637193943035136</v>
      </c>
      <c r="AB4550" s="133"/>
      <c r="AC4550" s="155"/>
      <c r="AD4550" s="143">
        <f>AD4541/((N_6*AD$27*0.667)*SQRT(AD4551*AD4543*AD4545))</f>
        <v>12.766224681480674</v>
      </c>
      <c r="AE4550" s="133"/>
      <c r="AF4550" s="155"/>
      <c r="AG4550" s="143">
        <f>AG4541/((N_6*AG$27*0.667)*SQRT(AG4551*AG4543*AG4545))</f>
        <v>9.4134045644623114</v>
      </c>
      <c r="AH4550" s="133"/>
      <c r="AI4550" s="155"/>
      <c r="AJ4550" s="143">
        <f>AJ4541/((N_6*AJ$27*0.667)*SQRT(AJ4551*AJ4543*AJ4545))</f>
        <v>7.8809800217291155</v>
      </c>
      <c r="AK4550" s="133"/>
      <c r="AL4550" s="155"/>
      <c r="AM4550" s="143">
        <f>AM4541/((N_6*AM$27*0.667)*SQRT(AM4551*AM4543*AM4545))</f>
        <v>7.4370080555545774</v>
      </c>
      <c r="AN4550" s="133"/>
      <c r="AO4550" s="155"/>
      <c r="AP4550" s="143">
        <f>AP4541/((N_6*AP$27*0.667)*SQRT(AP4551*AP4543*AP4545))</f>
        <v>6.8739404636829562</v>
      </c>
      <c r="AQ4550" s="133"/>
      <c r="AR4550" s="155"/>
      <c r="AS4550" s="143">
        <f>AS4541/((N_6*AS$27*0.667)*SQRT(AS4551*AS4543*AS4545))</f>
        <v>9.9637161048803851</v>
      </c>
      <c r="AT4550" s="133"/>
      <c r="AU4550" s="155"/>
    </row>
    <row r="4551" spans="13:47" ht="15.5" x14ac:dyDescent="0.4">
      <c r="M4551" s="27"/>
      <c r="N4551" s="27"/>
      <c r="O4551" s="2" t="s">
        <v>192</v>
      </c>
      <c r="P4551" s="85">
        <v>10</v>
      </c>
      <c r="Q4551" s="2"/>
      <c r="R4551" s="181">
        <f>F_GAMMA*R$29</f>
        <v>0.64002688015162901</v>
      </c>
      <c r="S4551" s="133"/>
      <c r="T4551" s="155"/>
      <c r="U4551" s="138">
        <f>F_GAMMA*U$29</f>
        <v>0.64016782916606918</v>
      </c>
      <c r="V4551" s="133"/>
      <c r="W4551" s="155"/>
      <c r="X4551" s="138">
        <f>F_GAMMA*X$29</f>
        <v>0.6307062319203669</v>
      </c>
      <c r="Y4551" s="133"/>
      <c r="Z4551" s="155"/>
      <c r="AA4551" s="138">
        <f>F_GAMMA*AA$29</f>
        <v>0.62217534213893466</v>
      </c>
      <c r="AB4551" s="133"/>
      <c r="AC4551" s="155"/>
      <c r="AD4551" s="138">
        <f>F_GAMMA*AD$29</f>
        <v>0.60557184969146072</v>
      </c>
      <c r="AE4551" s="133"/>
      <c r="AF4551" s="155"/>
      <c r="AG4551" s="138">
        <f>F_GAMMA*AG$29</f>
        <v>0.57289312142622573</v>
      </c>
      <c r="AH4551" s="133"/>
      <c r="AI4551" s="155"/>
      <c r="AJ4551" s="138">
        <f>F_GAMMA*AJ$29</f>
        <v>0.53590819116049981</v>
      </c>
      <c r="AK4551" s="133"/>
      <c r="AL4551" s="155"/>
      <c r="AM4551" s="138">
        <f>F_GAMMA*AM$29</f>
        <v>0.49048815926850342</v>
      </c>
      <c r="AN4551" s="133"/>
      <c r="AO4551" s="155"/>
      <c r="AP4551" s="138">
        <f>F_GAMMA*AP$29</f>
        <v>0.59352979016280105</v>
      </c>
      <c r="AQ4551" s="133"/>
      <c r="AR4551" s="155"/>
      <c r="AS4551" s="138">
        <f>F_GAMMA*AS$29</f>
        <v>0.39097221161068291</v>
      </c>
      <c r="AT4551" s="133"/>
      <c r="AU4551" s="155"/>
    </row>
    <row r="4552" spans="13:47" x14ac:dyDescent="0.25">
      <c r="M4552" s="27"/>
      <c r="N4552" s="27"/>
      <c r="O4552" s="2" t="s">
        <v>193</v>
      </c>
      <c r="P4552" s="134"/>
      <c r="Q4552" s="2"/>
      <c r="R4552" s="181">
        <f>IF(R4547&lt;R4551,R4549,R4550)</f>
        <v>37.228302702525603</v>
      </c>
      <c r="S4552" s="133"/>
      <c r="T4552" s="155"/>
      <c r="U4552" s="138" t="e">
        <f>IF(U4547&lt;U4551,U4549,U4550)</f>
        <v>#NUM!</v>
      </c>
      <c r="V4552" s="133"/>
      <c r="W4552" s="155"/>
      <c r="X4552" s="138">
        <f>IF(X4547&lt;X4551,X4549,X4550)</f>
        <v>55.698290990520086</v>
      </c>
      <c r="Y4552" s="133"/>
      <c r="Z4552" s="155"/>
      <c r="AA4552" s="138">
        <f>IF(AA4547&lt;AA4551,AA4549,AA4550)</f>
        <v>21.637193943035136</v>
      </c>
      <c r="AB4552" s="133"/>
      <c r="AC4552" s="155"/>
      <c r="AD4552" s="138">
        <f>IF(AD4547&lt;AD4551,AD4549,AD4550)</f>
        <v>12.766224681480674</v>
      </c>
      <c r="AE4552" s="133"/>
      <c r="AF4552" s="155"/>
      <c r="AG4552" s="138">
        <f>IF(AG4547&lt;AG4551,AG4549,AG4550)</f>
        <v>9.4134045644623114</v>
      </c>
      <c r="AH4552" s="133"/>
      <c r="AI4552" s="155"/>
      <c r="AJ4552" s="138">
        <f>IF(AJ4547&lt;AJ4551,AJ4549,AJ4550)</f>
        <v>7.8809800217291155</v>
      </c>
      <c r="AK4552" s="133"/>
      <c r="AL4552" s="155"/>
      <c r="AM4552" s="138">
        <f>IF(AM4547&lt;AM4551,AM4549,AM4550)</f>
        <v>7.4370080555545774</v>
      </c>
      <c r="AN4552" s="133"/>
      <c r="AO4552" s="155"/>
      <c r="AP4552" s="138">
        <f>IF(AP4547&lt;AP4551,AP4549,AP4550)</f>
        <v>6.8739404636829562</v>
      </c>
      <c r="AQ4552" s="133"/>
      <c r="AR4552" s="155"/>
      <c r="AS4552" s="138">
        <f>IF(AS4547&lt;AS4551,AS4549,AS4550)</f>
        <v>9.9637161048803851</v>
      </c>
      <c r="AT4552" s="133"/>
      <c r="AU4552" s="155"/>
    </row>
    <row r="4553" spans="13:47" ht="13" x14ac:dyDescent="0.3">
      <c r="M4553" s="28"/>
      <c r="N4553" s="28"/>
      <c r="O4553" s="9" t="s">
        <v>194</v>
      </c>
      <c r="P4553" s="1"/>
      <c r="Q4553" s="1"/>
      <c r="R4553" s="135"/>
      <c r="S4553" s="132">
        <f>IF(R4546&lt;=0,W_max,ABS(R$23-R4552))</f>
        <v>35.228302702525603</v>
      </c>
      <c r="T4553" s="151">
        <f>R4541</f>
        <v>6730.7086843124007</v>
      </c>
      <c r="U4553" s="135"/>
      <c r="V4553" s="132">
        <f>IF(U4546&lt;=0,W_max,ABS(U$23-U4552))</f>
        <v>7174</v>
      </c>
      <c r="W4553" s="151">
        <f>U4541</f>
        <v>11442.474787373692</v>
      </c>
      <c r="X4553" s="135"/>
      <c r="Y4553" s="132">
        <f>IF(X4546&lt;=0,W_max,ABS(X$23-X4552))</f>
        <v>7174</v>
      </c>
      <c r="Z4553" s="151">
        <f>X4541</f>
        <v>28298.6018196367</v>
      </c>
      <c r="AA4553" s="135"/>
      <c r="AB4553" s="132">
        <f>IF(AA4546&lt;=0,W_max,ABS(AA$23-AA4552))</f>
        <v>7174</v>
      </c>
      <c r="AC4553" s="151">
        <f>AA4541</f>
        <v>55118.453256333749</v>
      </c>
      <c r="AD4553" s="135"/>
      <c r="AE4553" s="132">
        <f>IF(AD4546&lt;=0,W_max,ABS(AD$23-AD4552))</f>
        <v>7174</v>
      </c>
      <c r="AF4553" s="151">
        <f>AD4541</f>
        <v>90649.562196180996</v>
      </c>
      <c r="AG4553" s="135"/>
      <c r="AH4553" s="132">
        <f>IF(AG4546&lt;=0,W_max,ABS(AG$23-AG4552))</f>
        <v>7174</v>
      </c>
      <c r="AI4553" s="151">
        <f>AG4541</f>
        <v>127142.98974271072</v>
      </c>
      <c r="AJ4553" s="135"/>
      <c r="AK4553" s="132">
        <f>IF(AJ4546&lt;=0,W_max,ABS(AJ$23-AJ4552))</f>
        <v>7174</v>
      </c>
      <c r="AL4553" s="151">
        <f>AJ4541</f>
        <v>161437.85939425768</v>
      </c>
      <c r="AM4553" s="135"/>
      <c r="AN4553" s="132">
        <f>IF(AM4546&lt;=0,W_max,ABS(AM$23-AM4552))</f>
        <v>7174</v>
      </c>
      <c r="AO4553" s="151">
        <f>AM4541</f>
        <v>189298.58640790128</v>
      </c>
      <c r="AP4553" s="135"/>
      <c r="AQ4553" s="132">
        <f>IF(AP4546&lt;=0,W_max,ABS(AP$23-AP4552))</f>
        <v>7174</v>
      </c>
      <c r="AR4553" s="151">
        <f>AP4541</f>
        <v>211194.4409237848</v>
      </c>
      <c r="AS4553" s="135"/>
      <c r="AT4553" s="132">
        <f>IF(AS4546&lt;=0,W_max,ABS(AS$23-AS4552))</f>
        <v>7174</v>
      </c>
      <c r="AU4553" s="151">
        <f>AS4541</f>
        <v>235622.95273034493</v>
      </c>
    </row>
    <row r="4554" spans="13:47" ht="13" x14ac:dyDescent="0.25">
      <c r="M4554" s="12"/>
      <c r="N4554" s="12"/>
      <c r="O4554" s="2"/>
      <c r="P4554" s="85"/>
      <c r="Q4554" s="2"/>
      <c r="R4554" s="18"/>
      <c r="S4554" s="150"/>
      <c r="T4554" s="152"/>
      <c r="U4554" s="157"/>
      <c r="V4554" s="1"/>
      <c r="W4554" s="147"/>
      <c r="X4554" s="157"/>
      <c r="Y4554" s="1"/>
      <c r="Z4554" s="147"/>
      <c r="AA4554" s="157"/>
      <c r="AB4554" s="1"/>
      <c r="AC4554" s="147"/>
      <c r="AD4554" s="157"/>
      <c r="AE4554" s="1"/>
      <c r="AF4554" s="147"/>
      <c r="AG4554" s="157"/>
      <c r="AH4554" s="1"/>
      <c r="AI4554" s="147"/>
      <c r="AJ4554" s="157"/>
      <c r="AK4554" s="1"/>
      <c r="AL4554" s="147"/>
      <c r="AM4554" s="157"/>
      <c r="AN4554" s="1"/>
      <c r="AO4554" s="147"/>
      <c r="AP4554" s="157"/>
      <c r="AQ4554" s="1"/>
      <c r="AR4554" s="147"/>
      <c r="AS4554" s="157"/>
      <c r="AT4554" s="1"/>
      <c r="AU4554" s="147"/>
    </row>
    <row r="4555" spans="13:47" ht="14" x14ac:dyDescent="0.3">
      <c r="M4555" s="23"/>
      <c r="N4555" s="23"/>
      <c r="O4555" s="23" t="s">
        <v>238</v>
      </c>
      <c r="P4555" s="20"/>
      <c r="Q4555" s="20"/>
      <c r="R4555" s="181">
        <f>R4541*1.02</f>
        <v>6865.3228579986489</v>
      </c>
      <c r="S4555" s="128" t="s">
        <v>185</v>
      </c>
      <c r="T4555" s="153" t="s">
        <v>186</v>
      </c>
      <c r="U4555" s="143">
        <f>U4541*1.01</f>
        <v>11556.899535247429</v>
      </c>
      <c r="V4555" s="128" t="s">
        <v>185</v>
      </c>
      <c r="W4555" s="153" t="s">
        <v>186</v>
      </c>
      <c r="X4555" s="143">
        <f>X4541*1.01</f>
        <v>28581.587837833067</v>
      </c>
      <c r="Y4555" s="128" t="s">
        <v>185</v>
      </c>
      <c r="Z4555" s="153" t="s">
        <v>186</v>
      </c>
      <c r="AA4555" s="143">
        <f>AA4541*1.01</f>
        <v>55669.637788897089</v>
      </c>
      <c r="AB4555" s="128" t="s">
        <v>185</v>
      </c>
      <c r="AC4555" s="153" t="s">
        <v>186</v>
      </c>
      <c r="AD4555" s="143">
        <f>AD4541*1.01</f>
        <v>91556.057818142814</v>
      </c>
      <c r="AE4555" s="128" t="s">
        <v>185</v>
      </c>
      <c r="AF4555" s="153" t="s">
        <v>186</v>
      </c>
      <c r="AG4555" s="143">
        <f>AG4541*1.01</f>
        <v>128414.41964013783</v>
      </c>
      <c r="AH4555" s="128" t="s">
        <v>185</v>
      </c>
      <c r="AI4555" s="153" t="s">
        <v>186</v>
      </c>
      <c r="AJ4555" s="143">
        <f>AJ4541*1.01</f>
        <v>163052.23798820027</v>
      </c>
      <c r="AK4555" s="128" t="s">
        <v>185</v>
      </c>
      <c r="AL4555" s="153" t="s">
        <v>186</v>
      </c>
      <c r="AM4555" s="143">
        <f>AM4541*1.01</f>
        <v>191191.57227198029</v>
      </c>
      <c r="AN4555" s="128" t="s">
        <v>185</v>
      </c>
      <c r="AO4555" s="153" t="s">
        <v>186</v>
      </c>
      <c r="AP4555" s="143">
        <f>AP4541*1.01</f>
        <v>213306.38533302266</v>
      </c>
      <c r="AQ4555" s="128" t="s">
        <v>185</v>
      </c>
      <c r="AR4555" s="153" t="s">
        <v>186</v>
      </c>
      <c r="AS4555" s="143">
        <f>AS4541*1.01</f>
        <v>237979.18225764838</v>
      </c>
      <c r="AT4555" s="128" t="s">
        <v>185</v>
      </c>
      <c r="AU4555" s="153" t="s">
        <v>186</v>
      </c>
    </row>
    <row r="4556" spans="13:47" ht="14" x14ac:dyDescent="0.3">
      <c r="M4556" s="12"/>
      <c r="N4556" s="12"/>
      <c r="O4556" s="20"/>
      <c r="P4556" s="20"/>
      <c r="Q4556" s="23"/>
      <c r="R4556" s="139"/>
      <c r="S4556" s="130" t="s">
        <v>228</v>
      </c>
      <c r="T4556" s="154" t="s">
        <v>187</v>
      </c>
      <c r="U4556" s="144"/>
      <c r="V4556" s="130" t="s">
        <v>228</v>
      </c>
      <c r="W4556" s="154" t="s">
        <v>187</v>
      </c>
      <c r="X4556" s="144"/>
      <c r="Y4556" s="130" t="s">
        <v>228</v>
      </c>
      <c r="Z4556" s="154" t="s">
        <v>187</v>
      </c>
      <c r="AA4556" s="144"/>
      <c r="AB4556" s="130" t="s">
        <v>228</v>
      </c>
      <c r="AC4556" s="154" t="s">
        <v>187</v>
      </c>
      <c r="AD4556" s="144"/>
      <c r="AE4556" s="130" t="s">
        <v>228</v>
      </c>
      <c r="AF4556" s="154" t="s">
        <v>187</v>
      </c>
      <c r="AG4556" s="144"/>
      <c r="AH4556" s="130" t="s">
        <v>228</v>
      </c>
      <c r="AI4556" s="154" t="s">
        <v>187</v>
      </c>
      <c r="AJ4556" s="144"/>
      <c r="AK4556" s="130" t="s">
        <v>228</v>
      </c>
      <c r="AL4556" s="154" t="s">
        <v>187</v>
      </c>
      <c r="AM4556" s="144"/>
      <c r="AN4556" s="130" t="s">
        <v>228</v>
      </c>
      <c r="AO4556" s="154" t="s">
        <v>187</v>
      </c>
      <c r="AP4556" s="144"/>
      <c r="AQ4556" s="130" t="s">
        <v>228</v>
      </c>
      <c r="AR4556" s="154" t="s">
        <v>187</v>
      </c>
      <c r="AS4556" s="144"/>
      <c r="AT4556" s="130" t="s">
        <v>228</v>
      </c>
      <c r="AU4556" s="154" t="s">
        <v>187</v>
      </c>
    </row>
    <row r="4557" spans="13:47" x14ac:dyDescent="0.25">
      <c r="M4557" s="20"/>
      <c r="N4557" s="20"/>
      <c r="O4557" s="7" t="s">
        <v>188</v>
      </c>
      <c r="P4557" s="7"/>
      <c r="Q4557" s="7"/>
      <c r="R4557" s="181">
        <f>P_1_minW-(R4555^2*R_up)+dpup_minQ</f>
        <v>81.728081494574226</v>
      </c>
      <c r="S4557" s="132"/>
      <c r="T4557" s="145"/>
      <c r="U4557" s="138">
        <f>P_1_minW-(U4555^2*R_up)+dpup_minQ</f>
        <v>47.263387489456591</v>
      </c>
      <c r="V4557" s="132"/>
      <c r="W4557" s="145"/>
      <c r="X4557" s="138">
        <f>P_1_minW-(X4555^2*R_up)+dpup_minQ</f>
        <v>-225.22861398172134</v>
      </c>
      <c r="Y4557" s="132"/>
      <c r="Z4557" s="145"/>
      <c r="AA4557" s="138">
        <f>P_1_minW-(AA4555^2*R_up)+dpup_minQ</f>
        <v>-1135.2834388355466</v>
      </c>
      <c r="AB4557" s="132"/>
      <c r="AC4557" s="145"/>
      <c r="AD4557" s="138">
        <f>P_1_minW-(AD4555^2*R_up)+dpup_minQ</f>
        <v>-3242.1029826763743</v>
      </c>
      <c r="AE4557" s="132"/>
      <c r="AF4557" s="145"/>
      <c r="AG4557" s="138">
        <f>P_1_minW-(AG4555^2*R_up)+dpup_minQ</f>
        <v>-6475.1648402730225</v>
      </c>
      <c r="AH4557" s="132"/>
      <c r="AI4557" s="145"/>
      <c r="AJ4557" s="138">
        <f>P_1_minW-(AJ4555^2*R_up)+dpup_minQ</f>
        <v>-10500.972284222325</v>
      </c>
      <c r="AK4557" s="132"/>
      <c r="AL4557" s="145"/>
      <c r="AM4557" s="138">
        <f>P_1_minW-(AM4555^2*R_up)+dpup_minQ</f>
        <v>-14475.904039571795</v>
      </c>
      <c r="AN4557" s="132"/>
      <c r="AO4557" s="145"/>
      <c r="AP4557" s="138">
        <f>P_1_minW-(AP4555^2*R_up)+dpup_minQ</f>
        <v>-18042.986862468275</v>
      </c>
      <c r="AQ4557" s="132"/>
      <c r="AR4557" s="145"/>
      <c r="AS4557" s="138">
        <f>P_1_minW-(AS4555^2*R_up)+dpup_minQ</f>
        <v>-22482.991425172622</v>
      </c>
      <c r="AT4557" s="132"/>
      <c r="AU4557" s="145"/>
    </row>
    <row r="4558" spans="13:47" x14ac:dyDescent="0.25">
      <c r="M4558" s="20"/>
      <c r="N4558" s="20"/>
      <c r="O4558" s="7" t="s">
        <v>189</v>
      </c>
      <c r="P4558" s="1"/>
      <c r="Q4558" s="7"/>
      <c r="R4558" s="181">
        <f>P_2_minW+(R4555^2*R_dn)-dpdn_minQ</f>
        <v>50</v>
      </c>
      <c r="S4558" s="132"/>
      <c r="T4558" s="146"/>
      <c r="U4558" s="138">
        <f>P_2_minW+(U4555^2*R_dn)-dpdn_minQ</f>
        <v>50</v>
      </c>
      <c r="V4558" s="132"/>
      <c r="W4558" s="146"/>
      <c r="X4558" s="138">
        <f>P_2_minW+(X4555^2*R_dn)-dpdn_minQ</f>
        <v>50</v>
      </c>
      <c r="Y4558" s="132"/>
      <c r="Z4558" s="146"/>
      <c r="AA4558" s="138">
        <f>P_2_minW+(AA4555^2*R_dn)-dpdn_minQ</f>
        <v>50</v>
      </c>
      <c r="AB4558" s="132"/>
      <c r="AC4558" s="146"/>
      <c r="AD4558" s="138">
        <f>P_2_minW+(AD4555^2*R_dn)-dpdn_minQ</f>
        <v>50</v>
      </c>
      <c r="AE4558" s="132"/>
      <c r="AF4558" s="146"/>
      <c r="AG4558" s="138">
        <f>P_2_minW+(AG4555^2*R_dn)-dpdn_minQ</f>
        <v>50</v>
      </c>
      <c r="AH4558" s="132"/>
      <c r="AI4558" s="146"/>
      <c r="AJ4558" s="138">
        <f>P_2_minW+(AJ4555^2*R_dn)-dpdn_minQ</f>
        <v>50</v>
      </c>
      <c r="AK4558" s="132"/>
      <c r="AL4558" s="146"/>
      <c r="AM4558" s="138">
        <f>P_2_minW+(AM4555^2*R_dn)-dpdn_minQ</f>
        <v>50</v>
      </c>
      <c r="AN4558" s="132"/>
      <c r="AO4558" s="146"/>
      <c r="AP4558" s="138">
        <f>P_2_minW+(AP4555^2*R_dn)-dpdn_minQ</f>
        <v>50</v>
      </c>
      <c r="AQ4558" s="132"/>
      <c r="AR4558" s="146"/>
      <c r="AS4558" s="138">
        <f>P_2_minW+(AS4555^2*R_dn)-dpdn_minQ</f>
        <v>50</v>
      </c>
      <c r="AT4558" s="132"/>
      <c r="AU4558" s="146"/>
    </row>
    <row r="4559" spans="13:47" x14ac:dyDescent="0.25">
      <c r="M4559" s="20"/>
      <c r="N4559" s="20"/>
      <c r="O4559" s="7" t="s">
        <v>234</v>
      </c>
      <c r="P4559" s="1"/>
      <c r="Q4559" s="7"/>
      <c r="R4559" s="179">
        <f>'Valve Sizing'!G$8*R4557/P_1_maxW</f>
        <v>0.39424171434176958</v>
      </c>
      <c r="S4559" s="132"/>
      <c r="T4559" s="146"/>
      <c r="U4559" s="143">
        <f>'Valve Sizing'!$G$8*U4557/P_1_maxW</f>
        <v>0.22799016652164697</v>
      </c>
      <c r="V4559" s="132"/>
      <c r="W4559" s="146"/>
      <c r="X4559" s="143">
        <f>'Valve Sizing'!$G$8*X4557/P_1_maxW</f>
        <v>-1.0864627343646795</v>
      </c>
      <c r="Y4559" s="132"/>
      <c r="Z4559" s="146"/>
      <c r="AA4559" s="143">
        <f>'Valve Sizing'!$G$8*AA4557/P_1_maxW</f>
        <v>-5.4764051841845713</v>
      </c>
      <c r="AB4559" s="132"/>
      <c r="AC4559" s="146"/>
      <c r="AD4559" s="143">
        <f>'Valve Sizing'!$G$8*AD4557/P_1_maxW</f>
        <v>-15.6393275675724</v>
      </c>
      <c r="AE4559" s="132"/>
      <c r="AF4559" s="146"/>
      <c r="AG4559" s="143">
        <f>'Valve Sizing'!$G$8*AG4557/P_1_maxW</f>
        <v>-31.235042357433304</v>
      </c>
      <c r="AH4559" s="132"/>
      <c r="AI4559" s="146"/>
      <c r="AJ4559" s="143">
        <f>'Valve Sizing'!$G$8*AJ4557/P_1_maxW</f>
        <v>-50.654820716207063</v>
      </c>
      <c r="AK4559" s="132"/>
      <c r="AL4559" s="146"/>
      <c r="AM4559" s="143">
        <f>'Valve Sizing'!$G$8*AM4557/P_1_maxW</f>
        <v>-69.829183811033289</v>
      </c>
      <c r="AN4559" s="132"/>
      <c r="AO4559" s="146"/>
      <c r="AP4559" s="143">
        <f>'Valve Sizing'!$G$8*AP4557/P_1_maxW</f>
        <v>-87.036156268733137</v>
      </c>
      <c r="AQ4559" s="132"/>
      <c r="AR4559" s="146"/>
      <c r="AS4559" s="143">
        <f>'Valve Sizing'!$G$8*AS4557/P_1_maxW</f>
        <v>-108.45394778512949</v>
      </c>
      <c r="AT4559" s="132"/>
      <c r="AU4559" s="146"/>
    </row>
    <row r="4560" spans="13:47" x14ac:dyDescent="0.25">
      <c r="M4560" s="20"/>
      <c r="N4560" s="20"/>
      <c r="O4560" s="7" t="s">
        <v>190</v>
      </c>
      <c r="P4560" s="1"/>
      <c r="Q4560" s="7"/>
      <c r="R4560" s="181">
        <f>R4557-R4558</f>
        <v>31.728081494574226</v>
      </c>
      <c r="S4560" s="132"/>
      <c r="T4560" s="146"/>
      <c r="U4560" s="138">
        <f>U4557-U4558</f>
        <v>-2.7366125105434094</v>
      </c>
      <c r="V4560" s="132"/>
      <c r="W4560" s="146"/>
      <c r="X4560" s="138">
        <f>X4557-X4558</f>
        <v>-275.22861398172131</v>
      </c>
      <c r="Y4560" s="132"/>
      <c r="Z4560" s="146"/>
      <c r="AA4560" s="138">
        <f>AA4557-AA4558</f>
        <v>-1185.2834388355466</v>
      </c>
      <c r="AB4560" s="132"/>
      <c r="AC4560" s="146"/>
      <c r="AD4560" s="138">
        <f>AD4557-AD4558</f>
        <v>-3292.1029826763743</v>
      </c>
      <c r="AE4560" s="132"/>
      <c r="AF4560" s="146"/>
      <c r="AG4560" s="138">
        <f>AG4557-AG4558</f>
        <v>-6525.1648402730225</v>
      </c>
      <c r="AH4560" s="132"/>
      <c r="AI4560" s="146"/>
      <c r="AJ4560" s="138">
        <f>AJ4557-AJ4558</f>
        <v>-10550.972284222325</v>
      </c>
      <c r="AK4560" s="132"/>
      <c r="AL4560" s="146"/>
      <c r="AM4560" s="138">
        <f>AM4557-AM4558</f>
        <v>-14525.904039571795</v>
      </c>
      <c r="AN4560" s="132"/>
      <c r="AO4560" s="146"/>
      <c r="AP4560" s="138">
        <f>AP4557-AP4558</f>
        <v>-18092.986862468275</v>
      </c>
      <c r="AQ4560" s="132"/>
      <c r="AR4560" s="146"/>
      <c r="AS4560" s="138">
        <f>AS4557-AS4558</f>
        <v>-22532.991425172622</v>
      </c>
      <c r="AT4560" s="132"/>
      <c r="AU4560" s="146"/>
    </row>
    <row r="4561" spans="13:47" ht="14.5" x14ac:dyDescent="0.35">
      <c r="M4561" s="27"/>
      <c r="N4561" s="27"/>
      <c r="O4561" s="2" t="s">
        <v>191</v>
      </c>
      <c r="P4561" s="10"/>
      <c r="Q4561" s="2"/>
      <c r="R4561" s="181">
        <f>R4560/R4557</f>
        <v>0.38821517542511497</v>
      </c>
      <c r="S4561" s="132"/>
      <c r="T4561" s="146"/>
      <c r="U4561" s="138">
        <f>U4560/U4557</f>
        <v>-5.7901319729862503E-2</v>
      </c>
      <c r="V4561" s="132"/>
      <c r="W4561" s="146"/>
      <c r="X4561" s="138">
        <f>X4560/X4557</f>
        <v>1.2219966598207535</v>
      </c>
      <c r="Y4561" s="132"/>
      <c r="Z4561" s="146"/>
      <c r="AA4561" s="138">
        <f>AA4560/AA4557</f>
        <v>1.0440418650441028</v>
      </c>
      <c r="AB4561" s="132"/>
      <c r="AC4561" s="146"/>
      <c r="AD4561" s="138">
        <f>AD4560/AD4557</f>
        <v>1.0154220887699024</v>
      </c>
      <c r="AE4561" s="132"/>
      <c r="AF4561" s="146"/>
      <c r="AG4561" s="138">
        <f>AG4560/AG4557</f>
        <v>1.00772181114047</v>
      </c>
      <c r="AH4561" s="132"/>
      <c r="AI4561" s="146"/>
      <c r="AJ4561" s="138">
        <f>AJ4560/AJ4557</f>
        <v>1.0047614638575062</v>
      </c>
      <c r="AK4561" s="132"/>
      <c r="AL4561" s="146"/>
      <c r="AM4561" s="138">
        <f>AM4560/AM4557</f>
        <v>1.0034540157121323</v>
      </c>
      <c r="AN4561" s="132"/>
      <c r="AO4561" s="146"/>
      <c r="AP4561" s="138">
        <f>AP4560/AP4557</f>
        <v>1.0027711598074711</v>
      </c>
      <c r="AQ4561" s="132"/>
      <c r="AR4561" s="146"/>
      <c r="AS4561" s="138">
        <f>AS4560/AS4557</f>
        <v>1.0022239033522924</v>
      </c>
      <c r="AT4561" s="132"/>
      <c r="AU4561" s="146"/>
    </row>
    <row r="4562" spans="13:47" x14ac:dyDescent="0.25">
      <c r="M4562" s="27"/>
      <c r="N4562" s="27"/>
      <c r="O4562" s="2" t="s">
        <v>26</v>
      </c>
      <c r="P4562" s="7">
        <v>12</v>
      </c>
      <c r="Q4562" s="2"/>
      <c r="R4562" s="181">
        <f>1-R4561/(3*F_GAMMA*R$29)</f>
        <v>0.79781308803095752</v>
      </c>
      <c r="S4562" s="133"/>
      <c r="T4562" s="146"/>
      <c r="U4562" s="138">
        <f>1-U4561/(3*F_GAMMA*U$29)</f>
        <v>1.0301490312862118</v>
      </c>
      <c r="V4562" s="133"/>
      <c r="W4562" s="146"/>
      <c r="X4562" s="138">
        <f>1-X4561/(3*F_GAMMA*X$29)</f>
        <v>0.35416490384118959</v>
      </c>
      <c r="Y4562" s="133"/>
      <c r="Z4562" s="146"/>
      <c r="AA4562" s="138">
        <f>1-AA4561/(3*F_GAMMA*AA$29)</f>
        <v>0.44064971488859195</v>
      </c>
      <c r="AB4562" s="133"/>
      <c r="AC4562" s="146"/>
      <c r="AD4562" s="138">
        <f>1-AD4561/(3*F_GAMMA*AD$29)</f>
        <v>0.44106710085282175</v>
      </c>
      <c r="AE4562" s="133"/>
      <c r="AF4562" s="146"/>
      <c r="AG4562" s="138">
        <f>1-AG4561/(3*F_GAMMA*AG$29)</f>
        <v>0.41366503136935795</v>
      </c>
      <c r="AH4562" s="133"/>
      <c r="AI4562" s="146"/>
      <c r="AJ4562" s="138">
        <f>1-AJ4561/(3*F_GAMMA*AJ$29)</f>
        <v>0.37504129722809865</v>
      </c>
      <c r="AK4562" s="133"/>
      <c r="AL4562" s="146"/>
      <c r="AM4562" s="138">
        <f>1-AM4561/(3*F_GAMMA*AM$29)</f>
        <v>0.318057601221439</v>
      </c>
      <c r="AN4562" s="133"/>
      <c r="AO4562" s="146"/>
      <c r="AP4562" s="138">
        <f>1-AP4561/(3*F_GAMMA*AP$29)</f>
        <v>0.43683188475262091</v>
      </c>
      <c r="AQ4562" s="133"/>
      <c r="AR4562" s="146"/>
      <c r="AS4562" s="138">
        <f>1-AS4561/(3*F_GAMMA*AS$29)</f>
        <v>0.14552844286686928</v>
      </c>
      <c r="AT4562" s="133"/>
      <c r="AU4562" s="146"/>
    </row>
    <row r="4563" spans="13:47" x14ac:dyDescent="0.25">
      <c r="M4563" s="27"/>
      <c r="N4563" s="27"/>
      <c r="O4563" s="2" t="s">
        <v>71</v>
      </c>
      <c r="P4563" s="85">
        <v>5</v>
      </c>
      <c r="Q4563" s="2"/>
      <c r="R4563" s="179">
        <f>R4555/((N_6*R$27*R4562)*SQRT(R4561*R4557*R4559))</f>
        <v>38.441857570622787</v>
      </c>
      <c r="S4563" s="133"/>
      <c r="T4563" s="146"/>
      <c r="U4563" s="143" t="e">
        <f>U4555/((N_6*U$27*U4562)*SQRT(U4561*U4557*U4559))</f>
        <v>#NUM!</v>
      </c>
      <c r="V4563" s="133"/>
      <c r="W4563" s="146"/>
      <c r="X4563" s="143">
        <f>X4555/((N_6*X$27*X4562)*SQRT(X4561*X4557*X4559))</f>
        <v>73.94447967296064</v>
      </c>
      <c r="Y4563" s="133"/>
      <c r="Z4563" s="146"/>
      <c r="AA4563" s="143">
        <f>AA4555/((N_6*AA$27*AA4562)*SQRT(AA4561*AA4557*AA4559))</f>
        <v>24.988243303715045</v>
      </c>
      <c r="AB4563" s="133"/>
      <c r="AC4563" s="146"/>
      <c r="AD4563" s="143">
        <f>AD4555/((N_6*AD$27*AD4562)*SQRT(AD4561*AD4557*AD4559))</f>
        <v>14.752005788630802</v>
      </c>
      <c r="AE4563" s="133"/>
      <c r="AF4563" s="146"/>
      <c r="AG4563" s="143">
        <f>AG4555/((N_6*AG$27*AG4562)*SQRT(AG4561*AG4557*AG4559))</f>
        <v>11.32748017029939</v>
      </c>
      <c r="AH4563" s="133"/>
      <c r="AI4563" s="146"/>
      <c r="AJ4563" s="143">
        <f>AJ4555/((N_6*AJ$27*AJ4562)*SQRT(AJ4561*AJ4557*AJ4559))</f>
        <v>10.132946176239887</v>
      </c>
      <c r="AK4563" s="133"/>
      <c r="AL4563" s="146"/>
      <c r="AM4563" s="143">
        <f>AM4555/((N_6*AM$27*AM4562)*SQRT(AM4561*AM4557*AM4559))</f>
        <v>10.794482762175463</v>
      </c>
      <c r="AN4563" s="133"/>
      <c r="AO4563" s="146"/>
      <c r="AP4563" s="143">
        <f>AP4555/((N_6*AP$27*AP4562)*SQRT(AP4561*AP4557*AP4559))</f>
        <v>7.9940636733477906</v>
      </c>
      <c r="AQ4563" s="133"/>
      <c r="AR4563" s="146"/>
      <c r="AS4563" s="143">
        <f>AS4555/((N_6*AS$27*AS4562)*SQRT(AS4561*AS4557*AS4559))</f>
        <v>28.237709010959428</v>
      </c>
      <c r="AT4563" s="133"/>
      <c r="AU4563" s="146"/>
    </row>
    <row r="4564" spans="13:47" x14ac:dyDescent="0.25">
      <c r="M4564" s="27"/>
      <c r="N4564" s="27"/>
      <c r="O4564" s="2" t="s">
        <v>73</v>
      </c>
      <c r="P4564" s="85">
        <v>5</v>
      </c>
      <c r="Q4564" s="2"/>
      <c r="R4564" s="179">
        <f>R4555/((N_6*R$27*0.667)*SQRT(R4565*R4557*R4559))</f>
        <v>35.811031858954429</v>
      </c>
      <c r="S4564" s="133"/>
      <c r="T4564" s="155"/>
      <c r="U4564" s="143">
        <f>U4555/((N_6*U$27*0.667)*SQRT(U4565*U4557*U4559))</f>
        <v>104.29555835512919</v>
      </c>
      <c r="V4564" s="133"/>
      <c r="W4564" s="155"/>
      <c r="X4564" s="143">
        <f>X4555/((N_6*X$27*0.667)*SQRT(X4565*X4557*X4559))</f>
        <v>54.6521049944132</v>
      </c>
      <c r="Y4564" s="133"/>
      <c r="Z4564" s="155"/>
      <c r="AA4564" s="143">
        <f>AA4555/((N_6*AA$27*0.667)*SQRT(AA4565*AA4557*AA4559))</f>
        <v>21.384837018724696</v>
      </c>
      <c r="AB4564" s="133"/>
      <c r="AC4564" s="155"/>
      <c r="AD4564" s="143">
        <f>AD4555/((N_6*AD$27*0.667)*SQRT(AD4565*AD4557*AD4559))</f>
        <v>12.631949162729093</v>
      </c>
      <c r="AE4564" s="133"/>
      <c r="AF4564" s="155"/>
      <c r="AG4564" s="143">
        <f>AG4555/((N_6*AG$27*0.667)*SQRT(AG4565*AG4557*AG4559))</f>
        <v>9.3172942665594203</v>
      </c>
      <c r="AH4564" s="133"/>
      <c r="AI4564" s="155"/>
      <c r="AJ4564" s="143">
        <f>AJ4555/((N_6*AJ$27*0.667)*SQRT(AJ4565*AJ4557*AJ4559))</f>
        <v>7.8014491390128855</v>
      </c>
      <c r="AK4564" s="133"/>
      <c r="AL4564" s="155"/>
      <c r="AM4564" s="143">
        <f>AM4555/((N_6*AM$27*0.667)*SQRT(AM4565*AM4557*AM4559))</f>
        <v>7.3623465523150298</v>
      </c>
      <c r="AN4564" s="133"/>
      <c r="AO4564" s="155"/>
      <c r="AP4564" s="143">
        <f>AP4555/((N_6*AP$27*0.667)*SQRT(AP4565*AP4557*AP4559))</f>
        <v>6.8051195040850274</v>
      </c>
      <c r="AQ4564" s="133"/>
      <c r="AR4564" s="155"/>
      <c r="AS4564" s="143">
        <f>AS4555/((N_6*AS$27*0.667)*SQRT(AS4565*AS4557*AS4559))</f>
        <v>9.8641788938051</v>
      </c>
      <c r="AT4564" s="133"/>
      <c r="AU4564" s="155"/>
    </row>
    <row r="4565" spans="13:47" ht="15.5" x14ac:dyDescent="0.4">
      <c r="M4565" s="27"/>
      <c r="N4565" s="27"/>
      <c r="O4565" s="2" t="s">
        <v>192</v>
      </c>
      <c r="P4565" s="85">
        <v>10</v>
      </c>
      <c r="Q4565" s="2"/>
      <c r="R4565" s="181">
        <f>F_GAMMA*R$29</f>
        <v>0.64002688015162901</v>
      </c>
      <c r="S4565" s="133"/>
      <c r="T4565" s="155"/>
      <c r="U4565" s="138">
        <f>F_GAMMA*U$29</f>
        <v>0.64016782916606918</v>
      </c>
      <c r="V4565" s="133"/>
      <c r="W4565" s="155"/>
      <c r="X4565" s="138">
        <f>F_GAMMA*X$29</f>
        <v>0.6307062319203669</v>
      </c>
      <c r="Y4565" s="133"/>
      <c r="Z4565" s="155"/>
      <c r="AA4565" s="138">
        <f>F_GAMMA*AA$29</f>
        <v>0.62217534213893466</v>
      </c>
      <c r="AB4565" s="133"/>
      <c r="AC4565" s="155"/>
      <c r="AD4565" s="138">
        <f>F_GAMMA*AD$29</f>
        <v>0.60557184969146072</v>
      </c>
      <c r="AE4565" s="133"/>
      <c r="AF4565" s="155"/>
      <c r="AG4565" s="138">
        <f>F_GAMMA*AG$29</f>
        <v>0.57289312142622573</v>
      </c>
      <c r="AH4565" s="133"/>
      <c r="AI4565" s="155"/>
      <c r="AJ4565" s="138">
        <f>F_GAMMA*AJ$29</f>
        <v>0.53590819116049981</v>
      </c>
      <c r="AK4565" s="133"/>
      <c r="AL4565" s="155"/>
      <c r="AM4565" s="138">
        <f>F_GAMMA*AM$29</f>
        <v>0.49048815926850342</v>
      </c>
      <c r="AN4565" s="133"/>
      <c r="AO4565" s="155"/>
      <c r="AP4565" s="138">
        <f>F_GAMMA*AP$29</f>
        <v>0.59352979016280105</v>
      </c>
      <c r="AQ4565" s="133"/>
      <c r="AR4565" s="155"/>
      <c r="AS4565" s="138">
        <f>F_GAMMA*AS$29</f>
        <v>0.39097221161068291</v>
      </c>
      <c r="AT4565" s="133"/>
      <c r="AU4565" s="155"/>
    </row>
    <row r="4566" spans="13:47" x14ac:dyDescent="0.25">
      <c r="M4566" s="27"/>
      <c r="N4566" s="27"/>
      <c r="O4566" s="2" t="s">
        <v>193</v>
      </c>
      <c r="P4566" s="134"/>
      <c r="Q4566" s="2"/>
      <c r="R4566" s="181">
        <f>IF(R4561&lt;R4565,R4563,R4564)</f>
        <v>38.441857570622787</v>
      </c>
      <c r="S4566" s="133"/>
      <c r="T4566" s="155"/>
      <c r="U4566" s="138" t="e">
        <f>IF(U4561&lt;U4565,U4563,U4564)</f>
        <v>#NUM!</v>
      </c>
      <c r="V4566" s="133"/>
      <c r="W4566" s="155"/>
      <c r="X4566" s="138">
        <f>IF(X4561&lt;X4565,X4563,X4564)</f>
        <v>54.6521049944132</v>
      </c>
      <c r="Y4566" s="133"/>
      <c r="Z4566" s="155"/>
      <c r="AA4566" s="138">
        <f>IF(AA4561&lt;AA4565,AA4563,AA4564)</f>
        <v>21.384837018724696</v>
      </c>
      <c r="AB4566" s="133"/>
      <c r="AC4566" s="155"/>
      <c r="AD4566" s="138">
        <f>IF(AD4561&lt;AD4565,AD4563,AD4564)</f>
        <v>12.631949162729093</v>
      </c>
      <c r="AE4566" s="133"/>
      <c r="AF4566" s="155"/>
      <c r="AG4566" s="138">
        <f>IF(AG4561&lt;AG4565,AG4563,AG4564)</f>
        <v>9.3172942665594203</v>
      </c>
      <c r="AH4566" s="133"/>
      <c r="AI4566" s="155"/>
      <c r="AJ4566" s="138">
        <f>IF(AJ4561&lt;AJ4565,AJ4563,AJ4564)</f>
        <v>7.8014491390128855</v>
      </c>
      <c r="AK4566" s="133"/>
      <c r="AL4566" s="155"/>
      <c r="AM4566" s="138">
        <f>IF(AM4561&lt;AM4565,AM4563,AM4564)</f>
        <v>7.3623465523150298</v>
      </c>
      <c r="AN4566" s="133"/>
      <c r="AO4566" s="155"/>
      <c r="AP4566" s="138">
        <f>IF(AP4561&lt;AP4565,AP4563,AP4564)</f>
        <v>6.8051195040850274</v>
      </c>
      <c r="AQ4566" s="133"/>
      <c r="AR4566" s="155"/>
      <c r="AS4566" s="138">
        <f>IF(AS4561&lt;AS4565,AS4563,AS4564)</f>
        <v>9.8641788938051</v>
      </c>
      <c r="AT4566" s="133"/>
      <c r="AU4566" s="155"/>
    </row>
    <row r="4567" spans="13:47" ht="13" x14ac:dyDescent="0.3">
      <c r="M4567" s="28"/>
      <c r="N4567" s="28"/>
      <c r="O4567" s="9" t="s">
        <v>194</v>
      </c>
      <c r="P4567" s="1"/>
      <c r="Q4567" s="1"/>
      <c r="R4567" s="135"/>
      <c r="S4567" s="132">
        <f>IF(R4560&lt;=0,W_max,ABS(R$23-R4566))</f>
        <v>36.441857570622787</v>
      </c>
      <c r="T4567" s="151">
        <f>R4555</f>
        <v>6865.3228579986489</v>
      </c>
      <c r="U4567" s="135"/>
      <c r="V4567" s="132">
        <f>IF(U4560&lt;=0,W_max,ABS(U$23-U4566))</f>
        <v>7174</v>
      </c>
      <c r="W4567" s="151">
        <f>U4555</f>
        <v>11556.899535247429</v>
      </c>
      <c r="X4567" s="135"/>
      <c r="Y4567" s="132">
        <f>IF(X4560&lt;=0,W_max,ABS(X$23-X4566))</f>
        <v>7174</v>
      </c>
      <c r="Z4567" s="151">
        <f>X4555</f>
        <v>28581.587837833067</v>
      </c>
      <c r="AA4567" s="135"/>
      <c r="AB4567" s="132">
        <f>IF(AA4560&lt;=0,W_max,ABS(AA$23-AA4566))</f>
        <v>7174</v>
      </c>
      <c r="AC4567" s="151">
        <f>AA4555</f>
        <v>55669.637788897089</v>
      </c>
      <c r="AD4567" s="135"/>
      <c r="AE4567" s="132">
        <f>IF(AD4560&lt;=0,W_max,ABS(AD$23-AD4566))</f>
        <v>7174</v>
      </c>
      <c r="AF4567" s="151">
        <f>AD4555</f>
        <v>91556.057818142814</v>
      </c>
      <c r="AG4567" s="135"/>
      <c r="AH4567" s="132">
        <f>IF(AG4560&lt;=0,W_max,ABS(AG$23-AG4566))</f>
        <v>7174</v>
      </c>
      <c r="AI4567" s="151">
        <f>AG4555</f>
        <v>128414.41964013783</v>
      </c>
      <c r="AJ4567" s="135"/>
      <c r="AK4567" s="132">
        <f>IF(AJ4560&lt;=0,W_max,ABS(AJ$23-AJ4566))</f>
        <v>7174</v>
      </c>
      <c r="AL4567" s="151">
        <f>AJ4555</f>
        <v>163052.23798820027</v>
      </c>
      <c r="AM4567" s="135"/>
      <c r="AN4567" s="132">
        <f>IF(AM4560&lt;=0,W_max,ABS(AM$23-AM4566))</f>
        <v>7174</v>
      </c>
      <c r="AO4567" s="151">
        <f>AM4555</f>
        <v>191191.57227198029</v>
      </c>
      <c r="AP4567" s="135"/>
      <c r="AQ4567" s="132">
        <f>IF(AP4560&lt;=0,W_max,ABS(AP$23-AP4566))</f>
        <v>7174</v>
      </c>
      <c r="AR4567" s="151">
        <f>AP4555</f>
        <v>213306.38533302266</v>
      </c>
      <c r="AS4567" s="135"/>
      <c r="AT4567" s="132">
        <f>IF(AS4560&lt;=0,W_max,ABS(AS$23-AS4566))</f>
        <v>7174</v>
      </c>
      <c r="AU4567" s="151">
        <f>AS4555</f>
        <v>237979.18225764838</v>
      </c>
    </row>
    <row r="4568" spans="13:47" ht="13" x14ac:dyDescent="0.25">
      <c r="M4568" s="12"/>
      <c r="N4568" s="12"/>
      <c r="O4568" s="2"/>
      <c r="P4568" s="85"/>
      <c r="Q4568" s="2"/>
      <c r="R4568" s="18"/>
      <c r="S4568" s="150"/>
      <c r="T4568" s="148"/>
      <c r="U4568" s="157"/>
      <c r="V4568" s="1"/>
      <c r="W4568" s="147"/>
      <c r="X4568" s="157"/>
      <c r="Y4568" s="1"/>
      <c r="Z4568" s="147"/>
      <c r="AA4568" s="157"/>
      <c r="AB4568" s="1"/>
      <c r="AC4568" s="147"/>
      <c r="AD4568" s="157"/>
      <c r="AE4568" s="1"/>
      <c r="AF4568" s="147"/>
      <c r="AG4568" s="157"/>
      <c r="AH4568" s="1"/>
      <c r="AI4568" s="147"/>
      <c r="AJ4568" s="157"/>
      <c r="AK4568" s="1"/>
      <c r="AL4568" s="147"/>
      <c r="AM4568" s="157"/>
      <c r="AN4568" s="1"/>
      <c r="AO4568" s="147"/>
      <c r="AP4568" s="157"/>
      <c r="AQ4568" s="1"/>
      <c r="AR4568" s="147"/>
      <c r="AS4568" s="157"/>
      <c r="AT4568" s="1"/>
      <c r="AU4568" s="147"/>
    </row>
    <row r="4569" spans="13:47" ht="14" x14ac:dyDescent="0.3">
      <c r="M4569" s="23"/>
      <c r="N4569" s="23"/>
      <c r="O4569" s="23" t="s">
        <v>238</v>
      </c>
      <c r="P4569" s="20"/>
      <c r="Q4569" s="20"/>
      <c r="R4569" s="181">
        <f>R4555*1.02</f>
        <v>7002.6293151586224</v>
      </c>
      <c r="S4569" s="128" t="s">
        <v>185</v>
      </c>
      <c r="T4569" s="149" t="s">
        <v>186</v>
      </c>
      <c r="U4569" s="143">
        <f>U4555*1.01</f>
        <v>11672.468530599903</v>
      </c>
      <c r="V4569" s="128" t="s">
        <v>185</v>
      </c>
      <c r="W4569" s="153" t="s">
        <v>186</v>
      </c>
      <c r="X4569" s="143">
        <f>X4555*1.01</f>
        <v>28867.403716211396</v>
      </c>
      <c r="Y4569" s="128" t="s">
        <v>185</v>
      </c>
      <c r="Z4569" s="153" t="s">
        <v>186</v>
      </c>
      <c r="AA4569" s="143">
        <f>AA4555*1.01</f>
        <v>56226.334166786059</v>
      </c>
      <c r="AB4569" s="128" t="s">
        <v>185</v>
      </c>
      <c r="AC4569" s="153" t="s">
        <v>186</v>
      </c>
      <c r="AD4569" s="143">
        <f>AD4555*1.01</f>
        <v>92471.618396324237</v>
      </c>
      <c r="AE4569" s="128" t="s">
        <v>185</v>
      </c>
      <c r="AF4569" s="153" t="s">
        <v>186</v>
      </c>
      <c r="AG4569" s="143">
        <f>AG4555*1.01</f>
        <v>129698.56383653921</v>
      </c>
      <c r="AH4569" s="128" t="s">
        <v>185</v>
      </c>
      <c r="AI4569" s="153" t="s">
        <v>186</v>
      </c>
      <c r="AJ4569" s="143">
        <f>AJ4555*1.01</f>
        <v>164682.76036808226</v>
      </c>
      <c r="AK4569" s="128" t="s">
        <v>185</v>
      </c>
      <c r="AL4569" s="153" t="s">
        <v>186</v>
      </c>
      <c r="AM4569" s="143">
        <f>AM4555*1.01</f>
        <v>193103.48799470009</v>
      </c>
      <c r="AN4569" s="128" t="s">
        <v>185</v>
      </c>
      <c r="AO4569" s="153" t="s">
        <v>186</v>
      </c>
      <c r="AP4569" s="143">
        <f>AP4555*1.01</f>
        <v>215439.4491863529</v>
      </c>
      <c r="AQ4569" s="128" t="s">
        <v>185</v>
      </c>
      <c r="AR4569" s="153" t="s">
        <v>186</v>
      </c>
      <c r="AS4569" s="143">
        <f>AS4555*1.01</f>
        <v>240358.97408022487</v>
      </c>
      <c r="AT4569" s="128" t="s">
        <v>185</v>
      </c>
      <c r="AU4569" s="153" t="s">
        <v>186</v>
      </c>
    </row>
    <row r="4570" spans="13:47" ht="14" x14ac:dyDescent="0.3">
      <c r="M4570" s="12"/>
      <c r="N4570" s="12"/>
      <c r="O4570" s="20"/>
      <c r="P4570" s="20"/>
      <c r="Q4570" s="23"/>
      <c r="R4570" s="139"/>
      <c r="S4570" s="130" t="s">
        <v>228</v>
      </c>
      <c r="T4570" s="131" t="s">
        <v>187</v>
      </c>
      <c r="U4570" s="144"/>
      <c r="V4570" s="130" t="s">
        <v>228</v>
      </c>
      <c r="W4570" s="154" t="s">
        <v>187</v>
      </c>
      <c r="X4570" s="144"/>
      <c r="Y4570" s="130" t="s">
        <v>228</v>
      </c>
      <c r="Z4570" s="154" t="s">
        <v>187</v>
      </c>
      <c r="AA4570" s="144"/>
      <c r="AB4570" s="130" t="s">
        <v>228</v>
      </c>
      <c r="AC4570" s="154" t="s">
        <v>187</v>
      </c>
      <c r="AD4570" s="144"/>
      <c r="AE4570" s="130" t="s">
        <v>228</v>
      </c>
      <c r="AF4570" s="154" t="s">
        <v>187</v>
      </c>
      <c r="AG4570" s="144"/>
      <c r="AH4570" s="130" t="s">
        <v>228</v>
      </c>
      <c r="AI4570" s="154" t="s">
        <v>187</v>
      </c>
      <c r="AJ4570" s="144"/>
      <c r="AK4570" s="130" t="s">
        <v>228</v>
      </c>
      <c r="AL4570" s="154" t="s">
        <v>187</v>
      </c>
      <c r="AM4570" s="144"/>
      <c r="AN4570" s="130" t="s">
        <v>228</v>
      </c>
      <c r="AO4570" s="154" t="s">
        <v>187</v>
      </c>
      <c r="AP4570" s="144"/>
      <c r="AQ4570" s="130" t="s">
        <v>228</v>
      </c>
      <c r="AR4570" s="154" t="s">
        <v>187</v>
      </c>
      <c r="AS4570" s="144"/>
      <c r="AT4570" s="130" t="s">
        <v>228</v>
      </c>
      <c r="AU4570" s="154" t="s">
        <v>187</v>
      </c>
    </row>
    <row r="4571" spans="13:47" x14ac:dyDescent="0.25">
      <c r="M4571" s="20"/>
      <c r="N4571" s="20"/>
      <c r="O4571" s="7" t="s">
        <v>188</v>
      </c>
      <c r="P4571" s="7"/>
      <c r="Q4571" s="7"/>
      <c r="R4571" s="181">
        <f>P_1_minW-(R4569^2*R_up)+dpup_minQ</f>
        <v>80.968775402791252</v>
      </c>
      <c r="S4571" s="132"/>
      <c r="T4571" s="145"/>
      <c r="U4571" s="138">
        <f>P_1_minW-(U4569^2*R_up)+dpup_minQ</f>
        <v>46.192873564586471</v>
      </c>
      <c r="V4571" s="132"/>
      <c r="W4571" s="145"/>
      <c r="X4571" s="138">
        <f>P_1_minW-(X4569^2*R_up)+dpup_minQ</f>
        <v>-231.7762171361621</v>
      </c>
      <c r="Y4571" s="132"/>
      <c r="Z4571" s="145"/>
      <c r="AA4571" s="138">
        <f>P_1_minW-(AA4569^2*R_up)+dpup_minQ</f>
        <v>-1160.1231439695491</v>
      </c>
      <c r="AB4571" s="132"/>
      <c r="AC4571" s="145"/>
      <c r="AD4571" s="138">
        <f>P_1_minW-(AD4569^2*R_up)+dpup_minQ</f>
        <v>-3309.2897606415772</v>
      </c>
      <c r="AE4571" s="132"/>
      <c r="AF4571" s="145"/>
      <c r="AG4571" s="138">
        <f>P_1_minW-(AG4569^2*R_up)+dpup_minQ</f>
        <v>-6607.3361615759177</v>
      </c>
      <c r="AH4571" s="132"/>
      <c r="AI4571" s="145"/>
      <c r="AJ4571" s="138">
        <f>P_1_minW-(AJ4569^2*R_up)+dpup_minQ</f>
        <v>-10714.062335148599</v>
      </c>
      <c r="AK4571" s="132"/>
      <c r="AL4571" s="145"/>
      <c r="AM4571" s="138">
        <f>P_1_minW-(AM4569^2*R_up)+dpup_minQ</f>
        <v>-14768.890218780596</v>
      </c>
      <c r="AN4571" s="132"/>
      <c r="AO4571" s="145"/>
      <c r="AP4571" s="138">
        <f>P_1_minW-(AP4569^2*R_up)+dpup_minQ</f>
        <v>-18407.671406417299</v>
      </c>
      <c r="AQ4571" s="132"/>
      <c r="AR4571" s="145"/>
      <c r="AS4571" s="138">
        <f>P_1_minW-(AS4569^2*R_up)+dpup_minQ</f>
        <v>-22936.920060831999</v>
      </c>
      <c r="AT4571" s="132"/>
      <c r="AU4571" s="145"/>
    </row>
    <row r="4572" spans="13:47" x14ac:dyDescent="0.25">
      <c r="M4572" s="20"/>
      <c r="N4572" s="20"/>
      <c r="O4572" s="7" t="s">
        <v>189</v>
      </c>
      <c r="P4572" s="1"/>
      <c r="Q4572" s="7"/>
      <c r="R4572" s="181">
        <f>P_2_minW+(R4569^2*R_dn)-dpdn_minQ</f>
        <v>50</v>
      </c>
      <c r="S4572" s="132"/>
      <c r="T4572" s="146"/>
      <c r="U4572" s="138">
        <f>P_2_minW+(U4569^2*R_dn)-dpdn_minQ</f>
        <v>50</v>
      </c>
      <c r="V4572" s="132"/>
      <c r="W4572" s="146"/>
      <c r="X4572" s="138">
        <f>P_2_minW+(X4569^2*R_dn)-dpdn_minQ</f>
        <v>50</v>
      </c>
      <c r="Y4572" s="132"/>
      <c r="Z4572" s="146"/>
      <c r="AA4572" s="138">
        <f>P_2_minW+(AA4569^2*R_dn)-dpdn_minQ</f>
        <v>50</v>
      </c>
      <c r="AB4572" s="132"/>
      <c r="AC4572" s="146"/>
      <c r="AD4572" s="138">
        <f>P_2_minW+(AD4569^2*R_dn)-dpdn_minQ</f>
        <v>50</v>
      </c>
      <c r="AE4572" s="132"/>
      <c r="AF4572" s="146"/>
      <c r="AG4572" s="138">
        <f>P_2_minW+(AG4569^2*R_dn)-dpdn_minQ</f>
        <v>50</v>
      </c>
      <c r="AH4572" s="132"/>
      <c r="AI4572" s="146"/>
      <c r="AJ4572" s="138">
        <f>P_2_minW+(AJ4569^2*R_dn)-dpdn_minQ</f>
        <v>50</v>
      </c>
      <c r="AK4572" s="132"/>
      <c r="AL4572" s="146"/>
      <c r="AM4572" s="138">
        <f>P_2_minW+(AM4569^2*R_dn)-dpdn_minQ</f>
        <v>50</v>
      </c>
      <c r="AN4572" s="132"/>
      <c r="AO4572" s="146"/>
      <c r="AP4572" s="138">
        <f>P_2_minW+(AP4569^2*R_dn)-dpdn_minQ</f>
        <v>50</v>
      </c>
      <c r="AQ4572" s="132"/>
      <c r="AR4572" s="146"/>
      <c r="AS4572" s="138">
        <f>P_2_minW+(AS4569^2*R_dn)-dpdn_minQ</f>
        <v>50</v>
      </c>
      <c r="AT4572" s="132"/>
      <c r="AU4572" s="146"/>
    </row>
    <row r="4573" spans="13:47" x14ac:dyDescent="0.25">
      <c r="M4573" s="20"/>
      <c r="N4573" s="20"/>
      <c r="O4573" s="7" t="s">
        <v>234</v>
      </c>
      <c r="P4573" s="1"/>
      <c r="Q4573" s="7"/>
      <c r="R4573" s="179">
        <f>'Valve Sizing'!G$8*R4571/P_1_maxW</f>
        <v>0.39057895694112582</v>
      </c>
      <c r="S4573" s="132"/>
      <c r="T4573" s="146"/>
      <c r="U4573" s="143">
        <f>'Valve Sizing'!$G$8*U4571/P_1_maxW</f>
        <v>0.22282619794133041</v>
      </c>
      <c r="V4573" s="132"/>
      <c r="W4573" s="146"/>
      <c r="X4573" s="143">
        <f>'Valve Sizing'!$G$8*X4571/P_1_maxW</f>
        <v>-1.1180472062528111</v>
      </c>
      <c r="Y4573" s="132"/>
      <c r="Z4573" s="146"/>
      <c r="AA4573" s="143">
        <f>'Valve Sizing'!$G$8*AA4571/P_1_maxW</f>
        <v>-5.5962274993140815</v>
      </c>
      <c r="AB4573" s="132"/>
      <c r="AC4573" s="146"/>
      <c r="AD4573" s="143">
        <f>'Valve Sizing'!$G$8*AD4571/P_1_maxW</f>
        <v>-15.963424622608006</v>
      </c>
      <c r="AE4573" s="132"/>
      <c r="AF4573" s="146"/>
      <c r="AG4573" s="143">
        <f>'Valve Sizing'!$G$8*AG4571/P_1_maxW</f>
        <v>-31.87261327974511</v>
      </c>
      <c r="AH4573" s="132"/>
      <c r="AI4573" s="146"/>
      <c r="AJ4573" s="143">
        <f>'Valve Sizing'!$G$8*AJ4571/P_1_maxW</f>
        <v>-51.682729183530213</v>
      </c>
      <c r="AK4573" s="132"/>
      <c r="AL4573" s="146"/>
      <c r="AM4573" s="143">
        <f>'Valve Sizing'!$G$8*AM4571/P_1_maxW</f>
        <v>-71.242496976562464</v>
      </c>
      <c r="AN4573" s="132"/>
      <c r="AO4573" s="146"/>
      <c r="AP4573" s="143">
        <f>'Valve Sizing'!$G$8*AP4571/P_1_maxW</f>
        <v>-88.795329580662084</v>
      </c>
      <c r="AQ4573" s="132"/>
      <c r="AR4573" s="146"/>
      <c r="AS4573" s="143">
        <f>'Valve Sizing'!$G$8*AS4571/P_1_maxW</f>
        <v>-110.64361870653798</v>
      </c>
      <c r="AT4573" s="132"/>
      <c r="AU4573" s="146"/>
    </row>
    <row r="4574" spans="13:47" x14ac:dyDescent="0.25">
      <c r="M4574" s="20"/>
      <c r="N4574" s="20"/>
      <c r="O4574" s="7" t="s">
        <v>190</v>
      </c>
      <c r="P4574" s="1"/>
      <c r="Q4574" s="7"/>
      <c r="R4574" s="181">
        <f>R4571-R4572</f>
        <v>30.968775402791252</v>
      </c>
      <c r="S4574" s="132"/>
      <c r="T4574" s="146"/>
      <c r="U4574" s="138">
        <f>U4571-U4572</f>
        <v>-3.8071264354135295</v>
      </c>
      <c r="V4574" s="132"/>
      <c r="W4574" s="146"/>
      <c r="X4574" s="138">
        <f>X4571-X4572</f>
        <v>-281.77621713616213</v>
      </c>
      <c r="Y4574" s="132"/>
      <c r="Z4574" s="146"/>
      <c r="AA4574" s="138">
        <f>AA4571-AA4572</f>
        <v>-1210.1231439695491</v>
      </c>
      <c r="AB4574" s="132"/>
      <c r="AC4574" s="146"/>
      <c r="AD4574" s="138">
        <f>AD4571-AD4572</f>
        <v>-3359.2897606415772</v>
      </c>
      <c r="AE4574" s="132"/>
      <c r="AF4574" s="146"/>
      <c r="AG4574" s="138">
        <f>AG4571-AG4572</f>
        <v>-6657.3361615759177</v>
      </c>
      <c r="AH4574" s="132"/>
      <c r="AI4574" s="146"/>
      <c r="AJ4574" s="138">
        <f>AJ4571-AJ4572</f>
        <v>-10764.062335148599</v>
      </c>
      <c r="AK4574" s="132"/>
      <c r="AL4574" s="146"/>
      <c r="AM4574" s="138">
        <f>AM4571-AM4572</f>
        <v>-14818.890218780596</v>
      </c>
      <c r="AN4574" s="132"/>
      <c r="AO4574" s="146"/>
      <c r="AP4574" s="138">
        <f>AP4571-AP4572</f>
        <v>-18457.671406417299</v>
      </c>
      <c r="AQ4574" s="132"/>
      <c r="AR4574" s="146"/>
      <c r="AS4574" s="138">
        <f>AS4571-AS4572</f>
        <v>-22986.920060831999</v>
      </c>
      <c r="AT4574" s="132"/>
      <c r="AU4574" s="146"/>
    </row>
    <row r="4575" spans="13:47" ht="14.5" x14ac:dyDescent="0.35">
      <c r="M4575" s="27"/>
      <c r="N4575" s="27"/>
      <c r="O4575" s="2" t="s">
        <v>191</v>
      </c>
      <c r="P4575" s="10"/>
      <c r="Q4575" s="2"/>
      <c r="R4575" s="181">
        <f>R4574/R4571</f>
        <v>0.38247800153494305</v>
      </c>
      <c r="S4575" s="132"/>
      <c r="T4575" s="146"/>
      <c r="U4575" s="138">
        <f>U4574/U4571</f>
        <v>-8.2418047236018754E-2</v>
      </c>
      <c r="V4575" s="132"/>
      <c r="W4575" s="146"/>
      <c r="X4575" s="138">
        <f>X4574/X4571</f>
        <v>1.2157253259967842</v>
      </c>
      <c r="Y4575" s="132"/>
      <c r="Z4575" s="146"/>
      <c r="AA4575" s="138">
        <f>AA4574/AA4571</f>
        <v>1.0430988729600867</v>
      </c>
      <c r="AB4575" s="132"/>
      <c r="AC4575" s="146"/>
      <c r="AD4575" s="138">
        <f>AD4574/AD4571</f>
        <v>1.015108982173355</v>
      </c>
      <c r="AE4575" s="132"/>
      <c r="AF4575" s="146"/>
      <c r="AG4575" s="138">
        <f>AG4574/AG4571</f>
        <v>1.0075673461705745</v>
      </c>
      <c r="AH4575" s="132"/>
      <c r="AI4575" s="146"/>
      <c r="AJ4575" s="138">
        <f>AJ4574/AJ4571</f>
        <v>1.0046667639627194</v>
      </c>
      <c r="AK4575" s="132"/>
      <c r="AL4575" s="146"/>
      <c r="AM4575" s="138">
        <f>AM4574/AM4571</f>
        <v>1.0033854947297542</v>
      </c>
      <c r="AN4575" s="132"/>
      <c r="AO4575" s="146"/>
      <c r="AP4575" s="138">
        <f>AP4574/AP4571</f>
        <v>1.0027162588301402</v>
      </c>
      <c r="AQ4575" s="132"/>
      <c r="AR4575" s="146"/>
      <c r="AS4575" s="138">
        <f>AS4574/AS4571</f>
        <v>1.0021798916274458</v>
      </c>
      <c r="AT4575" s="132"/>
      <c r="AU4575" s="146"/>
    </row>
    <row r="4576" spans="13:47" x14ac:dyDescent="0.25">
      <c r="M4576" s="27"/>
      <c r="N4576" s="27"/>
      <c r="O4576" s="2" t="s">
        <v>26</v>
      </c>
      <c r="P4576" s="7">
        <v>12</v>
      </c>
      <c r="Q4576" s="2"/>
      <c r="R4576" s="181">
        <f>1-R4575/(3*F_GAMMA*R$29)</f>
        <v>0.80080107393597277</v>
      </c>
      <c r="S4576" s="133"/>
      <c r="T4576" s="146"/>
      <c r="U4576" s="138">
        <f>1-U4575/(3*F_GAMMA*U$29)</f>
        <v>1.0429148125856218</v>
      </c>
      <c r="V4576" s="133"/>
      <c r="W4576" s="146"/>
      <c r="X4576" s="138">
        <f>1-X4575/(3*F_GAMMA*X$29)</f>
        <v>0.35747935437646461</v>
      </c>
      <c r="Y4576" s="133"/>
      <c r="Z4576" s="146"/>
      <c r="AA4576" s="138">
        <f>1-AA4575/(3*F_GAMMA*AA$29)</f>
        <v>0.44115492728352779</v>
      </c>
      <c r="AB4576" s="133"/>
      <c r="AC4576" s="146"/>
      <c r="AD4576" s="138">
        <f>1-AD4575/(3*F_GAMMA*AD$29)</f>
        <v>0.44123944847031571</v>
      </c>
      <c r="AE4576" s="133"/>
      <c r="AF4576" s="146"/>
      <c r="AG4576" s="138">
        <f>1-AG4575/(3*F_GAMMA*AG$29)</f>
        <v>0.41375490559087125</v>
      </c>
      <c r="AH4576" s="133"/>
      <c r="AI4576" s="146"/>
      <c r="AJ4576" s="138">
        <f>1-AJ4575/(3*F_GAMMA*AJ$29)</f>
        <v>0.37510020028671254</v>
      </c>
      <c r="AK4576" s="133"/>
      <c r="AL4576" s="146"/>
      <c r="AM4576" s="138">
        <f>1-AM4575/(3*F_GAMMA*AM$29)</f>
        <v>0.31810416774303141</v>
      </c>
      <c r="AN4576" s="133"/>
      <c r="AO4576" s="146"/>
      <c r="AP4576" s="138">
        <f>1-AP4575/(3*F_GAMMA*AP$29)</f>
        <v>0.43686271778927777</v>
      </c>
      <c r="AQ4576" s="133"/>
      <c r="AR4576" s="146"/>
      <c r="AS4576" s="138">
        <f>1-AS4575/(3*F_GAMMA*AS$29)</f>
        <v>0.1455659661856965</v>
      </c>
      <c r="AT4576" s="133"/>
      <c r="AU4576" s="146"/>
    </row>
    <row r="4577" spans="13:47" x14ac:dyDescent="0.25">
      <c r="M4577" s="27"/>
      <c r="N4577" s="27"/>
      <c r="O4577" s="2" t="s">
        <v>71</v>
      </c>
      <c r="P4577" s="85">
        <v>5</v>
      </c>
      <c r="Q4577" s="2"/>
      <c r="R4577" s="179">
        <f>R4569/((N_6*R$27*R4576)*SQRT(R4575*R4571*R4573))</f>
        <v>39.725356509601362</v>
      </c>
      <c r="S4577" s="133"/>
      <c r="T4577" s="146"/>
      <c r="U4577" s="143" t="e">
        <f>U4569/((N_6*U$27*U4576)*SQRT(U4575*U4571*U4573))</f>
        <v>#NUM!</v>
      </c>
      <c r="V4577" s="133"/>
      <c r="W4577" s="146"/>
      <c r="X4577" s="143">
        <f>X4569/((N_6*X$27*X4576)*SQRT(X4575*X4571*X4573))</f>
        <v>72.086453515398603</v>
      </c>
      <c r="Y4577" s="133"/>
      <c r="Z4577" s="146"/>
      <c r="AA4577" s="143">
        <f>AA4569/((N_6*AA$27*AA4576)*SQRT(AA4575*AA4571*AA4573))</f>
        <v>24.680609998559845</v>
      </c>
      <c r="AB4577" s="133"/>
      <c r="AC4577" s="146"/>
      <c r="AD4577" s="143">
        <f>AD4569/((N_6*AD$27*AD4576)*SQRT(AD4575*AD4571*AD4573))</f>
        <v>14.593577135865006</v>
      </c>
      <c r="AE4577" s="133"/>
      <c r="AF4577" s="146"/>
      <c r="AG4577" s="143">
        <f>AG4569/((N_6*AG$27*AG4576)*SQRT(AG4575*AG4571*AG4573))</f>
        <v>11.21032107553812</v>
      </c>
      <c r="AH4577" s="133"/>
      <c r="AI4577" s="146"/>
      <c r="AJ4577" s="143">
        <f>AJ4569/((N_6*AJ$27*AJ4576)*SQRT(AJ4575*AJ4571*AJ4573))</f>
        <v>10.029625486974162</v>
      </c>
      <c r="AK4577" s="133"/>
      <c r="AL4577" s="146"/>
      <c r="AM4577" s="143">
        <f>AM4569/((N_6*AM$27*AM4576)*SQRT(AM4575*AM4571*AM4573))</f>
        <v>10.68494503905727</v>
      </c>
      <c r="AN4577" s="133"/>
      <c r="AO4577" s="146"/>
      <c r="AP4577" s="143">
        <f>AP4569/((N_6*AP$27*AP4576)*SQRT(AP4575*AP4571*AP4573))</f>
        <v>7.913703829410478</v>
      </c>
      <c r="AQ4577" s="133"/>
      <c r="AR4577" s="146"/>
      <c r="AS4577" s="143">
        <f>AS4569/((N_6*AS$27*AS4576)*SQRT(AS4575*AS4571*AS4573))</f>
        <v>27.949072312508243</v>
      </c>
      <c r="AT4577" s="133"/>
      <c r="AU4577" s="146"/>
    </row>
    <row r="4578" spans="13:47" x14ac:dyDescent="0.25">
      <c r="M4578" s="27"/>
      <c r="N4578" s="27"/>
      <c r="O4578" s="2" t="s">
        <v>73</v>
      </c>
      <c r="P4578" s="85">
        <v>5</v>
      </c>
      <c r="Q4578" s="2"/>
      <c r="R4578" s="179">
        <f>R4569/((N_6*R$27*0.667)*SQRT(R4579*R4571*R4573))</f>
        <v>36.869796460747473</v>
      </c>
      <c r="S4578" s="133"/>
      <c r="T4578" s="147"/>
      <c r="U4578" s="143">
        <f>U4569/((N_6*U$27*0.667)*SQRT(U4579*U4571*U4573))</f>
        <v>107.77972049922958</v>
      </c>
      <c r="V4578" s="133"/>
      <c r="W4578" s="155"/>
      <c r="X4578" s="143">
        <f>X4569/((N_6*X$27*0.667)*SQRT(X4579*X4571*X4573))</f>
        <v>53.639282715371564</v>
      </c>
      <c r="Y4578" s="133"/>
      <c r="Z4578" s="155"/>
      <c r="AA4578" s="143">
        <f>AA4569/((N_6*AA$27*0.667)*SQRT(AA4579*AA4571*AA4573))</f>
        <v>21.136230192555004</v>
      </c>
      <c r="AB4578" s="133"/>
      <c r="AC4578" s="155"/>
      <c r="AD4578" s="143">
        <f>AD4569/((N_6*AD$27*0.667)*SQRT(AD4579*AD4571*AD4573))</f>
        <v>12.499244203401544</v>
      </c>
      <c r="AE4578" s="133"/>
      <c r="AF4578" s="155"/>
      <c r="AG4578" s="143">
        <f>AG4569/((N_6*AG$27*0.667)*SQRT(AG4579*AG4571*AG4573))</f>
        <v>9.2222228313539514</v>
      </c>
      <c r="AH4578" s="133"/>
      <c r="AI4578" s="155"/>
      <c r="AJ4578" s="143">
        <f>AJ4569/((N_6*AJ$27*0.667)*SQRT(AJ4579*AJ4571*AJ4573))</f>
        <v>7.7227504012139283</v>
      </c>
      <c r="AK4578" s="133"/>
      <c r="AL4578" s="155"/>
      <c r="AM4578" s="143">
        <f>AM4569/((N_6*AM$27*0.667)*SQRT(AM4579*AM4571*AM4573))</f>
        <v>7.2884547738378442</v>
      </c>
      <c r="AN4578" s="133"/>
      <c r="AO4578" s="155"/>
      <c r="AP4578" s="143">
        <f>AP4569/((N_6*AP$27*0.667)*SQRT(AP4579*AP4571*AP4573))</f>
        <v>6.7370025186671221</v>
      </c>
      <c r="AQ4578" s="133"/>
      <c r="AR4578" s="155"/>
      <c r="AS4578" s="143">
        <f>AS4569/((N_6*AS$27*0.667)*SQRT(AS4579*AS4571*AS4573))</f>
        <v>9.7656534262918697</v>
      </c>
      <c r="AT4578" s="133"/>
      <c r="AU4578" s="155"/>
    </row>
    <row r="4579" spans="13:47" ht="15.5" x14ac:dyDescent="0.4">
      <c r="M4579" s="27"/>
      <c r="N4579" s="27"/>
      <c r="O4579" s="2" t="s">
        <v>192</v>
      </c>
      <c r="P4579" s="85">
        <v>10</v>
      </c>
      <c r="Q4579" s="2"/>
      <c r="R4579" s="181">
        <f>F_GAMMA*R$29</f>
        <v>0.64002688015162901</v>
      </c>
      <c r="S4579" s="133"/>
      <c r="T4579" s="147"/>
      <c r="U4579" s="138">
        <f>F_GAMMA*U$29</f>
        <v>0.64016782916606918</v>
      </c>
      <c r="V4579" s="133"/>
      <c r="W4579" s="155"/>
      <c r="X4579" s="138">
        <f>F_GAMMA*X$29</f>
        <v>0.6307062319203669</v>
      </c>
      <c r="Y4579" s="133"/>
      <c r="Z4579" s="155"/>
      <c r="AA4579" s="138">
        <f>F_GAMMA*AA$29</f>
        <v>0.62217534213893466</v>
      </c>
      <c r="AB4579" s="133"/>
      <c r="AC4579" s="155"/>
      <c r="AD4579" s="138">
        <f>F_GAMMA*AD$29</f>
        <v>0.60557184969146072</v>
      </c>
      <c r="AE4579" s="133"/>
      <c r="AF4579" s="155"/>
      <c r="AG4579" s="138">
        <f>F_GAMMA*AG$29</f>
        <v>0.57289312142622573</v>
      </c>
      <c r="AH4579" s="133"/>
      <c r="AI4579" s="155"/>
      <c r="AJ4579" s="138">
        <f>F_GAMMA*AJ$29</f>
        <v>0.53590819116049981</v>
      </c>
      <c r="AK4579" s="133"/>
      <c r="AL4579" s="155"/>
      <c r="AM4579" s="138">
        <f>F_GAMMA*AM$29</f>
        <v>0.49048815926850342</v>
      </c>
      <c r="AN4579" s="133"/>
      <c r="AO4579" s="155"/>
      <c r="AP4579" s="138">
        <f>F_GAMMA*AP$29</f>
        <v>0.59352979016280105</v>
      </c>
      <c r="AQ4579" s="133"/>
      <c r="AR4579" s="155"/>
      <c r="AS4579" s="138">
        <f>F_GAMMA*AS$29</f>
        <v>0.39097221161068291</v>
      </c>
      <c r="AT4579" s="133"/>
      <c r="AU4579" s="155"/>
    </row>
    <row r="4580" spans="13:47" x14ac:dyDescent="0.25">
      <c r="M4580" s="27"/>
      <c r="N4580" s="27"/>
      <c r="O4580" s="2" t="s">
        <v>193</v>
      </c>
      <c r="P4580" s="134"/>
      <c r="Q4580" s="2"/>
      <c r="R4580" s="181">
        <f>IF(R4575&lt;R4579,R4577,R4578)</f>
        <v>39.725356509601362</v>
      </c>
      <c r="S4580" s="133"/>
      <c r="T4580" s="147"/>
      <c r="U4580" s="138" t="e">
        <f>IF(U4575&lt;U4579,U4577,U4578)</f>
        <v>#NUM!</v>
      </c>
      <c r="V4580" s="133"/>
      <c r="W4580" s="155"/>
      <c r="X4580" s="138">
        <f>IF(X4575&lt;X4579,X4577,X4578)</f>
        <v>53.639282715371564</v>
      </c>
      <c r="Y4580" s="133"/>
      <c r="Z4580" s="155"/>
      <c r="AA4580" s="138">
        <f>IF(AA4575&lt;AA4579,AA4577,AA4578)</f>
        <v>21.136230192555004</v>
      </c>
      <c r="AB4580" s="133"/>
      <c r="AC4580" s="155"/>
      <c r="AD4580" s="138">
        <f>IF(AD4575&lt;AD4579,AD4577,AD4578)</f>
        <v>12.499244203401544</v>
      </c>
      <c r="AE4580" s="133"/>
      <c r="AF4580" s="155"/>
      <c r="AG4580" s="138">
        <f>IF(AG4575&lt;AG4579,AG4577,AG4578)</f>
        <v>9.2222228313539514</v>
      </c>
      <c r="AH4580" s="133"/>
      <c r="AI4580" s="155"/>
      <c r="AJ4580" s="138">
        <f>IF(AJ4575&lt;AJ4579,AJ4577,AJ4578)</f>
        <v>7.7227504012139283</v>
      </c>
      <c r="AK4580" s="133"/>
      <c r="AL4580" s="155"/>
      <c r="AM4580" s="138">
        <f>IF(AM4575&lt;AM4579,AM4577,AM4578)</f>
        <v>7.2884547738378442</v>
      </c>
      <c r="AN4580" s="133"/>
      <c r="AO4580" s="155"/>
      <c r="AP4580" s="138">
        <f>IF(AP4575&lt;AP4579,AP4577,AP4578)</f>
        <v>6.7370025186671221</v>
      </c>
      <c r="AQ4580" s="133"/>
      <c r="AR4580" s="155"/>
      <c r="AS4580" s="138">
        <f>IF(AS4575&lt;AS4579,AS4577,AS4578)</f>
        <v>9.7656534262918697</v>
      </c>
      <c r="AT4580" s="133"/>
      <c r="AU4580" s="155"/>
    </row>
    <row r="4581" spans="13:47" ht="13" x14ac:dyDescent="0.3">
      <c r="M4581" s="28"/>
      <c r="N4581" s="28"/>
      <c r="O4581" s="9" t="s">
        <v>194</v>
      </c>
      <c r="P4581" s="1"/>
      <c r="Q4581" s="1"/>
      <c r="R4581" s="135"/>
      <c r="S4581" s="132">
        <f>IF(R4574&lt;=0,W_max,ABS(R$23-R4580))</f>
        <v>37.725356509601362</v>
      </c>
      <c r="T4581" s="151">
        <f>R4569</f>
        <v>7002.6293151586224</v>
      </c>
      <c r="U4581" s="135"/>
      <c r="V4581" s="132">
        <f>IF(U4574&lt;=0,W_max,ABS(U$23-U4580))</f>
        <v>7174</v>
      </c>
      <c r="W4581" s="151">
        <f>U4569</f>
        <v>11672.468530599903</v>
      </c>
      <c r="X4581" s="135"/>
      <c r="Y4581" s="132">
        <f>IF(X4574&lt;=0,W_max,ABS(X$23-X4580))</f>
        <v>7174</v>
      </c>
      <c r="Z4581" s="151">
        <f>X4569</f>
        <v>28867.403716211396</v>
      </c>
      <c r="AA4581" s="135"/>
      <c r="AB4581" s="132">
        <f>IF(AA4574&lt;=0,W_max,ABS(AA$23-AA4580))</f>
        <v>7174</v>
      </c>
      <c r="AC4581" s="151">
        <f>AA4569</f>
        <v>56226.334166786059</v>
      </c>
      <c r="AD4581" s="135"/>
      <c r="AE4581" s="132">
        <f>IF(AD4574&lt;=0,W_max,ABS(AD$23-AD4580))</f>
        <v>7174</v>
      </c>
      <c r="AF4581" s="151">
        <f>AD4569</f>
        <v>92471.618396324237</v>
      </c>
      <c r="AG4581" s="135"/>
      <c r="AH4581" s="132">
        <f>IF(AG4574&lt;=0,W_max,ABS(AG$23-AG4580))</f>
        <v>7174</v>
      </c>
      <c r="AI4581" s="151">
        <f>AG4569</f>
        <v>129698.56383653921</v>
      </c>
      <c r="AJ4581" s="135"/>
      <c r="AK4581" s="132">
        <f>IF(AJ4574&lt;=0,W_max,ABS(AJ$23-AJ4580))</f>
        <v>7174</v>
      </c>
      <c r="AL4581" s="151">
        <f>AJ4569</f>
        <v>164682.76036808226</v>
      </c>
      <c r="AM4581" s="135"/>
      <c r="AN4581" s="132">
        <f>IF(AM4574&lt;=0,W_max,ABS(AM$23-AM4580))</f>
        <v>7174</v>
      </c>
      <c r="AO4581" s="151">
        <f>AM4569</f>
        <v>193103.48799470009</v>
      </c>
      <c r="AP4581" s="135"/>
      <c r="AQ4581" s="132">
        <f>IF(AP4574&lt;=0,W_max,ABS(AP$23-AP4580))</f>
        <v>7174</v>
      </c>
      <c r="AR4581" s="151">
        <f>AP4569</f>
        <v>215439.4491863529</v>
      </c>
      <c r="AS4581" s="135"/>
      <c r="AT4581" s="132">
        <f>IF(AS4574&lt;=0,W_max,ABS(AS$23-AS4580))</f>
        <v>7174</v>
      </c>
      <c r="AU4581" s="151">
        <f>AS4569</f>
        <v>240358.97408022487</v>
      </c>
    </row>
    <row r="4582" spans="13:47" ht="13" x14ac:dyDescent="0.25">
      <c r="M4582" s="12"/>
      <c r="N4582" s="12"/>
      <c r="O4582" s="12"/>
      <c r="P4582" s="12"/>
      <c r="Q4582" s="12"/>
      <c r="R4582" s="182"/>
      <c r="S4582" s="22"/>
      <c r="T4582" s="152"/>
      <c r="U4582" s="157"/>
      <c r="V4582" s="1"/>
      <c r="W4582" s="147"/>
      <c r="X4582" s="157"/>
      <c r="Y4582" s="1"/>
      <c r="Z4582" s="147"/>
      <c r="AA4582" s="157"/>
      <c r="AB4582" s="1"/>
      <c r="AC4582" s="147"/>
      <c r="AD4582" s="157"/>
      <c r="AE4582" s="1"/>
      <c r="AF4582" s="147"/>
      <c r="AG4582" s="157"/>
      <c r="AH4582" s="1"/>
      <c r="AI4582" s="147"/>
      <c r="AJ4582" s="157"/>
      <c r="AK4582" s="1"/>
      <c r="AL4582" s="147"/>
      <c r="AM4582" s="157"/>
      <c r="AN4582" s="1"/>
      <c r="AO4582" s="147"/>
      <c r="AP4582" s="157"/>
      <c r="AQ4582" s="1"/>
      <c r="AR4582" s="147"/>
      <c r="AS4582" s="157"/>
      <c r="AT4582" s="1"/>
      <c r="AU4582" s="147"/>
    </row>
    <row r="4583" spans="13:47" ht="14" x14ac:dyDescent="0.3">
      <c r="M4583" s="23"/>
      <c r="N4583" s="23"/>
      <c r="O4583" s="23" t="s">
        <v>238</v>
      </c>
      <c r="P4583" s="20"/>
      <c r="Q4583" s="20"/>
      <c r="R4583" s="18">
        <f>R4569*1.02</f>
        <v>7142.681901461795</v>
      </c>
      <c r="S4583" s="128" t="s">
        <v>185</v>
      </c>
      <c r="T4583" s="153" t="s">
        <v>186</v>
      </c>
      <c r="U4583" s="143">
        <f>U4569*1.01</f>
        <v>11789.193215905902</v>
      </c>
      <c r="V4583" s="128" t="s">
        <v>185</v>
      </c>
      <c r="W4583" s="153" t="s">
        <v>186</v>
      </c>
      <c r="X4583" s="143">
        <f>X4569*1.01</f>
        <v>29156.077753373509</v>
      </c>
      <c r="Y4583" s="128" t="s">
        <v>185</v>
      </c>
      <c r="Z4583" s="153" t="s">
        <v>186</v>
      </c>
      <c r="AA4583" s="143">
        <f>AA4569*1.01</f>
        <v>56788.597508453917</v>
      </c>
      <c r="AB4583" s="128" t="s">
        <v>185</v>
      </c>
      <c r="AC4583" s="153" t="s">
        <v>186</v>
      </c>
      <c r="AD4583" s="143">
        <f>AD4569*1.01</f>
        <v>93396.334580287483</v>
      </c>
      <c r="AE4583" s="128" t="s">
        <v>185</v>
      </c>
      <c r="AF4583" s="153" t="s">
        <v>186</v>
      </c>
      <c r="AG4583" s="143">
        <f>AG4569*1.01</f>
        <v>130995.5494749046</v>
      </c>
      <c r="AH4583" s="128" t="s">
        <v>185</v>
      </c>
      <c r="AI4583" s="153" t="s">
        <v>186</v>
      </c>
      <c r="AJ4583" s="143">
        <f>AJ4569*1.01</f>
        <v>166329.5879717631</v>
      </c>
      <c r="AK4583" s="128" t="s">
        <v>185</v>
      </c>
      <c r="AL4583" s="153" t="s">
        <v>186</v>
      </c>
      <c r="AM4583" s="143">
        <f>AM4569*1.01</f>
        <v>195034.52287464708</v>
      </c>
      <c r="AN4583" s="128" t="s">
        <v>185</v>
      </c>
      <c r="AO4583" s="153" t="s">
        <v>186</v>
      </c>
      <c r="AP4583" s="143">
        <f>AP4569*1.01</f>
        <v>217593.84367821642</v>
      </c>
      <c r="AQ4583" s="128" t="s">
        <v>185</v>
      </c>
      <c r="AR4583" s="153" t="s">
        <v>186</v>
      </c>
      <c r="AS4583" s="143">
        <f>AS4569*1.01</f>
        <v>242762.56382102711</v>
      </c>
      <c r="AT4583" s="128" t="s">
        <v>185</v>
      </c>
      <c r="AU4583" s="153" t="s">
        <v>186</v>
      </c>
    </row>
    <row r="4584" spans="13:47" ht="14" x14ac:dyDescent="0.3">
      <c r="M4584" s="12"/>
      <c r="N4584" s="12"/>
      <c r="O4584" s="20"/>
      <c r="P4584" s="20"/>
      <c r="Q4584" s="23"/>
      <c r="R4584" s="139"/>
      <c r="S4584" s="130" t="s">
        <v>228</v>
      </c>
      <c r="T4584" s="154" t="s">
        <v>187</v>
      </c>
      <c r="U4584" s="144"/>
      <c r="V4584" s="130" t="s">
        <v>228</v>
      </c>
      <c r="W4584" s="154" t="s">
        <v>187</v>
      </c>
      <c r="X4584" s="144"/>
      <c r="Y4584" s="130" t="s">
        <v>228</v>
      </c>
      <c r="Z4584" s="154" t="s">
        <v>187</v>
      </c>
      <c r="AA4584" s="144"/>
      <c r="AB4584" s="130" t="s">
        <v>228</v>
      </c>
      <c r="AC4584" s="154" t="s">
        <v>187</v>
      </c>
      <c r="AD4584" s="144"/>
      <c r="AE4584" s="130" t="s">
        <v>228</v>
      </c>
      <c r="AF4584" s="154" t="s">
        <v>187</v>
      </c>
      <c r="AG4584" s="144"/>
      <c r="AH4584" s="130" t="s">
        <v>228</v>
      </c>
      <c r="AI4584" s="154" t="s">
        <v>187</v>
      </c>
      <c r="AJ4584" s="144"/>
      <c r="AK4584" s="130" t="s">
        <v>228</v>
      </c>
      <c r="AL4584" s="154" t="s">
        <v>187</v>
      </c>
      <c r="AM4584" s="144"/>
      <c r="AN4584" s="130" t="s">
        <v>228</v>
      </c>
      <c r="AO4584" s="154" t="s">
        <v>187</v>
      </c>
      <c r="AP4584" s="144"/>
      <c r="AQ4584" s="130" t="s">
        <v>228</v>
      </c>
      <c r="AR4584" s="154" t="s">
        <v>187</v>
      </c>
      <c r="AS4584" s="144"/>
      <c r="AT4584" s="130" t="s">
        <v>228</v>
      </c>
      <c r="AU4584" s="154" t="s">
        <v>187</v>
      </c>
    </row>
    <row r="4585" spans="13:47" x14ac:dyDescent="0.25">
      <c r="M4585" s="20"/>
      <c r="N4585" s="20"/>
      <c r="O4585" s="7" t="s">
        <v>188</v>
      </c>
      <c r="P4585" s="7"/>
      <c r="Q4585" s="7"/>
      <c r="R4585" s="181">
        <f>P_1_minW-(R4583^2*R_up)+dpup_minQ</f>
        <v>80.178793344900257</v>
      </c>
      <c r="S4585" s="132"/>
      <c r="T4585" s="145"/>
      <c r="U4585" s="138">
        <f>P_1_minW-(U4583^2*R_up)+dpup_minQ</f>
        <v>45.100842309826447</v>
      </c>
      <c r="V4585" s="132"/>
      <c r="W4585" s="145"/>
      <c r="X4585" s="138">
        <f>P_1_minW-(X4583^2*R_up)+dpup_minQ</f>
        <v>-238.45542711400716</v>
      </c>
      <c r="Y4585" s="132"/>
      <c r="Z4585" s="145"/>
      <c r="AA4585" s="138">
        <f>P_1_minW-(AA4583^2*R_up)+dpup_minQ</f>
        <v>-1185.4621271767453</v>
      </c>
      <c r="AB4585" s="132"/>
      <c r="AC4585" s="145"/>
      <c r="AD4585" s="138">
        <f>P_1_minW-(AD4583^2*R_up)+dpup_minQ</f>
        <v>-3377.8269928438813</v>
      </c>
      <c r="AE4585" s="132"/>
      <c r="AF4585" s="145"/>
      <c r="AG4585" s="138">
        <f>P_1_minW-(AG4583^2*R_up)+dpup_minQ</f>
        <v>-6742.1641264370028</v>
      </c>
      <c r="AH4585" s="132"/>
      <c r="AI4585" s="145"/>
      <c r="AJ4585" s="138">
        <f>P_1_minW-(AJ4583^2*R_up)+dpup_minQ</f>
        <v>-10931.435496098497</v>
      </c>
      <c r="AK4585" s="132"/>
      <c r="AL4585" s="145"/>
      <c r="AM4585" s="138">
        <f>P_1_minW-(AM4583^2*R_up)+dpup_minQ</f>
        <v>-15067.765420191492</v>
      </c>
      <c r="AN4585" s="132"/>
      <c r="AO4585" s="145"/>
      <c r="AP4585" s="138">
        <f>P_1_minW-(AP4583^2*R_up)+dpup_minQ</f>
        <v>-18779.686109699694</v>
      </c>
      <c r="AQ4585" s="132"/>
      <c r="AR4585" s="145"/>
      <c r="AS4585" s="138">
        <f>P_1_minW-(AS4583^2*R_up)+dpup_minQ</f>
        <v>-23399.972662068129</v>
      </c>
      <c r="AT4585" s="132"/>
      <c r="AU4585" s="145"/>
    </row>
    <row r="4586" spans="13:47" x14ac:dyDescent="0.25">
      <c r="M4586" s="20"/>
      <c r="N4586" s="20"/>
      <c r="O4586" s="7" t="s">
        <v>189</v>
      </c>
      <c r="P4586" s="1"/>
      <c r="Q4586" s="7"/>
      <c r="R4586" s="181">
        <f>P_2_minW+(R4583^2*R_dn)-dpdn_minQ</f>
        <v>50</v>
      </c>
      <c r="S4586" s="132"/>
      <c r="T4586" s="146"/>
      <c r="U4586" s="138">
        <f>P_2_minW+(U4583^2*R_dn)-dpdn_minQ</f>
        <v>50</v>
      </c>
      <c r="V4586" s="132"/>
      <c r="W4586" s="146"/>
      <c r="X4586" s="138">
        <f>P_2_minW+(X4583^2*R_dn)-dpdn_minQ</f>
        <v>50</v>
      </c>
      <c r="Y4586" s="132"/>
      <c r="Z4586" s="146"/>
      <c r="AA4586" s="138">
        <f>P_2_minW+(AA4583^2*R_dn)-dpdn_minQ</f>
        <v>50</v>
      </c>
      <c r="AB4586" s="132"/>
      <c r="AC4586" s="146"/>
      <c r="AD4586" s="138">
        <f>P_2_minW+(AD4583^2*R_dn)-dpdn_minQ</f>
        <v>50</v>
      </c>
      <c r="AE4586" s="132"/>
      <c r="AF4586" s="146"/>
      <c r="AG4586" s="138">
        <f>P_2_minW+(AG4583^2*R_dn)-dpdn_minQ</f>
        <v>50</v>
      </c>
      <c r="AH4586" s="132"/>
      <c r="AI4586" s="146"/>
      <c r="AJ4586" s="138">
        <f>P_2_minW+(AJ4583^2*R_dn)-dpdn_minQ</f>
        <v>50</v>
      </c>
      <c r="AK4586" s="132"/>
      <c r="AL4586" s="146"/>
      <c r="AM4586" s="138">
        <f>P_2_minW+(AM4583^2*R_dn)-dpdn_minQ</f>
        <v>50</v>
      </c>
      <c r="AN4586" s="132"/>
      <c r="AO4586" s="146"/>
      <c r="AP4586" s="138">
        <f>P_2_minW+(AP4583^2*R_dn)-dpdn_minQ</f>
        <v>50</v>
      </c>
      <c r="AQ4586" s="132"/>
      <c r="AR4586" s="146"/>
      <c r="AS4586" s="138">
        <f>P_2_minW+(AS4583^2*R_dn)-dpdn_minQ</f>
        <v>50</v>
      </c>
      <c r="AT4586" s="132"/>
      <c r="AU4586" s="146"/>
    </row>
    <row r="4587" spans="13:47" x14ac:dyDescent="0.25">
      <c r="M4587" s="20"/>
      <c r="N4587" s="20"/>
      <c r="O4587" s="7" t="s">
        <v>234</v>
      </c>
      <c r="P4587" s="1"/>
      <c r="Q4587" s="7"/>
      <c r="R4587" s="179">
        <f>'Valve Sizing'!G$8*R4585/P_1_maxW</f>
        <v>0.38676822414149609</v>
      </c>
      <c r="S4587" s="132"/>
      <c r="T4587" s="146"/>
      <c r="U4587" s="143">
        <f>'Valve Sizing'!$G$8*U4585/P_1_maxW</f>
        <v>0.21755843359254942</v>
      </c>
      <c r="V4587" s="132"/>
      <c r="W4587" s="146"/>
      <c r="X4587" s="143">
        <f>'Valve Sizing'!$G$8*X4585/P_1_maxW</f>
        <v>-1.1502665260258942</v>
      </c>
      <c r="Y4587" s="132"/>
      <c r="Z4587" s="146"/>
      <c r="AA4587" s="143">
        <f>'Valve Sizing'!$G$8*AA4585/P_1_maxW</f>
        <v>-5.7184582429776967</v>
      </c>
      <c r="AB4587" s="132"/>
      <c r="AC4587" s="146"/>
      <c r="AD4587" s="143">
        <f>'Valve Sizing'!$G$8*AD4585/P_1_maxW</f>
        <v>-16.294036028449828</v>
      </c>
      <c r="AE4587" s="132"/>
      <c r="AF4587" s="146"/>
      <c r="AG4587" s="143">
        <f>'Valve Sizing'!$G$8*AG4585/P_1_maxW</f>
        <v>-32.522999377595397</v>
      </c>
      <c r="AH4587" s="132"/>
      <c r="AI4587" s="146"/>
      <c r="AJ4587" s="143">
        <f>'Valve Sizing'!$G$8*AJ4585/P_1_maxW</f>
        <v>-52.731298611046576</v>
      </c>
      <c r="AK4587" s="132"/>
      <c r="AL4587" s="146"/>
      <c r="AM4587" s="143">
        <f>'Valve Sizing'!$G$8*AM4585/P_1_maxW</f>
        <v>-72.68421773671875</v>
      </c>
      <c r="AN4587" s="132"/>
      <c r="AO4587" s="146"/>
      <c r="AP4587" s="143">
        <f>'Valve Sizing'!$G$8*AP4585/P_1_maxW</f>
        <v>-90.589862276160801</v>
      </c>
      <c r="AQ4587" s="132"/>
      <c r="AR4587" s="146"/>
      <c r="AS4587" s="143">
        <f>'Valve Sizing'!$G$8*AS4585/P_1_maxW</f>
        <v>-112.87730201346679</v>
      </c>
      <c r="AT4587" s="132"/>
      <c r="AU4587" s="146"/>
    </row>
    <row r="4588" spans="13:47" x14ac:dyDescent="0.25">
      <c r="M4588" s="20"/>
      <c r="N4588" s="20"/>
      <c r="O4588" s="7" t="s">
        <v>190</v>
      </c>
      <c r="P4588" s="1"/>
      <c r="Q4588" s="7"/>
      <c r="R4588" s="181">
        <f>R4585-R4586</f>
        <v>30.178793344900257</v>
      </c>
      <c r="S4588" s="132"/>
      <c r="T4588" s="146"/>
      <c r="U4588" s="138">
        <f>U4585-U4586</f>
        <v>-4.8991576901735527</v>
      </c>
      <c r="V4588" s="132"/>
      <c r="W4588" s="146"/>
      <c r="X4588" s="138">
        <f>X4585-X4586</f>
        <v>-288.45542711400719</v>
      </c>
      <c r="Y4588" s="132"/>
      <c r="Z4588" s="146"/>
      <c r="AA4588" s="138">
        <f>AA4585-AA4586</f>
        <v>-1235.4621271767453</v>
      </c>
      <c r="AB4588" s="132"/>
      <c r="AC4588" s="146"/>
      <c r="AD4588" s="138">
        <f>AD4585-AD4586</f>
        <v>-3427.8269928438813</v>
      </c>
      <c r="AE4588" s="132"/>
      <c r="AF4588" s="146"/>
      <c r="AG4588" s="138">
        <f>AG4585-AG4586</f>
        <v>-6792.1641264370028</v>
      </c>
      <c r="AH4588" s="132"/>
      <c r="AI4588" s="146"/>
      <c r="AJ4588" s="138">
        <f>AJ4585-AJ4586</f>
        <v>-10981.435496098497</v>
      </c>
      <c r="AK4588" s="132"/>
      <c r="AL4588" s="146"/>
      <c r="AM4588" s="138">
        <f>AM4585-AM4586</f>
        <v>-15117.765420191492</v>
      </c>
      <c r="AN4588" s="132"/>
      <c r="AO4588" s="146"/>
      <c r="AP4588" s="138">
        <f>AP4585-AP4586</f>
        <v>-18829.686109699694</v>
      </c>
      <c r="AQ4588" s="132"/>
      <c r="AR4588" s="146"/>
      <c r="AS4588" s="138">
        <f>AS4585-AS4586</f>
        <v>-23449.972662068129</v>
      </c>
      <c r="AT4588" s="132"/>
      <c r="AU4588" s="146"/>
    </row>
    <row r="4589" spans="13:47" ht="14.5" x14ac:dyDescent="0.35">
      <c r="M4589" s="27"/>
      <c r="N4589" s="27"/>
      <c r="O4589" s="2" t="s">
        <v>191</v>
      </c>
      <c r="P4589" s="10"/>
      <c r="Q4589" s="2"/>
      <c r="R4589" s="181">
        <f>R4588/R4585</f>
        <v>0.3763937081851802</v>
      </c>
      <c r="S4589" s="132"/>
      <c r="T4589" s="146"/>
      <c r="U4589" s="138">
        <f>U4588/U4585</f>
        <v>-0.10862674485141795</v>
      </c>
      <c r="V4589" s="132"/>
      <c r="W4589" s="146"/>
      <c r="X4589" s="138">
        <f>X4588/X4585</f>
        <v>1.2096827931540208</v>
      </c>
      <c r="Y4589" s="132"/>
      <c r="Z4589" s="146"/>
      <c r="AA4589" s="138">
        <f>AA4588/AA4585</f>
        <v>1.0421776443580515</v>
      </c>
      <c r="AB4589" s="132"/>
      <c r="AC4589" s="146"/>
      <c r="AD4589" s="138">
        <f>AD4588/AD4585</f>
        <v>1.0148024159040494</v>
      </c>
      <c r="AE4589" s="132"/>
      <c r="AF4589" s="146"/>
      <c r="AG4589" s="138">
        <f>AG4588/AG4585</f>
        <v>1.0074160164395796</v>
      </c>
      <c r="AH4589" s="132"/>
      <c r="AI4589" s="146"/>
      <c r="AJ4589" s="138">
        <f>AJ4588/AJ4585</f>
        <v>1.0045739646927292</v>
      </c>
      <c r="AK4589" s="132"/>
      <c r="AL4589" s="146"/>
      <c r="AM4589" s="138">
        <f>AM4588/AM4585</f>
        <v>1.0033183420769876</v>
      </c>
      <c r="AN4589" s="132"/>
      <c r="AO4589" s="146"/>
      <c r="AP4589" s="138">
        <f>AP4588/AP4585</f>
        <v>1.0026624513161684</v>
      </c>
      <c r="AQ4589" s="132"/>
      <c r="AR4589" s="146"/>
      <c r="AS4589" s="138">
        <f>AS4588/AS4585</f>
        <v>1.0021367546330964</v>
      </c>
      <c r="AT4589" s="132"/>
      <c r="AU4589" s="146"/>
    </row>
    <row r="4590" spans="13:47" x14ac:dyDescent="0.25">
      <c r="M4590" s="27"/>
      <c r="N4590" s="27"/>
      <c r="O4590" s="2" t="s">
        <v>26</v>
      </c>
      <c r="P4590" s="7">
        <v>12</v>
      </c>
      <c r="Q4590" s="2"/>
      <c r="R4590" s="181">
        <f>1-R4589/(3*F_GAMMA*R$29)</f>
        <v>0.80396984363322954</v>
      </c>
      <c r="S4590" s="133"/>
      <c r="T4590" s="146"/>
      <c r="U4590" s="138">
        <f>1-U4589/(3*F_GAMMA*U$29)</f>
        <v>1.0565615972887001</v>
      </c>
      <c r="V4590" s="133"/>
      <c r="W4590" s="146"/>
      <c r="X4590" s="138">
        <f>1-X4589/(3*F_GAMMA*X$29)</f>
        <v>0.36067288174676138</v>
      </c>
      <c r="Y4590" s="133"/>
      <c r="Z4590" s="146"/>
      <c r="AA4590" s="138">
        <f>1-AA4589/(3*F_GAMMA*AA$29)</f>
        <v>0.44164847979176891</v>
      </c>
      <c r="AB4590" s="133"/>
      <c r="AC4590" s="146"/>
      <c r="AD4590" s="138">
        <f>1-AD4589/(3*F_GAMMA*AD$29)</f>
        <v>0.44140819600454684</v>
      </c>
      <c r="AE4590" s="133"/>
      <c r="AF4590" s="146"/>
      <c r="AG4590" s="138">
        <f>1-AG4589/(3*F_GAMMA*AG$29)</f>
        <v>0.41384295559841788</v>
      </c>
      <c r="AH4590" s="133"/>
      <c r="AI4590" s="146"/>
      <c r="AJ4590" s="138">
        <f>1-AJ4589/(3*F_GAMMA*AJ$29)</f>
        <v>0.37515792116224123</v>
      </c>
      <c r="AK4590" s="133"/>
      <c r="AL4590" s="146"/>
      <c r="AM4590" s="138">
        <f>1-AM4589/(3*F_GAMMA*AM$29)</f>
        <v>0.31814980435457008</v>
      </c>
      <c r="AN4590" s="133"/>
      <c r="AO4590" s="146"/>
      <c r="AP4590" s="138">
        <f>1-AP4589/(3*F_GAMMA*AP$29)</f>
        <v>0.43689293672400997</v>
      </c>
      <c r="AQ4590" s="133"/>
      <c r="AR4590" s="146"/>
      <c r="AS4590" s="138">
        <f>1-AS4589/(3*F_GAMMA*AS$29)</f>
        <v>0.14560274373072268</v>
      </c>
      <c r="AT4590" s="133"/>
      <c r="AU4590" s="146"/>
    </row>
    <row r="4591" spans="13:47" x14ac:dyDescent="0.25">
      <c r="M4591" s="27"/>
      <c r="N4591" s="27"/>
      <c r="O4591" s="2" t="s">
        <v>71</v>
      </c>
      <c r="P4591" s="85">
        <v>5</v>
      </c>
      <c r="Q4591" s="2"/>
      <c r="R4591" s="179">
        <f>R4583/((N_6*R$27*R4590)*SQRT(R4589*R4585*R4587))</f>
        <v>41.085915742376699</v>
      </c>
      <c r="S4591" s="133"/>
      <c r="T4591" s="146"/>
      <c r="U4591" s="143" t="e">
        <f>U4583/((N_6*U$27*U4590)*SQRT(U4589*U4585*U4587))</f>
        <v>#NUM!</v>
      </c>
      <c r="V4591" s="133"/>
      <c r="W4591" s="146"/>
      <c r="X4591" s="143">
        <f>X4583/((N_6*X$27*X4590)*SQRT(X4589*X4585*X4587))</f>
        <v>70.316322325999323</v>
      </c>
      <c r="Y4591" s="133"/>
      <c r="Z4591" s="146"/>
      <c r="AA4591" s="143">
        <f>AA4583/((N_6*AA$27*AA4590)*SQRT(AA4589*AA4585*AA4587))</f>
        <v>24.378104041783061</v>
      </c>
      <c r="AB4591" s="133"/>
      <c r="AC4591" s="146"/>
      <c r="AD4591" s="143">
        <f>AD4583/((N_6*AD$27*AD4590)*SQRT(AD4589*AD4585*AD4587))</f>
        <v>14.437102993905143</v>
      </c>
      <c r="AE4591" s="133"/>
      <c r="AF4591" s="146"/>
      <c r="AG4591" s="143">
        <f>AG4583/((N_6*AG$27*AG4590)*SQRT(AG4589*AG4585*AG4587))</f>
        <v>11.094473906394457</v>
      </c>
      <c r="AH4591" s="133"/>
      <c r="AI4591" s="146"/>
      <c r="AJ4591" s="143">
        <f>AJ4583/((N_6*AJ$27*AJ4590)*SQRT(AJ4589*AJ4585*AJ4587))</f>
        <v>9.9274177236426997</v>
      </c>
      <c r="AK4591" s="133"/>
      <c r="AL4591" s="146"/>
      <c r="AM4591" s="143">
        <f>AM4583/((N_6*AM$27*AM4590)*SQRT(AM4589*AM4585*AM4587))</f>
        <v>10.576571515050043</v>
      </c>
      <c r="AN4591" s="133"/>
      <c r="AO4591" s="146"/>
      <c r="AP4591" s="143">
        <f>AP4583/((N_6*AP$27*AP4590)*SQRT(AP4589*AP4585*AP4587))</f>
        <v>7.8341756249306904</v>
      </c>
      <c r="AQ4591" s="133"/>
      <c r="AR4591" s="146"/>
      <c r="AS4591" s="143">
        <f>AS4583/((N_6*AS$27*AS4590)*SQRT(AS4589*AS4585*AS4587))</f>
        <v>27.663565674069336</v>
      </c>
      <c r="AT4591" s="133"/>
      <c r="AU4591" s="146"/>
    </row>
    <row r="4592" spans="13:47" x14ac:dyDescent="0.25">
      <c r="M4592" s="27"/>
      <c r="N4592" s="27"/>
      <c r="O4592" s="2" t="s">
        <v>73</v>
      </c>
      <c r="P4592" s="85">
        <v>5</v>
      </c>
      <c r="Q4592" s="2"/>
      <c r="R4592" s="179">
        <f>R4583/((N_6*R$27*0.667)*SQRT(R4593*R4585*R4587))</f>
        <v>37.977726866677827</v>
      </c>
      <c r="S4592" s="133"/>
      <c r="T4592" s="155"/>
      <c r="U4592" s="143">
        <f>U4583/((N_6*U$27*0.667)*SQRT(U4593*U4585*U4587))</f>
        <v>111.49329578641309</v>
      </c>
      <c r="V4592" s="133"/>
      <c r="W4592" s="155"/>
      <c r="X4592" s="143">
        <f>X4583/((N_6*X$27*0.667)*SQRT(X4593*X4585*X4587))</f>
        <v>52.658198179902165</v>
      </c>
      <c r="Y4592" s="133"/>
      <c r="Z4592" s="155"/>
      <c r="AA4592" s="143">
        <f>AA4583/((N_6*AA$27*0.667)*SQRT(AA4593*AA4585*AA4587))</f>
        <v>20.891292562723173</v>
      </c>
      <c r="AB4592" s="133"/>
      <c r="AC4592" s="155"/>
      <c r="AD4592" s="143">
        <f>AD4583/((N_6*AD$27*0.667)*SQRT(AD4593*AD4585*AD4587))</f>
        <v>12.368086688620695</v>
      </c>
      <c r="AE4592" s="133"/>
      <c r="AF4592" s="155"/>
      <c r="AG4592" s="143">
        <f>AG4583/((N_6*AG$27*0.667)*SQRT(AG4593*AG4585*AG4587))</f>
        <v>9.128177320162159</v>
      </c>
      <c r="AH4592" s="133"/>
      <c r="AI4592" s="155"/>
      <c r="AJ4592" s="143">
        <f>AJ4583/((N_6*AJ$27*0.667)*SQRT(AJ4593*AJ4585*AJ4587))</f>
        <v>7.6448742271040588</v>
      </c>
      <c r="AK4592" s="133"/>
      <c r="AL4592" s="155"/>
      <c r="AM4592" s="143">
        <f>AM4583/((N_6*AM$27*0.667)*SQRT(AM4593*AM4585*AM4587))</f>
        <v>7.2153241885398547</v>
      </c>
      <c r="AN4592" s="133"/>
      <c r="AO4592" s="155"/>
      <c r="AP4592" s="143">
        <f>AP4583/((N_6*AP$27*0.667)*SQRT(AP4593*AP4585*AP4587))</f>
        <v>6.6695818653441439</v>
      </c>
      <c r="AQ4592" s="133"/>
      <c r="AR4592" s="155"/>
      <c r="AS4592" s="143">
        <f>AS4583/((N_6*AS$27*0.667)*SQRT(AS4593*AS4585*AS4587))</f>
        <v>9.6681289062864355</v>
      </c>
      <c r="AT4592" s="133"/>
      <c r="AU4592" s="155"/>
    </row>
    <row r="4593" spans="13:47" ht="15.5" x14ac:dyDescent="0.4">
      <c r="M4593" s="27"/>
      <c r="N4593" s="27"/>
      <c r="O4593" s="2" t="s">
        <v>192</v>
      </c>
      <c r="P4593" s="85">
        <v>10</v>
      </c>
      <c r="Q4593" s="2"/>
      <c r="R4593" s="181">
        <f>F_GAMMA*R$29</f>
        <v>0.64002688015162901</v>
      </c>
      <c r="S4593" s="133"/>
      <c r="T4593" s="155"/>
      <c r="U4593" s="138">
        <f>F_GAMMA*U$29</f>
        <v>0.64016782916606918</v>
      </c>
      <c r="V4593" s="133"/>
      <c r="W4593" s="155"/>
      <c r="X4593" s="138">
        <f>F_GAMMA*X$29</f>
        <v>0.6307062319203669</v>
      </c>
      <c r="Y4593" s="133"/>
      <c r="Z4593" s="155"/>
      <c r="AA4593" s="138">
        <f>F_GAMMA*AA$29</f>
        <v>0.62217534213893466</v>
      </c>
      <c r="AB4593" s="133"/>
      <c r="AC4593" s="155"/>
      <c r="AD4593" s="138">
        <f>F_GAMMA*AD$29</f>
        <v>0.60557184969146072</v>
      </c>
      <c r="AE4593" s="133"/>
      <c r="AF4593" s="155"/>
      <c r="AG4593" s="138">
        <f>F_GAMMA*AG$29</f>
        <v>0.57289312142622573</v>
      </c>
      <c r="AH4593" s="133"/>
      <c r="AI4593" s="155"/>
      <c r="AJ4593" s="138">
        <f>F_GAMMA*AJ$29</f>
        <v>0.53590819116049981</v>
      </c>
      <c r="AK4593" s="133"/>
      <c r="AL4593" s="155"/>
      <c r="AM4593" s="138">
        <f>F_GAMMA*AM$29</f>
        <v>0.49048815926850342</v>
      </c>
      <c r="AN4593" s="133"/>
      <c r="AO4593" s="155"/>
      <c r="AP4593" s="138">
        <f>F_GAMMA*AP$29</f>
        <v>0.59352979016280105</v>
      </c>
      <c r="AQ4593" s="133"/>
      <c r="AR4593" s="155"/>
      <c r="AS4593" s="138">
        <f>F_GAMMA*AS$29</f>
        <v>0.39097221161068291</v>
      </c>
      <c r="AT4593" s="133"/>
      <c r="AU4593" s="155"/>
    </row>
    <row r="4594" spans="13:47" x14ac:dyDescent="0.25">
      <c r="M4594" s="27"/>
      <c r="N4594" s="27"/>
      <c r="O4594" s="2" t="s">
        <v>193</v>
      </c>
      <c r="P4594" s="134"/>
      <c r="Q4594" s="2"/>
      <c r="R4594" s="181">
        <f>IF(R4589&lt;R4593,R4591,R4592)</f>
        <v>41.085915742376699</v>
      </c>
      <c r="S4594" s="133"/>
      <c r="T4594" s="155"/>
      <c r="U4594" s="138" t="e">
        <f>IF(U4589&lt;U4593,U4591,U4592)</f>
        <v>#NUM!</v>
      </c>
      <c r="V4594" s="133"/>
      <c r="W4594" s="155"/>
      <c r="X4594" s="138">
        <f>IF(X4589&lt;X4593,X4591,X4592)</f>
        <v>52.658198179902165</v>
      </c>
      <c r="Y4594" s="133"/>
      <c r="Z4594" s="155"/>
      <c r="AA4594" s="138">
        <f>IF(AA4589&lt;AA4593,AA4591,AA4592)</f>
        <v>20.891292562723173</v>
      </c>
      <c r="AB4594" s="133"/>
      <c r="AC4594" s="155"/>
      <c r="AD4594" s="138">
        <f>IF(AD4589&lt;AD4593,AD4591,AD4592)</f>
        <v>12.368086688620695</v>
      </c>
      <c r="AE4594" s="133"/>
      <c r="AF4594" s="155"/>
      <c r="AG4594" s="138">
        <f>IF(AG4589&lt;AG4593,AG4591,AG4592)</f>
        <v>9.128177320162159</v>
      </c>
      <c r="AH4594" s="133"/>
      <c r="AI4594" s="155"/>
      <c r="AJ4594" s="138">
        <f>IF(AJ4589&lt;AJ4593,AJ4591,AJ4592)</f>
        <v>7.6448742271040588</v>
      </c>
      <c r="AK4594" s="133"/>
      <c r="AL4594" s="155"/>
      <c r="AM4594" s="138">
        <f>IF(AM4589&lt;AM4593,AM4591,AM4592)</f>
        <v>7.2153241885398547</v>
      </c>
      <c r="AN4594" s="133"/>
      <c r="AO4594" s="155"/>
      <c r="AP4594" s="138">
        <f>IF(AP4589&lt;AP4593,AP4591,AP4592)</f>
        <v>6.6695818653441439</v>
      </c>
      <c r="AQ4594" s="133"/>
      <c r="AR4594" s="155"/>
      <c r="AS4594" s="138">
        <f>IF(AS4589&lt;AS4593,AS4591,AS4592)</f>
        <v>9.6681289062864355</v>
      </c>
      <c r="AT4594" s="133"/>
      <c r="AU4594" s="155"/>
    </row>
    <row r="4595" spans="13:47" ht="13" x14ac:dyDescent="0.3">
      <c r="M4595" s="28"/>
      <c r="N4595" s="28"/>
      <c r="O4595" s="9" t="s">
        <v>194</v>
      </c>
      <c r="P4595" s="1"/>
      <c r="Q4595" s="1"/>
      <c r="R4595" s="135"/>
      <c r="S4595" s="132">
        <f>IF(R4588&lt;=0,W_max,ABS(R$23-R4594))</f>
        <v>39.085915742376699</v>
      </c>
      <c r="T4595" s="151">
        <f>R4583</f>
        <v>7142.681901461795</v>
      </c>
      <c r="U4595" s="135"/>
      <c r="V4595" s="132">
        <f>IF(U4588&lt;=0,W_max,ABS(U$23-U4594))</f>
        <v>7174</v>
      </c>
      <c r="W4595" s="151">
        <f>U4583</f>
        <v>11789.193215905902</v>
      </c>
      <c r="X4595" s="135"/>
      <c r="Y4595" s="132">
        <f>IF(X4588&lt;=0,W_max,ABS(X$23-X4594))</f>
        <v>7174</v>
      </c>
      <c r="Z4595" s="151">
        <f>X4583</f>
        <v>29156.077753373509</v>
      </c>
      <c r="AA4595" s="135"/>
      <c r="AB4595" s="132">
        <f>IF(AA4588&lt;=0,W_max,ABS(AA$23-AA4594))</f>
        <v>7174</v>
      </c>
      <c r="AC4595" s="151">
        <f>AA4583</f>
        <v>56788.597508453917</v>
      </c>
      <c r="AD4595" s="135"/>
      <c r="AE4595" s="132">
        <f>IF(AD4588&lt;=0,W_max,ABS(AD$23-AD4594))</f>
        <v>7174</v>
      </c>
      <c r="AF4595" s="151">
        <f>AD4583</f>
        <v>93396.334580287483</v>
      </c>
      <c r="AG4595" s="135"/>
      <c r="AH4595" s="132">
        <f>IF(AG4588&lt;=0,W_max,ABS(AG$23-AG4594))</f>
        <v>7174</v>
      </c>
      <c r="AI4595" s="151">
        <f>AG4583</f>
        <v>130995.5494749046</v>
      </c>
      <c r="AJ4595" s="135"/>
      <c r="AK4595" s="132">
        <f>IF(AJ4588&lt;=0,W_max,ABS(AJ$23-AJ4594))</f>
        <v>7174</v>
      </c>
      <c r="AL4595" s="151">
        <f>AJ4583</f>
        <v>166329.5879717631</v>
      </c>
      <c r="AM4595" s="135"/>
      <c r="AN4595" s="132">
        <f>IF(AM4588&lt;=0,W_max,ABS(AM$23-AM4594))</f>
        <v>7174</v>
      </c>
      <c r="AO4595" s="151">
        <f>AM4583</f>
        <v>195034.52287464708</v>
      </c>
      <c r="AP4595" s="135"/>
      <c r="AQ4595" s="132">
        <f>IF(AP4588&lt;=0,W_max,ABS(AP$23-AP4594))</f>
        <v>7174</v>
      </c>
      <c r="AR4595" s="151">
        <f>AP4583</f>
        <v>217593.84367821642</v>
      </c>
      <c r="AS4595" s="135"/>
      <c r="AT4595" s="132">
        <f>IF(AS4588&lt;=0,W_max,ABS(AS$23-AS4594))</f>
        <v>7174</v>
      </c>
      <c r="AU4595" s="151">
        <f>AS4583</f>
        <v>242762.56382102711</v>
      </c>
    </row>
    <row r="4596" spans="13:47" ht="13" x14ac:dyDescent="0.25">
      <c r="M4596" s="12"/>
      <c r="N4596" s="12"/>
      <c r="O4596" s="2"/>
      <c r="P4596" s="85"/>
      <c r="Q4596" s="2"/>
      <c r="R4596" s="18"/>
      <c r="S4596" s="150"/>
      <c r="T4596" s="152"/>
      <c r="U4596" s="157"/>
      <c r="V4596" s="1"/>
      <c r="W4596" s="147"/>
      <c r="X4596" s="157"/>
      <c r="Y4596" s="1"/>
      <c r="Z4596" s="147"/>
      <c r="AA4596" s="157"/>
      <c r="AB4596" s="1"/>
      <c r="AC4596" s="147"/>
      <c r="AD4596" s="157"/>
      <c r="AE4596" s="1"/>
      <c r="AF4596" s="147"/>
      <c r="AG4596" s="157"/>
      <c r="AH4596" s="1"/>
      <c r="AI4596" s="147"/>
      <c r="AJ4596" s="157"/>
      <c r="AK4596" s="1"/>
      <c r="AL4596" s="147"/>
      <c r="AM4596" s="157"/>
      <c r="AN4596" s="1"/>
      <c r="AO4596" s="147"/>
      <c r="AP4596" s="157"/>
      <c r="AQ4596" s="1"/>
      <c r="AR4596" s="147"/>
      <c r="AS4596" s="157"/>
      <c r="AT4596" s="1"/>
      <c r="AU4596" s="147"/>
    </row>
    <row r="4597" spans="13:47" ht="14" x14ac:dyDescent="0.3">
      <c r="M4597" s="23"/>
      <c r="N4597" s="23"/>
      <c r="O4597" s="23" t="s">
        <v>238</v>
      </c>
      <c r="P4597" s="20"/>
      <c r="Q4597" s="20"/>
      <c r="R4597" s="181">
        <f>R4583*1.02</f>
        <v>7285.5355394910312</v>
      </c>
      <c r="S4597" s="128" t="s">
        <v>185</v>
      </c>
      <c r="T4597" s="153" t="s">
        <v>186</v>
      </c>
      <c r="U4597" s="143">
        <f>U4583*1.01</f>
        <v>11907.08514806496</v>
      </c>
      <c r="V4597" s="128" t="s">
        <v>185</v>
      </c>
      <c r="W4597" s="153" t="s">
        <v>186</v>
      </c>
      <c r="X4597" s="143">
        <f>X4583*1.01</f>
        <v>29447.638530907243</v>
      </c>
      <c r="Y4597" s="128" t="s">
        <v>185</v>
      </c>
      <c r="Z4597" s="153" t="s">
        <v>186</v>
      </c>
      <c r="AA4597" s="143">
        <f>AA4583*1.01</f>
        <v>57356.483483538454</v>
      </c>
      <c r="AB4597" s="128" t="s">
        <v>185</v>
      </c>
      <c r="AC4597" s="153" t="s">
        <v>186</v>
      </c>
      <c r="AD4597" s="143">
        <f>AD4583*1.01</f>
        <v>94330.297926090352</v>
      </c>
      <c r="AE4597" s="128" t="s">
        <v>185</v>
      </c>
      <c r="AF4597" s="153" t="s">
        <v>186</v>
      </c>
      <c r="AG4597" s="143">
        <f>AG4583*1.01</f>
        <v>132305.50496965364</v>
      </c>
      <c r="AH4597" s="128" t="s">
        <v>185</v>
      </c>
      <c r="AI4597" s="153" t="s">
        <v>186</v>
      </c>
      <c r="AJ4597" s="143">
        <f>AJ4583*1.01</f>
        <v>167992.88385148073</v>
      </c>
      <c r="AK4597" s="128" t="s">
        <v>185</v>
      </c>
      <c r="AL4597" s="153" t="s">
        <v>186</v>
      </c>
      <c r="AM4597" s="143">
        <f>AM4583*1.01</f>
        <v>196984.86810339356</v>
      </c>
      <c r="AN4597" s="128" t="s">
        <v>185</v>
      </c>
      <c r="AO4597" s="153" t="s">
        <v>186</v>
      </c>
      <c r="AP4597" s="143">
        <f>AP4583*1.01</f>
        <v>219769.78211499858</v>
      </c>
      <c r="AQ4597" s="128" t="s">
        <v>185</v>
      </c>
      <c r="AR4597" s="153" t="s">
        <v>186</v>
      </c>
      <c r="AS4597" s="143">
        <f>AS4583*1.01</f>
        <v>245190.18945923739</v>
      </c>
      <c r="AT4597" s="128" t="s">
        <v>185</v>
      </c>
      <c r="AU4597" s="153" t="s">
        <v>186</v>
      </c>
    </row>
    <row r="4598" spans="13:47" ht="14" x14ac:dyDescent="0.3">
      <c r="M4598" s="12"/>
      <c r="N4598" s="12"/>
      <c r="O4598" s="20"/>
      <c r="P4598" s="20"/>
      <c r="Q4598" s="23"/>
      <c r="R4598" s="139"/>
      <c r="S4598" s="130" t="s">
        <v>228</v>
      </c>
      <c r="T4598" s="154" t="s">
        <v>187</v>
      </c>
      <c r="U4598" s="144"/>
      <c r="V4598" s="130" t="s">
        <v>228</v>
      </c>
      <c r="W4598" s="154" t="s">
        <v>187</v>
      </c>
      <c r="X4598" s="144"/>
      <c r="Y4598" s="130" t="s">
        <v>228</v>
      </c>
      <c r="Z4598" s="154" t="s">
        <v>187</v>
      </c>
      <c r="AA4598" s="144"/>
      <c r="AB4598" s="130" t="s">
        <v>228</v>
      </c>
      <c r="AC4598" s="154" t="s">
        <v>187</v>
      </c>
      <c r="AD4598" s="144"/>
      <c r="AE4598" s="130" t="s">
        <v>228</v>
      </c>
      <c r="AF4598" s="154" t="s">
        <v>187</v>
      </c>
      <c r="AG4598" s="144"/>
      <c r="AH4598" s="130" t="s">
        <v>228</v>
      </c>
      <c r="AI4598" s="154" t="s">
        <v>187</v>
      </c>
      <c r="AJ4598" s="144"/>
      <c r="AK4598" s="130" t="s">
        <v>228</v>
      </c>
      <c r="AL4598" s="154" t="s">
        <v>187</v>
      </c>
      <c r="AM4598" s="144"/>
      <c r="AN4598" s="130" t="s">
        <v>228</v>
      </c>
      <c r="AO4598" s="154" t="s">
        <v>187</v>
      </c>
      <c r="AP4598" s="144"/>
      <c r="AQ4598" s="130" t="s">
        <v>228</v>
      </c>
      <c r="AR4598" s="154" t="s">
        <v>187</v>
      </c>
      <c r="AS4598" s="144"/>
      <c r="AT4598" s="130" t="s">
        <v>228</v>
      </c>
      <c r="AU4598" s="154" t="s">
        <v>187</v>
      </c>
    </row>
    <row r="4599" spans="13:47" x14ac:dyDescent="0.25">
      <c r="M4599" s="20"/>
      <c r="N4599" s="20"/>
      <c r="O4599" s="7" t="s">
        <v>188</v>
      </c>
      <c r="P4599" s="7"/>
      <c r="Q4599" s="7"/>
      <c r="R4599" s="181">
        <f>P_1_minW-(R4597^2*R_up)+dpup_minQ</f>
        <v>79.356896011870475</v>
      </c>
      <c r="S4599" s="132"/>
      <c r="T4599" s="145"/>
      <c r="U4599" s="138">
        <f>P_1_minW-(U4597^2*R_up)+dpup_minQ</f>
        <v>43.986861226845761</v>
      </c>
      <c r="V4599" s="132"/>
      <c r="W4599" s="145"/>
      <c r="X4599" s="138">
        <f>P_1_minW-(X4597^2*R_up)+dpup_minQ</f>
        <v>-245.26888921240689</v>
      </c>
      <c r="Y4599" s="132"/>
      <c r="Z4599" s="145"/>
      <c r="AA4599" s="138">
        <f>P_1_minW-(AA4597^2*R_up)+dpup_minQ</f>
        <v>-1211.3104239464058</v>
      </c>
      <c r="AB4599" s="132"/>
      <c r="AC4599" s="145"/>
      <c r="AD4599" s="138">
        <f>P_1_minW-(AD4597^2*R_up)+dpup_minQ</f>
        <v>-3447.7418234134516</v>
      </c>
      <c r="AE4599" s="132"/>
      <c r="AF4599" s="145"/>
      <c r="AG4599" s="138">
        <f>P_1_minW-(AG4597^2*R_up)+dpup_minQ</f>
        <v>-6879.7021333917937</v>
      </c>
      <c r="AH4599" s="132"/>
      <c r="AI4599" s="145"/>
      <c r="AJ4599" s="138">
        <f>P_1_minW-(AJ4597^2*R_up)+dpup_minQ</f>
        <v>-11153.177857583485</v>
      </c>
      <c r="AK4599" s="132"/>
      <c r="AL4599" s="145"/>
      <c r="AM4599" s="138">
        <f>P_1_minW-(AM4597^2*R_up)+dpup_minQ</f>
        <v>-15372.648013150751</v>
      </c>
      <c r="AN4599" s="132"/>
      <c r="AO4599" s="145"/>
      <c r="AP4599" s="138">
        <f>P_1_minW-(AP4597^2*R_up)+dpup_minQ</f>
        <v>-19159.178308518065</v>
      </c>
      <c r="AQ4599" s="132"/>
      <c r="AR4599" s="145"/>
      <c r="AS4599" s="138">
        <f>P_1_minW-(AS4597^2*R_up)+dpup_minQ</f>
        <v>-23872.332620589106</v>
      </c>
      <c r="AT4599" s="132"/>
      <c r="AU4599" s="145"/>
    </row>
    <row r="4600" spans="13:47" x14ac:dyDescent="0.25">
      <c r="M4600" s="20"/>
      <c r="N4600" s="20"/>
      <c r="O4600" s="7" t="s">
        <v>189</v>
      </c>
      <c r="P4600" s="1"/>
      <c r="Q4600" s="7"/>
      <c r="R4600" s="181">
        <f>P_2_minW+(R4597^2*R_dn)-dpdn_minQ</f>
        <v>50</v>
      </c>
      <c r="S4600" s="132"/>
      <c r="T4600" s="146"/>
      <c r="U4600" s="138">
        <f>P_2_minW+(U4597^2*R_dn)-dpdn_minQ</f>
        <v>50</v>
      </c>
      <c r="V4600" s="132"/>
      <c r="W4600" s="146"/>
      <c r="X4600" s="138">
        <f>P_2_minW+(X4597^2*R_dn)-dpdn_minQ</f>
        <v>50</v>
      </c>
      <c r="Y4600" s="132"/>
      <c r="Z4600" s="146"/>
      <c r="AA4600" s="138">
        <f>P_2_minW+(AA4597^2*R_dn)-dpdn_minQ</f>
        <v>50</v>
      </c>
      <c r="AB4600" s="132"/>
      <c r="AC4600" s="146"/>
      <c r="AD4600" s="138">
        <f>P_2_minW+(AD4597^2*R_dn)-dpdn_minQ</f>
        <v>50</v>
      </c>
      <c r="AE4600" s="132"/>
      <c r="AF4600" s="146"/>
      <c r="AG4600" s="138">
        <f>P_2_minW+(AG4597^2*R_dn)-dpdn_minQ</f>
        <v>50</v>
      </c>
      <c r="AH4600" s="132"/>
      <c r="AI4600" s="146"/>
      <c r="AJ4600" s="138">
        <f>P_2_minW+(AJ4597^2*R_dn)-dpdn_minQ</f>
        <v>50</v>
      </c>
      <c r="AK4600" s="132"/>
      <c r="AL4600" s="146"/>
      <c r="AM4600" s="138">
        <f>P_2_minW+(AM4597^2*R_dn)-dpdn_minQ</f>
        <v>50</v>
      </c>
      <c r="AN4600" s="132"/>
      <c r="AO4600" s="146"/>
      <c r="AP4600" s="138">
        <f>P_2_minW+(AP4597^2*R_dn)-dpdn_minQ</f>
        <v>50</v>
      </c>
      <c r="AQ4600" s="132"/>
      <c r="AR4600" s="146"/>
      <c r="AS4600" s="138">
        <f>P_2_minW+(AS4597^2*R_dn)-dpdn_minQ</f>
        <v>50</v>
      </c>
      <c r="AT4600" s="132"/>
      <c r="AU4600" s="146"/>
    </row>
    <row r="4601" spans="13:47" x14ac:dyDescent="0.25">
      <c r="M4601" s="20"/>
      <c r="N4601" s="20"/>
      <c r="O4601" s="7" t="s">
        <v>234</v>
      </c>
      <c r="P4601" s="1"/>
      <c r="Q4601" s="7"/>
      <c r="R4601" s="179">
        <f>'Valve Sizing'!G$8*R4599/P_1_maxW</f>
        <v>0.3828035377367614</v>
      </c>
      <c r="S4601" s="132"/>
      <c r="T4601" s="146"/>
      <c r="U4601" s="143">
        <f>'Valve Sizing'!$G$8*U4599/P_1_maxW</f>
        <v>0.21218478718035799</v>
      </c>
      <c r="V4601" s="132"/>
      <c r="W4601" s="146"/>
      <c r="X4601" s="143">
        <f>'Valve Sizing'!$G$8*X4599/P_1_maxW</f>
        <v>-1.1831334541264162</v>
      </c>
      <c r="Y4601" s="132"/>
      <c r="Z4601" s="146"/>
      <c r="AA4601" s="143">
        <f>'Valve Sizing'!$G$8*AA4599/P_1_maxW</f>
        <v>-5.8431458245889489</v>
      </c>
      <c r="AB4601" s="132"/>
      <c r="AC4601" s="146"/>
      <c r="AD4601" s="143">
        <f>'Valve Sizing'!$G$8*AD4599/P_1_maxW</f>
        <v>-16.631292723549073</v>
      </c>
      <c r="AE4601" s="132"/>
      <c r="AF4601" s="146"/>
      <c r="AG4601" s="143">
        <f>'Valve Sizing'!$G$8*AG4599/P_1_maxW</f>
        <v>-33.186458236012456</v>
      </c>
      <c r="AH4601" s="132"/>
      <c r="AI4601" s="146"/>
      <c r="AJ4601" s="143">
        <f>'Valve Sizing'!$G$8*AJ4599/P_1_maxW</f>
        <v>-53.80094428405603</v>
      </c>
      <c r="AK4601" s="132"/>
      <c r="AL4601" s="146"/>
      <c r="AM4601" s="143">
        <f>'Valve Sizing'!$G$8*AM4599/P_1_maxW</f>
        <v>-74.154917084154221</v>
      </c>
      <c r="AN4601" s="132"/>
      <c r="AO4601" s="146"/>
      <c r="AP4601" s="143">
        <f>'Valve Sizing'!$G$8*AP4599/P_1_maxW</f>
        <v>-92.42046507883903</v>
      </c>
      <c r="AQ4601" s="132"/>
      <c r="AR4601" s="146"/>
      <c r="AS4601" s="143">
        <f>'Valve Sizing'!$G$8*AS4599/P_1_maxW</f>
        <v>-115.15588235486487</v>
      </c>
      <c r="AT4601" s="132"/>
      <c r="AU4601" s="146"/>
    </row>
    <row r="4602" spans="13:47" x14ac:dyDescent="0.25">
      <c r="M4602" s="20"/>
      <c r="N4602" s="20"/>
      <c r="O4602" s="7" t="s">
        <v>190</v>
      </c>
      <c r="P4602" s="1"/>
      <c r="Q4602" s="7"/>
      <c r="R4602" s="181">
        <f>R4599-R4600</f>
        <v>29.356896011870475</v>
      </c>
      <c r="S4602" s="132"/>
      <c r="T4602" s="146"/>
      <c r="U4602" s="138">
        <f>U4599-U4600</f>
        <v>-6.0131387731542389</v>
      </c>
      <c r="V4602" s="132"/>
      <c r="W4602" s="146"/>
      <c r="X4602" s="138">
        <f>X4599-X4600</f>
        <v>-295.26888921240686</v>
      </c>
      <c r="Y4602" s="132"/>
      <c r="Z4602" s="146"/>
      <c r="AA4602" s="138">
        <f>AA4599-AA4600</f>
        <v>-1261.3104239464058</v>
      </c>
      <c r="AB4602" s="132"/>
      <c r="AC4602" s="146"/>
      <c r="AD4602" s="138">
        <f>AD4599-AD4600</f>
        <v>-3497.7418234134516</v>
      </c>
      <c r="AE4602" s="132"/>
      <c r="AF4602" s="146"/>
      <c r="AG4602" s="138">
        <f>AG4599-AG4600</f>
        <v>-6929.7021333917937</v>
      </c>
      <c r="AH4602" s="132"/>
      <c r="AI4602" s="146"/>
      <c r="AJ4602" s="138">
        <f>AJ4599-AJ4600</f>
        <v>-11203.177857583485</v>
      </c>
      <c r="AK4602" s="132"/>
      <c r="AL4602" s="146"/>
      <c r="AM4602" s="138">
        <f>AM4599-AM4600</f>
        <v>-15422.648013150751</v>
      </c>
      <c r="AN4602" s="132"/>
      <c r="AO4602" s="146"/>
      <c r="AP4602" s="138">
        <f>AP4599-AP4600</f>
        <v>-19209.178308518065</v>
      </c>
      <c r="AQ4602" s="132"/>
      <c r="AR4602" s="146"/>
      <c r="AS4602" s="138">
        <f>AS4599-AS4600</f>
        <v>-23922.332620589106</v>
      </c>
      <c r="AT4602" s="132"/>
      <c r="AU4602" s="146"/>
    </row>
    <row r="4603" spans="13:47" ht="14.5" x14ac:dyDescent="0.35">
      <c r="M4603" s="27"/>
      <c r="N4603" s="27"/>
      <c r="O4603" s="2" t="s">
        <v>191</v>
      </c>
      <c r="P4603" s="10"/>
      <c r="Q4603" s="2"/>
      <c r="R4603" s="181">
        <f>R4602/R4599</f>
        <v>0.3699350338435512</v>
      </c>
      <c r="S4603" s="132"/>
      <c r="T4603" s="146"/>
      <c r="U4603" s="138">
        <f>U4602/U4599</f>
        <v>-0.13670306553913289</v>
      </c>
      <c r="V4603" s="132"/>
      <c r="W4603" s="146"/>
      <c r="X4603" s="138">
        <f>X4602/X4599</f>
        <v>1.2038578971860519</v>
      </c>
      <c r="Y4603" s="132"/>
      <c r="Z4603" s="146"/>
      <c r="AA4603" s="138">
        <f>AA4602/AA4599</f>
        <v>1.0412776106038135</v>
      </c>
      <c r="AB4603" s="132"/>
      <c r="AC4603" s="146"/>
      <c r="AD4603" s="138">
        <f>AD4602/AD4599</f>
        <v>1.0145022459803841</v>
      </c>
      <c r="AE4603" s="132"/>
      <c r="AF4603" s="146"/>
      <c r="AG4603" s="138">
        <f>AG4602/AG4599</f>
        <v>1.0072677565148229</v>
      </c>
      <c r="AH4603" s="132"/>
      <c r="AI4603" s="146"/>
      <c r="AJ4603" s="138">
        <f>AJ4602/AJ4599</f>
        <v>1.0044830272267202</v>
      </c>
      <c r="AK4603" s="132"/>
      <c r="AL4603" s="146"/>
      <c r="AM4603" s="138">
        <f>AM4602/AM4599</f>
        <v>1.0032525300753148</v>
      </c>
      <c r="AN4603" s="132"/>
      <c r="AO4603" s="146"/>
      <c r="AP4603" s="138">
        <f>AP4602/AP4599</f>
        <v>1.0026097152599582</v>
      </c>
      <c r="AQ4603" s="132"/>
      <c r="AR4603" s="146"/>
      <c r="AS4603" s="138">
        <f>AS4602/AS4599</f>
        <v>1.0020944748380758</v>
      </c>
      <c r="AT4603" s="132"/>
      <c r="AU4603" s="146"/>
    </row>
    <row r="4604" spans="13:47" x14ac:dyDescent="0.25">
      <c r="M4604" s="27"/>
      <c r="N4604" s="27"/>
      <c r="O4604" s="2" t="s">
        <v>26</v>
      </c>
      <c r="P4604" s="7">
        <v>12</v>
      </c>
      <c r="Q4604" s="2"/>
      <c r="R4604" s="181">
        <f>1-R4603/(3*F_GAMMA*R$29)</f>
        <v>0.80733359524113024</v>
      </c>
      <c r="S4604" s="133"/>
      <c r="T4604" s="146"/>
      <c r="U4604" s="138">
        <f>1-U4603/(3*F_GAMMA*U$29)</f>
        <v>1.0711808473293702</v>
      </c>
      <c r="V4604" s="133"/>
      <c r="W4604" s="146"/>
      <c r="X4604" s="138">
        <f>1-X4603/(3*F_GAMMA*X$29)</f>
        <v>0.36375138627241221</v>
      </c>
      <c r="Y4604" s="133"/>
      <c r="Z4604" s="146"/>
      <c r="AA4604" s="138">
        <f>1-AA4603/(3*F_GAMMA*AA$29)</f>
        <v>0.44213067706172382</v>
      </c>
      <c r="AB4604" s="133"/>
      <c r="AC4604" s="146"/>
      <c r="AD4604" s="138">
        <f>1-AD4603/(3*F_GAMMA*AD$29)</f>
        <v>0.44157342270930988</v>
      </c>
      <c r="AE4604" s="133"/>
      <c r="AF4604" s="146"/>
      <c r="AG4604" s="138">
        <f>1-AG4603/(3*F_GAMMA*AG$29)</f>
        <v>0.41392921946347505</v>
      </c>
      <c r="AH4604" s="133"/>
      <c r="AI4604" s="146"/>
      <c r="AJ4604" s="138">
        <f>1-AJ4603/(3*F_GAMMA*AJ$29)</f>
        <v>0.37521448400111845</v>
      </c>
      <c r="AK4604" s="133"/>
      <c r="AL4604" s="146"/>
      <c r="AM4604" s="138">
        <f>1-AM4603/(3*F_GAMMA*AM$29)</f>
        <v>0.3181945298662392</v>
      </c>
      <c r="AN4604" s="133"/>
      <c r="AO4604" s="146"/>
      <c r="AP4604" s="138">
        <f>1-AP4603/(3*F_GAMMA*AP$29)</f>
        <v>0.43692255391542101</v>
      </c>
      <c r="AQ4604" s="133"/>
      <c r="AR4604" s="146"/>
      <c r="AS4604" s="138">
        <f>1-AS4603/(3*F_GAMMA*AS$29)</f>
        <v>0.1456387904485924</v>
      </c>
      <c r="AT4604" s="133"/>
      <c r="AU4604" s="146"/>
    </row>
    <row r="4605" spans="13:47" x14ac:dyDescent="0.25">
      <c r="M4605" s="27"/>
      <c r="N4605" s="27"/>
      <c r="O4605" s="2" t="s">
        <v>71</v>
      </c>
      <c r="P4605" s="85">
        <v>5</v>
      </c>
      <c r="Q4605" s="2"/>
      <c r="R4605" s="179">
        <f>R4597/((N_6*R$27*R4604)*SQRT(R4603*R4599*R4601))</f>
        <v>42.531741641167933</v>
      </c>
      <c r="S4605" s="133"/>
      <c r="T4605" s="146"/>
      <c r="U4605" s="143" t="e">
        <f>U4597/((N_6*U$27*U4604)*SQRT(U4603*U4599*U4601))</f>
        <v>#NUM!</v>
      </c>
      <c r="V4605" s="133"/>
      <c r="W4605" s="146"/>
      <c r="X4605" s="143">
        <f>X4597/((N_6*X$27*X4604)*SQRT(X4603*X4599*X4601))</f>
        <v>68.627667790574066</v>
      </c>
      <c r="Y4605" s="133"/>
      <c r="Z4605" s="146"/>
      <c r="AA4605" s="143">
        <f>AA4597/((N_6*AA$27*AA4604)*SQRT(AA4603*AA4599*AA4601))</f>
        <v>24.080595972601991</v>
      </c>
      <c r="AB4605" s="133"/>
      <c r="AC4605" s="146"/>
      <c r="AD4605" s="143">
        <f>AD4597/((N_6*AD$27*AD4604)*SQRT(AD4603*AD4599*AD4601))</f>
        <v>14.282551527252471</v>
      </c>
      <c r="AE4605" s="133"/>
      <c r="AF4605" s="146"/>
      <c r="AG4605" s="143">
        <f>AG4597/((N_6*AG$27*AG4604)*SQRT(AG4603*AG4599*AG4601))</f>
        <v>10.979920969625292</v>
      </c>
      <c r="AH4605" s="133"/>
      <c r="AI4605" s="146"/>
      <c r="AJ4605" s="143">
        <f>AJ4597/((N_6*AJ$27*AJ4604)*SQRT(AJ4603*AJ4599*AJ4601))</f>
        <v>9.8263091287054714</v>
      </c>
      <c r="AK4605" s="133"/>
      <c r="AL4605" s="146"/>
      <c r="AM4605" s="143">
        <f>AM4597/((N_6*AM$27*AM4604)*SQRT(AM4603*AM4599*AM4601))</f>
        <v>10.469348251965277</v>
      </c>
      <c r="AN4605" s="133"/>
      <c r="AO4605" s="146"/>
      <c r="AP4605" s="143">
        <f>AP4597/((N_6*AP$27*AP4604)*SQRT(AP4603*AP4599*AP4601))</f>
        <v>7.7554697480080694</v>
      </c>
      <c r="AQ4605" s="133"/>
      <c r="AR4605" s="146"/>
      <c r="AS4605" s="143">
        <f>AS4597/((N_6*AS$27*AS4604)*SQRT(AS4603*AS4599*AS4601))</f>
        <v>27.381149802863515</v>
      </c>
      <c r="AT4605" s="133"/>
      <c r="AU4605" s="146"/>
    </row>
    <row r="4606" spans="13:47" x14ac:dyDescent="0.25">
      <c r="M4606" s="27"/>
      <c r="N4606" s="27"/>
      <c r="O4606" s="2" t="s">
        <v>73</v>
      </c>
      <c r="P4606" s="85">
        <v>5</v>
      </c>
      <c r="Q4606" s="2"/>
      <c r="R4606" s="179">
        <f>R4597/((N_6*R$27*0.667)*SQRT(R4607*R4599*R4601))</f>
        <v>39.138482432212115</v>
      </c>
      <c r="S4606" s="133"/>
      <c r="T4606" s="155"/>
      <c r="U4606" s="143">
        <f>U4597/((N_6*U$27*0.667)*SQRT(U4607*U4599*U4601))</f>
        <v>115.46006752318347</v>
      </c>
      <c r="V4606" s="133"/>
      <c r="W4606" s="155"/>
      <c r="X4606" s="143">
        <f>X4597/((N_6*X$27*0.667)*SQRT(X4607*X4599*X4601))</f>
        <v>51.707330310612853</v>
      </c>
      <c r="Y4606" s="133"/>
      <c r="Z4606" s="155"/>
      <c r="AA4606" s="143">
        <f>AA4597/((N_6*AA$27*0.667)*SQRT(AA4607*AA4599*AA4601))</f>
        <v>20.649945701443929</v>
      </c>
      <c r="AB4606" s="133"/>
      <c r="AC4606" s="155"/>
      <c r="AD4606" s="143">
        <f>AD4597/((N_6*AD$27*0.667)*SQRT(AD4607*AD4599*AD4601))</f>
        <v>12.238453979001033</v>
      </c>
      <c r="AE4606" s="133"/>
      <c r="AF4606" s="155"/>
      <c r="AG4606" s="143">
        <f>AG4597/((N_6*AG$27*0.667)*SQRT(AG4607*AG4599*AG4601))</f>
        <v>9.0351450047133586</v>
      </c>
      <c r="AH4606" s="133"/>
      <c r="AI4606" s="155"/>
      <c r="AJ4606" s="143">
        <f>AJ4597/((N_6*AJ$27*0.667)*SQRT(AJ4607*AJ4599*AJ4601))</f>
        <v>7.5678111711342639</v>
      </c>
      <c r="AK4606" s="133"/>
      <c r="AL4606" s="155"/>
      <c r="AM4606" s="143">
        <f>AM4597/((N_6*AM$27*0.667)*SQRT(AM4607*AM4599*AM4601))</f>
        <v>7.1429463767499559</v>
      </c>
      <c r="AN4606" s="133"/>
      <c r="AO4606" s="155"/>
      <c r="AP4606" s="143">
        <f>AP4597/((N_6*AP$27*0.667)*SQRT(AP4607*AP4599*AP4601))</f>
        <v>6.6028499978522541</v>
      </c>
      <c r="AQ4606" s="133"/>
      <c r="AR4606" s="155"/>
      <c r="AS4606" s="143">
        <f>AS4597/((N_6*AS$27*0.667)*SQRT(AS4607*AS4599*AS4601))</f>
        <v>9.5715946678954698</v>
      </c>
      <c r="AT4606" s="133"/>
      <c r="AU4606" s="155"/>
    </row>
    <row r="4607" spans="13:47" ht="15.5" x14ac:dyDescent="0.4">
      <c r="M4607" s="27"/>
      <c r="N4607" s="27"/>
      <c r="O4607" s="2" t="s">
        <v>192</v>
      </c>
      <c r="P4607" s="85">
        <v>10</v>
      </c>
      <c r="Q4607" s="2"/>
      <c r="R4607" s="181">
        <f>F_GAMMA*R$29</f>
        <v>0.64002688015162901</v>
      </c>
      <c r="S4607" s="133"/>
      <c r="T4607" s="155"/>
      <c r="U4607" s="138">
        <f>F_GAMMA*U$29</f>
        <v>0.64016782916606918</v>
      </c>
      <c r="V4607" s="133"/>
      <c r="W4607" s="155"/>
      <c r="X4607" s="138">
        <f>F_GAMMA*X$29</f>
        <v>0.6307062319203669</v>
      </c>
      <c r="Y4607" s="133"/>
      <c r="Z4607" s="155"/>
      <c r="AA4607" s="138">
        <f>F_GAMMA*AA$29</f>
        <v>0.62217534213893466</v>
      </c>
      <c r="AB4607" s="133"/>
      <c r="AC4607" s="155"/>
      <c r="AD4607" s="138">
        <f>F_GAMMA*AD$29</f>
        <v>0.60557184969146072</v>
      </c>
      <c r="AE4607" s="133"/>
      <c r="AF4607" s="155"/>
      <c r="AG4607" s="138">
        <f>F_GAMMA*AG$29</f>
        <v>0.57289312142622573</v>
      </c>
      <c r="AH4607" s="133"/>
      <c r="AI4607" s="155"/>
      <c r="AJ4607" s="138">
        <f>F_GAMMA*AJ$29</f>
        <v>0.53590819116049981</v>
      </c>
      <c r="AK4607" s="133"/>
      <c r="AL4607" s="155"/>
      <c r="AM4607" s="138">
        <f>F_GAMMA*AM$29</f>
        <v>0.49048815926850342</v>
      </c>
      <c r="AN4607" s="133"/>
      <c r="AO4607" s="155"/>
      <c r="AP4607" s="138">
        <f>F_GAMMA*AP$29</f>
        <v>0.59352979016280105</v>
      </c>
      <c r="AQ4607" s="133"/>
      <c r="AR4607" s="155"/>
      <c r="AS4607" s="138">
        <f>F_GAMMA*AS$29</f>
        <v>0.39097221161068291</v>
      </c>
      <c r="AT4607" s="133"/>
      <c r="AU4607" s="155"/>
    </row>
    <row r="4608" spans="13:47" x14ac:dyDescent="0.25">
      <c r="M4608" s="27"/>
      <c r="N4608" s="27"/>
      <c r="O4608" s="2" t="s">
        <v>193</v>
      </c>
      <c r="P4608" s="134"/>
      <c r="Q4608" s="2"/>
      <c r="R4608" s="181">
        <f>IF(R4603&lt;R4607,R4605,R4606)</f>
        <v>42.531741641167933</v>
      </c>
      <c r="S4608" s="133"/>
      <c r="T4608" s="155"/>
      <c r="U4608" s="138" t="e">
        <f>IF(U4603&lt;U4607,U4605,U4606)</f>
        <v>#NUM!</v>
      </c>
      <c r="V4608" s="133"/>
      <c r="W4608" s="155"/>
      <c r="X4608" s="138">
        <f>IF(X4603&lt;X4607,X4605,X4606)</f>
        <v>51.707330310612853</v>
      </c>
      <c r="Y4608" s="133"/>
      <c r="Z4608" s="155"/>
      <c r="AA4608" s="138">
        <f>IF(AA4603&lt;AA4607,AA4605,AA4606)</f>
        <v>20.649945701443929</v>
      </c>
      <c r="AB4608" s="133"/>
      <c r="AC4608" s="155"/>
      <c r="AD4608" s="138">
        <f>IF(AD4603&lt;AD4607,AD4605,AD4606)</f>
        <v>12.238453979001033</v>
      </c>
      <c r="AE4608" s="133"/>
      <c r="AF4608" s="155"/>
      <c r="AG4608" s="138">
        <f>IF(AG4603&lt;AG4607,AG4605,AG4606)</f>
        <v>9.0351450047133586</v>
      </c>
      <c r="AH4608" s="133"/>
      <c r="AI4608" s="155"/>
      <c r="AJ4608" s="138">
        <f>IF(AJ4603&lt;AJ4607,AJ4605,AJ4606)</f>
        <v>7.5678111711342639</v>
      </c>
      <c r="AK4608" s="133"/>
      <c r="AL4608" s="155"/>
      <c r="AM4608" s="138">
        <f>IF(AM4603&lt;AM4607,AM4605,AM4606)</f>
        <v>7.1429463767499559</v>
      </c>
      <c r="AN4608" s="133"/>
      <c r="AO4608" s="155"/>
      <c r="AP4608" s="138">
        <f>IF(AP4603&lt;AP4607,AP4605,AP4606)</f>
        <v>6.6028499978522541</v>
      </c>
      <c r="AQ4608" s="133"/>
      <c r="AR4608" s="155"/>
      <c r="AS4608" s="138">
        <f>IF(AS4603&lt;AS4607,AS4605,AS4606)</f>
        <v>9.5715946678954698</v>
      </c>
      <c r="AT4608" s="133"/>
      <c r="AU4608" s="155"/>
    </row>
    <row r="4609" spans="13:47" ht="13" x14ac:dyDescent="0.3">
      <c r="M4609" s="28"/>
      <c r="N4609" s="28"/>
      <c r="O4609" s="9" t="s">
        <v>194</v>
      </c>
      <c r="P4609" s="1"/>
      <c r="Q4609" s="1"/>
      <c r="R4609" s="135"/>
      <c r="S4609" s="132">
        <f>IF(R4602&lt;=0,W_max,ABS(R$23-R4608))</f>
        <v>40.531741641167933</v>
      </c>
      <c r="T4609" s="151">
        <f>R4597</f>
        <v>7285.5355394910312</v>
      </c>
      <c r="U4609" s="135"/>
      <c r="V4609" s="132">
        <f>IF(U4602&lt;=0,W_max,ABS(U$23-U4608))</f>
        <v>7174</v>
      </c>
      <c r="W4609" s="151">
        <f>U4597</f>
        <v>11907.08514806496</v>
      </c>
      <c r="X4609" s="135"/>
      <c r="Y4609" s="132">
        <f>IF(X4602&lt;=0,W_max,ABS(X$23-X4608))</f>
        <v>7174</v>
      </c>
      <c r="Z4609" s="151">
        <f>X4597</f>
        <v>29447.638530907243</v>
      </c>
      <c r="AA4609" s="135"/>
      <c r="AB4609" s="132">
        <f>IF(AA4602&lt;=0,W_max,ABS(AA$23-AA4608))</f>
        <v>7174</v>
      </c>
      <c r="AC4609" s="151">
        <f>AA4597</f>
        <v>57356.483483538454</v>
      </c>
      <c r="AD4609" s="135"/>
      <c r="AE4609" s="132">
        <f>IF(AD4602&lt;=0,W_max,ABS(AD$23-AD4608))</f>
        <v>7174</v>
      </c>
      <c r="AF4609" s="151">
        <f>AD4597</f>
        <v>94330.297926090352</v>
      </c>
      <c r="AG4609" s="135"/>
      <c r="AH4609" s="132">
        <f>IF(AG4602&lt;=0,W_max,ABS(AG$23-AG4608))</f>
        <v>7174</v>
      </c>
      <c r="AI4609" s="151">
        <f>AG4597</f>
        <v>132305.50496965364</v>
      </c>
      <c r="AJ4609" s="135"/>
      <c r="AK4609" s="132">
        <f>IF(AJ4602&lt;=0,W_max,ABS(AJ$23-AJ4608))</f>
        <v>7174</v>
      </c>
      <c r="AL4609" s="151">
        <f>AJ4597</f>
        <v>167992.88385148073</v>
      </c>
      <c r="AM4609" s="135"/>
      <c r="AN4609" s="132">
        <f>IF(AM4602&lt;=0,W_max,ABS(AM$23-AM4608))</f>
        <v>7174</v>
      </c>
      <c r="AO4609" s="151">
        <f>AM4597</f>
        <v>196984.86810339356</v>
      </c>
      <c r="AP4609" s="135"/>
      <c r="AQ4609" s="132">
        <f>IF(AP4602&lt;=0,W_max,ABS(AP$23-AP4608))</f>
        <v>7174</v>
      </c>
      <c r="AR4609" s="151">
        <f>AP4597</f>
        <v>219769.78211499858</v>
      </c>
      <c r="AS4609" s="135"/>
      <c r="AT4609" s="132">
        <f>IF(AS4602&lt;=0,W_max,ABS(AS$23-AS4608))</f>
        <v>7174</v>
      </c>
      <c r="AU4609" s="151">
        <f>AS4597</f>
        <v>245190.18945923739</v>
      </c>
    </row>
    <row r="4610" spans="13:47" ht="13" x14ac:dyDescent="0.25">
      <c r="M4610" s="12"/>
      <c r="N4610" s="12"/>
      <c r="O4610" s="2"/>
      <c r="P4610" s="85"/>
      <c r="Q4610" s="2"/>
      <c r="R4610" s="18"/>
      <c r="S4610" s="150"/>
      <c r="T4610" s="148"/>
      <c r="U4610" s="157"/>
      <c r="V4610" s="1"/>
      <c r="W4610" s="147"/>
      <c r="X4610" s="157"/>
      <c r="Y4610" s="1"/>
      <c r="Z4610" s="147"/>
      <c r="AA4610" s="157"/>
      <c r="AB4610" s="1"/>
      <c r="AC4610" s="147"/>
      <c r="AD4610" s="157"/>
      <c r="AE4610" s="1"/>
      <c r="AF4610" s="147"/>
      <c r="AG4610" s="157"/>
      <c r="AH4610" s="1"/>
      <c r="AI4610" s="147"/>
      <c r="AJ4610" s="157"/>
      <c r="AK4610" s="1"/>
      <c r="AL4610" s="147"/>
      <c r="AM4610" s="157"/>
      <c r="AN4610" s="1"/>
      <c r="AO4610" s="147"/>
      <c r="AP4610" s="157"/>
      <c r="AQ4610" s="1"/>
      <c r="AR4610" s="147"/>
      <c r="AS4610" s="157"/>
      <c r="AT4610" s="1"/>
      <c r="AU4610" s="147"/>
    </row>
    <row r="4611" spans="13:47" ht="14" x14ac:dyDescent="0.3">
      <c r="M4611" s="23"/>
      <c r="N4611" s="23"/>
      <c r="O4611" s="23" t="s">
        <v>238</v>
      </c>
      <c r="P4611" s="20"/>
      <c r="Q4611" s="20"/>
      <c r="R4611" s="181">
        <f>R4597*1.02</f>
        <v>7431.2462502808521</v>
      </c>
      <c r="S4611" s="128" t="s">
        <v>185</v>
      </c>
      <c r="T4611" s="149" t="s">
        <v>186</v>
      </c>
      <c r="U4611" s="143">
        <f>U4597*1.01</f>
        <v>12026.15599954561</v>
      </c>
      <c r="V4611" s="128" t="s">
        <v>185</v>
      </c>
      <c r="W4611" s="153" t="s">
        <v>186</v>
      </c>
      <c r="X4611" s="143">
        <f>X4597*1.01</f>
        <v>29742.114916216316</v>
      </c>
      <c r="Y4611" s="128" t="s">
        <v>185</v>
      </c>
      <c r="Z4611" s="153" t="s">
        <v>186</v>
      </c>
      <c r="AA4611" s="143">
        <f>AA4597*1.01</f>
        <v>57930.04831837384</v>
      </c>
      <c r="AB4611" s="128" t="s">
        <v>185</v>
      </c>
      <c r="AC4611" s="153" t="s">
        <v>186</v>
      </c>
      <c r="AD4611" s="143">
        <f>AD4597*1.01</f>
        <v>95273.600905351253</v>
      </c>
      <c r="AE4611" s="128" t="s">
        <v>185</v>
      </c>
      <c r="AF4611" s="153" t="s">
        <v>186</v>
      </c>
      <c r="AG4611" s="143">
        <f>AG4597*1.01</f>
        <v>133628.56001935017</v>
      </c>
      <c r="AH4611" s="128" t="s">
        <v>185</v>
      </c>
      <c r="AI4611" s="153" t="s">
        <v>186</v>
      </c>
      <c r="AJ4611" s="143">
        <f>AJ4597*1.01</f>
        <v>169672.81268999554</v>
      </c>
      <c r="AK4611" s="128" t="s">
        <v>185</v>
      </c>
      <c r="AL4611" s="153" t="s">
        <v>186</v>
      </c>
      <c r="AM4611" s="143">
        <f>AM4597*1.01</f>
        <v>198954.7167844275</v>
      </c>
      <c r="AN4611" s="128" t="s">
        <v>185</v>
      </c>
      <c r="AO4611" s="153" t="s">
        <v>186</v>
      </c>
      <c r="AP4611" s="143">
        <f>AP4597*1.01</f>
        <v>221967.47993614856</v>
      </c>
      <c r="AQ4611" s="128" t="s">
        <v>185</v>
      </c>
      <c r="AR4611" s="153" t="s">
        <v>186</v>
      </c>
      <c r="AS4611" s="143">
        <f>AS4597*1.01</f>
        <v>247642.09135382978</v>
      </c>
      <c r="AT4611" s="128" t="s">
        <v>185</v>
      </c>
      <c r="AU4611" s="153" t="s">
        <v>186</v>
      </c>
    </row>
    <row r="4612" spans="13:47" ht="14" x14ac:dyDescent="0.3">
      <c r="M4612" s="12"/>
      <c r="N4612" s="12"/>
      <c r="O4612" s="20"/>
      <c r="P4612" s="20"/>
      <c r="Q4612" s="23"/>
      <c r="R4612" s="139"/>
      <c r="S4612" s="130" t="s">
        <v>228</v>
      </c>
      <c r="T4612" s="131" t="s">
        <v>187</v>
      </c>
      <c r="U4612" s="144"/>
      <c r="V4612" s="130" t="s">
        <v>228</v>
      </c>
      <c r="W4612" s="154" t="s">
        <v>187</v>
      </c>
      <c r="X4612" s="144"/>
      <c r="Y4612" s="130" t="s">
        <v>228</v>
      </c>
      <c r="Z4612" s="154" t="s">
        <v>187</v>
      </c>
      <c r="AA4612" s="144"/>
      <c r="AB4612" s="130" t="s">
        <v>228</v>
      </c>
      <c r="AC4612" s="154" t="s">
        <v>187</v>
      </c>
      <c r="AD4612" s="144"/>
      <c r="AE4612" s="130" t="s">
        <v>228</v>
      </c>
      <c r="AF4612" s="154" t="s">
        <v>187</v>
      </c>
      <c r="AG4612" s="144"/>
      <c r="AH4612" s="130" t="s">
        <v>228</v>
      </c>
      <c r="AI4612" s="154" t="s">
        <v>187</v>
      </c>
      <c r="AJ4612" s="144"/>
      <c r="AK4612" s="130" t="s">
        <v>228</v>
      </c>
      <c r="AL4612" s="154" t="s">
        <v>187</v>
      </c>
      <c r="AM4612" s="144"/>
      <c r="AN4612" s="130" t="s">
        <v>228</v>
      </c>
      <c r="AO4612" s="154" t="s">
        <v>187</v>
      </c>
      <c r="AP4612" s="144"/>
      <c r="AQ4612" s="130" t="s">
        <v>228</v>
      </c>
      <c r="AR4612" s="154" t="s">
        <v>187</v>
      </c>
      <c r="AS4612" s="144"/>
      <c r="AT4612" s="130" t="s">
        <v>228</v>
      </c>
      <c r="AU4612" s="154" t="s">
        <v>187</v>
      </c>
    </row>
    <row r="4613" spans="13:47" x14ac:dyDescent="0.25">
      <c r="M4613" s="20"/>
      <c r="N4613" s="20"/>
      <c r="O4613" s="7" t="s">
        <v>188</v>
      </c>
      <c r="P4613" s="7"/>
      <c r="Q4613" s="7"/>
      <c r="R4613" s="181">
        <f>P_1_minW-(R4611^2*R_up)+dpup_minQ</f>
        <v>78.501794026586282</v>
      </c>
      <c r="S4613" s="132"/>
      <c r="T4613" s="145"/>
      <c r="U4613" s="138">
        <f>P_1_minW-(U4611^2*R_up)+dpup_minQ</f>
        <v>42.850489124097152</v>
      </c>
      <c r="V4613" s="132"/>
      <c r="W4613" s="145"/>
      <c r="X4613" s="138">
        <f>P_1_minW-(X4611^2*R_up)+dpup_minQ</f>
        <v>-252.21930189898447</v>
      </c>
      <c r="Y4613" s="132"/>
      <c r="Z4613" s="145"/>
      <c r="AA4613" s="138">
        <f>P_1_minW-(AA4611^2*R_up)+dpup_minQ</f>
        <v>-1237.678271481137</v>
      </c>
      <c r="AB4613" s="132"/>
      <c r="AC4613" s="145"/>
      <c r="AD4613" s="138">
        <f>P_1_minW-(AD4611^2*R_up)+dpup_minQ</f>
        <v>-3519.0619420774697</v>
      </c>
      <c r="AE4613" s="132"/>
      <c r="AF4613" s="145"/>
      <c r="AG4613" s="138">
        <f>P_1_minW-(AG4611^2*R_up)+dpup_minQ</f>
        <v>-7020.0046542863774</v>
      </c>
      <c r="AH4613" s="132"/>
      <c r="AI4613" s="145"/>
      <c r="AJ4613" s="138">
        <f>P_1_minW-(AJ4611^2*R_up)+dpup_minQ</f>
        <v>-11379.377240534321</v>
      </c>
      <c r="AK4613" s="132"/>
      <c r="AL4613" s="145"/>
      <c r="AM4613" s="138">
        <f>P_1_minW-(AM4611^2*R_up)+dpup_minQ</f>
        <v>-15683.65874622849</v>
      </c>
      <c r="AN4613" s="132"/>
      <c r="AO4613" s="145"/>
      <c r="AP4613" s="138">
        <f>P_1_minW-(AP4611^2*R_up)+dpup_minQ</f>
        <v>-19546.298300532686</v>
      </c>
      <c r="AQ4613" s="132"/>
      <c r="AR4613" s="145"/>
      <c r="AS4613" s="138">
        <f>P_1_minW-(AS4611^2*R_up)+dpup_minQ</f>
        <v>-24354.187014276358</v>
      </c>
      <c r="AT4613" s="132"/>
      <c r="AU4613" s="145"/>
    </row>
    <row r="4614" spans="13:47" x14ac:dyDescent="0.25">
      <c r="M4614" s="20"/>
      <c r="N4614" s="20"/>
      <c r="O4614" s="7" t="s">
        <v>189</v>
      </c>
      <c r="P4614" s="1"/>
      <c r="Q4614" s="7"/>
      <c r="R4614" s="181">
        <f>P_2_minW+(R4611^2*R_dn)-dpdn_minQ</f>
        <v>50</v>
      </c>
      <c r="S4614" s="132"/>
      <c r="T4614" s="146"/>
      <c r="U4614" s="138">
        <f>P_2_minW+(U4611^2*R_dn)-dpdn_minQ</f>
        <v>50</v>
      </c>
      <c r="V4614" s="132"/>
      <c r="W4614" s="146"/>
      <c r="X4614" s="138">
        <f>P_2_minW+(X4611^2*R_dn)-dpdn_minQ</f>
        <v>50</v>
      </c>
      <c r="Y4614" s="132"/>
      <c r="Z4614" s="146"/>
      <c r="AA4614" s="138">
        <f>P_2_minW+(AA4611^2*R_dn)-dpdn_minQ</f>
        <v>50</v>
      </c>
      <c r="AB4614" s="132"/>
      <c r="AC4614" s="146"/>
      <c r="AD4614" s="138">
        <f>P_2_minW+(AD4611^2*R_dn)-dpdn_minQ</f>
        <v>50</v>
      </c>
      <c r="AE4614" s="132"/>
      <c r="AF4614" s="146"/>
      <c r="AG4614" s="138">
        <f>P_2_minW+(AG4611^2*R_dn)-dpdn_minQ</f>
        <v>50</v>
      </c>
      <c r="AH4614" s="132"/>
      <c r="AI4614" s="146"/>
      <c r="AJ4614" s="138">
        <f>P_2_minW+(AJ4611^2*R_dn)-dpdn_minQ</f>
        <v>50</v>
      </c>
      <c r="AK4614" s="132"/>
      <c r="AL4614" s="146"/>
      <c r="AM4614" s="138">
        <f>P_2_minW+(AM4611^2*R_dn)-dpdn_minQ</f>
        <v>50</v>
      </c>
      <c r="AN4614" s="132"/>
      <c r="AO4614" s="146"/>
      <c r="AP4614" s="138">
        <f>P_2_minW+(AP4611^2*R_dn)-dpdn_minQ</f>
        <v>50</v>
      </c>
      <c r="AQ4614" s="132"/>
      <c r="AR4614" s="146"/>
      <c r="AS4614" s="138">
        <f>P_2_minW+(AS4611^2*R_dn)-dpdn_minQ</f>
        <v>50</v>
      </c>
      <c r="AT4614" s="132"/>
      <c r="AU4614" s="146"/>
    </row>
    <row r="4615" spans="13:47" x14ac:dyDescent="0.25">
      <c r="M4615" s="20"/>
      <c r="N4615" s="20"/>
      <c r="O4615" s="7" t="s">
        <v>234</v>
      </c>
      <c r="P4615" s="1"/>
      <c r="Q4615" s="7"/>
      <c r="R4615" s="179">
        <f>'Valve Sizing'!G$8*R4613/P_1_maxW</f>
        <v>0.3786786780012753</v>
      </c>
      <c r="S4615" s="132"/>
      <c r="T4615" s="146"/>
      <c r="U4615" s="143">
        <f>'Valve Sizing'!$G$8*U4613/P_1_maxW</f>
        <v>0.20670313047528147</v>
      </c>
      <c r="V4615" s="132"/>
      <c r="W4615" s="146"/>
      <c r="X4615" s="143">
        <f>'Valve Sizing'!$G$8*X4613/P_1_maxW</f>
        <v>-1.216661007481759</v>
      </c>
      <c r="Y4615" s="132"/>
      <c r="Z4615" s="146"/>
      <c r="AA4615" s="143">
        <f>'Valve Sizing'!$G$8*AA4613/P_1_maxW</f>
        <v>-5.9703396265905893</v>
      </c>
      <c r="AB4615" s="132"/>
      <c r="AC4615" s="146"/>
      <c r="AD4615" s="143">
        <f>'Valve Sizing'!$G$8*AD4613/P_1_maxW</f>
        <v>-16.975328278219806</v>
      </c>
      <c r="AE4615" s="132"/>
      <c r="AF4615" s="146"/>
      <c r="AG4615" s="143">
        <f>'Valve Sizing'!$G$8*AG4613/P_1_maxW</f>
        <v>-33.863252617483717</v>
      </c>
      <c r="AH4615" s="132"/>
      <c r="AI4615" s="146"/>
      <c r="AJ4615" s="143">
        <f>'Valve Sizing'!$G$8*AJ4613/P_1_maxW</f>
        <v>-54.892089835092953</v>
      </c>
      <c r="AK4615" s="132"/>
      <c r="AL4615" s="146"/>
      <c r="AM4615" s="143">
        <f>'Valve Sizing'!$G$8*AM4613/P_1_maxW</f>
        <v>-75.655177488473129</v>
      </c>
      <c r="AN4615" s="132"/>
      <c r="AO4615" s="146"/>
      <c r="AP4615" s="143">
        <f>'Valve Sizing'!$G$8*AP4613/P_1_maxW</f>
        <v>-94.287862997851079</v>
      </c>
      <c r="AQ4615" s="132"/>
      <c r="AR4615" s="146"/>
      <c r="AS4615" s="143">
        <f>'Valve Sizing'!$G$8*AS4613/P_1_maxW</f>
        <v>-117.48026216112507</v>
      </c>
      <c r="AT4615" s="132"/>
      <c r="AU4615" s="146"/>
    </row>
    <row r="4616" spans="13:47" x14ac:dyDescent="0.25">
      <c r="M4616" s="20"/>
      <c r="N4616" s="20"/>
      <c r="O4616" s="7" t="s">
        <v>190</v>
      </c>
      <c r="P4616" s="1"/>
      <c r="Q4616" s="7"/>
      <c r="R4616" s="181">
        <f>R4613-R4614</f>
        <v>28.501794026586282</v>
      </c>
      <c r="S4616" s="132"/>
      <c r="T4616" s="146"/>
      <c r="U4616" s="138">
        <f>U4613-U4614</f>
        <v>-7.1495108759028483</v>
      </c>
      <c r="V4616" s="132"/>
      <c r="W4616" s="146"/>
      <c r="X4616" s="138">
        <f>X4613-X4614</f>
        <v>-302.21930189898444</v>
      </c>
      <c r="Y4616" s="132"/>
      <c r="Z4616" s="146"/>
      <c r="AA4616" s="138">
        <f>AA4613-AA4614</f>
        <v>-1287.678271481137</v>
      </c>
      <c r="AB4616" s="132"/>
      <c r="AC4616" s="146"/>
      <c r="AD4616" s="138">
        <f>AD4613-AD4614</f>
        <v>-3569.0619420774697</v>
      </c>
      <c r="AE4616" s="132"/>
      <c r="AF4616" s="146"/>
      <c r="AG4616" s="138">
        <f>AG4613-AG4614</f>
        <v>-7070.0046542863774</v>
      </c>
      <c r="AH4616" s="132"/>
      <c r="AI4616" s="146"/>
      <c r="AJ4616" s="138">
        <f>AJ4613-AJ4614</f>
        <v>-11429.377240534321</v>
      </c>
      <c r="AK4616" s="132"/>
      <c r="AL4616" s="146"/>
      <c r="AM4616" s="138">
        <f>AM4613-AM4614</f>
        <v>-15733.65874622849</v>
      </c>
      <c r="AN4616" s="132"/>
      <c r="AO4616" s="146"/>
      <c r="AP4616" s="138">
        <f>AP4613-AP4614</f>
        <v>-19596.298300532686</v>
      </c>
      <c r="AQ4616" s="132"/>
      <c r="AR4616" s="146"/>
      <c r="AS4616" s="138">
        <f>AS4613-AS4614</f>
        <v>-24404.187014276358</v>
      </c>
      <c r="AT4616" s="132"/>
      <c r="AU4616" s="146"/>
    </row>
    <row r="4617" spans="13:47" ht="14.5" x14ac:dyDescent="0.35">
      <c r="M4617" s="27"/>
      <c r="N4617" s="27"/>
      <c r="O4617" s="2" t="s">
        <v>191</v>
      </c>
      <c r="P4617" s="10"/>
      <c r="Q4617" s="2"/>
      <c r="R4617" s="181">
        <f>R4616/R4613</f>
        <v>0.36307188109527216</v>
      </c>
      <c r="S4617" s="132"/>
      <c r="T4617" s="146"/>
      <c r="U4617" s="138">
        <f>U4616/U4613</f>
        <v>-0.1668478241916331</v>
      </c>
      <c r="V4617" s="132"/>
      <c r="W4617" s="146"/>
      <c r="X4617" s="138">
        <f>X4616/X4613</f>
        <v>1.1982401807615235</v>
      </c>
      <c r="Y4617" s="132"/>
      <c r="Z4617" s="146"/>
      <c r="AA4617" s="138">
        <f>AA4616/AA4613</f>
        <v>1.0403982207267521</v>
      </c>
      <c r="AB4617" s="132"/>
      <c r="AC4617" s="146"/>
      <c r="AD4617" s="138">
        <f>AD4616/AD4613</f>
        <v>1.0142083318858783</v>
      </c>
      <c r="AE4617" s="132"/>
      <c r="AF4617" s="146"/>
      <c r="AG4617" s="138">
        <f>AG4616/AG4613</f>
        <v>1.0071225024002612</v>
      </c>
      <c r="AH4617" s="132"/>
      <c r="AI4617" s="146"/>
      <c r="AJ4617" s="138">
        <f>AJ4616/AJ4613</f>
        <v>1.0043939135633799</v>
      </c>
      <c r="AK4617" s="132"/>
      <c r="AL4617" s="146"/>
      <c r="AM4617" s="138">
        <f>AM4616/AM4613</f>
        <v>1.003188031619983</v>
      </c>
      <c r="AN4617" s="132"/>
      <c r="AO4617" s="146"/>
      <c r="AP4617" s="138">
        <f>AP4616/AP4613</f>
        <v>1.0025580291076719</v>
      </c>
      <c r="AQ4617" s="132"/>
      <c r="AR4617" s="146"/>
      <c r="AS4617" s="138">
        <f>AS4616/AS4613</f>
        <v>1.0020530350682899</v>
      </c>
      <c r="AT4617" s="132"/>
      <c r="AU4617" s="146"/>
    </row>
    <row r="4618" spans="13:47" x14ac:dyDescent="0.25">
      <c r="M4618" s="27"/>
      <c r="N4618" s="27"/>
      <c r="O4618" s="2" t="s">
        <v>26</v>
      </c>
      <c r="P4618" s="7">
        <v>12</v>
      </c>
      <c r="Q4618" s="2"/>
      <c r="R4618" s="181">
        <f>1-R4617/(3*F_GAMMA*R$29)</f>
        <v>0.81090800383818429</v>
      </c>
      <c r="S4618" s="133"/>
      <c r="T4618" s="146"/>
      <c r="U4618" s="138">
        <f>1-U4617/(3*F_GAMMA*U$29)</f>
        <v>1.0868771263774073</v>
      </c>
      <c r="V4618" s="133"/>
      <c r="W4618" s="146"/>
      <c r="X4618" s="138">
        <f>1-X4617/(3*F_GAMMA*X$29)</f>
        <v>0.36672039473742746</v>
      </c>
      <c r="Y4618" s="133"/>
      <c r="Z4618" s="146"/>
      <c r="AA4618" s="138">
        <f>1-AA4617/(3*F_GAMMA*AA$29)</f>
        <v>0.44260181427846512</v>
      </c>
      <c r="AB4618" s="133"/>
      <c r="AC4618" s="146"/>
      <c r="AD4618" s="138">
        <f>1-AD4617/(3*F_GAMMA*AD$29)</f>
        <v>0.44173520593104509</v>
      </c>
      <c r="AE4618" s="133"/>
      <c r="AF4618" s="146"/>
      <c r="AG4618" s="138">
        <f>1-AG4617/(3*F_GAMMA*AG$29)</f>
        <v>0.41401373442163458</v>
      </c>
      <c r="AH4618" s="133"/>
      <c r="AI4618" s="146"/>
      <c r="AJ4618" s="138">
        <f>1-AJ4617/(3*F_GAMMA*AJ$29)</f>
        <v>0.37526991244005026</v>
      </c>
      <c r="AK4618" s="133"/>
      <c r="AL4618" s="146"/>
      <c r="AM4618" s="138">
        <f>1-AM4617/(3*F_GAMMA*AM$29)</f>
        <v>0.31823836269829509</v>
      </c>
      <c r="AN4618" s="133"/>
      <c r="AO4618" s="146"/>
      <c r="AP4618" s="138">
        <f>1-AP4617/(3*F_GAMMA*AP$29)</f>
        <v>0.43695158146840041</v>
      </c>
      <c r="AQ4618" s="133"/>
      <c r="AR4618" s="146"/>
      <c r="AS4618" s="138">
        <f>1-AS4617/(3*F_GAMMA*AS$29)</f>
        <v>0.145674120981518</v>
      </c>
      <c r="AT4618" s="133"/>
      <c r="AU4618" s="146"/>
    </row>
    <row r="4619" spans="13:47" x14ac:dyDescent="0.25">
      <c r="M4619" s="27"/>
      <c r="N4619" s="27"/>
      <c r="O4619" s="2" t="s">
        <v>71</v>
      </c>
      <c r="P4619" s="85">
        <v>5</v>
      </c>
      <c r="Q4619" s="2"/>
      <c r="R4619" s="179">
        <f>R4611/((N_6*R$27*R4618)*SQRT(R4617*R4613*R4615))</f>
        <v>44.072358353992904</v>
      </c>
      <c r="S4619" s="133"/>
      <c r="T4619" s="146"/>
      <c r="U4619" s="143" t="e">
        <f>U4611/((N_6*U$27*U4618)*SQRT(U4617*U4613*U4615))</f>
        <v>#NUM!</v>
      </c>
      <c r="V4619" s="133"/>
      <c r="W4619" s="146"/>
      <c r="X4619" s="143">
        <f>X4611/((N_6*X$27*X4618)*SQRT(X4617*X4613*X4615))</f>
        <v>67.014692063295726</v>
      </c>
      <c r="Y4619" s="133"/>
      <c r="Z4619" s="146"/>
      <c r="AA4619" s="143">
        <f>AA4611/((N_6*AA$27*AA4618)*SQRT(AA4617*AA4613*AA4615))</f>
        <v>23.787960962412473</v>
      </c>
      <c r="AB4619" s="133"/>
      <c r="AC4619" s="146"/>
      <c r="AD4619" s="143">
        <f>AD4611/((N_6*AD$27*AD4618)*SQRT(AD4617*AD4613*AD4615))</f>
        <v>14.129891642071795</v>
      </c>
      <c r="AE4619" s="133"/>
      <c r="AF4619" s="146"/>
      <c r="AG4619" s="143">
        <f>AG4611/((N_6*AG$27*AG4618)*SQRT(AG4617*AG4613*AG4615))</f>
        <v>10.866644897403233</v>
      </c>
      <c r="AH4619" s="133"/>
      <c r="AI4619" s="146"/>
      <c r="AJ4619" s="143">
        <f>AJ4611/((N_6*AJ$27*AJ4618)*SQRT(AJ4617*AJ4613*AJ4615))</f>
        <v>9.7262861660138746</v>
      </c>
      <c r="AK4619" s="133"/>
      <c r="AL4619" s="146"/>
      <c r="AM4619" s="143">
        <f>AM4611/((N_6*AM$27*AM4618)*SQRT(AM4617*AM4613*AM4615))</f>
        <v>10.363261523934105</v>
      </c>
      <c r="AN4619" s="133"/>
      <c r="AO4619" s="146"/>
      <c r="AP4619" s="143">
        <f>AP4611/((N_6*AP$27*AP4618)*SQRT(AP4617*AP4613*AP4615))</f>
        <v>7.6775770115818576</v>
      </c>
      <c r="AQ4619" s="133"/>
      <c r="AR4619" s="146"/>
      <c r="AS4619" s="143">
        <f>AS4611/((N_6*AS$27*AS4618)*SQRT(AS4617*AS4613*AS4615))</f>
        <v>27.101786054006038</v>
      </c>
      <c r="AT4619" s="133"/>
      <c r="AU4619" s="146"/>
    </row>
    <row r="4620" spans="13:47" x14ac:dyDescent="0.25">
      <c r="M4620" s="27"/>
      <c r="N4620" s="27"/>
      <c r="O4620" s="2" t="s">
        <v>73</v>
      </c>
      <c r="P4620" s="85">
        <v>5</v>
      </c>
      <c r="Q4620" s="2"/>
      <c r="R4620" s="179">
        <f>R4611/((N_6*R$27*0.667)*SQRT(R4621*R4613*R4615))</f>
        <v>40.356105097053806</v>
      </c>
      <c r="S4620" s="133"/>
      <c r="T4620" s="147"/>
      <c r="U4620" s="143">
        <f>U4611/((N_6*U$27*0.667)*SQRT(U4621*U4613*U4615))</f>
        <v>119.70722696310494</v>
      </c>
      <c r="V4620" s="133"/>
      <c r="W4620" s="155"/>
      <c r="X4620" s="143">
        <f>X4611/((N_6*X$27*0.667)*SQRT(X4621*X4613*X4615))</f>
        <v>50.785254608496857</v>
      </c>
      <c r="Y4620" s="133"/>
      <c r="Z4620" s="155"/>
      <c r="AA4620" s="143">
        <f>AA4611/((N_6*AA$27*0.667)*SQRT(AA4621*AA4613*AA4615))</f>
        <v>20.412113558941318</v>
      </c>
      <c r="AB4620" s="133"/>
      <c r="AC4620" s="155"/>
      <c r="AD4620" s="143">
        <f>AD4611/((N_6*AD$27*0.667)*SQRT(AD4621*AD4613*AD4615))</f>
        <v>12.110323897435302</v>
      </c>
      <c r="AE4620" s="133"/>
      <c r="AF4620" s="155"/>
      <c r="AG4620" s="143">
        <f>AG4611/((N_6*AG$27*0.667)*SQRT(AG4621*AG4613*AG4615))</f>
        <v>8.943113362430811</v>
      </c>
      <c r="AH4620" s="133"/>
      <c r="AI4620" s="155"/>
      <c r="AJ4620" s="143">
        <f>AJ4611/((N_6*AJ$27*0.667)*SQRT(AJ4621*AJ4613*AJ4615))</f>
        <v>7.4915519208243939</v>
      </c>
      <c r="AK4620" s="133"/>
      <c r="AL4620" s="155"/>
      <c r="AM4620" s="143">
        <f>AM4611/((N_6*AM$27*0.667)*SQRT(AM4621*AM4613*AM4615))</f>
        <v>7.0713130287614154</v>
      </c>
      <c r="AN4620" s="133"/>
      <c r="AO4620" s="155"/>
      <c r="AP4620" s="143">
        <f>AP4611/((N_6*AP$27*0.667)*SQRT(AP4621*AP4613*AP4615))</f>
        <v>6.5367994641880562</v>
      </c>
      <c r="AQ4620" s="133"/>
      <c r="AR4620" s="155"/>
      <c r="AS4620" s="143">
        <f>AS4611/((N_6*AS$27*0.667)*SQRT(AS4621*AS4613*AS4615))</f>
        <v>9.4760401733956048</v>
      </c>
      <c r="AT4620" s="133"/>
      <c r="AU4620" s="155"/>
    </row>
    <row r="4621" spans="13:47" ht="15.5" x14ac:dyDescent="0.4">
      <c r="M4621" s="27"/>
      <c r="N4621" s="27"/>
      <c r="O4621" s="2" t="s">
        <v>192</v>
      </c>
      <c r="P4621" s="85">
        <v>10</v>
      </c>
      <c r="Q4621" s="2"/>
      <c r="R4621" s="181">
        <f>F_GAMMA*R$29</f>
        <v>0.64002688015162901</v>
      </c>
      <c r="S4621" s="133"/>
      <c r="T4621" s="147"/>
      <c r="U4621" s="138">
        <f>F_GAMMA*U$29</f>
        <v>0.64016782916606918</v>
      </c>
      <c r="V4621" s="133"/>
      <c r="W4621" s="155"/>
      <c r="X4621" s="138">
        <f>F_GAMMA*X$29</f>
        <v>0.6307062319203669</v>
      </c>
      <c r="Y4621" s="133"/>
      <c r="Z4621" s="155"/>
      <c r="AA4621" s="138">
        <f>F_GAMMA*AA$29</f>
        <v>0.62217534213893466</v>
      </c>
      <c r="AB4621" s="133"/>
      <c r="AC4621" s="155"/>
      <c r="AD4621" s="138">
        <f>F_GAMMA*AD$29</f>
        <v>0.60557184969146072</v>
      </c>
      <c r="AE4621" s="133"/>
      <c r="AF4621" s="155"/>
      <c r="AG4621" s="138">
        <f>F_GAMMA*AG$29</f>
        <v>0.57289312142622573</v>
      </c>
      <c r="AH4621" s="133"/>
      <c r="AI4621" s="155"/>
      <c r="AJ4621" s="138">
        <f>F_GAMMA*AJ$29</f>
        <v>0.53590819116049981</v>
      </c>
      <c r="AK4621" s="133"/>
      <c r="AL4621" s="155"/>
      <c r="AM4621" s="138">
        <f>F_GAMMA*AM$29</f>
        <v>0.49048815926850342</v>
      </c>
      <c r="AN4621" s="133"/>
      <c r="AO4621" s="155"/>
      <c r="AP4621" s="138">
        <f>F_GAMMA*AP$29</f>
        <v>0.59352979016280105</v>
      </c>
      <c r="AQ4621" s="133"/>
      <c r="AR4621" s="155"/>
      <c r="AS4621" s="138">
        <f>F_GAMMA*AS$29</f>
        <v>0.39097221161068291</v>
      </c>
      <c r="AT4621" s="133"/>
      <c r="AU4621" s="155"/>
    </row>
    <row r="4622" spans="13:47" x14ac:dyDescent="0.25">
      <c r="M4622" s="27"/>
      <c r="N4622" s="27"/>
      <c r="O4622" s="2" t="s">
        <v>193</v>
      </c>
      <c r="P4622" s="134"/>
      <c r="Q4622" s="2"/>
      <c r="R4622" s="181">
        <f>IF(R4617&lt;R4621,R4619,R4620)</f>
        <v>44.072358353992904</v>
      </c>
      <c r="S4622" s="133"/>
      <c r="T4622" s="147"/>
      <c r="U4622" s="138" t="e">
        <f>IF(U4617&lt;U4621,U4619,U4620)</f>
        <v>#NUM!</v>
      </c>
      <c r="V4622" s="133"/>
      <c r="W4622" s="155"/>
      <c r="X4622" s="138">
        <f>IF(X4617&lt;X4621,X4619,X4620)</f>
        <v>50.785254608496857</v>
      </c>
      <c r="Y4622" s="133"/>
      <c r="Z4622" s="155"/>
      <c r="AA4622" s="138">
        <f>IF(AA4617&lt;AA4621,AA4619,AA4620)</f>
        <v>20.412113558941318</v>
      </c>
      <c r="AB4622" s="133"/>
      <c r="AC4622" s="155"/>
      <c r="AD4622" s="138">
        <f>IF(AD4617&lt;AD4621,AD4619,AD4620)</f>
        <v>12.110323897435302</v>
      </c>
      <c r="AE4622" s="133"/>
      <c r="AF4622" s="155"/>
      <c r="AG4622" s="138">
        <f>IF(AG4617&lt;AG4621,AG4619,AG4620)</f>
        <v>8.943113362430811</v>
      </c>
      <c r="AH4622" s="133"/>
      <c r="AI4622" s="155"/>
      <c r="AJ4622" s="138">
        <f>IF(AJ4617&lt;AJ4621,AJ4619,AJ4620)</f>
        <v>7.4915519208243939</v>
      </c>
      <c r="AK4622" s="133"/>
      <c r="AL4622" s="155"/>
      <c r="AM4622" s="138">
        <f>IF(AM4617&lt;AM4621,AM4619,AM4620)</f>
        <v>7.0713130287614154</v>
      </c>
      <c r="AN4622" s="133"/>
      <c r="AO4622" s="155"/>
      <c r="AP4622" s="138">
        <f>IF(AP4617&lt;AP4621,AP4619,AP4620)</f>
        <v>6.5367994641880562</v>
      </c>
      <c r="AQ4622" s="133"/>
      <c r="AR4622" s="155"/>
      <c r="AS4622" s="138">
        <f>IF(AS4617&lt;AS4621,AS4619,AS4620)</f>
        <v>9.4760401733956048</v>
      </c>
      <c r="AT4622" s="133"/>
      <c r="AU4622" s="155"/>
    </row>
    <row r="4623" spans="13:47" ht="13" x14ac:dyDescent="0.3">
      <c r="M4623" s="28"/>
      <c r="N4623" s="28"/>
      <c r="O4623" s="9" t="s">
        <v>194</v>
      </c>
      <c r="P4623" s="1"/>
      <c r="Q4623" s="1"/>
      <c r="R4623" s="135"/>
      <c r="S4623" s="132">
        <f>IF(R4616&lt;=0,W_max,ABS(R$23-R4622))</f>
        <v>42.072358353992904</v>
      </c>
      <c r="T4623" s="151">
        <f>R4611</f>
        <v>7431.2462502808521</v>
      </c>
      <c r="U4623" s="135"/>
      <c r="V4623" s="132">
        <f>IF(U4616&lt;=0,W_max,ABS(U$23-U4622))</f>
        <v>7174</v>
      </c>
      <c r="W4623" s="151">
        <f>U4611</f>
        <v>12026.15599954561</v>
      </c>
      <c r="X4623" s="135"/>
      <c r="Y4623" s="132">
        <f>IF(X4616&lt;=0,W_max,ABS(X$23-X4622))</f>
        <v>7174</v>
      </c>
      <c r="Z4623" s="151">
        <f>X4611</f>
        <v>29742.114916216316</v>
      </c>
      <c r="AA4623" s="135"/>
      <c r="AB4623" s="132">
        <f>IF(AA4616&lt;=0,W_max,ABS(AA$23-AA4622))</f>
        <v>7174</v>
      </c>
      <c r="AC4623" s="151">
        <f>AA4611</f>
        <v>57930.04831837384</v>
      </c>
      <c r="AD4623" s="135"/>
      <c r="AE4623" s="132">
        <f>IF(AD4616&lt;=0,W_max,ABS(AD$23-AD4622))</f>
        <v>7174</v>
      </c>
      <c r="AF4623" s="151">
        <f>AD4611</f>
        <v>95273.600905351253</v>
      </c>
      <c r="AG4623" s="135"/>
      <c r="AH4623" s="132">
        <f>IF(AG4616&lt;=0,W_max,ABS(AG$23-AG4622))</f>
        <v>7174</v>
      </c>
      <c r="AI4623" s="151">
        <f>AG4611</f>
        <v>133628.56001935017</v>
      </c>
      <c r="AJ4623" s="135"/>
      <c r="AK4623" s="132">
        <f>IF(AJ4616&lt;=0,W_max,ABS(AJ$23-AJ4622))</f>
        <v>7174</v>
      </c>
      <c r="AL4623" s="151">
        <f>AJ4611</f>
        <v>169672.81268999554</v>
      </c>
      <c r="AM4623" s="135"/>
      <c r="AN4623" s="132">
        <f>IF(AM4616&lt;=0,W_max,ABS(AM$23-AM4622))</f>
        <v>7174</v>
      </c>
      <c r="AO4623" s="151">
        <f>AM4611</f>
        <v>198954.7167844275</v>
      </c>
      <c r="AP4623" s="135"/>
      <c r="AQ4623" s="132">
        <f>IF(AP4616&lt;=0,W_max,ABS(AP$23-AP4622))</f>
        <v>7174</v>
      </c>
      <c r="AR4623" s="151">
        <f>AP4611</f>
        <v>221967.47993614856</v>
      </c>
      <c r="AS4623" s="135"/>
      <c r="AT4623" s="132">
        <f>IF(AS4616&lt;=0,W_max,ABS(AS$23-AS4622))</f>
        <v>7174</v>
      </c>
      <c r="AU4623" s="151">
        <f>AS4611</f>
        <v>247642.09135382978</v>
      </c>
    </row>
    <row r="4624" spans="13:47" ht="13" x14ac:dyDescent="0.25">
      <c r="M4624" s="12"/>
      <c r="N4624" s="12"/>
      <c r="O4624" s="12"/>
      <c r="P4624" s="12"/>
      <c r="Q4624" s="12"/>
      <c r="R4624" s="182"/>
      <c r="S4624" s="22"/>
      <c r="T4624" s="152"/>
      <c r="U4624" s="157"/>
      <c r="V4624" s="1"/>
      <c r="W4624" s="147"/>
      <c r="X4624" s="157"/>
      <c r="Y4624" s="1"/>
      <c r="Z4624" s="147"/>
      <c r="AA4624" s="157"/>
      <c r="AB4624" s="1"/>
      <c r="AC4624" s="147"/>
      <c r="AD4624" s="157"/>
      <c r="AE4624" s="1"/>
      <c r="AF4624" s="147"/>
      <c r="AG4624" s="157"/>
      <c r="AH4624" s="1"/>
      <c r="AI4624" s="147"/>
      <c r="AJ4624" s="157"/>
      <c r="AK4624" s="1"/>
      <c r="AL4624" s="147"/>
      <c r="AM4624" s="157"/>
      <c r="AN4624" s="1"/>
      <c r="AO4624" s="147"/>
      <c r="AP4624" s="157"/>
      <c r="AQ4624" s="1"/>
      <c r="AR4624" s="147"/>
      <c r="AS4624" s="157"/>
      <c r="AT4624" s="1"/>
      <c r="AU4624" s="147"/>
    </row>
    <row r="4625" spans="13:47" ht="14" x14ac:dyDescent="0.3">
      <c r="M4625" s="23"/>
      <c r="N4625" s="23"/>
      <c r="O4625" s="23" t="s">
        <v>238</v>
      </c>
      <c r="P4625" s="20"/>
      <c r="Q4625" s="20"/>
      <c r="R4625" s="18">
        <f>R4611*1.02</f>
        <v>7579.8711752864692</v>
      </c>
      <c r="S4625" s="128" t="s">
        <v>185</v>
      </c>
      <c r="T4625" s="153" t="s">
        <v>186</v>
      </c>
      <c r="U4625" s="143">
        <f>U4611*1.01</f>
        <v>12146.417559541067</v>
      </c>
      <c r="V4625" s="128" t="s">
        <v>185</v>
      </c>
      <c r="W4625" s="153" t="s">
        <v>186</v>
      </c>
      <c r="X4625" s="143">
        <f>X4611*1.01</f>
        <v>30039.536065378481</v>
      </c>
      <c r="Y4625" s="128" t="s">
        <v>185</v>
      </c>
      <c r="Z4625" s="153" t="s">
        <v>186</v>
      </c>
      <c r="AA4625" s="143">
        <f>AA4611*1.01</f>
        <v>58509.348801557579</v>
      </c>
      <c r="AB4625" s="128" t="s">
        <v>185</v>
      </c>
      <c r="AC4625" s="153" t="s">
        <v>186</v>
      </c>
      <c r="AD4625" s="143">
        <f>AD4611*1.01</f>
        <v>96226.336914404761</v>
      </c>
      <c r="AE4625" s="128" t="s">
        <v>185</v>
      </c>
      <c r="AF4625" s="153" t="s">
        <v>186</v>
      </c>
      <c r="AG4625" s="143">
        <f>AG4611*1.01</f>
        <v>134964.84561954369</v>
      </c>
      <c r="AH4625" s="128" t="s">
        <v>185</v>
      </c>
      <c r="AI4625" s="153" t="s">
        <v>186</v>
      </c>
      <c r="AJ4625" s="143">
        <f>AJ4611*1.01</f>
        <v>171369.54081689549</v>
      </c>
      <c r="AK4625" s="128" t="s">
        <v>185</v>
      </c>
      <c r="AL4625" s="153" t="s">
        <v>186</v>
      </c>
      <c r="AM4625" s="143">
        <f>AM4611*1.01</f>
        <v>200944.26395227178</v>
      </c>
      <c r="AN4625" s="128" t="s">
        <v>185</v>
      </c>
      <c r="AO4625" s="153" t="s">
        <v>186</v>
      </c>
      <c r="AP4625" s="143">
        <f>AP4611*1.01</f>
        <v>224187.15473551006</v>
      </c>
      <c r="AQ4625" s="128" t="s">
        <v>185</v>
      </c>
      <c r="AR4625" s="153" t="s">
        <v>186</v>
      </c>
      <c r="AS4625" s="143">
        <f>AS4611*1.01</f>
        <v>250118.51226736809</v>
      </c>
      <c r="AT4625" s="128" t="s">
        <v>185</v>
      </c>
      <c r="AU4625" s="153" t="s">
        <v>186</v>
      </c>
    </row>
    <row r="4626" spans="13:47" ht="14" x14ac:dyDescent="0.3">
      <c r="M4626" s="12"/>
      <c r="N4626" s="12"/>
      <c r="O4626" s="20"/>
      <c r="P4626" s="20"/>
      <c r="Q4626" s="23"/>
      <c r="R4626" s="139"/>
      <c r="S4626" s="130" t="s">
        <v>228</v>
      </c>
      <c r="T4626" s="154" t="s">
        <v>187</v>
      </c>
      <c r="U4626" s="144"/>
      <c r="V4626" s="130" t="s">
        <v>228</v>
      </c>
      <c r="W4626" s="154" t="s">
        <v>187</v>
      </c>
      <c r="X4626" s="144"/>
      <c r="Y4626" s="130" t="s">
        <v>228</v>
      </c>
      <c r="Z4626" s="154" t="s">
        <v>187</v>
      </c>
      <c r="AA4626" s="144"/>
      <c r="AB4626" s="130" t="s">
        <v>228</v>
      </c>
      <c r="AC4626" s="154" t="s">
        <v>187</v>
      </c>
      <c r="AD4626" s="144"/>
      <c r="AE4626" s="130" t="s">
        <v>228</v>
      </c>
      <c r="AF4626" s="154" t="s">
        <v>187</v>
      </c>
      <c r="AG4626" s="144"/>
      <c r="AH4626" s="130" t="s">
        <v>228</v>
      </c>
      <c r="AI4626" s="154" t="s">
        <v>187</v>
      </c>
      <c r="AJ4626" s="144"/>
      <c r="AK4626" s="130" t="s">
        <v>228</v>
      </c>
      <c r="AL4626" s="154" t="s">
        <v>187</v>
      </c>
      <c r="AM4626" s="144"/>
      <c r="AN4626" s="130" t="s">
        <v>228</v>
      </c>
      <c r="AO4626" s="154" t="s">
        <v>187</v>
      </c>
      <c r="AP4626" s="144"/>
      <c r="AQ4626" s="130" t="s">
        <v>228</v>
      </c>
      <c r="AR4626" s="154" t="s">
        <v>187</v>
      </c>
      <c r="AS4626" s="144"/>
      <c r="AT4626" s="130" t="s">
        <v>228</v>
      </c>
      <c r="AU4626" s="154" t="s">
        <v>187</v>
      </c>
    </row>
    <row r="4627" spans="13:47" x14ac:dyDescent="0.25">
      <c r="M4627" s="20"/>
      <c r="N4627" s="20"/>
      <c r="O4627" s="7" t="s">
        <v>188</v>
      </c>
      <c r="P4627" s="7"/>
      <c r="Q4627" s="7"/>
      <c r="R4627" s="181">
        <f>P_1_minW-(R4625^2*R_up)+dpup_minQ</f>
        <v>77.612145921096598</v>
      </c>
      <c r="S4627" s="132"/>
      <c r="T4627" s="145"/>
      <c r="U4627" s="138">
        <f>P_1_minW-(U4625^2*R_up)+dpup_minQ</f>
        <v>41.691275942083287</v>
      </c>
      <c r="V4627" s="132"/>
      <c r="W4627" s="145"/>
      <c r="X4627" s="138">
        <f>P_1_minW-(X4625^2*R_up)+dpup_minQ</f>
        <v>-259.30941788056231</v>
      </c>
      <c r="Y4627" s="132"/>
      <c r="Z4627" s="145"/>
      <c r="AA4627" s="138">
        <f>P_1_minW-(AA4625^2*R_up)+dpup_minQ</f>
        <v>-1264.576112751316</v>
      </c>
      <c r="AB4627" s="132"/>
      <c r="AC4627" s="145"/>
      <c r="AD4627" s="138">
        <f>P_1_minW-(AD4625^2*R_up)+dpup_minQ</f>
        <v>-3591.8155951266349</v>
      </c>
      <c r="AE4627" s="132"/>
      <c r="AF4627" s="145"/>
      <c r="AG4627" s="138">
        <f>P_1_minW-(AG4625^2*R_up)+dpup_minQ</f>
        <v>-7163.1272558509427</v>
      </c>
      <c r="AH4627" s="132"/>
      <c r="AI4627" s="145"/>
      <c r="AJ4627" s="138">
        <f>P_1_minW-(AJ4625^2*R_up)+dpup_minQ</f>
        <v>-11610.123231082469</v>
      </c>
      <c r="AK4627" s="132"/>
      <c r="AL4627" s="145"/>
      <c r="AM4627" s="138">
        <f>P_1_minW-(AM4625^2*R_up)+dpup_minQ</f>
        <v>-16000.920795041091</v>
      </c>
      <c r="AN4627" s="132"/>
      <c r="AO4627" s="145"/>
      <c r="AP4627" s="138">
        <f>P_1_minW-(AP4625^2*R_up)+dpup_minQ</f>
        <v>-19941.199404386804</v>
      </c>
      <c r="AQ4627" s="132"/>
      <c r="AR4627" s="145"/>
      <c r="AS4627" s="138">
        <f>P_1_minW-(AS4625^2*R_up)+dpup_minQ</f>
        <v>-24845.726681276727</v>
      </c>
      <c r="AT4627" s="132"/>
      <c r="AU4627" s="145"/>
    </row>
    <row r="4628" spans="13:47" x14ac:dyDescent="0.25">
      <c r="M4628" s="20"/>
      <c r="N4628" s="20"/>
      <c r="O4628" s="7" t="s">
        <v>189</v>
      </c>
      <c r="P4628" s="1"/>
      <c r="Q4628" s="7"/>
      <c r="R4628" s="181">
        <f>P_2_minW+(R4625^2*R_dn)-dpdn_minQ</f>
        <v>50</v>
      </c>
      <c r="S4628" s="132"/>
      <c r="T4628" s="146"/>
      <c r="U4628" s="138">
        <f>P_2_minW+(U4625^2*R_dn)-dpdn_minQ</f>
        <v>50</v>
      </c>
      <c r="V4628" s="132"/>
      <c r="W4628" s="146"/>
      <c r="X4628" s="138">
        <f>P_2_minW+(X4625^2*R_dn)-dpdn_minQ</f>
        <v>50</v>
      </c>
      <c r="Y4628" s="132"/>
      <c r="Z4628" s="146"/>
      <c r="AA4628" s="138">
        <f>P_2_minW+(AA4625^2*R_dn)-dpdn_minQ</f>
        <v>50</v>
      </c>
      <c r="AB4628" s="132"/>
      <c r="AC4628" s="146"/>
      <c r="AD4628" s="138">
        <f>P_2_minW+(AD4625^2*R_dn)-dpdn_minQ</f>
        <v>50</v>
      </c>
      <c r="AE4628" s="132"/>
      <c r="AF4628" s="146"/>
      <c r="AG4628" s="138">
        <f>P_2_minW+(AG4625^2*R_dn)-dpdn_minQ</f>
        <v>50</v>
      </c>
      <c r="AH4628" s="132"/>
      <c r="AI4628" s="146"/>
      <c r="AJ4628" s="138">
        <f>P_2_minW+(AJ4625^2*R_dn)-dpdn_minQ</f>
        <v>50</v>
      </c>
      <c r="AK4628" s="132"/>
      <c r="AL4628" s="146"/>
      <c r="AM4628" s="138">
        <f>P_2_minW+(AM4625^2*R_dn)-dpdn_minQ</f>
        <v>50</v>
      </c>
      <c r="AN4628" s="132"/>
      <c r="AO4628" s="146"/>
      <c r="AP4628" s="138">
        <f>P_2_minW+(AP4625^2*R_dn)-dpdn_minQ</f>
        <v>50</v>
      </c>
      <c r="AQ4628" s="132"/>
      <c r="AR4628" s="146"/>
      <c r="AS4628" s="138">
        <f>P_2_minW+(AS4625^2*R_dn)-dpdn_minQ</f>
        <v>50</v>
      </c>
      <c r="AT4628" s="132"/>
      <c r="AU4628" s="146"/>
    </row>
    <row r="4629" spans="13:47" x14ac:dyDescent="0.25">
      <c r="M4629" s="20"/>
      <c r="N4629" s="20"/>
      <c r="O4629" s="7" t="s">
        <v>234</v>
      </c>
      <c r="P4629" s="1"/>
      <c r="Q4629" s="7"/>
      <c r="R4629" s="179">
        <f>'Valve Sizing'!G$8*R4627/P_1_maxW</f>
        <v>0.37438717393247561</v>
      </c>
      <c r="S4629" s="132"/>
      <c r="T4629" s="146"/>
      <c r="U4629" s="143">
        <f>'Valve Sizing'!$G$8*U4627/P_1_maxW</f>
        <v>0.20111129247043288</v>
      </c>
      <c r="V4629" s="132"/>
      <c r="W4629" s="146"/>
      <c r="X4629" s="143">
        <f>'Valve Sizing'!$G$8*X4627/P_1_maxW</f>
        <v>-1.2508624646595443</v>
      </c>
      <c r="Y4629" s="132"/>
      <c r="Z4629" s="146"/>
      <c r="AA4629" s="143">
        <f>'Valve Sizing'!$G$8*AA4627/P_1_maxW</f>
        <v>-6.100090024012462</v>
      </c>
      <c r="AB4629" s="132"/>
      <c r="AC4629" s="146"/>
      <c r="AD4629" s="143">
        <f>'Valve Sizing'!$G$8*AD4627/P_1_maxW</f>
        <v>-17.326278947539425</v>
      </c>
      <c r="AE4629" s="132"/>
      <c r="AF4629" s="146"/>
      <c r="AG4629" s="143">
        <f>'Valve Sizing'!$G$8*AG4627/P_1_maxW</f>
        <v>-34.55365056602254</v>
      </c>
      <c r="AH4629" s="132"/>
      <c r="AI4629" s="146"/>
      <c r="AJ4629" s="143">
        <f>'Valve Sizing'!$G$8*AJ4627/P_1_maxW</f>
        <v>-56.005167411705713</v>
      </c>
      <c r="AK4629" s="132"/>
      <c r="AL4629" s="146"/>
      <c r="AM4629" s="143">
        <f>'Valve Sizing'!$G$8*AM4627/P_1_maxW</f>
        <v>-77.185593126918832</v>
      </c>
      <c r="AN4629" s="132"/>
      <c r="AO4629" s="146"/>
      <c r="AP4629" s="143">
        <f>'Valve Sizing'!$G$8*AP4627/P_1_maxW</f>
        <v>-96.192795615035308</v>
      </c>
      <c r="AQ4629" s="132"/>
      <c r="AR4629" s="146"/>
      <c r="AS4629" s="143">
        <f>'Valve Sizing'!$G$8*AS4627/P_1_maxW</f>
        <v>-119.85136200149111</v>
      </c>
      <c r="AT4629" s="132"/>
      <c r="AU4629" s="146"/>
    </row>
    <row r="4630" spans="13:47" x14ac:dyDescent="0.25">
      <c r="M4630" s="20"/>
      <c r="N4630" s="20"/>
      <c r="O4630" s="7" t="s">
        <v>190</v>
      </c>
      <c r="P4630" s="1"/>
      <c r="Q4630" s="7"/>
      <c r="R4630" s="181">
        <f>R4627-R4628</f>
        <v>27.612145921096598</v>
      </c>
      <c r="S4630" s="132"/>
      <c r="T4630" s="146"/>
      <c r="U4630" s="138">
        <f>U4627-U4628</f>
        <v>-8.308724057916713</v>
      </c>
      <c r="V4630" s="132"/>
      <c r="W4630" s="146"/>
      <c r="X4630" s="138">
        <f>X4627-X4628</f>
        <v>-309.30941788056231</v>
      </c>
      <c r="Y4630" s="132"/>
      <c r="Z4630" s="146"/>
      <c r="AA4630" s="138">
        <f>AA4627-AA4628</f>
        <v>-1314.576112751316</v>
      </c>
      <c r="AB4630" s="132"/>
      <c r="AC4630" s="146"/>
      <c r="AD4630" s="138">
        <f>AD4627-AD4628</f>
        <v>-3641.8155951266349</v>
      </c>
      <c r="AE4630" s="132"/>
      <c r="AF4630" s="146"/>
      <c r="AG4630" s="138">
        <f>AG4627-AG4628</f>
        <v>-7213.1272558509427</v>
      </c>
      <c r="AH4630" s="132"/>
      <c r="AI4630" s="146"/>
      <c r="AJ4630" s="138">
        <f>AJ4627-AJ4628</f>
        <v>-11660.123231082469</v>
      </c>
      <c r="AK4630" s="132"/>
      <c r="AL4630" s="146"/>
      <c r="AM4630" s="138">
        <f>AM4627-AM4628</f>
        <v>-16050.920795041091</v>
      </c>
      <c r="AN4630" s="132"/>
      <c r="AO4630" s="146"/>
      <c r="AP4630" s="138">
        <f>AP4627-AP4628</f>
        <v>-19991.199404386804</v>
      </c>
      <c r="AQ4630" s="132"/>
      <c r="AR4630" s="146"/>
      <c r="AS4630" s="138">
        <f>AS4627-AS4628</f>
        <v>-24895.726681276727</v>
      </c>
      <c r="AT4630" s="132"/>
      <c r="AU4630" s="146"/>
    </row>
    <row r="4631" spans="13:47" ht="14.5" x14ac:dyDescent="0.35">
      <c r="M4631" s="27"/>
      <c r="N4631" s="27"/>
      <c r="O4631" s="2" t="s">
        <v>191</v>
      </c>
      <c r="P4631" s="10"/>
      <c r="Q4631" s="2"/>
      <c r="R4631" s="181">
        <f>R4630/R4627</f>
        <v>0.35577093756907757</v>
      </c>
      <c r="S4631" s="132"/>
      <c r="T4631" s="146"/>
      <c r="U4631" s="138">
        <f>U4630/U4627</f>
        <v>-0.19929167122299235</v>
      </c>
      <c r="V4631" s="132"/>
      <c r="W4631" s="146"/>
      <c r="X4631" s="138">
        <f>X4630/X4627</f>
        <v>1.1928198382020585</v>
      </c>
      <c r="Y4631" s="132"/>
      <c r="Z4631" s="146"/>
      <c r="AA4631" s="138">
        <f>AA4630/AA4627</f>
        <v>1.039538940753211</v>
      </c>
      <c r="AB4631" s="132"/>
      <c r="AC4631" s="146"/>
      <c r="AD4631" s="138">
        <f>AD4630/AD4627</f>
        <v>1.0139205364740438</v>
      </c>
      <c r="AE4631" s="132"/>
      <c r="AF4631" s="146"/>
      <c r="AG4631" s="138">
        <f>AG4630/AG4627</f>
        <v>1.0069801915021346</v>
      </c>
      <c r="AH4631" s="132"/>
      <c r="AI4631" s="146"/>
      <c r="AJ4631" s="138">
        <f>AJ4630/AJ4627</f>
        <v>1.0043065865025567</v>
      </c>
      <c r="AK4631" s="132"/>
      <c r="AL4631" s="146"/>
      <c r="AM4631" s="138">
        <f>AM4630/AM4627</f>
        <v>1.0031248201675678</v>
      </c>
      <c r="AN4631" s="132"/>
      <c r="AO4631" s="146"/>
      <c r="AP4631" s="138">
        <f>AP4630/AP4627</f>
        <v>1.0025073717476092</v>
      </c>
      <c r="AQ4631" s="132"/>
      <c r="AR4631" s="146"/>
      <c r="AS4631" s="138">
        <f>AS4630/AS4627</f>
        <v>1.0020124184992214</v>
      </c>
      <c r="AT4631" s="132"/>
      <c r="AU4631" s="146"/>
    </row>
    <row r="4632" spans="13:47" x14ac:dyDescent="0.25">
      <c r="M4632" s="27"/>
      <c r="N4632" s="27"/>
      <c r="O4632" s="2" t="s">
        <v>26</v>
      </c>
      <c r="P4632" s="7">
        <v>12</v>
      </c>
      <c r="Q4632" s="2"/>
      <c r="R4632" s="181">
        <f>1-R4631/(3*F_GAMMA*R$29)</f>
        <v>0.81471041888907758</v>
      </c>
      <c r="S4632" s="133"/>
      <c r="T4632" s="146"/>
      <c r="U4632" s="138">
        <f>1-U4631/(3*F_GAMMA*U$29)</f>
        <v>1.1037705333628969</v>
      </c>
      <c r="V4632" s="133"/>
      <c r="W4632" s="146"/>
      <c r="X4632" s="138">
        <f>1-X4631/(3*F_GAMMA*X$29)</f>
        <v>0.3695850895219609</v>
      </c>
      <c r="Y4632" s="133"/>
      <c r="Z4632" s="146"/>
      <c r="AA4632" s="138">
        <f>1-AA4631/(3*F_GAMMA*AA$29)</f>
        <v>0.44306217752086297</v>
      </c>
      <c r="AB4632" s="133"/>
      <c r="AC4632" s="146"/>
      <c r="AD4632" s="138">
        <f>1-AD4631/(3*F_GAMMA*AD$29)</f>
        <v>0.44189362116120112</v>
      </c>
      <c r="AE4632" s="133"/>
      <c r="AF4632" s="146"/>
      <c r="AG4632" s="138">
        <f>1-AG4631/(3*F_GAMMA*AG$29)</f>
        <v>0.41409653689258086</v>
      </c>
      <c r="AH4632" s="133"/>
      <c r="AI4632" s="146"/>
      <c r="AJ4632" s="138">
        <f>1-AJ4631/(3*F_GAMMA*AJ$29)</f>
        <v>0.3753242296174224</v>
      </c>
      <c r="AK4632" s="133"/>
      <c r="AL4632" s="146"/>
      <c r="AM4632" s="138">
        <f>1-AM4631/(3*F_GAMMA*AM$29)</f>
        <v>0.31828132088951799</v>
      </c>
      <c r="AN4632" s="133"/>
      <c r="AO4632" s="146"/>
      <c r="AP4632" s="138">
        <f>1-AP4631/(3*F_GAMMA*AP$29)</f>
        <v>0.436980031239528</v>
      </c>
      <c r="AQ4632" s="133"/>
      <c r="AR4632" s="146"/>
      <c r="AS4632" s="138">
        <f>1-AS4631/(3*F_GAMMA*AS$29)</f>
        <v>0.14570874967367087</v>
      </c>
      <c r="AT4632" s="133"/>
      <c r="AU4632" s="146"/>
    </row>
    <row r="4633" spans="13:47" x14ac:dyDescent="0.25">
      <c r="M4633" s="27"/>
      <c r="N4633" s="27"/>
      <c r="O4633" s="2" t="s">
        <v>71</v>
      </c>
      <c r="P4633" s="85">
        <v>5</v>
      </c>
      <c r="Q4633" s="2"/>
      <c r="R4633" s="179">
        <f>R4625/((N_6*R$27*R4632)*SQRT(R4631*R4627*R4629))</f>
        <v>45.718896877450227</v>
      </c>
      <c r="S4633" s="133"/>
      <c r="T4633" s="146"/>
      <c r="U4633" s="143" t="e">
        <f>U4625/((N_6*U$27*U4632)*SQRT(U4631*U4627*U4629))</f>
        <v>#NUM!</v>
      </c>
      <c r="V4633" s="133"/>
      <c r="W4633" s="146"/>
      <c r="X4633" s="143">
        <f>X4625/((N_6*X$27*X4632)*SQRT(X4631*X4627*X4629))</f>
        <v>65.472144088103136</v>
      </c>
      <c r="Y4633" s="133"/>
      <c r="Z4633" s="146"/>
      <c r="AA4633" s="143">
        <f>AA4625/((N_6*AA$27*AA4632)*SQRT(AA4631*AA4627*AA4629))</f>
        <v>23.500078605052934</v>
      </c>
      <c r="AB4633" s="133"/>
      <c r="AC4633" s="146"/>
      <c r="AD4633" s="143">
        <f>AD4625/((N_6*AD$27*AD4632)*SQRT(AD4631*AD4627*AD4629))</f>
        <v>13.979092963121786</v>
      </c>
      <c r="AE4633" s="133"/>
      <c r="AF4633" s="146"/>
      <c r="AG4633" s="143">
        <f>AG4625/((N_6*AG$27*AG4632)*SQRT(AG4631*AG4627*AG4629))</f>
        <v>10.754628639066647</v>
      </c>
      <c r="AH4633" s="133"/>
      <c r="AI4633" s="146"/>
      <c r="AJ4633" s="143">
        <f>AJ4625/((N_6*AJ$27*AJ4632)*SQRT(AJ4631*AJ4627*AJ4629))</f>
        <v>9.6273355158800733</v>
      </c>
      <c r="AK4633" s="133"/>
      <c r="AL4633" s="146"/>
      <c r="AM4633" s="143">
        <f>AM4625/((N_6*AM$27*AM4632)*SQRT(AM4631*AM4627*AM4629))</f>
        <v>10.258297812949497</v>
      </c>
      <c r="AN4633" s="133"/>
      <c r="AO4633" s="146"/>
      <c r="AP4633" s="143">
        <f>AP4625/((N_6*AP$27*AP4632)*SQRT(AP4631*AP4627*AP4629))</f>
        <v>7.6004883511881873</v>
      </c>
      <c r="AQ4633" s="133"/>
      <c r="AR4633" s="146"/>
      <c r="AS4633" s="143">
        <f>AS4625/((N_6*AS$27*AS4632)*SQRT(AS4631*AS4627*AS4629))</f>
        <v>26.825436415738569</v>
      </c>
      <c r="AT4633" s="133"/>
      <c r="AU4633" s="146"/>
    </row>
    <row r="4634" spans="13:47" x14ac:dyDescent="0.25">
      <c r="M4634" s="27"/>
      <c r="N4634" s="27"/>
      <c r="O4634" s="2" t="s">
        <v>73</v>
      </c>
      <c r="P4634" s="85">
        <v>5</v>
      </c>
      <c r="Q4634" s="2"/>
      <c r="R4634" s="179">
        <f>R4625/((N_6*R$27*0.667)*SQRT(R4635*R4627*R4629))</f>
        <v>41.635070705688499</v>
      </c>
      <c r="S4634" s="133"/>
      <c r="T4634" s="155"/>
      <c r="U4634" s="143">
        <f>U4625/((N_6*U$27*0.667)*SQRT(U4635*U4627*U4629))</f>
        <v>124.2660063109131</v>
      </c>
      <c r="V4634" s="133"/>
      <c r="W4634" s="155"/>
      <c r="X4634" s="143">
        <f>X4625/((N_6*X$27*0.667)*SQRT(X4635*X4627*X4629))</f>
        <v>49.890635614003259</v>
      </c>
      <c r="Y4634" s="133"/>
      <c r="Z4634" s="155"/>
      <c r="AA4634" s="143">
        <f>AA4625/((N_6*AA$27*0.667)*SQRT(AA4635*AA4627*AA4629))</f>
        <v>20.177722371855459</v>
      </c>
      <c r="AB4634" s="133"/>
      <c r="AC4634" s="155"/>
      <c r="AD4634" s="143">
        <f>AD4625/((N_6*AD$27*0.667)*SQRT(AD4635*AD4627*AD4629))</f>
        <v>11.983674716328322</v>
      </c>
      <c r="AE4634" s="133"/>
      <c r="AF4634" s="155"/>
      <c r="AG4634" s="143">
        <f>AG4625/((N_6*AG$27*0.667)*SQRT(AG4635*AG4627*AG4629))</f>
        <v>8.8520700718478516</v>
      </c>
      <c r="AH4634" s="133"/>
      <c r="AI4634" s="155"/>
      <c r="AJ4634" s="143">
        <f>AJ4625/((N_6*AJ$27*0.667)*SQRT(AJ4635*AJ4627*AJ4629))</f>
        <v>7.4160872942193325</v>
      </c>
      <c r="AK4634" s="133"/>
      <c r="AL4634" s="155"/>
      <c r="AM4634" s="143">
        <f>AM4625/((N_6*AM$27*0.667)*SQRT(AM4635*AM4627*AM4629))</f>
        <v>7.0004159429297603</v>
      </c>
      <c r="AN4634" s="133"/>
      <c r="AO4634" s="155"/>
      <c r="AP4634" s="143">
        <f>AP4625/((N_6*AP$27*0.667)*SQRT(AP4635*AP4627*AP4629))</f>
        <v>6.4714229050821768</v>
      </c>
      <c r="AQ4634" s="133"/>
      <c r="AR4634" s="155"/>
      <c r="AS4634" s="143">
        <f>AS4625/((N_6*AS$27*0.667)*SQRT(AS4635*AS4627*AS4629))</f>
        <v>9.3814550112837143</v>
      </c>
      <c r="AT4634" s="133"/>
      <c r="AU4634" s="155"/>
    </row>
    <row r="4635" spans="13:47" ht="15.5" x14ac:dyDescent="0.4">
      <c r="M4635" s="27"/>
      <c r="N4635" s="27"/>
      <c r="O4635" s="2" t="s">
        <v>192</v>
      </c>
      <c r="P4635" s="85">
        <v>10</v>
      </c>
      <c r="Q4635" s="2"/>
      <c r="R4635" s="181">
        <f>F_GAMMA*R$29</f>
        <v>0.64002688015162901</v>
      </c>
      <c r="S4635" s="133"/>
      <c r="T4635" s="155"/>
      <c r="U4635" s="138">
        <f>F_GAMMA*U$29</f>
        <v>0.64016782916606918</v>
      </c>
      <c r="V4635" s="133"/>
      <c r="W4635" s="155"/>
      <c r="X4635" s="138">
        <f>F_GAMMA*X$29</f>
        <v>0.6307062319203669</v>
      </c>
      <c r="Y4635" s="133"/>
      <c r="Z4635" s="155"/>
      <c r="AA4635" s="138">
        <f>F_GAMMA*AA$29</f>
        <v>0.62217534213893466</v>
      </c>
      <c r="AB4635" s="133"/>
      <c r="AC4635" s="155"/>
      <c r="AD4635" s="138">
        <f>F_GAMMA*AD$29</f>
        <v>0.60557184969146072</v>
      </c>
      <c r="AE4635" s="133"/>
      <c r="AF4635" s="155"/>
      <c r="AG4635" s="138">
        <f>F_GAMMA*AG$29</f>
        <v>0.57289312142622573</v>
      </c>
      <c r="AH4635" s="133"/>
      <c r="AI4635" s="155"/>
      <c r="AJ4635" s="138">
        <f>F_GAMMA*AJ$29</f>
        <v>0.53590819116049981</v>
      </c>
      <c r="AK4635" s="133"/>
      <c r="AL4635" s="155"/>
      <c r="AM4635" s="138">
        <f>F_GAMMA*AM$29</f>
        <v>0.49048815926850342</v>
      </c>
      <c r="AN4635" s="133"/>
      <c r="AO4635" s="155"/>
      <c r="AP4635" s="138">
        <f>F_GAMMA*AP$29</f>
        <v>0.59352979016280105</v>
      </c>
      <c r="AQ4635" s="133"/>
      <c r="AR4635" s="155"/>
      <c r="AS4635" s="138">
        <f>F_GAMMA*AS$29</f>
        <v>0.39097221161068291</v>
      </c>
      <c r="AT4635" s="133"/>
      <c r="AU4635" s="155"/>
    </row>
    <row r="4636" spans="13:47" x14ac:dyDescent="0.25">
      <c r="M4636" s="27"/>
      <c r="N4636" s="27"/>
      <c r="O4636" s="2" t="s">
        <v>193</v>
      </c>
      <c r="P4636" s="134"/>
      <c r="Q4636" s="2"/>
      <c r="R4636" s="181">
        <f>IF(R4631&lt;R4635,R4633,R4634)</f>
        <v>45.718896877450227</v>
      </c>
      <c r="S4636" s="133"/>
      <c r="T4636" s="155"/>
      <c r="U4636" s="138" t="e">
        <f>IF(U4631&lt;U4635,U4633,U4634)</f>
        <v>#NUM!</v>
      </c>
      <c r="V4636" s="133"/>
      <c r="W4636" s="155"/>
      <c r="X4636" s="138">
        <f>IF(X4631&lt;X4635,X4633,X4634)</f>
        <v>49.890635614003259</v>
      </c>
      <c r="Y4636" s="133"/>
      <c r="Z4636" s="155"/>
      <c r="AA4636" s="138">
        <f>IF(AA4631&lt;AA4635,AA4633,AA4634)</f>
        <v>20.177722371855459</v>
      </c>
      <c r="AB4636" s="133"/>
      <c r="AC4636" s="155"/>
      <c r="AD4636" s="138">
        <f>IF(AD4631&lt;AD4635,AD4633,AD4634)</f>
        <v>11.983674716328322</v>
      </c>
      <c r="AE4636" s="133"/>
      <c r="AF4636" s="155"/>
      <c r="AG4636" s="138">
        <f>IF(AG4631&lt;AG4635,AG4633,AG4634)</f>
        <v>8.8520700718478516</v>
      </c>
      <c r="AH4636" s="133"/>
      <c r="AI4636" s="155"/>
      <c r="AJ4636" s="138">
        <f>IF(AJ4631&lt;AJ4635,AJ4633,AJ4634)</f>
        <v>7.4160872942193325</v>
      </c>
      <c r="AK4636" s="133"/>
      <c r="AL4636" s="155"/>
      <c r="AM4636" s="138">
        <f>IF(AM4631&lt;AM4635,AM4633,AM4634)</f>
        <v>7.0004159429297603</v>
      </c>
      <c r="AN4636" s="133"/>
      <c r="AO4636" s="155"/>
      <c r="AP4636" s="138">
        <f>IF(AP4631&lt;AP4635,AP4633,AP4634)</f>
        <v>6.4714229050821768</v>
      </c>
      <c r="AQ4636" s="133"/>
      <c r="AR4636" s="155"/>
      <c r="AS4636" s="138">
        <f>IF(AS4631&lt;AS4635,AS4633,AS4634)</f>
        <v>9.3814550112837143</v>
      </c>
      <c r="AT4636" s="133"/>
      <c r="AU4636" s="155"/>
    </row>
    <row r="4637" spans="13:47" ht="13" x14ac:dyDescent="0.3">
      <c r="M4637" s="28"/>
      <c r="N4637" s="28"/>
      <c r="O4637" s="9" t="s">
        <v>194</v>
      </c>
      <c r="P4637" s="1"/>
      <c r="Q4637" s="1"/>
      <c r="R4637" s="135"/>
      <c r="S4637" s="132">
        <f>IF(R4630&lt;=0,W_max,ABS(R$23-R4636))</f>
        <v>43.718896877450227</v>
      </c>
      <c r="T4637" s="151">
        <f>R4625</f>
        <v>7579.8711752864692</v>
      </c>
      <c r="U4637" s="135"/>
      <c r="V4637" s="132">
        <f>IF(U4630&lt;=0,W_max,ABS(U$23-U4636))</f>
        <v>7174</v>
      </c>
      <c r="W4637" s="151">
        <f>U4625</f>
        <v>12146.417559541067</v>
      </c>
      <c r="X4637" s="135"/>
      <c r="Y4637" s="132">
        <f>IF(X4630&lt;=0,W_max,ABS(X$23-X4636))</f>
        <v>7174</v>
      </c>
      <c r="Z4637" s="151">
        <f>X4625</f>
        <v>30039.536065378481</v>
      </c>
      <c r="AA4637" s="135"/>
      <c r="AB4637" s="132">
        <f>IF(AA4630&lt;=0,W_max,ABS(AA$23-AA4636))</f>
        <v>7174</v>
      </c>
      <c r="AC4637" s="151">
        <f>AA4625</f>
        <v>58509.348801557579</v>
      </c>
      <c r="AD4637" s="135"/>
      <c r="AE4637" s="132">
        <f>IF(AD4630&lt;=0,W_max,ABS(AD$23-AD4636))</f>
        <v>7174</v>
      </c>
      <c r="AF4637" s="151">
        <f>AD4625</f>
        <v>96226.336914404761</v>
      </c>
      <c r="AG4637" s="135"/>
      <c r="AH4637" s="132">
        <f>IF(AG4630&lt;=0,W_max,ABS(AG$23-AG4636))</f>
        <v>7174</v>
      </c>
      <c r="AI4637" s="151">
        <f>AG4625</f>
        <v>134964.84561954369</v>
      </c>
      <c r="AJ4637" s="135"/>
      <c r="AK4637" s="132">
        <f>IF(AJ4630&lt;=0,W_max,ABS(AJ$23-AJ4636))</f>
        <v>7174</v>
      </c>
      <c r="AL4637" s="151">
        <f>AJ4625</f>
        <v>171369.54081689549</v>
      </c>
      <c r="AM4637" s="135"/>
      <c r="AN4637" s="132">
        <f>IF(AM4630&lt;=0,W_max,ABS(AM$23-AM4636))</f>
        <v>7174</v>
      </c>
      <c r="AO4637" s="151">
        <f>AM4625</f>
        <v>200944.26395227178</v>
      </c>
      <c r="AP4637" s="135"/>
      <c r="AQ4637" s="132">
        <f>IF(AP4630&lt;=0,W_max,ABS(AP$23-AP4636))</f>
        <v>7174</v>
      </c>
      <c r="AR4637" s="151">
        <f>AP4625</f>
        <v>224187.15473551006</v>
      </c>
      <c r="AS4637" s="135"/>
      <c r="AT4637" s="132">
        <f>IF(AS4630&lt;=0,W_max,ABS(AS$23-AS4636))</f>
        <v>7174</v>
      </c>
      <c r="AU4637" s="151">
        <f>AS4625</f>
        <v>250118.51226736809</v>
      </c>
    </row>
    <row r="4638" spans="13:47" ht="13" x14ac:dyDescent="0.25">
      <c r="M4638" s="12"/>
      <c r="N4638" s="12"/>
      <c r="O4638" s="2"/>
      <c r="P4638" s="85"/>
      <c r="Q4638" s="2"/>
      <c r="R4638" s="18"/>
      <c r="S4638" s="150"/>
      <c r="T4638" s="152"/>
      <c r="U4638" s="157"/>
      <c r="V4638" s="1"/>
      <c r="W4638" s="147"/>
      <c r="X4638" s="157"/>
      <c r="Y4638" s="1"/>
      <c r="Z4638" s="147"/>
      <c r="AA4638" s="157"/>
      <c r="AB4638" s="1"/>
      <c r="AC4638" s="147"/>
      <c r="AD4638" s="157"/>
      <c r="AE4638" s="1"/>
      <c r="AF4638" s="147"/>
      <c r="AG4638" s="157"/>
      <c r="AH4638" s="1"/>
      <c r="AI4638" s="147"/>
      <c r="AJ4638" s="157"/>
      <c r="AK4638" s="1"/>
      <c r="AL4638" s="147"/>
      <c r="AM4638" s="157"/>
      <c r="AN4638" s="1"/>
      <c r="AO4638" s="147"/>
      <c r="AP4638" s="157"/>
      <c r="AQ4638" s="1"/>
      <c r="AR4638" s="147"/>
      <c r="AS4638" s="157"/>
      <c r="AT4638" s="1"/>
      <c r="AU4638" s="147"/>
    </row>
    <row r="4639" spans="13:47" ht="14" x14ac:dyDescent="0.3">
      <c r="M4639" s="23"/>
      <c r="N4639" s="23"/>
      <c r="O4639" s="23" t="s">
        <v>238</v>
      </c>
      <c r="P4639" s="20"/>
      <c r="Q4639" s="20"/>
      <c r="R4639" s="181">
        <f>R4625*1.02</f>
        <v>7731.4685987921985</v>
      </c>
      <c r="S4639" s="128" t="s">
        <v>185</v>
      </c>
      <c r="T4639" s="153" t="s">
        <v>186</v>
      </c>
      <c r="U4639" s="143">
        <f>U4625*1.01</f>
        <v>12267.881735136478</v>
      </c>
      <c r="V4639" s="128" t="s">
        <v>185</v>
      </c>
      <c r="W4639" s="153" t="s">
        <v>186</v>
      </c>
      <c r="X4639" s="143">
        <f>X4625*1.01</f>
        <v>30339.931426032264</v>
      </c>
      <c r="Y4639" s="128" t="s">
        <v>185</v>
      </c>
      <c r="Z4639" s="153" t="s">
        <v>186</v>
      </c>
      <c r="AA4639" s="143">
        <f>AA4625*1.01</f>
        <v>59094.442289573155</v>
      </c>
      <c r="AB4639" s="128" t="s">
        <v>185</v>
      </c>
      <c r="AC4639" s="153" t="s">
        <v>186</v>
      </c>
      <c r="AD4639" s="143">
        <f>AD4625*1.01</f>
        <v>97188.600283548803</v>
      </c>
      <c r="AE4639" s="128" t="s">
        <v>185</v>
      </c>
      <c r="AF4639" s="153" t="s">
        <v>186</v>
      </c>
      <c r="AG4639" s="143">
        <f>AG4625*1.01</f>
        <v>136314.49407573912</v>
      </c>
      <c r="AH4639" s="128" t="s">
        <v>185</v>
      </c>
      <c r="AI4639" s="153" t="s">
        <v>186</v>
      </c>
      <c r="AJ4639" s="143">
        <f>AJ4625*1.01</f>
        <v>173083.23622506444</v>
      </c>
      <c r="AK4639" s="128" t="s">
        <v>185</v>
      </c>
      <c r="AL4639" s="153" t="s">
        <v>186</v>
      </c>
      <c r="AM4639" s="143">
        <f>AM4625*1.01</f>
        <v>202953.7065917945</v>
      </c>
      <c r="AN4639" s="128" t="s">
        <v>185</v>
      </c>
      <c r="AO4639" s="153" t="s">
        <v>186</v>
      </c>
      <c r="AP4639" s="143">
        <f>AP4625*1.01</f>
        <v>226429.02628286518</v>
      </c>
      <c r="AQ4639" s="128" t="s">
        <v>185</v>
      </c>
      <c r="AR4639" s="153" t="s">
        <v>186</v>
      </c>
      <c r="AS4639" s="143">
        <f>AS4625*1.01</f>
        <v>252619.69739004178</v>
      </c>
      <c r="AT4639" s="128" t="s">
        <v>185</v>
      </c>
      <c r="AU4639" s="153" t="s">
        <v>186</v>
      </c>
    </row>
    <row r="4640" spans="13:47" ht="14" x14ac:dyDescent="0.3">
      <c r="M4640" s="12"/>
      <c r="N4640" s="12"/>
      <c r="O4640" s="20"/>
      <c r="P4640" s="20"/>
      <c r="Q4640" s="23"/>
      <c r="R4640" s="139"/>
      <c r="S4640" s="130" t="s">
        <v>228</v>
      </c>
      <c r="T4640" s="154" t="s">
        <v>187</v>
      </c>
      <c r="U4640" s="144"/>
      <c r="V4640" s="130" t="s">
        <v>228</v>
      </c>
      <c r="W4640" s="154" t="s">
        <v>187</v>
      </c>
      <c r="X4640" s="144"/>
      <c r="Y4640" s="130" t="s">
        <v>228</v>
      </c>
      <c r="Z4640" s="154" t="s">
        <v>187</v>
      </c>
      <c r="AA4640" s="144"/>
      <c r="AB4640" s="130" t="s">
        <v>228</v>
      </c>
      <c r="AC4640" s="154" t="s">
        <v>187</v>
      </c>
      <c r="AD4640" s="144"/>
      <c r="AE4640" s="130" t="s">
        <v>228</v>
      </c>
      <c r="AF4640" s="154" t="s">
        <v>187</v>
      </c>
      <c r="AG4640" s="144"/>
      <c r="AH4640" s="130" t="s">
        <v>228</v>
      </c>
      <c r="AI4640" s="154" t="s">
        <v>187</v>
      </c>
      <c r="AJ4640" s="144"/>
      <c r="AK4640" s="130" t="s">
        <v>228</v>
      </c>
      <c r="AL4640" s="154" t="s">
        <v>187</v>
      </c>
      <c r="AM4640" s="144"/>
      <c r="AN4640" s="130" t="s">
        <v>228</v>
      </c>
      <c r="AO4640" s="154" t="s">
        <v>187</v>
      </c>
      <c r="AP4640" s="144"/>
      <c r="AQ4640" s="130" t="s">
        <v>228</v>
      </c>
      <c r="AR4640" s="154" t="s">
        <v>187</v>
      </c>
      <c r="AS4640" s="144"/>
      <c r="AT4640" s="130" t="s">
        <v>228</v>
      </c>
      <c r="AU4640" s="154" t="s">
        <v>187</v>
      </c>
    </row>
    <row r="4641" spans="13:47" x14ac:dyDescent="0.25">
      <c r="M4641" s="20"/>
      <c r="N4641" s="20"/>
      <c r="O4641" s="7" t="s">
        <v>188</v>
      </c>
      <c r="P4641" s="7"/>
      <c r="Q4641" s="7"/>
      <c r="R4641" s="181">
        <f>P_1_minW-(R4639^2*R_up)+dpup_minQ</f>
        <v>76.686556032145148</v>
      </c>
      <c r="S4641" s="132"/>
      <c r="T4641" s="145"/>
      <c r="U4641" s="138">
        <f>P_1_minW-(U4639^2*R_up)+dpup_minQ</f>
        <v>40.508762575110943</v>
      </c>
      <c r="V4641" s="132"/>
      <c r="W4641" s="145"/>
      <c r="X4641" s="138">
        <f>P_1_minW-(X4639^2*R_up)+dpup_minQ</f>
        <v>-266.54204519336974</v>
      </c>
      <c r="Y4641" s="132"/>
      <c r="Z4641" s="145"/>
      <c r="AA4641" s="138">
        <f>P_1_minW-(AA4639^2*R_up)+dpup_minQ</f>
        <v>-1292.0146006310256</v>
      </c>
      <c r="AB4641" s="132"/>
      <c r="AC4641" s="145"/>
      <c r="AD4641" s="138">
        <f>P_1_minW-(AD4639^2*R_up)+dpup_minQ</f>
        <v>-3666.0315966020876</v>
      </c>
      <c r="AE4641" s="132"/>
      <c r="AF4641" s="145"/>
      <c r="AG4641" s="138">
        <f>P_1_minW-(AG4639^2*R_up)+dpup_minQ</f>
        <v>-7309.1266217069533</v>
      </c>
      <c r="AH4641" s="132"/>
      <c r="AI4641" s="145"/>
      <c r="AJ4641" s="138">
        <f>P_1_minW-(AJ4639^2*R_up)+dpup_minQ</f>
        <v>-11845.507216040633</v>
      </c>
      <c r="AK4641" s="132"/>
      <c r="AL4641" s="145"/>
      <c r="AM4641" s="138">
        <f>P_1_minW-(AM4639^2*R_up)+dpup_minQ</f>
        <v>-16324.559811034827</v>
      </c>
      <c r="AN4641" s="132"/>
      <c r="AO4641" s="145"/>
      <c r="AP4641" s="138">
        <f>P_1_minW-(AP4639^2*R_up)+dpup_minQ</f>
        <v>-20344.038020428387</v>
      </c>
      <c r="AQ4641" s="132"/>
      <c r="AR4641" s="145"/>
      <c r="AS4641" s="138">
        <f>P_1_minW-(AS4639^2*R_up)+dpup_minQ</f>
        <v>-25347.146295583796</v>
      </c>
      <c r="AT4641" s="132"/>
      <c r="AU4641" s="145"/>
    </row>
    <row r="4642" spans="13:47" x14ac:dyDescent="0.25">
      <c r="M4642" s="20"/>
      <c r="N4642" s="20"/>
      <c r="O4642" s="7" t="s">
        <v>189</v>
      </c>
      <c r="P4642" s="1"/>
      <c r="Q4642" s="7"/>
      <c r="R4642" s="181">
        <f>P_2_minW+(R4639^2*R_dn)-dpdn_minQ</f>
        <v>50</v>
      </c>
      <c r="S4642" s="132"/>
      <c r="T4642" s="146"/>
      <c r="U4642" s="138">
        <f>P_2_minW+(U4639^2*R_dn)-dpdn_minQ</f>
        <v>50</v>
      </c>
      <c r="V4642" s="132"/>
      <c r="W4642" s="146"/>
      <c r="X4642" s="138">
        <f>P_2_minW+(X4639^2*R_dn)-dpdn_minQ</f>
        <v>50</v>
      </c>
      <c r="Y4642" s="132"/>
      <c r="Z4642" s="146"/>
      <c r="AA4642" s="138">
        <f>P_2_minW+(AA4639^2*R_dn)-dpdn_minQ</f>
        <v>50</v>
      </c>
      <c r="AB4642" s="132"/>
      <c r="AC4642" s="146"/>
      <c r="AD4642" s="138">
        <f>P_2_minW+(AD4639^2*R_dn)-dpdn_minQ</f>
        <v>50</v>
      </c>
      <c r="AE4642" s="132"/>
      <c r="AF4642" s="146"/>
      <c r="AG4642" s="138">
        <f>P_2_minW+(AG4639^2*R_dn)-dpdn_minQ</f>
        <v>50</v>
      </c>
      <c r="AH4642" s="132"/>
      <c r="AI4642" s="146"/>
      <c r="AJ4642" s="138">
        <f>P_2_minW+(AJ4639^2*R_dn)-dpdn_minQ</f>
        <v>50</v>
      </c>
      <c r="AK4642" s="132"/>
      <c r="AL4642" s="146"/>
      <c r="AM4642" s="138">
        <f>P_2_minW+(AM4639^2*R_dn)-dpdn_minQ</f>
        <v>50</v>
      </c>
      <c r="AN4642" s="132"/>
      <c r="AO4642" s="146"/>
      <c r="AP4642" s="138">
        <f>P_2_minW+(AP4639^2*R_dn)-dpdn_minQ</f>
        <v>50</v>
      </c>
      <c r="AQ4642" s="132"/>
      <c r="AR4642" s="146"/>
      <c r="AS4642" s="138">
        <f>P_2_minW+(AS4639^2*R_dn)-dpdn_minQ</f>
        <v>50</v>
      </c>
      <c r="AT4642" s="132"/>
      <c r="AU4642" s="146"/>
    </row>
    <row r="4643" spans="13:47" x14ac:dyDescent="0.25">
      <c r="M4643" s="20"/>
      <c r="N4643" s="20"/>
      <c r="O4643" s="7" t="s">
        <v>234</v>
      </c>
      <c r="P4643" s="1"/>
      <c r="Q4643" s="7"/>
      <c r="R4643" s="179">
        <f>'Valve Sizing'!G$8*R4641/P_1_maxW</f>
        <v>0.36992229309929647</v>
      </c>
      <c r="S4643" s="132"/>
      <c r="T4643" s="146"/>
      <c r="U4643" s="143">
        <f>'Valve Sizing'!$G$8*U4641/P_1_maxW</f>
        <v>0.1954070585216868</v>
      </c>
      <c r="V4643" s="132"/>
      <c r="W4643" s="146"/>
      <c r="X4643" s="143">
        <f>'Valve Sizing'!$G$8*X4641/P_1_maxW</f>
        <v>-1.2857513711266024</v>
      </c>
      <c r="Y4643" s="132"/>
      <c r="Z4643" s="146"/>
      <c r="AA4643" s="143">
        <f>'Valve Sizing'!$G$8*AA4641/P_1_maxW</f>
        <v>-6.2324484044225139</v>
      </c>
      <c r="AB4643" s="132"/>
      <c r="AC4643" s="146"/>
      <c r="AD4643" s="143">
        <f>'Valve Sizing'!$G$8*AD4641/P_1_maxW</f>
        <v>-17.684283725312365</v>
      </c>
      <c r="AE4643" s="132"/>
      <c r="AF4643" s="146"/>
      <c r="AG4643" s="143">
        <f>'Valve Sizing'!$G$8*AG4641/P_1_maxW</f>
        <v>-35.257925513326988</v>
      </c>
      <c r="AH4643" s="132"/>
      <c r="AI4643" s="146"/>
      <c r="AJ4643" s="143">
        <f>'Valve Sizing'!$G$8*AJ4641/P_1_maxW</f>
        <v>-57.140617847608397</v>
      </c>
      <c r="AK4643" s="132"/>
      <c r="AL4643" s="146"/>
      <c r="AM4643" s="143">
        <f>'Valve Sizing'!$G$8*AM4641/P_1_maxW</f>
        <v>-78.746770119697317</v>
      </c>
      <c r="AN4643" s="132"/>
      <c r="AO4643" s="146"/>
      <c r="AP4643" s="143">
        <f>'Valve Sizing'!$G$8*AP4641/P_1_maxW</f>
        <v>-98.136017377824913</v>
      </c>
      <c r="AQ4643" s="132"/>
      <c r="AR4643" s="146"/>
      <c r="AS4643" s="143">
        <f>'Valve Sizing'!$G$8*AS4641/P_1_maxW</f>
        <v>-122.27012094864847</v>
      </c>
      <c r="AT4643" s="132"/>
      <c r="AU4643" s="146"/>
    </row>
    <row r="4644" spans="13:47" x14ac:dyDescent="0.25">
      <c r="M4644" s="20"/>
      <c r="N4644" s="20"/>
      <c r="O4644" s="7" t="s">
        <v>190</v>
      </c>
      <c r="P4644" s="1"/>
      <c r="Q4644" s="7"/>
      <c r="R4644" s="181">
        <f>R4641-R4642</f>
        <v>26.686556032145148</v>
      </c>
      <c r="S4644" s="132"/>
      <c r="T4644" s="146"/>
      <c r="U4644" s="138">
        <f>U4641-U4642</f>
        <v>-9.4912374248890572</v>
      </c>
      <c r="V4644" s="132"/>
      <c r="W4644" s="146"/>
      <c r="X4644" s="138">
        <f>X4641-X4642</f>
        <v>-316.54204519336974</v>
      </c>
      <c r="Y4644" s="132"/>
      <c r="Z4644" s="146"/>
      <c r="AA4644" s="138">
        <f>AA4641-AA4642</f>
        <v>-1342.0146006310256</v>
      </c>
      <c r="AB4644" s="132"/>
      <c r="AC4644" s="146"/>
      <c r="AD4644" s="138">
        <f>AD4641-AD4642</f>
        <v>-3716.0315966020876</v>
      </c>
      <c r="AE4644" s="132"/>
      <c r="AF4644" s="146"/>
      <c r="AG4644" s="138">
        <f>AG4641-AG4642</f>
        <v>-7359.1266217069533</v>
      </c>
      <c r="AH4644" s="132"/>
      <c r="AI4644" s="146"/>
      <c r="AJ4644" s="138">
        <f>AJ4641-AJ4642</f>
        <v>-11895.507216040633</v>
      </c>
      <c r="AK4644" s="132"/>
      <c r="AL4644" s="146"/>
      <c r="AM4644" s="138">
        <f>AM4641-AM4642</f>
        <v>-16374.559811034827</v>
      </c>
      <c r="AN4644" s="132"/>
      <c r="AO4644" s="146"/>
      <c r="AP4644" s="138">
        <f>AP4641-AP4642</f>
        <v>-20394.038020428387</v>
      </c>
      <c r="AQ4644" s="132"/>
      <c r="AR4644" s="146"/>
      <c r="AS4644" s="138">
        <f>AS4641-AS4642</f>
        <v>-25397.146295583796</v>
      </c>
      <c r="AT4644" s="132"/>
      <c r="AU4644" s="146"/>
    </row>
    <row r="4645" spans="13:47" ht="14.5" x14ac:dyDescent="0.35">
      <c r="M4645" s="27"/>
      <c r="N4645" s="27"/>
      <c r="O4645" s="2" t="s">
        <v>191</v>
      </c>
      <c r="P4645" s="10"/>
      <c r="Q4645" s="2"/>
      <c r="R4645" s="181">
        <f>R4644/R4641</f>
        <v>0.34799523427494633</v>
      </c>
      <c r="S4645" s="132"/>
      <c r="T4645" s="146"/>
      <c r="U4645" s="138">
        <f>U4644/U4641</f>
        <v>-0.23430084805208501</v>
      </c>
      <c r="V4645" s="132"/>
      <c r="W4645" s="146"/>
      <c r="X4645" s="138">
        <f>X4644/X4641</f>
        <v>1.1875876654421489</v>
      </c>
      <c r="Y4645" s="132"/>
      <c r="Z4645" s="146"/>
      <c r="AA4645" s="138">
        <f>AA4644/AA4641</f>
        <v>1.0386992530700347</v>
      </c>
      <c r="AB4645" s="132"/>
      <c r="AC4645" s="146"/>
      <c r="AD4645" s="138">
        <f>AD4644/AD4641</f>
        <v>1.0136387258763244</v>
      </c>
      <c r="AE4645" s="132"/>
      <c r="AF4645" s="146"/>
      <c r="AG4645" s="138">
        <f>AG4644/AG4641</f>
        <v>1.006840762595562</v>
      </c>
      <c r="AH4645" s="132"/>
      <c r="AI4645" s="146"/>
      <c r="AJ4645" s="138">
        <f>AJ4644/AJ4641</f>
        <v>1.0042210096273709</v>
      </c>
      <c r="AK4645" s="132"/>
      <c r="AL4645" s="146"/>
      <c r="AM4645" s="138">
        <f>AM4644/AM4641</f>
        <v>1.0030628697238257</v>
      </c>
      <c r="AN4645" s="132"/>
      <c r="AO4645" s="146"/>
      <c r="AP4645" s="138">
        <f>AP4644/AP4641</f>
        <v>1.0024577225008031</v>
      </c>
      <c r="AQ4645" s="132"/>
      <c r="AR4645" s="146"/>
      <c r="AS4645" s="138">
        <f>AS4644/AS4641</f>
        <v>1.0019726086486</v>
      </c>
      <c r="AT4645" s="132"/>
      <c r="AU4645" s="146"/>
    </row>
    <row r="4646" spans="13:47" x14ac:dyDescent="0.25">
      <c r="M4646" s="27"/>
      <c r="N4646" s="27"/>
      <c r="O4646" s="2" t="s">
        <v>26</v>
      </c>
      <c r="P4646" s="7">
        <v>12</v>
      </c>
      <c r="Q4646" s="2"/>
      <c r="R4646" s="181">
        <f>1-R4645/(3*F_GAMMA*R$29)</f>
        <v>0.81876009426744556</v>
      </c>
      <c r="S4646" s="133"/>
      <c r="T4646" s="146"/>
      <c r="U4646" s="138">
        <f>1-U4645/(3*F_GAMMA*U$29)</f>
        <v>1.1219996993378558</v>
      </c>
      <c r="V4646" s="133"/>
      <c r="W4646" s="146"/>
      <c r="X4646" s="138">
        <f>1-X4645/(3*F_GAMMA*X$29)</f>
        <v>0.37235033504890969</v>
      </c>
      <c r="Y4646" s="133"/>
      <c r="Z4646" s="146"/>
      <c r="AA4646" s="138">
        <f>1-AA4645/(3*F_GAMMA*AA$29)</f>
        <v>0.44351204410257261</v>
      </c>
      <c r="AB4646" s="133"/>
      <c r="AC4646" s="146"/>
      <c r="AD4646" s="138">
        <f>1-AD4645/(3*F_GAMMA*AD$29)</f>
        <v>0.44204874208690847</v>
      </c>
      <c r="AE4646" s="133"/>
      <c r="AF4646" s="146"/>
      <c r="AG4646" s="138">
        <f>1-AG4645/(3*F_GAMMA*AG$29)</f>
        <v>0.41417766249952681</v>
      </c>
      <c r="AH4646" s="133"/>
      <c r="AI4646" s="146"/>
      <c r="AJ4646" s="138">
        <f>1-AJ4645/(3*F_GAMMA*AJ$29)</f>
        <v>0.37537745818442769</v>
      </c>
      <c r="AK4646" s="133"/>
      <c r="AL4646" s="146"/>
      <c r="AM4646" s="138">
        <f>1-AM4645/(3*F_GAMMA*AM$29)</f>
        <v>0.31832342210546738</v>
      </c>
      <c r="AN4646" s="133"/>
      <c r="AO4646" s="146"/>
      <c r="AP4646" s="138">
        <f>1-AP4645/(3*F_GAMMA*AP$29)</f>
        <v>0.43700791484235579</v>
      </c>
      <c r="AQ4646" s="133"/>
      <c r="AR4646" s="146"/>
      <c r="AS4646" s="138">
        <f>1-AS4645/(3*F_GAMMA*AS$29)</f>
        <v>0.14574269057743083</v>
      </c>
      <c r="AT4646" s="133"/>
      <c r="AU4646" s="146"/>
    </row>
    <row r="4647" spans="13:47" x14ac:dyDescent="0.25">
      <c r="M4647" s="27"/>
      <c r="N4647" s="27"/>
      <c r="O4647" s="2" t="s">
        <v>71</v>
      </c>
      <c r="P4647" s="85">
        <v>5</v>
      </c>
      <c r="Q4647" s="2"/>
      <c r="R4647" s="179">
        <f>R4639/((N_6*R$27*R4646)*SQRT(R4645*R4641*R4643))</f>
        <v>47.484466291908163</v>
      </c>
      <c r="S4647" s="133"/>
      <c r="T4647" s="146"/>
      <c r="U4647" s="143" t="e">
        <f>U4639/((N_6*U$27*U4646)*SQRT(U4645*U4641*U4643))</f>
        <v>#NUM!</v>
      </c>
      <c r="V4647" s="133"/>
      <c r="W4647" s="146"/>
      <c r="X4647" s="143">
        <f>X4639/((N_6*X$27*X4646)*SQRT(X4645*X4641*X4643))</f>
        <v>63.99525620843221</v>
      </c>
      <c r="Y4647" s="133"/>
      <c r="Z4647" s="146"/>
      <c r="AA4647" s="143">
        <f>AA4639/((N_6*AA$27*AA4646)*SQRT(AA4645*AA4641*AA4643))</f>
        <v>23.216832718393707</v>
      </c>
      <c r="AB4647" s="133"/>
      <c r="AC4647" s="146"/>
      <c r="AD4647" s="143">
        <f>AD4639/((N_6*AD$27*AD4646)*SQRT(AD4645*AD4641*AD4643))</f>
        <v>13.83012581155322</v>
      </c>
      <c r="AE4647" s="133"/>
      <c r="AF4647" s="146"/>
      <c r="AG4647" s="143">
        <f>AG4639/((N_6*AG$27*AG4646)*SQRT(AG4645*AG4641*AG4643))</f>
        <v>10.643855453131069</v>
      </c>
      <c r="AH4647" s="133"/>
      <c r="AI4647" s="146"/>
      <c r="AJ4647" s="143">
        <f>AJ4639/((N_6*AJ$27*AJ4646)*SQRT(AJ4645*AJ4641*AJ4643))</f>
        <v>9.5294440702876084</v>
      </c>
      <c r="AK4647" s="133"/>
      <c r="AL4647" s="146"/>
      <c r="AM4647" s="143">
        <f>AM4639/((N_6*AM$27*AM4646)*SQRT(AM4645*AM4641*AM4643))</f>
        <v>10.15444380453045</v>
      </c>
      <c r="AN4647" s="133"/>
      <c r="AO4647" s="146"/>
      <c r="AP4647" s="143">
        <f>AP4639/((N_6*AP$27*AP4646)*SQRT(AP4645*AP4641*AP4643))</f>
        <v>7.5241948227714923</v>
      </c>
      <c r="AQ4647" s="133"/>
      <c r="AR4647" s="146"/>
      <c r="AS4647" s="143">
        <f>AS4639/((N_6*AS$27*AS4646)*SQRT(AS4645*AS4641*AS4643))</f>
        <v>26.552063495090909</v>
      </c>
      <c r="AT4647" s="133"/>
      <c r="AU4647" s="146"/>
    </row>
    <row r="4648" spans="13:47" x14ac:dyDescent="0.25">
      <c r="M4648" s="27"/>
      <c r="N4648" s="27"/>
      <c r="O4648" s="2" t="s">
        <v>73</v>
      </c>
      <c r="P4648" s="85">
        <v>5</v>
      </c>
      <c r="Q4648" s="2"/>
      <c r="R4648" s="179">
        <f>R4639/((N_6*R$27*0.667)*SQRT(R4649*R4641*R4643))</f>
        <v>42.980348802264139</v>
      </c>
      <c r="S4648" s="133"/>
      <c r="T4648" s="155"/>
      <c r="U4648" s="143">
        <f>U4639/((N_6*U$27*0.667)*SQRT(U4649*U4641*U4643))</f>
        <v>129.17245826060386</v>
      </c>
      <c r="V4648" s="133"/>
      <c r="W4648" s="155"/>
      <c r="X4648" s="143">
        <f>X4639/((N_6*X$27*0.667)*SQRT(X4649*X4641*X4643))</f>
        <v>49.022220063129645</v>
      </c>
      <c r="Y4648" s="133"/>
      <c r="Z4648" s="155"/>
      <c r="AA4648" s="143">
        <f>AA4639/((N_6*AA$27*0.667)*SQRT(AA4649*AA4641*AA4643))</f>
        <v>19.946700575830274</v>
      </c>
      <c r="AB4648" s="133"/>
      <c r="AC4648" s="155"/>
      <c r="AD4648" s="143">
        <f>AD4639/((N_6*AD$27*0.667)*SQRT(AD4649*AD4641*AD4643))</f>
        <v>11.858485145260952</v>
      </c>
      <c r="AE4648" s="133"/>
      <c r="AF4648" s="155"/>
      <c r="AG4648" s="143">
        <f>AG4639/((N_6*AG$27*0.667)*SQRT(AG4649*AG4641*AG4643))</f>
        <v>8.7620030081546147</v>
      </c>
      <c r="AH4648" s="133"/>
      <c r="AI4648" s="155"/>
      <c r="AJ4648" s="143">
        <f>AJ4639/((N_6*AJ$27*0.667)*SQRT(AJ4649*AJ4641*AJ4643))</f>
        <v>7.3414082374095448</v>
      </c>
      <c r="AK4648" s="133"/>
      <c r="AL4648" s="155"/>
      <c r="AM4648" s="143">
        <f>AM4639/((N_6*AM$27*0.667)*SQRT(AM4649*AM4641*AM4643))</f>
        <v>6.9302470238149718</v>
      </c>
      <c r="AN4648" s="133"/>
      <c r="AO4648" s="155"/>
      <c r="AP4648" s="143">
        <f>AP4639/((N_6*AP$27*0.667)*SQRT(AP4649*AP4641*AP4643))</f>
        <v>6.4067130525063209</v>
      </c>
      <c r="AQ4648" s="133"/>
      <c r="AR4648" s="155"/>
      <c r="AS4648" s="143">
        <f>AS4639/((N_6*AS$27*0.667)*SQRT(AS4649*AS4641*AS4643))</f>
        <v>9.2878288943673528</v>
      </c>
      <c r="AT4648" s="133"/>
      <c r="AU4648" s="155"/>
    </row>
    <row r="4649" spans="13:47" ht="15.5" x14ac:dyDescent="0.4">
      <c r="M4649" s="27"/>
      <c r="N4649" s="27"/>
      <c r="O4649" s="2" t="s">
        <v>192</v>
      </c>
      <c r="P4649" s="85">
        <v>10</v>
      </c>
      <c r="Q4649" s="2"/>
      <c r="R4649" s="181">
        <f>F_GAMMA*R$29</f>
        <v>0.64002688015162901</v>
      </c>
      <c r="S4649" s="133"/>
      <c r="T4649" s="155"/>
      <c r="U4649" s="138">
        <f>F_GAMMA*U$29</f>
        <v>0.64016782916606918</v>
      </c>
      <c r="V4649" s="133"/>
      <c r="W4649" s="155"/>
      <c r="X4649" s="138">
        <f>F_GAMMA*X$29</f>
        <v>0.6307062319203669</v>
      </c>
      <c r="Y4649" s="133"/>
      <c r="Z4649" s="155"/>
      <c r="AA4649" s="138">
        <f>F_GAMMA*AA$29</f>
        <v>0.62217534213893466</v>
      </c>
      <c r="AB4649" s="133"/>
      <c r="AC4649" s="155"/>
      <c r="AD4649" s="138">
        <f>F_GAMMA*AD$29</f>
        <v>0.60557184969146072</v>
      </c>
      <c r="AE4649" s="133"/>
      <c r="AF4649" s="155"/>
      <c r="AG4649" s="138">
        <f>F_GAMMA*AG$29</f>
        <v>0.57289312142622573</v>
      </c>
      <c r="AH4649" s="133"/>
      <c r="AI4649" s="155"/>
      <c r="AJ4649" s="138">
        <f>F_GAMMA*AJ$29</f>
        <v>0.53590819116049981</v>
      </c>
      <c r="AK4649" s="133"/>
      <c r="AL4649" s="155"/>
      <c r="AM4649" s="138">
        <f>F_GAMMA*AM$29</f>
        <v>0.49048815926850342</v>
      </c>
      <c r="AN4649" s="133"/>
      <c r="AO4649" s="155"/>
      <c r="AP4649" s="138">
        <f>F_GAMMA*AP$29</f>
        <v>0.59352979016280105</v>
      </c>
      <c r="AQ4649" s="133"/>
      <c r="AR4649" s="155"/>
      <c r="AS4649" s="138">
        <f>F_GAMMA*AS$29</f>
        <v>0.39097221161068291</v>
      </c>
      <c r="AT4649" s="133"/>
      <c r="AU4649" s="155"/>
    </row>
    <row r="4650" spans="13:47" x14ac:dyDescent="0.25">
      <c r="M4650" s="27"/>
      <c r="N4650" s="27"/>
      <c r="O4650" s="2" t="s">
        <v>193</v>
      </c>
      <c r="P4650" s="134"/>
      <c r="Q4650" s="2"/>
      <c r="R4650" s="181">
        <f>IF(R4645&lt;R4649,R4647,R4648)</f>
        <v>47.484466291908163</v>
      </c>
      <c r="S4650" s="133"/>
      <c r="T4650" s="155"/>
      <c r="U4650" s="138" t="e">
        <f>IF(U4645&lt;U4649,U4647,U4648)</f>
        <v>#NUM!</v>
      </c>
      <c r="V4650" s="133"/>
      <c r="W4650" s="155"/>
      <c r="X4650" s="138">
        <f>IF(X4645&lt;X4649,X4647,X4648)</f>
        <v>49.022220063129645</v>
      </c>
      <c r="Y4650" s="133"/>
      <c r="Z4650" s="155"/>
      <c r="AA4650" s="138">
        <f>IF(AA4645&lt;AA4649,AA4647,AA4648)</f>
        <v>19.946700575830274</v>
      </c>
      <c r="AB4650" s="133"/>
      <c r="AC4650" s="155"/>
      <c r="AD4650" s="138">
        <f>IF(AD4645&lt;AD4649,AD4647,AD4648)</f>
        <v>11.858485145260952</v>
      </c>
      <c r="AE4650" s="133"/>
      <c r="AF4650" s="155"/>
      <c r="AG4650" s="138">
        <f>IF(AG4645&lt;AG4649,AG4647,AG4648)</f>
        <v>8.7620030081546147</v>
      </c>
      <c r="AH4650" s="133"/>
      <c r="AI4650" s="155"/>
      <c r="AJ4650" s="138">
        <f>IF(AJ4645&lt;AJ4649,AJ4647,AJ4648)</f>
        <v>7.3414082374095448</v>
      </c>
      <c r="AK4650" s="133"/>
      <c r="AL4650" s="155"/>
      <c r="AM4650" s="138">
        <f>IF(AM4645&lt;AM4649,AM4647,AM4648)</f>
        <v>6.9302470238149718</v>
      </c>
      <c r="AN4650" s="133"/>
      <c r="AO4650" s="155"/>
      <c r="AP4650" s="138">
        <f>IF(AP4645&lt;AP4649,AP4647,AP4648)</f>
        <v>6.4067130525063209</v>
      </c>
      <c r="AQ4650" s="133"/>
      <c r="AR4650" s="155"/>
      <c r="AS4650" s="138">
        <f>IF(AS4645&lt;AS4649,AS4647,AS4648)</f>
        <v>9.2878288943673528</v>
      </c>
      <c r="AT4650" s="133"/>
      <c r="AU4650" s="155"/>
    </row>
    <row r="4651" spans="13:47" ht="13" x14ac:dyDescent="0.3">
      <c r="M4651" s="28"/>
      <c r="N4651" s="28"/>
      <c r="O4651" s="9" t="s">
        <v>194</v>
      </c>
      <c r="P4651" s="1"/>
      <c r="Q4651" s="1"/>
      <c r="R4651" s="135"/>
      <c r="S4651" s="132">
        <f>IF(R4644&lt;=0,W_max,ABS(R$23-R4650))</f>
        <v>45.484466291908163</v>
      </c>
      <c r="T4651" s="151">
        <f>R4639</f>
        <v>7731.4685987921985</v>
      </c>
      <c r="U4651" s="135"/>
      <c r="V4651" s="132">
        <f>IF(U4644&lt;=0,W_max,ABS(U$23-U4650))</f>
        <v>7174</v>
      </c>
      <c r="W4651" s="151">
        <f>U4639</f>
        <v>12267.881735136478</v>
      </c>
      <c r="X4651" s="135"/>
      <c r="Y4651" s="132">
        <f>IF(X4644&lt;=0,W_max,ABS(X$23-X4650))</f>
        <v>7174</v>
      </c>
      <c r="Z4651" s="151">
        <f>X4639</f>
        <v>30339.931426032264</v>
      </c>
      <c r="AA4651" s="135"/>
      <c r="AB4651" s="132">
        <f>IF(AA4644&lt;=0,W_max,ABS(AA$23-AA4650))</f>
        <v>7174</v>
      </c>
      <c r="AC4651" s="151">
        <f>AA4639</f>
        <v>59094.442289573155</v>
      </c>
      <c r="AD4651" s="135"/>
      <c r="AE4651" s="132">
        <f>IF(AD4644&lt;=0,W_max,ABS(AD$23-AD4650))</f>
        <v>7174</v>
      </c>
      <c r="AF4651" s="151">
        <f>AD4639</f>
        <v>97188.600283548803</v>
      </c>
      <c r="AG4651" s="135"/>
      <c r="AH4651" s="132">
        <f>IF(AG4644&lt;=0,W_max,ABS(AG$23-AG4650))</f>
        <v>7174</v>
      </c>
      <c r="AI4651" s="151">
        <f>AG4639</f>
        <v>136314.49407573912</v>
      </c>
      <c r="AJ4651" s="135"/>
      <c r="AK4651" s="132">
        <f>IF(AJ4644&lt;=0,W_max,ABS(AJ$23-AJ4650))</f>
        <v>7174</v>
      </c>
      <c r="AL4651" s="151">
        <f>AJ4639</f>
        <v>173083.23622506444</v>
      </c>
      <c r="AM4651" s="135"/>
      <c r="AN4651" s="132">
        <f>IF(AM4644&lt;=0,W_max,ABS(AM$23-AM4650))</f>
        <v>7174</v>
      </c>
      <c r="AO4651" s="151">
        <f>AM4639</f>
        <v>202953.7065917945</v>
      </c>
      <c r="AP4651" s="135"/>
      <c r="AQ4651" s="132">
        <f>IF(AP4644&lt;=0,W_max,ABS(AP$23-AP4650))</f>
        <v>7174</v>
      </c>
      <c r="AR4651" s="151">
        <f>AP4639</f>
        <v>226429.02628286518</v>
      </c>
      <c r="AS4651" s="135"/>
      <c r="AT4651" s="132">
        <f>IF(AS4644&lt;=0,W_max,ABS(AS$23-AS4650))</f>
        <v>7174</v>
      </c>
      <c r="AU4651" s="151">
        <f>AS4639</f>
        <v>252619.69739004178</v>
      </c>
    </row>
    <row r="4652" spans="13:47" ht="13" x14ac:dyDescent="0.25">
      <c r="M4652" s="12"/>
      <c r="N4652" s="12"/>
      <c r="O4652" s="2"/>
      <c r="P4652" s="85"/>
      <c r="Q4652" s="2"/>
      <c r="R4652" s="18"/>
      <c r="S4652" s="150"/>
      <c r="T4652" s="148"/>
      <c r="U4652" s="157"/>
      <c r="V4652" s="1"/>
      <c r="W4652" s="147"/>
      <c r="X4652" s="157"/>
      <c r="Y4652" s="1"/>
      <c r="Z4652" s="147"/>
      <c r="AA4652" s="157"/>
      <c r="AB4652" s="1"/>
      <c r="AC4652" s="147"/>
      <c r="AD4652" s="157"/>
      <c r="AE4652" s="1"/>
      <c r="AF4652" s="147"/>
      <c r="AG4652" s="157"/>
      <c r="AH4652" s="1"/>
      <c r="AI4652" s="147"/>
      <c r="AJ4652" s="157"/>
      <c r="AK4652" s="1"/>
      <c r="AL4652" s="147"/>
      <c r="AM4652" s="157"/>
      <c r="AN4652" s="1"/>
      <c r="AO4652" s="147"/>
      <c r="AP4652" s="157"/>
      <c r="AQ4652" s="1"/>
      <c r="AR4652" s="147"/>
      <c r="AS4652" s="157"/>
      <c r="AT4652" s="1"/>
      <c r="AU4652" s="147"/>
    </row>
    <row r="4653" spans="13:47" ht="14" x14ac:dyDescent="0.3">
      <c r="M4653" s="23"/>
      <c r="N4653" s="23"/>
      <c r="O4653" s="23" t="s">
        <v>238</v>
      </c>
      <c r="P4653" s="20"/>
      <c r="Q4653" s="20"/>
      <c r="R4653" s="181">
        <f>R4639*1.02</f>
        <v>7886.0979707680426</v>
      </c>
      <c r="S4653" s="128" t="s">
        <v>185</v>
      </c>
      <c r="T4653" s="149" t="s">
        <v>186</v>
      </c>
      <c r="U4653" s="143">
        <f>U4639*1.01</f>
        <v>12390.560552487843</v>
      </c>
      <c r="V4653" s="128" t="s">
        <v>185</v>
      </c>
      <c r="W4653" s="153" t="s">
        <v>186</v>
      </c>
      <c r="X4653" s="143">
        <f>X4639*1.01</f>
        <v>30643.330740292586</v>
      </c>
      <c r="Y4653" s="128" t="s">
        <v>185</v>
      </c>
      <c r="Z4653" s="153" t="s">
        <v>186</v>
      </c>
      <c r="AA4653" s="143">
        <f>AA4639*1.01</f>
        <v>59685.386712468884</v>
      </c>
      <c r="AB4653" s="128" t="s">
        <v>185</v>
      </c>
      <c r="AC4653" s="153" t="s">
        <v>186</v>
      </c>
      <c r="AD4653" s="143">
        <f>AD4639*1.01</f>
        <v>98160.486286384286</v>
      </c>
      <c r="AE4653" s="128" t="s">
        <v>185</v>
      </c>
      <c r="AF4653" s="153" t="s">
        <v>186</v>
      </c>
      <c r="AG4653" s="143">
        <f>AG4639*1.01</f>
        <v>137677.63901649651</v>
      </c>
      <c r="AH4653" s="128" t="s">
        <v>185</v>
      </c>
      <c r="AI4653" s="153" t="s">
        <v>186</v>
      </c>
      <c r="AJ4653" s="143">
        <f>AJ4639*1.01</f>
        <v>174814.06858731509</v>
      </c>
      <c r="AK4653" s="128" t="s">
        <v>185</v>
      </c>
      <c r="AL4653" s="153" t="s">
        <v>186</v>
      </c>
      <c r="AM4653" s="143">
        <f>AM4639*1.01</f>
        <v>204983.24365771245</v>
      </c>
      <c r="AN4653" s="128" t="s">
        <v>185</v>
      </c>
      <c r="AO4653" s="153" t="s">
        <v>186</v>
      </c>
      <c r="AP4653" s="143">
        <f>AP4639*1.01</f>
        <v>228693.31654569381</v>
      </c>
      <c r="AQ4653" s="128" t="s">
        <v>185</v>
      </c>
      <c r="AR4653" s="153" t="s">
        <v>186</v>
      </c>
      <c r="AS4653" s="143">
        <f>AS4639*1.01</f>
        <v>255145.89436394221</v>
      </c>
      <c r="AT4653" s="128" t="s">
        <v>185</v>
      </c>
      <c r="AU4653" s="153" t="s">
        <v>186</v>
      </c>
    </row>
    <row r="4654" spans="13:47" ht="14" x14ac:dyDescent="0.3">
      <c r="M4654" s="12"/>
      <c r="N4654" s="12"/>
      <c r="O4654" s="20"/>
      <c r="P4654" s="20"/>
      <c r="Q4654" s="23"/>
      <c r="R4654" s="139"/>
      <c r="S4654" s="130" t="s">
        <v>228</v>
      </c>
      <c r="T4654" s="131" t="s">
        <v>187</v>
      </c>
      <c r="U4654" s="144"/>
      <c r="V4654" s="130" t="s">
        <v>228</v>
      </c>
      <c r="W4654" s="154" t="s">
        <v>187</v>
      </c>
      <c r="X4654" s="144"/>
      <c r="Y4654" s="130" t="s">
        <v>228</v>
      </c>
      <c r="Z4654" s="154" t="s">
        <v>187</v>
      </c>
      <c r="AA4654" s="144"/>
      <c r="AB4654" s="130" t="s">
        <v>228</v>
      </c>
      <c r="AC4654" s="154" t="s">
        <v>187</v>
      </c>
      <c r="AD4654" s="144"/>
      <c r="AE4654" s="130" t="s">
        <v>228</v>
      </c>
      <c r="AF4654" s="154" t="s">
        <v>187</v>
      </c>
      <c r="AG4654" s="144"/>
      <c r="AH4654" s="130" t="s">
        <v>228</v>
      </c>
      <c r="AI4654" s="154" t="s">
        <v>187</v>
      </c>
      <c r="AJ4654" s="144"/>
      <c r="AK4654" s="130" t="s">
        <v>228</v>
      </c>
      <c r="AL4654" s="154" t="s">
        <v>187</v>
      </c>
      <c r="AM4654" s="144"/>
      <c r="AN4654" s="130" t="s">
        <v>228</v>
      </c>
      <c r="AO4654" s="154" t="s">
        <v>187</v>
      </c>
      <c r="AP4654" s="144"/>
      <c r="AQ4654" s="130" t="s">
        <v>228</v>
      </c>
      <c r="AR4654" s="154" t="s">
        <v>187</v>
      </c>
      <c r="AS4654" s="144"/>
      <c r="AT4654" s="130" t="s">
        <v>228</v>
      </c>
      <c r="AU4654" s="154" t="s">
        <v>187</v>
      </c>
    </row>
    <row r="4655" spans="13:47" x14ac:dyDescent="0.25">
      <c r="M4655" s="20"/>
      <c r="N4655" s="20"/>
      <c r="O4655" s="7" t="s">
        <v>188</v>
      </c>
      <c r="P4655" s="7"/>
      <c r="Q4655" s="7"/>
      <c r="R4655" s="181">
        <f>P_1_minW-(R4653^2*R_up)+dpup_minQ</f>
        <v>75.723572311680059</v>
      </c>
      <c r="S4655" s="132"/>
      <c r="T4655" s="145"/>
      <c r="U4655" s="138">
        <f>P_1_minW-(U4653^2*R_up)+dpup_minQ</f>
        <v>39.30248068946247</v>
      </c>
      <c r="V4655" s="132"/>
      <c r="W4655" s="145"/>
      <c r="X4655" s="138">
        <f>P_1_minW-(X4653^2*R_up)+dpup_minQ</f>
        <v>-273.92004831516465</v>
      </c>
      <c r="Y4655" s="132"/>
      <c r="Z4655" s="145"/>
      <c r="AA4655" s="138">
        <f>P_1_minW-(AA4653^2*R_up)+dpup_minQ</f>
        <v>-1320.0046021171174</v>
      </c>
      <c r="AB4655" s="132"/>
      <c r="AC4655" s="145"/>
      <c r="AD4655" s="138">
        <f>P_1_minW-(AD4653^2*R_up)+dpup_minQ</f>
        <v>-3741.7393397071974</v>
      </c>
      <c r="AE4655" s="132"/>
      <c r="AF4655" s="145"/>
      <c r="AG4655" s="138">
        <f>P_1_minW-(AG4653^2*R_up)+dpup_minQ</f>
        <v>-7458.0605748166727</v>
      </c>
      <c r="AH4655" s="132"/>
      <c r="AI4655" s="145"/>
      <c r="AJ4655" s="138">
        <f>P_1_minW-(AJ4653^2*R_up)+dpup_minQ</f>
        <v>-12085.62241909646</v>
      </c>
      <c r="AK4655" s="132"/>
      <c r="AL4655" s="145"/>
      <c r="AM4655" s="138">
        <f>P_1_minW-(AM4653^2*R_up)+dpup_minQ</f>
        <v>-16654.703971250034</v>
      </c>
      <c r="AN4655" s="132"/>
      <c r="AO4655" s="145"/>
      <c r="AP4655" s="138">
        <f>P_1_minW-(AP4653^2*R_up)+dpup_minQ</f>
        <v>-20754.973692652406</v>
      </c>
      <c r="AQ4655" s="132"/>
      <c r="AR4655" s="145"/>
      <c r="AS4655" s="138">
        <f>P_1_minW-(AS4653^2*R_up)+dpup_minQ</f>
        <v>-25858.644444138441</v>
      </c>
      <c r="AT4655" s="132"/>
      <c r="AU4655" s="145"/>
    </row>
    <row r="4656" spans="13:47" x14ac:dyDescent="0.25">
      <c r="M4656" s="20"/>
      <c r="N4656" s="20"/>
      <c r="O4656" s="7" t="s">
        <v>189</v>
      </c>
      <c r="P4656" s="1"/>
      <c r="Q4656" s="7"/>
      <c r="R4656" s="181">
        <f>P_2_minW+(R4653^2*R_dn)-dpdn_minQ</f>
        <v>50</v>
      </c>
      <c r="S4656" s="132"/>
      <c r="T4656" s="146"/>
      <c r="U4656" s="138">
        <f>P_2_minW+(U4653^2*R_dn)-dpdn_minQ</f>
        <v>50</v>
      </c>
      <c r="V4656" s="132"/>
      <c r="W4656" s="146"/>
      <c r="X4656" s="138">
        <f>P_2_minW+(X4653^2*R_dn)-dpdn_minQ</f>
        <v>50</v>
      </c>
      <c r="Y4656" s="132"/>
      <c r="Z4656" s="146"/>
      <c r="AA4656" s="138">
        <f>P_2_minW+(AA4653^2*R_dn)-dpdn_minQ</f>
        <v>50</v>
      </c>
      <c r="AB4656" s="132"/>
      <c r="AC4656" s="146"/>
      <c r="AD4656" s="138">
        <f>P_2_minW+(AD4653^2*R_dn)-dpdn_minQ</f>
        <v>50</v>
      </c>
      <c r="AE4656" s="132"/>
      <c r="AF4656" s="146"/>
      <c r="AG4656" s="138">
        <f>P_2_minW+(AG4653^2*R_dn)-dpdn_minQ</f>
        <v>50</v>
      </c>
      <c r="AH4656" s="132"/>
      <c r="AI4656" s="146"/>
      <c r="AJ4656" s="138">
        <f>P_2_minW+(AJ4653^2*R_dn)-dpdn_minQ</f>
        <v>50</v>
      </c>
      <c r="AK4656" s="132"/>
      <c r="AL4656" s="146"/>
      <c r="AM4656" s="138">
        <f>P_2_minW+(AM4653^2*R_dn)-dpdn_minQ</f>
        <v>50</v>
      </c>
      <c r="AN4656" s="132"/>
      <c r="AO4656" s="146"/>
      <c r="AP4656" s="138">
        <f>P_2_minW+(AP4653^2*R_dn)-dpdn_minQ</f>
        <v>50</v>
      </c>
      <c r="AQ4656" s="132"/>
      <c r="AR4656" s="146"/>
      <c r="AS4656" s="138">
        <f>P_2_minW+(AS4653^2*R_dn)-dpdn_minQ</f>
        <v>50</v>
      </c>
      <c r="AT4656" s="132"/>
      <c r="AU4656" s="146"/>
    </row>
    <row r="4657" spans="13:47" x14ac:dyDescent="0.25">
      <c r="M4657" s="20"/>
      <c r="N4657" s="20"/>
      <c r="O4657" s="7" t="s">
        <v>234</v>
      </c>
      <c r="P4657" s="1"/>
      <c r="Q4657" s="7"/>
      <c r="R4657" s="179">
        <f>'Valve Sizing'!G$8*R4655/P_1_maxW</f>
        <v>0.36527703108045689</v>
      </c>
      <c r="S4657" s="132"/>
      <c r="T4657" s="146"/>
      <c r="U4657" s="143">
        <f>'Valve Sizing'!$G$8*U4655/P_1_maxW</f>
        <v>0.18958816947057103</v>
      </c>
      <c r="V4657" s="132"/>
      <c r="W4657" s="146"/>
      <c r="X4657" s="143">
        <f>'Valve Sizing'!$G$8*X4655/P_1_maxW</f>
        <v>-1.3213415446136487</v>
      </c>
      <c r="Y4657" s="132"/>
      <c r="Z4657" s="146"/>
      <c r="AA4657" s="143">
        <f>'Valve Sizing'!$G$8*AA4655/P_1_maxW</f>
        <v>-6.3674671882788081</v>
      </c>
      <c r="AB4657" s="132"/>
      <c r="AC4657" s="146"/>
      <c r="AD4657" s="143">
        <f>'Valve Sizing'!$G$8*AD4655/P_1_maxW</f>
        <v>-18.049484399118544</v>
      </c>
      <c r="AE4657" s="132"/>
      <c r="AF4657" s="146"/>
      <c r="AG4657" s="143">
        <f>'Valve Sizing'!$G$8*AG4655/P_1_maxW</f>
        <v>-35.976356387072272</v>
      </c>
      <c r="AH4657" s="132"/>
      <c r="AI4657" s="146"/>
      <c r="AJ4657" s="143">
        <f>'Valve Sizing'!$G$8*AJ4655/P_1_maxW</f>
        <v>-58.298890837272737</v>
      </c>
      <c r="AK4657" s="132"/>
      <c r="AL4657" s="146"/>
      <c r="AM4657" s="143">
        <f>'Valve Sizing'!$G$8*AM4655/P_1_maxW</f>
        <v>-80.339326770030624</v>
      </c>
      <c r="AN4657" s="132"/>
      <c r="AO4657" s="146"/>
      <c r="AP4657" s="143">
        <f>'Valve Sizing'!$G$8*AP4655/P_1_maxW</f>
        <v>-100.11829789804661</v>
      </c>
      <c r="AQ4657" s="132"/>
      <c r="AR4657" s="146"/>
      <c r="AS4657" s="143">
        <f>'Valve Sizing'!$G$8*AS4655/P_1_maxW</f>
        <v>-124.73749695064373</v>
      </c>
      <c r="AT4657" s="132"/>
      <c r="AU4657" s="146"/>
    </row>
    <row r="4658" spans="13:47" x14ac:dyDescent="0.25">
      <c r="M4658" s="20"/>
      <c r="N4658" s="20"/>
      <c r="O4658" s="7" t="s">
        <v>190</v>
      </c>
      <c r="P4658" s="1"/>
      <c r="Q4658" s="7"/>
      <c r="R4658" s="181">
        <f>R4655-R4656</f>
        <v>25.723572311680059</v>
      </c>
      <c r="S4658" s="132"/>
      <c r="T4658" s="146"/>
      <c r="U4658" s="138">
        <f>U4655-U4656</f>
        <v>-10.69751931053753</v>
      </c>
      <c r="V4658" s="132"/>
      <c r="W4658" s="146"/>
      <c r="X4658" s="138">
        <f>X4655-X4656</f>
        <v>-323.92004831516465</v>
      </c>
      <c r="Y4658" s="132"/>
      <c r="Z4658" s="146"/>
      <c r="AA4658" s="138">
        <f>AA4655-AA4656</f>
        <v>-1370.0046021171174</v>
      </c>
      <c r="AB4658" s="132"/>
      <c r="AC4658" s="146"/>
      <c r="AD4658" s="138">
        <f>AD4655-AD4656</f>
        <v>-3791.7393397071974</v>
      </c>
      <c r="AE4658" s="132"/>
      <c r="AF4658" s="146"/>
      <c r="AG4658" s="138">
        <f>AG4655-AG4656</f>
        <v>-7508.0605748166727</v>
      </c>
      <c r="AH4658" s="132"/>
      <c r="AI4658" s="146"/>
      <c r="AJ4658" s="138">
        <f>AJ4655-AJ4656</f>
        <v>-12135.62241909646</v>
      </c>
      <c r="AK4658" s="132"/>
      <c r="AL4658" s="146"/>
      <c r="AM4658" s="138">
        <f>AM4655-AM4656</f>
        <v>-16704.703971250034</v>
      </c>
      <c r="AN4658" s="132"/>
      <c r="AO4658" s="146"/>
      <c r="AP4658" s="138">
        <f>AP4655-AP4656</f>
        <v>-20804.973692652406</v>
      </c>
      <c r="AQ4658" s="132"/>
      <c r="AR4658" s="146"/>
      <c r="AS4658" s="138">
        <f>AS4655-AS4656</f>
        <v>-25908.644444138441</v>
      </c>
      <c r="AT4658" s="132"/>
      <c r="AU4658" s="146"/>
    </row>
    <row r="4659" spans="13:47" ht="14.5" x14ac:dyDescent="0.35">
      <c r="M4659" s="27"/>
      <c r="N4659" s="27"/>
      <c r="O4659" s="2" t="s">
        <v>191</v>
      </c>
      <c r="P4659" s="10"/>
      <c r="Q4659" s="2"/>
      <c r="R4659" s="181">
        <f>R4658/R4655</f>
        <v>0.33970362895455081</v>
      </c>
      <c r="S4659" s="132"/>
      <c r="T4659" s="146"/>
      <c r="U4659" s="138">
        <f>U4658/U4655</f>
        <v>-0.27218432839038786</v>
      </c>
      <c r="V4659" s="132"/>
      <c r="W4659" s="146"/>
      <c r="X4659" s="138">
        <f>X4658/X4655</f>
        <v>1.1825350145326763</v>
      </c>
      <c r="Y4659" s="132"/>
      <c r="Z4659" s="146"/>
      <c r="AA4659" s="138">
        <f>AA4658/AA4655</f>
        <v>1.0378786558166588</v>
      </c>
      <c r="AB4659" s="132"/>
      <c r="AC4659" s="146"/>
      <c r="AD4659" s="138">
        <f>AD4658/AD4655</f>
        <v>1.0133627694129845</v>
      </c>
      <c r="AE4659" s="132"/>
      <c r="AF4659" s="146"/>
      <c r="AG4659" s="138">
        <f>AG4658/AG4655</f>
        <v>1.0067041557920344</v>
      </c>
      <c r="AH4659" s="132"/>
      <c r="AI4659" s="146"/>
      <c r="AJ4659" s="138">
        <f>AJ4658/AJ4655</f>
        <v>1.0041371472867624</v>
      </c>
      <c r="AK4659" s="132"/>
      <c r="AL4659" s="146"/>
      <c r="AM4659" s="138">
        <f>AM4658/AM4655</f>
        <v>1.0030021548318309</v>
      </c>
      <c r="AN4659" s="132"/>
      <c r="AO4659" s="146"/>
      <c r="AP4659" s="138">
        <f>AP4658/AP4655</f>
        <v>1.0024090611118288</v>
      </c>
      <c r="AQ4659" s="132"/>
      <c r="AR4659" s="146"/>
      <c r="AS4659" s="138">
        <f>AS4658/AS4655</f>
        <v>1.0019335893692345</v>
      </c>
      <c r="AT4659" s="132"/>
      <c r="AU4659" s="146"/>
    </row>
    <row r="4660" spans="13:47" x14ac:dyDescent="0.25">
      <c r="M4660" s="27"/>
      <c r="N4660" s="27"/>
      <c r="O4660" s="2" t="s">
        <v>26</v>
      </c>
      <c r="P4660" s="7">
        <v>12</v>
      </c>
      <c r="Q4660" s="2"/>
      <c r="R4660" s="181">
        <f>1-R4659/(3*F_GAMMA*R$29)</f>
        <v>0.82307845733287976</v>
      </c>
      <c r="S4660" s="133"/>
      <c r="T4660" s="146"/>
      <c r="U4660" s="138">
        <f>1-U4659/(3*F_GAMMA*U$29)</f>
        <v>1.1417255059218641</v>
      </c>
      <c r="V4660" s="133"/>
      <c r="W4660" s="146"/>
      <c r="X4660" s="138">
        <f>1-X4659/(3*F_GAMMA*X$29)</f>
        <v>0.37502070182917135</v>
      </c>
      <c r="Y4660" s="133"/>
      <c r="Z4660" s="146"/>
      <c r="AA4660" s="138">
        <f>1-AA4659/(3*F_GAMMA*AA$29)</f>
        <v>0.4439516828977258</v>
      </c>
      <c r="AB4660" s="133"/>
      <c r="AC4660" s="146"/>
      <c r="AD4660" s="138">
        <f>1-AD4659/(3*F_GAMMA*AD$29)</f>
        <v>0.44220064064003117</v>
      </c>
      <c r="AE4660" s="133"/>
      <c r="AF4660" s="146"/>
      <c r="AG4660" s="138">
        <f>1-AG4659/(3*F_GAMMA*AG$29)</f>
        <v>0.41425714608812791</v>
      </c>
      <c r="AH4660" s="133"/>
      <c r="AI4660" s="146"/>
      <c r="AJ4660" s="138">
        <f>1-AJ4659/(3*F_GAMMA*AJ$29)</f>
        <v>0.37542962031592197</v>
      </c>
      <c r="AK4660" s="133"/>
      <c r="AL4660" s="146"/>
      <c r="AM4660" s="138">
        <f>1-AM4659/(3*F_GAMMA*AM$29)</f>
        <v>0.3183646836465448</v>
      </c>
      <c r="AN4660" s="133"/>
      <c r="AO4660" s="146"/>
      <c r="AP4660" s="138">
        <f>1-AP4659/(3*F_GAMMA*AP$29)</f>
        <v>0.43703524365256929</v>
      </c>
      <c r="AQ4660" s="133"/>
      <c r="AR4660" s="146"/>
      <c r="AS4660" s="138">
        <f>1-AS4659/(3*F_GAMMA*AS$29)</f>
        <v>0.14577595745949801</v>
      </c>
      <c r="AT4660" s="133"/>
      <c r="AU4660" s="146"/>
    </row>
    <row r="4661" spans="13:47" x14ac:dyDescent="0.25">
      <c r="M4661" s="27"/>
      <c r="N4661" s="27"/>
      <c r="O4661" s="2" t="s">
        <v>71</v>
      </c>
      <c r="P4661" s="85">
        <v>5</v>
      </c>
      <c r="Q4661" s="2"/>
      <c r="R4661" s="179">
        <f>R4653/((N_6*R$27*R4660)*SQRT(R4659*R4655*R4657))</f>
        <v>49.384636395111151</v>
      </c>
      <c r="S4661" s="133"/>
      <c r="T4661" s="146"/>
      <c r="U4661" s="143" t="e">
        <f>U4653/((N_6*U$27*U4660)*SQRT(U4659*U4655*U4657))</f>
        <v>#NUM!</v>
      </c>
      <c r="V4661" s="133"/>
      <c r="W4661" s="146"/>
      <c r="X4661" s="143">
        <f>X4653/((N_6*X$27*X4660)*SQRT(X4659*X4655*X4657))</f>
        <v>62.579689424644314</v>
      </c>
      <c r="Y4661" s="133"/>
      <c r="Z4661" s="146"/>
      <c r="AA4661" s="143">
        <f>AA4653/((N_6*AA$27*AA4660)*SQRT(AA4659*AA4655*AA4657))</f>
        <v>22.93811115654243</v>
      </c>
      <c r="AB4661" s="133"/>
      <c r="AC4661" s="146"/>
      <c r="AD4661" s="143">
        <f>AD4653/((N_6*AD$27*AD4660)*SQRT(AD4659*AD4655*AD4657))</f>
        <v>13.682961183537245</v>
      </c>
      <c r="AE4661" s="133"/>
      <c r="AF4661" s="146"/>
      <c r="AG4661" s="143">
        <f>AG4653/((N_6*AG$27*AG4660)*SQRT(AG4659*AG4655*AG4657))</f>
        <v>10.534308899552478</v>
      </c>
      <c r="AH4661" s="133"/>
      <c r="AI4661" s="146"/>
      <c r="AJ4661" s="143">
        <f>AJ4653/((N_6*AJ$27*AJ4660)*SQRT(AJ4659*AJ4655*AJ4657))</f>
        <v>9.432598928238507</v>
      </c>
      <c r="AK4661" s="133"/>
      <c r="AL4661" s="146"/>
      <c r="AM4661" s="143">
        <f>AM4653/((N_6*AM$27*AM4660)*SQRT(AM4659*AM4655*AM4657))</f>
        <v>10.0516863835043</v>
      </c>
      <c r="AN4661" s="133"/>
      <c r="AO4661" s="146"/>
      <c r="AP4661" s="143">
        <f>AP4653/((N_6*AP$27*AP4660)*SQRT(AP4659*AP4655*AP4657))</f>
        <v>7.4486876005484763</v>
      </c>
      <c r="AQ4661" s="133"/>
      <c r="AR4661" s="146"/>
      <c r="AS4661" s="143">
        <f>AS4653/((N_6*AS$27*AS4660)*SQRT(AS4659*AS4655*AS4657))</f>
        <v>26.281630503957722</v>
      </c>
      <c r="AT4661" s="133"/>
      <c r="AU4661" s="146"/>
    </row>
    <row r="4662" spans="13:47" x14ac:dyDescent="0.25">
      <c r="M4662" s="27"/>
      <c r="N4662" s="27"/>
      <c r="O4662" s="2" t="s">
        <v>73</v>
      </c>
      <c r="P4662" s="85">
        <v>5</v>
      </c>
      <c r="Q4662" s="2"/>
      <c r="R4662" s="179">
        <f>R4653/((N_6*R$27*0.667)*SQRT(R4663*R4655*R4657))</f>
        <v>44.397472578317938</v>
      </c>
      <c r="S4662" s="133"/>
      <c r="T4662" s="147"/>
      <c r="U4662" s="143">
        <f>U4653/((N_6*U$27*0.667)*SQRT(U4663*U4655*U4657))</f>
        <v>134.46842323030307</v>
      </c>
      <c r="V4662" s="133"/>
      <c r="W4662" s="155"/>
      <c r="X4662" s="143">
        <f>X4653/((N_6*X$27*0.667)*SQRT(X4663*X4655*X4657))</f>
        <v>48.178830664914358</v>
      </c>
      <c r="Y4662" s="133"/>
      <c r="Z4662" s="155"/>
      <c r="AA4662" s="143">
        <f>AA4653/((N_6*AA$27*0.667)*SQRT(AA4663*AA4655*AA4657))</f>
        <v>19.718978722062399</v>
      </c>
      <c r="AB4662" s="133"/>
      <c r="AC4662" s="155"/>
      <c r="AD4662" s="143">
        <f>AD4653/((N_6*AD$27*0.667)*SQRT(AD4663*AD4655*AD4657))</f>
        <v>11.734734319067437</v>
      </c>
      <c r="AE4662" s="133"/>
      <c r="AF4662" s="155"/>
      <c r="AG4662" s="143">
        <f>AG4653/((N_6*AG$27*0.667)*SQRT(AG4663*AG4655*AG4657))</f>
        <v>8.6729002388711596</v>
      </c>
      <c r="AH4662" s="133"/>
      <c r="AI4662" s="155"/>
      <c r="AJ4662" s="143">
        <f>AJ4653/((N_6*AJ$27*0.667)*SQRT(AJ4663*AJ4655*AJ4657))</f>
        <v>7.2675058221141038</v>
      </c>
      <c r="AK4662" s="133"/>
      <c r="AL4662" s="155"/>
      <c r="AM4662" s="143">
        <f>AM4653/((N_6*AM$27*0.667)*SQRT(AM4663*AM4655*AM4657))</f>
        <v>6.8607982803667049</v>
      </c>
      <c r="AN4662" s="133"/>
      <c r="AO4662" s="155"/>
      <c r="AP4662" s="143">
        <f>AP4653/((N_6*AP$27*0.667)*SQRT(AP4663*AP4655*AP4657))</f>
        <v>6.3426627282128694</v>
      </c>
      <c r="AQ4662" s="133"/>
      <c r="AR4662" s="155"/>
      <c r="AS4662" s="143">
        <f>AS4653/((N_6*AS$27*0.667)*SQRT(AS4663*AS4655*AS4657))</f>
        <v>9.1951516578942822</v>
      </c>
      <c r="AT4662" s="133"/>
      <c r="AU4662" s="155"/>
    </row>
    <row r="4663" spans="13:47" ht="15.5" x14ac:dyDescent="0.4">
      <c r="M4663" s="27"/>
      <c r="N4663" s="27"/>
      <c r="O4663" s="2" t="s">
        <v>192</v>
      </c>
      <c r="P4663" s="85">
        <v>10</v>
      </c>
      <c r="Q4663" s="2"/>
      <c r="R4663" s="181">
        <f>F_GAMMA*R$29</f>
        <v>0.64002688015162901</v>
      </c>
      <c r="S4663" s="133"/>
      <c r="T4663" s="147"/>
      <c r="U4663" s="138">
        <f>F_GAMMA*U$29</f>
        <v>0.64016782916606918</v>
      </c>
      <c r="V4663" s="133"/>
      <c r="W4663" s="155"/>
      <c r="X4663" s="138">
        <f>F_GAMMA*X$29</f>
        <v>0.6307062319203669</v>
      </c>
      <c r="Y4663" s="133"/>
      <c r="Z4663" s="155"/>
      <c r="AA4663" s="138">
        <f>F_GAMMA*AA$29</f>
        <v>0.62217534213893466</v>
      </c>
      <c r="AB4663" s="133"/>
      <c r="AC4663" s="155"/>
      <c r="AD4663" s="138">
        <f>F_GAMMA*AD$29</f>
        <v>0.60557184969146072</v>
      </c>
      <c r="AE4663" s="133"/>
      <c r="AF4663" s="155"/>
      <c r="AG4663" s="138">
        <f>F_GAMMA*AG$29</f>
        <v>0.57289312142622573</v>
      </c>
      <c r="AH4663" s="133"/>
      <c r="AI4663" s="155"/>
      <c r="AJ4663" s="138">
        <f>F_GAMMA*AJ$29</f>
        <v>0.53590819116049981</v>
      </c>
      <c r="AK4663" s="133"/>
      <c r="AL4663" s="155"/>
      <c r="AM4663" s="138">
        <f>F_GAMMA*AM$29</f>
        <v>0.49048815926850342</v>
      </c>
      <c r="AN4663" s="133"/>
      <c r="AO4663" s="155"/>
      <c r="AP4663" s="138">
        <f>F_GAMMA*AP$29</f>
        <v>0.59352979016280105</v>
      </c>
      <c r="AQ4663" s="133"/>
      <c r="AR4663" s="155"/>
      <c r="AS4663" s="138">
        <f>F_GAMMA*AS$29</f>
        <v>0.39097221161068291</v>
      </c>
      <c r="AT4663" s="133"/>
      <c r="AU4663" s="155"/>
    </row>
    <row r="4664" spans="13:47" x14ac:dyDescent="0.25">
      <c r="M4664" s="27"/>
      <c r="N4664" s="27"/>
      <c r="O4664" s="2" t="s">
        <v>193</v>
      </c>
      <c r="P4664" s="134"/>
      <c r="Q4664" s="2"/>
      <c r="R4664" s="181">
        <f>IF(R4659&lt;R4663,R4661,R4662)</f>
        <v>49.384636395111151</v>
      </c>
      <c r="S4664" s="133"/>
      <c r="T4664" s="147"/>
      <c r="U4664" s="138" t="e">
        <f>IF(U4659&lt;U4663,U4661,U4662)</f>
        <v>#NUM!</v>
      </c>
      <c r="V4664" s="133"/>
      <c r="W4664" s="155"/>
      <c r="X4664" s="138">
        <f>IF(X4659&lt;X4663,X4661,X4662)</f>
        <v>48.178830664914358</v>
      </c>
      <c r="Y4664" s="133"/>
      <c r="Z4664" s="155"/>
      <c r="AA4664" s="138">
        <f>IF(AA4659&lt;AA4663,AA4661,AA4662)</f>
        <v>19.718978722062399</v>
      </c>
      <c r="AB4664" s="133"/>
      <c r="AC4664" s="155"/>
      <c r="AD4664" s="138">
        <f>IF(AD4659&lt;AD4663,AD4661,AD4662)</f>
        <v>11.734734319067437</v>
      </c>
      <c r="AE4664" s="133"/>
      <c r="AF4664" s="155"/>
      <c r="AG4664" s="138">
        <f>IF(AG4659&lt;AG4663,AG4661,AG4662)</f>
        <v>8.6729002388711596</v>
      </c>
      <c r="AH4664" s="133"/>
      <c r="AI4664" s="155"/>
      <c r="AJ4664" s="138">
        <f>IF(AJ4659&lt;AJ4663,AJ4661,AJ4662)</f>
        <v>7.2675058221141038</v>
      </c>
      <c r="AK4664" s="133"/>
      <c r="AL4664" s="155"/>
      <c r="AM4664" s="138">
        <f>IF(AM4659&lt;AM4663,AM4661,AM4662)</f>
        <v>6.8607982803667049</v>
      </c>
      <c r="AN4664" s="133"/>
      <c r="AO4664" s="155"/>
      <c r="AP4664" s="138">
        <f>IF(AP4659&lt;AP4663,AP4661,AP4662)</f>
        <v>6.3426627282128694</v>
      </c>
      <c r="AQ4664" s="133"/>
      <c r="AR4664" s="155"/>
      <c r="AS4664" s="138">
        <f>IF(AS4659&lt;AS4663,AS4661,AS4662)</f>
        <v>9.1951516578942822</v>
      </c>
      <c r="AT4664" s="133"/>
      <c r="AU4664" s="155"/>
    </row>
    <row r="4665" spans="13:47" ht="13" x14ac:dyDescent="0.3">
      <c r="M4665" s="28"/>
      <c r="N4665" s="28"/>
      <c r="O4665" s="9" t="s">
        <v>194</v>
      </c>
      <c r="P4665" s="1"/>
      <c r="Q4665" s="1"/>
      <c r="R4665" s="135"/>
      <c r="S4665" s="132">
        <f>IF(R4658&lt;=0,W_max,ABS(R$23-R4664))</f>
        <v>47.384636395111151</v>
      </c>
      <c r="T4665" s="151">
        <f>R4653</f>
        <v>7886.0979707680426</v>
      </c>
      <c r="U4665" s="135"/>
      <c r="V4665" s="132">
        <f>IF(U4658&lt;=0,W_max,ABS(U$23-U4664))</f>
        <v>7174</v>
      </c>
      <c r="W4665" s="151">
        <f>U4653</f>
        <v>12390.560552487843</v>
      </c>
      <c r="X4665" s="135"/>
      <c r="Y4665" s="132">
        <f>IF(X4658&lt;=0,W_max,ABS(X$23-X4664))</f>
        <v>7174</v>
      </c>
      <c r="Z4665" s="151">
        <f>X4653</f>
        <v>30643.330740292586</v>
      </c>
      <c r="AA4665" s="135"/>
      <c r="AB4665" s="132">
        <f>IF(AA4658&lt;=0,W_max,ABS(AA$23-AA4664))</f>
        <v>7174</v>
      </c>
      <c r="AC4665" s="151">
        <f>AA4653</f>
        <v>59685.386712468884</v>
      </c>
      <c r="AD4665" s="135"/>
      <c r="AE4665" s="132">
        <f>IF(AD4658&lt;=0,W_max,ABS(AD$23-AD4664))</f>
        <v>7174</v>
      </c>
      <c r="AF4665" s="151">
        <f>AD4653</f>
        <v>98160.486286384286</v>
      </c>
      <c r="AG4665" s="135"/>
      <c r="AH4665" s="132">
        <f>IF(AG4658&lt;=0,W_max,ABS(AG$23-AG4664))</f>
        <v>7174</v>
      </c>
      <c r="AI4665" s="151">
        <f>AG4653</f>
        <v>137677.63901649651</v>
      </c>
      <c r="AJ4665" s="135"/>
      <c r="AK4665" s="132">
        <f>IF(AJ4658&lt;=0,W_max,ABS(AJ$23-AJ4664))</f>
        <v>7174</v>
      </c>
      <c r="AL4665" s="151">
        <f>AJ4653</f>
        <v>174814.06858731509</v>
      </c>
      <c r="AM4665" s="135"/>
      <c r="AN4665" s="132">
        <f>IF(AM4658&lt;=0,W_max,ABS(AM$23-AM4664))</f>
        <v>7174</v>
      </c>
      <c r="AO4665" s="151">
        <f>AM4653</f>
        <v>204983.24365771245</v>
      </c>
      <c r="AP4665" s="135"/>
      <c r="AQ4665" s="132">
        <f>IF(AP4658&lt;=0,W_max,ABS(AP$23-AP4664))</f>
        <v>7174</v>
      </c>
      <c r="AR4665" s="151">
        <f>AP4653</f>
        <v>228693.31654569381</v>
      </c>
      <c r="AS4665" s="135"/>
      <c r="AT4665" s="132">
        <f>IF(AS4658&lt;=0,W_max,ABS(AS$23-AS4664))</f>
        <v>7174</v>
      </c>
      <c r="AU4665" s="151">
        <f>AS4653</f>
        <v>255145.89436394221</v>
      </c>
    </row>
    <row r="4666" spans="13:47" ht="13" x14ac:dyDescent="0.25">
      <c r="M4666" s="12"/>
      <c r="N4666" s="12"/>
      <c r="O4666" s="12"/>
      <c r="P4666" s="12"/>
      <c r="Q4666" s="12"/>
      <c r="R4666" s="182"/>
      <c r="S4666" s="22"/>
      <c r="T4666" s="152"/>
      <c r="U4666" s="157"/>
      <c r="V4666" s="1"/>
      <c r="W4666" s="147"/>
      <c r="X4666" s="157"/>
      <c r="Y4666" s="1"/>
      <c r="Z4666" s="147"/>
      <c r="AA4666" s="157"/>
      <c r="AB4666" s="1"/>
      <c r="AC4666" s="147"/>
      <c r="AD4666" s="157"/>
      <c r="AE4666" s="1"/>
      <c r="AF4666" s="147"/>
      <c r="AG4666" s="157"/>
      <c r="AH4666" s="1"/>
      <c r="AI4666" s="147"/>
      <c r="AJ4666" s="157"/>
      <c r="AK4666" s="1"/>
      <c r="AL4666" s="147"/>
      <c r="AM4666" s="157"/>
      <c r="AN4666" s="1"/>
      <c r="AO4666" s="147"/>
      <c r="AP4666" s="157"/>
      <c r="AQ4666" s="1"/>
      <c r="AR4666" s="147"/>
      <c r="AS4666" s="157"/>
      <c r="AT4666" s="1"/>
      <c r="AU4666" s="147"/>
    </row>
    <row r="4667" spans="13:47" ht="14" x14ac:dyDescent="0.3">
      <c r="M4667" s="23"/>
      <c r="N4667" s="23"/>
      <c r="O4667" s="23" t="s">
        <v>238</v>
      </c>
      <c r="P4667" s="20"/>
      <c r="Q4667" s="20"/>
      <c r="R4667" s="18">
        <f>R4653*1.02</f>
        <v>8043.8199301834038</v>
      </c>
      <c r="S4667" s="128" t="s">
        <v>185</v>
      </c>
      <c r="T4667" s="153" t="s">
        <v>186</v>
      </c>
      <c r="U4667" s="143">
        <f>U4653*1.01</f>
        <v>12514.466158012721</v>
      </c>
      <c r="V4667" s="128" t="s">
        <v>185</v>
      </c>
      <c r="W4667" s="153" t="s">
        <v>186</v>
      </c>
      <c r="X4667" s="143">
        <f>X4653*1.01</f>
        <v>30949.764047695513</v>
      </c>
      <c r="Y4667" s="128" t="s">
        <v>185</v>
      </c>
      <c r="Z4667" s="153" t="s">
        <v>186</v>
      </c>
      <c r="AA4667" s="143">
        <f>AA4653*1.01</f>
        <v>60282.24057959357</v>
      </c>
      <c r="AB4667" s="128" t="s">
        <v>185</v>
      </c>
      <c r="AC4667" s="153" t="s">
        <v>186</v>
      </c>
      <c r="AD4667" s="143">
        <f>AD4653*1.01</f>
        <v>99142.091149248125</v>
      </c>
      <c r="AE4667" s="128" t="s">
        <v>185</v>
      </c>
      <c r="AF4667" s="153" t="s">
        <v>186</v>
      </c>
      <c r="AG4667" s="143">
        <f>AG4653*1.01</f>
        <v>139054.41540666149</v>
      </c>
      <c r="AH4667" s="128" t="s">
        <v>185</v>
      </c>
      <c r="AI4667" s="153" t="s">
        <v>186</v>
      </c>
      <c r="AJ4667" s="143">
        <f>AJ4653*1.01</f>
        <v>176562.20927318826</v>
      </c>
      <c r="AK4667" s="128" t="s">
        <v>185</v>
      </c>
      <c r="AL4667" s="153" t="s">
        <v>186</v>
      </c>
      <c r="AM4667" s="143">
        <f>AM4653*1.01</f>
        <v>207033.07609428957</v>
      </c>
      <c r="AN4667" s="128" t="s">
        <v>185</v>
      </c>
      <c r="AO4667" s="153" t="s">
        <v>186</v>
      </c>
      <c r="AP4667" s="143">
        <f>AP4653*1.01</f>
        <v>230980.24971115077</v>
      </c>
      <c r="AQ4667" s="128" t="s">
        <v>185</v>
      </c>
      <c r="AR4667" s="153" t="s">
        <v>186</v>
      </c>
      <c r="AS4667" s="143">
        <f>AS4653*1.01</f>
        <v>257697.35330758162</v>
      </c>
      <c r="AT4667" s="128" t="s">
        <v>185</v>
      </c>
      <c r="AU4667" s="153" t="s">
        <v>186</v>
      </c>
    </row>
    <row r="4668" spans="13:47" ht="14" x14ac:dyDescent="0.3">
      <c r="M4668" s="12"/>
      <c r="N4668" s="12"/>
      <c r="O4668" s="20"/>
      <c r="P4668" s="20"/>
      <c r="Q4668" s="23"/>
      <c r="R4668" s="139"/>
      <c r="S4668" s="130" t="s">
        <v>228</v>
      </c>
      <c r="T4668" s="154" t="s">
        <v>187</v>
      </c>
      <c r="U4668" s="144"/>
      <c r="V4668" s="130" t="s">
        <v>228</v>
      </c>
      <c r="W4668" s="154" t="s">
        <v>187</v>
      </c>
      <c r="X4668" s="144"/>
      <c r="Y4668" s="130" t="s">
        <v>228</v>
      </c>
      <c r="Z4668" s="154" t="s">
        <v>187</v>
      </c>
      <c r="AA4668" s="144"/>
      <c r="AB4668" s="130" t="s">
        <v>228</v>
      </c>
      <c r="AC4668" s="154" t="s">
        <v>187</v>
      </c>
      <c r="AD4668" s="144"/>
      <c r="AE4668" s="130" t="s">
        <v>228</v>
      </c>
      <c r="AF4668" s="154" t="s">
        <v>187</v>
      </c>
      <c r="AG4668" s="144"/>
      <c r="AH4668" s="130" t="s">
        <v>228</v>
      </c>
      <c r="AI4668" s="154" t="s">
        <v>187</v>
      </c>
      <c r="AJ4668" s="144"/>
      <c r="AK4668" s="130" t="s">
        <v>228</v>
      </c>
      <c r="AL4668" s="154" t="s">
        <v>187</v>
      </c>
      <c r="AM4668" s="144"/>
      <c r="AN4668" s="130" t="s">
        <v>228</v>
      </c>
      <c r="AO4668" s="154" t="s">
        <v>187</v>
      </c>
      <c r="AP4668" s="144"/>
      <c r="AQ4668" s="130" t="s">
        <v>228</v>
      </c>
      <c r="AR4668" s="154" t="s">
        <v>187</v>
      </c>
      <c r="AS4668" s="144"/>
      <c r="AT4668" s="130" t="s">
        <v>228</v>
      </c>
      <c r="AU4668" s="154" t="s">
        <v>187</v>
      </c>
    </row>
    <row r="4669" spans="13:47" x14ac:dyDescent="0.25">
      <c r="M4669" s="20"/>
      <c r="N4669" s="20"/>
      <c r="O4669" s="7" t="s">
        <v>188</v>
      </c>
      <c r="P4669" s="7"/>
      <c r="Q4669" s="7"/>
      <c r="R4669" s="181">
        <f>P_1_minW-(R4667^2*R_up)+dpup_minQ</f>
        <v>74.721684048908159</v>
      </c>
      <c r="S4669" s="132"/>
      <c r="T4669" s="145"/>
      <c r="U4669" s="138">
        <f>P_1_minW-(U4667^2*R_up)+dpup_minQ</f>
        <v>38.071952537912459</v>
      </c>
      <c r="V4669" s="132"/>
      <c r="W4669" s="145"/>
      <c r="X4669" s="138">
        <f>P_1_minW-(X4667^2*R_up)+dpup_minQ</f>
        <v>-281.44634929970772</v>
      </c>
      <c r="Y4669" s="132"/>
      <c r="Z4669" s="145"/>
      <c r="AA4669" s="138">
        <f>P_1_minW-(AA4667^2*R_up)+dpup_minQ</f>
        <v>-1348.5572026330794</v>
      </c>
      <c r="AB4669" s="132"/>
      <c r="AC4669" s="145"/>
      <c r="AD4669" s="138">
        <f>P_1_minW-(AD4667^2*R_up)+dpup_minQ</f>
        <v>-3818.9688084487202</v>
      </c>
      <c r="AE4669" s="132"/>
      <c r="AF4669" s="145"/>
      <c r="AG4669" s="138">
        <f>P_1_minW-(AG4667^2*R_up)+dpup_minQ</f>
        <v>-7609.9881003838964</v>
      </c>
      <c r="AH4669" s="132"/>
      <c r="AI4669" s="145"/>
      <c r="AJ4669" s="138">
        <f>P_1_minW-(AJ4667^2*R_up)+dpup_minQ</f>
        <v>-12330.563937733708</v>
      </c>
      <c r="AK4669" s="132"/>
      <c r="AL4669" s="145"/>
      <c r="AM4669" s="138">
        <f>P_1_minW-(AM4667^2*R_up)+dpup_minQ</f>
        <v>-16991.484029085565</v>
      </c>
      <c r="AN4669" s="132"/>
      <c r="AO4669" s="145"/>
      <c r="AP4669" s="138">
        <f>P_1_minW-(AP4667^2*R_up)+dpup_minQ</f>
        <v>-21174.16917188813</v>
      </c>
      <c r="AQ4669" s="132"/>
      <c r="AR4669" s="145"/>
      <c r="AS4669" s="138">
        <f>P_1_minW-(AS4667^2*R_up)+dpup_minQ</f>
        <v>-26380.423705479032</v>
      </c>
      <c r="AT4669" s="132"/>
      <c r="AU4669" s="145"/>
    </row>
    <row r="4670" spans="13:47" x14ac:dyDescent="0.25">
      <c r="M4670" s="20"/>
      <c r="N4670" s="20"/>
      <c r="O4670" s="7" t="s">
        <v>189</v>
      </c>
      <c r="P4670" s="1"/>
      <c r="Q4670" s="7"/>
      <c r="R4670" s="181">
        <f>P_2_minW+(R4667^2*R_dn)-dpdn_minQ</f>
        <v>50</v>
      </c>
      <c r="S4670" s="132"/>
      <c r="T4670" s="146"/>
      <c r="U4670" s="138">
        <f>P_2_minW+(U4667^2*R_dn)-dpdn_minQ</f>
        <v>50</v>
      </c>
      <c r="V4670" s="132"/>
      <c r="W4670" s="146"/>
      <c r="X4670" s="138">
        <f>P_2_minW+(X4667^2*R_dn)-dpdn_minQ</f>
        <v>50</v>
      </c>
      <c r="Y4670" s="132"/>
      <c r="Z4670" s="146"/>
      <c r="AA4670" s="138">
        <f>P_2_minW+(AA4667^2*R_dn)-dpdn_minQ</f>
        <v>50</v>
      </c>
      <c r="AB4670" s="132"/>
      <c r="AC4670" s="146"/>
      <c r="AD4670" s="138">
        <f>P_2_minW+(AD4667^2*R_dn)-dpdn_minQ</f>
        <v>50</v>
      </c>
      <c r="AE4670" s="132"/>
      <c r="AF4670" s="146"/>
      <c r="AG4670" s="138">
        <f>P_2_minW+(AG4667^2*R_dn)-dpdn_minQ</f>
        <v>50</v>
      </c>
      <c r="AH4670" s="132"/>
      <c r="AI4670" s="146"/>
      <c r="AJ4670" s="138">
        <f>P_2_minW+(AJ4667^2*R_dn)-dpdn_minQ</f>
        <v>50</v>
      </c>
      <c r="AK4670" s="132"/>
      <c r="AL4670" s="146"/>
      <c r="AM4670" s="138">
        <f>P_2_minW+(AM4667^2*R_dn)-dpdn_minQ</f>
        <v>50</v>
      </c>
      <c r="AN4670" s="132"/>
      <c r="AO4670" s="146"/>
      <c r="AP4670" s="138">
        <f>P_2_minW+(AP4667^2*R_dn)-dpdn_minQ</f>
        <v>50</v>
      </c>
      <c r="AQ4670" s="132"/>
      <c r="AR4670" s="146"/>
      <c r="AS4670" s="138">
        <f>P_2_minW+(AS4667^2*R_dn)-dpdn_minQ</f>
        <v>50</v>
      </c>
      <c r="AT4670" s="132"/>
      <c r="AU4670" s="146"/>
    </row>
    <row r="4671" spans="13:47" x14ac:dyDescent="0.25">
      <c r="M4671" s="20"/>
      <c r="N4671" s="20"/>
      <c r="O4671" s="7" t="s">
        <v>234</v>
      </c>
      <c r="P4671" s="1"/>
      <c r="Q4671" s="7"/>
      <c r="R4671" s="179">
        <f>'Valve Sizing'!G$8*R4669/P_1_maxW</f>
        <v>0.36044410047605607</v>
      </c>
      <c r="S4671" s="132"/>
      <c r="T4671" s="146"/>
      <c r="U4671" s="143">
        <f>'Valve Sizing'!$G$8*U4669/P_1_maxW</f>
        <v>0.18365232074952781</v>
      </c>
      <c r="V4671" s="132"/>
      <c r="W4671" s="146"/>
      <c r="X4671" s="143">
        <f>'Valve Sizing'!$G$8*X4669/P_1_maxW</f>
        <v>-1.3576470805877849</v>
      </c>
      <c r="Y4671" s="132"/>
      <c r="Z4671" s="146"/>
      <c r="AA4671" s="143">
        <f>'Valve Sizing'!$G$8*AA4669/P_1_maxW</f>
        <v>-6.5051998496906123</v>
      </c>
      <c r="AB4671" s="132"/>
      <c r="AC4671" s="146"/>
      <c r="AD4671" s="143">
        <f>'Valve Sizing'!$G$8*AD4669/P_1_maxW</f>
        <v>-18.422025606468228</v>
      </c>
      <c r="AE4671" s="132"/>
      <c r="AF4671" s="146"/>
      <c r="AG4671" s="143">
        <f>'Valve Sizing'!$G$8*AG4669/P_1_maxW</f>
        <v>-36.709227721379833</v>
      </c>
      <c r="AH4671" s="132"/>
      <c r="AI4671" s="146"/>
      <c r="AJ4671" s="143">
        <f>'Valve Sizing'!$G$8*AJ4669/P_1_maxW</f>
        <v>-59.48044511402933</v>
      </c>
      <c r="AK4671" s="132"/>
      <c r="AL4671" s="146"/>
      <c r="AM4671" s="143">
        <f>'Valve Sizing'!$G$8*AM4669/P_1_maxW</f>
        <v>-81.963893809035625</v>
      </c>
      <c r="AN4671" s="132"/>
      <c r="AO4671" s="146"/>
      <c r="AP4671" s="143">
        <f>'Valve Sizing'!$G$8*AP4669/P_1_maxW</f>
        <v>-102.14042225672475</v>
      </c>
      <c r="AQ4671" s="132"/>
      <c r="AR4671" s="146"/>
      <c r="AS4671" s="143">
        <f>'Valve Sizing'!$G$8*AS4669/P_1_maxW</f>
        <v>-127.25446721027906</v>
      </c>
      <c r="AT4671" s="132"/>
      <c r="AU4671" s="146"/>
    </row>
    <row r="4672" spans="13:47" x14ac:dyDescent="0.25">
      <c r="M4672" s="20"/>
      <c r="N4672" s="20"/>
      <c r="O4672" s="7" t="s">
        <v>190</v>
      </c>
      <c r="P4672" s="1"/>
      <c r="Q4672" s="7"/>
      <c r="R4672" s="181">
        <f>R4669-R4670</f>
        <v>24.721684048908159</v>
      </c>
      <c r="S4672" s="132"/>
      <c r="T4672" s="146"/>
      <c r="U4672" s="138">
        <f>U4669-U4670</f>
        <v>-11.928047462087541</v>
      </c>
      <c r="V4672" s="132"/>
      <c r="W4672" s="146"/>
      <c r="X4672" s="138">
        <f>X4669-X4670</f>
        <v>-331.44634929970772</v>
      </c>
      <c r="Y4672" s="132"/>
      <c r="Z4672" s="146"/>
      <c r="AA4672" s="138">
        <f>AA4669-AA4670</f>
        <v>-1398.5572026330794</v>
      </c>
      <c r="AB4672" s="132"/>
      <c r="AC4672" s="146"/>
      <c r="AD4672" s="138">
        <f>AD4669-AD4670</f>
        <v>-3868.9688084487202</v>
      </c>
      <c r="AE4672" s="132"/>
      <c r="AF4672" s="146"/>
      <c r="AG4672" s="138">
        <f>AG4669-AG4670</f>
        <v>-7659.9881003838964</v>
      </c>
      <c r="AH4672" s="132"/>
      <c r="AI4672" s="146"/>
      <c r="AJ4672" s="138">
        <f>AJ4669-AJ4670</f>
        <v>-12380.563937733708</v>
      </c>
      <c r="AK4672" s="132"/>
      <c r="AL4672" s="146"/>
      <c r="AM4672" s="138">
        <f>AM4669-AM4670</f>
        <v>-17041.484029085565</v>
      </c>
      <c r="AN4672" s="132"/>
      <c r="AO4672" s="146"/>
      <c r="AP4672" s="138">
        <f>AP4669-AP4670</f>
        <v>-21224.16917188813</v>
      </c>
      <c r="AQ4672" s="132"/>
      <c r="AR4672" s="146"/>
      <c r="AS4672" s="138">
        <f>AS4669-AS4670</f>
        <v>-26430.423705479032</v>
      </c>
      <c r="AT4672" s="132"/>
      <c r="AU4672" s="146"/>
    </row>
    <row r="4673" spans="13:47" ht="14.5" x14ac:dyDescent="0.35">
      <c r="M4673" s="27"/>
      <c r="N4673" s="27"/>
      <c r="O4673" s="2" t="s">
        <v>191</v>
      </c>
      <c r="P4673" s="10"/>
      <c r="Q4673" s="2"/>
      <c r="R4673" s="181">
        <f>R4672/R4669</f>
        <v>0.33085019915673858</v>
      </c>
      <c r="S4673" s="132"/>
      <c r="T4673" s="146"/>
      <c r="U4673" s="138">
        <f>U4672/U4669</f>
        <v>-0.31330275089541215</v>
      </c>
      <c r="V4673" s="132"/>
      <c r="W4673" s="146"/>
      <c r="X4673" s="138">
        <f>X4672/X4669</f>
        <v>1.1776537522139106</v>
      </c>
      <c r="Y4673" s="132"/>
      <c r="Z4673" s="146"/>
      <c r="AA4673" s="138">
        <f>AA4672/AA4669</f>
        <v>1.0370766623042569</v>
      </c>
      <c r="AB4673" s="132"/>
      <c r="AC4673" s="146"/>
      <c r="AD4673" s="138">
        <f>AD4672/AD4669</f>
        <v>1.0130925395068389</v>
      </c>
      <c r="AE4673" s="132"/>
      <c r="AF4673" s="146"/>
      <c r="AG4673" s="138">
        <f>AG4672/AG4669</f>
        <v>1.0065703125077787</v>
      </c>
      <c r="AH4673" s="132"/>
      <c r="AI4673" s="146"/>
      <c r="AJ4673" s="138">
        <f>AJ4672/AJ4669</f>
        <v>1.0040549645784644</v>
      </c>
      <c r="AK4673" s="132"/>
      <c r="AL4673" s="146"/>
      <c r="AM4673" s="138">
        <f>AM4672/AM4669</f>
        <v>1.0029426505603873</v>
      </c>
      <c r="AN4673" s="132"/>
      <c r="AO4673" s="146"/>
      <c r="AP4673" s="138">
        <f>AP4672/AP4669</f>
        <v>1.0023613677398207</v>
      </c>
      <c r="AQ4673" s="132"/>
      <c r="AR4673" s="146"/>
      <c r="AS4673" s="138">
        <f>AS4672/AS4669</f>
        <v>1.0018953448420018</v>
      </c>
      <c r="AT4673" s="132"/>
      <c r="AU4673" s="146"/>
    </row>
    <row r="4674" spans="13:47" x14ac:dyDescent="0.25">
      <c r="M4674" s="27"/>
      <c r="N4674" s="27"/>
      <c r="O4674" s="2" t="s">
        <v>26</v>
      </c>
      <c r="P4674" s="7">
        <v>12</v>
      </c>
      <c r="Q4674" s="2"/>
      <c r="R4674" s="181">
        <f>1-R4673/(3*F_GAMMA*R$29)</f>
        <v>0.82768942502417153</v>
      </c>
      <c r="S4674" s="133"/>
      <c r="T4674" s="146"/>
      <c r="U4674" s="138">
        <f>1-U4673/(3*F_GAMMA*U$29)</f>
        <v>1.1631357365060262</v>
      </c>
      <c r="V4674" s="133"/>
      <c r="W4674" s="146"/>
      <c r="X4674" s="138">
        <f>1-X4673/(3*F_GAMMA*X$29)</f>
        <v>0.37760048835614834</v>
      </c>
      <c r="Y4674" s="133"/>
      <c r="Z4674" s="146"/>
      <c r="AA4674" s="138">
        <f>1-AA4673/(3*F_GAMMA*AA$29)</f>
        <v>0.4443813546521248</v>
      </c>
      <c r="AB4674" s="133"/>
      <c r="AC4674" s="146"/>
      <c r="AD4674" s="138">
        <f>1-AD4673/(3*F_GAMMA*AD$29)</f>
        <v>0.4423493870446531</v>
      </c>
      <c r="AE4674" s="133"/>
      <c r="AF4674" s="146"/>
      <c r="AG4674" s="138">
        <f>1-AG4673/(3*F_GAMMA*AG$29)</f>
        <v>0.41433502174488945</v>
      </c>
      <c r="AH4674" s="133"/>
      <c r="AI4674" s="146"/>
      <c r="AJ4674" s="138">
        <f>1-AJ4673/(3*F_GAMMA*AJ$29)</f>
        <v>0.37548073772101331</v>
      </c>
      <c r="AK4674" s="133"/>
      <c r="AL4674" s="146"/>
      <c r="AM4674" s="138">
        <f>1-AM4673/(3*F_GAMMA*AM$29)</f>
        <v>0.31840512245586772</v>
      </c>
      <c r="AN4674" s="133"/>
      <c r="AO4674" s="146"/>
      <c r="AP4674" s="138">
        <f>1-AP4673/(3*F_GAMMA*AP$29)</f>
        <v>0.4370620288130328</v>
      </c>
      <c r="AQ4674" s="133"/>
      <c r="AR4674" s="146"/>
      <c r="AS4674" s="138">
        <f>1-AS4673/(3*F_GAMMA*AS$29)</f>
        <v>0.14580856380686913</v>
      </c>
      <c r="AT4674" s="133"/>
      <c r="AU4674" s="146"/>
    </row>
    <row r="4675" spans="13:47" x14ac:dyDescent="0.25">
      <c r="M4675" s="27"/>
      <c r="N4675" s="27"/>
      <c r="O4675" s="2" t="s">
        <v>71</v>
      </c>
      <c r="P4675" s="85">
        <v>5</v>
      </c>
      <c r="Q4675" s="2"/>
      <c r="R4675" s="179">
        <f>R4667/((N_6*R$27*R4674)*SQRT(R4673*R4669*R4671))</f>
        <v>51.438073696249582</v>
      </c>
      <c r="S4675" s="133"/>
      <c r="T4675" s="146"/>
      <c r="U4675" s="143" t="e">
        <f>U4667/((N_6*U$27*U4674)*SQRT(U4673*U4669*U4671))</f>
        <v>#NUM!</v>
      </c>
      <c r="V4675" s="133"/>
      <c r="W4675" s="146"/>
      <c r="X4675" s="143">
        <f>X4667/((N_6*X$27*X4674)*SQRT(X4673*X4669*X4671))</f>
        <v>61.221485951103212</v>
      </c>
      <c r="Y4675" s="133"/>
      <c r="Z4675" s="146"/>
      <c r="AA4675" s="143">
        <f>AA4667/((N_6*AA$27*AA4674)*SQRT(AA4673*AA4669*AA4671))</f>
        <v>22.663805632006987</v>
      </c>
      <c r="AB4675" s="133"/>
      <c r="AC4675" s="146"/>
      <c r="AD4675" s="143">
        <f>AD4667/((N_6*AD$27*AD4674)*SQRT(AD4673*AD4669*AD4671))</f>
        <v>13.537570729688078</v>
      </c>
      <c r="AE4675" s="133"/>
      <c r="AF4675" s="146"/>
      <c r="AG4675" s="143">
        <f>AG4667/((N_6*AG$27*AG4674)*SQRT(AG4673*AG4669*AG4671))</f>
        <v>10.425972832233237</v>
      </c>
      <c r="AH4675" s="133"/>
      <c r="AI4675" s="146"/>
      <c r="AJ4675" s="143">
        <f>AJ4667/((N_6*AJ$27*AJ4674)*SQRT(AJ4673*AJ4669*AJ4671))</f>
        <v>9.3367873912324555</v>
      </c>
      <c r="AK4675" s="133"/>
      <c r="AL4675" s="146"/>
      <c r="AM4675" s="143">
        <f>AM4667/((N_6*AM$27*AM4674)*SQRT(AM4673*AM4669*AM4671))</f>
        <v>9.9500126299032843</v>
      </c>
      <c r="AN4675" s="133"/>
      <c r="AO4675" s="146"/>
      <c r="AP4675" s="143">
        <f>AP4667/((N_6*AP$27*AP4674)*SQRT(AP4673*AP4669*AP4671))</f>
        <v>7.3739579749231003</v>
      </c>
      <c r="AQ4675" s="133"/>
      <c r="AR4675" s="146"/>
      <c r="AS4675" s="143">
        <f>AS4667/((N_6*AS$27*AS4674)*SQRT(AS4673*AS4669*AS4671))</f>
        <v>26.014101245576505</v>
      </c>
      <c r="AT4675" s="133"/>
      <c r="AU4675" s="146"/>
    </row>
    <row r="4676" spans="13:47" x14ac:dyDescent="0.25">
      <c r="M4676" s="27"/>
      <c r="N4676" s="27"/>
      <c r="O4676" s="2" t="s">
        <v>73</v>
      </c>
      <c r="P4676" s="85">
        <v>5</v>
      </c>
      <c r="Q4676" s="2"/>
      <c r="R4676" s="179">
        <f>R4667/((N_6*R$27*0.667)*SQRT(R4677*R4669*R4671))</f>
        <v>45.892621042913987</v>
      </c>
      <c r="S4676" s="133"/>
      <c r="T4676" s="155"/>
      <c r="U4676" s="143">
        <f>U4667/((N_6*U$27*0.667)*SQRT(U4677*U4669*U4671))</f>
        <v>140.20273922409251</v>
      </c>
      <c r="V4676" s="133"/>
      <c r="W4676" s="155"/>
      <c r="X4676" s="143">
        <f>X4667/((N_6*X$27*0.667)*SQRT(X4677*X4669*X4671))</f>
        <v>47.35936043548579</v>
      </c>
      <c r="Y4676" s="133"/>
      <c r="Z4676" s="155"/>
      <c r="AA4676" s="143">
        <f>AA4667/((N_6*AA$27*0.667)*SQRT(AA4677*AA4669*AA4671))</f>
        <v>19.49448939760439</v>
      </c>
      <c r="AB4676" s="133"/>
      <c r="AC4676" s="155"/>
      <c r="AD4676" s="143">
        <f>AD4667/((N_6*AD$27*0.667)*SQRT(AD4677*AD4669*AD4671))</f>
        <v>11.612401786310352</v>
      </c>
      <c r="AE4676" s="133"/>
      <c r="AF4676" s="155"/>
      <c r="AG4676" s="143">
        <f>AG4667/((N_6*AG$27*0.667)*SQRT(AG4677*AG4669*AG4671))</f>
        <v>8.5847500196427209</v>
      </c>
      <c r="AH4676" s="133"/>
      <c r="AI4676" s="155"/>
      <c r="AJ4676" s="143">
        <f>AJ4667/((N_6*AJ$27*0.667)*SQRT(AJ4677*AJ4669*AJ4671))</f>
        <v>7.1943712433242819</v>
      </c>
      <c r="AK4676" s="133"/>
      <c r="AL4676" s="155"/>
      <c r="AM4676" s="143">
        <f>AM4667/((N_6*AM$27*0.667)*SQRT(AM4677*AM4669*AM4671))</f>
        <v>6.7920618241512916</v>
      </c>
      <c r="AN4676" s="133"/>
      <c r="AO4676" s="155"/>
      <c r="AP4676" s="143">
        <f>AP4667/((N_6*AP$27*0.667)*SQRT(AP4677*AP4669*AP4671))</f>
        <v>6.2792648423061239</v>
      </c>
      <c r="AQ4676" s="133"/>
      <c r="AR4676" s="155"/>
      <c r="AS4676" s="143">
        <f>AS4667/((N_6*AS$27*0.667)*SQRT(AS4677*AS4669*AS4671))</f>
        <v>9.1034132577201436</v>
      </c>
      <c r="AT4676" s="133"/>
      <c r="AU4676" s="155"/>
    </row>
    <row r="4677" spans="13:47" ht="15.5" x14ac:dyDescent="0.4">
      <c r="M4677" s="27"/>
      <c r="N4677" s="27"/>
      <c r="O4677" s="2" t="s">
        <v>192</v>
      </c>
      <c r="P4677" s="85">
        <v>10</v>
      </c>
      <c r="Q4677" s="2"/>
      <c r="R4677" s="181">
        <f>F_GAMMA*R$29</f>
        <v>0.64002688015162901</v>
      </c>
      <c r="S4677" s="133"/>
      <c r="T4677" s="155"/>
      <c r="U4677" s="138">
        <f>F_GAMMA*U$29</f>
        <v>0.64016782916606918</v>
      </c>
      <c r="V4677" s="133"/>
      <c r="W4677" s="155"/>
      <c r="X4677" s="138">
        <f>F_GAMMA*X$29</f>
        <v>0.6307062319203669</v>
      </c>
      <c r="Y4677" s="133"/>
      <c r="Z4677" s="155"/>
      <c r="AA4677" s="138">
        <f>F_GAMMA*AA$29</f>
        <v>0.62217534213893466</v>
      </c>
      <c r="AB4677" s="133"/>
      <c r="AC4677" s="155"/>
      <c r="AD4677" s="138">
        <f>F_GAMMA*AD$29</f>
        <v>0.60557184969146072</v>
      </c>
      <c r="AE4677" s="133"/>
      <c r="AF4677" s="155"/>
      <c r="AG4677" s="138">
        <f>F_GAMMA*AG$29</f>
        <v>0.57289312142622573</v>
      </c>
      <c r="AH4677" s="133"/>
      <c r="AI4677" s="155"/>
      <c r="AJ4677" s="138">
        <f>F_GAMMA*AJ$29</f>
        <v>0.53590819116049981</v>
      </c>
      <c r="AK4677" s="133"/>
      <c r="AL4677" s="155"/>
      <c r="AM4677" s="138">
        <f>F_GAMMA*AM$29</f>
        <v>0.49048815926850342</v>
      </c>
      <c r="AN4677" s="133"/>
      <c r="AO4677" s="155"/>
      <c r="AP4677" s="138">
        <f>F_GAMMA*AP$29</f>
        <v>0.59352979016280105</v>
      </c>
      <c r="AQ4677" s="133"/>
      <c r="AR4677" s="155"/>
      <c r="AS4677" s="138">
        <f>F_GAMMA*AS$29</f>
        <v>0.39097221161068291</v>
      </c>
      <c r="AT4677" s="133"/>
      <c r="AU4677" s="155"/>
    </row>
    <row r="4678" spans="13:47" x14ac:dyDescent="0.25">
      <c r="M4678" s="27"/>
      <c r="N4678" s="27"/>
      <c r="O4678" s="2" t="s">
        <v>193</v>
      </c>
      <c r="P4678" s="134"/>
      <c r="Q4678" s="2"/>
      <c r="R4678" s="181">
        <f>IF(R4673&lt;R4677,R4675,R4676)</f>
        <v>51.438073696249582</v>
      </c>
      <c r="S4678" s="133"/>
      <c r="T4678" s="155"/>
      <c r="U4678" s="138" t="e">
        <f>IF(U4673&lt;U4677,U4675,U4676)</f>
        <v>#NUM!</v>
      </c>
      <c r="V4678" s="133"/>
      <c r="W4678" s="155"/>
      <c r="X4678" s="138">
        <f>IF(X4673&lt;X4677,X4675,X4676)</f>
        <v>47.35936043548579</v>
      </c>
      <c r="Y4678" s="133"/>
      <c r="Z4678" s="155"/>
      <c r="AA4678" s="138">
        <f>IF(AA4673&lt;AA4677,AA4675,AA4676)</f>
        <v>19.49448939760439</v>
      </c>
      <c r="AB4678" s="133"/>
      <c r="AC4678" s="155"/>
      <c r="AD4678" s="138">
        <f>IF(AD4673&lt;AD4677,AD4675,AD4676)</f>
        <v>11.612401786310352</v>
      </c>
      <c r="AE4678" s="133"/>
      <c r="AF4678" s="155"/>
      <c r="AG4678" s="138">
        <f>IF(AG4673&lt;AG4677,AG4675,AG4676)</f>
        <v>8.5847500196427209</v>
      </c>
      <c r="AH4678" s="133"/>
      <c r="AI4678" s="155"/>
      <c r="AJ4678" s="138">
        <f>IF(AJ4673&lt;AJ4677,AJ4675,AJ4676)</f>
        <v>7.1943712433242819</v>
      </c>
      <c r="AK4678" s="133"/>
      <c r="AL4678" s="155"/>
      <c r="AM4678" s="138">
        <f>IF(AM4673&lt;AM4677,AM4675,AM4676)</f>
        <v>6.7920618241512916</v>
      </c>
      <c r="AN4678" s="133"/>
      <c r="AO4678" s="155"/>
      <c r="AP4678" s="138">
        <f>IF(AP4673&lt;AP4677,AP4675,AP4676)</f>
        <v>6.2792648423061239</v>
      </c>
      <c r="AQ4678" s="133"/>
      <c r="AR4678" s="155"/>
      <c r="AS4678" s="138">
        <f>IF(AS4673&lt;AS4677,AS4675,AS4676)</f>
        <v>9.1034132577201436</v>
      </c>
      <c r="AT4678" s="133"/>
      <c r="AU4678" s="155"/>
    </row>
    <row r="4679" spans="13:47" ht="13" x14ac:dyDescent="0.3">
      <c r="M4679" s="28"/>
      <c r="N4679" s="28"/>
      <c r="O4679" s="9" t="s">
        <v>194</v>
      </c>
      <c r="P4679" s="1"/>
      <c r="Q4679" s="1"/>
      <c r="R4679" s="135"/>
      <c r="S4679" s="132">
        <f>IF(R4672&lt;=0,W_max,ABS(R$23-R4678))</f>
        <v>49.438073696249582</v>
      </c>
      <c r="T4679" s="151">
        <f>R4667</f>
        <v>8043.8199301834038</v>
      </c>
      <c r="U4679" s="135"/>
      <c r="V4679" s="132">
        <f>IF(U4672&lt;=0,W_max,ABS(U$23-U4678))</f>
        <v>7174</v>
      </c>
      <c r="W4679" s="151">
        <f>U4667</f>
        <v>12514.466158012721</v>
      </c>
      <c r="X4679" s="135"/>
      <c r="Y4679" s="132">
        <f>IF(X4672&lt;=0,W_max,ABS(X$23-X4678))</f>
        <v>7174</v>
      </c>
      <c r="Z4679" s="151">
        <f>X4667</f>
        <v>30949.764047695513</v>
      </c>
      <c r="AA4679" s="135"/>
      <c r="AB4679" s="132">
        <f>IF(AA4672&lt;=0,W_max,ABS(AA$23-AA4678))</f>
        <v>7174</v>
      </c>
      <c r="AC4679" s="151">
        <f>AA4667</f>
        <v>60282.24057959357</v>
      </c>
      <c r="AD4679" s="135"/>
      <c r="AE4679" s="132">
        <f>IF(AD4672&lt;=0,W_max,ABS(AD$23-AD4678))</f>
        <v>7174</v>
      </c>
      <c r="AF4679" s="151">
        <f>AD4667</f>
        <v>99142.091149248125</v>
      </c>
      <c r="AG4679" s="135"/>
      <c r="AH4679" s="132">
        <f>IF(AG4672&lt;=0,W_max,ABS(AG$23-AG4678))</f>
        <v>7174</v>
      </c>
      <c r="AI4679" s="151">
        <f>AG4667</f>
        <v>139054.41540666149</v>
      </c>
      <c r="AJ4679" s="135"/>
      <c r="AK4679" s="132">
        <f>IF(AJ4672&lt;=0,W_max,ABS(AJ$23-AJ4678))</f>
        <v>7174</v>
      </c>
      <c r="AL4679" s="151">
        <f>AJ4667</f>
        <v>176562.20927318826</v>
      </c>
      <c r="AM4679" s="135"/>
      <c r="AN4679" s="132">
        <f>IF(AM4672&lt;=0,W_max,ABS(AM$23-AM4678))</f>
        <v>7174</v>
      </c>
      <c r="AO4679" s="151">
        <f>AM4667</f>
        <v>207033.07609428957</v>
      </c>
      <c r="AP4679" s="135"/>
      <c r="AQ4679" s="132">
        <f>IF(AP4672&lt;=0,W_max,ABS(AP$23-AP4678))</f>
        <v>7174</v>
      </c>
      <c r="AR4679" s="151">
        <f>AP4667</f>
        <v>230980.24971115077</v>
      </c>
      <c r="AS4679" s="135"/>
      <c r="AT4679" s="132">
        <f>IF(AS4672&lt;=0,W_max,ABS(AS$23-AS4678))</f>
        <v>7174</v>
      </c>
      <c r="AU4679" s="151">
        <f>AS4667</f>
        <v>257697.35330758162</v>
      </c>
    </row>
    <row r="4680" spans="13:47" ht="13" x14ac:dyDescent="0.25">
      <c r="M4680" s="12"/>
      <c r="N4680" s="12"/>
      <c r="O4680" s="2"/>
      <c r="P4680" s="85"/>
      <c r="Q4680" s="2"/>
      <c r="R4680" s="18"/>
      <c r="S4680" s="150"/>
      <c r="T4680" s="152"/>
      <c r="U4680" s="157"/>
      <c r="V4680" s="1"/>
      <c r="W4680" s="147"/>
      <c r="X4680" s="157"/>
      <c r="Y4680" s="1"/>
      <c r="Z4680" s="147"/>
      <c r="AA4680" s="157"/>
      <c r="AB4680" s="1"/>
      <c r="AC4680" s="147"/>
      <c r="AD4680" s="157"/>
      <c r="AE4680" s="1"/>
      <c r="AF4680" s="147"/>
      <c r="AG4680" s="157"/>
      <c r="AH4680" s="1"/>
      <c r="AI4680" s="147"/>
      <c r="AJ4680" s="157"/>
      <c r="AK4680" s="1"/>
      <c r="AL4680" s="147"/>
      <c r="AM4680" s="157"/>
      <c r="AN4680" s="1"/>
      <c r="AO4680" s="147"/>
      <c r="AP4680" s="157"/>
      <c r="AQ4680" s="1"/>
      <c r="AR4680" s="147"/>
      <c r="AS4680" s="157"/>
      <c r="AT4680" s="1"/>
      <c r="AU4680" s="147"/>
    </row>
    <row r="4681" spans="13:47" ht="14" x14ac:dyDescent="0.3">
      <c r="M4681" s="23"/>
      <c r="N4681" s="23"/>
      <c r="O4681" s="23" t="s">
        <v>238</v>
      </c>
      <c r="P4681" s="20"/>
      <c r="Q4681" s="20"/>
      <c r="R4681" s="181">
        <f>R4667*1.02</f>
        <v>8204.6963287870713</v>
      </c>
      <c r="S4681" s="128" t="s">
        <v>185</v>
      </c>
      <c r="T4681" s="153" t="s">
        <v>186</v>
      </c>
      <c r="U4681" s="143">
        <f>U4667*1.01</f>
        <v>12639.610819592848</v>
      </c>
      <c r="V4681" s="128" t="s">
        <v>185</v>
      </c>
      <c r="W4681" s="153" t="s">
        <v>186</v>
      </c>
      <c r="X4681" s="143">
        <f>X4667*1.01</f>
        <v>31259.261688172468</v>
      </c>
      <c r="Y4681" s="128" t="s">
        <v>185</v>
      </c>
      <c r="Z4681" s="153" t="s">
        <v>186</v>
      </c>
      <c r="AA4681" s="143">
        <f>AA4667*1.01</f>
        <v>60885.062985389508</v>
      </c>
      <c r="AB4681" s="128" t="s">
        <v>185</v>
      </c>
      <c r="AC4681" s="153" t="s">
        <v>186</v>
      </c>
      <c r="AD4681" s="143">
        <f>AD4667*1.01</f>
        <v>100133.51206074061</v>
      </c>
      <c r="AE4681" s="128" t="s">
        <v>185</v>
      </c>
      <c r="AF4681" s="153" t="s">
        <v>186</v>
      </c>
      <c r="AG4681" s="143">
        <f>AG4667*1.01</f>
        <v>140444.95956072811</v>
      </c>
      <c r="AH4681" s="128" t="s">
        <v>185</v>
      </c>
      <c r="AI4681" s="153" t="s">
        <v>186</v>
      </c>
      <c r="AJ4681" s="143">
        <f>AJ4667*1.01</f>
        <v>178327.83136592014</v>
      </c>
      <c r="AK4681" s="128" t="s">
        <v>185</v>
      </c>
      <c r="AL4681" s="153" t="s">
        <v>186</v>
      </c>
      <c r="AM4681" s="143">
        <f>AM4667*1.01</f>
        <v>209103.40685523246</v>
      </c>
      <c r="AN4681" s="128" t="s">
        <v>185</v>
      </c>
      <c r="AO4681" s="153" t="s">
        <v>186</v>
      </c>
      <c r="AP4681" s="143">
        <f>AP4667*1.01</f>
        <v>233290.05220826229</v>
      </c>
      <c r="AQ4681" s="128" t="s">
        <v>185</v>
      </c>
      <c r="AR4681" s="153" t="s">
        <v>186</v>
      </c>
      <c r="AS4681" s="143">
        <f>AS4667*1.01</f>
        <v>260274.32684065745</v>
      </c>
      <c r="AT4681" s="128" t="s">
        <v>185</v>
      </c>
      <c r="AU4681" s="153" t="s">
        <v>186</v>
      </c>
    </row>
    <row r="4682" spans="13:47" ht="14" x14ac:dyDescent="0.3">
      <c r="M4682" s="12"/>
      <c r="N4682" s="12"/>
      <c r="O4682" s="20"/>
      <c r="P4682" s="20"/>
      <c r="Q4682" s="23"/>
      <c r="R4682" s="139"/>
      <c r="S4682" s="130" t="s">
        <v>228</v>
      </c>
      <c r="T4682" s="154" t="s">
        <v>187</v>
      </c>
      <c r="U4682" s="144"/>
      <c r="V4682" s="130" t="s">
        <v>228</v>
      </c>
      <c r="W4682" s="154" t="s">
        <v>187</v>
      </c>
      <c r="X4682" s="144"/>
      <c r="Y4682" s="130" t="s">
        <v>228</v>
      </c>
      <c r="Z4682" s="154" t="s">
        <v>187</v>
      </c>
      <c r="AA4682" s="144"/>
      <c r="AB4682" s="130" t="s">
        <v>228</v>
      </c>
      <c r="AC4682" s="154" t="s">
        <v>187</v>
      </c>
      <c r="AD4682" s="144"/>
      <c r="AE4682" s="130" t="s">
        <v>228</v>
      </c>
      <c r="AF4682" s="154" t="s">
        <v>187</v>
      </c>
      <c r="AG4682" s="144"/>
      <c r="AH4682" s="130" t="s">
        <v>228</v>
      </c>
      <c r="AI4682" s="154" t="s">
        <v>187</v>
      </c>
      <c r="AJ4682" s="144"/>
      <c r="AK4682" s="130" t="s">
        <v>228</v>
      </c>
      <c r="AL4682" s="154" t="s">
        <v>187</v>
      </c>
      <c r="AM4682" s="144"/>
      <c r="AN4682" s="130" t="s">
        <v>228</v>
      </c>
      <c r="AO4682" s="154" t="s">
        <v>187</v>
      </c>
      <c r="AP4682" s="144"/>
      <c r="AQ4682" s="130" t="s">
        <v>228</v>
      </c>
      <c r="AR4682" s="154" t="s">
        <v>187</v>
      </c>
      <c r="AS4682" s="144"/>
      <c r="AT4682" s="130" t="s">
        <v>228</v>
      </c>
      <c r="AU4682" s="154" t="s">
        <v>187</v>
      </c>
    </row>
    <row r="4683" spans="13:47" x14ac:dyDescent="0.25">
      <c r="M4683" s="20"/>
      <c r="N4683" s="20"/>
      <c r="O4683" s="7" t="s">
        <v>188</v>
      </c>
      <c r="P4683" s="7"/>
      <c r="Q4683" s="7"/>
      <c r="R4683" s="181">
        <f>P_1_minW-(R4681^2*R_up)+dpup_minQ</f>
        <v>73.679319500320304</v>
      </c>
      <c r="S4683" s="132"/>
      <c r="T4683" s="145"/>
      <c r="U4683" s="138">
        <f>P_1_minW-(U4681^2*R_up)+dpup_minQ</f>
        <v>36.816690770516296</v>
      </c>
      <c r="V4683" s="132"/>
      <c r="W4683" s="145"/>
      <c r="X4683" s="138">
        <f>P_1_minW-(X4681^2*R_up)+dpup_minQ</f>
        <v>-289.12392893404007</v>
      </c>
      <c r="Y4683" s="132"/>
      <c r="Z4683" s="145"/>
      <c r="AA4683" s="138">
        <f>P_1_minW-(AA4681^2*R_up)+dpup_minQ</f>
        <v>-1377.6837104194126</v>
      </c>
      <c r="AB4683" s="132"/>
      <c r="AC4683" s="145"/>
      <c r="AD4683" s="138">
        <f>P_1_minW-(AD4681^2*R_up)+dpup_minQ</f>
        <v>-3897.7505895119484</v>
      </c>
      <c r="AE4683" s="132"/>
      <c r="AF4683" s="145"/>
      <c r="AG4683" s="138">
        <f>P_1_minW-(AG4681^2*R_up)+dpup_minQ</f>
        <v>-7764.9693692150213</v>
      </c>
      <c r="AH4683" s="132"/>
      <c r="AI4683" s="145"/>
      <c r="AJ4683" s="138">
        <f>P_1_minW-(AJ4681^2*R_up)+dpup_minQ</f>
        <v>-12580.428780895565</v>
      </c>
      <c r="AK4683" s="132"/>
      <c r="AL4683" s="145"/>
      <c r="AM4683" s="138">
        <f>P_1_minW-(AM4681^2*R_up)+dpup_minQ</f>
        <v>-17335.033366083593</v>
      </c>
      <c r="AN4683" s="132"/>
      <c r="AO4683" s="145"/>
      <c r="AP4683" s="138">
        <f>P_1_minW-(AP4681^2*R_up)+dpup_minQ</f>
        <v>-21601.790480256492</v>
      </c>
      <c r="AQ4683" s="132"/>
      <c r="AR4683" s="145"/>
      <c r="AS4683" s="138">
        <f>P_1_minW-(AS4681^2*R_up)+dpup_minQ</f>
        <v>-26912.690729972572</v>
      </c>
      <c r="AT4683" s="132"/>
      <c r="AU4683" s="145"/>
    </row>
    <row r="4684" spans="13:47" x14ac:dyDescent="0.25">
      <c r="M4684" s="20"/>
      <c r="N4684" s="20"/>
      <c r="O4684" s="7" t="s">
        <v>189</v>
      </c>
      <c r="P4684" s="1"/>
      <c r="Q4684" s="7"/>
      <c r="R4684" s="181">
        <f>P_2_minW+(R4681^2*R_dn)-dpdn_minQ</f>
        <v>50</v>
      </c>
      <c r="S4684" s="132"/>
      <c r="T4684" s="146"/>
      <c r="U4684" s="138">
        <f>P_2_minW+(U4681^2*R_dn)-dpdn_minQ</f>
        <v>50</v>
      </c>
      <c r="V4684" s="132"/>
      <c r="W4684" s="146"/>
      <c r="X4684" s="138">
        <f>P_2_minW+(X4681^2*R_dn)-dpdn_minQ</f>
        <v>50</v>
      </c>
      <c r="Y4684" s="132"/>
      <c r="Z4684" s="146"/>
      <c r="AA4684" s="138">
        <f>P_2_minW+(AA4681^2*R_dn)-dpdn_minQ</f>
        <v>50</v>
      </c>
      <c r="AB4684" s="132"/>
      <c r="AC4684" s="146"/>
      <c r="AD4684" s="138">
        <f>P_2_minW+(AD4681^2*R_dn)-dpdn_minQ</f>
        <v>50</v>
      </c>
      <c r="AE4684" s="132"/>
      <c r="AF4684" s="146"/>
      <c r="AG4684" s="138">
        <f>P_2_minW+(AG4681^2*R_dn)-dpdn_minQ</f>
        <v>50</v>
      </c>
      <c r="AH4684" s="132"/>
      <c r="AI4684" s="146"/>
      <c r="AJ4684" s="138">
        <f>P_2_minW+(AJ4681^2*R_dn)-dpdn_minQ</f>
        <v>50</v>
      </c>
      <c r="AK4684" s="132"/>
      <c r="AL4684" s="146"/>
      <c r="AM4684" s="138">
        <f>P_2_minW+(AM4681^2*R_dn)-dpdn_minQ</f>
        <v>50</v>
      </c>
      <c r="AN4684" s="132"/>
      <c r="AO4684" s="146"/>
      <c r="AP4684" s="138">
        <f>P_2_minW+(AP4681^2*R_dn)-dpdn_minQ</f>
        <v>50</v>
      </c>
      <c r="AQ4684" s="132"/>
      <c r="AR4684" s="146"/>
      <c r="AS4684" s="138">
        <f>P_2_minW+(AS4681^2*R_dn)-dpdn_minQ</f>
        <v>50</v>
      </c>
      <c r="AT4684" s="132"/>
      <c r="AU4684" s="146"/>
    </row>
    <row r="4685" spans="13:47" x14ac:dyDescent="0.25">
      <c r="M4685" s="20"/>
      <c r="N4685" s="20"/>
      <c r="O4685" s="7" t="s">
        <v>234</v>
      </c>
      <c r="P4685" s="1"/>
      <c r="Q4685" s="7"/>
      <c r="R4685" s="179">
        <f>'Valve Sizing'!G$8*R4683/P_1_maxW</f>
        <v>0.35541591947523765</v>
      </c>
      <c r="S4685" s="132"/>
      <c r="T4685" s="146"/>
      <c r="U4685" s="143">
        <f>'Valve Sizing'!$G$8*U4683/P_1_maxW</f>
        <v>0.17759716146919163</v>
      </c>
      <c r="V4685" s="132"/>
      <c r="W4685" s="146"/>
      <c r="X4685" s="143">
        <f>'Valve Sizing'!$G$8*X4683/P_1_maxW</f>
        <v>-1.3946823578350012</v>
      </c>
      <c r="Y4685" s="132"/>
      <c r="Z4685" s="146"/>
      <c r="AA4685" s="143">
        <f>'Valve Sizing'!$G$8*AA4683/P_1_maxW</f>
        <v>-6.6457009375967955</v>
      </c>
      <c r="AB4685" s="132"/>
      <c r="AC4685" s="146"/>
      <c r="AD4685" s="143">
        <f>'Valve Sizing'!$G$8*AD4683/P_1_maxW</f>
        <v>-18.802054892085643</v>
      </c>
      <c r="AE4685" s="132"/>
      <c r="AF4685" s="146"/>
      <c r="AG4685" s="143">
        <f>'Valve Sizing'!$G$8*AG4683/P_1_maxW</f>
        <v>-37.456829769506967</v>
      </c>
      <c r="AH4685" s="132"/>
      <c r="AI4685" s="146"/>
      <c r="AJ4685" s="143">
        <f>'Valve Sizing'!$G$8*AJ4683/P_1_maxW</f>
        <v>-60.685748631748723</v>
      </c>
      <c r="AK4685" s="132"/>
      <c r="AL4685" s="146"/>
      <c r="AM4685" s="143">
        <f>'Valve Sizing'!$G$8*AM4683/P_1_maxW</f>
        <v>-83.621114645524642</v>
      </c>
      <c r="AN4685" s="132"/>
      <c r="AO4685" s="146"/>
      <c r="AP4685" s="143">
        <f>'Valve Sizing'!$G$8*AP4683/P_1_maxW</f>
        <v>-104.20319131501233</v>
      </c>
      <c r="AQ4685" s="132"/>
      <c r="AR4685" s="146"/>
      <c r="AS4685" s="143">
        <f>'Valve Sizing'!$G$8*AS4683/P_1_maxW</f>
        <v>-129.82202857213309</v>
      </c>
      <c r="AT4685" s="132"/>
      <c r="AU4685" s="146"/>
    </row>
    <row r="4686" spans="13:47" x14ac:dyDescent="0.25">
      <c r="M4686" s="20"/>
      <c r="N4686" s="20"/>
      <c r="O4686" s="7" t="s">
        <v>190</v>
      </c>
      <c r="P4686" s="1"/>
      <c r="Q4686" s="7"/>
      <c r="R4686" s="181">
        <f>R4683-R4684</f>
        <v>23.679319500320304</v>
      </c>
      <c r="S4686" s="132"/>
      <c r="T4686" s="146"/>
      <c r="U4686" s="138">
        <f>U4683-U4684</f>
        <v>-13.183309229483704</v>
      </c>
      <c r="V4686" s="132"/>
      <c r="W4686" s="146"/>
      <c r="X4686" s="138">
        <f>X4683-X4684</f>
        <v>-339.12392893404007</v>
      </c>
      <c r="Y4686" s="132"/>
      <c r="Z4686" s="146"/>
      <c r="AA4686" s="138">
        <f>AA4683-AA4684</f>
        <v>-1427.6837104194126</v>
      </c>
      <c r="AB4686" s="132"/>
      <c r="AC4686" s="146"/>
      <c r="AD4686" s="138">
        <f>AD4683-AD4684</f>
        <v>-3947.7505895119484</v>
      </c>
      <c r="AE4686" s="132"/>
      <c r="AF4686" s="146"/>
      <c r="AG4686" s="138">
        <f>AG4683-AG4684</f>
        <v>-7814.9693692150213</v>
      </c>
      <c r="AH4686" s="132"/>
      <c r="AI4686" s="146"/>
      <c r="AJ4686" s="138">
        <f>AJ4683-AJ4684</f>
        <v>-12630.428780895565</v>
      </c>
      <c r="AK4686" s="132"/>
      <c r="AL4686" s="146"/>
      <c r="AM4686" s="138">
        <f>AM4683-AM4684</f>
        <v>-17385.033366083593</v>
      </c>
      <c r="AN4686" s="132"/>
      <c r="AO4686" s="146"/>
      <c r="AP4686" s="138">
        <f>AP4683-AP4684</f>
        <v>-21651.790480256492</v>
      </c>
      <c r="AQ4686" s="132"/>
      <c r="AR4686" s="146"/>
      <c r="AS4686" s="138">
        <f>AS4683-AS4684</f>
        <v>-26962.690729972572</v>
      </c>
      <c r="AT4686" s="132"/>
      <c r="AU4686" s="146"/>
    </row>
    <row r="4687" spans="13:47" ht="14.5" x14ac:dyDescent="0.35">
      <c r="M4687" s="27"/>
      <c r="N4687" s="27"/>
      <c r="O4687" s="2" t="s">
        <v>191</v>
      </c>
      <c r="P4687" s="10"/>
      <c r="Q4687" s="2"/>
      <c r="R4687" s="181">
        <f>R4686/R4683</f>
        <v>0.32138352608179782</v>
      </c>
      <c r="S4687" s="132"/>
      <c r="T4687" s="146"/>
      <c r="U4687" s="138">
        <f>U4686/U4683</f>
        <v>-0.35807969031375358</v>
      </c>
      <c r="V4687" s="132"/>
      <c r="W4687" s="146"/>
      <c r="X4687" s="138">
        <f>X4686/X4683</f>
        <v>1.1729362221395616</v>
      </c>
      <c r="Y4687" s="132"/>
      <c r="Z4687" s="146"/>
      <c r="AA4687" s="138">
        <f>AA4686/AA4683</f>
        <v>1.0362928004605487</v>
      </c>
      <c r="AB4687" s="132"/>
      <c r="AC4687" s="146"/>
      <c r="AD4687" s="138">
        <f>AD4686/AD4683</f>
        <v>1.0128279115997159</v>
      </c>
      <c r="AE4687" s="132"/>
      <c r="AF4687" s="146"/>
      <c r="AG4687" s="138">
        <f>AG4686/AG4683</f>
        <v>1.0064391754329682</v>
      </c>
      <c r="AH4687" s="132"/>
      <c r="AI4687" s="146"/>
      <c r="AJ4687" s="138">
        <f>AJ4686/AJ4683</f>
        <v>1.0039744273323918</v>
      </c>
      <c r="AK4687" s="132"/>
      <c r="AL4687" s="146"/>
      <c r="AM4687" s="138">
        <f>AM4686/AM4683</f>
        <v>1.0028843324927097</v>
      </c>
      <c r="AN4687" s="132"/>
      <c r="AO4687" s="146"/>
      <c r="AP4687" s="138">
        <f>AP4686/AP4683</f>
        <v>1.0023146229496902</v>
      </c>
      <c r="AQ4687" s="132"/>
      <c r="AR4687" s="146"/>
      <c r="AS4687" s="138">
        <f>AS4686/AS4683</f>
        <v>1.001857859568992</v>
      </c>
      <c r="AT4687" s="132"/>
      <c r="AU4687" s="146"/>
    </row>
    <row r="4688" spans="13:47" x14ac:dyDescent="0.25">
      <c r="M4688" s="27"/>
      <c r="N4688" s="27"/>
      <c r="O4688" s="2" t="s">
        <v>26</v>
      </c>
      <c r="P4688" s="7">
        <v>12</v>
      </c>
      <c r="Q4688" s="2"/>
      <c r="R4688" s="181">
        <f>1-R4687/(3*F_GAMMA*R$29)</f>
        <v>0.83261977684142541</v>
      </c>
      <c r="S4688" s="133"/>
      <c r="T4688" s="146"/>
      <c r="U4688" s="138">
        <f>1-U4687/(3*F_GAMMA*U$29)</f>
        <v>1.1864509451009719</v>
      </c>
      <c r="V4688" s="133"/>
      <c r="W4688" s="146"/>
      <c r="X4688" s="138">
        <f>1-X4687/(3*F_GAMMA*X$29)</f>
        <v>0.3800937410706412</v>
      </c>
      <c r="Y4688" s="133"/>
      <c r="Z4688" s="146"/>
      <c r="AA4688" s="138">
        <f>1-AA4687/(3*F_GAMMA*AA$29)</f>
        <v>0.44480131228068942</v>
      </c>
      <c r="AB4688" s="133"/>
      <c r="AC4688" s="146"/>
      <c r="AD4688" s="138">
        <f>1-AD4687/(3*F_GAMMA*AD$29)</f>
        <v>0.44249504986306065</v>
      </c>
      <c r="AE4688" s="133"/>
      <c r="AF4688" s="146"/>
      <c r="AG4688" s="138">
        <f>1-AG4687/(3*F_GAMMA*AG$29)</f>
        <v>0.41441132281508097</v>
      </c>
      <c r="AH4688" s="133"/>
      <c r="AI4688" s="146"/>
      <c r="AJ4688" s="138">
        <f>1-AJ4687/(3*F_GAMMA*AJ$29)</f>
        <v>0.37553083165339518</v>
      </c>
      <c r="AK4688" s="133"/>
      <c r="AL4688" s="146"/>
      <c r="AM4688" s="138">
        <f>1-AM4687/(3*F_GAMMA*AM$29)</f>
        <v>0.31844475512696335</v>
      </c>
      <c r="AN4688" s="133"/>
      <c r="AO4688" s="146"/>
      <c r="AP4688" s="138">
        <f>1-AP4687/(3*F_GAMMA*AP$29)</f>
        <v>0.43708828123872134</v>
      </c>
      <c r="AQ4688" s="133"/>
      <c r="AR4688" s="146"/>
      <c r="AS4688" s="138">
        <f>1-AS4687/(3*F_GAMMA*AS$29)</f>
        <v>0.14584052283268267</v>
      </c>
      <c r="AT4688" s="133"/>
      <c r="AU4688" s="146"/>
    </row>
    <row r="4689" spans="13:47" x14ac:dyDescent="0.25">
      <c r="M4689" s="27"/>
      <c r="N4689" s="27"/>
      <c r="O4689" s="2" t="s">
        <v>71</v>
      </c>
      <c r="P4689" s="85">
        <v>5</v>
      </c>
      <c r="Q4689" s="2"/>
      <c r="R4689" s="179">
        <f>R4681/((N_6*R$27*R4688)*SQRT(R4687*R4683*R4685))</f>
        <v>53.66739212994807</v>
      </c>
      <c r="S4689" s="133"/>
      <c r="T4689" s="146"/>
      <c r="U4689" s="143" t="e">
        <f>U4681/((N_6*U$27*U4688)*SQRT(U4687*U4683*U4685))</f>
        <v>#NUM!</v>
      </c>
      <c r="V4689" s="133"/>
      <c r="W4689" s="146"/>
      <c r="X4689" s="143">
        <f>X4681/((N_6*X$27*X4688)*SQRT(X4687*X4683*X4685))</f>
        <v>59.917027959987827</v>
      </c>
      <c r="Y4689" s="133"/>
      <c r="Z4689" s="146"/>
      <c r="AA4689" s="143">
        <f>AA4681/((N_6*AA$27*AA4688)*SQRT(AA4687*AA4683*AA4685))</f>
        <v>22.393811547203658</v>
      </c>
      <c r="AB4689" s="133"/>
      <c r="AC4689" s="146"/>
      <c r="AD4689" s="143">
        <f>AD4681/((N_6*AD$27*AD4688)*SQRT(AD4687*AD4683*AD4685))</f>
        <v>13.393926735245994</v>
      </c>
      <c r="AE4689" s="133"/>
      <c r="AF4689" s="146"/>
      <c r="AG4689" s="143">
        <f>AG4681/((N_6*AG$27*AG4688)*SQRT(AG4687*AG4683*AG4685))</f>
        <v>10.31883139176184</v>
      </c>
      <c r="AH4689" s="133"/>
      <c r="AI4689" s="146"/>
      <c r="AJ4689" s="143">
        <f>AJ4681/((N_6*AJ$27*AJ4688)*SQRT(AJ4687*AJ4683*AJ4685))</f>
        <v>9.2419969588734929</v>
      </c>
      <c r="AK4689" s="133"/>
      <c r="AL4689" s="146"/>
      <c r="AM4689" s="143">
        <f>AM4681/((N_6*AM$27*AM4688)*SQRT(AM4687*AM4683*AM4685))</f>
        <v>9.8494098149717129</v>
      </c>
      <c r="AN4689" s="133"/>
      <c r="AO4689" s="146"/>
      <c r="AP4689" s="143">
        <f>AP4681/((N_6*AP$27*AP4688)*SQRT(AP4687*AP4683*AP4685))</f>
        <v>7.29999735045104</v>
      </c>
      <c r="AQ4689" s="133"/>
      <c r="AR4689" s="146"/>
      <c r="AS4689" s="143">
        <f>AS4681/((N_6*AS$27*AS4688)*SQRT(AS4687*AS4683*AS4685))</f>
        <v>25.749440101393198</v>
      </c>
      <c r="AT4689" s="133"/>
      <c r="AU4689" s="146"/>
    </row>
    <row r="4690" spans="13:47" x14ac:dyDescent="0.25">
      <c r="M4690" s="27"/>
      <c r="N4690" s="27"/>
      <c r="O4690" s="2" t="s">
        <v>73</v>
      </c>
      <c r="P4690" s="85">
        <v>5</v>
      </c>
      <c r="Q4690" s="2"/>
      <c r="R4690" s="179">
        <f>R4681/((N_6*R$27*0.667)*SQRT(R4691*R4683*R4685))</f>
        <v>47.472715981376346</v>
      </c>
      <c r="S4690" s="133"/>
      <c r="T4690" s="155"/>
      <c r="U4690" s="143">
        <f>U4681/((N_6*U$27*0.667)*SQRT(U4691*U4683*U4685))</f>
        <v>146.43276842460261</v>
      </c>
      <c r="V4690" s="133"/>
      <c r="W4690" s="155"/>
      <c r="X4690" s="143">
        <f>X4681/((N_6*X$27*0.667)*SQRT(X4691*X4683*X4685))</f>
        <v>46.562767531445438</v>
      </c>
      <c r="Y4690" s="133"/>
      <c r="Z4690" s="155"/>
      <c r="AA4690" s="143">
        <f>AA4681/((N_6*AA$27*0.667)*SQRT(AA4691*AA4683*AA4685))</f>
        <v>19.273167149227692</v>
      </c>
      <c r="AB4690" s="133"/>
      <c r="AC4690" s="155"/>
      <c r="AD4690" s="143">
        <f>AD4681/((N_6*AD$27*0.667)*SQRT(AD4691*AD4683*AD4685))</f>
        <v>11.491467498137894</v>
      </c>
      <c r="AE4690" s="133"/>
      <c r="AF4690" s="155"/>
      <c r="AG4690" s="143">
        <f>AG4681/((N_6*AG$27*0.667)*SQRT(AG4691*AG4683*AG4685))</f>
        <v>8.4975407901531028</v>
      </c>
      <c r="AH4690" s="133"/>
      <c r="AI4690" s="155"/>
      <c r="AJ4690" s="143">
        <f>AJ4681/((N_6*AJ$27*0.667)*SQRT(AJ4691*AJ4683*AJ4685))</f>
        <v>7.1219958170059003</v>
      </c>
      <c r="AK4690" s="133"/>
      <c r="AL4690" s="155"/>
      <c r="AM4690" s="143">
        <f>AM4681/((N_6*AM$27*0.667)*SQRT(AM4691*AM4683*AM4685))</f>
        <v>6.7240298676193868</v>
      </c>
      <c r="AN4690" s="133"/>
      <c r="AO4690" s="155"/>
      <c r="AP4690" s="143">
        <f>AP4681/((N_6*AP$27*0.667)*SQRT(AP4691*AP4683*AP4685))</f>
        <v>6.2165123918443639</v>
      </c>
      <c r="AQ4690" s="133"/>
      <c r="AR4690" s="155"/>
      <c r="AS4690" s="143">
        <f>AS4681/((N_6*AS$27*0.667)*SQRT(AS4691*AS4683*AS4685))</f>
        <v>9.0126037685131575</v>
      </c>
      <c r="AT4690" s="133"/>
      <c r="AU4690" s="155"/>
    </row>
    <row r="4691" spans="13:47" ht="15.5" x14ac:dyDescent="0.4">
      <c r="M4691" s="27"/>
      <c r="N4691" s="27"/>
      <c r="O4691" s="2" t="s">
        <v>192</v>
      </c>
      <c r="P4691" s="85">
        <v>10</v>
      </c>
      <c r="Q4691" s="2"/>
      <c r="R4691" s="181">
        <f>F_GAMMA*R$29</f>
        <v>0.64002688015162901</v>
      </c>
      <c r="S4691" s="133"/>
      <c r="T4691" s="155"/>
      <c r="U4691" s="138">
        <f>F_GAMMA*U$29</f>
        <v>0.64016782916606918</v>
      </c>
      <c r="V4691" s="133"/>
      <c r="W4691" s="155"/>
      <c r="X4691" s="138">
        <f>F_GAMMA*X$29</f>
        <v>0.6307062319203669</v>
      </c>
      <c r="Y4691" s="133"/>
      <c r="Z4691" s="155"/>
      <c r="AA4691" s="138">
        <f>F_GAMMA*AA$29</f>
        <v>0.62217534213893466</v>
      </c>
      <c r="AB4691" s="133"/>
      <c r="AC4691" s="155"/>
      <c r="AD4691" s="138">
        <f>F_GAMMA*AD$29</f>
        <v>0.60557184969146072</v>
      </c>
      <c r="AE4691" s="133"/>
      <c r="AF4691" s="155"/>
      <c r="AG4691" s="138">
        <f>F_GAMMA*AG$29</f>
        <v>0.57289312142622573</v>
      </c>
      <c r="AH4691" s="133"/>
      <c r="AI4691" s="155"/>
      <c r="AJ4691" s="138">
        <f>F_GAMMA*AJ$29</f>
        <v>0.53590819116049981</v>
      </c>
      <c r="AK4691" s="133"/>
      <c r="AL4691" s="155"/>
      <c r="AM4691" s="138">
        <f>F_GAMMA*AM$29</f>
        <v>0.49048815926850342</v>
      </c>
      <c r="AN4691" s="133"/>
      <c r="AO4691" s="155"/>
      <c r="AP4691" s="138">
        <f>F_GAMMA*AP$29</f>
        <v>0.59352979016280105</v>
      </c>
      <c r="AQ4691" s="133"/>
      <c r="AR4691" s="155"/>
      <c r="AS4691" s="138">
        <f>F_GAMMA*AS$29</f>
        <v>0.39097221161068291</v>
      </c>
      <c r="AT4691" s="133"/>
      <c r="AU4691" s="155"/>
    </row>
    <row r="4692" spans="13:47" x14ac:dyDescent="0.25">
      <c r="M4692" s="27"/>
      <c r="N4692" s="27"/>
      <c r="O4692" s="2" t="s">
        <v>193</v>
      </c>
      <c r="P4692" s="134"/>
      <c r="Q4692" s="2"/>
      <c r="R4692" s="181">
        <f>IF(R4687&lt;R4691,R4689,R4690)</f>
        <v>53.66739212994807</v>
      </c>
      <c r="S4692" s="133"/>
      <c r="T4692" s="155"/>
      <c r="U4692" s="138" t="e">
        <f>IF(U4687&lt;U4691,U4689,U4690)</f>
        <v>#NUM!</v>
      </c>
      <c r="V4692" s="133"/>
      <c r="W4692" s="155"/>
      <c r="X4692" s="138">
        <f>IF(X4687&lt;X4691,X4689,X4690)</f>
        <v>46.562767531445438</v>
      </c>
      <c r="Y4692" s="133"/>
      <c r="Z4692" s="155"/>
      <c r="AA4692" s="138">
        <f>IF(AA4687&lt;AA4691,AA4689,AA4690)</f>
        <v>19.273167149227692</v>
      </c>
      <c r="AB4692" s="133"/>
      <c r="AC4692" s="155"/>
      <c r="AD4692" s="138">
        <f>IF(AD4687&lt;AD4691,AD4689,AD4690)</f>
        <v>11.491467498137894</v>
      </c>
      <c r="AE4692" s="133"/>
      <c r="AF4692" s="155"/>
      <c r="AG4692" s="138">
        <f>IF(AG4687&lt;AG4691,AG4689,AG4690)</f>
        <v>8.4975407901531028</v>
      </c>
      <c r="AH4692" s="133"/>
      <c r="AI4692" s="155"/>
      <c r="AJ4692" s="138">
        <f>IF(AJ4687&lt;AJ4691,AJ4689,AJ4690)</f>
        <v>7.1219958170059003</v>
      </c>
      <c r="AK4692" s="133"/>
      <c r="AL4692" s="155"/>
      <c r="AM4692" s="138">
        <f>IF(AM4687&lt;AM4691,AM4689,AM4690)</f>
        <v>6.7240298676193868</v>
      </c>
      <c r="AN4692" s="133"/>
      <c r="AO4692" s="155"/>
      <c r="AP4692" s="138">
        <f>IF(AP4687&lt;AP4691,AP4689,AP4690)</f>
        <v>6.2165123918443639</v>
      </c>
      <c r="AQ4692" s="133"/>
      <c r="AR4692" s="155"/>
      <c r="AS4692" s="138">
        <f>IF(AS4687&lt;AS4691,AS4689,AS4690)</f>
        <v>9.0126037685131575</v>
      </c>
      <c r="AT4692" s="133"/>
      <c r="AU4692" s="155"/>
    </row>
    <row r="4693" spans="13:47" ht="13" x14ac:dyDescent="0.3">
      <c r="M4693" s="28"/>
      <c r="N4693" s="28"/>
      <c r="O4693" s="9" t="s">
        <v>194</v>
      </c>
      <c r="P4693" s="1"/>
      <c r="Q4693" s="1"/>
      <c r="R4693" s="135"/>
      <c r="S4693" s="132">
        <f>IF(R4686&lt;=0,W_max,ABS(R$23-R4692))</f>
        <v>51.66739212994807</v>
      </c>
      <c r="T4693" s="151">
        <f>R4681</f>
        <v>8204.6963287870713</v>
      </c>
      <c r="U4693" s="135"/>
      <c r="V4693" s="132">
        <f>IF(U4686&lt;=0,W_max,ABS(U$23-U4692))</f>
        <v>7174</v>
      </c>
      <c r="W4693" s="151">
        <f>U4681</f>
        <v>12639.610819592848</v>
      </c>
      <c r="X4693" s="135"/>
      <c r="Y4693" s="132">
        <f>IF(X4686&lt;=0,W_max,ABS(X$23-X4692))</f>
        <v>7174</v>
      </c>
      <c r="Z4693" s="151">
        <f>X4681</f>
        <v>31259.261688172468</v>
      </c>
      <c r="AA4693" s="135"/>
      <c r="AB4693" s="132">
        <f>IF(AA4686&lt;=0,W_max,ABS(AA$23-AA4692))</f>
        <v>7174</v>
      </c>
      <c r="AC4693" s="151">
        <f>AA4681</f>
        <v>60885.062985389508</v>
      </c>
      <c r="AD4693" s="135"/>
      <c r="AE4693" s="132">
        <f>IF(AD4686&lt;=0,W_max,ABS(AD$23-AD4692))</f>
        <v>7174</v>
      </c>
      <c r="AF4693" s="151">
        <f>AD4681</f>
        <v>100133.51206074061</v>
      </c>
      <c r="AG4693" s="135"/>
      <c r="AH4693" s="132">
        <f>IF(AG4686&lt;=0,W_max,ABS(AG$23-AG4692))</f>
        <v>7174</v>
      </c>
      <c r="AI4693" s="151">
        <f>AG4681</f>
        <v>140444.95956072811</v>
      </c>
      <c r="AJ4693" s="135"/>
      <c r="AK4693" s="132">
        <f>IF(AJ4686&lt;=0,W_max,ABS(AJ$23-AJ4692))</f>
        <v>7174</v>
      </c>
      <c r="AL4693" s="151">
        <f>AJ4681</f>
        <v>178327.83136592014</v>
      </c>
      <c r="AM4693" s="135"/>
      <c r="AN4693" s="132">
        <f>IF(AM4686&lt;=0,W_max,ABS(AM$23-AM4692))</f>
        <v>7174</v>
      </c>
      <c r="AO4693" s="151">
        <f>AM4681</f>
        <v>209103.40685523246</v>
      </c>
      <c r="AP4693" s="135"/>
      <c r="AQ4693" s="132">
        <f>IF(AP4686&lt;=0,W_max,ABS(AP$23-AP4692))</f>
        <v>7174</v>
      </c>
      <c r="AR4693" s="151">
        <f>AP4681</f>
        <v>233290.05220826229</v>
      </c>
      <c r="AS4693" s="135"/>
      <c r="AT4693" s="132">
        <f>IF(AS4686&lt;=0,W_max,ABS(AS$23-AS4692))</f>
        <v>7174</v>
      </c>
      <c r="AU4693" s="151">
        <f>AS4681</f>
        <v>260274.32684065745</v>
      </c>
    </row>
    <row r="4694" spans="13:47" ht="13" x14ac:dyDescent="0.25">
      <c r="M4694" s="12"/>
      <c r="N4694" s="12"/>
      <c r="O4694" s="2"/>
      <c r="P4694" s="85"/>
      <c r="Q4694" s="2"/>
      <c r="R4694" s="18"/>
      <c r="S4694" s="150"/>
      <c r="T4694" s="148"/>
      <c r="U4694" s="157"/>
      <c r="V4694" s="1"/>
      <c r="W4694" s="147"/>
      <c r="X4694" s="157"/>
      <c r="Y4694" s="1"/>
      <c r="Z4694" s="147"/>
      <c r="AA4694" s="157"/>
      <c r="AB4694" s="1"/>
      <c r="AC4694" s="147"/>
      <c r="AD4694" s="157"/>
      <c r="AE4694" s="1"/>
      <c r="AF4694" s="147"/>
      <c r="AG4694" s="157"/>
      <c r="AH4694" s="1"/>
      <c r="AI4694" s="147"/>
      <c r="AJ4694" s="157"/>
      <c r="AK4694" s="1"/>
      <c r="AL4694" s="147"/>
      <c r="AM4694" s="157"/>
      <c r="AN4694" s="1"/>
      <c r="AO4694" s="147"/>
      <c r="AP4694" s="157"/>
      <c r="AQ4694" s="1"/>
      <c r="AR4694" s="147"/>
      <c r="AS4694" s="157"/>
      <c r="AT4694" s="1"/>
      <c r="AU4694" s="147"/>
    </row>
    <row r="4695" spans="13:47" ht="14" x14ac:dyDescent="0.3">
      <c r="M4695" s="23"/>
      <c r="N4695" s="23"/>
      <c r="O4695" s="23" t="s">
        <v>238</v>
      </c>
      <c r="P4695" s="20"/>
      <c r="Q4695" s="20"/>
      <c r="R4695" s="181">
        <f>R4681*1.02</f>
        <v>8368.7902553628137</v>
      </c>
      <c r="S4695" s="128" t="s">
        <v>185</v>
      </c>
      <c r="T4695" s="149" t="s">
        <v>186</v>
      </c>
      <c r="U4695" s="143">
        <f>U4681*1.01</f>
        <v>12766.006927788776</v>
      </c>
      <c r="V4695" s="128" t="s">
        <v>185</v>
      </c>
      <c r="W4695" s="153" t="s">
        <v>186</v>
      </c>
      <c r="X4695" s="143">
        <f>X4681*1.01</f>
        <v>31571.854305054192</v>
      </c>
      <c r="Y4695" s="128" t="s">
        <v>185</v>
      </c>
      <c r="Z4695" s="153" t="s">
        <v>186</v>
      </c>
      <c r="AA4695" s="143">
        <f>AA4681*1.01</f>
        <v>61493.9136152434</v>
      </c>
      <c r="AB4695" s="128" t="s">
        <v>185</v>
      </c>
      <c r="AC4695" s="153" t="s">
        <v>186</v>
      </c>
      <c r="AD4695" s="143">
        <f>AD4681*1.01</f>
        <v>101134.84718134801</v>
      </c>
      <c r="AE4695" s="128" t="s">
        <v>185</v>
      </c>
      <c r="AF4695" s="153" t="s">
        <v>186</v>
      </c>
      <c r="AG4695" s="143">
        <f>AG4681*1.01</f>
        <v>141849.4091563354</v>
      </c>
      <c r="AH4695" s="128" t="s">
        <v>185</v>
      </c>
      <c r="AI4695" s="153" t="s">
        <v>186</v>
      </c>
      <c r="AJ4695" s="143">
        <f>AJ4681*1.01</f>
        <v>180111.10967957933</v>
      </c>
      <c r="AK4695" s="128" t="s">
        <v>185</v>
      </c>
      <c r="AL4695" s="153" t="s">
        <v>186</v>
      </c>
      <c r="AM4695" s="143">
        <f>AM4681*1.01</f>
        <v>211194.4409237848</v>
      </c>
      <c r="AN4695" s="128" t="s">
        <v>185</v>
      </c>
      <c r="AO4695" s="153" t="s">
        <v>186</v>
      </c>
      <c r="AP4695" s="143">
        <f>AP4681*1.01</f>
        <v>235622.95273034493</v>
      </c>
      <c r="AQ4695" s="128" t="s">
        <v>185</v>
      </c>
      <c r="AR4695" s="153" t="s">
        <v>186</v>
      </c>
      <c r="AS4695" s="143">
        <f>AS4681*1.01</f>
        <v>262877.07010906405</v>
      </c>
      <c r="AT4695" s="128" t="s">
        <v>185</v>
      </c>
      <c r="AU4695" s="153" t="s">
        <v>186</v>
      </c>
    </row>
    <row r="4696" spans="13:47" ht="14" x14ac:dyDescent="0.3">
      <c r="M4696" s="12"/>
      <c r="N4696" s="12"/>
      <c r="O4696" s="20"/>
      <c r="P4696" s="20"/>
      <c r="Q4696" s="23"/>
      <c r="R4696" s="139"/>
      <c r="S4696" s="130" t="s">
        <v>228</v>
      </c>
      <c r="T4696" s="131" t="s">
        <v>187</v>
      </c>
      <c r="U4696" s="144"/>
      <c r="V4696" s="130" t="s">
        <v>228</v>
      </c>
      <c r="W4696" s="154" t="s">
        <v>187</v>
      </c>
      <c r="X4696" s="144"/>
      <c r="Y4696" s="130" t="s">
        <v>228</v>
      </c>
      <c r="Z4696" s="154" t="s">
        <v>187</v>
      </c>
      <c r="AA4696" s="144"/>
      <c r="AB4696" s="130" t="s">
        <v>228</v>
      </c>
      <c r="AC4696" s="154" t="s">
        <v>187</v>
      </c>
      <c r="AD4696" s="144"/>
      <c r="AE4696" s="130" t="s">
        <v>228</v>
      </c>
      <c r="AF4696" s="154" t="s">
        <v>187</v>
      </c>
      <c r="AG4696" s="144"/>
      <c r="AH4696" s="130" t="s">
        <v>228</v>
      </c>
      <c r="AI4696" s="154" t="s">
        <v>187</v>
      </c>
      <c r="AJ4696" s="144"/>
      <c r="AK4696" s="130" t="s">
        <v>228</v>
      </c>
      <c r="AL4696" s="154" t="s">
        <v>187</v>
      </c>
      <c r="AM4696" s="144"/>
      <c r="AN4696" s="130" t="s">
        <v>228</v>
      </c>
      <c r="AO4696" s="154" t="s">
        <v>187</v>
      </c>
      <c r="AP4696" s="144"/>
      <c r="AQ4696" s="130" t="s">
        <v>228</v>
      </c>
      <c r="AR4696" s="154" t="s">
        <v>187</v>
      </c>
      <c r="AS4696" s="144"/>
      <c r="AT4696" s="130" t="s">
        <v>228</v>
      </c>
      <c r="AU4696" s="154" t="s">
        <v>187</v>
      </c>
    </row>
    <row r="4697" spans="13:47" x14ac:dyDescent="0.25">
      <c r="M4697" s="20"/>
      <c r="N4697" s="20"/>
      <c r="O4697" s="7" t="s">
        <v>188</v>
      </c>
      <c r="P4697" s="7"/>
      <c r="Q4697" s="7"/>
      <c r="R4697" s="181">
        <f>P_1_minW-(R4695^2*R_up)+dpup_minQ</f>
        <v>72.594843423969465</v>
      </c>
      <c r="S4697" s="132"/>
      <c r="T4697" s="145"/>
      <c r="U4697" s="138">
        <f>P_1_minW-(U4695^2*R_up)+dpup_minQ</f>
        <v>35.536198241595471</v>
      </c>
      <c r="V4697" s="132"/>
      <c r="W4697" s="145"/>
      <c r="X4697" s="138">
        <f>P_1_minW-(X4695^2*R_up)+dpup_minQ</f>
        <v>-296.95582791902245</v>
      </c>
      <c r="Y4697" s="132"/>
      <c r="Z4697" s="145"/>
      <c r="AA4697" s="138">
        <f>P_1_minW-(AA4695^2*R_up)+dpup_minQ</f>
        <v>-1407.3956610122509</v>
      </c>
      <c r="AB4697" s="132"/>
      <c r="AC4697" s="145"/>
      <c r="AD4697" s="138">
        <f>P_1_minW-(AD4695^2*R_up)+dpup_minQ</f>
        <v>-3978.1158843745466</v>
      </c>
      <c r="AE4697" s="132"/>
      <c r="AF4697" s="145"/>
      <c r="AG4697" s="138">
        <f>P_1_minW-(AG4695^2*R_up)+dpup_minQ</f>
        <v>-7923.065761549653</v>
      </c>
      <c r="AH4697" s="132"/>
      <c r="AI4697" s="145"/>
      <c r="AJ4697" s="138">
        <f>P_1_minW-(AJ4695^2*R_up)+dpup_minQ</f>
        <v>-12835.315907404971</v>
      </c>
      <c r="AK4697" s="132"/>
      <c r="AL4697" s="145"/>
      <c r="AM4697" s="138">
        <f>P_1_minW-(AM4695^2*R_up)+dpup_minQ</f>
        <v>-17685.488044755286</v>
      </c>
      <c r="AN4697" s="132"/>
      <c r="AO4697" s="145"/>
      <c r="AP4697" s="138">
        <f>P_1_minW-(AP4695^2*R_up)+dpup_minQ</f>
        <v>-22038.006976923058</v>
      </c>
      <c r="AQ4697" s="132"/>
      <c r="AR4697" s="145"/>
      <c r="AS4697" s="138">
        <f>P_1_minW-(AS4695^2*R_up)+dpup_minQ</f>
        <v>-27455.656321658433</v>
      </c>
      <c r="AT4697" s="132"/>
      <c r="AU4697" s="145"/>
    </row>
    <row r="4698" spans="13:47" x14ac:dyDescent="0.25">
      <c r="M4698" s="20"/>
      <c r="N4698" s="20"/>
      <c r="O4698" s="7" t="s">
        <v>189</v>
      </c>
      <c r="P4698" s="1"/>
      <c r="Q4698" s="7"/>
      <c r="R4698" s="181">
        <f>P_2_minW+(R4695^2*R_dn)-dpdn_minQ</f>
        <v>50</v>
      </c>
      <c r="S4698" s="132"/>
      <c r="T4698" s="146"/>
      <c r="U4698" s="138">
        <f>P_2_minW+(U4695^2*R_dn)-dpdn_minQ</f>
        <v>50</v>
      </c>
      <c r="V4698" s="132"/>
      <c r="W4698" s="146"/>
      <c r="X4698" s="138">
        <f>P_2_minW+(X4695^2*R_dn)-dpdn_minQ</f>
        <v>50</v>
      </c>
      <c r="Y4698" s="132"/>
      <c r="Z4698" s="146"/>
      <c r="AA4698" s="138">
        <f>P_2_minW+(AA4695^2*R_dn)-dpdn_minQ</f>
        <v>50</v>
      </c>
      <c r="AB4698" s="132"/>
      <c r="AC4698" s="146"/>
      <c r="AD4698" s="138">
        <f>P_2_minW+(AD4695^2*R_dn)-dpdn_minQ</f>
        <v>50</v>
      </c>
      <c r="AE4698" s="132"/>
      <c r="AF4698" s="146"/>
      <c r="AG4698" s="138">
        <f>P_2_minW+(AG4695^2*R_dn)-dpdn_minQ</f>
        <v>50</v>
      </c>
      <c r="AH4698" s="132"/>
      <c r="AI4698" s="146"/>
      <c r="AJ4698" s="138">
        <f>P_2_minW+(AJ4695^2*R_dn)-dpdn_minQ</f>
        <v>50</v>
      </c>
      <c r="AK4698" s="132"/>
      <c r="AL4698" s="146"/>
      <c r="AM4698" s="138">
        <f>P_2_minW+(AM4695^2*R_dn)-dpdn_minQ</f>
        <v>50</v>
      </c>
      <c r="AN4698" s="132"/>
      <c r="AO4698" s="146"/>
      <c r="AP4698" s="138">
        <f>P_2_minW+(AP4695^2*R_dn)-dpdn_minQ</f>
        <v>50</v>
      </c>
      <c r="AQ4698" s="132"/>
      <c r="AR4698" s="146"/>
      <c r="AS4698" s="138">
        <f>P_2_minW+(AS4695^2*R_dn)-dpdn_minQ</f>
        <v>50</v>
      </c>
      <c r="AT4698" s="132"/>
      <c r="AU4698" s="146"/>
    </row>
    <row r="4699" spans="13:47" x14ac:dyDescent="0.25">
      <c r="M4699" s="20"/>
      <c r="N4699" s="20"/>
      <c r="O4699" s="7" t="s">
        <v>234</v>
      </c>
      <c r="P4699" s="1"/>
      <c r="Q4699" s="7"/>
      <c r="R4699" s="179">
        <f>'Valve Sizing'!G$8*R4697/P_1_maxW</f>
        <v>0.35018459996198592</v>
      </c>
      <c r="S4699" s="132"/>
      <c r="T4699" s="146"/>
      <c r="U4699" s="143">
        <f>'Valve Sizing'!$G$8*U4697/P_1_maxW</f>
        <v>0.17142029348732069</v>
      </c>
      <c r="V4699" s="132"/>
      <c r="W4699" s="146"/>
      <c r="X4699" s="143">
        <f>'Valve Sizing'!$G$8*X4697/P_1_maxW</f>
        <v>-1.4324620441548865</v>
      </c>
      <c r="Y4699" s="132"/>
      <c r="Z4699" s="146"/>
      <c r="AA4699" s="143">
        <f>'Valve Sizing'!$G$8*AA4697/P_1_maxW</f>
        <v>-6.7890260973698933</v>
      </c>
      <c r="AB4699" s="132"/>
      <c r="AC4699" s="146"/>
      <c r="AD4699" s="143">
        <f>'Valve Sizing'!$G$8*AD4697/P_1_maxW</f>
        <v>-19.189722766343969</v>
      </c>
      <c r="AE4699" s="132"/>
      <c r="AF4699" s="146"/>
      <c r="AG4699" s="143">
        <f>'Valve Sizing'!$G$8*AG4697/P_1_maxW</f>
        <v>-38.219458618801461</v>
      </c>
      <c r="AH4699" s="132"/>
      <c r="AI4699" s="146"/>
      <c r="AJ4699" s="143">
        <f>'Valve Sizing'!$G$8*AJ4697/P_1_maxW</f>
        <v>-61.915278750174267</v>
      </c>
      <c r="AK4699" s="132"/>
      <c r="AL4699" s="146"/>
      <c r="AM4699" s="143">
        <f>'Valve Sizing'!$G$8*AM4697/P_1_maxW</f>
        <v>-85.311645620827107</v>
      </c>
      <c r="AN4699" s="132"/>
      <c r="AO4699" s="146"/>
      <c r="AP4699" s="143">
        <f>'Valve Sizing'!$G$8*AP4697/P_1_maxW</f>
        <v>-106.30742203137149</v>
      </c>
      <c r="AQ4699" s="132"/>
      <c r="AR4699" s="146"/>
      <c r="AS4699" s="143">
        <f>'Valve Sizing'!$G$8*AS4697/P_1_maxW</f>
        <v>-132.4411979173604</v>
      </c>
      <c r="AT4699" s="132"/>
      <c r="AU4699" s="146"/>
    </row>
    <row r="4700" spans="13:47" x14ac:dyDescent="0.25">
      <c r="M4700" s="20"/>
      <c r="N4700" s="20"/>
      <c r="O4700" s="7" t="s">
        <v>190</v>
      </c>
      <c r="P4700" s="1"/>
      <c r="Q4700" s="7"/>
      <c r="R4700" s="181">
        <f>R4697-R4698</f>
        <v>22.594843423969465</v>
      </c>
      <c r="S4700" s="132"/>
      <c r="T4700" s="146"/>
      <c r="U4700" s="138">
        <f>U4697-U4698</f>
        <v>-14.463801758404529</v>
      </c>
      <c r="V4700" s="132"/>
      <c r="W4700" s="146"/>
      <c r="X4700" s="138">
        <f>X4697-X4698</f>
        <v>-346.95582791902245</v>
      </c>
      <c r="Y4700" s="132"/>
      <c r="Z4700" s="146"/>
      <c r="AA4700" s="138">
        <f>AA4697-AA4698</f>
        <v>-1457.3956610122509</v>
      </c>
      <c r="AB4700" s="132"/>
      <c r="AC4700" s="146"/>
      <c r="AD4700" s="138">
        <f>AD4697-AD4698</f>
        <v>-4028.1158843745466</v>
      </c>
      <c r="AE4700" s="132"/>
      <c r="AF4700" s="146"/>
      <c r="AG4700" s="138">
        <f>AG4697-AG4698</f>
        <v>-7973.065761549653</v>
      </c>
      <c r="AH4700" s="132"/>
      <c r="AI4700" s="146"/>
      <c r="AJ4700" s="138">
        <f>AJ4697-AJ4698</f>
        <v>-12885.315907404971</v>
      </c>
      <c r="AK4700" s="132"/>
      <c r="AL4700" s="146"/>
      <c r="AM4700" s="138">
        <f>AM4697-AM4698</f>
        <v>-17735.488044755286</v>
      </c>
      <c r="AN4700" s="132"/>
      <c r="AO4700" s="146"/>
      <c r="AP4700" s="138">
        <f>AP4697-AP4698</f>
        <v>-22088.006976923058</v>
      </c>
      <c r="AQ4700" s="132"/>
      <c r="AR4700" s="146"/>
      <c r="AS4700" s="138">
        <f>AS4697-AS4698</f>
        <v>-27505.656321658433</v>
      </c>
      <c r="AT4700" s="132"/>
      <c r="AU4700" s="146"/>
    </row>
    <row r="4701" spans="13:47" ht="14.5" x14ac:dyDescent="0.35">
      <c r="M4701" s="27"/>
      <c r="N4701" s="27"/>
      <c r="O4701" s="2" t="s">
        <v>191</v>
      </c>
      <c r="P4701" s="10"/>
      <c r="Q4701" s="2"/>
      <c r="R4701" s="181">
        <f>R4700/R4697</f>
        <v>0.31124584554870832</v>
      </c>
      <c r="S4701" s="132"/>
      <c r="T4701" s="146"/>
      <c r="U4701" s="138">
        <f>U4700/U4697</f>
        <v>-0.40701601392673753</v>
      </c>
      <c r="V4701" s="132"/>
      <c r="W4701" s="146"/>
      <c r="X4701" s="138">
        <f>X4700/X4697</f>
        <v>1.1683752103819112</v>
      </c>
      <c r="Y4701" s="132"/>
      <c r="Z4701" s="146"/>
      <c r="AA4701" s="138">
        <f>AA4700/AA4697</f>
        <v>1.0355266122989453</v>
      </c>
      <c r="AB4701" s="132"/>
      <c r="AC4701" s="146"/>
      <c r="AD4701" s="138">
        <f>AD4700/AD4697</f>
        <v>1.0125687640715528</v>
      </c>
      <c r="AE4701" s="132"/>
      <c r="AF4701" s="146"/>
      <c r="AG4701" s="138">
        <f>AG4700/AG4697</f>
        <v>1.0063106885017474</v>
      </c>
      <c r="AH4701" s="132"/>
      <c r="AI4701" s="146"/>
      <c r="AJ4701" s="138">
        <f>AJ4700/AJ4697</f>
        <v>1.0038955020944327</v>
      </c>
      <c r="AK4701" s="132"/>
      <c r="AL4701" s="146"/>
      <c r="AM4701" s="138">
        <f>AM4700/AM4697</f>
        <v>1.0028271767153651</v>
      </c>
      <c r="AN4701" s="132"/>
      <c r="AO4701" s="146"/>
      <c r="AP4701" s="138">
        <f>AP4700/AP4697</f>
        <v>1.002268807703544</v>
      </c>
      <c r="AQ4701" s="132"/>
      <c r="AR4701" s="146"/>
      <c r="AS4701" s="138">
        <f>AS4700/AS4697</f>
        <v>1.0018211183668029</v>
      </c>
      <c r="AT4701" s="132"/>
      <c r="AU4701" s="146"/>
    </row>
    <row r="4702" spans="13:47" x14ac:dyDescent="0.25">
      <c r="M4702" s="27"/>
      <c r="N4702" s="27"/>
      <c r="O4702" s="2" t="s">
        <v>26</v>
      </c>
      <c r="P4702" s="7">
        <v>12</v>
      </c>
      <c r="Q4702" s="2"/>
      <c r="R4702" s="181">
        <f>1-R4701/(3*F_GAMMA*R$29)</f>
        <v>0.83789959703204397</v>
      </c>
      <c r="S4702" s="133"/>
      <c r="T4702" s="146"/>
      <c r="U4702" s="138">
        <f>1-U4701/(3*F_GAMMA*U$29)</f>
        <v>1.2119319316920103</v>
      </c>
      <c r="V4702" s="133"/>
      <c r="W4702" s="146"/>
      <c r="X4702" s="138">
        <f>1-X4701/(3*F_GAMMA*X$29)</f>
        <v>0.38250427259166486</v>
      </c>
      <c r="Y4702" s="133"/>
      <c r="Z4702" s="146"/>
      <c r="AA4702" s="138">
        <f>1-AA4701/(3*F_GAMMA*AA$29)</f>
        <v>0.44521180115186487</v>
      </c>
      <c r="AB4702" s="133"/>
      <c r="AC4702" s="146"/>
      <c r="AD4702" s="138">
        <f>1-AD4701/(3*F_GAMMA*AD$29)</f>
        <v>0.44263769604027592</v>
      </c>
      <c r="AE4702" s="133"/>
      <c r="AF4702" s="146"/>
      <c r="AG4702" s="138">
        <f>1-AG4701/(3*F_GAMMA*AG$29)</f>
        <v>0.41448608192017722</v>
      </c>
      <c r="AH4702" s="133"/>
      <c r="AI4702" s="146"/>
      <c r="AJ4702" s="138">
        <f>1-AJ4701/(3*F_GAMMA*AJ$29)</f>
        <v>0.37557992292142761</v>
      </c>
      <c r="AK4702" s="133"/>
      <c r="AL4702" s="146"/>
      <c r="AM4702" s="138">
        <f>1-AM4701/(3*F_GAMMA*AM$29)</f>
        <v>0.31848359791128233</v>
      </c>
      <c r="AN4702" s="133"/>
      <c r="AO4702" s="146"/>
      <c r="AP4702" s="138">
        <f>1-AP4701/(3*F_GAMMA*AP$29)</f>
        <v>0.4371140116215404</v>
      </c>
      <c r="AQ4702" s="133"/>
      <c r="AR4702" s="146"/>
      <c r="AS4702" s="138">
        <f>1-AS4701/(3*F_GAMMA*AS$29)</f>
        <v>0.14587184748193571</v>
      </c>
      <c r="AT4702" s="133"/>
      <c r="AU4702" s="146"/>
    </row>
    <row r="4703" spans="13:47" x14ac:dyDescent="0.25">
      <c r="M4703" s="27"/>
      <c r="N4703" s="27"/>
      <c r="O4703" s="2" t="s">
        <v>71</v>
      </c>
      <c r="P4703" s="85">
        <v>5</v>
      </c>
      <c r="Q4703" s="2"/>
      <c r="R4703" s="179">
        <f>R4695/((N_6*R$27*R4702)*SQRT(R4701*R4697*R4699))</f>
        <v>56.100310086199087</v>
      </c>
      <c r="S4703" s="133"/>
      <c r="T4703" s="146"/>
      <c r="U4703" s="143" t="e">
        <f>U4695/((N_6*U$27*U4702)*SQRT(U4701*U4697*U4699))</f>
        <v>#NUM!</v>
      </c>
      <c r="V4703" s="133"/>
      <c r="W4703" s="146"/>
      <c r="X4703" s="143">
        <f>X4695/((N_6*X$27*X4702)*SQRT(X4701*X4697*X4699))</f>
        <v>58.663001588886999</v>
      </c>
      <c r="Y4703" s="133"/>
      <c r="Z4703" s="146"/>
      <c r="AA4703" s="143">
        <f>AA4695/((N_6*AA$27*AA4702)*SQRT(AA4701*AA4697*AA4699))</f>
        <v>22.128027834741189</v>
      </c>
      <c r="AB4703" s="133"/>
      <c r="AC4703" s="146"/>
      <c r="AD4703" s="143">
        <f>AD4695/((N_6*AD$27*AD4702)*SQRT(AD4701*AD4697*AD4699))</f>
        <v>13.252002100988243</v>
      </c>
      <c r="AE4703" s="133"/>
      <c r="AF4703" s="146"/>
      <c r="AG4703" s="143">
        <f>AG4695/((N_6*AG$27*AG4702)*SQRT(AG4701*AG4697*AG4699))</f>
        <v>10.212868998378068</v>
      </c>
      <c r="AH4703" s="133"/>
      <c r="AI4703" s="146"/>
      <c r="AJ4703" s="143">
        <f>AJ4695/((N_6*AJ$27*AJ4702)*SQRT(AJ4701*AJ4697*AJ4699))</f>
        <v>9.148215324600157</v>
      </c>
      <c r="AK4703" s="133"/>
      <c r="AL4703" s="146"/>
      <c r="AM4703" s="143">
        <f>AM4695/((N_6*AM$27*AM4702)*SQRT(AM4701*AM4697*AM4699))</f>
        <v>9.7498653972802494</v>
      </c>
      <c r="AN4703" s="133"/>
      <c r="AO4703" s="146"/>
      <c r="AP4703" s="143">
        <f>AP4695/((N_6*AP$27*AP4702)*SQRT(AP4701*AP4697*AP4699))</f>
        <v>7.2267972438522809</v>
      </c>
      <c r="AQ4703" s="133"/>
      <c r="AR4703" s="146"/>
      <c r="AS4703" s="143">
        <f>AS4695/((N_6*AS$27*AS4702)*SQRT(AS4701*AS4697*AS4699))</f>
        <v>25.487612018302364</v>
      </c>
      <c r="AT4703" s="133"/>
      <c r="AU4703" s="146"/>
    </row>
    <row r="4704" spans="13:47" x14ac:dyDescent="0.25">
      <c r="M4704" s="27"/>
      <c r="N4704" s="27"/>
      <c r="O4704" s="2" t="s">
        <v>73</v>
      </c>
      <c r="P4704" s="85">
        <v>5</v>
      </c>
      <c r="Q4704" s="2"/>
      <c r="R4704" s="179">
        <f>R4695/((N_6*R$27*0.667)*SQRT(R4705*R4697*R4699))</f>
        <v>49.145536903639012</v>
      </c>
      <c r="S4704" s="133"/>
      <c r="T4704" s="147"/>
      <c r="U4704" s="143">
        <f>U4695/((N_6*U$27*0.667)*SQRT(U4705*U4697*U4699))</f>
        <v>153.22634166654572</v>
      </c>
      <c r="V4704" s="133"/>
      <c r="W4704" s="155"/>
      <c r="X4704" s="143">
        <f>X4695/((N_6*X$27*0.667)*SQRT(X4705*X4697*X4699))</f>
        <v>45.788070531988346</v>
      </c>
      <c r="Y4704" s="133"/>
      <c r="Z4704" s="155"/>
      <c r="AA4704" s="143">
        <f>AA4695/((N_6*AA$27*0.667)*SQRT(AA4705*AA4697*AA4699))</f>
        <v>19.054948410662259</v>
      </c>
      <c r="AB4704" s="133"/>
      <c r="AC4704" s="155"/>
      <c r="AD4704" s="143">
        <f>AD4695/((N_6*AD$27*0.667)*SQRT(AD4705*AD4697*AD4699))</f>
        <v>11.371911797508938</v>
      </c>
      <c r="AE4704" s="133"/>
      <c r="AF4704" s="155"/>
      <c r="AG4704" s="143">
        <f>AG4695/((N_6*AG$27*0.667)*SQRT(AG4705*AG4697*AG4699))</f>
        <v>8.411261170152331</v>
      </c>
      <c r="AH4704" s="133"/>
      <c r="AI4704" s="155"/>
      <c r="AJ4704" s="143">
        <f>AJ4695/((N_6*AJ$27*0.667)*SQRT(AJ4705*AJ4697*AJ4699))</f>
        <v>7.0503709778586625</v>
      </c>
      <c r="AK4704" s="133"/>
      <c r="AL4704" s="155"/>
      <c r="AM4704" s="143">
        <f>AM4695/((N_6*AM$27*0.667)*SQRT(AM4705*AM4697*AM4699))</f>
        <v>6.6566947224130715</v>
      </c>
      <c r="AN4704" s="133"/>
      <c r="AO4704" s="155"/>
      <c r="AP4704" s="143">
        <f>AP4695/((N_6*AP$27*0.667)*SQRT(AP4705*AP4697*AP4699))</f>
        <v>6.1543984594718655</v>
      </c>
      <c r="AQ4704" s="133"/>
      <c r="AR4704" s="155"/>
      <c r="AS4704" s="143">
        <f>AS4695/((N_6*AS$27*0.667)*SQRT(AS4705*AS4697*AS4699))</f>
        <v>8.9227133819950133</v>
      </c>
      <c r="AT4704" s="133"/>
      <c r="AU4704" s="155"/>
    </row>
    <row r="4705" spans="13:47" ht="15.5" x14ac:dyDescent="0.4">
      <c r="M4705" s="27"/>
      <c r="N4705" s="27"/>
      <c r="O4705" s="2" t="s">
        <v>192</v>
      </c>
      <c r="P4705" s="85">
        <v>10</v>
      </c>
      <c r="Q4705" s="2"/>
      <c r="R4705" s="181">
        <f>F_GAMMA*R$29</f>
        <v>0.64002688015162901</v>
      </c>
      <c r="S4705" s="133"/>
      <c r="T4705" s="147"/>
      <c r="U4705" s="138">
        <f>F_GAMMA*U$29</f>
        <v>0.64016782916606918</v>
      </c>
      <c r="V4705" s="133"/>
      <c r="W4705" s="155"/>
      <c r="X4705" s="138">
        <f>F_GAMMA*X$29</f>
        <v>0.6307062319203669</v>
      </c>
      <c r="Y4705" s="133"/>
      <c r="Z4705" s="155"/>
      <c r="AA4705" s="138">
        <f>F_GAMMA*AA$29</f>
        <v>0.62217534213893466</v>
      </c>
      <c r="AB4705" s="133"/>
      <c r="AC4705" s="155"/>
      <c r="AD4705" s="138">
        <f>F_GAMMA*AD$29</f>
        <v>0.60557184969146072</v>
      </c>
      <c r="AE4705" s="133"/>
      <c r="AF4705" s="155"/>
      <c r="AG4705" s="138">
        <f>F_GAMMA*AG$29</f>
        <v>0.57289312142622573</v>
      </c>
      <c r="AH4705" s="133"/>
      <c r="AI4705" s="155"/>
      <c r="AJ4705" s="138">
        <f>F_GAMMA*AJ$29</f>
        <v>0.53590819116049981</v>
      </c>
      <c r="AK4705" s="133"/>
      <c r="AL4705" s="155"/>
      <c r="AM4705" s="138">
        <f>F_GAMMA*AM$29</f>
        <v>0.49048815926850342</v>
      </c>
      <c r="AN4705" s="133"/>
      <c r="AO4705" s="155"/>
      <c r="AP4705" s="138">
        <f>F_GAMMA*AP$29</f>
        <v>0.59352979016280105</v>
      </c>
      <c r="AQ4705" s="133"/>
      <c r="AR4705" s="155"/>
      <c r="AS4705" s="138">
        <f>F_GAMMA*AS$29</f>
        <v>0.39097221161068291</v>
      </c>
      <c r="AT4705" s="133"/>
      <c r="AU4705" s="155"/>
    </row>
    <row r="4706" spans="13:47" x14ac:dyDescent="0.25">
      <c r="M4706" s="27"/>
      <c r="N4706" s="27"/>
      <c r="O4706" s="2" t="s">
        <v>193</v>
      </c>
      <c r="P4706" s="134"/>
      <c r="Q4706" s="2"/>
      <c r="R4706" s="181">
        <f>IF(R4701&lt;R4705,R4703,R4704)</f>
        <v>56.100310086199087</v>
      </c>
      <c r="S4706" s="133"/>
      <c r="T4706" s="147"/>
      <c r="U4706" s="138" t="e">
        <f>IF(U4701&lt;U4705,U4703,U4704)</f>
        <v>#NUM!</v>
      </c>
      <c r="V4706" s="133"/>
      <c r="W4706" s="155"/>
      <c r="X4706" s="138">
        <f>IF(X4701&lt;X4705,X4703,X4704)</f>
        <v>45.788070531988346</v>
      </c>
      <c r="Y4706" s="133"/>
      <c r="Z4706" s="155"/>
      <c r="AA4706" s="138">
        <f>IF(AA4701&lt;AA4705,AA4703,AA4704)</f>
        <v>19.054948410662259</v>
      </c>
      <c r="AB4706" s="133"/>
      <c r="AC4706" s="155"/>
      <c r="AD4706" s="138">
        <f>IF(AD4701&lt;AD4705,AD4703,AD4704)</f>
        <v>11.371911797508938</v>
      </c>
      <c r="AE4706" s="133"/>
      <c r="AF4706" s="155"/>
      <c r="AG4706" s="138">
        <f>IF(AG4701&lt;AG4705,AG4703,AG4704)</f>
        <v>8.411261170152331</v>
      </c>
      <c r="AH4706" s="133"/>
      <c r="AI4706" s="155"/>
      <c r="AJ4706" s="138">
        <f>IF(AJ4701&lt;AJ4705,AJ4703,AJ4704)</f>
        <v>7.0503709778586625</v>
      </c>
      <c r="AK4706" s="133"/>
      <c r="AL4706" s="155"/>
      <c r="AM4706" s="138">
        <f>IF(AM4701&lt;AM4705,AM4703,AM4704)</f>
        <v>6.6566947224130715</v>
      </c>
      <c r="AN4706" s="133"/>
      <c r="AO4706" s="155"/>
      <c r="AP4706" s="138">
        <f>IF(AP4701&lt;AP4705,AP4703,AP4704)</f>
        <v>6.1543984594718655</v>
      </c>
      <c r="AQ4706" s="133"/>
      <c r="AR4706" s="155"/>
      <c r="AS4706" s="138">
        <f>IF(AS4701&lt;AS4705,AS4703,AS4704)</f>
        <v>8.9227133819950133</v>
      </c>
      <c r="AT4706" s="133"/>
      <c r="AU4706" s="155"/>
    </row>
    <row r="4707" spans="13:47" ht="13" x14ac:dyDescent="0.3">
      <c r="M4707" s="28"/>
      <c r="N4707" s="28"/>
      <c r="O4707" s="9" t="s">
        <v>194</v>
      </c>
      <c r="P4707" s="1"/>
      <c r="Q4707" s="1"/>
      <c r="R4707" s="135"/>
      <c r="S4707" s="132">
        <f>IF(R4700&lt;=0,W_max,ABS(R$23-R4706))</f>
        <v>54.100310086199087</v>
      </c>
      <c r="T4707" s="151">
        <f>R4695</f>
        <v>8368.7902553628137</v>
      </c>
      <c r="U4707" s="135"/>
      <c r="V4707" s="132">
        <f>IF(U4700&lt;=0,W_max,ABS(U$23-U4706))</f>
        <v>7174</v>
      </c>
      <c r="W4707" s="151">
        <f>U4695</f>
        <v>12766.006927788776</v>
      </c>
      <c r="X4707" s="135"/>
      <c r="Y4707" s="132">
        <f>IF(X4700&lt;=0,W_max,ABS(X$23-X4706))</f>
        <v>7174</v>
      </c>
      <c r="Z4707" s="151">
        <f>X4695</f>
        <v>31571.854305054192</v>
      </c>
      <c r="AA4707" s="135"/>
      <c r="AB4707" s="132">
        <f>IF(AA4700&lt;=0,W_max,ABS(AA$23-AA4706))</f>
        <v>7174</v>
      </c>
      <c r="AC4707" s="151">
        <f>AA4695</f>
        <v>61493.9136152434</v>
      </c>
      <c r="AD4707" s="135"/>
      <c r="AE4707" s="132">
        <f>IF(AD4700&lt;=0,W_max,ABS(AD$23-AD4706))</f>
        <v>7174</v>
      </c>
      <c r="AF4707" s="151">
        <f>AD4695</f>
        <v>101134.84718134801</v>
      </c>
      <c r="AG4707" s="135"/>
      <c r="AH4707" s="132">
        <f>IF(AG4700&lt;=0,W_max,ABS(AG$23-AG4706))</f>
        <v>7174</v>
      </c>
      <c r="AI4707" s="151">
        <f>AG4695</f>
        <v>141849.4091563354</v>
      </c>
      <c r="AJ4707" s="135"/>
      <c r="AK4707" s="132">
        <f>IF(AJ4700&lt;=0,W_max,ABS(AJ$23-AJ4706))</f>
        <v>7174</v>
      </c>
      <c r="AL4707" s="151">
        <f>AJ4695</f>
        <v>180111.10967957933</v>
      </c>
      <c r="AM4707" s="135"/>
      <c r="AN4707" s="132">
        <f>IF(AM4700&lt;=0,W_max,ABS(AM$23-AM4706))</f>
        <v>7174</v>
      </c>
      <c r="AO4707" s="151">
        <f>AM4695</f>
        <v>211194.4409237848</v>
      </c>
      <c r="AP4707" s="135"/>
      <c r="AQ4707" s="132">
        <f>IF(AP4700&lt;=0,W_max,ABS(AP$23-AP4706))</f>
        <v>7174</v>
      </c>
      <c r="AR4707" s="151">
        <f>AP4695</f>
        <v>235622.95273034493</v>
      </c>
      <c r="AS4707" s="135"/>
      <c r="AT4707" s="132">
        <f>IF(AS4700&lt;=0,W_max,ABS(AS$23-AS4706))</f>
        <v>7174</v>
      </c>
      <c r="AU4707" s="151">
        <f>AS4695</f>
        <v>262877.07010906405</v>
      </c>
    </row>
    <row r="4708" spans="13:47" ht="13" x14ac:dyDescent="0.25">
      <c r="M4708" s="12"/>
      <c r="N4708" s="12"/>
      <c r="O4708" s="12"/>
      <c r="P4708" s="12"/>
      <c r="Q4708" s="12"/>
      <c r="R4708" s="182"/>
      <c r="S4708" s="22"/>
      <c r="T4708" s="152"/>
      <c r="U4708" s="157"/>
      <c r="V4708" s="1"/>
      <c r="W4708" s="147"/>
      <c r="X4708" s="157"/>
      <c r="Y4708" s="1"/>
      <c r="Z4708" s="147"/>
      <c r="AA4708" s="157"/>
      <c r="AB4708" s="1"/>
      <c r="AC4708" s="147"/>
      <c r="AD4708" s="157"/>
      <c r="AE4708" s="1"/>
      <c r="AF4708" s="147"/>
      <c r="AG4708" s="157"/>
      <c r="AH4708" s="1"/>
      <c r="AI4708" s="147"/>
      <c r="AJ4708" s="157"/>
      <c r="AK4708" s="1"/>
      <c r="AL4708" s="147"/>
      <c r="AM4708" s="157"/>
      <c r="AN4708" s="1"/>
      <c r="AO4708" s="147"/>
      <c r="AP4708" s="157"/>
      <c r="AQ4708" s="1"/>
      <c r="AR4708" s="147"/>
      <c r="AS4708" s="157"/>
      <c r="AT4708" s="1"/>
      <c r="AU4708" s="147"/>
    </row>
    <row r="4709" spans="13:47" ht="14" x14ac:dyDescent="0.3">
      <c r="M4709" s="23"/>
      <c r="N4709" s="23"/>
      <c r="O4709" s="23" t="s">
        <v>238</v>
      </c>
      <c r="P4709" s="20"/>
      <c r="Q4709" s="20"/>
      <c r="R4709" s="18">
        <f>R4695*1.02</f>
        <v>8536.1660604700701</v>
      </c>
      <c r="S4709" s="128" t="s">
        <v>185</v>
      </c>
      <c r="T4709" s="153" t="s">
        <v>186</v>
      </c>
      <c r="U4709" s="143">
        <f>U4695*1.01</f>
        <v>12893.666997066664</v>
      </c>
      <c r="V4709" s="128" t="s">
        <v>185</v>
      </c>
      <c r="W4709" s="153" t="s">
        <v>186</v>
      </c>
      <c r="X4709" s="143">
        <f>X4695*1.01</f>
        <v>31887.572848104734</v>
      </c>
      <c r="Y4709" s="128" t="s">
        <v>185</v>
      </c>
      <c r="Z4709" s="153" t="s">
        <v>186</v>
      </c>
      <c r="AA4709" s="143">
        <f>AA4695*1.01</f>
        <v>62108.852751395832</v>
      </c>
      <c r="AB4709" s="128" t="s">
        <v>185</v>
      </c>
      <c r="AC4709" s="153" t="s">
        <v>186</v>
      </c>
      <c r="AD4709" s="143">
        <f>AD4695*1.01</f>
        <v>102146.1956531615</v>
      </c>
      <c r="AE4709" s="128" t="s">
        <v>185</v>
      </c>
      <c r="AF4709" s="153" t="s">
        <v>186</v>
      </c>
      <c r="AG4709" s="143">
        <f>AG4695*1.01</f>
        <v>143267.90324789876</v>
      </c>
      <c r="AH4709" s="128" t="s">
        <v>185</v>
      </c>
      <c r="AI4709" s="153" t="s">
        <v>186</v>
      </c>
      <c r="AJ4709" s="143">
        <f>AJ4695*1.01</f>
        <v>181912.22077637512</v>
      </c>
      <c r="AK4709" s="128" t="s">
        <v>185</v>
      </c>
      <c r="AL4709" s="153" t="s">
        <v>186</v>
      </c>
      <c r="AM4709" s="143">
        <f>AM4695*1.01</f>
        <v>213306.38533302266</v>
      </c>
      <c r="AN4709" s="128" t="s">
        <v>185</v>
      </c>
      <c r="AO4709" s="153" t="s">
        <v>186</v>
      </c>
      <c r="AP4709" s="143">
        <f>AP4695*1.01</f>
        <v>237979.18225764838</v>
      </c>
      <c r="AQ4709" s="128" t="s">
        <v>185</v>
      </c>
      <c r="AR4709" s="153" t="s">
        <v>186</v>
      </c>
      <c r="AS4709" s="143">
        <f>AS4695*1.01</f>
        <v>265505.84081015468</v>
      </c>
      <c r="AT4709" s="128" t="s">
        <v>185</v>
      </c>
      <c r="AU4709" s="153" t="s">
        <v>186</v>
      </c>
    </row>
    <row r="4710" spans="13:47" ht="14" x14ac:dyDescent="0.3">
      <c r="M4710" s="12"/>
      <c r="N4710" s="12"/>
      <c r="O4710" s="20"/>
      <c r="P4710" s="20"/>
      <c r="Q4710" s="23"/>
      <c r="R4710" s="139"/>
      <c r="S4710" s="130" t="s">
        <v>228</v>
      </c>
      <c r="T4710" s="154" t="s">
        <v>187</v>
      </c>
      <c r="U4710" s="144"/>
      <c r="V4710" s="130" t="s">
        <v>228</v>
      </c>
      <c r="W4710" s="154" t="s">
        <v>187</v>
      </c>
      <c r="X4710" s="144"/>
      <c r="Y4710" s="130" t="s">
        <v>228</v>
      </c>
      <c r="Z4710" s="154" t="s">
        <v>187</v>
      </c>
      <c r="AA4710" s="144"/>
      <c r="AB4710" s="130" t="s">
        <v>228</v>
      </c>
      <c r="AC4710" s="154" t="s">
        <v>187</v>
      </c>
      <c r="AD4710" s="144"/>
      <c r="AE4710" s="130" t="s">
        <v>228</v>
      </c>
      <c r="AF4710" s="154" t="s">
        <v>187</v>
      </c>
      <c r="AG4710" s="144"/>
      <c r="AH4710" s="130" t="s">
        <v>228</v>
      </c>
      <c r="AI4710" s="154" t="s">
        <v>187</v>
      </c>
      <c r="AJ4710" s="144"/>
      <c r="AK4710" s="130" t="s">
        <v>228</v>
      </c>
      <c r="AL4710" s="154" t="s">
        <v>187</v>
      </c>
      <c r="AM4710" s="144"/>
      <c r="AN4710" s="130" t="s">
        <v>228</v>
      </c>
      <c r="AO4710" s="154" t="s">
        <v>187</v>
      </c>
      <c r="AP4710" s="144"/>
      <c r="AQ4710" s="130" t="s">
        <v>228</v>
      </c>
      <c r="AR4710" s="154" t="s">
        <v>187</v>
      </c>
      <c r="AS4710" s="144"/>
      <c r="AT4710" s="130" t="s">
        <v>228</v>
      </c>
      <c r="AU4710" s="154" t="s">
        <v>187</v>
      </c>
    </row>
    <row r="4711" spans="13:47" x14ac:dyDescent="0.25">
      <c r="M4711" s="20"/>
      <c r="N4711" s="20"/>
      <c r="O4711" s="7" t="s">
        <v>188</v>
      </c>
      <c r="P4711" s="7"/>
      <c r="Q4711" s="7"/>
      <c r="R4711" s="181">
        <f>P_1_minW-(R4709^2*R_up)+dpup_minQ</f>
        <v>71.466554514134074</v>
      </c>
      <c r="S4711" s="132"/>
      <c r="T4711" s="145"/>
      <c r="U4711" s="138">
        <f>P_1_minW-(U4709^2*R_up)+dpup_minQ</f>
        <v>34.229967812843327</v>
      </c>
      <c r="V4711" s="132"/>
      <c r="W4711" s="145"/>
      <c r="X4711" s="138">
        <f>P_1_minW-(X4709^2*R_up)+dpup_minQ</f>
        <v>-304.94514807360298</v>
      </c>
      <c r="Y4711" s="132"/>
      <c r="Z4711" s="145"/>
      <c r="AA4711" s="138">
        <f>P_1_minW-(AA4709^2*R_up)+dpup_minQ</f>
        <v>-1437.7048218120053</v>
      </c>
      <c r="AB4711" s="132"/>
      <c r="AC4711" s="145"/>
      <c r="AD4711" s="138">
        <f>P_1_minW-(AD4709^2*R_up)+dpup_minQ</f>
        <v>-4060.0965216638833</v>
      </c>
      <c r="AE4711" s="132"/>
      <c r="AF4711" s="145"/>
      <c r="AG4711" s="138">
        <f>P_1_minW-(AG4709^2*R_up)+dpup_minQ</f>
        <v>-8084.3398913702113</v>
      </c>
      <c r="AH4711" s="132"/>
      <c r="AI4711" s="145"/>
      <c r="AJ4711" s="138">
        <f>P_1_minW-(AJ4709^2*R_up)+dpup_minQ</f>
        <v>-13095.32626515722</v>
      </c>
      <c r="AK4711" s="132"/>
      <c r="AL4711" s="145"/>
      <c r="AM4711" s="138">
        <f>P_1_minW-(AM4709^2*R_up)+dpup_minQ</f>
        <v>-18042.986862468275</v>
      </c>
      <c r="AN4711" s="132"/>
      <c r="AO4711" s="145"/>
      <c r="AP4711" s="138">
        <f>P_1_minW-(AP4709^2*R_up)+dpup_minQ</f>
        <v>-22482.991425172622</v>
      </c>
      <c r="AQ4711" s="132"/>
      <c r="AR4711" s="145"/>
      <c r="AS4711" s="138">
        <f>P_1_minW-(AS4709^2*R_up)+dpup_minQ</f>
        <v>-28009.535521737176</v>
      </c>
      <c r="AT4711" s="132"/>
      <c r="AU4711" s="145"/>
    </row>
    <row r="4712" spans="13:47" x14ac:dyDescent="0.25">
      <c r="M4712" s="20"/>
      <c r="N4712" s="20"/>
      <c r="O4712" s="7" t="s">
        <v>189</v>
      </c>
      <c r="P4712" s="1"/>
      <c r="Q4712" s="7"/>
      <c r="R4712" s="181">
        <f>P_2_minW+(R4709^2*R_dn)-dpdn_minQ</f>
        <v>50</v>
      </c>
      <c r="S4712" s="132"/>
      <c r="T4712" s="146"/>
      <c r="U4712" s="138">
        <f>P_2_minW+(U4709^2*R_dn)-dpdn_minQ</f>
        <v>50</v>
      </c>
      <c r="V4712" s="132"/>
      <c r="W4712" s="146"/>
      <c r="X4712" s="138">
        <f>P_2_minW+(X4709^2*R_dn)-dpdn_minQ</f>
        <v>50</v>
      </c>
      <c r="Y4712" s="132"/>
      <c r="Z4712" s="146"/>
      <c r="AA4712" s="138">
        <f>P_2_minW+(AA4709^2*R_dn)-dpdn_minQ</f>
        <v>50</v>
      </c>
      <c r="AB4712" s="132"/>
      <c r="AC4712" s="146"/>
      <c r="AD4712" s="138">
        <f>P_2_minW+(AD4709^2*R_dn)-dpdn_minQ</f>
        <v>50</v>
      </c>
      <c r="AE4712" s="132"/>
      <c r="AF4712" s="146"/>
      <c r="AG4712" s="138">
        <f>P_2_minW+(AG4709^2*R_dn)-dpdn_minQ</f>
        <v>50</v>
      </c>
      <c r="AH4712" s="132"/>
      <c r="AI4712" s="146"/>
      <c r="AJ4712" s="138">
        <f>P_2_minW+(AJ4709^2*R_dn)-dpdn_minQ</f>
        <v>50</v>
      </c>
      <c r="AK4712" s="132"/>
      <c r="AL4712" s="146"/>
      <c r="AM4712" s="138">
        <f>P_2_minW+(AM4709^2*R_dn)-dpdn_minQ</f>
        <v>50</v>
      </c>
      <c r="AN4712" s="132"/>
      <c r="AO4712" s="146"/>
      <c r="AP4712" s="138">
        <f>P_2_minW+(AP4709^2*R_dn)-dpdn_minQ</f>
        <v>50</v>
      </c>
      <c r="AQ4712" s="132"/>
      <c r="AR4712" s="146"/>
      <c r="AS4712" s="138">
        <f>P_2_minW+(AS4709^2*R_dn)-dpdn_minQ</f>
        <v>50</v>
      </c>
      <c r="AT4712" s="132"/>
      <c r="AU4712" s="146"/>
    </row>
    <row r="4713" spans="13:47" x14ac:dyDescent="0.25">
      <c r="M4713" s="20"/>
      <c r="N4713" s="20"/>
      <c r="O4713" s="7" t="s">
        <v>234</v>
      </c>
      <c r="P4713" s="1"/>
      <c r="Q4713" s="7"/>
      <c r="R4713" s="179">
        <f>'Valve Sizing'!G$8*R4711/P_1_maxW</f>
        <v>0.34474193514039897</v>
      </c>
      <c r="S4713" s="132"/>
      <c r="T4713" s="146"/>
      <c r="U4713" s="143">
        <f>'Valve Sizing'!$G$8*U4711/P_1_maxW</f>
        <v>0.16511927045901409</v>
      </c>
      <c r="V4713" s="132"/>
      <c r="W4713" s="146"/>
      <c r="X4713" s="143">
        <f>'Valve Sizing'!$G$8*X4711/P_1_maxW</f>
        <v>-1.4710011021698013</v>
      </c>
      <c r="Y4713" s="132"/>
      <c r="Z4713" s="146"/>
      <c r="AA4713" s="143">
        <f>'Valve Sizing'!$G$8*AA4711/P_1_maxW</f>
        <v>-6.9352320928544291</v>
      </c>
      <c r="AB4713" s="132"/>
      <c r="AC4713" s="146"/>
      <c r="AD4713" s="143">
        <f>'Valve Sizing'!$G$8*AD4711/P_1_maxW</f>
        <v>-19.585182764874883</v>
      </c>
      <c r="AE4713" s="132"/>
      <c r="AF4713" s="146"/>
      <c r="AG4713" s="143">
        <f>'Valve Sizing'!$G$8*AG4711/P_1_maxW</f>
        <v>-38.997416307966787</v>
      </c>
      <c r="AH4713" s="132"/>
      <c r="AI4713" s="146"/>
      <c r="AJ4713" s="143">
        <f>'Valve Sizing'!$G$8*AJ4711/P_1_maxW</f>
        <v>-63.169522423980176</v>
      </c>
      <c r="AK4713" s="132"/>
      <c r="AL4713" s="146"/>
      <c r="AM4713" s="143">
        <f>'Valve Sizing'!$G$8*AM4711/P_1_maxW</f>
        <v>-87.036156268733137</v>
      </c>
      <c r="AN4713" s="132"/>
      <c r="AO4713" s="146"/>
      <c r="AP4713" s="143">
        <f>'Valve Sizing'!$G$8*AP4711/P_1_maxW</f>
        <v>-108.45394778512949</v>
      </c>
      <c r="AQ4713" s="132"/>
      <c r="AR4713" s="146"/>
      <c r="AS4713" s="143">
        <f>'Valve Sizing'!$G$8*AS4711/P_1_maxW</f>
        <v>-135.11301256642673</v>
      </c>
      <c r="AT4713" s="132"/>
      <c r="AU4713" s="146"/>
    </row>
    <row r="4714" spans="13:47" x14ac:dyDescent="0.25">
      <c r="M4714" s="20"/>
      <c r="N4714" s="20"/>
      <c r="O4714" s="7" t="s">
        <v>190</v>
      </c>
      <c r="P4714" s="1"/>
      <c r="Q4714" s="7"/>
      <c r="R4714" s="181">
        <f>R4711-R4712</f>
        <v>21.466554514134074</v>
      </c>
      <c r="S4714" s="132"/>
      <c r="T4714" s="146"/>
      <c r="U4714" s="138">
        <f>U4711-U4712</f>
        <v>-15.770032187156673</v>
      </c>
      <c r="V4714" s="132"/>
      <c r="W4714" s="146"/>
      <c r="X4714" s="138">
        <f>X4711-X4712</f>
        <v>-354.94514807360298</v>
      </c>
      <c r="Y4714" s="132"/>
      <c r="Z4714" s="146"/>
      <c r="AA4714" s="138">
        <f>AA4711-AA4712</f>
        <v>-1487.7048218120053</v>
      </c>
      <c r="AB4714" s="132"/>
      <c r="AC4714" s="146"/>
      <c r="AD4714" s="138">
        <f>AD4711-AD4712</f>
        <v>-4110.0965216638833</v>
      </c>
      <c r="AE4714" s="132"/>
      <c r="AF4714" s="146"/>
      <c r="AG4714" s="138">
        <f>AG4711-AG4712</f>
        <v>-8134.3398913702113</v>
      </c>
      <c r="AH4714" s="132"/>
      <c r="AI4714" s="146"/>
      <c r="AJ4714" s="138">
        <f>AJ4711-AJ4712</f>
        <v>-13145.32626515722</v>
      </c>
      <c r="AK4714" s="132"/>
      <c r="AL4714" s="146"/>
      <c r="AM4714" s="138">
        <f>AM4711-AM4712</f>
        <v>-18092.986862468275</v>
      </c>
      <c r="AN4714" s="132"/>
      <c r="AO4714" s="146"/>
      <c r="AP4714" s="138">
        <f>AP4711-AP4712</f>
        <v>-22532.991425172622</v>
      </c>
      <c r="AQ4714" s="132"/>
      <c r="AR4714" s="146"/>
      <c r="AS4714" s="138">
        <f>AS4711-AS4712</f>
        <v>-28059.535521737176</v>
      </c>
      <c r="AT4714" s="132"/>
      <c r="AU4714" s="146"/>
    </row>
    <row r="4715" spans="13:47" ht="14.5" x14ac:dyDescent="0.35">
      <c r="M4715" s="27"/>
      <c r="N4715" s="27"/>
      <c r="O4715" s="2" t="s">
        <v>191</v>
      </c>
      <c r="P4715" s="10"/>
      <c r="Q4715" s="2"/>
      <c r="R4715" s="181">
        <f>R4714/R4711</f>
        <v>0.30037203640324639</v>
      </c>
      <c r="S4715" s="132"/>
      <c r="T4715" s="146"/>
      <c r="U4715" s="138">
        <f>U4714/U4711</f>
        <v>-0.46070835571278701</v>
      </c>
      <c r="V4715" s="132"/>
      <c r="W4715" s="146"/>
      <c r="X4715" s="138">
        <f>X4714/X4711</f>
        <v>1.1639639138902835</v>
      </c>
      <c r="Y4715" s="132"/>
      <c r="Z4715" s="146"/>
      <c r="AA4715" s="138">
        <f>AA4714/AA4711</f>
        <v>1.0347776534107904</v>
      </c>
      <c r="AB4715" s="132"/>
      <c r="AC4715" s="146"/>
      <c r="AD4715" s="138">
        <f>AD4714/AD4711</f>
        <v>1.012314978162024</v>
      </c>
      <c r="AE4715" s="132"/>
      <c r="AF4715" s="146"/>
      <c r="AG4715" s="138">
        <f>AG4714/AG4711</f>
        <v>1.0061847968630528</v>
      </c>
      <c r="AH4715" s="132"/>
      <c r="AI4715" s="146"/>
      <c r="AJ4715" s="138">
        <f>AJ4714/AJ4711</f>
        <v>1.0038181561106296</v>
      </c>
      <c r="AK4715" s="132"/>
      <c r="AL4715" s="146"/>
      <c r="AM4715" s="138">
        <f>AM4714/AM4711</f>
        <v>1.0027711598074711</v>
      </c>
      <c r="AN4715" s="132"/>
      <c r="AO4715" s="146"/>
      <c r="AP4715" s="138">
        <f>AP4714/AP4711</f>
        <v>1.0022239033522924</v>
      </c>
      <c r="AQ4715" s="132"/>
      <c r="AR4715" s="146"/>
      <c r="AS4715" s="138">
        <f>AS4714/AS4711</f>
        <v>1.0017851063599821</v>
      </c>
      <c r="AT4715" s="132"/>
      <c r="AU4715" s="146"/>
    </row>
    <row r="4716" spans="13:47" x14ac:dyDescent="0.25">
      <c r="M4716" s="27"/>
      <c r="N4716" s="27"/>
      <c r="O4716" s="2" t="s">
        <v>26</v>
      </c>
      <c r="P4716" s="7">
        <v>12</v>
      </c>
      <c r="Q4716" s="2"/>
      <c r="R4716" s="181">
        <f>1-R4715/(3*F_GAMMA*R$29)</f>
        <v>0.84356280143937856</v>
      </c>
      <c r="S4716" s="133"/>
      <c r="T4716" s="146"/>
      <c r="U4716" s="138">
        <f>1-U4715/(3*F_GAMMA*U$29)</f>
        <v>1.2398893616761615</v>
      </c>
      <c r="V4716" s="133"/>
      <c r="W4716" s="146"/>
      <c r="X4716" s="138">
        <f>1-X4715/(3*F_GAMMA*X$29)</f>
        <v>0.38483567838640187</v>
      </c>
      <c r="Y4716" s="133"/>
      <c r="Z4716" s="146"/>
      <c r="AA4716" s="138">
        <f>1-AA4715/(3*F_GAMMA*AA$29)</f>
        <v>0.44561305935965567</v>
      </c>
      <c r="AB4716" s="133"/>
      <c r="AC4716" s="146"/>
      <c r="AD4716" s="138">
        <f>1-AD4715/(3*F_GAMMA*AD$29)</f>
        <v>0.44277739094719637</v>
      </c>
      <c r="AE4716" s="133"/>
      <c r="AF4716" s="146"/>
      <c r="AG4716" s="138">
        <f>1-AG4715/(3*F_GAMMA*AG$29)</f>
        <v>0.41455933097483577</v>
      </c>
      <c r="AH4716" s="133"/>
      <c r="AI4716" s="146"/>
      <c r="AJ4716" s="138">
        <f>1-AJ4715/(3*F_GAMMA*AJ$29)</f>
        <v>0.37562803189797678</v>
      </c>
      <c r="AK4716" s="133"/>
      <c r="AL4716" s="146"/>
      <c r="AM4716" s="138">
        <f>1-AM4715/(3*F_GAMMA*AM$29)</f>
        <v>0.31852166672554116</v>
      </c>
      <c r="AN4716" s="133"/>
      <c r="AO4716" s="146"/>
      <c r="AP4716" s="138">
        <f>1-AP4715/(3*F_GAMMA*AP$29)</f>
        <v>0.43713923043503877</v>
      </c>
      <c r="AQ4716" s="133"/>
      <c r="AR4716" s="146"/>
      <c r="AS4716" s="138">
        <f>1-AS4715/(3*F_GAMMA*AS$29)</f>
        <v>0.14590255043707445</v>
      </c>
      <c r="AT4716" s="133"/>
      <c r="AU4716" s="146"/>
    </row>
    <row r="4717" spans="13:47" x14ac:dyDescent="0.25">
      <c r="M4717" s="27"/>
      <c r="N4717" s="27"/>
      <c r="O4717" s="2" t="s">
        <v>71</v>
      </c>
      <c r="P4717" s="85">
        <v>5</v>
      </c>
      <c r="Q4717" s="2"/>
      <c r="R4717" s="179">
        <f>R4709/((N_6*R$27*R4716)*SQRT(R4715*R4711*R4713))</f>
        <v>58.771253677225047</v>
      </c>
      <c r="S4717" s="133"/>
      <c r="T4717" s="146"/>
      <c r="U4717" s="143" t="e">
        <f>U4709/((N_6*U$27*U4716)*SQRT(U4715*U4711*U4713))</f>
        <v>#NUM!</v>
      </c>
      <c r="V4717" s="133"/>
      <c r="W4717" s="146"/>
      <c r="X4717" s="143">
        <f>X4709/((N_6*X$27*X4716)*SQRT(X4715*X4711*X4713))</f>
        <v>57.456365443449378</v>
      </c>
      <c r="Y4717" s="133"/>
      <c r="Z4717" s="146"/>
      <c r="AA4717" s="143">
        <f>AA4709/((N_6*AA$27*AA4716)*SQRT(AA4715*AA4711*AA4713))</f>
        <v>21.866356805950758</v>
      </c>
      <c r="AB4717" s="133"/>
      <c r="AC4717" s="146"/>
      <c r="AD4717" s="143">
        <f>AD4709/((N_6*AD$27*AD4716)*SQRT(AD4715*AD4711*AD4713))</f>
        <v>13.111770324837048</v>
      </c>
      <c r="AE4717" s="133"/>
      <c r="AF4717" s="146"/>
      <c r="AG4717" s="143">
        <f>AG4709/((N_6*AG$27*AG4716)*SQRT(AG4715*AG4711*AG4713))</f>
        <v>10.108070345155429</v>
      </c>
      <c r="AH4717" s="133"/>
      <c r="AI4717" s="146"/>
      <c r="AJ4717" s="143">
        <f>AJ4709/((N_6*AJ$27*AJ4716)*SQRT(AJ4715*AJ4711*AJ4713))</f>
        <v>9.0554303715348361</v>
      </c>
      <c r="AK4717" s="133"/>
      <c r="AL4717" s="146"/>
      <c r="AM4717" s="143">
        <f>AM4709/((N_6*AM$27*AM4716)*SQRT(AM4715*AM4711*AM4713))</f>
        <v>9.651367018943855</v>
      </c>
      <c r="AN4717" s="133"/>
      <c r="AO4717" s="146"/>
      <c r="AP4717" s="143">
        <f>AP4709/((N_6*AP$27*AP4716)*SQRT(AP4715*AP4711*AP4713))</f>
        <v>7.1543492820703554</v>
      </c>
      <c r="AQ4717" s="133"/>
      <c r="AR4717" s="146"/>
      <c r="AS4717" s="143">
        <f>AS4709/((N_6*AS$27*AS4716)*SQRT(AS4715*AS4711*AS4713))</f>
        <v>25.228582496249832</v>
      </c>
      <c r="AT4717" s="133"/>
      <c r="AU4717" s="146"/>
    </row>
    <row r="4718" spans="13:47" x14ac:dyDescent="0.25">
      <c r="M4718" s="27"/>
      <c r="N4718" s="27"/>
      <c r="O4718" s="2" t="s">
        <v>73</v>
      </c>
      <c r="P4718" s="85">
        <v>5</v>
      </c>
      <c r="Q4718" s="2"/>
      <c r="R4718" s="179">
        <f>R4709/((N_6*R$27*0.667)*SQRT(R4719*R4711*R4713))</f>
        <v>50.919858000388324</v>
      </c>
      <c r="S4718" s="133"/>
      <c r="T4718" s="155"/>
      <c r="U4718" s="143">
        <f>U4709/((N_6*U$27*0.667)*SQRT(U4719*U4711*U4713))</f>
        <v>160.66426062388274</v>
      </c>
      <c r="V4718" s="133"/>
      <c r="W4718" s="155"/>
      <c r="X4718" s="143">
        <f>X4709/((N_6*X$27*0.667)*SQRT(X4719*X4711*X4713))</f>
        <v>45.03434412494061</v>
      </c>
      <c r="Y4718" s="133"/>
      <c r="Z4718" s="155"/>
      <c r="AA4718" s="143">
        <f>AA4709/((N_6*AA$27*0.667)*SQRT(AA4719*AA4711*AA4713))</f>
        <v>18.839771433040315</v>
      </c>
      <c r="AB4718" s="133"/>
      <c r="AC4718" s="155"/>
      <c r="AD4718" s="143">
        <f>AD4709/((N_6*AD$27*0.667)*SQRT(AD4719*AD4711*AD4713))</f>
        <v>11.253715408771987</v>
      </c>
      <c r="AE4718" s="133"/>
      <c r="AF4718" s="155"/>
      <c r="AG4718" s="143">
        <f>AG4709/((N_6*AG$27*0.667)*SQRT(AG4719*AG4711*AG4713))</f>
        <v>8.3258999555948439</v>
      </c>
      <c r="AH4718" s="133"/>
      <c r="AI4718" s="155"/>
      <c r="AJ4718" s="143">
        <f>AJ4709/((N_6*AJ$27*0.667)*SQRT(AJ4719*AJ4711*AJ4713))</f>
        <v>6.9794882771307929</v>
      </c>
      <c r="AK4718" s="133"/>
      <c r="AL4718" s="155"/>
      <c r="AM4718" s="143">
        <f>AM4709/((N_6*AM$27*0.667)*SQRT(AM4719*AM4711*AM4713))</f>
        <v>6.5900487977113205</v>
      </c>
      <c r="AN4718" s="133"/>
      <c r="AO4718" s="155"/>
      <c r="AP4718" s="143">
        <f>AP4709/((N_6*AP$27*0.667)*SQRT(AP4719*AP4711*AP4713))</f>
        <v>6.0929162120800742</v>
      </c>
      <c r="AQ4718" s="133"/>
      <c r="AR4718" s="155"/>
      <c r="AS4718" s="143">
        <f>AS4709/((N_6*AS$27*0.667)*SQRT(AS4719*AS4711*AS4713))</f>
        <v>8.8337324052169475</v>
      </c>
      <c r="AT4718" s="133"/>
      <c r="AU4718" s="155"/>
    </row>
    <row r="4719" spans="13:47" ht="15.5" x14ac:dyDescent="0.4">
      <c r="M4719" s="27"/>
      <c r="N4719" s="27"/>
      <c r="O4719" s="2" t="s">
        <v>192</v>
      </c>
      <c r="P4719" s="85">
        <v>10</v>
      </c>
      <c r="Q4719" s="2"/>
      <c r="R4719" s="181">
        <f>F_GAMMA*R$29</f>
        <v>0.64002688015162901</v>
      </c>
      <c r="S4719" s="133"/>
      <c r="T4719" s="155"/>
      <c r="U4719" s="138">
        <f>F_GAMMA*U$29</f>
        <v>0.64016782916606918</v>
      </c>
      <c r="V4719" s="133"/>
      <c r="W4719" s="155"/>
      <c r="X4719" s="138">
        <f>F_GAMMA*X$29</f>
        <v>0.6307062319203669</v>
      </c>
      <c r="Y4719" s="133"/>
      <c r="Z4719" s="155"/>
      <c r="AA4719" s="138">
        <f>F_GAMMA*AA$29</f>
        <v>0.62217534213893466</v>
      </c>
      <c r="AB4719" s="133"/>
      <c r="AC4719" s="155"/>
      <c r="AD4719" s="138">
        <f>F_GAMMA*AD$29</f>
        <v>0.60557184969146072</v>
      </c>
      <c r="AE4719" s="133"/>
      <c r="AF4719" s="155"/>
      <c r="AG4719" s="138">
        <f>F_GAMMA*AG$29</f>
        <v>0.57289312142622573</v>
      </c>
      <c r="AH4719" s="133"/>
      <c r="AI4719" s="155"/>
      <c r="AJ4719" s="138">
        <f>F_GAMMA*AJ$29</f>
        <v>0.53590819116049981</v>
      </c>
      <c r="AK4719" s="133"/>
      <c r="AL4719" s="155"/>
      <c r="AM4719" s="138">
        <f>F_GAMMA*AM$29</f>
        <v>0.49048815926850342</v>
      </c>
      <c r="AN4719" s="133"/>
      <c r="AO4719" s="155"/>
      <c r="AP4719" s="138">
        <f>F_GAMMA*AP$29</f>
        <v>0.59352979016280105</v>
      </c>
      <c r="AQ4719" s="133"/>
      <c r="AR4719" s="155"/>
      <c r="AS4719" s="138">
        <f>F_GAMMA*AS$29</f>
        <v>0.39097221161068291</v>
      </c>
      <c r="AT4719" s="133"/>
      <c r="AU4719" s="155"/>
    </row>
    <row r="4720" spans="13:47" x14ac:dyDescent="0.25">
      <c r="M4720" s="27"/>
      <c r="N4720" s="27"/>
      <c r="O4720" s="2" t="s">
        <v>193</v>
      </c>
      <c r="P4720" s="134"/>
      <c r="Q4720" s="2"/>
      <c r="R4720" s="181">
        <f>IF(R4715&lt;R4719,R4717,R4718)</f>
        <v>58.771253677225047</v>
      </c>
      <c r="S4720" s="133"/>
      <c r="T4720" s="155"/>
      <c r="U4720" s="138" t="e">
        <f>IF(U4715&lt;U4719,U4717,U4718)</f>
        <v>#NUM!</v>
      </c>
      <c r="V4720" s="133"/>
      <c r="W4720" s="155"/>
      <c r="X4720" s="138">
        <f>IF(X4715&lt;X4719,X4717,X4718)</f>
        <v>45.03434412494061</v>
      </c>
      <c r="Y4720" s="133"/>
      <c r="Z4720" s="155"/>
      <c r="AA4720" s="138">
        <f>IF(AA4715&lt;AA4719,AA4717,AA4718)</f>
        <v>18.839771433040315</v>
      </c>
      <c r="AB4720" s="133"/>
      <c r="AC4720" s="155"/>
      <c r="AD4720" s="138">
        <f>IF(AD4715&lt;AD4719,AD4717,AD4718)</f>
        <v>11.253715408771987</v>
      </c>
      <c r="AE4720" s="133"/>
      <c r="AF4720" s="155"/>
      <c r="AG4720" s="138">
        <f>IF(AG4715&lt;AG4719,AG4717,AG4718)</f>
        <v>8.3258999555948439</v>
      </c>
      <c r="AH4720" s="133"/>
      <c r="AI4720" s="155"/>
      <c r="AJ4720" s="138">
        <f>IF(AJ4715&lt;AJ4719,AJ4717,AJ4718)</f>
        <v>6.9794882771307929</v>
      </c>
      <c r="AK4720" s="133"/>
      <c r="AL4720" s="155"/>
      <c r="AM4720" s="138">
        <f>IF(AM4715&lt;AM4719,AM4717,AM4718)</f>
        <v>6.5900487977113205</v>
      </c>
      <c r="AN4720" s="133"/>
      <c r="AO4720" s="155"/>
      <c r="AP4720" s="138">
        <f>IF(AP4715&lt;AP4719,AP4717,AP4718)</f>
        <v>6.0929162120800742</v>
      </c>
      <c r="AQ4720" s="133"/>
      <c r="AR4720" s="155"/>
      <c r="AS4720" s="138">
        <f>IF(AS4715&lt;AS4719,AS4717,AS4718)</f>
        <v>8.8337324052169475</v>
      </c>
      <c r="AT4720" s="133"/>
      <c r="AU4720" s="155"/>
    </row>
    <row r="4721" spans="13:47" ht="13" x14ac:dyDescent="0.3">
      <c r="M4721" s="28"/>
      <c r="N4721" s="28"/>
      <c r="O4721" s="9" t="s">
        <v>194</v>
      </c>
      <c r="P4721" s="1"/>
      <c r="Q4721" s="1"/>
      <c r="R4721" s="135"/>
      <c r="S4721" s="132">
        <f>IF(R4714&lt;=0,W_max,ABS(R$23-R4720))</f>
        <v>56.771253677225047</v>
      </c>
      <c r="T4721" s="151">
        <f>R4709</f>
        <v>8536.1660604700701</v>
      </c>
      <c r="U4721" s="135"/>
      <c r="V4721" s="132">
        <f>IF(U4714&lt;=0,W_max,ABS(U$23-U4720))</f>
        <v>7174</v>
      </c>
      <c r="W4721" s="151">
        <f>U4709</f>
        <v>12893.666997066664</v>
      </c>
      <c r="X4721" s="135"/>
      <c r="Y4721" s="132">
        <f>IF(X4714&lt;=0,W_max,ABS(X$23-X4720))</f>
        <v>7174</v>
      </c>
      <c r="Z4721" s="151">
        <f>X4709</f>
        <v>31887.572848104734</v>
      </c>
      <c r="AA4721" s="135"/>
      <c r="AB4721" s="132">
        <f>IF(AA4714&lt;=0,W_max,ABS(AA$23-AA4720))</f>
        <v>7174</v>
      </c>
      <c r="AC4721" s="151">
        <f>AA4709</f>
        <v>62108.852751395832</v>
      </c>
      <c r="AD4721" s="135"/>
      <c r="AE4721" s="132">
        <f>IF(AD4714&lt;=0,W_max,ABS(AD$23-AD4720))</f>
        <v>7174</v>
      </c>
      <c r="AF4721" s="151">
        <f>AD4709</f>
        <v>102146.1956531615</v>
      </c>
      <c r="AG4721" s="135"/>
      <c r="AH4721" s="132">
        <f>IF(AG4714&lt;=0,W_max,ABS(AG$23-AG4720))</f>
        <v>7174</v>
      </c>
      <c r="AI4721" s="151">
        <f>AG4709</f>
        <v>143267.90324789876</v>
      </c>
      <c r="AJ4721" s="135"/>
      <c r="AK4721" s="132">
        <f>IF(AJ4714&lt;=0,W_max,ABS(AJ$23-AJ4720))</f>
        <v>7174</v>
      </c>
      <c r="AL4721" s="151">
        <f>AJ4709</f>
        <v>181912.22077637512</v>
      </c>
      <c r="AM4721" s="135"/>
      <c r="AN4721" s="132">
        <f>IF(AM4714&lt;=0,W_max,ABS(AM$23-AM4720))</f>
        <v>7174</v>
      </c>
      <c r="AO4721" s="151">
        <f>AM4709</f>
        <v>213306.38533302266</v>
      </c>
      <c r="AP4721" s="135"/>
      <c r="AQ4721" s="132">
        <f>IF(AP4714&lt;=0,W_max,ABS(AP$23-AP4720))</f>
        <v>7174</v>
      </c>
      <c r="AR4721" s="151">
        <f>AP4709</f>
        <v>237979.18225764838</v>
      </c>
      <c r="AS4721" s="135"/>
      <c r="AT4721" s="132">
        <f>IF(AS4714&lt;=0,W_max,ABS(AS$23-AS4720))</f>
        <v>7174</v>
      </c>
      <c r="AU4721" s="151">
        <f>AS4709</f>
        <v>265505.84081015468</v>
      </c>
    </row>
    <row r="4722" spans="13:47" ht="13" x14ac:dyDescent="0.25">
      <c r="M4722" s="12"/>
      <c r="N4722" s="12"/>
      <c r="O4722" s="2"/>
      <c r="P4722" s="85"/>
      <c r="Q4722" s="2"/>
      <c r="R4722" s="18"/>
      <c r="S4722" s="150"/>
      <c r="T4722" s="152"/>
      <c r="U4722" s="157"/>
      <c r="V4722" s="1"/>
      <c r="W4722" s="147"/>
      <c r="X4722" s="157"/>
      <c r="Y4722" s="1"/>
      <c r="Z4722" s="147"/>
      <c r="AA4722" s="157"/>
      <c r="AB4722" s="1"/>
      <c r="AC4722" s="147"/>
      <c r="AD4722" s="157"/>
      <c r="AE4722" s="1"/>
      <c r="AF4722" s="147"/>
      <c r="AG4722" s="157"/>
      <c r="AH4722" s="1"/>
      <c r="AI4722" s="147"/>
      <c r="AJ4722" s="157"/>
      <c r="AK4722" s="1"/>
      <c r="AL4722" s="147"/>
      <c r="AM4722" s="157"/>
      <c r="AN4722" s="1"/>
      <c r="AO4722" s="147"/>
      <c r="AP4722" s="157"/>
      <c r="AQ4722" s="1"/>
      <c r="AR4722" s="147"/>
      <c r="AS4722" s="157"/>
      <c r="AT4722" s="1"/>
      <c r="AU4722" s="147"/>
    </row>
    <row r="4723" spans="13:47" ht="14" x14ac:dyDescent="0.3">
      <c r="M4723" s="23"/>
      <c r="N4723" s="23"/>
      <c r="O4723" s="23" t="s">
        <v>238</v>
      </c>
      <c r="P4723" s="20"/>
      <c r="Q4723" s="20"/>
      <c r="R4723" s="181">
        <f>R4709*1.02</f>
        <v>8706.8893816794716</v>
      </c>
      <c r="S4723" s="128" t="s">
        <v>185</v>
      </c>
      <c r="T4723" s="153" t="s">
        <v>186</v>
      </c>
      <c r="U4723" s="143">
        <f>U4709*1.01</f>
        <v>13022.603667037331</v>
      </c>
      <c r="V4723" s="128" t="s">
        <v>185</v>
      </c>
      <c r="W4723" s="153" t="s">
        <v>186</v>
      </c>
      <c r="X4723" s="143">
        <f>X4709*1.01</f>
        <v>32206.448576585783</v>
      </c>
      <c r="Y4723" s="128" t="s">
        <v>185</v>
      </c>
      <c r="Z4723" s="153" t="s">
        <v>186</v>
      </c>
      <c r="AA4723" s="143">
        <f>AA4709*1.01</f>
        <v>62729.941278909791</v>
      </c>
      <c r="AB4723" s="128" t="s">
        <v>185</v>
      </c>
      <c r="AC4723" s="153" t="s">
        <v>186</v>
      </c>
      <c r="AD4723" s="143">
        <f>AD4709*1.01</f>
        <v>103167.65760969311</v>
      </c>
      <c r="AE4723" s="128" t="s">
        <v>185</v>
      </c>
      <c r="AF4723" s="153" t="s">
        <v>186</v>
      </c>
      <c r="AG4723" s="143">
        <f>AG4709*1.01</f>
        <v>144700.58228037774</v>
      </c>
      <c r="AH4723" s="128" t="s">
        <v>185</v>
      </c>
      <c r="AI4723" s="153" t="s">
        <v>186</v>
      </c>
      <c r="AJ4723" s="143">
        <f>AJ4709*1.01</f>
        <v>183731.34298413887</v>
      </c>
      <c r="AK4723" s="128" t="s">
        <v>185</v>
      </c>
      <c r="AL4723" s="153" t="s">
        <v>186</v>
      </c>
      <c r="AM4723" s="143">
        <f>AM4709*1.01</f>
        <v>215439.4491863529</v>
      </c>
      <c r="AN4723" s="128" t="s">
        <v>185</v>
      </c>
      <c r="AO4723" s="153" t="s">
        <v>186</v>
      </c>
      <c r="AP4723" s="143">
        <f>AP4709*1.01</f>
        <v>240358.97408022487</v>
      </c>
      <c r="AQ4723" s="128" t="s">
        <v>185</v>
      </c>
      <c r="AR4723" s="153" t="s">
        <v>186</v>
      </c>
      <c r="AS4723" s="143">
        <f>AS4709*1.01</f>
        <v>268160.89921825624</v>
      </c>
      <c r="AT4723" s="128" t="s">
        <v>185</v>
      </c>
      <c r="AU4723" s="153" t="s">
        <v>186</v>
      </c>
    </row>
    <row r="4724" spans="13:47" ht="14" x14ac:dyDescent="0.3">
      <c r="M4724" s="12"/>
      <c r="N4724" s="12"/>
      <c r="O4724" s="20"/>
      <c r="P4724" s="20"/>
      <c r="Q4724" s="23"/>
      <c r="R4724" s="139"/>
      <c r="S4724" s="130" t="s">
        <v>228</v>
      </c>
      <c r="T4724" s="154" t="s">
        <v>187</v>
      </c>
      <c r="U4724" s="144"/>
      <c r="V4724" s="130" t="s">
        <v>228</v>
      </c>
      <c r="W4724" s="154" t="s">
        <v>187</v>
      </c>
      <c r="X4724" s="144"/>
      <c r="Y4724" s="130" t="s">
        <v>228</v>
      </c>
      <c r="Z4724" s="154" t="s">
        <v>187</v>
      </c>
      <c r="AA4724" s="144"/>
      <c r="AB4724" s="130" t="s">
        <v>228</v>
      </c>
      <c r="AC4724" s="154" t="s">
        <v>187</v>
      </c>
      <c r="AD4724" s="144"/>
      <c r="AE4724" s="130" t="s">
        <v>228</v>
      </c>
      <c r="AF4724" s="154" t="s">
        <v>187</v>
      </c>
      <c r="AG4724" s="144"/>
      <c r="AH4724" s="130" t="s">
        <v>228</v>
      </c>
      <c r="AI4724" s="154" t="s">
        <v>187</v>
      </c>
      <c r="AJ4724" s="144"/>
      <c r="AK4724" s="130" t="s">
        <v>228</v>
      </c>
      <c r="AL4724" s="154" t="s">
        <v>187</v>
      </c>
      <c r="AM4724" s="144"/>
      <c r="AN4724" s="130" t="s">
        <v>228</v>
      </c>
      <c r="AO4724" s="154" t="s">
        <v>187</v>
      </c>
      <c r="AP4724" s="144"/>
      <c r="AQ4724" s="130" t="s">
        <v>228</v>
      </c>
      <c r="AR4724" s="154" t="s">
        <v>187</v>
      </c>
      <c r="AS4724" s="144"/>
      <c r="AT4724" s="130" t="s">
        <v>228</v>
      </c>
      <c r="AU4724" s="154" t="s">
        <v>187</v>
      </c>
    </row>
    <row r="4725" spans="13:47" x14ac:dyDescent="0.25">
      <c r="M4725" s="20"/>
      <c r="N4725" s="20"/>
      <c r="O4725" s="7" t="s">
        <v>188</v>
      </c>
      <c r="P4725" s="7"/>
      <c r="Q4725" s="7"/>
      <c r="R4725" s="181">
        <f>P_1_minW-(R4723^2*R_up)+dpup_minQ</f>
        <v>70.292682732341333</v>
      </c>
      <c r="S4725" s="132"/>
      <c r="T4725" s="145"/>
      <c r="U4725" s="138">
        <f>P_1_minW-(U4723^2*R_up)+dpup_minQ</f>
        <v>32.897482152473273</v>
      </c>
      <c r="V4725" s="132"/>
      <c r="W4725" s="145"/>
      <c r="X4725" s="138">
        <f>P_1_minW-(X4723^2*R_up)+dpup_minQ</f>
        <v>-313.09505356329066</v>
      </c>
      <c r="Y4725" s="132"/>
      <c r="Z4725" s="145"/>
      <c r="AA4725" s="138">
        <f>P_1_minW-(AA4723^2*R_up)+dpup_minQ</f>
        <v>-1468.6231967438348</v>
      </c>
      <c r="AB4725" s="132"/>
      <c r="AC4725" s="145"/>
      <c r="AD4725" s="138">
        <f>P_1_minW-(AD4723^2*R_up)+dpup_minQ</f>
        <v>-4143.7249697627349</v>
      </c>
      <c r="AE4725" s="132"/>
      <c r="AF4725" s="145"/>
      <c r="AG4725" s="138">
        <f>P_1_minW-(AG4723^2*R_up)+dpup_minQ</f>
        <v>-8248.8556312001583</v>
      </c>
      <c r="AH4725" s="132"/>
      <c r="AI4725" s="145"/>
      <c r="AJ4725" s="138">
        <f>P_1_minW-(AJ4723^2*R_up)+dpup_minQ</f>
        <v>-13360.562831100287</v>
      </c>
      <c r="AK4725" s="132"/>
      <c r="AL4725" s="145"/>
      <c r="AM4725" s="138">
        <f>P_1_minW-(AM4723^2*R_up)+dpup_minQ</f>
        <v>-18407.671406417299</v>
      </c>
      <c r="AN4725" s="132"/>
      <c r="AO4725" s="145"/>
      <c r="AP4725" s="138">
        <f>P_1_minW-(AP4723^2*R_up)+dpup_minQ</f>
        <v>-22936.920060831999</v>
      </c>
      <c r="AQ4725" s="132"/>
      <c r="AR4725" s="145"/>
      <c r="AS4725" s="138">
        <f>P_1_minW-(AS4723^2*R_up)+dpup_minQ</f>
        <v>-28574.547693737502</v>
      </c>
      <c r="AT4725" s="132"/>
      <c r="AU4725" s="145"/>
    </row>
    <row r="4726" spans="13:47" x14ac:dyDescent="0.25">
      <c r="M4726" s="20"/>
      <c r="N4726" s="20"/>
      <c r="O4726" s="7" t="s">
        <v>189</v>
      </c>
      <c r="P4726" s="1"/>
      <c r="Q4726" s="7"/>
      <c r="R4726" s="181">
        <f>P_2_minW+(R4723^2*R_dn)-dpdn_minQ</f>
        <v>50</v>
      </c>
      <c r="S4726" s="132"/>
      <c r="T4726" s="146"/>
      <c r="U4726" s="138">
        <f>P_2_minW+(U4723^2*R_dn)-dpdn_minQ</f>
        <v>50</v>
      </c>
      <c r="V4726" s="132"/>
      <c r="W4726" s="146"/>
      <c r="X4726" s="138">
        <f>P_2_minW+(X4723^2*R_dn)-dpdn_minQ</f>
        <v>50</v>
      </c>
      <c r="Y4726" s="132"/>
      <c r="Z4726" s="146"/>
      <c r="AA4726" s="138">
        <f>P_2_minW+(AA4723^2*R_dn)-dpdn_minQ</f>
        <v>50</v>
      </c>
      <c r="AB4726" s="132"/>
      <c r="AC4726" s="146"/>
      <c r="AD4726" s="138">
        <f>P_2_minW+(AD4723^2*R_dn)-dpdn_minQ</f>
        <v>50</v>
      </c>
      <c r="AE4726" s="132"/>
      <c r="AF4726" s="146"/>
      <c r="AG4726" s="138">
        <f>P_2_minW+(AG4723^2*R_dn)-dpdn_minQ</f>
        <v>50</v>
      </c>
      <c r="AH4726" s="132"/>
      <c r="AI4726" s="146"/>
      <c r="AJ4726" s="138">
        <f>P_2_minW+(AJ4723^2*R_dn)-dpdn_minQ</f>
        <v>50</v>
      </c>
      <c r="AK4726" s="132"/>
      <c r="AL4726" s="146"/>
      <c r="AM4726" s="138">
        <f>P_2_minW+(AM4723^2*R_dn)-dpdn_minQ</f>
        <v>50</v>
      </c>
      <c r="AN4726" s="132"/>
      <c r="AO4726" s="146"/>
      <c r="AP4726" s="138">
        <f>P_2_minW+(AP4723^2*R_dn)-dpdn_minQ</f>
        <v>50</v>
      </c>
      <c r="AQ4726" s="132"/>
      <c r="AR4726" s="146"/>
      <c r="AS4726" s="138">
        <f>P_2_minW+(AS4723^2*R_dn)-dpdn_minQ</f>
        <v>50</v>
      </c>
      <c r="AT4726" s="132"/>
      <c r="AU4726" s="146"/>
    </row>
    <row r="4727" spans="13:47" x14ac:dyDescent="0.25">
      <c r="M4727" s="20"/>
      <c r="N4727" s="20"/>
      <c r="O4727" s="7" t="s">
        <v>234</v>
      </c>
      <c r="P4727" s="1"/>
      <c r="Q4727" s="7"/>
      <c r="R4727" s="179">
        <f>'Valve Sizing'!G$8*R4725/P_1_maxW</f>
        <v>0.33907938666001991</v>
      </c>
      <c r="S4727" s="132"/>
      <c r="T4727" s="146"/>
      <c r="U4727" s="143">
        <f>'Valve Sizing'!$G$8*U4725/P_1_maxW</f>
        <v>0.15869159686783857</v>
      </c>
      <c r="V4727" s="132"/>
      <c r="W4727" s="146"/>
      <c r="X4727" s="143">
        <f>'Valve Sizing'!$G$8*X4725/P_1_maxW</f>
        <v>-1.510314795250816</v>
      </c>
      <c r="Y4727" s="132"/>
      <c r="Z4727" s="146"/>
      <c r="AA4727" s="143">
        <f>'Valve Sizing'!$G$8*AA4725/P_1_maxW</f>
        <v>-7.084376828848205</v>
      </c>
      <c r="AB4727" s="132"/>
      <c r="AC4727" s="146"/>
      <c r="AD4727" s="143">
        <f>'Valve Sizing'!$G$8*AD4725/P_1_maxW</f>
        <v>-19.988591509376267</v>
      </c>
      <c r="AE4727" s="132"/>
      <c r="AF4727" s="146"/>
      <c r="AG4727" s="143">
        <f>'Valve Sizing'!$G$8*AG4725/P_1_maxW</f>
        <v>-39.79101094668431</v>
      </c>
      <c r="AH4727" s="132"/>
      <c r="AI4727" s="146"/>
      <c r="AJ4727" s="143">
        <f>'Valve Sizing'!$G$8*AJ4725/P_1_maxW</f>
        <v>-64.448976395629558</v>
      </c>
      <c r="AK4727" s="132"/>
      <c r="AL4727" s="146"/>
      <c r="AM4727" s="143">
        <f>'Valve Sizing'!$G$8*AM4725/P_1_maxW</f>
        <v>-88.795329580662084</v>
      </c>
      <c r="AN4727" s="132"/>
      <c r="AO4727" s="146"/>
      <c r="AP4727" s="143">
        <f>'Valve Sizing'!$G$8*AP4725/P_1_maxW</f>
        <v>-110.64361870653798</v>
      </c>
      <c r="AQ4727" s="132"/>
      <c r="AR4727" s="146"/>
      <c r="AS4727" s="143">
        <f>'Valve Sizing'!$G$8*AS4725/P_1_maxW</f>
        <v>-137.83853068993932</v>
      </c>
      <c r="AT4727" s="132"/>
      <c r="AU4727" s="146"/>
    </row>
    <row r="4728" spans="13:47" x14ac:dyDescent="0.25">
      <c r="M4728" s="20"/>
      <c r="N4728" s="20"/>
      <c r="O4728" s="7" t="s">
        <v>190</v>
      </c>
      <c r="P4728" s="1"/>
      <c r="Q4728" s="7"/>
      <c r="R4728" s="181">
        <f>R4725-R4726</f>
        <v>20.292682732341333</v>
      </c>
      <c r="S4728" s="132"/>
      <c r="T4728" s="146"/>
      <c r="U4728" s="138">
        <f>U4725-U4726</f>
        <v>-17.102517847526727</v>
      </c>
      <c r="V4728" s="132"/>
      <c r="W4728" s="146"/>
      <c r="X4728" s="138">
        <f>X4725-X4726</f>
        <v>-363.09505356329066</v>
      </c>
      <c r="Y4728" s="132"/>
      <c r="Z4728" s="146"/>
      <c r="AA4728" s="138">
        <f>AA4725-AA4726</f>
        <v>-1518.6231967438348</v>
      </c>
      <c r="AB4728" s="132"/>
      <c r="AC4728" s="146"/>
      <c r="AD4728" s="138">
        <f>AD4725-AD4726</f>
        <v>-4193.7249697627349</v>
      </c>
      <c r="AE4728" s="132"/>
      <c r="AF4728" s="146"/>
      <c r="AG4728" s="138">
        <f>AG4725-AG4726</f>
        <v>-8298.8556312001583</v>
      </c>
      <c r="AH4728" s="132"/>
      <c r="AI4728" s="146"/>
      <c r="AJ4728" s="138">
        <f>AJ4725-AJ4726</f>
        <v>-13410.562831100287</v>
      </c>
      <c r="AK4728" s="132"/>
      <c r="AL4728" s="146"/>
      <c r="AM4728" s="138">
        <f>AM4725-AM4726</f>
        <v>-18457.671406417299</v>
      </c>
      <c r="AN4728" s="132"/>
      <c r="AO4728" s="146"/>
      <c r="AP4728" s="138">
        <f>AP4725-AP4726</f>
        <v>-22986.920060831999</v>
      </c>
      <c r="AQ4728" s="132"/>
      <c r="AR4728" s="146"/>
      <c r="AS4728" s="138">
        <f>AS4725-AS4726</f>
        <v>-28624.547693737502</v>
      </c>
      <c r="AT4728" s="132"/>
      <c r="AU4728" s="146"/>
    </row>
    <row r="4729" spans="13:47" ht="14.5" x14ac:dyDescent="0.35">
      <c r="M4729" s="27"/>
      <c r="N4729" s="27"/>
      <c r="O4729" s="2" t="s">
        <v>191</v>
      </c>
      <c r="P4729" s="10"/>
      <c r="Q4729" s="2"/>
      <c r="R4729" s="181">
        <f>R4728/R4725</f>
        <v>0.28868840885773683</v>
      </c>
      <c r="S4729" s="132"/>
      <c r="T4729" s="146"/>
      <c r="U4729" s="138">
        <f>U4728/U4725</f>
        <v>-0.51987315528464961</v>
      </c>
      <c r="V4729" s="132"/>
      <c r="W4729" s="146"/>
      <c r="X4729" s="138">
        <f>X4728/X4725</f>
        <v>1.1596959116120074</v>
      </c>
      <c r="Y4729" s="132"/>
      <c r="Z4729" s="146"/>
      <c r="AA4729" s="138">
        <f>AA4728/AA4725</f>
        <v>1.0340454924795262</v>
      </c>
      <c r="AB4729" s="132"/>
      <c r="AC4729" s="146"/>
      <c r="AD4729" s="138">
        <f>AD4728/AD4725</f>
        <v>1.0120664378946131</v>
      </c>
      <c r="AE4729" s="132"/>
      <c r="AF4729" s="146"/>
      <c r="AG4729" s="138">
        <f>AG4728/AG4725</f>
        <v>1.0060614468522011</v>
      </c>
      <c r="AH4729" s="132"/>
      <c r="AI4729" s="146"/>
      <c r="AJ4729" s="138">
        <f>AJ4728/AJ4725</f>
        <v>1.0037423573117452</v>
      </c>
      <c r="AK4729" s="132"/>
      <c r="AL4729" s="146"/>
      <c r="AM4729" s="138">
        <f>AM4728/AM4725</f>
        <v>1.0027162588301402</v>
      </c>
      <c r="AN4729" s="132"/>
      <c r="AO4729" s="146"/>
      <c r="AP4729" s="138">
        <f>AP4728/AP4725</f>
        <v>1.0021798916274458</v>
      </c>
      <c r="AQ4729" s="132"/>
      <c r="AR4729" s="146"/>
      <c r="AS4729" s="138">
        <f>AS4728/AS4725</f>
        <v>1.0017498089746126</v>
      </c>
      <c r="AT4729" s="132"/>
      <c r="AU4729" s="146"/>
    </row>
    <row r="4730" spans="13:47" x14ac:dyDescent="0.25">
      <c r="M4730" s="27"/>
      <c r="N4730" s="27"/>
      <c r="O4730" s="2" t="s">
        <v>26</v>
      </c>
      <c r="P4730" s="7">
        <v>12</v>
      </c>
      <c r="Q4730" s="2"/>
      <c r="R4730" s="181">
        <f>1-R4729/(3*F_GAMMA*R$29)</f>
        <v>0.84964776854927115</v>
      </c>
      <c r="S4730" s="133"/>
      <c r="T4730" s="146"/>
      <c r="U4730" s="138">
        <f>1-U4729/(3*F_GAMMA*U$29)</f>
        <v>1.2706962828595929</v>
      </c>
      <c r="V4730" s="133"/>
      <c r="W4730" s="146"/>
      <c r="X4730" s="138">
        <f>1-X4729/(3*F_GAMMA*X$29)</f>
        <v>0.38709135203300649</v>
      </c>
      <c r="Y4730" s="133"/>
      <c r="Z4730" s="146"/>
      <c r="AA4730" s="138">
        <f>1-AA4729/(3*F_GAMMA*AA$29)</f>
        <v>0.44600531798391385</v>
      </c>
      <c r="AB4730" s="133"/>
      <c r="AC4730" s="146"/>
      <c r="AD4730" s="138">
        <f>1-AD4729/(3*F_GAMMA*AD$29)</f>
        <v>0.44291419842238833</v>
      </c>
      <c r="AE4730" s="133"/>
      <c r="AF4730" s="146"/>
      <c r="AG4730" s="138">
        <f>1-AG4729/(3*F_GAMMA*AG$29)</f>
        <v>0.41463110120342839</v>
      </c>
      <c r="AH4730" s="133"/>
      <c r="AI4730" s="146"/>
      <c r="AJ4730" s="138">
        <f>1-AJ4729/(3*F_GAMMA*AJ$29)</f>
        <v>0.37567517853001475</v>
      </c>
      <c r="AK4730" s="133"/>
      <c r="AL4730" s="146"/>
      <c r="AM4730" s="138">
        <f>1-AM4729/(3*F_GAMMA*AM$29)</f>
        <v>0.31855897715889447</v>
      </c>
      <c r="AN4730" s="133"/>
      <c r="AO4730" s="146"/>
      <c r="AP4730" s="138">
        <f>1-AP4729/(3*F_GAMMA*AP$29)</f>
        <v>0.43716394793901581</v>
      </c>
      <c r="AQ4730" s="133"/>
      <c r="AR4730" s="146"/>
      <c r="AS4730" s="138">
        <f>1-AS4729/(3*F_GAMMA*AS$29)</f>
        <v>0.14593264412346385</v>
      </c>
      <c r="AT4730" s="133"/>
      <c r="AU4730" s="146"/>
    </row>
    <row r="4731" spans="13:47" x14ac:dyDescent="0.25">
      <c r="M4731" s="27"/>
      <c r="N4731" s="27"/>
      <c r="O4731" s="2" t="s">
        <v>71</v>
      </c>
      <c r="P4731" s="85">
        <v>5</v>
      </c>
      <c r="Q4731" s="2"/>
      <c r="R4731" s="179">
        <f>R4723/((N_6*R$27*R4730)*SQRT(R4729*R4725*R4727))</f>
        <v>61.723625591380824</v>
      </c>
      <c r="S4731" s="133"/>
      <c r="T4731" s="146"/>
      <c r="U4731" s="143" t="e">
        <f>U4723/((N_6*U$27*U4730)*SQRT(U4729*U4725*U4727))</f>
        <v>#NUM!</v>
      </c>
      <c r="V4731" s="133"/>
      <c r="W4731" s="146"/>
      <c r="X4731" s="143">
        <f>X4723/((N_6*X$27*X4730)*SQRT(X4729*X4725*X4727))</f>
        <v>56.294322952174554</v>
      </c>
      <c r="Y4731" s="133"/>
      <c r="Z4731" s="146"/>
      <c r="AA4731" s="143">
        <f>AA4723/((N_6*AA$27*AA4730)*SQRT(AA4729*AA4725*AA4727))</f>
        <v>21.608704007168196</v>
      </c>
      <c r="AB4731" s="133"/>
      <c r="AC4731" s="146"/>
      <c r="AD4731" s="143">
        <f>AD4723/((N_6*AD$27*AD4730)*SQRT(AD4729*AD4725*AD4727))</f>
        <v>12.973205484135368</v>
      </c>
      <c r="AE4731" s="133"/>
      <c r="AF4731" s="146"/>
      <c r="AG4731" s="143">
        <f>AG4723/((N_6*AG$27*AG4730)*SQRT(AG4729*AG4725*AG4727))</f>
        <v>10.004420391393102</v>
      </c>
      <c r="AH4731" s="133"/>
      <c r="AI4731" s="146"/>
      <c r="AJ4731" s="143">
        <f>AJ4723/((N_6*AJ$27*AJ4730)*SQRT(AJ4729*AJ4725*AJ4727))</f>
        <v>8.9636301684486259</v>
      </c>
      <c r="AK4731" s="133"/>
      <c r="AL4731" s="146"/>
      <c r="AM4731" s="143">
        <f>AM4723/((N_6*AM$27*AM4730)*SQRT(AM4729*AM4725*AM4727))</f>
        <v>9.5539025019401365</v>
      </c>
      <c r="AN4731" s="133"/>
      <c r="AO4731" s="146"/>
      <c r="AP4731" s="143">
        <f>AP4723/((N_6*AP$27*AP4730)*SQRT(AP4729*AP4725*AP4727))</f>
        <v>7.0826452003769367</v>
      </c>
      <c r="AQ4731" s="133"/>
      <c r="AR4731" s="146"/>
      <c r="AS4731" s="143">
        <f>AS4723/((N_6*AS$27*AS4730)*SQRT(AS4729*AS4725*AS4727))</f>
        <v>24.972317576185155</v>
      </c>
      <c r="AT4731" s="133"/>
      <c r="AU4731" s="146"/>
    </row>
    <row r="4732" spans="13:47" x14ac:dyDescent="0.25">
      <c r="M4732" s="27"/>
      <c r="N4732" s="27"/>
      <c r="O4732" s="2" t="s">
        <v>73</v>
      </c>
      <c r="P4732" s="85">
        <v>5</v>
      </c>
      <c r="Q4732" s="2"/>
      <c r="R4732" s="179">
        <f>R4723/((N_6*R$27*0.667)*SQRT(R4733*R4725*R4727))</f>
        <v>52.805612184746636</v>
      </c>
      <c r="S4732" s="133"/>
      <c r="T4732" s="155"/>
      <c r="U4732" s="143">
        <f>U4723/((N_6*U$27*0.667)*SQRT(U4733*U4725*U4727))</f>
        <v>168.84355370371344</v>
      </c>
      <c r="V4732" s="133"/>
      <c r="W4732" s="155"/>
      <c r="X4732" s="143">
        <f>X4723/((N_6*X$27*0.667)*SQRT(X4733*X4725*X4727))</f>
        <v>44.300715156937358</v>
      </c>
      <c r="Y4732" s="133"/>
      <c r="Z4732" s="155"/>
      <c r="AA4732" s="143">
        <f>AA4723/((N_6*AA$27*0.667)*SQRT(AA4733*AA4725*AA4727))</f>
        <v>18.627576218381801</v>
      </c>
      <c r="AB4732" s="133"/>
      <c r="AC4732" s="155"/>
      <c r="AD4732" s="143">
        <f>AD4723/((N_6*AD$27*0.667)*SQRT(AD4733*AD4725*AD4727))</f>
        <v>11.136859427584614</v>
      </c>
      <c r="AE4732" s="133"/>
      <c r="AF4732" s="155"/>
      <c r="AG4732" s="143">
        <f>AG4723/((N_6*AG$27*0.667)*SQRT(AG4733*AG4725*AG4727))</f>
        <v>8.2414461148846119</v>
      </c>
      <c r="AH4732" s="133"/>
      <c r="AI4732" s="155"/>
      <c r="AJ4732" s="143">
        <f>AJ4723/((N_6*AJ$27*0.667)*SQRT(AJ4733*AJ4725*AJ4727))</f>
        <v>6.909339380487328</v>
      </c>
      <c r="AK4732" s="133"/>
      <c r="AL4732" s="155"/>
      <c r="AM4732" s="143">
        <f>AM4723/((N_6*AM$27*0.667)*SQRT(AM4733*AM4725*AM4727))</f>
        <v>6.524084598612756</v>
      </c>
      <c r="AN4732" s="133"/>
      <c r="AO4732" s="155"/>
      <c r="AP4732" s="143">
        <f>AP4723/((N_6*AP$27*0.667)*SQRT(AP4733*AP4725*AP4727))</f>
        <v>6.0320588994971551</v>
      </c>
      <c r="AQ4732" s="133"/>
      <c r="AR4732" s="155"/>
      <c r="AS4732" s="143">
        <f>AS4723/((N_6*AS$27*0.667)*SQRT(AS4733*AS4725*AS4727))</f>
        <v>8.7456512588701081</v>
      </c>
      <c r="AT4732" s="133"/>
      <c r="AU4732" s="155"/>
    </row>
    <row r="4733" spans="13:47" ht="15.5" x14ac:dyDescent="0.4">
      <c r="M4733" s="27"/>
      <c r="N4733" s="27"/>
      <c r="O4733" s="2" t="s">
        <v>192</v>
      </c>
      <c r="P4733" s="85">
        <v>10</v>
      </c>
      <c r="Q4733" s="2"/>
      <c r="R4733" s="181">
        <f>F_GAMMA*R$29</f>
        <v>0.64002688015162901</v>
      </c>
      <c r="S4733" s="133"/>
      <c r="T4733" s="155"/>
      <c r="U4733" s="138">
        <f>F_GAMMA*U$29</f>
        <v>0.64016782916606918</v>
      </c>
      <c r="V4733" s="133"/>
      <c r="W4733" s="155"/>
      <c r="X4733" s="138">
        <f>F_GAMMA*X$29</f>
        <v>0.6307062319203669</v>
      </c>
      <c r="Y4733" s="133"/>
      <c r="Z4733" s="155"/>
      <c r="AA4733" s="138">
        <f>F_GAMMA*AA$29</f>
        <v>0.62217534213893466</v>
      </c>
      <c r="AB4733" s="133"/>
      <c r="AC4733" s="155"/>
      <c r="AD4733" s="138">
        <f>F_GAMMA*AD$29</f>
        <v>0.60557184969146072</v>
      </c>
      <c r="AE4733" s="133"/>
      <c r="AF4733" s="155"/>
      <c r="AG4733" s="138">
        <f>F_GAMMA*AG$29</f>
        <v>0.57289312142622573</v>
      </c>
      <c r="AH4733" s="133"/>
      <c r="AI4733" s="155"/>
      <c r="AJ4733" s="138">
        <f>F_GAMMA*AJ$29</f>
        <v>0.53590819116049981</v>
      </c>
      <c r="AK4733" s="133"/>
      <c r="AL4733" s="155"/>
      <c r="AM4733" s="138">
        <f>F_GAMMA*AM$29</f>
        <v>0.49048815926850342</v>
      </c>
      <c r="AN4733" s="133"/>
      <c r="AO4733" s="155"/>
      <c r="AP4733" s="138">
        <f>F_GAMMA*AP$29</f>
        <v>0.59352979016280105</v>
      </c>
      <c r="AQ4733" s="133"/>
      <c r="AR4733" s="155"/>
      <c r="AS4733" s="138">
        <f>F_GAMMA*AS$29</f>
        <v>0.39097221161068291</v>
      </c>
      <c r="AT4733" s="133"/>
      <c r="AU4733" s="155"/>
    </row>
    <row r="4734" spans="13:47" x14ac:dyDescent="0.25">
      <c r="M4734" s="27"/>
      <c r="N4734" s="27"/>
      <c r="O4734" s="2" t="s">
        <v>193</v>
      </c>
      <c r="P4734" s="134"/>
      <c r="Q4734" s="2"/>
      <c r="R4734" s="181">
        <f>IF(R4729&lt;R4733,R4731,R4732)</f>
        <v>61.723625591380824</v>
      </c>
      <c r="S4734" s="133"/>
      <c r="T4734" s="155"/>
      <c r="U4734" s="138" t="e">
        <f>IF(U4729&lt;U4733,U4731,U4732)</f>
        <v>#NUM!</v>
      </c>
      <c r="V4734" s="133"/>
      <c r="W4734" s="155"/>
      <c r="X4734" s="138">
        <f>IF(X4729&lt;X4733,X4731,X4732)</f>
        <v>44.300715156937358</v>
      </c>
      <c r="Y4734" s="133"/>
      <c r="Z4734" s="155"/>
      <c r="AA4734" s="138">
        <f>IF(AA4729&lt;AA4733,AA4731,AA4732)</f>
        <v>18.627576218381801</v>
      </c>
      <c r="AB4734" s="133"/>
      <c r="AC4734" s="155"/>
      <c r="AD4734" s="138">
        <f>IF(AD4729&lt;AD4733,AD4731,AD4732)</f>
        <v>11.136859427584614</v>
      </c>
      <c r="AE4734" s="133"/>
      <c r="AF4734" s="155"/>
      <c r="AG4734" s="138">
        <f>IF(AG4729&lt;AG4733,AG4731,AG4732)</f>
        <v>8.2414461148846119</v>
      </c>
      <c r="AH4734" s="133"/>
      <c r="AI4734" s="155"/>
      <c r="AJ4734" s="138">
        <f>IF(AJ4729&lt;AJ4733,AJ4731,AJ4732)</f>
        <v>6.909339380487328</v>
      </c>
      <c r="AK4734" s="133"/>
      <c r="AL4734" s="155"/>
      <c r="AM4734" s="138">
        <f>IF(AM4729&lt;AM4733,AM4731,AM4732)</f>
        <v>6.524084598612756</v>
      </c>
      <c r="AN4734" s="133"/>
      <c r="AO4734" s="155"/>
      <c r="AP4734" s="138">
        <f>IF(AP4729&lt;AP4733,AP4731,AP4732)</f>
        <v>6.0320588994971551</v>
      </c>
      <c r="AQ4734" s="133"/>
      <c r="AR4734" s="155"/>
      <c r="AS4734" s="138">
        <f>IF(AS4729&lt;AS4733,AS4731,AS4732)</f>
        <v>8.7456512588701081</v>
      </c>
      <c r="AT4734" s="133"/>
      <c r="AU4734" s="155"/>
    </row>
    <row r="4735" spans="13:47" ht="13" x14ac:dyDescent="0.3">
      <c r="M4735" s="28"/>
      <c r="N4735" s="28"/>
      <c r="O4735" s="9" t="s">
        <v>194</v>
      </c>
      <c r="P4735" s="1"/>
      <c r="Q4735" s="1"/>
      <c r="R4735" s="135"/>
      <c r="S4735" s="132">
        <f>IF(R4728&lt;=0,W_max,ABS(R$23-R4734))</f>
        <v>59.723625591380824</v>
      </c>
      <c r="T4735" s="151">
        <f>R4723</f>
        <v>8706.8893816794716</v>
      </c>
      <c r="U4735" s="135"/>
      <c r="V4735" s="132">
        <f>IF(U4728&lt;=0,W_max,ABS(U$23-U4734))</f>
        <v>7174</v>
      </c>
      <c r="W4735" s="151">
        <f>U4723</f>
        <v>13022.603667037331</v>
      </c>
      <c r="X4735" s="135"/>
      <c r="Y4735" s="132">
        <f>IF(X4728&lt;=0,W_max,ABS(X$23-X4734))</f>
        <v>7174</v>
      </c>
      <c r="Z4735" s="151">
        <f>X4723</f>
        <v>32206.448576585783</v>
      </c>
      <c r="AA4735" s="135"/>
      <c r="AB4735" s="132">
        <f>IF(AA4728&lt;=0,W_max,ABS(AA$23-AA4734))</f>
        <v>7174</v>
      </c>
      <c r="AC4735" s="151">
        <f>AA4723</f>
        <v>62729.941278909791</v>
      </c>
      <c r="AD4735" s="135"/>
      <c r="AE4735" s="132">
        <f>IF(AD4728&lt;=0,W_max,ABS(AD$23-AD4734))</f>
        <v>7174</v>
      </c>
      <c r="AF4735" s="151">
        <f>AD4723</f>
        <v>103167.65760969311</v>
      </c>
      <c r="AG4735" s="135"/>
      <c r="AH4735" s="132">
        <f>IF(AG4728&lt;=0,W_max,ABS(AG$23-AG4734))</f>
        <v>7174</v>
      </c>
      <c r="AI4735" s="151">
        <f>AG4723</f>
        <v>144700.58228037774</v>
      </c>
      <c r="AJ4735" s="135"/>
      <c r="AK4735" s="132">
        <f>IF(AJ4728&lt;=0,W_max,ABS(AJ$23-AJ4734))</f>
        <v>7174</v>
      </c>
      <c r="AL4735" s="151">
        <f>AJ4723</f>
        <v>183731.34298413887</v>
      </c>
      <c r="AM4735" s="135"/>
      <c r="AN4735" s="132">
        <f>IF(AM4728&lt;=0,W_max,ABS(AM$23-AM4734))</f>
        <v>7174</v>
      </c>
      <c r="AO4735" s="151">
        <f>AM4723</f>
        <v>215439.4491863529</v>
      </c>
      <c r="AP4735" s="135"/>
      <c r="AQ4735" s="132">
        <f>IF(AP4728&lt;=0,W_max,ABS(AP$23-AP4734))</f>
        <v>7174</v>
      </c>
      <c r="AR4735" s="151">
        <f>AP4723</f>
        <v>240358.97408022487</v>
      </c>
      <c r="AS4735" s="135"/>
      <c r="AT4735" s="132">
        <f>IF(AS4728&lt;=0,W_max,ABS(AS$23-AS4734))</f>
        <v>7174</v>
      </c>
      <c r="AU4735" s="151">
        <f>AS4723</f>
        <v>268160.89921825624</v>
      </c>
    </row>
    <row r="4736" spans="13:47" ht="13" x14ac:dyDescent="0.25">
      <c r="M4736" s="12"/>
      <c r="N4736" s="12"/>
      <c r="O4736" s="2"/>
      <c r="P4736" s="85"/>
      <c r="Q4736" s="2"/>
      <c r="R4736" s="18"/>
      <c r="S4736" s="150"/>
      <c r="T4736" s="148"/>
      <c r="U4736" s="157"/>
      <c r="V4736" s="1"/>
      <c r="W4736" s="147"/>
      <c r="X4736" s="157"/>
      <c r="Y4736" s="1"/>
      <c r="Z4736" s="147"/>
      <c r="AA4736" s="157"/>
      <c r="AB4736" s="1"/>
      <c r="AC4736" s="147"/>
      <c r="AD4736" s="157"/>
      <c r="AE4736" s="1"/>
      <c r="AF4736" s="147"/>
      <c r="AG4736" s="157"/>
      <c r="AH4736" s="1"/>
      <c r="AI4736" s="147"/>
      <c r="AJ4736" s="157"/>
      <c r="AK4736" s="1"/>
      <c r="AL4736" s="147"/>
      <c r="AM4736" s="157"/>
      <c r="AN4736" s="1"/>
      <c r="AO4736" s="147"/>
      <c r="AP4736" s="157"/>
      <c r="AQ4736" s="1"/>
      <c r="AR4736" s="147"/>
      <c r="AS4736" s="157"/>
      <c r="AT4736" s="1"/>
      <c r="AU4736" s="147"/>
    </row>
    <row r="4737" spans="13:47" ht="14" x14ac:dyDescent="0.3">
      <c r="M4737" s="23"/>
      <c r="N4737" s="23"/>
      <c r="O4737" s="23" t="s">
        <v>238</v>
      </c>
      <c r="P4737" s="20"/>
      <c r="Q4737" s="20"/>
      <c r="R4737" s="181">
        <f>R4723*1.02</f>
        <v>8881.0271693130617</v>
      </c>
      <c r="S4737" s="128" t="s">
        <v>185</v>
      </c>
      <c r="T4737" s="149" t="s">
        <v>186</v>
      </c>
      <c r="U4737" s="143">
        <f>U4723*1.01</f>
        <v>13152.829703707705</v>
      </c>
      <c r="V4737" s="128" t="s">
        <v>185</v>
      </c>
      <c r="W4737" s="153" t="s">
        <v>186</v>
      </c>
      <c r="X4737" s="143">
        <f>X4723*1.01</f>
        <v>32528.513062351642</v>
      </c>
      <c r="Y4737" s="128" t="s">
        <v>185</v>
      </c>
      <c r="Z4737" s="153" t="s">
        <v>186</v>
      </c>
      <c r="AA4737" s="143">
        <f>AA4723*1.01</f>
        <v>63357.240691698891</v>
      </c>
      <c r="AB4737" s="128" t="s">
        <v>185</v>
      </c>
      <c r="AC4737" s="153" t="s">
        <v>186</v>
      </c>
      <c r="AD4737" s="143">
        <f>AD4723*1.01</f>
        <v>104199.33418579004</v>
      </c>
      <c r="AE4737" s="128" t="s">
        <v>185</v>
      </c>
      <c r="AF4737" s="153" t="s">
        <v>186</v>
      </c>
      <c r="AG4737" s="143">
        <f>AG4723*1.01</f>
        <v>146147.58810318151</v>
      </c>
      <c r="AH4737" s="128" t="s">
        <v>185</v>
      </c>
      <c r="AI4737" s="153" t="s">
        <v>186</v>
      </c>
      <c r="AJ4737" s="143">
        <f>AJ4723*1.01</f>
        <v>185568.65641398026</v>
      </c>
      <c r="AK4737" s="128" t="s">
        <v>185</v>
      </c>
      <c r="AL4737" s="153" t="s">
        <v>186</v>
      </c>
      <c r="AM4737" s="143">
        <f>AM4723*1.01</f>
        <v>217593.84367821642</v>
      </c>
      <c r="AN4737" s="128" t="s">
        <v>185</v>
      </c>
      <c r="AO4737" s="153" t="s">
        <v>186</v>
      </c>
      <c r="AP4737" s="143">
        <f>AP4723*1.01</f>
        <v>242762.56382102711</v>
      </c>
      <c r="AQ4737" s="128" t="s">
        <v>185</v>
      </c>
      <c r="AR4737" s="153" t="s">
        <v>186</v>
      </c>
      <c r="AS4737" s="143">
        <f>AS4723*1.01</f>
        <v>270842.50821043883</v>
      </c>
      <c r="AT4737" s="128" t="s">
        <v>185</v>
      </c>
      <c r="AU4737" s="153" t="s">
        <v>186</v>
      </c>
    </row>
    <row r="4738" spans="13:47" ht="14" x14ac:dyDescent="0.3">
      <c r="M4738" s="12"/>
      <c r="N4738" s="12"/>
      <c r="O4738" s="20"/>
      <c r="P4738" s="20"/>
      <c r="Q4738" s="23"/>
      <c r="R4738" s="139"/>
      <c r="S4738" s="130" t="s">
        <v>228</v>
      </c>
      <c r="T4738" s="131" t="s">
        <v>187</v>
      </c>
      <c r="U4738" s="144"/>
      <c r="V4738" s="130" t="s">
        <v>228</v>
      </c>
      <c r="W4738" s="154" t="s">
        <v>187</v>
      </c>
      <c r="X4738" s="144"/>
      <c r="Y4738" s="130" t="s">
        <v>228</v>
      </c>
      <c r="Z4738" s="154" t="s">
        <v>187</v>
      </c>
      <c r="AA4738" s="144"/>
      <c r="AB4738" s="130" t="s">
        <v>228</v>
      </c>
      <c r="AC4738" s="154" t="s">
        <v>187</v>
      </c>
      <c r="AD4738" s="144"/>
      <c r="AE4738" s="130" t="s">
        <v>228</v>
      </c>
      <c r="AF4738" s="154" t="s">
        <v>187</v>
      </c>
      <c r="AG4738" s="144"/>
      <c r="AH4738" s="130" t="s">
        <v>228</v>
      </c>
      <c r="AI4738" s="154" t="s">
        <v>187</v>
      </c>
      <c r="AJ4738" s="144"/>
      <c r="AK4738" s="130" t="s">
        <v>228</v>
      </c>
      <c r="AL4738" s="154" t="s">
        <v>187</v>
      </c>
      <c r="AM4738" s="144"/>
      <c r="AN4738" s="130" t="s">
        <v>228</v>
      </c>
      <c r="AO4738" s="154" t="s">
        <v>187</v>
      </c>
      <c r="AP4738" s="144"/>
      <c r="AQ4738" s="130" t="s">
        <v>228</v>
      </c>
      <c r="AR4738" s="154" t="s">
        <v>187</v>
      </c>
      <c r="AS4738" s="144"/>
      <c r="AT4738" s="130" t="s">
        <v>228</v>
      </c>
      <c r="AU4738" s="154" t="s">
        <v>187</v>
      </c>
    </row>
    <row r="4739" spans="13:47" x14ac:dyDescent="0.25">
      <c r="M4739" s="20"/>
      <c r="N4739" s="20"/>
      <c r="O4739" s="7" t="s">
        <v>188</v>
      </c>
      <c r="P4739" s="7"/>
      <c r="Q4739" s="7"/>
      <c r="R4739" s="181">
        <f>P_1_minW-(R4737^2*R_up)+dpup_minQ</f>
        <v>69.071386530564155</v>
      </c>
      <c r="S4739" s="132"/>
      <c r="T4739" s="145"/>
      <c r="U4739" s="138">
        <f>P_1_minW-(U4737^2*R_up)+dpup_minQ</f>
        <v>31.53821353032977</v>
      </c>
      <c r="V4739" s="132"/>
      <c r="W4739" s="145"/>
      <c r="X4739" s="138">
        <f>P_1_minW-(X4737^2*R_up)+dpup_minQ</f>
        <v>-321.40877215332102</v>
      </c>
      <c r="Y4739" s="132"/>
      <c r="Z4739" s="145"/>
      <c r="AA4739" s="138">
        <f>P_1_minW-(AA4737^2*R_up)+dpup_minQ</f>
        <v>-1500.1630310117944</v>
      </c>
      <c r="AB4739" s="132"/>
      <c r="AC4739" s="145"/>
      <c r="AD4739" s="138">
        <f>P_1_minW-(AD4737^2*R_up)+dpup_minQ</f>
        <v>-4229.0343496683745</v>
      </c>
      <c r="AE4739" s="132"/>
      <c r="AF4739" s="145"/>
      <c r="AG4739" s="138">
        <f>P_1_minW-(AG4737^2*R_up)+dpup_minQ</f>
        <v>-8416.6781374006896</v>
      </c>
      <c r="AH4739" s="132"/>
      <c r="AI4739" s="145"/>
      <c r="AJ4739" s="138">
        <f>P_1_minW-(AJ4737^2*R_up)+dpup_minQ</f>
        <v>-13631.130652018812</v>
      </c>
      <c r="AK4739" s="132"/>
      <c r="AL4739" s="145"/>
      <c r="AM4739" s="138">
        <f>P_1_minW-(AM4737^2*R_up)+dpup_minQ</f>
        <v>-18779.686109699694</v>
      </c>
      <c r="AN4739" s="132"/>
      <c r="AO4739" s="145"/>
      <c r="AP4739" s="138">
        <f>P_1_minW-(AP4737^2*R_up)+dpup_minQ</f>
        <v>-23399.972662068129</v>
      </c>
      <c r="AQ4739" s="132"/>
      <c r="AR4739" s="145"/>
      <c r="AS4739" s="138">
        <f>P_1_minW-(AS4737^2*R_up)+dpup_minQ</f>
        <v>-29150.916610395037</v>
      </c>
      <c r="AT4739" s="132"/>
      <c r="AU4739" s="145"/>
    </row>
    <row r="4740" spans="13:47" x14ac:dyDescent="0.25">
      <c r="M4740" s="20"/>
      <c r="N4740" s="20"/>
      <c r="O4740" s="7" t="s">
        <v>189</v>
      </c>
      <c r="P4740" s="1"/>
      <c r="Q4740" s="7"/>
      <c r="R4740" s="181">
        <f>P_2_minW+(R4737^2*R_dn)-dpdn_minQ</f>
        <v>50</v>
      </c>
      <c r="S4740" s="132"/>
      <c r="T4740" s="146"/>
      <c r="U4740" s="138">
        <f>P_2_minW+(U4737^2*R_dn)-dpdn_minQ</f>
        <v>50</v>
      </c>
      <c r="V4740" s="132"/>
      <c r="W4740" s="146"/>
      <c r="X4740" s="138">
        <f>P_2_minW+(X4737^2*R_dn)-dpdn_minQ</f>
        <v>50</v>
      </c>
      <c r="Y4740" s="132"/>
      <c r="Z4740" s="146"/>
      <c r="AA4740" s="138">
        <f>P_2_minW+(AA4737^2*R_dn)-dpdn_minQ</f>
        <v>50</v>
      </c>
      <c r="AB4740" s="132"/>
      <c r="AC4740" s="146"/>
      <c r="AD4740" s="138">
        <f>P_2_minW+(AD4737^2*R_dn)-dpdn_minQ</f>
        <v>50</v>
      </c>
      <c r="AE4740" s="132"/>
      <c r="AF4740" s="146"/>
      <c r="AG4740" s="138">
        <f>P_2_minW+(AG4737^2*R_dn)-dpdn_minQ</f>
        <v>50</v>
      </c>
      <c r="AH4740" s="132"/>
      <c r="AI4740" s="146"/>
      <c r="AJ4740" s="138">
        <f>P_2_minW+(AJ4737^2*R_dn)-dpdn_minQ</f>
        <v>50</v>
      </c>
      <c r="AK4740" s="132"/>
      <c r="AL4740" s="146"/>
      <c r="AM4740" s="138">
        <f>P_2_minW+(AM4737^2*R_dn)-dpdn_minQ</f>
        <v>50</v>
      </c>
      <c r="AN4740" s="132"/>
      <c r="AO4740" s="146"/>
      <c r="AP4740" s="138">
        <f>P_2_minW+(AP4737^2*R_dn)-dpdn_minQ</f>
        <v>50</v>
      </c>
      <c r="AQ4740" s="132"/>
      <c r="AR4740" s="146"/>
      <c r="AS4740" s="138">
        <f>P_2_minW+(AS4737^2*R_dn)-dpdn_minQ</f>
        <v>50</v>
      </c>
      <c r="AT4740" s="132"/>
      <c r="AU4740" s="146"/>
    </row>
    <row r="4741" spans="13:47" x14ac:dyDescent="0.25">
      <c r="M4741" s="20"/>
      <c r="N4741" s="20"/>
      <c r="O4741" s="7" t="s">
        <v>234</v>
      </c>
      <c r="P4741" s="1"/>
      <c r="Q4741" s="7"/>
      <c r="R4741" s="179">
        <f>'Valve Sizing'!G$8*R4739/P_1_maxW</f>
        <v>0.33318807122103344</v>
      </c>
      <c r="S4741" s="132"/>
      <c r="T4741" s="146"/>
      <c r="U4741" s="143">
        <f>'Valve Sizing'!$G$8*U4739/P_1_maxW</f>
        <v>0.15213472703748038</v>
      </c>
      <c r="V4741" s="132"/>
      <c r="W4741" s="146"/>
      <c r="X4741" s="143">
        <f>'Valve Sizing'!$G$8*X4739/P_1_maxW</f>
        <v>-1.5504186935627593</v>
      </c>
      <c r="Y4741" s="132"/>
      <c r="Z4741" s="146"/>
      <c r="AA4741" s="143">
        <f>'Valve Sizing'!$G$8*AA4739/P_1_maxW</f>
        <v>-7.2365193740354572</v>
      </c>
      <c r="AB4741" s="132"/>
      <c r="AC4741" s="146"/>
      <c r="AD4741" s="143">
        <f>'Valve Sizing'!$G$8*AD4739/P_1_maxW</f>
        <v>-20.400108769642134</v>
      </c>
      <c r="AE4741" s="132"/>
      <c r="AF4741" s="146"/>
      <c r="AG4741" s="143">
        <f>'Valve Sizing'!$G$8*AG4739/P_1_maxW</f>
        <v>-40.600556837640063</v>
      </c>
      <c r="AH4741" s="132"/>
      <c r="AI4741" s="146"/>
      <c r="AJ4741" s="143">
        <f>'Valve Sizing'!$G$8*AJ4739/P_1_maxW</f>
        <v>-65.754147392109118</v>
      </c>
      <c r="AK4741" s="132"/>
      <c r="AL4741" s="146"/>
      <c r="AM4741" s="143">
        <f>'Valve Sizing'!$G$8*AM4739/P_1_maxW</f>
        <v>-90.589862276160801</v>
      </c>
      <c r="AN4741" s="132"/>
      <c r="AO4741" s="146"/>
      <c r="AP4741" s="143">
        <f>'Valve Sizing'!$G$8*AP4739/P_1_maxW</f>
        <v>-112.87730201346679</v>
      </c>
      <c r="AQ4741" s="132"/>
      <c r="AR4741" s="146"/>
      <c r="AS4741" s="143">
        <f>'Valve Sizing'!$G$8*AS4739/P_1_maxW</f>
        <v>-140.61883172773452</v>
      </c>
      <c r="AT4741" s="132"/>
      <c r="AU4741" s="146"/>
    </row>
    <row r="4742" spans="13:47" x14ac:dyDescent="0.25">
      <c r="M4742" s="20"/>
      <c r="N4742" s="20"/>
      <c r="O4742" s="7" t="s">
        <v>190</v>
      </c>
      <c r="P4742" s="1"/>
      <c r="Q4742" s="7"/>
      <c r="R4742" s="181">
        <f>R4739-R4740</f>
        <v>19.071386530564155</v>
      </c>
      <c r="S4742" s="132"/>
      <c r="T4742" s="146"/>
      <c r="U4742" s="138">
        <f>U4739-U4740</f>
        <v>-18.46178646967023</v>
      </c>
      <c r="V4742" s="132"/>
      <c r="W4742" s="146"/>
      <c r="X4742" s="138">
        <f>X4739-X4740</f>
        <v>-371.40877215332102</v>
      </c>
      <c r="Y4742" s="132"/>
      <c r="Z4742" s="146"/>
      <c r="AA4742" s="138">
        <f>AA4739-AA4740</f>
        <v>-1550.1630310117944</v>
      </c>
      <c r="AB4742" s="132"/>
      <c r="AC4742" s="146"/>
      <c r="AD4742" s="138">
        <f>AD4739-AD4740</f>
        <v>-4279.0343496683745</v>
      </c>
      <c r="AE4742" s="132"/>
      <c r="AF4742" s="146"/>
      <c r="AG4742" s="138">
        <f>AG4739-AG4740</f>
        <v>-8466.6781374006896</v>
      </c>
      <c r="AH4742" s="132"/>
      <c r="AI4742" s="146"/>
      <c r="AJ4742" s="138">
        <f>AJ4739-AJ4740</f>
        <v>-13681.130652018812</v>
      </c>
      <c r="AK4742" s="132"/>
      <c r="AL4742" s="146"/>
      <c r="AM4742" s="138">
        <f>AM4739-AM4740</f>
        <v>-18829.686109699694</v>
      </c>
      <c r="AN4742" s="132"/>
      <c r="AO4742" s="146"/>
      <c r="AP4742" s="138">
        <f>AP4739-AP4740</f>
        <v>-23449.972662068129</v>
      </c>
      <c r="AQ4742" s="132"/>
      <c r="AR4742" s="146"/>
      <c r="AS4742" s="138">
        <f>AS4739-AS4740</f>
        <v>-29200.916610395037</v>
      </c>
      <c r="AT4742" s="132"/>
      <c r="AU4742" s="146"/>
    </row>
    <row r="4743" spans="13:47" ht="14.5" x14ac:dyDescent="0.35">
      <c r="M4743" s="27"/>
      <c r="N4743" s="27"/>
      <c r="O4743" s="2" t="s">
        <v>191</v>
      </c>
      <c r="P4743" s="10"/>
      <c r="Q4743" s="2"/>
      <c r="R4743" s="181">
        <f>R4742/R4739</f>
        <v>0.27611124502510237</v>
      </c>
      <c r="S4743" s="132"/>
      <c r="T4743" s="146"/>
      <c r="U4743" s="138">
        <f>U4742/U4739</f>
        <v>-0.58537832055439154</v>
      </c>
      <c r="V4743" s="132"/>
      <c r="W4743" s="146"/>
      <c r="X4743" s="138">
        <f>X4742/X4739</f>
        <v>1.1555651380172929</v>
      </c>
      <c r="Y4743" s="132"/>
      <c r="Z4743" s="146"/>
      <c r="AA4743" s="138">
        <f>AA4742/AA4739</f>
        <v>1.033329710815682</v>
      </c>
      <c r="AB4743" s="132"/>
      <c r="AC4743" s="146"/>
      <c r="AD4743" s="138">
        <f>AD4742/AD4739</f>
        <v>1.0118230300030362</v>
      </c>
      <c r="AE4743" s="132"/>
      <c r="AF4743" s="146"/>
      <c r="AG4743" s="138">
        <f>AG4742/AG4739</f>
        <v>1.005940585963222</v>
      </c>
      <c r="AH4743" s="132"/>
      <c r="AI4743" s="146"/>
      <c r="AJ4743" s="138">
        <f>AJ4742/AJ4739</f>
        <v>1.0036680742981945</v>
      </c>
      <c r="AK4743" s="132"/>
      <c r="AL4743" s="146"/>
      <c r="AM4743" s="138">
        <f>AM4742/AM4739</f>
        <v>1.0026624513161684</v>
      </c>
      <c r="AN4743" s="132"/>
      <c r="AO4743" s="146"/>
      <c r="AP4743" s="138">
        <f>AP4742/AP4739</f>
        <v>1.0021367546330964</v>
      </c>
      <c r="AQ4743" s="132"/>
      <c r="AR4743" s="146"/>
      <c r="AS4743" s="138">
        <f>AS4742/AS4739</f>
        <v>1.0017152119320383</v>
      </c>
      <c r="AT4743" s="132"/>
      <c r="AU4743" s="146"/>
    </row>
    <row r="4744" spans="13:47" x14ac:dyDescent="0.25">
      <c r="M4744" s="27"/>
      <c r="N4744" s="27"/>
      <c r="O4744" s="2" t="s">
        <v>26</v>
      </c>
      <c r="P4744" s="7">
        <v>12</v>
      </c>
      <c r="Q4744" s="2"/>
      <c r="R4744" s="181">
        <f>1-R4743/(3*F_GAMMA*R$29)</f>
        <v>0.85619809959664572</v>
      </c>
      <c r="S4744" s="133"/>
      <c r="T4744" s="146"/>
      <c r="U4744" s="138">
        <f>1-U4743/(3*F_GAMMA*U$29)</f>
        <v>1.3048046121056252</v>
      </c>
      <c r="V4744" s="133"/>
      <c r="W4744" s="146"/>
      <c r="X4744" s="138">
        <f>1-X4743/(3*F_GAMMA*X$29)</f>
        <v>0.38927449921292101</v>
      </c>
      <c r="Y4744" s="133"/>
      <c r="Z4744" s="146"/>
      <c r="AA4744" s="138">
        <f>1-AA4743/(3*F_GAMMA*AA$29)</f>
        <v>0.44638880133947045</v>
      </c>
      <c r="AB4744" s="133"/>
      <c r="AC4744" s="146"/>
      <c r="AD4744" s="138">
        <f>1-AD4743/(3*F_GAMMA*AD$29)</f>
        <v>0.44304818081258746</v>
      </c>
      <c r="AE4744" s="133"/>
      <c r="AF4744" s="146"/>
      <c r="AG4744" s="138">
        <f>1-AG4743/(3*F_GAMMA*AG$29)</f>
        <v>0.41470142315613878</v>
      </c>
      <c r="AH4744" s="133"/>
      <c r="AI4744" s="146"/>
      <c r="AJ4744" s="138">
        <f>1-AJ4743/(3*F_GAMMA*AJ$29)</f>
        <v>0.37572138234799202</v>
      </c>
      <c r="AK4744" s="133"/>
      <c r="AL4744" s="146"/>
      <c r="AM4744" s="138">
        <f>1-AM4743/(3*F_GAMMA*AM$29)</f>
        <v>0.31859554447994332</v>
      </c>
      <c r="AN4744" s="133"/>
      <c r="AO4744" s="146"/>
      <c r="AP4744" s="138">
        <f>1-AP4743/(3*F_GAMMA*AP$29)</f>
        <v>0.43718817418402456</v>
      </c>
      <c r="AQ4744" s="133"/>
      <c r="AR4744" s="146"/>
      <c r="AS4744" s="138">
        <f>1-AS4743/(3*F_GAMMA*AS$29)</f>
        <v>0.14596214071473634</v>
      </c>
      <c r="AT4744" s="133"/>
      <c r="AU4744" s="146"/>
    </row>
    <row r="4745" spans="13:47" x14ac:dyDescent="0.25">
      <c r="M4745" s="27"/>
      <c r="N4745" s="27"/>
      <c r="O4745" s="2" t="s">
        <v>71</v>
      </c>
      <c r="P4745" s="85">
        <v>5</v>
      </c>
      <c r="Q4745" s="2"/>
      <c r="R4745" s="179">
        <f>R4737/((N_6*R$27*R4744)*SQRT(R4743*R4739*R4741))</f>
        <v>65.013093637680143</v>
      </c>
      <c r="S4745" s="133"/>
      <c r="T4745" s="146"/>
      <c r="U4745" s="143" t="e">
        <f>U4737/((N_6*U$27*U4744)*SQRT(U4743*U4739*U4741))</f>
        <v>#NUM!</v>
      </c>
      <c r="V4745" s="133"/>
      <c r="W4745" s="146"/>
      <c r="X4745" s="143">
        <f>X4737/((N_6*X$27*X4744)*SQRT(X4743*X4739*X4741))</f>
        <v>55.174298033529773</v>
      </c>
      <c r="Y4745" s="133"/>
      <c r="Z4745" s="146"/>
      <c r="AA4745" s="143">
        <f>AA4737/((N_6*AA$27*AA4744)*SQRT(AA4743*AA4739*AA4741))</f>
        <v>21.354978083308627</v>
      </c>
      <c r="AB4745" s="133"/>
      <c r="AC4745" s="146"/>
      <c r="AD4745" s="143">
        <f>AD4737/((N_6*AD$27*AD4744)*SQRT(AD4743*AD4739*AD4741))</f>
        <v>12.836282218562481</v>
      </c>
      <c r="AE4745" s="133"/>
      <c r="AF4745" s="146"/>
      <c r="AG4745" s="143">
        <f>AG4737/((N_6*AG$27*AG4744)*SQRT(AG4743*AG4739*AG4741))</f>
        <v>9.9019043562098936</v>
      </c>
      <c r="AH4745" s="133"/>
      <c r="AI4745" s="146"/>
      <c r="AJ4745" s="143">
        <f>AJ4737/((N_6*AJ$27*AJ4744)*SQRT(AJ4743*AJ4739*AJ4741))</f>
        <v>8.8728029658376713</v>
      </c>
      <c r="AK4745" s="133"/>
      <c r="AL4745" s="146"/>
      <c r="AM4745" s="143">
        <f>AM4737/((N_6*AM$27*AM4744)*SQRT(AM4743*AM4739*AM4741))</f>
        <v>9.4574598445249336</v>
      </c>
      <c r="AN4745" s="133"/>
      <c r="AO4745" s="146"/>
      <c r="AP4745" s="143">
        <f>AP4737/((N_6*AP$27*AP4744)*SQRT(AP4743*AP4739*AP4741))</f>
        <v>7.0116768405204581</v>
      </c>
      <c r="AQ4745" s="133"/>
      <c r="AR4745" s="146"/>
      <c r="AS4745" s="143">
        <f>AS4737/((N_6*AS$27*AS4744)*SQRT(AS4743*AS4739*AS4741))</f>
        <v>24.71878382835299</v>
      </c>
      <c r="AT4745" s="133"/>
      <c r="AU4745" s="146"/>
    </row>
    <row r="4746" spans="13:47" x14ac:dyDescent="0.25">
      <c r="M4746" s="27"/>
      <c r="N4746" s="27"/>
      <c r="O4746" s="2" t="s">
        <v>73</v>
      </c>
      <c r="P4746" s="85">
        <v>5</v>
      </c>
      <c r="Q4746" s="2"/>
      <c r="R4746" s="179">
        <f>R4737/((N_6*R$27*0.667)*SQRT(R4747*R4739*R4741))</f>
        <v>54.814088681858102</v>
      </c>
      <c r="S4746" s="133"/>
      <c r="T4746" s="147"/>
      <c r="U4746" s="143">
        <f>U4737/((N_6*U$27*0.667)*SQRT(U4747*U4739*U4741))</f>
        <v>177.88176451650452</v>
      </c>
      <c r="V4746" s="133"/>
      <c r="W4746" s="155"/>
      <c r="X4746" s="143">
        <f>X4737/((N_6*X$27*0.667)*SQRT(X4747*X4739*X4741))</f>
        <v>43.586359012380079</v>
      </c>
      <c r="Y4746" s="133"/>
      <c r="Z4746" s="155"/>
      <c r="AA4746" s="143">
        <f>AA4737/((N_6*AA$27*0.667)*SQRT(AA4747*AA4739*AA4741))</f>
        <v>18.418304455968411</v>
      </c>
      <c r="AB4746" s="133"/>
      <c r="AC4746" s="155"/>
      <c r="AD4746" s="143">
        <f>AD4737/((N_6*AD$27*0.667)*SQRT(AD4747*AD4739*AD4741))</f>
        <v>11.021325311160698</v>
      </c>
      <c r="AE4746" s="133"/>
      <c r="AF4746" s="155"/>
      <c r="AG4746" s="143">
        <f>AG4737/((N_6*AG$27*0.667)*SQRT(AG4747*AG4739*AG4741))</f>
        <v>8.1578887852236992</v>
      </c>
      <c r="AH4746" s="133"/>
      <c r="AI4746" s="155"/>
      <c r="AJ4746" s="143">
        <f>AJ4737/((N_6*AJ$27*0.667)*SQRT(AJ4747*AJ4739*AJ4741))</f>
        <v>6.8399160659304465</v>
      </c>
      <c r="AK4746" s="133"/>
      <c r="AL4746" s="155"/>
      <c r="AM4746" s="143">
        <f>AM4737/((N_6*AM$27*0.667)*SQRT(AM4747*AM4739*AM4741))</f>
        <v>6.4587947245546591</v>
      </c>
      <c r="AN4746" s="133"/>
      <c r="AO4746" s="155"/>
      <c r="AP4746" s="143">
        <f>AP4737/((N_6*AP$27*0.667)*SQRT(AP4747*AP4739*AP4741))</f>
        <v>5.9718198532051598</v>
      </c>
      <c r="AQ4746" s="133"/>
      <c r="AR4746" s="155"/>
      <c r="AS4746" s="143">
        <f>AS4737/((N_6*AS$27*0.667)*SQRT(AS4747*AS4739*AS4741))</f>
        <v>8.6584604756293722</v>
      </c>
      <c r="AT4746" s="133"/>
      <c r="AU4746" s="155"/>
    </row>
    <row r="4747" spans="13:47" ht="15.5" x14ac:dyDescent="0.4">
      <c r="M4747" s="27"/>
      <c r="N4747" s="27"/>
      <c r="O4747" s="2" t="s">
        <v>192</v>
      </c>
      <c r="P4747" s="85">
        <v>10</v>
      </c>
      <c r="Q4747" s="2"/>
      <c r="R4747" s="181">
        <f>F_GAMMA*R$29</f>
        <v>0.64002688015162901</v>
      </c>
      <c r="S4747" s="133"/>
      <c r="T4747" s="147"/>
      <c r="U4747" s="138">
        <f>F_GAMMA*U$29</f>
        <v>0.64016782916606918</v>
      </c>
      <c r="V4747" s="133"/>
      <c r="W4747" s="155"/>
      <c r="X4747" s="138">
        <f>F_GAMMA*X$29</f>
        <v>0.6307062319203669</v>
      </c>
      <c r="Y4747" s="133"/>
      <c r="Z4747" s="155"/>
      <c r="AA4747" s="138">
        <f>F_GAMMA*AA$29</f>
        <v>0.62217534213893466</v>
      </c>
      <c r="AB4747" s="133"/>
      <c r="AC4747" s="155"/>
      <c r="AD4747" s="138">
        <f>F_GAMMA*AD$29</f>
        <v>0.60557184969146072</v>
      </c>
      <c r="AE4747" s="133"/>
      <c r="AF4747" s="155"/>
      <c r="AG4747" s="138">
        <f>F_GAMMA*AG$29</f>
        <v>0.57289312142622573</v>
      </c>
      <c r="AH4747" s="133"/>
      <c r="AI4747" s="155"/>
      <c r="AJ4747" s="138">
        <f>F_GAMMA*AJ$29</f>
        <v>0.53590819116049981</v>
      </c>
      <c r="AK4747" s="133"/>
      <c r="AL4747" s="155"/>
      <c r="AM4747" s="138">
        <f>F_GAMMA*AM$29</f>
        <v>0.49048815926850342</v>
      </c>
      <c r="AN4747" s="133"/>
      <c r="AO4747" s="155"/>
      <c r="AP4747" s="138">
        <f>F_GAMMA*AP$29</f>
        <v>0.59352979016280105</v>
      </c>
      <c r="AQ4747" s="133"/>
      <c r="AR4747" s="155"/>
      <c r="AS4747" s="138">
        <f>F_GAMMA*AS$29</f>
        <v>0.39097221161068291</v>
      </c>
      <c r="AT4747" s="133"/>
      <c r="AU4747" s="155"/>
    </row>
    <row r="4748" spans="13:47" x14ac:dyDescent="0.25">
      <c r="M4748" s="27"/>
      <c r="N4748" s="27"/>
      <c r="O4748" s="2" t="s">
        <v>193</v>
      </c>
      <c r="P4748" s="134"/>
      <c r="Q4748" s="2"/>
      <c r="R4748" s="181">
        <f>IF(R4743&lt;R4747,R4745,R4746)</f>
        <v>65.013093637680143</v>
      </c>
      <c r="S4748" s="133"/>
      <c r="T4748" s="147"/>
      <c r="U4748" s="138" t="e">
        <f>IF(U4743&lt;U4747,U4745,U4746)</f>
        <v>#NUM!</v>
      </c>
      <c r="V4748" s="133"/>
      <c r="W4748" s="155"/>
      <c r="X4748" s="138">
        <f>IF(X4743&lt;X4747,X4745,X4746)</f>
        <v>43.586359012380079</v>
      </c>
      <c r="Y4748" s="133"/>
      <c r="Z4748" s="155"/>
      <c r="AA4748" s="138">
        <f>IF(AA4743&lt;AA4747,AA4745,AA4746)</f>
        <v>18.418304455968411</v>
      </c>
      <c r="AB4748" s="133"/>
      <c r="AC4748" s="155"/>
      <c r="AD4748" s="138">
        <f>IF(AD4743&lt;AD4747,AD4745,AD4746)</f>
        <v>11.021325311160698</v>
      </c>
      <c r="AE4748" s="133"/>
      <c r="AF4748" s="155"/>
      <c r="AG4748" s="138">
        <f>IF(AG4743&lt;AG4747,AG4745,AG4746)</f>
        <v>8.1578887852236992</v>
      </c>
      <c r="AH4748" s="133"/>
      <c r="AI4748" s="155"/>
      <c r="AJ4748" s="138">
        <f>IF(AJ4743&lt;AJ4747,AJ4745,AJ4746)</f>
        <v>6.8399160659304465</v>
      </c>
      <c r="AK4748" s="133"/>
      <c r="AL4748" s="155"/>
      <c r="AM4748" s="138">
        <f>IF(AM4743&lt;AM4747,AM4745,AM4746)</f>
        <v>6.4587947245546591</v>
      </c>
      <c r="AN4748" s="133"/>
      <c r="AO4748" s="155"/>
      <c r="AP4748" s="138">
        <f>IF(AP4743&lt;AP4747,AP4745,AP4746)</f>
        <v>5.9718198532051598</v>
      </c>
      <c r="AQ4748" s="133"/>
      <c r="AR4748" s="155"/>
      <c r="AS4748" s="138">
        <f>IF(AS4743&lt;AS4747,AS4745,AS4746)</f>
        <v>8.6584604756293722</v>
      </c>
      <c r="AT4748" s="133"/>
      <c r="AU4748" s="155"/>
    </row>
    <row r="4749" spans="13:47" ht="13" x14ac:dyDescent="0.3">
      <c r="M4749" s="28"/>
      <c r="N4749" s="28"/>
      <c r="O4749" s="9" t="s">
        <v>194</v>
      </c>
      <c r="P4749" s="1"/>
      <c r="Q4749" s="1"/>
      <c r="R4749" s="135"/>
      <c r="S4749" s="132">
        <f>IF(R4742&lt;=0,W_max,ABS(R$23-R4748))</f>
        <v>63.013093637680143</v>
      </c>
      <c r="T4749" s="151">
        <f>R4737</f>
        <v>8881.0271693130617</v>
      </c>
      <c r="U4749" s="135"/>
      <c r="V4749" s="132">
        <f>IF(U4742&lt;=0,W_max,ABS(U$23-U4748))</f>
        <v>7174</v>
      </c>
      <c r="W4749" s="151">
        <f>U4737</f>
        <v>13152.829703707705</v>
      </c>
      <c r="X4749" s="135"/>
      <c r="Y4749" s="132">
        <f>IF(X4742&lt;=0,W_max,ABS(X$23-X4748))</f>
        <v>7174</v>
      </c>
      <c r="Z4749" s="151">
        <f>X4737</f>
        <v>32528.513062351642</v>
      </c>
      <c r="AA4749" s="135"/>
      <c r="AB4749" s="132">
        <f>IF(AA4742&lt;=0,W_max,ABS(AA$23-AA4748))</f>
        <v>7174</v>
      </c>
      <c r="AC4749" s="151">
        <f>AA4737</f>
        <v>63357.240691698891</v>
      </c>
      <c r="AD4749" s="135"/>
      <c r="AE4749" s="132">
        <f>IF(AD4742&lt;=0,W_max,ABS(AD$23-AD4748))</f>
        <v>7174</v>
      </c>
      <c r="AF4749" s="151">
        <f>AD4737</f>
        <v>104199.33418579004</v>
      </c>
      <c r="AG4749" s="135"/>
      <c r="AH4749" s="132">
        <f>IF(AG4742&lt;=0,W_max,ABS(AG$23-AG4748))</f>
        <v>7174</v>
      </c>
      <c r="AI4749" s="151">
        <f>AG4737</f>
        <v>146147.58810318151</v>
      </c>
      <c r="AJ4749" s="135"/>
      <c r="AK4749" s="132">
        <f>IF(AJ4742&lt;=0,W_max,ABS(AJ$23-AJ4748))</f>
        <v>7174</v>
      </c>
      <c r="AL4749" s="151">
        <f>AJ4737</f>
        <v>185568.65641398026</v>
      </c>
      <c r="AM4749" s="135"/>
      <c r="AN4749" s="132">
        <f>IF(AM4742&lt;=0,W_max,ABS(AM$23-AM4748))</f>
        <v>7174</v>
      </c>
      <c r="AO4749" s="151">
        <f>AM4737</f>
        <v>217593.84367821642</v>
      </c>
      <c r="AP4749" s="135"/>
      <c r="AQ4749" s="132">
        <f>IF(AP4742&lt;=0,W_max,ABS(AP$23-AP4748))</f>
        <v>7174</v>
      </c>
      <c r="AR4749" s="151">
        <f>AP4737</f>
        <v>242762.56382102711</v>
      </c>
      <c r="AS4749" s="135"/>
      <c r="AT4749" s="132">
        <f>IF(AS4742&lt;=0,W_max,ABS(AS$23-AS4748))</f>
        <v>7174</v>
      </c>
      <c r="AU4749" s="151">
        <f>AS4737</f>
        <v>270842.50821043883</v>
      </c>
    </row>
    <row r="4750" spans="13:47" ht="13" x14ac:dyDescent="0.25">
      <c r="M4750" s="12"/>
      <c r="N4750" s="12"/>
      <c r="O4750" s="12"/>
      <c r="P4750" s="12"/>
      <c r="Q4750" s="12"/>
      <c r="R4750" s="182"/>
      <c r="S4750" s="22"/>
      <c r="T4750" s="152"/>
      <c r="U4750" s="157"/>
      <c r="V4750" s="1"/>
      <c r="W4750" s="147"/>
      <c r="X4750" s="157"/>
      <c r="Y4750" s="1"/>
      <c r="Z4750" s="147"/>
      <c r="AA4750" s="157"/>
      <c r="AB4750" s="1"/>
      <c r="AC4750" s="147"/>
      <c r="AD4750" s="157"/>
      <c r="AE4750" s="1"/>
      <c r="AF4750" s="147"/>
      <c r="AG4750" s="157"/>
      <c r="AH4750" s="1"/>
      <c r="AI4750" s="147"/>
      <c r="AJ4750" s="157"/>
      <c r="AK4750" s="1"/>
      <c r="AL4750" s="147"/>
      <c r="AM4750" s="157"/>
      <c r="AN4750" s="1"/>
      <c r="AO4750" s="147"/>
      <c r="AP4750" s="157"/>
      <c r="AQ4750" s="1"/>
      <c r="AR4750" s="147"/>
      <c r="AS4750" s="157"/>
      <c r="AT4750" s="1"/>
      <c r="AU4750" s="147"/>
    </row>
    <row r="4751" spans="13:47" ht="14" x14ac:dyDescent="0.3">
      <c r="M4751" s="23"/>
      <c r="N4751" s="23"/>
      <c r="O4751" s="23" t="s">
        <v>238</v>
      </c>
      <c r="P4751" s="20"/>
      <c r="Q4751" s="20"/>
      <c r="R4751" s="18">
        <f>R4737*1.02</f>
        <v>9058.6477126993232</v>
      </c>
      <c r="S4751" s="128" t="s">
        <v>185</v>
      </c>
      <c r="T4751" s="153" t="s">
        <v>186</v>
      </c>
      <c r="U4751" s="143">
        <f>U4737*1.01</f>
        <v>13284.358000744782</v>
      </c>
      <c r="V4751" s="128" t="s">
        <v>185</v>
      </c>
      <c r="W4751" s="153" t="s">
        <v>186</v>
      </c>
      <c r="X4751" s="143">
        <f>X4737*1.01</f>
        <v>32853.798192975155</v>
      </c>
      <c r="Y4751" s="128" t="s">
        <v>185</v>
      </c>
      <c r="Z4751" s="153" t="s">
        <v>186</v>
      </c>
      <c r="AA4751" s="143">
        <f>AA4737*1.01</f>
        <v>63990.813098615879</v>
      </c>
      <c r="AB4751" s="128" t="s">
        <v>185</v>
      </c>
      <c r="AC4751" s="153" t="s">
        <v>186</v>
      </c>
      <c r="AD4751" s="143">
        <f>AD4737*1.01</f>
        <v>105241.32752764794</v>
      </c>
      <c r="AE4751" s="128" t="s">
        <v>185</v>
      </c>
      <c r="AF4751" s="153" t="s">
        <v>186</v>
      </c>
      <c r="AG4751" s="143">
        <f>AG4737*1.01</f>
        <v>147609.06398421334</v>
      </c>
      <c r="AH4751" s="128" t="s">
        <v>185</v>
      </c>
      <c r="AI4751" s="153" t="s">
        <v>186</v>
      </c>
      <c r="AJ4751" s="143">
        <f>AJ4737*1.01</f>
        <v>187424.34297812008</v>
      </c>
      <c r="AK4751" s="128" t="s">
        <v>185</v>
      </c>
      <c r="AL4751" s="153" t="s">
        <v>186</v>
      </c>
      <c r="AM4751" s="143">
        <f>AM4737*1.01</f>
        <v>219769.78211499858</v>
      </c>
      <c r="AN4751" s="128" t="s">
        <v>185</v>
      </c>
      <c r="AO4751" s="153" t="s">
        <v>186</v>
      </c>
      <c r="AP4751" s="143">
        <f>AP4737*1.01</f>
        <v>245190.18945923739</v>
      </c>
      <c r="AQ4751" s="128" t="s">
        <v>185</v>
      </c>
      <c r="AR4751" s="153" t="s">
        <v>186</v>
      </c>
      <c r="AS4751" s="143">
        <f>AS4737*1.01</f>
        <v>273550.93329254322</v>
      </c>
      <c r="AT4751" s="128" t="s">
        <v>185</v>
      </c>
      <c r="AU4751" s="153" t="s">
        <v>186</v>
      </c>
    </row>
    <row r="4752" spans="13:47" ht="14" x14ac:dyDescent="0.3">
      <c r="M4752" s="12"/>
      <c r="N4752" s="12"/>
      <c r="O4752" s="20"/>
      <c r="P4752" s="20"/>
      <c r="Q4752" s="23"/>
      <c r="R4752" s="139"/>
      <c r="S4752" s="130" t="s">
        <v>228</v>
      </c>
      <c r="T4752" s="154" t="s">
        <v>187</v>
      </c>
      <c r="U4752" s="144"/>
      <c r="V4752" s="130" t="s">
        <v>228</v>
      </c>
      <c r="W4752" s="154" t="s">
        <v>187</v>
      </c>
      <c r="X4752" s="144"/>
      <c r="Y4752" s="130" t="s">
        <v>228</v>
      </c>
      <c r="Z4752" s="154" t="s">
        <v>187</v>
      </c>
      <c r="AA4752" s="144"/>
      <c r="AB4752" s="130" t="s">
        <v>228</v>
      </c>
      <c r="AC4752" s="154" t="s">
        <v>187</v>
      </c>
      <c r="AD4752" s="144"/>
      <c r="AE4752" s="130" t="s">
        <v>228</v>
      </c>
      <c r="AF4752" s="154" t="s">
        <v>187</v>
      </c>
      <c r="AG4752" s="144"/>
      <c r="AH4752" s="130" t="s">
        <v>228</v>
      </c>
      <c r="AI4752" s="154" t="s">
        <v>187</v>
      </c>
      <c r="AJ4752" s="144"/>
      <c r="AK4752" s="130" t="s">
        <v>228</v>
      </c>
      <c r="AL4752" s="154" t="s">
        <v>187</v>
      </c>
      <c r="AM4752" s="144"/>
      <c r="AN4752" s="130" t="s">
        <v>228</v>
      </c>
      <c r="AO4752" s="154" t="s">
        <v>187</v>
      </c>
      <c r="AP4752" s="144"/>
      <c r="AQ4752" s="130" t="s">
        <v>228</v>
      </c>
      <c r="AR4752" s="154" t="s">
        <v>187</v>
      </c>
      <c r="AS4752" s="144"/>
      <c r="AT4752" s="130" t="s">
        <v>228</v>
      </c>
      <c r="AU4752" s="154" t="s">
        <v>187</v>
      </c>
    </row>
    <row r="4753" spans="13:47" x14ac:dyDescent="0.25">
      <c r="M4753" s="20"/>
      <c r="N4753" s="20"/>
      <c r="O4753" s="7" t="s">
        <v>188</v>
      </c>
      <c r="P4753" s="7"/>
      <c r="Q4753" s="7"/>
      <c r="R4753" s="181">
        <f>P_1_minW-(R4751^2*R_up)+dpup_minQ</f>
        <v>67.800749962235187</v>
      </c>
      <c r="S4753" s="132"/>
      <c r="T4753" s="145"/>
      <c r="U4753" s="138">
        <f>P_1_minW-(U4751^2*R_up)+dpup_minQ</f>
        <v>30.151623608881195</v>
      </c>
      <c r="V4753" s="132"/>
      <c r="W4753" s="145"/>
      <c r="X4753" s="138">
        <f>P_1_minW-(X4751^2*R_up)+dpup_minQ</f>
        <v>-329.88959648701098</v>
      </c>
      <c r="Y4753" s="132"/>
      <c r="Z4753" s="145"/>
      <c r="AA4753" s="138">
        <f>P_1_minW-(AA4751^2*R_up)+dpup_minQ</f>
        <v>-1532.3368159485397</v>
      </c>
      <c r="AB4753" s="132"/>
      <c r="AC4753" s="145"/>
      <c r="AD4753" s="138">
        <f>P_1_minW-(AD4751^2*R_up)+dpup_minQ</f>
        <v>-4316.0584481101168</v>
      </c>
      <c r="AE4753" s="132"/>
      <c r="AF4753" s="145"/>
      <c r="AG4753" s="138">
        <f>P_1_minW-(AG4751^2*R_up)+dpup_minQ</f>
        <v>-8587.8738759758526</v>
      </c>
      <c r="AH4753" s="132"/>
      <c r="AI4753" s="145"/>
      <c r="AJ4753" s="138">
        <f>P_1_minW-(AJ4751^2*R_up)+dpup_minQ</f>
        <v>-13907.136886137801</v>
      </c>
      <c r="AK4753" s="132"/>
      <c r="AL4753" s="145"/>
      <c r="AM4753" s="138">
        <f>P_1_minW-(AM4751^2*R_up)+dpup_minQ</f>
        <v>-19159.178308518065</v>
      </c>
      <c r="AN4753" s="132"/>
      <c r="AO4753" s="145"/>
      <c r="AP4753" s="138">
        <f>P_1_minW-(AP4751^2*R_up)+dpup_minQ</f>
        <v>-23872.332620589106</v>
      </c>
      <c r="AQ4753" s="132"/>
      <c r="AR4753" s="145"/>
      <c r="AS4753" s="138">
        <f>P_1_minW-(AS4751^2*R_up)+dpup_minQ</f>
        <v>-29738.870542277393</v>
      </c>
      <c r="AT4753" s="132"/>
      <c r="AU4753" s="145"/>
    </row>
    <row r="4754" spans="13:47" x14ac:dyDescent="0.25">
      <c r="M4754" s="20"/>
      <c r="N4754" s="20"/>
      <c r="O4754" s="7" t="s">
        <v>189</v>
      </c>
      <c r="P4754" s="1"/>
      <c r="Q4754" s="7"/>
      <c r="R4754" s="181">
        <f>P_2_minW+(R4751^2*R_dn)-dpdn_minQ</f>
        <v>50</v>
      </c>
      <c r="S4754" s="132"/>
      <c r="T4754" s="146"/>
      <c r="U4754" s="138">
        <f>P_2_minW+(U4751^2*R_dn)-dpdn_minQ</f>
        <v>50</v>
      </c>
      <c r="V4754" s="132"/>
      <c r="W4754" s="146"/>
      <c r="X4754" s="138">
        <f>P_2_minW+(X4751^2*R_dn)-dpdn_minQ</f>
        <v>50</v>
      </c>
      <c r="Y4754" s="132"/>
      <c r="Z4754" s="146"/>
      <c r="AA4754" s="138">
        <f>P_2_minW+(AA4751^2*R_dn)-dpdn_minQ</f>
        <v>50</v>
      </c>
      <c r="AB4754" s="132"/>
      <c r="AC4754" s="146"/>
      <c r="AD4754" s="138">
        <f>P_2_minW+(AD4751^2*R_dn)-dpdn_minQ</f>
        <v>50</v>
      </c>
      <c r="AE4754" s="132"/>
      <c r="AF4754" s="146"/>
      <c r="AG4754" s="138">
        <f>P_2_minW+(AG4751^2*R_dn)-dpdn_minQ</f>
        <v>50</v>
      </c>
      <c r="AH4754" s="132"/>
      <c r="AI4754" s="146"/>
      <c r="AJ4754" s="138">
        <f>P_2_minW+(AJ4751^2*R_dn)-dpdn_minQ</f>
        <v>50</v>
      </c>
      <c r="AK4754" s="132"/>
      <c r="AL4754" s="146"/>
      <c r="AM4754" s="138">
        <f>P_2_minW+(AM4751^2*R_dn)-dpdn_minQ</f>
        <v>50</v>
      </c>
      <c r="AN4754" s="132"/>
      <c r="AO4754" s="146"/>
      <c r="AP4754" s="138">
        <f>P_2_minW+(AP4751^2*R_dn)-dpdn_minQ</f>
        <v>50</v>
      </c>
      <c r="AQ4754" s="132"/>
      <c r="AR4754" s="146"/>
      <c r="AS4754" s="138">
        <f>P_2_minW+(AS4751^2*R_dn)-dpdn_minQ</f>
        <v>50</v>
      </c>
      <c r="AT4754" s="132"/>
      <c r="AU4754" s="146"/>
    </row>
    <row r="4755" spans="13:47" x14ac:dyDescent="0.25">
      <c r="M4755" s="20"/>
      <c r="N4755" s="20"/>
      <c r="O4755" s="7" t="s">
        <v>234</v>
      </c>
      <c r="P4755" s="1"/>
      <c r="Q4755" s="7"/>
      <c r="R4755" s="179">
        <f>'Valve Sizing'!G$8*R4753/P_1_maxW</f>
        <v>0.32705874663831203</v>
      </c>
      <c r="S4755" s="132"/>
      <c r="T4755" s="146"/>
      <c r="U4755" s="143">
        <f>'Valve Sizing'!$G$8*U4753/P_1_maxW</f>
        <v>0.14544606412353206</v>
      </c>
      <c r="V4755" s="132"/>
      <c r="W4755" s="146"/>
      <c r="X4755" s="143">
        <f>'Valve Sizing'!$G$8*X4753/P_1_maxW</f>
        <v>-1.5913286802307725</v>
      </c>
      <c r="Y4755" s="132"/>
      <c r="Z4755" s="146"/>
      <c r="AA4755" s="143">
        <f>'Valve Sizing'!$G$8*AA4753/P_1_maxW</f>
        <v>-7.3917199843809716</v>
      </c>
      <c r="AB4755" s="132"/>
      <c r="AC4755" s="146"/>
      <c r="AD4755" s="143">
        <f>'Valve Sizing'!$G$8*AD4753/P_1_maxW</f>
        <v>-20.819897526839341</v>
      </c>
      <c r="AE4755" s="132"/>
      <c r="AF4755" s="146"/>
      <c r="AG4755" s="143">
        <f>'Valve Sizing'!$G$8*AG4753/P_1_maxW</f>
        <v>-41.426374601004035</v>
      </c>
      <c r="AH4755" s="132"/>
      <c r="AI4755" s="146"/>
      <c r="AJ4755" s="143">
        <f>'Valve Sizing'!$G$8*AJ4753/P_1_maxW</f>
        <v>-67.08555232561794</v>
      </c>
      <c r="AK4755" s="132"/>
      <c r="AL4755" s="146"/>
      <c r="AM4755" s="143">
        <f>'Valve Sizing'!$G$8*AM4753/P_1_maxW</f>
        <v>-92.42046507883903</v>
      </c>
      <c r="AN4755" s="132"/>
      <c r="AO4755" s="146"/>
      <c r="AP4755" s="143">
        <f>'Valve Sizing'!$G$8*AP4753/P_1_maxW</f>
        <v>-115.15588235486487</v>
      </c>
      <c r="AQ4755" s="132"/>
      <c r="AR4755" s="146"/>
      <c r="AS4755" s="143">
        <f>'Valve Sizing'!$G$8*AS4753/P_1_maxW</f>
        <v>-143.45501681638942</v>
      </c>
      <c r="AT4755" s="132"/>
      <c r="AU4755" s="146"/>
    </row>
    <row r="4756" spans="13:47" x14ac:dyDescent="0.25">
      <c r="M4756" s="20"/>
      <c r="N4756" s="20"/>
      <c r="O4756" s="7" t="s">
        <v>190</v>
      </c>
      <c r="P4756" s="1"/>
      <c r="Q4756" s="7"/>
      <c r="R4756" s="181">
        <f>R4753-R4754</f>
        <v>17.800749962235187</v>
      </c>
      <c r="S4756" s="132"/>
      <c r="T4756" s="146"/>
      <c r="U4756" s="138">
        <f>U4753-U4754</f>
        <v>-19.848376391118805</v>
      </c>
      <c r="V4756" s="132"/>
      <c r="W4756" s="146"/>
      <c r="X4756" s="138">
        <f>X4753-X4754</f>
        <v>-379.88959648701098</v>
      </c>
      <c r="Y4756" s="132"/>
      <c r="Z4756" s="146"/>
      <c r="AA4756" s="138">
        <f>AA4753-AA4754</f>
        <v>-1582.3368159485397</v>
      </c>
      <c r="AB4756" s="132"/>
      <c r="AC4756" s="146"/>
      <c r="AD4756" s="138">
        <f>AD4753-AD4754</f>
        <v>-4366.0584481101168</v>
      </c>
      <c r="AE4756" s="132"/>
      <c r="AF4756" s="146"/>
      <c r="AG4756" s="138">
        <f>AG4753-AG4754</f>
        <v>-8637.8738759758526</v>
      </c>
      <c r="AH4756" s="132"/>
      <c r="AI4756" s="146"/>
      <c r="AJ4756" s="138">
        <f>AJ4753-AJ4754</f>
        <v>-13957.136886137801</v>
      </c>
      <c r="AK4756" s="132"/>
      <c r="AL4756" s="146"/>
      <c r="AM4756" s="138">
        <f>AM4753-AM4754</f>
        <v>-19209.178308518065</v>
      </c>
      <c r="AN4756" s="132"/>
      <c r="AO4756" s="146"/>
      <c r="AP4756" s="138">
        <f>AP4753-AP4754</f>
        <v>-23922.332620589106</v>
      </c>
      <c r="AQ4756" s="132"/>
      <c r="AR4756" s="146"/>
      <c r="AS4756" s="138">
        <f>AS4753-AS4754</f>
        <v>-29788.870542277393</v>
      </c>
      <c r="AT4756" s="132"/>
      <c r="AU4756" s="146"/>
    </row>
    <row r="4757" spans="13:47" ht="14.5" x14ac:dyDescent="0.35">
      <c r="M4757" s="27"/>
      <c r="N4757" s="27"/>
      <c r="O4757" s="2" t="s">
        <v>191</v>
      </c>
      <c r="P4757" s="10"/>
      <c r="Q4757" s="2"/>
      <c r="R4757" s="181">
        <f>R4756/R4753</f>
        <v>0.26254503043329391</v>
      </c>
      <c r="S4757" s="132"/>
      <c r="T4757" s="146"/>
      <c r="U4757" s="138">
        <f>U4756/U4753</f>
        <v>-0.65828549230338773</v>
      </c>
      <c r="V4757" s="132"/>
      <c r="W4757" s="146"/>
      <c r="X4757" s="138">
        <f>X4756/X4753</f>
        <v>1.1515658587977591</v>
      </c>
      <c r="Y4757" s="132"/>
      <c r="Z4757" s="146"/>
      <c r="AA4757" s="138">
        <f>AA4756/AA4753</f>
        <v>1.0326299019116429</v>
      </c>
      <c r="AB4757" s="132"/>
      <c r="AC4757" s="146"/>
      <c r="AD4757" s="138">
        <f>AD4756/AD4753</f>
        <v>1.0115846438599305</v>
      </c>
      <c r="AE4757" s="132"/>
      <c r="AF4757" s="146"/>
      <c r="AG4757" s="138">
        <f>AG4756/AG4753</f>
        <v>1.0058221628219148</v>
      </c>
      <c r="AH4757" s="132"/>
      <c r="AI4757" s="146"/>
      <c r="AJ4757" s="138">
        <f>AJ4756/AJ4753</f>
        <v>1.0035952763253404</v>
      </c>
      <c r="AK4757" s="132"/>
      <c r="AL4757" s="146"/>
      <c r="AM4757" s="138">
        <f>AM4756/AM4753</f>
        <v>1.0026097152599582</v>
      </c>
      <c r="AN4757" s="132"/>
      <c r="AO4757" s="146"/>
      <c r="AP4757" s="138">
        <f>AP4756/AP4753</f>
        <v>1.0020944748380758</v>
      </c>
      <c r="AQ4757" s="132"/>
      <c r="AR4757" s="146"/>
      <c r="AS4757" s="138">
        <f>AS4756/AS4753</f>
        <v>1.0016813012427261</v>
      </c>
      <c r="AT4757" s="132"/>
      <c r="AU4757" s="146"/>
    </row>
    <row r="4758" spans="13:47" x14ac:dyDescent="0.25">
      <c r="M4758" s="27"/>
      <c r="N4758" s="27"/>
      <c r="O4758" s="2" t="s">
        <v>26</v>
      </c>
      <c r="P4758" s="7">
        <v>12</v>
      </c>
      <c r="Q4758" s="2"/>
      <c r="R4758" s="181">
        <f>1-R4757/(3*F_GAMMA*R$29)</f>
        <v>0.86326353961305802</v>
      </c>
      <c r="S4758" s="133"/>
      <c r="T4758" s="146"/>
      <c r="U4758" s="138">
        <f>1-U4757/(3*F_GAMMA*U$29)</f>
        <v>1.3427671423606315</v>
      </c>
      <c r="V4758" s="133"/>
      <c r="W4758" s="146"/>
      <c r="X4758" s="138">
        <f>1-X4757/(3*F_GAMMA*X$29)</f>
        <v>0.39138815055440046</v>
      </c>
      <c r="Y4758" s="133"/>
      <c r="Z4758" s="146"/>
      <c r="AA4758" s="138">
        <f>1-AA4757/(3*F_GAMMA*AA$29)</f>
        <v>0.44676372721467117</v>
      </c>
      <c r="AB4758" s="133"/>
      <c r="AC4758" s="146"/>
      <c r="AD4758" s="138">
        <f>1-AD4757/(3*F_GAMMA*AD$29)</f>
        <v>0.44317939901195125</v>
      </c>
      <c r="AE4758" s="133"/>
      <c r="AF4758" s="146"/>
      <c r="AG4758" s="138">
        <f>1-AG4757/(3*F_GAMMA*AG$29)</f>
        <v>0.41477032672463932</v>
      </c>
      <c r="AH4758" s="133"/>
      <c r="AI4758" s="146"/>
      <c r="AJ4758" s="138">
        <f>1-AJ4757/(3*F_GAMMA*AJ$29)</f>
        <v>0.37576666247498325</v>
      </c>
      <c r="AK4758" s="133"/>
      <c r="AL4758" s="146"/>
      <c r="AM4758" s="138">
        <f>1-AM4757/(3*F_GAMMA*AM$29)</f>
        <v>0.31863138364358301</v>
      </c>
      <c r="AN4758" s="133"/>
      <c r="AO4758" s="146"/>
      <c r="AP4758" s="138">
        <f>1-AP4757/(3*F_GAMMA*AP$29)</f>
        <v>0.43721191901577605</v>
      </c>
      <c r="AQ4758" s="133"/>
      <c r="AR4758" s="146"/>
      <c r="AS4758" s="138">
        <f>1-AS4757/(3*F_GAMMA*AS$29)</f>
        <v>0.1459910521380251</v>
      </c>
      <c r="AT4758" s="133"/>
      <c r="AU4758" s="146"/>
    </row>
    <row r="4759" spans="13:47" x14ac:dyDescent="0.25">
      <c r="M4759" s="27"/>
      <c r="N4759" s="27"/>
      <c r="O4759" s="2" t="s">
        <v>71</v>
      </c>
      <c r="P4759" s="85">
        <v>5</v>
      </c>
      <c r="Q4759" s="2"/>
      <c r="R4759" s="179">
        <f>R4751/((N_6*R$27*R4758)*SQRT(R4757*R4753*R4755))</f>
        <v>68.712490098943377</v>
      </c>
      <c r="S4759" s="133"/>
      <c r="T4759" s="146"/>
      <c r="U4759" s="143" t="e">
        <f>U4751/((N_6*U$27*U4758)*SQRT(U4757*U4753*U4755))</f>
        <v>#NUM!</v>
      </c>
      <c r="V4759" s="133"/>
      <c r="W4759" s="146"/>
      <c r="X4759" s="143">
        <f>X4751/((N_6*X$27*X4758)*SQRT(X4757*X4753*X4755))</f>
        <v>54.093913620431046</v>
      </c>
      <c r="Y4759" s="133"/>
      <c r="Z4759" s="146"/>
      <c r="AA4759" s="143">
        <f>AA4751/((N_6*AA$27*AA4758)*SQRT(AA4757*AA4753*AA4755))</f>
        <v>21.105090648304497</v>
      </c>
      <c r="AB4759" s="133"/>
      <c r="AC4759" s="146"/>
      <c r="AD4759" s="143">
        <f>AD4751/((N_6*AD$27*AD4758)*SQRT(AD4757*AD4753*AD4755))</f>
        <v>12.700975713662713</v>
      </c>
      <c r="AE4759" s="133"/>
      <c r="AF4759" s="146"/>
      <c r="AG4759" s="143">
        <f>AG4751/((N_6*AG$27*AG4758)*SQRT(AG4757*AG4753*AG4755))</f>
        <v>9.8005077123330988</v>
      </c>
      <c r="AH4759" s="133"/>
      <c r="AI4759" s="146"/>
      <c r="AJ4759" s="143">
        <f>AJ4751/((N_6*AJ$27*AJ4758)*SQRT(AJ4757*AJ4753*AJ4755))</f>
        <v>8.7829371921075889</v>
      </c>
      <c r="AK4759" s="133"/>
      <c r="AL4759" s="146"/>
      <c r="AM4759" s="143">
        <f>AM4751/((N_6*AM$27*AM4758)*SQRT(AM4757*AM4753*AM4755))</f>
        <v>9.3620272177420958</v>
      </c>
      <c r="AN4759" s="133"/>
      <c r="AO4759" s="146"/>
      <c r="AP4759" s="143">
        <f>AP4751/((N_6*AP$27*AP4758)*SQRT(AP4757*AP4753*AP4755))</f>
        <v>6.9414361489175178</v>
      </c>
      <c r="AQ4759" s="133"/>
      <c r="AR4759" s="146"/>
      <c r="AS4759" s="143">
        <f>AS4751/((N_6*AS$27*AS4758)*SQRT(AS4757*AS4753*AS4755))</f>
        <v>24.467948340911697</v>
      </c>
      <c r="AT4759" s="133"/>
      <c r="AU4759" s="146"/>
    </row>
    <row r="4760" spans="13:47" x14ac:dyDescent="0.25">
      <c r="M4760" s="27"/>
      <c r="N4760" s="27"/>
      <c r="O4760" s="2" t="s">
        <v>73</v>
      </c>
      <c r="P4760" s="85">
        <v>5</v>
      </c>
      <c r="Q4760" s="2"/>
      <c r="R4760" s="179">
        <f>R4751/((N_6*R$27*0.667)*SQRT(R4761*R4753*R4755))</f>
        <v>56.95817245310063</v>
      </c>
      <c r="S4760" s="133"/>
      <c r="T4760" s="155"/>
      <c r="U4760" s="143">
        <f>U4751/((N_6*U$27*0.667)*SQRT(U4761*U4753*U4755))</f>
        <v>187.92267629425805</v>
      </c>
      <c r="V4760" s="133"/>
      <c r="W4760" s="155"/>
      <c r="X4760" s="143">
        <f>X4751/((N_6*X$27*0.667)*SQRT(X4761*X4753*X4755))</f>
        <v>42.890496289682339</v>
      </c>
      <c r="Y4760" s="133"/>
      <c r="Z4760" s="155"/>
      <c r="AA4760" s="143">
        <f>AA4751/((N_6*AA$27*0.667)*SQRT(AA4761*AA4753*AA4755))</f>
        <v>18.211899461461766</v>
      </c>
      <c r="AB4760" s="133"/>
      <c r="AC4760" s="155"/>
      <c r="AD4760" s="143">
        <f>AD4751/((N_6*AD$27*0.667)*SQRT(AD4761*AD4753*AD4755))</f>
        <v>10.907094868833136</v>
      </c>
      <c r="AE4760" s="133"/>
      <c r="AF4760" s="155"/>
      <c r="AG4760" s="143">
        <f>AG4751/((N_6*AG$27*0.667)*SQRT(AG4761*AG4753*AG4755))</f>
        <v>8.0752172690609925</v>
      </c>
      <c r="AH4760" s="133"/>
      <c r="AI4760" s="155"/>
      <c r="AJ4760" s="143">
        <f>AJ4751/((N_6*AJ$27*0.667)*SQRT(AJ4761*AJ4753*AJ4755))</f>
        <v>6.7712102217703558</v>
      </c>
      <c r="AK4760" s="133"/>
      <c r="AL4760" s="155"/>
      <c r="AM4760" s="143">
        <f>AM4751/((N_6*AM$27*0.667)*SQRT(AM4761*AM4753*AM4755))</f>
        <v>6.3941718677672137</v>
      </c>
      <c r="AN4760" s="133"/>
      <c r="AO4760" s="155"/>
      <c r="AP4760" s="143">
        <f>AP4751/((N_6*AP$27*0.667)*SQRT(AP4761*AP4753*AP4755))</f>
        <v>5.9121924850840779</v>
      </c>
      <c r="AQ4760" s="133"/>
      <c r="AR4760" s="155"/>
      <c r="AS4760" s="143">
        <f>AS4751/((N_6*AS$27*0.667)*SQRT(AS4761*AS4753*AS4755))</f>
        <v>8.5721506985297147</v>
      </c>
      <c r="AT4760" s="133"/>
      <c r="AU4760" s="155"/>
    </row>
    <row r="4761" spans="13:47" ht="15.5" x14ac:dyDescent="0.4">
      <c r="M4761" s="27"/>
      <c r="N4761" s="27"/>
      <c r="O4761" s="2" t="s">
        <v>192</v>
      </c>
      <c r="P4761" s="85">
        <v>10</v>
      </c>
      <c r="Q4761" s="2"/>
      <c r="R4761" s="181">
        <f>F_GAMMA*R$29</f>
        <v>0.64002688015162901</v>
      </c>
      <c r="S4761" s="133"/>
      <c r="T4761" s="155"/>
      <c r="U4761" s="138">
        <f>F_GAMMA*U$29</f>
        <v>0.64016782916606918</v>
      </c>
      <c r="V4761" s="133"/>
      <c r="W4761" s="155"/>
      <c r="X4761" s="138">
        <f>F_GAMMA*X$29</f>
        <v>0.6307062319203669</v>
      </c>
      <c r="Y4761" s="133"/>
      <c r="Z4761" s="155"/>
      <c r="AA4761" s="138">
        <f>F_GAMMA*AA$29</f>
        <v>0.62217534213893466</v>
      </c>
      <c r="AB4761" s="133"/>
      <c r="AC4761" s="155"/>
      <c r="AD4761" s="138">
        <f>F_GAMMA*AD$29</f>
        <v>0.60557184969146072</v>
      </c>
      <c r="AE4761" s="133"/>
      <c r="AF4761" s="155"/>
      <c r="AG4761" s="138">
        <f>F_GAMMA*AG$29</f>
        <v>0.57289312142622573</v>
      </c>
      <c r="AH4761" s="133"/>
      <c r="AI4761" s="155"/>
      <c r="AJ4761" s="138">
        <f>F_GAMMA*AJ$29</f>
        <v>0.53590819116049981</v>
      </c>
      <c r="AK4761" s="133"/>
      <c r="AL4761" s="155"/>
      <c r="AM4761" s="138">
        <f>F_GAMMA*AM$29</f>
        <v>0.49048815926850342</v>
      </c>
      <c r="AN4761" s="133"/>
      <c r="AO4761" s="155"/>
      <c r="AP4761" s="138">
        <f>F_GAMMA*AP$29</f>
        <v>0.59352979016280105</v>
      </c>
      <c r="AQ4761" s="133"/>
      <c r="AR4761" s="155"/>
      <c r="AS4761" s="138">
        <f>F_GAMMA*AS$29</f>
        <v>0.39097221161068291</v>
      </c>
      <c r="AT4761" s="133"/>
      <c r="AU4761" s="155"/>
    </row>
    <row r="4762" spans="13:47" x14ac:dyDescent="0.25">
      <c r="M4762" s="27"/>
      <c r="N4762" s="27"/>
      <c r="O4762" s="2" t="s">
        <v>193</v>
      </c>
      <c r="P4762" s="134"/>
      <c r="Q4762" s="2"/>
      <c r="R4762" s="181">
        <f>IF(R4757&lt;R4761,R4759,R4760)</f>
        <v>68.712490098943377</v>
      </c>
      <c r="S4762" s="133"/>
      <c r="T4762" s="155"/>
      <c r="U4762" s="138" t="e">
        <f>IF(U4757&lt;U4761,U4759,U4760)</f>
        <v>#NUM!</v>
      </c>
      <c r="V4762" s="133"/>
      <c r="W4762" s="155"/>
      <c r="X4762" s="138">
        <f>IF(X4757&lt;X4761,X4759,X4760)</f>
        <v>42.890496289682339</v>
      </c>
      <c r="Y4762" s="133"/>
      <c r="Z4762" s="155"/>
      <c r="AA4762" s="138">
        <f>IF(AA4757&lt;AA4761,AA4759,AA4760)</f>
        <v>18.211899461461766</v>
      </c>
      <c r="AB4762" s="133"/>
      <c r="AC4762" s="155"/>
      <c r="AD4762" s="138">
        <f>IF(AD4757&lt;AD4761,AD4759,AD4760)</f>
        <v>10.907094868833136</v>
      </c>
      <c r="AE4762" s="133"/>
      <c r="AF4762" s="155"/>
      <c r="AG4762" s="138">
        <f>IF(AG4757&lt;AG4761,AG4759,AG4760)</f>
        <v>8.0752172690609925</v>
      </c>
      <c r="AH4762" s="133"/>
      <c r="AI4762" s="155"/>
      <c r="AJ4762" s="138">
        <f>IF(AJ4757&lt;AJ4761,AJ4759,AJ4760)</f>
        <v>6.7712102217703558</v>
      </c>
      <c r="AK4762" s="133"/>
      <c r="AL4762" s="155"/>
      <c r="AM4762" s="138">
        <f>IF(AM4757&lt;AM4761,AM4759,AM4760)</f>
        <v>6.3941718677672137</v>
      </c>
      <c r="AN4762" s="133"/>
      <c r="AO4762" s="155"/>
      <c r="AP4762" s="138">
        <f>IF(AP4757&lt;AP4761,AP4759,AP4760)</f>
        <v>5.9121924850840779</v>
      </c>
      <c r="AQ4762" s="133"/>
      <c r="AR4762" s="155"/>
      <c r="AS4762" s="138">
        <f>IF(AS4757&lt;AS4761,AS4759,AS4760)</f>
        <v>8.5721506985297147</v>
      </c>
      <c r="AT4762" s="133"/>
      <c r="AU4762" s="155"/>
    </row>
    <row r="4763" spans="13:47" ht="13" x14ac:dyDescent="0.3">
      <c r="M4763" s="28"/>
      <c r="N4763" s="28"/>
      <c r="O4763" s="9" t="s">
        <v>194</v>
      </c>
      <c r="P4763" s="1"/>
      <c r="Q4763" s="1"/>
      <c r="R4763" s="135"/>
      <c r="S4763" s="132">
        <f>IF(R4756&lt;=0,W_max,ABS(R$23-R4762))</f>
        <v>66.712490098943377</v>
      </c>
      <c r="T4763" s="151">
        <f>R4751</f>
        <v>9058.6477126993232</v>
      </c>
      <c r="U4763" s="135"/>
      <c r="V4763" s="132">
        <f>IF(U4756&lt;=0,W_max,ABS(U$23-U4762))</f>
        <v>7174</v>
      </c>
      <c r="W4763" s="151">
        <f>U4751</f>
        <v>13284.358000744782</v>
      </c>
      <c r="X4763" s="135"/>
      <c r="Y4763" s="132">
        <f>IF(X4756&lt;=0,W_max,ABS(X$23-X4762))</f>
        <v>7174</v>
      </c>
      <c r="Z4763" s="151">
        <f>X4751</f>
        <v>32853.798192975155</v>
      </c>
      <c r="AA4763" s="135"/>
      <c r="AB4763" s="132">
        <f>IF(AA4756&lt;=0,W_max,ABS(AA$23-AA4762))</f>
        <v>7174</v>
      </c>
      <c r="AC4763" s="151">
        <f>AA4751</f>
        <v>63990.813098615879</v>
      </c>
      <c r="AD4763" s="135"/>
      <c r="AE4763" s="132">
        <f>IF(AD4756&lt;=0,W_max,ABS(AD$23-AD4762))</f>
        <v>7174</v>
      </c>
      <c r="AF4763" s="151">
        <f>AD4751</f>
        <v>105241.32752764794</v>
      </c>
      <c r="AG4763" s="135"/>
      <c r="AH4763" s="132">
        <f>IF(AG4756&lt;=0,W_max,ABS(AG$23-AG4762))</f>
        <v>7174</v>
      </c>
      <c r="AI4763" s="151">
        <f>AG4751</f>
        <v>147609.06398421334</v>
      </c>
      <c r="AJ4763" s="135"/>
      <c r="AK4763" s="132">
        <f>IF(AJ4756&lt;=0,W_max,ABS(AJ$23-AJ4762))</f>
        <v>7174</v>
      </c>
      <c r="AL4763" s="151">
        <f>AJ4751</f>
        <v>187424.34297812008</v>
      </c>
      <c r="AM4763" s="135"/>
      <c r="AN4763" s="132">
        <f>IF(AM4756&lt;=0,W_max,ABS(AM$23-AM4762))</f>
        <v>7174</v>
      </c>
      <c r="AO4763" s="151">
        <f>AM4751</f>
        <v>219769.78211499858</v>
      </c>
      <c r="AP4763" s="135"/>
      <c r="AQ4763" s="132">
        <f>IF(AP4756&lt;=0,W_max,ABS(AP$23-AP4762))</f>
        <v>7174</v>
      </c>
      <c r="AR4763" s="151">
        <f>AP4751</f>
        <v>245190.18945923739</v>
      </c>
      <c r="AS4763" s="135"/>
      <c r="AT4763" s="132">
        <f>IF(AS4756&lt;=0,W_max,ABS(AS$23-AS4762))</f>
        <v>7174</v>
      </c>
      <c r="AU4763" s="151">
        <f>AS4751</f>
        <v>273550.93329254322</v>
      </c>
    </row>
    <row r="4764" spans="13:47" ht="13" x14ac:dyDescent="0.25">
      <c r="M4764" s="12"/>
      <c r="N4764" s="12"/>
      <c r="O4764" s="2"/>
      <c r="P4764" s="85"/>
      <c r="Q4764" s="2"/>
      <c r="R4764" s="18"/>
      <c r="S4764" s="150"/>
      <c r="T4764" s="152"/>
      <c r="U4764" s="157"/>
      <c r="V4764" s="1"/>
      <c r="W4764" s="147"/>
      <c r="X4764" s="157"/>
      <c r="Y4764" s="1"/>
      <c r="Z4764" s="147"/>
      <c r="AA4764" s="157"/>
      <c r="AB4764" s="1"/>
      <c r="AC4764" s="147"/>
      <c r="AD4764" s="157"/>
      <c r="AE4764" s="1"/>
      <c r="AF4764" s="147"/>
      <c r="AG4764" s="157"/>
      <c r="AH4764" s="1"/>
      <c r="AI4764" s="147"/>
      <c r="AJ4764" s="157"/>
      <c r="AK4764" s="1"/>
      <c r="AL4764" s="147"/>
      <c r="AM4764" s="157"/>
      <c r="AN4764" s="1"/>
      <c r="AO4764" s="147"/>
      <c r="AP4764" s="157"/>
      <c r="AQ4764" s="1"/>
      <c r="AR4764" s="147"/>
      <c r="AS4764" s="157"/>
      <c r="AT4764" s="1"/>
      <c r="AU4764" s="147"/>
    </row>
    <row r="4765" spans="13:47" ht="14" x14ac:dyDescent="0.3">
      <c r="M4765" s="23"/>
      <c r="N4765" s="23"/>
      <c r="O4765" s="23" t="s">
        <v>238</v>
      </c>
      <c r="P4765" s="20"/>
      <c r="Q4765" s="20"/>
      <c r="R4765" s="181">
        <f>R4751*1.02</f>
        <v>9239.8206669533101</v>
      </c>
      <c r="S4765" s="128" t="s">
        <v>185</v>
      </c>
      <c r="T4765" s="153" t="s">
        <v>186</v>
      </c>
      <c r="U4765" s="143">
        <f>U4751*1.01</f>
        <v>13417.201580752229</v>
      </c>
      <c r="V4765" s="128" t="s">
        <v>185</v>
      </c>
      <c r="W4765" s="153" t="s">
        <v>186</v>
      </c>
      <c r="X4765" s="143">
        <f>X4751*1.01</f>
        <v>33182.336174904907</v>
      </c>
      <c r="Y4765" s="128" t="s">
        <v>185</v>
      </c>
      <c r="Z4765" s="153" t="s">
        <v>186</v>
      </c>
      <c r="AA4765" s="143">
        <f>AA4751*1.01</f>
        <v>64630.721229602037</v>
      </c>
      <c r="AB4765" s="128" t="s">
        <v>185</v>
      </c>
      <c r="AC4765" s="153" t="s">
        <v>186</v>
      </c>
      <c r="AD4765" s="143">
        <f>AD4751*1.01</f>
        <v>106293.74080292443</v>
      </c>
      <c r="AE4765" s="128" t="s">
        <v>185</v>
      </c>
      <c r="AF4765" s="153" t="s">
        <v>186</v>
      </c>
      <c r="AG4765" s="143">
        <f>AG4751*1.01</f>
        <v>149085.15462405546</v>
      </c>
      <c r="AH4765" s="128" t="s">
        <v>185</v>
      </c>
      <c r="AI4765" s="153" t="s">
        <v>186</v>
      </c>
      <c r="AJ4765" s="143">
        <f>AJ4751*1.01</f>
        <v>189298.58640790128</v>
      </c>
      <c r="AK4765" s="128" t="s">
        <v>185</v>
      </c>
      <c r="AL4765" s="153" t="s">
        <v>186</v>
      </c>
      <c r="AM4765" s="143">
        <f>AM4751*1.01</f>
        <v>221967.47993614856</v>
      </c>
      <c r="AN4765" s="128" t="s">
        <v>185</v>
      </c>
      <c r="AO4765" s="153" t="s">
        <v>186</v>
      </c>
      <c r="AP4765" s="143">
        <f>AP4751*1.01</f>
        <v>247642.09135382978</v>
      </c>
      <c r="AQ4765" s="128" t="s">
        <v>185</v>
      </c>
      <c r="AR4765" s="153" t="s">
        <v>186</v>
      </c>
      <c r="AS4765" s="143">
        <f>AS4751*1.01</f>
        <v>276286.44262546866</v>
      </c>
      <c r="AT4765" s="128" t="s">
        <v>185</v>
      </c>
      <c r="AU4765" s="153" t="s">
        <v>186</v>
      </c>
    </row>
    <row r="4766" spans="13:47" ht="14" x14ac:dyDescent="0.3">
      <c r="M4766" s="12"/>
      <c r="N4766" s="12"/>
      <c r="O4766" s="20"/>
      <c r="P4766" s="20"/>
      <c r="Q4766" s="23"/>
      <c r="R4766" s="139"/>
      <c r="S4766" s="130" t="s">
        <v>228</v>
      </c>
      <c r="T4766" s="154" t="s">
        <v>187</v>
      </c>
      <c r="U4766" s="144"/>
      <c r="V4766" s="130" t="s">
        <v>228</v>
      </c>
      <c r="W4766" s="154" t="s">
        <v>187</v>
      </c>
      <c r="X4766" s="144"/>
      <c r="Y4766" s="130" t="s">
        <v>228</v>
      </c>
      <c r="Z4766" s="154" t="s">
        <v>187</v>
      </c>
      <c r="AA4766" s="144"/>
      <c r="AB4766" s="130" t="s">
        <v>228</v>
      </c>
      <c r="AC4766" s="154" t="s">
        <v>187</v>
      </c>
      <c r="AD4766" s="144"/>
      <c r="AE4766" s="130" t="s">
        <v>228</v>
      </c>
      <c r="AF4766" s="154" t="s">
        <v>187</v>
      </c>
      <c r="AG4766" s="144"/>
      <c r="AH4766" s="130" t="s">
        <v>228</v>
      </c>
      <c r="AI4766" s="154" t="s">
        <v>187</v>
      </c>
      <c r="AJ4766" s="144"/>
      <c r="AK4766" s="130" t="s">
        <v>228</v>
      </c>
      <c r="AL4766" s="154" t="s">
        <v>187</v>
      </c>
      <c r="AM4766" s="144"/>
      <c r="AN4766" s="130" t="s">
        <v>228</v>
      </c>
      <c r="AO4766" s="154" t="s">
        <v>187</v>
      </c>
      <c r="AP4766" s="144"/>
      <c r="AQ4766" s="130" t="s">
        <v>228</v>
      </c>
      <c r="AR4766" s="154" t="s">
        <v>187</v>
      </c>
      <c r="AS4766" s="144"/>
      <c r="AT4766" s="130" t="s">
        <v>228</v>
      </c>
      <c r="AU4766" s="154" t="s">
        <v>187</v>
      </c>
    </row>
    <row r="4767" spans="13:47" x14ac:dyDescent="0.25">
      <c r="M4767" s="20"/>
      <c r="N4767" s="20"/>
      <c r="O4767" s="7" t="s">
        <v>188</v>
      </c>
      <c r="P4767" s="7"/>
      <c r="Q4767" s="7"/>
      <c r="R4767" s="181">
        <f>P_1_minW-(R4765^2*R_up)+dpup_minQ</f>
        <v>66.478779676545727</v>
      </c>
      <c r="S4767" s="132"/>
      <c r="T4767" s="145"/>
      <c r="U4767" s="138">
        <f>P_1_minW-(U4765^2*R_up)+dpup_minQ</f>
        <v>28.737163230011504</v>
      </c>
      <c r="V4767" s="132"/>
      <c r="W4767" s="145"/>
      <c r="X4767" s="138">
        <f>P_1_minW-(X4765^2*R_up)+dpup_minQ</f>
        <v>-338.54088538980807</v>
      </c>
      <c r="Y4767" s="132"/>
      <c r="Z4767" s="145"/>
      <c r="AA4767" s="138">
        <f>P_1_minW-(AA4765^2*R_up)+dpup_minQ</f>
        <v>-1565.1572939625132</v>
      </c>
      <c r="AB4767" s="132"/>
      <c r="AC4767" s="145"/>
      <c r="AD4767" s="138">
        <f>P_1_minW-(AD4765^2*R_up)+dpup_minQ</f>
        <v>-4404.8317309305385</v>
      </c>
      <c r="AE4767" s="132"/>
      <c r="AF4767" s="145"/>
      <c r="AG4767" s="138">
        <f>P_1_minW-(AG4765^2*R_up)+dpup_minQ</f>
        <v>-8762.5106488963738</v>
      </c>
      <c r="AH4767" s="132"/>
      <c r="AI4767" s="145"/>
      <c r="AJ4767" s="138">
        <f>P_1_minW-(AJ4765^2*R_up)+dpup_minQ</f>
        <v>-14188.69084556258</v>
      </c>
      <c r="AK4767" s="132"/>
      <c r="AL4767" s="145"/>
      <c r="AM4767" s="138">
        <f>P_1_minW-(AM4765^2*R_up)+dpup_minQ</f>
        <v>-19546.298300532686</v>
      </c>
      <c r="AN4767" s="132"/>
      <c r="AO4767" s="145"/>
      <c r="AP4767" s="138">
        <f>P_1_minW-(AP4765^2*R_up)+dpup_minQ</f>
        <v>-24354.187014276358</v>
      </c>
      <c r="AQ4767" s="132"/>
      <c r="AR4767" s="145"/>
      <c r="AS4767" s="138">
        <f>P_1_minW-(AS4765^2*R_up)+dpup_minQ</f>
        <v>-30338.642348190573</v>
      </c>
      <c r="AT4767" s="132"/>
      <c r="AU4767" s="145"/>
    </row>
    <row r="4768" spans="13:47" x14ac:dyDescent="0.25">
      <c r="M4768" s="20"/>
      <c r="N4768" s="20"/>
      <c r="O4768" s="7" t="s">
        <v>189</v>
      </c>
      <c r="P4768" s="1"/>
      <c r="Q4768" s="7"/>
      <c r="R4768" s="181">
        <f>P_2_minW+(R4765^2*R_dn)-dpdn_minQ</f>
        <v>50</v>
      </c>
      <c r="S4768" s="132"/>
      <c r="T4768" s="146"/>
      <c r="U4768" s="138">
        <f>P_2_minW+(U4765^2*R_dn)-dpdn_minQ</f>
        <v>50</v>
      </c>
      <c r="V4768" s="132"/>
      <c r="W4768" s="146"/>
      <c r="X4768" s="138">
        <f>P_2_minW+(X4765^2*R_dn)-dpdn_minQ</f>
        <v>50</v>
      </c>
      <c r="Y4768" s="132"/>
      <c r="Z4768" s="146"/>
      <c r="AA4768" s="138">
        <f>P_2_minW+(AA4765^2*R_dn)-dpdn_minQ</f>
        <v>50</v>
      </c>
      <c r="AB4768" s="132"/>
      <c r="AC4768" s="146"/>
      <c r="AD4768" s="138">
        <f>P_2_minW+(AD4765^2*R_dn)-dpdn_minQ</f>
        <v>50</v>
      </c>
      <c r="AE4768" s="132"/>
      <c r="AF4768" s="146"/>
      <c r="AG4768" s="138">
        <f>P_2_minW+(AG4765^2*R_dn)-dpdn_minQ</f>
        <v>50</v>
      </c>
      <c r="AH4768" s="132"/>
      <c r="AI4768" s="146"/>
      <c r="AJ4768" s="138">
        <f>P_2_minW+(AJ4765^2*R_dn)-dpdn_minQ</f>
        <v>50</v>
      </c>
      <c r="AK4768" s="132"/>
      <c r="AL4768" s="146"/>
      <c r="AM4768" s="138">
        <f>P_2_minW+(AM4765^2*R_dn)-dpdn_minQ</f>
        <v>50</v>
      </c>
      <c r="AN4768" s="132"/>
      <c r="AO4768" s="146"/>
      <c r="AP4768" s="138">
        <f>P_2_minW+(AP4765^2*R_dn)-dpdn_minQ</f>
        <v>50</v>
      </c>
      <c r="AQ4768" s="132"/>
      <c r="AR4768" s="146"/>
      <c r="AS4768" s="138">
        <f>P_2_minW+(AS4765^2*R_dn)-dpdn_minQ</f>
        <v>50</v>
      </c>
      <c r="AT4768" s="132"/>
      <c r="AU4768" s="146"/>
    </row>
    <row r="4769" spans="13:47" x14ac:dyDescent="0.25">
      <c r="M4769" s="20"/>
      <c r="N4769" s="20"/>
      <c r="O4769" s="7" t="s">
        <v>234</v>
      </c>
      <c r="P4769" s="1"/>
      <c r="Q4769" s="7"/>
      <c r="R4769" s="179">
        <f>'Valve Sizing'!G$8*R4767/P_1_maxW</f>
        <v>0.32068179734244862</v>
      </c>
      <c r="S4769" s="132"/>
      <c r="T4769" s="146"/>
      <c r="U4769" s="143">
        <f>'Valve Sizing'!$G$8*U4767/P_1_maxW</f>
        <v>0.13862295908501338</v>
      </c>
      <c r="V4769" s="132"/>
      <c r="W4769" s="146"/>
      <c r="X4769" s="143">
        <f>'Valve Sizing'!$G$8*X4767/P_1_maxW</f>
        <v>-1.6330609576308124</v>
      </c>
      <c r="Y4769" s="132"/>
      <c r="Z4769" s="146"/>
      <c r="AA4769" s="143">
        <f>'Valve Sizing'!$G$8*AA4767/P_1_maxW</f>
        <v>-7.5500401269944293</v>
      </c>
      <c r="AB4769" s="132"/>
      <c r="AC4769" s="146"/>
      <c r="AD4769" s="143">
        <f>'Valve Sizing'!$G$8*AD4767/P_1_maxW</f>
        <v>-21.248124038056211</v>
      </c>
      <c r="AE4769" s="132"/>
      <c r="AF4769" s="146"/>
      <c r="AG4769" s="143">
        <f>'Valve Sizing'!$G$8*AG4767/P_1_maxW</f>
        <v>-42.268791301411611</v>
      </c>
      <c r="AH4769" s="132"/>
      <c r="AI4769" s="146"/>
      <c r="AJ4769" s="143">
        <f>'Valve Sizing'!$G$8*AJ4767/P_1_maxW</f>
        <v>-68.443718498290266</v>
      </c>
      <c r="AK4769" s="132"/>
      <c r="AL4769" s="146"/>
      <c r="AM4769" s="143">
        <f>'Valve Sizing'!$G$8*AM4767/P_1_maxW</f>
        <v>-94.287862997851079</v>
      </c>
      <c r="AN4769" s="132"/>
      <c r="AO4769" s="146"/>
      <c r="AP4769" s="143">
        <f>'Valve Sizing'!$G$8*AP4767/P_1_maxW</f>
        <v>-117.48026216112507</v>
      </c>
      <c r="AQ4769" s="132"/>
      <c r="AR4769" s="146"/>
      <c r="AS4769" s="143">
        <f>'Valve Sizing'!$G$8*AS4767/P_1_maxW</f>
        <v>-146.34820922532623</v>
      </c>
      <c r="AT4769" s="132"/>
      <c r="AU4769" s="146"/>
    </row>
    <row r="4770" spans="13:47" x14ac:dyDescent="0.25">
      <c r="M4770" s="20"/>
      <c r="N4770" s="20"/>
      <c r="O4770" s="7" t="s">
        <v>190</v>
      </c>
      <c r="P4770" s="1"/>
      <c r="Q4770" s="7"/>
      <c r="R4770" s="181">
        <f>R4767-R4768</f>
        <v>16.478779676545727</v>
      </c>
      <c r="S4770" s="132"/>
      <c r="T4770" s="146"/>
      <c r="U4770" s="138">
        <f>U4767-U4768</f>
        <v>-21.262836769988496</v>
      </c>
      <c r="V4770" s="132"/>
      <c r="W4770" s="146"/>
      <c r="X4770" s="138">
        <f>X4767-X4768</f>
        <v>-388.54088538980807</v>
      </c>
      <c r="Y4770" s="132"/>
      <c r="Z4770" s="146"/>
      <c r="AA4770" s="138">
        <f>AA4767-AA4768</f>
        <v>-1615.1572939625132</v>
      </c>
      <c r="AB4770" s="132"/>
      <c r="AC4770" s="146"/>
      <c r="AD4770" s="138">
        <f>AD4767-AD4768</f>
        <v>-4454.8317309305385</v>
      </c>
      <c r="AE4770" s="132"/>
      <c r="AF4770" s="146"/>
      <c r="AG4770" s="138">
        <f>AG4767-AG4768</f>
        <v>-8812.5106488963738</v>
      </c>
      <c r="AH4770" s="132"/>
      <c r="AI4770" s="146"/>
      <c r="AJ4770" s="138">
        <f>AJ4767-AJ4768</f>
        <v>-14238.69084556258</v>
      </c>
      <c r="AK4770" s="132"/>
      <c r="AL4770" s="146"/>
      <c r="AM4770" s="138">
        <f>AM4767-AM4768</f>
        <v>-19596.298300532686</v>
      </c>
      <c r="AN4770" s="132"/>
      <c r="AO4770" s="146"/>
      <c r="AP4770" s="138">
        <f>AP4767-AP4768</f>
        <v>-24404.187014276358</v>
      </c>
      <c r="AQ4770" s="132"/>
      <c r="AR4770" s="146"/>
      <c r="AS4770" s="138">
        <f>AS4767-AS4768</f>
        <v>-30388.642348190573</v>
      </c>
      <c r="AT4770" s="132"/>
      <c r="AU4770" s="146"/>
    </row>
    <row r="4771" spans="13:47" ht="14.5" x14ac:dyDescent="0.35">
      <c r="M4771" s="27"/>
      <c r="N4771" s="27"/>
      <c r="O4771" s="2" t="s">
        <v>191</v>
      </c>
      <c r="P4771" s="10"/>
      <c r="Q4771" s="2"/>
      <c r="R4771" s="181">
        <f>R4770/R4767</f>
        <v>0.24788029739299772</v>
      </c>
      <c r="S4771" s="132"/>
      <c r="T4771" s="146"/>
      <c r="U4771" s="138">
        <f>U4770/U4767</f>
        <v>-0.73990729703559488</v>
      </c>
      <c r="V4771" s="132"/>
      <c r="W4771" s="146"/>
      <c r="X4771" s="138">
        <f>X4770/X4767</f>
        <v>1.147692648533214</v>
      </c>
      <c r="Y4771" s="132"/>
      <c r="Z4771" s="146"/>
      <c r="AA4771" s="138">
        <f>AA4770/AA4767</f>
        <v>1.0319456710152211</v>
      </c>
      <c r="AB4771" s="132"/>
      <c r="AC4771" s="146"/>
      <c r="AD4771" s="138">
        <f>AD4770/AD4767</f>
        <v>1.0113511714077299</v>
      </c>
      <c r="AE4771" s="132"/>
      <c r="AF4771" s="146"/>
      <c r="AG4771" s="138">
        <f>AG4770/AG4767</f>
        <v>1.0057061271596055</v>
      </c>
      <c r="AH4771" s="132"/>
      <c r="AI4771" s="146"/>
      <c r="AJ4771" s="138">
        <f>AJ4770/AJ4767</f>
        <v>1.0035239332891404</v>
      </c>
      <c r="AK4771" s="132"/>
      <c r="AL4771" s="146"/>
      <c r="AM4771" s="138">
        <f>AM4770/AM4767</f>
        <v>1.0025580291076719</v>
      </c>
      <c r="AN4771" s="132"/>
      <c r="AO4771" s="146"/>
      <c r="AP4771" s="138">
        <f>AP4770/AP4767</f>
        <v>1.0020530350682899</v>
      </c>
      <c r="AQ4771" s="132"/>
      <c r="AR4771" s="146"/>
      <c r="AS4771" s="138">
        <f>AS4770/AS4767</f>
        <v>1.0016480632002631</v>
      </c>
      <c r="AT4771" s="132"/>
      <c r="AU4771" s="146"/>
    </row>
    <row r="4772" spans="13:47" x14ac:dyDescent="0.25">
      <c r="M4772" s="27"/>
      <c r="N4772" s="27"/>
      <c r="O4772" s="2" t="s">
        <v>26</v>
      </c>
      <c r="P4772" s="7">
        <v>12</v>
      </c>
      <c r="Q4772" s="2"/>
      <c r="R4772" s="181">
        <f>1-R4771/(3*F_GAMMA*R$29)</f>
        <v>0.87090110062550696</v>
      </c>
      <c r="S4772" s="133"/>
      <c r="T4772" s="146"/>
      <c r="U4772" s="138">
        <f>1-U4771/(3*F_GAMMA*U$29)</f>
        <v>1.3852673540309233</v>
      </c>
      <c r="V4772" s="133"/>
      <c r="W4772" s="146"/>
      <c r="X4772" s="138">
        <f>1-X4771/(3*F_GAMMA*X$29)</f>
        <v>0.39343517343579915</v>
      </c>
      <c r="Y4772" s="133"/>
      <c r="Z4772" s="146"/>
      <c r="AA4772" s="138">
        <f>1-AA4771/(3*F_GAMMA*AA$29)</f>
        <v>0.44713030709983637</v>
      </c>
      <c r="AB4772" s="133"/>
      <c r="AC4772" s="146"/>
      <c r="AD4772" s="138">
        <f>1-AD4771/(3*F_GAMMA*AD$29)</f>
        <v>0.44330791250010826</v>
      </c>
      <c r="AE4772" s="133"/>
      <c r="AF4772" s="146"/>
      <c r="AG4772" s="138">
        <f>1-AG4771/(3*F_GAMMA*AG$29)</f>
        <v>0.41483784115736078</v>
      </c>
      <c r="AH4772" s="133"/>
      <c r="AI4772" s="146"/>
      <c r="AJ4772" s="138">
        <f>1-AJ4771/(3*F_GAMMA*AJ$29)</f>
        <v>0.37581103763561508</v>
      </c>
      <c r="AK4772" s="133"/>
      <c r="AL4772" s="146"/>
      <c r="AM4772" s="138">
        <f>1-AM4771/(3*F_GAMMA*AM$29)</f>
        <v>0.31866650929769558</v>
      </c>
      <c r="AN4772" s="133"/>
      <c r="AO4772" s="146"/>
      <c r="AP4772" s="138">
        <f>1-AP4771/(3*F_GAMMA*AP$29)</f>
        <v>0.43723519207944395</v>
      </c>
      <c r="AQ4772" s="133"/>
      <c r="AR4772" s="146"/>
      <c r="AS4772" s="138">
        <f>1-AS4771/(3*F_GAMMA*AS$29)</f>
        <v>0.14601939007908249</v>
      </c>
      <c r="AT4772" s="133"/>
      <c r="AU4772" s="146"/>
    </row>
    <row r="4773" spans="13:47" x14ac:dyDescent="0.25">
      <c r="M4773" s="27"/>
      <c r="N4773" s="27"/>
      <c r="O4773" s="2" t="s">
        <v>71</v>
      </c>
      <c r="P4773" s="85">
        <v>5</v>
      </c>
      <c r="Q4773" s="2"/>
      <c r="R4773" s="179">
        <f>R4765/((N_6*R$27*R4772)*SQRT(R4771*R4767*R4769))</f>
        <v>72.919347576855898</v>
      </c>
      <c r="S4773" s="133"/>
      <c r="T4773" s="146"/>
      <c r="U4773" s="143" t="e">
        <f>U4765/((N_6*U$27*U4772)*SQRT(U4771*U4767*U4769))</f>
        <v>#NUM!</v>
      </c>
      <c r="V4773" s="133"/>
      <c r="W4773" s="146"/>
      <c r="X4773" s="143">
        <f>X4765/((N_6*X$27*X4772)*SQRT(X4771*X4767*X4769))</f>
        <v>53.050972657256267</v>
      </c>
      <c r="Y4773" s="133"/>
      <c r="Z4773" s="146"/>
      <c r="AA4773" s="143">
        <f>AA4765/((N_6*AA$27*AA4772)*SQRT(AA4771*AA4767*AA4769))</f>
        <v>20.858956162006745</v>
      </c>
      <c r="AB4773" s="133"/>
      <c r="AC4773" s="146"/>
      <c r="AD4773" s="143">
        <f>AD4765/((N_6*AD$27*AD4772)*SQRT(AD4771*AD4767*AD4769))</f>
        <v>12.567261684961993</v>
      </c>
      <c r="AE4773" s="133"/>
      <c r="AF4773" s="146"/>
      <c r="AG4773" s="143">
        <f>AG4765/((N_6*AG$27*AG4772)*SQRT(AG4771*AG4767*AG4769))</f>
        <v>9.700216180075321</v>
      </c>
      <c r="AH4773" s="133"/>
      <c r="AI4773" s="146"/>
      <c r="AJ4773" s="143">
        <f>AJ4765/((N_6*AJ$27*AJ4772)*SQRT(AJ4771*AJ4767*AJ4769))</f>
        <v>8.6940214498623156</v>
      </c>
      <c r="AK4773" s="133"/>
      <c r="AL4773" s="146"/>
      <c r="AM4773" s="143">
        <f>AM4765/((N_6*AM$27*AM4772)*SQRT(AM4771*AM4767*AM4769))</f>
        <v>9.267592962024457</v>
      </c>
      <c r="AN4773" s="133"/>
      <c r="AO4773" s="146"/>
      <c r="AP4773" s="143">
        <f>AP4765/((N_6*AP$27*AP4772)*SQRT(AP4771*AP4767*AP4769))</f>
        <v>6.871915174885852</v>
      </c>
      <c r="AQ4773" s="133"/>
      <c r="AR4773" s="146"/>
      <c r="AS4773" s="143">
        <f>AS4765/((N_6*AS$27*AS4772)*SQRT(AS4771*AS4767*AS4769))</f>
        <v>24.219778708868827</v>
      </c>
      <c r="AT4773" s="133"/>
      <c r="AU4773" s="146"/>
    </row>
    <row r="4774" spans="13:47" x14ac:dyDescent="0.25">
      <c r="M4774" s="27"/>
      <c r="N4774" s="27"/>
      <c r="O4774" s="2" t="s">
        <v>73</v>
      </c>
      <c r="P4774" s="85">
        <v>5</v>
      </c>
      <c r="Q4774" s="2"/>
      <c r="R4774" s="179">
        <f>R4765/((N_6*R$27*0.667)*SQRT(R4775*R4767*R4769))</f>
        <v>59.252636166608902</v>
      </c>
      <c r="S4774" s="133"/>
      <c r="T4774" s="155"/>
      <c r="U4774" s="143">
        <f>U4765/((N_6*U$27*0.667)*SQRT(U4775*U4767*U4769))</f>
        <v>199.14406635841692</v>
      </c>
      <c r="V4774" s="133"/>
      <c r="W4774" s="155"/>
      <c r="X4774" s="143">
        <f>X4765/((N_6*X$27*0.667)*SQRT(X4775*X4767*X4769))</f>
        <v>42.21238974671413</v>
      </c>
      <c r="Y4774" s="133"/>
      <c r="Z4774" s="155"/>
      <c r="AA4774" s="143">
        <f>AA4765/((N_6*AA$27*0.667)*SQRT(AA4775*AA4767*AA4769))</f>
        <v>18.008306118629523</v>
      </c>
      <c r="AB4774" s="133"/>
      <c r="AC4774" s="155"/>
      <c r="AD4774" s="143">
        <f>AD4765/((N_6*AD$27*0.667)*SQRT(AD4775*AD4767*AD4769))</f>
        <v>10.794150252920344</v>
      </c>
      <c r="AE4774" s="133"/>
      <c r="AF4774" s="155"/>
      <c r="AG4774" s="143">
        <f>AG4765/((N_6*AG$27*0.667)*SQRT(AG4775*AG4767*AG4769))</f>
        <v>7.9934210306377986</v>
      </c>
      <c r="AH4774" s="133"/>
      <c r="AI4774" s="155"/>
      <c r="AJ4774" s="143">
        <f>AJ4765/((N_6*AJ$27*0.667)*SQRT(AJ4775*AJ4767*AJ4769))</f>
        <v>6.7032138446451937</v>
      </c>
      <c r="AK4774" s="133"/>
      <c r="AL4774" s="155"/>
      <c r="AM4774" s="143">
        <f>AM4765/((N_6*AM$27*0.667)*SQRT(AM4775*AM4767*AM4769))</f>
        <v>6.3302088117620023</v>
      </c>
      <c r="AN4774" s="133"/>
      <c r="AO4774" s="155"/>
      <c r="AP4774" s="143">
        <f>AP4765/((N_6*AP$27*0.667)*SQRT(AP4775*AP4767*AP4769))</f>
        <v>5.8531702861820509</v>
      </c>
      <c r="AQ4774" s="133"/>
      <c r="AR4774" s="155"/>
      <c r="AS4774" s="143">
        <f>AS4765/((N_6*AS$27*0.667)*SQRT(AS4775*AS4767*AS4769))</f>
        <v>8.4867126793743513</v>
      </c>
      <c r="AT4774" s="133"/>
      <c r="AU4774" s="155"/>
    </row>
    <row r="4775" spans="13:47" ht="15.5" x14ac:dyDescent="0.4">
      <c r="M4775" s="27"/>
      <c r="N4775" s="27"/>
      <c r="O4775" s="2" t="s">
        <v>192</v>
      </c>
      <c r="P4775" s="85">
        <v>10</v>
      </c>
      <c r="Q4775" s="2"/>
      <c r="R4775" s="181">
        <f>F_GAMMA*R$29</f>
        <v>0.64002688015162901</v>
      </c>
      <c r="S4775" s="133"/>
      <c r="T4775" s="155"/>
      <c r="U4775" s="138">
        <f>F_GAMMA*U$29</f>
        <v>0.64016782916606918</v>
      </c>
      <c r="V4775" s="133"/>
      <c r="W4775" s="155"/>
      <c r="X4775" s="138">
        <f>F_GAMMA*X$29</f>
        <v>0.6307062319203669</v>
      </c>
      <c r="Y4775" s="133"/>
      <c r="Z4775" s="155"/>
      <c r="AA4775" s="138">
        <f>F_GAMMA*AA$29</f>
        <v>0.62217534213893466</v>
      </c>
      <c r="AB4775" s="133"/>
      <c r="AC4775" s="155"/>
      <c r="AD4775" s="138">
        <f>F_GAMMA*AD$29</f>
        <v>0.60557184969146072</v>
      </c>
      <c r="AE4775" s="133"/>
      <c r="AF4775" s="155"/>
      <c r="AG4775" s="138">
        <f>F_GAMMA*AG$29</f>
        <v>0.57289312142622573</v>
      </c>
      <c r="AH4775" s="133"/>
      <c r="AI4775" s="155"/>
      <c r="AJ4775" s="138">
        <f>F_GAMMA*AJ$29</f>
        <v>0.53590819116049981</v>
      </c>
      <c r="AK4775" s="133"/>
      <c r="AL4775" s="155"/>
      <c r="AM4775" s="138">
        <f>F_GAMMA*AM$29</f>
        <v>0.49048815926850342</v>
      </c>
      <c r="AN4775" s="133"/>
      <c r="AO4775" s="155"/>
      <c r="AP4775" s="138">
        <f>F_GAMMA*AP$29</f>
        <v>0.59352979016280105</v>
      </c>
      <c r="AQ4775" s="133"/>
      <c r="AR4775" s="155"/>
      <c r="AS4775" s="138">
        <f>F_GAMMA*AS$29</f>
        <v>0.39097221161068291</v>
      </c>
      <c r="AT4775" s="133"/>
      <c r="AU4775" s="155"/>
    </row>
    <row r="4776" spans="13:47" x14ac:dyDescent="0.25">
      <c r="M4776" s="27"/>
      <c r="N4776" s="27"/>
      <c r="O4776" s="2" t="s">
        <v>193</v>
      </c>
      <c r="P4776" s="134"/>
      <c r="Q4776" s="2"/>
      <c r="R4776" s="181">
        <f>IF(R4771&lt;R4775,R4773,R4774)</f>
        <v>72.919347576855898</v>
      </c>
      <c r="S4776" s="133"/>
      <c r="T4776" s="155"/>
      <c r="U4776" s="138" t="e">
        <f>IF(U4771&lt;U4775,U4773,U4774)</f>
        <v>#NUM!</v>
      </c>
      <c r="V4776" s="133"/>
      <c r="W4776" s="155"/>
      <c r="X4776" s="138">
        <f>IF(X4771&lt;X4775,X4773,X4774)</f>
        <v>42.21238974671413</v>
      </c>
      <c r="Y4776" s="133"/>
      <c r="Z4776" s="155"/>
      <c r="AA4776" s="138">
        <f>IF(AA4771&lt;AA4775,AA4773,AA4774)</f>
        <v>18.008306118629523</v>
      </c>
      <c r="AB4776" s="133"/>
      <c r="AC4776" s="155"/>
      <c r="AD4776" s="138">
        <f>IF(AD4771&lt;AD4775,AD4773,AD4774)</f>
        <v>10.794150252920344</v>
      </c>
      <c r="AE4776" s="133"/>
      <c r="AF4776" s="155"/>
      <c r="AG4776" s="138">
        <f>IF(AG4771&lt;AG4775,AG4773,AG4774)</f>
        <v>7.9934210306377986</v>
      </c>
      <c r="AH4776" s="133"/>
      <c r="AI4776" s="155"/>
      <c r="AJ4776" s="138">
        <f>IF(AJ4771&lt;AJ4775,AJ4773,AJ4774)</f>
        <v>6.7032138446451937</v>
      </c>
      <c r="AK4776" s="133"/>
      <c r="AL4776" s="155"/>
      <c r="AM4776" s="138">
        <f>IF(AM4771&lt;AM4775,AM4773,AM4774)</f>
        <v>6.3302088117620023</v>
      </c>
      <c r="AN4776" s="133"/>
      <c r="AO4776" s="155"/>
      <c r="AP4776" s="138">
        <f>IF(AP4771&lt;AP4775,AP4773,AP4774)</f>
        <v>5.8531702861820509</v>
      </c>
      <c r="AQ4776" s="133"/>
      <c r="AR4776" s="155"/>
      <c r="AS4776" s="138">
        <f>IF(AS4771&lt;AS4775,AS4773,AS4774)</f>
        <v>8.4867126793743513</v>
      </c>
      <c r="AT4776" s="133"/>
      <c r="AU4776" s="155"/>
    </row>
    <row r="4777" spans="13:47" ht="13" x14ac:dyDescent="0.3">
      <c r="M4777" s="28"/>
      <c r="N4777" s="28"/>
      <c r="O4777" s="9" t="s">
        <v>194</v>
      </c>
      <c r="P4777" s="1"/>
      <c r="Q4777" s="1"/>
      <c r="R4777" s="135"/>
      <c r="S4777" s="132">
        <f>IF(R4770&lt;=0,W_max,ABS(R$23-R4776))</f>
        <v>70.919347576855898</v>
      </c>
      <c r="T4777" s="151">
        <f>R4765</f>
        <v>9239.8206669533101</v>
      </c>
      <c r="U4777" s="135"/>
      <c r="V4777" s="132">
        <f>IF(U4770&lt;=0,W_max,ABS(U$23-U4776))</f>
        <v>7174</v>
      </c>
      <c r="W4777" s="151">
        <f>U4765</f>
        <v>13417.201580752229</v>
      </c>
      <c r="X4777" s="135"/>
      <c r="Y4777" s="132">
        <f>IF(X4770&lt;=0,W_max,ABS(X$23-X4776))</f>
        <v>7174</v>
      </c>
      <c r="Z4777" s="151">
        <f>X4765</f>
        <v>33182.336174904907</v>
      </c>
      <c r="AA4777" s="135"/>
      <c r="AB4777" s="132">
        <f>IF(AA4770&lt;=0,W_max,ABS(AA$23-AA4776))</f>
        <v>7174</v>
      </c>
      <c r="AC4777" s="151">
        <f>AA4765</f>
        <v>64630.721229602037</v>
      </c>
      <c r="AD4777" s="135"/>
      <c r="AE4777" s="132">
        <f>IF(AD4770&lt;=0,W_max,ABS(AD$23-AD4776))</f>
        <v>7174</v>
      </c>
      <c r="AF4777" s="151">
        <f>AD4765</f>
        <v>106293.74080292443</v>
      </c>
      <c r="AG4777" s="135"/>
      <c r="AH4777" s="132">
        <f>IF(AG4770&lt;=0,W_max,ABS(AG$23-AG4776))</f>
        <v>7174</v>
      </c>
      <c r="AI4777" s="151">
        <f>AG4765</f>
        <v>149085.15462405546</v>
      </c>
      <c r="AJ4777" s="135"/>
      <c r="AK4777" s="132">
        <f>IF(AJ4770&lt;=0,W_max,ABS(AJ$23-AJ4776))</f>
        <v>7174</v>
      </c>
      <c r="AL4777" s="151">
        <f>AJ4765</f>
        <v>189298.58640790128</v>
      </c>
      <c r="AM4777" s="135"/>
      <c r="AN4777" s="132">
        <f>IF(AM4770&lt;=0,W_max,ABS(AM$23-AM4776))</f>
        <v>7174</v>
      </c>
      <c r="AO4777" s="151">
        <f>AM4765</f>
        <v>221967.47993614856</v>
      </c>
      <c r="AP4777" s="135"/>
      <c r="AQ4777" s="132">
        <f>IF(AP4770&lt;=0,W_max,ABS(AP$23-AP4776))</f>
        <v>7174</v>
      </c>
      <c r="AR4777" s="151">
        <f>AP4765</f>
        <v>247642.09135382978</v>
      </c>
      <c r="AS4777" s="135"/>
      <c r="AT4777" s="132">
        <f>IF(AS4770&lt;=0,W_max,ABS(AS$23-AS4776))</f>
        <v>7174</v>
      </c>
      <c r="AU4777" s="151">
        <f>AS4765</f>
        <v>276286.44262546866</v>
      </c>
    </row>
    <row r="4778" spans="13:47" ht="13" x14ac:dyDescent="0.25">
      <c r="M4778" s="12"/>
      <c r="N4778" s="12"/>
      <c r="O4778" s="2"/>
      <c r="P4778" s="85"/>
      <c r="Q4778" s="2"/>
      <c r="R4778" s="18"/>
      <c r="S4778" s="150"/>
      <c r="T4778" s="148"/>
      <c r="U4778" s="157"/>
      <c r="V4778" s="1"/>
      <c r="W4778" s="147"/>
      <c r="X4778" s="157"/>
      <c r="Y4778" s="1"/>
      <c r="Z4778" s="147"/>
      <c r="AA4778" s="157"/>
      <c r="AB4778" s="1"/>
      <c r="AC4778" s="147"/>
      <c r="AD4778" s="157"/>
      <c r="AE4778" s="1"/>
      <c r="AF4778" s="147"/>
      <c r="AG4778" s="157"/>
      <c r="AH4778" s="1"/>
      <c r="AI4778" s="147"/>
      <c r="AJ4778" s="157"/>
      <c r="AK4778" s="1"/>
      <c r="AL4778" s="147"/>
      <c r="AM4778" s="157"/>
      <c r="AN4778" s="1"/>
      <c r="AO4778" s="147"/>
      <c r="AP4778" s="157"/>
      <c r="AQ4778" s="1"/>
      <c r="AR4778" s="147"/>
      <c r="AS4778" s="157"/>
      <c r="AT4778" s="1"/>
      <c r="AU4778" s="147"/>
    </row>
    <row r="4779" spans="13:47" ht="14" x14ac:dyDescent="0.3">
      <c r="M4779" s="23"/>
      <c r="N4779" s="23"/>
      <c r="O4779" s="23" t="s">
        <v>238</v>
      </c>
      <c r="P4779" s="20"/>
      <c r="Q4779" s="20"/>
      <c r="R4779" s="181">
        <f>R4765*1.02</f>
        <v>9424.6170802923771</v>
      </c>
      <c r="S4779" s="128" t="s">
        <v>185</v>
      </c>
      <c r="T4779" s="149" t="s">
        <v>186</v>
      </c>
      <c r="U4779" s="143">
        <f>U4765*1.01</f>
        <v>13551.373596559752</v>
      </c>
      <c r="V4779" s="128" t="s">
        <v>185</v>
      </c>
      <c r="W4779" s="153" t="s">
        <v>186</v>
      </c>
      <c r="X4779" s="143">
        <f>X4765*1.01</f>
        <v>33514.159536653955</v>
      </c>
      <c r="Y4779" s="128" t="s">
        <v>185</v>
      </c>
      <c r="Z4779" s="153" t="s">
        <v>186</v>
      </c>
      <c r="AA4779" s="143">
        <f>AA4765*1.01</f>
        <v>65277.028441898059</v>
      </c>
      <c r="AB4779" s="128" t="s">
        <v>185</v>
      </c>
      <c r="AC4779" s="153" t="s">
        <v>186</v>
      </c>
      <c r="AD4779" s="143">
        <f>AD4765*1.01</f>
        <v>107356.67821095367</v>
      </c>
      <c r="AE4779" s="128" t="s">
        <v>185</v>
      </c>
      <c r="AF4779" s="153" t="s">
        <v>186</v>
      </c>
      <c r="AG4779" s="143">
        <f>AG4765*1.01</f>
        <v>150576.00617029602</v>
      </c>
      <c r="AH4779" s="128" t="s">
        <v>185</v>
      </c>
      <c r="AI4779" s="153" t="s">
        <v>186</v>
      </c>
      <c r="AJ4779" s="143">
        <f>AJ4765*1.01</f>
        <v>191191.57227198029</v>
      </c>
      <c r="AK4779" s="128" t="s">
        <v>185</v>
      </c>
      <c r="AL4779" s="153" t="s">
        <v>186</v>
      </c>
      <c r="AM4779" s="143">
        <f>AM4765*1.01</f>
        <v>224187.15473551006</v>
      </c>
      <c r="AN4779" s="128" t="s">
        <v>185</v>
      </c>
      <c r="AO4779" s="153" t="s">
        <v>186</v>
      </c>
      <c r="AP4779" s="143">
        <f>AP4765*1.01</f>
        <v>250118.51226736809</v>
      </c>
      <c r="AQ4779" s="128" t="s">
        <v>185</v>
      </c>
      <c r="AR4779" s="153" t="s">
        <v>186</v>
      </c>
      <c r="AS4779" s="143">
        <f>AS4765*1.01</f>
        <v>279049.30705172336</v>
      </c>
      <c r="AT4779" s="128" t="s">
        <v>185</v>
      </c>
      <c r="AU4779" s="153" t="s">
        <v>186</v>
      </c>
    </row>
    <row r="4780" spans="13:47" ht="14" x14ac:dyDescent="0.3">
      <c r="M4780" s="12"/>
      <c r="N4780" s="12"/>
      <c r="O4780" s="20"/>
      <c r="P4780" s="20"/>
      <c r="Q4780" s="23"/>
      <c r="R4780" s="139"/>
      <c r="S4780" s="130" t="s">
        <v>228</v>
      </c>
      <c r="T4780" s="131" t="s">
        <v>187</v>
      </c>
      <c r="U4780" s="144"/>
      <c r="V4780" s="130" t="s">
        <v>228</v>
      </c>
      <c r="W4780" s="154" t="s">
        <v>187</v>
      </c>
      <c r="X4780" s="144"/>
      <c r="Y4780" s="130" t="s">
        <v>228</v>
      </c>
      <c r="Z4780" s="154" t="s">
        <v>187</v>
      </c>
      <c r="AA4780" s="144"/>
      <c r="AB4780" s="130" t="s">
        <v>228</v>
      </c>
      <c r="AC4780" s="154" t="s">
        <v>187</v>
      </c>
      <c r="AD4780" s="144"/>
      <c r="AE4780" s="130" t="s">
        <v>228</v>
      </c>
      <c r="AF4780" s="154" t="s">
        <v>187</v>
      </c>
      <c r="AG4780" s="144"/>
      <c r="AH4780" s="130" t="s">
        <v>228</v>
      </c>
      <c r="AI4780" s="154" t="s">
        <v>187</v>
      </c>
      <c r="AJ4780" s="144"/>
      <c r="AK4780" s="130" t="s">
        <v>228</v>
      </c>
      <c r="AL4780" s="154" t="s">
        <v>187</v>
      </c>
      <c r="AM4780" s="144"/>
      <c r="AN4780" s="130" t="s">
        <v>228</v>
      </c>
      <c r="AO4780" s="154" t="s">
        <v>187</v>
      </c>
      <c r="AP4780" s="144"/>
      <c r="AQ4780" s="130" t="s">
        <v>228</v>
      </c>
      <c r="AR4780" s="154" t="s">
        <v>187</v>
      </c>
      <c r="AS4780" s="144"/>
      <c r="AT4780" s="130" t="s">
        <v>228</v>
      </c>
      <c r="AU4780" s="154" t="s">
        <v>187</v>
      </c>
    </row>
    <row r="4781" spans="13:47" x14ac:dyDescent="0.25">
      <c r="M4781" s="20"/>
      <c r="N4781" s="20"/>
      <c r="O4781" s="7" t="s">
        <v>188</v>
      </c>
      <c r="P4781" s="7"/>
      <c r="Q4781" s="7"/>
      <c r="R4781" s="181">
        <f>P_1_minW-(R4779^2*R_up)+dpup_minQ</f>
        <v>65.103401791314411</v>
      </c>
      <c r="S4781" s="132"/>
      <c r="T4781" s="145"/>
      <c r="U4781" s="138">
        <f>P_1_minW-(U4779^2*R_up)+dpup_minQ</f>
        <v>27.294272197526524</v>
      </c>
      <c r="V4781" s="132"/>
      <c r="W4781" s="145"/>
      <c r="X4781" s="138">
        <f>P_1_minW-(X4779^2*R_up)+dpup_minQ</f>
        <v>-347.36606519955137</v>
      </c>
      <c r="Y4781" s="132"/>
      <c r="Z4781" s="145"/>
      <c r="AA4781" s="138">
        <f>P_1_minW-(AA4779^2*R_up)+dpup_minQ</f>
        <v>-1598.637463584568</v>
      </c>
      <c r="AB4781" s="132"/>
      <c r="AC4781" s="145"/>
      <c r="AD4781" s="138">
        <f>P_1_minW-(AD4779^2*R_up)+dpup_minQ</f>
        <v>-4495.3893567356508</v>
      </c>
      <c r="AE4781" s="132"/>
      <c r="AF4781" s="145"/>
      <c r="AG4781" s="138">
        <f>P_1_minW-(AG4779^2*R_up)+dpup_minQ</f>
        <v>-8940.6576209526011</v>
      </c>
      <c r="AH4781" s="132"/>
      <c r="AI4781" s="145"/>
      <c r="AJ4781" s="138">
        <f>P_1_minW-(AJ4779^2*R_up)+dpup_minQ</f>
        <v>-14475.904039571795</v>
      </c>
      <c r="AK4781" s="132"/>
      <c r="AL4781" s="145"/>
      <c r="AM4781" s="138">
        <f>P_1_minW-(AM4779^2*R_up)+dpup_minQ</f>
        <v>-19941.199404386804</v>
      </c>
      <c r="AN4781" s="132"/>
      <c r="AO4781" s="145"/>
      <c r="AP4781" s="138">
        <f>P_1_minW-(AP4779^2*R_up)+dpup_minQ</f>
        <v>-24845.726681276727</v>
      </c>
      <c r="AQ4781" s="132"/>
      <c r="AR4781" s="145"/>
      <c r="AS4781" s="138">
        <f>P_1_minW-(AS4779^2*R_up)+dpup_minQ</f>
        <v>-30950.469567402615</v>
      </c>
      <c r="AT4781" s="132"/>
      <c r="AU4781" s="145"/>
    </row>
    <row r="4782" spans="13:47" x14ac:dyDescent="0.25">
      <c r="M4782" s="20"/>
      <c r="N4782" s="20"/>
      <c r="O4782" s="7" t="s">
        <v>189</v>
      </c>
      <c r="P4782" s="1"/>
      <c r="Q4782" s="7"/>
      <c r="R4782" s="181">
        <f>P_2_minW+(R4779^2*R_dn)-dpdn_minQ</f>
        <v>50</v>
      </c>
      <c r="S4782" s="132"/>
      <c r="T4782" s="146"/>
      <c r="U4782" s="138">
        <f>P_2_minW+(U4779^2*R_dn)-dpdn_minQ</f>
        <v>50</v>
      </c>
      <c r="V4782" s="132"/>
      <c r="W4782" s="146"/>
      <c r="X4782" s="138">
        <f>P_2_minW+(X4779^2*R_dn)-dpdn_minQ</f>
        <v>50</v>
      </c>
      <c r="Y4782" s="132"/>
      <c r="Z4782" s="146"/>
      <c r="AA4782" s="138">
        <f>P_2_minW+(AA4779^2*R_dn)-dpdn_minQ</f>
        <v>50</v>
      </c>
      <c r="AB4782" s="132"/>
      <c r="AC4782" s="146"/>
      <c r="AD4782" s="138">
        <f>P_2_minW+(AD4779^2*R_dn)-dpdn_minQ</f>
        <v>50</v>
      </c>
      <c r="AE4782" s="132"/>
      <c r="AF4782" s="146"/>
      <c r="AG4782" s="138">
        <f>P_2_minW+(AG4779^2*R_dn)-dpdn_minQ</f>
        <v>50</v>
      </c>
      <c r="AH4782" s="132"/>
      <c r="AI4782" s="146"/>
      <c r="AJ4782" s="138">
        <f>P_2_minW+(AJ4779^2*R_dn)-dpdn_minQ</f>
        <v>50</v>
      </c>
      <c r="AK4782" s="132"/>
      <c r="AL4782" s="146"/>
      <c r="AM4782" s="138">
        <f>P_2_minW+(AM4779^2*R_dn)-dpdn_minQ</f>
        <v>50</v>
      </c>
      <c r="AN4782" s="132"/>
      <c r="AO4782" s="146"/>
      <c r="AP4782" s="138">
        <f>P_2_minW+(AP4779^2*R_dn)-dpdn_minQ</f>
        <v>50</v>
      </c>
      <c r="AQ4782" s="132"/>
      <c r="AR4782" s="146"/>
      <c r="AS4782" s="138">
        <f>P_2_minW+(AS4779^2*R_dn)-dpdn_minQ</f>
        <v>50</v>
      </c>
      <c r="AT4782" s="132"/>
      <c r="AU4782" s="146"/>
    </row>
    <row r="4783" spans="13:47" x14ac:dyDescent="0.25">
      <c r="M4783" s="20"/>
      <c r="N4783" s="20"/>
      <c r="O4783" s="7" t="s">
        <v>234</v>
      </c>
      <c r="P4783" s="1"/>
      <c r="Q4783" s="7"/>
      <c r="R4783" s="179">
        <f>'Valve Sizing'!G$8*R4781/P_1_maxW</f>
        <v>0.31404721929503232</v>
      </c>
      <c r="S4783" s="132"/>
      <c r="T4783" s="146"/>
      <c r="U4783" s="143">
        <f>'Valve Sizing'!$G$8*U4781/P_1_maxW</f>
        <v>0.13166270963522039</v>
      </c>
      <c r="V4783" s="132"/>
      <c r="W4783" s="146"/>
      <c r="X4783" s="143">
        <f>'Valve Sizing'!$G$8*X4781/P_1_maxW</f>
        <v>-1.6756320538065932</v>
      </c>
      <c r="Y4783" s="132"/>
      <c r="Z4783" s="146"/>
      <c r="AA4783" s="143">
        <f>'Valve Sizing'!$G$8*AA4781/P_1_maxW</f>
        <v>-7.7115425044744184</v>
      </c>
      <c r="AB4783" s="132"/>
      <c r="AC4783" s="146"/>
      <c r="AD4783" s="143">
        <f>'Valve Sizing'!$G$8*AD4781/P_1_maxW</f>
        <v>-21.684957902148547</v>
      </c>
      <c r="AE4783" s="132"/>
      <c r="AF4783" s="146"/>
      <c r="AG4783" s="143">
        <f>'Valve Sizing'!$G$8*AG4781/P_1_maxW</f>
        <v>-43.128140577497398</v>
      </c>
      <c r="AH4783" s="132"/>
      <c r="AI4783" s="146"/>
      <c r="AJ4783" s="143">
        <f>'Valve Sizing'!$G$8*AJ4781/P_1_maxW</f>
        <v>-69.829183811033289</v>
      </c>
      <c r="AK4783" s="132"/>
      <c r="AL4783" s="146"/>
      <c r="AM4783" s="143">
        <f>'Valve Sizing'!$G$8*AM4781/P_1_maxW</f>
        <v>-96.192795615035308</v>
      </c>
      <c r="AN4783" s="132"/>
      <c r="AO4783" s="146"/>
      <c r="AP4783" s="143">
        <f>'Valve Sizing'!$G$8*AP4781/P_1_maxW</f>
        <v>-119.85136200149111</v>
      </c>
      <c r="AQ4783" s="132"/>
      <c r="AR4783" s="146"/>
      <c r="AS4783" s="143">
        <f>'Valve Sizing'!$G$8*AS4781/P_1_maxW</f>
        <v>-149.29955480168272</v>
      </c>
      <c r="AT4783" s="132"/>
      <c r="AU4783" s="146"/>
    </row>
    <row r="4784" spans="13:47" x14ac:dyDescent="0.25">
      <c r="M4784" s="20"/>
      <c r="N4784" s="20"/>
      <c r="O4784" s="7" t="s">
        <v>190</v>
      </c>
      <c r="P4784" s="1"/>
      <c r="Q4784" s="7"/>
      <c r="R4784" s="181">
        <f>R4781-R4782</f>
        <v>15.103401791314411</v>
      </c>
      <c r="S4784" s="132"/>
      <c r="T4784" s="146"/>
      <c r="U4784" s="138">
        <f>U4781-U4782</f>
        <v>-22.705727802473476</v>
      </c>
      <c r="V4784" s="132"/>
      <c r="W4784" s="146"/>
      <c r="X4784" s="138">
        <f>X4781-X4782</f>
        <v>-397.36606519955137</v>
      </c>
      <c r="Y4784" s="132"/>
      <c r="Z4784" s="146"/>
      <c r="AA4784" s="138">
        <f>AA4781-AA4782</f>
        <v>-1648.637463584568</v>
      </c>
      <c r="AB4784" s="132"/>
      <c r="AC4784" s="146"/>
      <c r="AD4784" s="138">
        <f>AD4781-AD4782</f>
        <v>-4545.3893567356508</v>
      </c>
      <c r="AE4784" s="132"/>
      <c r="AF4784" s="146"/>
      <c r="AG4784" s="138">
        <f>AG4781-AG4782</f>
        <v>-8990.6576209526011</v>
      </c>
      <c r="AH4784" s="132"/>
      <c r="AI4784" s="146"/>
      <c r="AJ4784" s="138">
        <f>AJ4781-AJ4782</f>
        <v>-14525.904039571795</v>
      </c>
      <c r="AK4784" s="132"/>
      <c r="AL4784" s="146"/>
      <c r="AM4784" s="138">
        <f>AM4781-AM4782</f>
        <v>-19991.199404386804</v>
      </c>
      <c r="AN4784" s="132"/>
      <c r="AO4784" s="146"/>
      <c r="AP4784" s="138">
        <f>AP4781-AP4782</f>
        <v>-24895.726681276727</v>
      </c>
      <c r="AQ4784" s="132"/>
      <c r="AR4784" s="146"/>
      <c r="AS4784" s="138">
        <f>AS4781-AS4782</f>
        <v>-31000.469567402615</v>
      </c>
      <c r="AT4784" s="132"/>
      <c r="AU4784" s="146"/>
    </row>
    <row r="4785" spans="13:47" ht="14.5" x14ac:dyDescent="0.35">
      <c r="M4785" s="27"/>
      <c r="N4785" s="27"/>
      <c r="O4785" s="2" t="s">
        <v>191</v>
      </c>
      <c r="P4785" s="10"/>
      <c r="Q4785" s="2"/>
      <c r="R4785" s="181">
        <f>R4784/R4781</f>
        <v>0.23199097705719871</v>
      </c>
      <c r="S4785" s="132"/>
      <c r="T4785" s="146"/>
      <c r="U4785" s="138">
        <f>U4784/U4781</f>
        <v>-0.83188617883466132</v>
      </c>
      <c r="V4785" s="132"/>
      <c r="W4785" s="146"/>
      <c r="X4785" s="138">
        <f>X4784/X4781</f>
        <v>1.1439403701431701</v>
      </c>
      <c r="Y4785" s="132"/>
      <c r="Z4785" s="146"/>
      <c r="AA4785" s="138">
        <f>AA4784/AA4781</f>
        <v>1.0312766347210998</v>
      </c>
      <c r="AB4785" s="132"/>
      <c r="AC4785" s="146"/>
      <c r="AD4785" s="138">
        <f>AD4784/AD4781</f>
        <v>1.0111225070916454</v>
      </c>
      <c r="AE4785" s="132"/>
      <c r="AF4785" s="146"/>
      <c r="AG4785" s="138">
        <f>AG4784/AG4781</f>
        <v>1.0055924297875833</v>
      </c>
      <c r="AH4785" s="132"/>
      <c r="AI4785" s="146"/>
      <c r="AJ4785" s="138">
        <f>AJ4784/AJ4781</f>
        <v>1.0034540157121323</v>
      </c>
      <c r="AK4785" s="132"/>
      <c r="AL4785" s="146"/>
      <c r="AM4785" s="138">
        <f>AM4784/AM4781</f>
        <v>1.0025073717476092</v>
      </c>
      <c r="AN4785" s="132"/>
      <c r="AO4785" s="146"/>
      <c r="AP4785" s="138">
        <f>AP4784/AP4781</f>
        <v>1.0020124184992214</v>
      </c>
      <c r="AQ4785" s="132"/>
      <c r="AR4785" s="146"/>
      <c r="AS4785" s="138">
        <f>AS4784/AS4781</f>
        <v>1.001615484375483</v>
      </c>
      <c r="AT4785" s="132"/>
      <c r="AU4785" s="146"/>
    </row>
    <row r="4786" spans="13:47" x14ac:dyDescent="0.25">
      <c r="M4786" s="27"/>
      <c r="N4786" s="27"/>
      <c r="O4786" s="2" t="s">
        <v>26</v>
      </c>
      <c r="P4786" s="7">
        <v>12</v>
      </c>
      <c r="Q4786" s="2"/>
      <c r="R4786" s="181">
        <f>1-R4785/(3*F_GAMMA*R$29)</f>
        <v>0.87917644073415702</v>
      </c>
      <c r="S4786" s="133"/>
      <c r="T4786" s="146"/>
      <c r="U4786" s="138">
        <f>1-U4785/(3*F_GAMMA*U$29)</f>
        <v>1.4331604624776491</v>
      </c>
      <c r="V4786" s="133"/>
      <c r="W4786" s="146"/>
      <c r="X4786" s="138">
        <f>1-X4785/(3*F_GAMMA*X$29)</f>
        <v>0.39541828284561054</v>
      </c>
      <c r="Y4786" s="133"/>
      <c r="Z4786" s="146"/>
      <c r="AA4786" s="138">
        <f>1-AA4785/(3*F_GAMMA*AA$29)</f>
        <v>0.447488746406148</v>
      </c>
      <c r="AB4786" s="133"/>
      <c r="AC4786" s="146"/>
      <c r="AD4786" s="138">
        <f>1-AD4785/(3*F_GAMMA*AD$29)</f>
        <v>0.4434337793790486</v>
      </c>
      <c r="AE4786" s="133"/>
      <c r="AF4786" s="146"/>
      <c r="AG4786" s="138">
        <f>1-AG4785/(3*F_GAMMA*AG$29)</f>
        <v>0.41490399507436548</v>
      </c>
      <c r="AH4786" s="133"/>
      <c r="AI4786" s="146"/>
      <c r="AJ4786" s="138">
        <f>1-AJ4785/(3*F_GAMMA*AJ$29)</f>
        <v>0.3758545261647831</v>
      </c>
      <c r="AK4786" s="133"/>
      <c r="AL4786" s="146"/>
      <c r="AM4786" s="138">
        <f>1-AM4785/(3*F_GAMMA*AM$29)</f>
        <v>0.31870093578968828</v>
      </c>
      <c r="AN4786" s="133"/>
      <c r="AO4786" s="146"/>
      <c r="AP4786" s="138">
        <f>1-AP4785/(3*F_GAMMA*AP$29)</f>
        <v>0.43725800282387595</v>
      </c>
      <c r="AQ4786" s="133"/>
      <c r="AR4786" s="146"/>
      <c r="AS4786" s="138">
        <f>1-AS4785/(3*F_GAMMA*AS$29)</f>
        <v>0.14604716598728651</v>
      </c>
      <c r="AT4786" s="133"/>
      <c r="AU4786" s="146"/>
    </row>
    <row r="4787" spans="13:47" x14ac:dyDescent="0.25">
      <c r="M4787" s="27"/>
      <c r="N4787" s="27"/>
      <c r="O4787" s="2" t="s">
        <v>71</v>
      </c>
      <c r="P4787" s="85">
        <v>5</v>
      </c>
      <c r="Q4787" s="2"/>
      <c r="R4787" s="179">
        <f>R4779/((N_6*R$27*R4786)*SQRT(R4785*R4781*R4783))</f>
        <v>77.767933300186172</v>
      </c>
      <c r="S4787" s="133"/>
      <c r="T4787" s="146"/>
      <c r="U4787" s="143" t="e">
        <f>U4779/((N_6*U$27*U4786)*SQRT(U4785*U4781*U4783))</f>
        <v>#NUM!</v>
      </c>
      <c r="V4787" s="133"/>
      <c r="W4787" s="146"/>
      <c r="X4787" s="143">
        <f>X4779/((N_6*X$27*X4786)*SQRT(X4785*X4781*X4783))</f>
        <v>52.043441242746631</v>
      </c>
      <c r="Y4787" s="133"/>
      <c r="Z4787" s="146"/>
      <c r="AA4787" s="143">
        <f>AA4779/((N_6*AA$27*AA4786)*SQRT(AA4785*AA4781*AA4783))</f>
        <v>20.616491813175415</v>
      </c>
      <c r="AB4787" s="133"/>
      <c r="AC4787" s="146"/>
      <c r="AD4787" s="143">
        <f>AD4779/((N_6*AD$27*AD4786)*SQRT(AD4785*AD4781*AD4783))</f>
        <v>12.435116362648067</v>
      </c>
      <c r="AE4787" s="133"/>
      <c r="AF4787" s="146"/>
      <c r="AG4787" s="143">
        <f>AG4779/((N_6*AG$27*AG4786)*SQRT(AG4785*AG4781*AG4783))</f>
        <v>9.6010157214926686</v>
      </c>
      <c r="AH4787" s="133"/>
      <c r="AI4787" s="146"/>
      <c r="AJ4787" s="143">
        <f>AJ4779/((N_6*AJ$27*AJ4786)*SQRT(AJ4785*AJ4781*AJ4783))</f>
        <v>8.6060445122940461</v>
      </c>
      <c r="AK4787" s="133"/>
      <c r="AL4787" s="146"/>
      <c r="AM4787" s="143">
        <f>AM4779/((N_6*AM$27*AM4786)*SQRT(AM4785*AM4781*AM4783))</f>
        <v>9.1741455838832557</v>
      </c>
      <c r="AN4787" s="133"/>
      <c r="AO4787" s="146"/>
      <c r="AP4787" s="143">
        <f>AP4779/((N_6*AP$27*AP4786)*SQRT(AP4785*AP4781*AP4783))</f>
        <v>6.8031060689176357</v>
      </c>
      <c r="AQ4787" s="133"/>
      <c r="AR4787" s="146"/>
      <c r="AS4787" s="143">
        <f>AS4779/((N_6*AS$27*AS4786)*SQRT(AS4785*AS4781*AS4783))</f>
        <v>23.974243023323062</v>
      </c>
      <c r="AT4787" s="133"/>
      <c r="AU4787" s="146"/>
    </row>
    <row r="4788" spans="13:47" x14ac:dyDescent="0.25">
      <c r="M4788" s="27"/>
      <c r="N4788" s="27"/>
      <c r="O4788" s="2" t="s">
        <v>73</v>
      </c>
      <c r="P4788" s="85">
        <v>5</v>
      </c>
      <c r="Q4788" s="2"/>
      <c r="R4788" s="179">
        <f>R4779/((N_6*R$27*0.667)*SQRT(R4789*R4781*R4783))</f>
        <v>61.714498679392136</v>
      </c>
      <c r="S4788" s="133"/>
      <c r="T4788" s="147"/>
      <c r="U4788" s="143">
        <f>U4779/((N_6*U$27*0.667)*SQRT(U4789*U4781*U4783))</f>
        <v>211.76838330080756</v>
      </c>
      <c r="V4788" s="133"/>
      <c r="W4788" s="155"/>
      <c r="X4788" s="143">
        <f>X4779/((N_6*X$27*0.667)*SQRT(X4789*X4781*X4783))</f>
        <v>41.551341490347809</v>
      </c>
      <c r="Y4788" s="133"/>
      <c r="Z4788" s="155"/>
      <c r="AA4788" s="143">
        <f>AA4779/((N_6*AA$27*0.667)*SQRT(AA4789*AA4781*AA4783))</f>
        <v>17.807470823550887</v>
      </c>
      <c r="AB4788" s="133"/>
      <c r="AC4788" s="155"/>
      <c r="AD4788" s="143">
        <f>AD4779/((N_6*AD$27*0.667)*SQRT(AD4789*AD4781*AD4783))</f>
        <v>10.682473949885336</v>
      </c>
      <c r="AE4788" s="133"/>
      <c r="AF4788" s="155"/>
      <c r="AG4788" s="143">
        <f>AG4779/((N_6*AG$27*0.667)*SQRT(AG4789*AG4781*AG4783))</f>
        <v>7.912489692627247</v>
      </c>
      <c r="AH4788" s="133"/>
      <c r="AI4788" s="155"/>
      <c r="AJ4788" s="143">
        <f>AJ4779/((N_6*AJ$27*0.667)*SQRT(AJ4789*AJ4781*AJ4783))</f>
        <v>6.6359190375885353</v>
      </c>
      <c r="AK4788" s="133"/>
      <c r="AL4788" s="155"/>
      <c r="AM4788" s="143">
        <f>AM4779/((N_6*AM$27*0.667)*SQRT(AM4789*AM4781*AM4783))</f>
        <v>6.266898429853855</v>
      </c>
      <c r="AN4788" s="133"/>
      <c r="AO4788" s="155"/>
      <c r="AP4788" s="143">
        <f>AP4779/((N_6*AP$27*0.667)*SQRT(AP4789*AP4781*AP4783))</f>
        <v>5.794746825511071</v>
      </c>
      <c r="AQ4788" s="133"/>
      <c r="AR4788" s="155"/>
      <c r="AS4788" s="143">
        <f>AS4779/((N_6*AS$27*0.667)*SQRT(AS4789*AS4781*AS4783))</f>
        <v>8.402137277173793</v>
      </c>
      <c r="AT4788" s="133"/>
      <c r="AU4788" s="155"/>
    </row>
    <row r="4789" spans="13:47" ht="15.5" x14ac:dyDescent="0.4">
      <c r="M4789" s="27"/>
      <c r="N4789" s="27"/>
      <c r="O4789" s="2" t="s">
        <v>192</v>
      </c>
      <c r="P4789" s="85">
        <v>10</v>
      </c>
      <c r="Q4789" s="2"/>
      <c r="R4789" s="181">
        <f>F_GAMMA*R$29</f>
        <v>0.64002688015162901</v>
      </c>
      <c r="S4789" s="133"/>
      <c r="T4789" s="147"/>
      <c r="U4789" s="138">
        <f>F_GAMMA*U$29</f>
        <v>0.64016782916606918</v>
      </c>
      <c r="V4789" s="133"/>
      <c r="W4789" s="155"/>
      <c r="X4789" s="138">
        <f>F_GAMMA*X$29</f>
        <v>0.6307062319203669</v>
      </c>
      <c r="Y4789" s="133"/>
      <c r="Z4789" s="155"/>
      <c r="AA4789" s="138">
        <f>F_GAMMA*AA$29</f>
        <v>0.62217534213893466</v>
      </c>
      <c r="AB4789" s="133"/>
      <c r="AC4789" s="155"/>
      <c r="AD4789" s="138">
        <f>F_GAMMA*AD$29</f>
        <v>0.60557184969146072</v>
      </c>
      <c r="AE4789" s="133"/>
      <c r="AF4789" s="155"/>
      <c r="AG4789" s="138">
        <f>F_GAMMA*AG$29</f>
        <v>0.57289312142622573</v>
      </c>
      <c r="AH4789" s="133"/>
      <c r="AI4789" s="155"/>
      <c r="AJ4789" s="138">
        <f>F_GAMMA*AJ$29</f>
        <v>0.53590819116049981</v>
      </c>
      <c r="AK4789" s="133"/>
      <c r="AL4789" s="155"/>
      <c r="AM4789" s="138">
        <f>F_GAMMA*AM$29</f>
        <v>0.49048815926850342</v>
      </c>
      <c r="AN4789" s="133"/>
      <c r="AO4789" s="155"/>
      <c r="AP4789" s="138">
        <f>F_GAMMA*AP$29</f>
        <v>0.59352979016280105</v>
      </c>
      <c r="AQ4789" s="133"/>
      <c r="AR4789" s="155"/>
      <c r="AS4789" s="138">
        <f>F_GAMMA*AS$29</f>
        <v>0.39097221161068291</v>
      </c>
      <c r="AT4789" s="133"/>
      <c r="AU4789" s="155"/>
    </row>
    <row r="4790" spans="13:47" x14ac:dyDescent="0.25">
      <c r="M4790" s="27"/>
      <c r="N4790" s="27"/>
      <c r="O4790" s="2" t="s">
        <v>193</v>
      </c>
      <c r="P4790" s="134"/>
      <c r="Q4790" s="2"/>
      <c r="R4790" s="181">
        <f>IF(R4785&lt;R4789,R4787,R4788)</f>
        <v>77.767933300186172</v>
      </c>
      <c r="S4790" s="133"/>
      <c r="T4790" s="147"/>
      <c r="U4790" s="138" t="e">
        <f>IF(U4785&lt;U4789,U4787,U4788)</f>
        <v>#NUM!</v>
      </c>
      <c r="V4790" s="133"/>
      <c r="W4790" s="155"/>
      <c r="X4790" s="138">
        <f>IF(X4785&lt;X4789,X4787,X4788)</f>
        <v>41.551341490347809</v>
      </c>
      <c r="Y4790" s="133"/>
      <c r="Z4790" s="155"/>
      <c r="AA4790" s="138">
        <f>IF(AA4785&lt;AA4789,AA4787,AA4788)</f>
        <v>17.807470823550887</v>
      </c>
      <c r="AB4790" s="133"/>
      <c r="AC4790" s="155"/>
      <c r="AD4790" s="138">
        <f>IF(AD4785&lt;AD4789,AD4787,AD4788)</f>
        <v>10.682473949885336</v>
      </c>
      <c r="AE4790" s="133"/>
      <c r="AF4790" s="155"/>
      <c r="AG4790" s="138">
        <f>IF(AG4785&lt;AG4789,AG4787,AG4788)</f>
        <v>7.912489692627247</v>
      </c>
      <c r="AH4790" s="133"/>
      <c r="AI4790" s="155"/>
      <c r="AJ4790" s="138">
        <f>IF(AJ4785&lt;AJ4789,AJ4787,AJ4788)</f>
        <v>6.6359190375885353</v>
      </c>
      <c r="AK4790" s="133"/>
      <c r="AL4790" s="155"/>
      <c r="AM4790" s="138">
        <f>IF(AM4785&lt;AM4789,AM4787,AM4788)</f>
        <v>6.266898429853855</v>
      </c>
      <c r="AN4790" s="133"/>
      <c r="AO4790" s="155"/>
      <c r="AP4790" s="138">
        <f>IF(AP4785&lt;AP4789,AP4787,AP4788)</f>
        <v>5.794746825511071</v>
      </c>
      <c r="AQ4790" s="133"/>
      <c r="AR4790" s="155"/>
      <c r="AS4790" s="138">
        <f>IF(AS4785&lt;AS4789,AS4787,AS4788)</f>
        <v>8.402137277173793</v>
      </c>
      <c r="AT4790" s="133"/>
      <c r="AU4790" s="155"/>
    </row>
    <row r="4791" spans="13:47" ht="13" x14ac:dyDescent="0.3">
      <c r="M4791" s="28"/>
      <c r="N4791" s="28"/>
      <c r="O4791" s="9" t="s">
        <v>194</v>
      </c>
      <c r="P4791" s="1"/>
      <c r="Q4791" s="1"/>
      <c r="R4791" s="135"/>
      <c r="S4791" s="132">
        <f>IF(R4784&lt;=0,W_max,ABS(R$23-R4790))</f>
        <v>75.767933300186172</v>
      </c>
      <c r="T4791" s="151">
        <f>R4779</f>
        <v>9424.6170802923771</v>
      </c>
      <c r="U4791" s="135"/>
      <c r="V4791" s="132">
        <f>IF(U4784&lt;=0,W_max,ABS(U$23-U4790))</f>
        <v>7174</v>
      </c>
      <c r="W4791" s="151">
        <f>U4779</f>
        <v>13551.373596559752</v>
      </c>
      <c r="X4791" s="135"/>
      <c r="Y4791" s="132">
        <f>IF(X4784&lt;=0,W_max,ABS(X$23-X4790))</f>
        <v>7174</v>
      </c>
      <c r="Z4791" s="151">
        <f>X4779</f>
        <v>33514.159536653955</v>
      </c>
      <c r="AA4791" s="135"/>
      <c r="AB4791" s="132">
        <f>IF(AA4784&lt;=0,W_max,ABS(AA$23-AA4790))</f>
        <v>7174</v>
      </c>
      <c r="AC4791" s="151">
        <f>AA4779</f>
        <v>65277.028441898059</v>
      </c>
      <c r="AD4791" s="135"/>
      <c r="AE4791" s="132">
        <f>IF(AD4784&lt;=0,W_max,ABS(AD$23-AD4790))</f>
        <v>7174</v>
      </c>
      <c r="AF4791" s="151">
        <f>AD4779</f>
        <v>107356.67821095367</v>
      </c>
      <c r="AG4791" s="135"/>
      <c r="AH4791" s="132">
        <f>IF(AG4784&lt;=0,W_max,ABS(AG$23-AG4790))</f>
        <v>7174</v>
      </c>
      <c r="AI4791" s="151">
        <f>AG4779</f>
        <v>150576.00617029602</v>
      </c>
      <c r="AJ4791" s="135"/>
      <c r="AK4791" s="132">
        <f>IF(AJ4784&lt;=0,W_max,ABS(AJ$23-AJ4790))</f>
        <v>7174</v>
      </c>
      <c r="AL4791" s="151">
        <f>AJ4779</f>
        <v>191191.57227198029</v>
      </c>
      <c r="AM4791" s="135"/>
      <c r="AN4791" s="132">
        <f>IF(AM4784&lt;=0,W_max,ABS(AM$23-AM4790))</f>
        <v>7174</v>
      </c>
      <c r="AO4791" s="151">
        <f>AM4779</f>
        <v>224187.15473551006</v>
      </c>
      <c r="AP4791" s="135"/>
      <c r="AQ4791" s="132">
        <f>IF(AP4784&lt;=0,W_max,ABS(AP$23-AP4790))</f>
        <v>7174</v>
      </c>
      <c r="AR4791" s="151">
        <f>AP4779</f>
        <v>250118.51226736809</v>
      </c>
      <c r="AS4791" s="135"/>
      <c r="AT4791" s="132">
        <f>IF(AS4784&lt;=0,W_max,ABS(AS$23-AS4790))</f>
        <v>7174</v>
      </c>
      <c r="AU4791" s="151">
        <f>AS4779</f>
        <v>279049.30705172336</v>
      </c>
    </row>
    <row r="4792" spans="13:47" ht="13" x14ac:dyDescent="0.25">
      <c r="M4792" s="12"/>
      <c r="N4792" s="12"/>
      <c r="O4792" s="12"/>
      <c r="P4792" s="12"/>
      <c r="Q4792" s="12"/>
      <c r="R4792" s="182"/>
      <c r="S4792" s="22"/>
      <c r="T4792" s="152"/>
      <c r="U4792" s="157"/>
      <c r="V4792" s="1"/>
      <c r="W4792" s="147"/>
      <c r="X4792" s="157"/>
      <c r="Y4792" s="1"/>
      <c r="Z4792" s="147"/>
      <c r="AA4792" s="157"/>
      <c r="AB4792" s="1"/>
      <c r="AC4792" s="147"/>
      <c r="AD4792" s="157"/>
      <c r="AE4792" s="1"/>
      <c r="AF4792" s="147"/>
      <c r="AG4792" s="157"/>
      <c r="AH4792" s="1"/>
      <c r="AI4792" s="147"/>
      <c r="AJ4792" s="157"/>
      <c r="AK4792" s="1"/>
      <c r="AL4792" s="147"/>
      <c r="AM4792" s="157"/>
      <c r="AN4792" s="1"/>
      <c r="AO4792" s="147"/>
      <c r="AP4792" s="157"/>
      <c r="AQ4792" s="1"/>
      <c r="AR4792" s="147"/>
      <c r="AS4792" s="157"/>
      <c r="AT4792" s="1"/>
      <c r="AU4792" s="147"/>
    </row>
    <row r="4793" spans="13:47" ht="14" x14ac:dyDescent="0.3">
      <c r="M4793" s="23"/>
      <c r="N4793" s="23"/>
      <c r="O4793" s="23" t="s">
        <v>238</v>
      </c>
      <c r="P4793" s="20"/>
      <c r="Q4793" s="20"/>
      <c r="R4793" s="18">
        <f>R4779*1.02</f>
        <v>9613.1094218982253</v>
      </c>
      <c r="S4793" s="128" t="s">
        <v>185</v>
      </c>
      <c r="T4793" s="153" t="s">
        <v>186</v>
      </c>
      <c r="U4793" s="143">
        <f>U4779*1.01</f>
        <v>13686.88733252535</v>
      </c>
      <c r="V4793" s="128" t="s">
        <v>185</v>
      </c>
      <c r="W4793" s="153" t="s">
        <v>186</v>
      </c>
      <c r="X4793" s="143">
        <f>X4779*1.01</f>
        <v>33849.301132020497</v>
      </c>
      <c r="Y4793" s="128" t="s">
        <v>185</v>
      </c>
      <c r="Z4793" s="153" t="s">
        <v>186</v>
      </c>
      <c r="AA4793" s="143">
        <f>AA4779*1.01</f>
        <v>65929.798726317036</v>
      </c>
      <c r="AB4793" s="128" t="s">
        <v>185</v>
      </c>
      <c r="AC4793" s="153" t="s">
        <v>186</v>
      </c>
      <c r="AD4793" s="143">
        <f>AD4779*1.01</f>
        <v>108430.24499306321</v>
      </c>
      <c r="AE4793" s="128" t="s">
        <v>185</v>
      </c>
      <c r="AF4793" s="153" t="s">
        <v>186</v>
      </c>
      <c r="AG4793" s="143">
        <f>AG4779*1.01</f>
        <v>152081.76623199898</v>
      </c>
      <c r="AH4793" s="128" t="s">
        <v>185</v>
      </c>
      <c r="AI4793" s="153" t="s">
        <v>186</v>
      </c>
      <c r="AJ4793" s="143">
        <f>AJ4779*1.01</f>
        <v>193103.48799470009</v>
      </c>
      <c r="AK4793" s="128" t="s">
        <v>185</v>
      </c>
      <c r="AL4793" s="153" t="s">
        <v>186</v>
      </c>
      <c r="AM4793" s="143">
        <f>AM4779*1.01</f>
        <v>226429.02628286518</v>
      </c>
      <c r="AN4793" s="128" t="s">
        <v>185</v>
      </c>
      <c r="AO4793" s="153" t="s">
        <v>186</v>
      </c>
      <c r="AP4793" s="143">
        <f>AP4779*1.01</f>
        <v>252619.69739004178</v>
      </c>
      <c r="AQ4793" s="128" t="s">
        <v>185</v>
      </c>
      <c r="AR4793" s="153" t="s">
        <v>186</v>
      </c>
      <c r="AS4793" s="143">
        <f>AS4779*1.01</f>
        <v>281839.80012224062</v>
      </c>
      <c r="AT4793" s="128" t="s">
        <v>185</v>
      </c>
      <c r="AU4793" s="153" t="s">
        <v>186</v>
      </c>
    </row>
    <row r="4794" spans="13:47" ht="14" x14ac:dyDescent="0.3">
      <c r="M4794" s="12"/>
      <c r="N4794" s="12"/>
      <c r="O4794" s="20"/>
      <c r="P4794" s="20"/>
      <c r="Q4794" s="23"/>
      <c r="R4794" s="139"/>
      <c r="S4794" s="130" t="s">
        <v>228</v>
      </c>
      <c r="T4794" s="154" t="s">
        <v>187</v>
      </c>
      <c r="U4794" s="144"/>
      <c r="V4794" s="130" t="s">
        <v>228</v>
      </c>
      <c r="W4794" s="154" t="s">
        <v>187</v>
      </c>
      <c r="X4794" s="144"/>
      <c r="Y4794" s="130" t="s">
        <v>228</v>
      </c>
      <c r="Z4794" s="154" t="s">
        <v>187</v>
      </c>
      <c r="AA4794" s="144"/>
      <c r="AB4794" s="130" t="s">
        <v>228</v>
      </c>
      <c r="AC4794" s="154" t="s">
        <v>187</v>
      </c>
      <c r="AD4794" s="144"/>
      <c r="AE4794" s="130" t="s">
        <v>228</v>
      </c>
      <c r="AF4794" s="154" t="s">
        <v>187</v>
      </c>
      <c r="AG4794" s="144"/>
      <c r="AH4794" s="130" t="s">
        <v>228</v>
      </c>
      <c r="AI4794" s="154" t="s">
        <v>187</v>
      </c>
      <c r="AJ4794" s="144"/>
      <c r="AK4794" s="130" t="s">
        <v>228</v>
      </c>
      <c r="AL4794" s="154" t="s">
        <v>187</v>
      </c>
      <c r="AM4794" s="144"/>
      <c r="AN4794" s="130" t="s">
        <v>228</v>
      </c>
      <c r="AO4794" s="154" t="s">
        <v>187</v>
      </c>
      <c r="AP4794" s="144"/>
      <c r="AQ4794" s="130" t="s">
        <v>228</v>
      </c>
      <c r="AR4794" s="154" t="s">
        <v>187</v>
      </c>
      <c r="AS4794" s="144"/>
      <c r="AT4794" s="130" t="s">
        <v>228</v>
      </c>
      <c r="AU4794" s="154" t="s">
        <v>187</v>
      </c>
    </row>
    <row r="4795" spans="13:47" x14ac:dyDescent="0.25">
      <c r="M4795" s="20"/>
      <c r="N4795" s="20"/>
      <c r="O4795" s="7" t="s">
        <v>188</v>
      </c>
      <c r="P4795" s="7"/>
      <c r="Q4795" s="7"/>
      <c r="R4795" s="181">
        <f>P_1_minW-(R4793^2*R_up)+dpup_minQ</f>
        <v>63.672458639519746</v>
      </c>
      <c r="S4795" s="132"/>
      <c r="T4795" s="145"/>
      <c r="U4795" s="138">
        <f>P_1_minW-(U4793^2*R_up)+dpup_minQ</f>
        <v>25.822379055288593</v>
      </c>
      <c r="V4795" s="132"/>
      <c r="W4795" s="145"/>
      <c r="X4795" s="138">
        <f>P_1_minW-(X4793^2*R_up)+dpup_minQ</f>
        <v>-356.36863112347061</v>
      </c>
      <c r="Y4795" s="132"/>
      <c r="Z4795" s="145"/>
      <c r="AA4795" s="138">
        <f>P_1_minW-(AA4793^2*R_up)+dpup_minQ</f>
        <v>-1632.7905846160259</v>
      </c>
      <c r="AB4795" s="132"/>
      <c r="AC4795" s="145"/>
      <c r="AD4795" s="138">
        <f>P_1_minW-(AD4793^2*R_up)+dpup_minQ</f>
        <v>-4587.7671908194461</v>
      </c>
      <c r="AE4795" s="132"/>
      <c r="AF4795" s="145"/>
      <c r="AG4795" s="138">
        <f>P_1_minW-(AG4793^2*R_up)+dpup_minQ</f>
        <v>-9122.3853471471557</v>
      </c>
      <c r="AH4795" s="132"/>
      <c r="AI4795" s="145"/>
      <c r="AJ4795" s="138">
        <f>P_1_minW-(AJ4793^2*R_up)+dpup_minQ</f>
        <v>-14768.890218780596</v>
      </c>
      <c r="AK4795" s="132"/>
      <c r="AL4795" s="145"/>
      <c r="AM4795" s="138">
        <f>P_1_minW-(AM4793^2*R_up)+dpup_minQ</f>
        <v>-20344.038020428387</v>
      </c>
      <c r="AN4795" s="132"/>
      <c r="AO4795" s="145"/>
      <c r="AP4795" s="138">
        <f>P_1_minW-(AP4793^2*R_up)+dpup_minQ</f>
        <v>-25347.146295583796</v>
      </c>
      <c r="AQ4795" s="132"/>
      <c r="AR4795" s="145"/>
      <c r="AS4795" s="138">
        <f>P_1_minW-(AS4793^2*R_up)+dpup_minQ</f>
        <v>-31574.594513720818</v>
      </c>
      <c r="AT4795" s="132"/>
      <c r="AU4795" s="145"/>
    </row>
    <row r="4796" spans="13:47" x14ac:dyDescent="0.25">
      <c r="M4796" s="20"/>
      <c r="N4796" s="20"/>
      <c r="O4796" s="7" t="s">
        <v>189</v>
      </c>
      <c r="P4796" s="1"/>
      <c r="Q4796" s="7"/>
      <c r="R4796" s="181">
        <f>P_2_minW+(R4793^2*R_dn)-dpdn_minQ</f>
        <v>50</v>
      </c>
      <c r="S4796" s="132"/>
      <c r="T4796" s="146"/>
      <c r="U4796" s="138">
        <f>P_2_minW+(U4793^2*R_dn)-dpdn_minQ</f>
        <v>50</v>
      </c>
      <c r="V4796" s="132"/>
      <c r="W4796" s="146"/>
      <c r="X4796" s="138">
        <f>P_2_minW+(X4793^2*R_dn)-dpdn_minQ</f>
        <v>50</v>
      </c>
      <c r="Y4796" s="132"/>
      <c r="Z4796" s="146"/>
      <c r="AA4796" s="138">
        <f>P_2_minW+(AA4793^2*R_dn)-dpdn_minQ</f>
        <v>50</v>
      </c>
      <c r="AB4796" s="132"/>
      <c r="AC4796" s="146"/>
      <c r="AD4796" s="138">
        <f>P_2_minW+(AD4793^2*R_dn)-dpdn_minQ</f>
        <v>50</v>
      </c>
      <c r="AE4796" s="132"/>
      <c r="AF4796" s="146"/>
      <c r="AG4796" s="138">
        <f>P_2_minW+(AG4793^2*R_dn)-dpdn_minQ</f>
        <v>50</v>
      </c>
      <c r="AH4796" s="132"/>
      <c r="AI4796" s="146"/>
      <c r="AJ4796" s="138">
        <f>P_2_minW+(AJ4793^2*R_dn)-dpdn_minQ</f>
        <v>50</v>
      </c>
      <c r="AK4796" s="132"/>
      <c r="AL4796" s="146"/>
      <c r="AM4796" s="138">
        <f>P_2_minW+(AM4793^2*R_dn)-dpdn_minQ</f>
        <v>50</v>
      </c>
      <c r="AN4796" s="132"/>
      <c r="AO4796" s="146"/>
      <c r="AP4796" s="138">
        <f>P_2_minW+(AP4793^2*R_dn)-dpdn_minQ</f>
        <v>50</v>
      </c>
      <c r="AQ4796" s="132"/>
      <c r="AR4796" s="146"/>
      <c r="AS4796" s="138">
        <f>P_2_minW+(AS4793^2*R_dn)-dpdn_minQ</f>
        <v>50</v>
      </c>
      <c r="AT4796" s="132"/>
      <c r="AU4796" s="146"/>
    </row>
    <row r="4797" spans="13:47" x14ac:dyDescent="0.25">
      <c r="M4797" s="20"/>
      <c r="N4797" s="20"/>
      <c r="O4797" s="7" t="s">
        <v>234</v>
      </c>
      <c r="P4797" s="1"/>
      <c r="Q4797" s="7"/>
      <c r="R4797" s="179">
        <f>'Valve Sizing'!G$8*R4795/P_1_maxW</f>
        <v>0.30714460429450041</v>
      </c>
      <c r="S4797" s="132"/>
      <c r="T4797" s="146"/>
      <c r="U4797" s="143">
        <f>'Valve Sizing'!$G$8*U4795/P_1_maxW</f>
        <v>0.12456255917148658</v>
      </c>
      <c r="V4797" s="132"/>
      <c r="W4797" s="146"/>
      <c r="X4797" s="143">
        <f>'Valve Sizing'!$G$8*X4795/P_1_maxW</f>
        <v>-1.7190588290155078</v>
      </c>
      <c r="Y4797" s="132"/>
      <c r="Z4797" s="146"/>
      <c r="AA4797" s="143">
        <f>'Valve Sizing'!$G$8*AA4795/P_1_maxW</f>
        <v>-7.8762910797417565</v>
      </c>
      <c r="AB4797" s="132"/>
      <c r="AC4797" s="146"/>
      <c r="AD4797" s="143">
        <f>'Valve Sizing'!$G$8*AD4795/P_1_maxW</f>
        <v>-22.130572126909136</v>
      </c>
      <c r="AE4797" s="132"/>
      <c r="AF4797" s="146"/>
      <c r="AG4797" s="143">
        <f>'Valve Sizing'!$G$8*AG4795/P_1_maxW</f>
        <v>-44.004762774032493</v>
      </c>
      <c r="AH4797" s="132"/>
      <c r="AI4797" s="146"/>
      <c r="AJ4797" s="143">
        <f>'Valve Sizing'!$G$8*AJ4795/P_1_maxW</f>
        <v>-71.242496976562464</v>
      </c>
      <c r="AK4797" s="132"/>
      <c r="AL4797" s="146"/>
      <c r="AM4797" s="143">
        <f>'Valve Sizing'!$G$8*AM4795/P_1_maxW</f>
        <v>-98.136017377824913</v>
      </c>
      <c r="AN4797" s="132"/>
      <c r="AO4797" s="146"/>
      <c r="AP4797" s="143">
        <f>'Valve Sizing'!$G$8*AP4795/P_1_maxW</f>
        <v>-122.27012094864847</v>
      </c>
      <c r="AQ4797" s="132"/>
      <c r="AR4797" s="146"/>
      <c r="AS4797" s="143">
        <f>'Valve Sizing'!$G$8*AS4795/P_1_maxW</f>
        <v>-152.31022242412394</v>
      </c>
      <c r="AT4797" s="132"/>
      <c r="AU4797" s="146"/>
    </row>
    <row r="4798" spans="13:47" x14ac:dyDescent="0.25">
      <c r="M4798" s="20"/>
      <c r="N4798" s="20"/>
      <c r="O4798" s="7" t="s">
        <v>190</v>
      </c>
      <c r="P4798" s="1"/>
      <c r="Q4798" s="7"/>
      <c r="R4798" s="181">
        <f>R4795-R4796</f>
        <v>13.672458639519746</v>
      </c>
      <c r="S4798" s="132"/>
      <c r="T4798" s="146"/>
      <c r="U4798" s="138">
        <f>U4795-U4796</f>
        <v>-24.177620944711407</v>
      </c>
      <c r="V4798" s="132"/>
      <c r="W4798" s="146"/>
      <c r="X4798" s="138">
        <f>X4795-X4796</f>
        <v>-406.36863112347061</v>
      </c>
      <c r="Y4798" s="132"/>
      <c r="Z4798" s="146"/>
      <c r="AA4798" s="138">
        <f>AA4795-AA4796</f>
        <v>-1682.7905846160259</v>
      </c>
      <c r="AB4798" s="132"/>
      <c r="AC4798" s="146"/>
      <c r="AD4798" s="138">
        <f>AD4795-AD4796</f>
        <v>-4637.7671908194461</v>
      </c>
      <c r="AE4798" s="132"/>
      <c r="AF4798" s="146"/>
      <c r="AG4798" s="138">
        <f>AG4795-AG4796</f>
        <v>-9172.3853471471557</v>
      </c>
      <c r="AH4798" s="132"/>
      <c r="AI4798" s="146"/>
      <c r="AJ4798" s="138">
        <f>AJ4795-AJ4796</f>
        <v>-14818.890218780596</v>
      </c>
      <c r="AK4798" s="132"/>
      <c r="AL4798" s="146"/>
      <c r="AM4798" s="138">
        <f>AM4795-AM4796</f>
        <v>-20394.038020428387</v>
      </c>
      <c r="AN4798" s="132"/>
      <c r="AO4798" s="146"/>
      <c r="AP4798" s="138">
        <f>AP4795-AP4796</f>
        <v>-25397.146295583796</v>
      </c>
      <c r="AQ4798" s="132"/>
      <c r="AR4798" s="146"/>
      <c r="AS4798" s="138">
        <f>AS4795-AS4796</f>
        <v>-31624.594513720818</v>
      </c>
      <c r="AT4798" s="132"/>
      <c r="AU4798" s="146"/>
    </row>
    <row r="4799" spans="13:47" ht="14.5" x14ac:dyDescent="0.35">
      <c r="M4799" s="27"/>
      <c r="N4799" s="27"/>
      <c r="O4799" s="2" t="s">
        <v>191</v>
      </c>
      <c r="P4799" s="10"/>
      <c r="Q4799" s="2"/>
      <c r="R4799" s="181">
        <f>R4798/R4795</f>
        <v>0.21473112443994155</v>
      </c>
      <c r="S4799" s="132"/>
      <c r="T4799" s="146"/>
      <c r="U4799" s="138">
        <f>U4798/U4795</f>
        <v>-0.93630493506986423</v>
      </c>
      <c r="V4799" s="132"/>
      <c r="W4799" s="146"/>
      <c r="X4799" s="138">
        <f>X4798/X4795</f>
        <v>1.14030415595888</v>
      </c>
      <c r="Y4799" s="132"/>
      <c r="Z4799" s="146"/>
      <c r="AA4799" s="138">
        <f>AA4798/AA4795</f>
        <v>1.0306224205792798</v>
      </c>
      <c r="AB4799" s="132"/>
      <c r="AC4799" s="146"/>
      <c r="AD4799" s="138">
        <f>AD4798/AD4795</f>
        <v>1.0108985477946777</v>
      </c>
      <c r="AE4799" s="132"/>
      <c r="AF4799" s="146"/>
      <c r="AG4799" s="138">
        <f>AG4798/AG4795</f>
        <v>1.0054810225721977</v>
      </c>
      <c r="AH4799" s="132"/>
      <c r="AI4799" s="146"/>
      <c r="AJ4799" s="138">
        <f>AJ4798/AJ4795</f>
        <v>1.0033854947297542</v>
      </c>
      <c r="AK4799" s="132"/>
      <c r="AL4799" s="146"/>
      <c r="AM4799" s="138">
        <f>AM4798/AM4795</f>
        <v>1.0024577225008031</v>
      </c>
      <c r="AN4799" s="132"/>
      <c r="AO4799" s="146"/>
      <c r="AP4799" s="138">
        <f>AP4798/AP4795</f>
        <v>1.0019726086486</v>
      </c>
      <c r="AQ4799" s="132"/>
      <c r="AR4799" s="146"/>
      <c r="AS4799" s="138">
        <f>AS4798/AS4795</f>
        <v>1.001583551610719</v>
      </c>
      <c r="AT4799" s="132"/>
      <c r="AU4799" s="146"/>
    </row>
    <row r="4800" spans="13:47" x14ac:dyDescent="0.25">
      <c r="M4800" s="27"/>
      <c r="N4800" s="27"/>
      <c r="O4800" s="2" t="s">
        <v>26</v>
      </c>
      <c r="P4800" s="7">
        <v>12</v>
      </c>
      <c r="Q4800" s="2"/>
      <c r="R4800" s="181">
        <f>1-R4799/(3*F_GAMMA*R$29)</f>
        <v>0.88816556976009631</v>
      </c>
      <c r="S4800" s="133"/>
      <c r="T4800" s="146"/>
      <c r="U4800" s="138">
        <f>1-U4799/(3*F_GAMMA*U$29)</f>
        <v>1.4875309736039926</v>
      </c>
      <c r="V4800" s="133"/>
      <c r="W4800" s="146"/>
      <c r="X4800" s="138">
        <f>1-X4799/(3*F_GAMMA*X$29)</f>
        <v>0.39734005138604944</v>
      </c>
      <c r="Y4800" s="133"/>
      <c r="Z4800" s="146"/>
      <c r="AA4800" s="138">
        <f>1-AA4799/(3*F_GAMMA*AA$29)</f>
        <v>0.44783924467542513</v>
      </c>
      <c r="AB4800" s="133"/>
      <c r="AC4800" s="146"/>
      <c r="AD4800" s="138">
        <f>1-AD4799/(3*F_GAMMA*AD$29)</f>
        <v>0.4435570564088962</v>
      </c>
      <c r="AE4800" s="133"/>
      <c r="AF4800" s="146"/>
      <c r="AG4800" s="138">
        <f>1-AG4799/(3*F_GAMMA*AG$29)</f>
        <v>0.41496881648183748</v>
      </c>
      <c r="AH4800" s="133"/>
      <c r="AI4800" s="146"/>
      <c r="AJ4800" s="138">
        <f>1-AJ4799/(3*F_GAMMA*AJ$29)</f>
        <v>0.37589714601616087</v>
      </c>
      <c r="AK4800" s="133"/>
      <c r="AL4800" s="146"/>
      <c r="AM4800" s="138">
        <f>1-AM4799/(3*F_GAMMA*AM$29)</f>
        <v>0.31873467717288506</v>
      </c>
      <c r="AN4800" s="133"/>
      <c r="AO4800" s="146"/>
      <c r="AP4800" s="138">
        <f>1-AP4799/(3*F_GAMMA*AP$29)</f>
        <v>0.4372803605057094</v>
      </c>
      <c r="AQ4800" s="133"/>
      <c r="AR4800" s="146"/>
      <c r="AS4800" s="138">
        <f>1-AS4799/(3*F_GAMMA*AS$29)</f>
        <v>0.14607439108054188</v>
      </c>
      <c r="AT4800" s="133"/>
      <c r="AU4800" s="146"/>
    </row>
    <row r="4801" spans="13:47" x14ac:dyDescent="0.25">
      <c r="M4801" s="27"/>
      <c r="N4801" s="27"/>
      <c r="O4801" s="2" t="s">
        <v>71</v>
      </c>
      <c r="P4801" s="85">
        <v>5</v>
      </c>
      <c r="Q4801" s="2"/>
      <c r="R4801" s="179">
        <f>R4793/((N_6*R$27*R4800)*SQRT(R4799*R4795*R4797))</f>
        <v>83.449347944656509</v>
      </c>
      <c r="S4801" s="133"/>
      <c r="T4801" s="146"/>
      <c r="U4801" s="143" t="e">
        <f>U4793/((N_6*U$27*U4800)*SQRT(U4799*U4795*U4797))</f>
        <v>#NUM!</v>
      </c>
      <c r="V4801" s="133"/>
      <c r="W4801" s="146"/>
      <c r="X4801" s="143">
        <f>X4793/((N_6*X$27*X4800)*SQRT(X4799*X4795*X4797))</f>
        <v>51.069433640620424</v>
      </c>
      <c r="Y4801" s="133"/>
      <c r="Z4801" s="146"/>
      <c r="AA4801" s="143">
        <f>AA4793/((N_6*AA$27*AA4800)*SQRT(AA4799*AA4795*AA4797))</f>
        <v>20.377617408210742</v>
      </c>
      <c r="AB4801" s="133"/>
      <c r="AC4801" s="146"/>
      <c r="AD4801" s="143">
        <f>AD4793/((N_6*AD$27*AD4800)*SQRT(AD4799*AD4795*AD4797))</f>
        <v>12.304516476791232</v>
      </c>
      <c r="AE4801" s="133"/>
      <c r="AF4801" s="146"/>
      <c r="AG4801" s="143">
        <f>AG4793/((N_6*AG$27*AG4800)*SQRT(AG4799*AG4795*AG4797))</f>
        <v>9.5028925347180166</v>
      </c>
      <c r="AH4801" s="133"/>
      <c r="AI4801" s="146"/>
      <c r="AJ4801" s="143">
        <f>AJ4793/((N_6*AJ$27*AJ4800)*SQRT(AJ4799*AJ4795*AJ4797))</f>
        <v>8.5189953196710224</v>
      </c>
      <c r="AK4801" s="133"/>
      <c r="AL4801" s="146"/>
      <c r="AM4801" s="143">
        <f>AM4793/((N_6*AM$27*AM4800)*SQRT(AM4799*AM4795*AM4797))</f>
        <v>9.0816737526831641</v>
      </c>
      <c r="AN4801" s="133"/>
      <c r="AO4801" s="146"/>
      <c r="AP4801" s="143">
        <f>AP4793/((N_6*AP$27*AP4800)*SQRT(AP4799*AP4795*AP4797))</f>
        <v>6.7350010809920784</v>
      </c>
      <c r="AQ4801" s="133"/>
      <c r="AR4801" s="146"/>
      <c r="AS4801" s="143">
        <f>AS4793/((N_6*AS$27*AS4800)*SQRT(AS4799*AS4795*AS4797))</f>
        <v>23.731309861002131</v>
      </c>
      <c r="AT4801" s="133"/>
      <c r="AU4801" s="146"/>
    </row>
    <row r="4802" spans="13:47" x14ac:dyDescent="0.25">
      <c r="M4802" s="27"/>
      <c r="N4802" s="27"/>
      <c r="O4802" s="2" t="s">
        <v>73</v>
      </c>
      <c r="P4802" s="85">
        <v>5</v>
      </c>
      <c r="Q4802" s="2"/>
      <c r="R4802" s="179">
        <f>R4793/((N_6*R$27*0.667)*SQRT(R4803*R4795*R4797))</f>
        <v>64.36346840559824</v>
      </c>
      <c r="S4802" s="133"/>
      <c r="T4802" s="155"/>
      <c r="U4802" s="143">
        <f>U4793/((N_6*U$27*0.667)*SQRT(U4803*U4795*U4797))</f>
        <v>226.07771821137302</v>
      </c>
      <c r="V4802" s="133"/>
      <c r="W4802" s="155"/>
      <c r="X4802" s="143">
        <f>X4793/((N_6*X$27*0.667)*SQRT(X4803*X4795*X4797))</f>
        <v>40.906690387647657</v>
      </c>
      <c r="Y4802" s="133"/>
      <c r="Z4802" s="155"/>
      <c r="AA4802" s="143">
        <f>AA4793/((N_6*AA$27*0.667)*SQRT(AA4803*AA4795*AA4797))</f>
        <v>17.609341431180098</v>
      </c>
      <c r="AB4802" s="133"/>
      <c r="AC4802" s="155"/>
      <c r="AD4802" s="143">
        <f>AD4793/((N_6*AD$27*0.667)*SQRT(AD4803*AD4795*AD4797))</f>
        <v>10.572048771776574</v>
      </c>
      <c r="AE4802" s="133"/>
      <c r="AF4802" s="155"/>
      <c r="AG4802" s="143">
        <f>AG4793/((N_6*AG$27*0.667)*SQRT(AG4803*AG4795*AG4797))</f>
        <v>7.8324130328645154</v>
      </c>
      <c r="AH4802" s="133"/>
      <c r="AI4802" s="155"/>
      <c r="AJ4802" s="143">
        <f>AJ4793/((N_6*AJ$27*0.667)*SQRT(AJ4803*AJ4795*AJ4797))</f>
        <v>6.5693180081431262</v>
      </c>
      <c r="AK4802" s="133"/>
      <c r="AL4802" s="155"/>
      <c r="AM4802" s="143">
        <f>AM4793/((N_6*AM$27*0.667)*SQRT(AM4803*AM4795*AM4797))</f>
        <v>6.2042336837150689</v>
      </c>
      <c r="AN4802" s="133"/>
      <c r="AO4802" s="155"/>
      <c r="AP4802" s="143">
        <f>AP4793/((N_6*AP$27*0.667)*SQRT(AP4803*AP4795*AP4797))</f>
        <v>5.7369157488674709</v>
      </c>
      <c r="AQ4802" s="133"/>
      <c r="AR4802" s="155"/>
      <c r="AS4802" s="143">
        <f>AS4793/((N_6*AS$27*0.667)*SQRT(AS4803*AS4795*AS4797))</f>
        <v>8.3184154566150994</v>
      </c>
      <c r="AT4802" s="133"/>
      <c r="AU4802" s="155"/>
    </row>
    <row r="4803" spans="13:47" ht="15.5" x14ac:dyDescent="0.4">
      <c r="M4803" s="27"/>
      <c r="N4803" s="27"/>
      <c r="O4803" s="2" t="s">
        <v>192</v>
      </c>
      <c r="P4803" s="85">
        <v>10</v>
      </c>
      <c r="Q4803" s="2"/>
      <c r="R4803" s="181">
        <f>F_GAMMA*R$29</f>
        <v>0.64002688015162901</v>
      </c>
      <c r="S4803" s="133"/>
      <c r="T4803" s="155"/>
      <c r="U4803" s="138">
        <f>F_GAMMA*U$29</f>
        <v>0.64016782916606918</v>
      </c>
      <c r="V4803" s="133"/>
      <c r="W4803" s="155"/>
      <c r="X4803" s="138">
        <f>F_GAMMA*X$29</f>
        <v>0.6307062319203669</v>
      </c>
      <c r="Y4803" s="133"/>
      <c r="Z4803" s="155"/>
      <c r="AA4803" s="138">
        <f>F_GAMMA*AA$29</f>
        <v>0.62217534213893466</v>
      </c>
      <c r="AB4803" s="133"/>
      <c r="AC4803" s="155"/>
      <c r="AD4803" s="138">
        <f>F_GAMMA*AD$29</f>
        <v>0.60557184969146072</v>
      </c>
      <c r="AE4803" s="133"/>
      <c r="AF4803" s="155"/>
      <c r="AG4803" s="138">
        <f>F_GAMMA*AG$29</f>
        <v>0.57289312142622573</v>
      </c>
      <c r="AH4803" s="133"/>
      <c r="AI4803" s="155"/>
      <c r="AJ4803" s="138">
        <f>F_GAMMA*AJ$29</f>
        <v>0.53590819116049981</v>
      </c>
      <c r="AK4803" s="133"/>
      <c r="AL4803" s="155"/>
      <c r="AM4803" s="138">
        <f>F_GAMMA*AM$29</f>
        <v>0.49048815926850342</v>
      </c>
      <c r="AN4803" s="133"/>
      <c r="AO4803" s="155"/>
      <c r="AP4803" s="138">
        <f>F_GAMMA*AP$29</f>
        <v>0.59352979016280105</v>
      </c>
      <c r="AQ4803" s="133"/>
      <c r="AR4803" s="155"/>
      <c r="AS4803" s="138">
        <f>F_GAMMA*AS$29</f>
        <v>0.39097221161068291</v>
      </c>
      <c r="AT4803" s="133"/>
      <c r="AU4803" s="155"/>
    </row>
    <row r="4804" spans="13:47" x14ac:dyDescent="0.25">
      <c r="M4804" s="27"/>
      <c r="N4804" s="27"/>
      <c r="O4804" s="2" t="s">
        <v>193</v>
      </c>
      <c r="P4804" s="134"/>
      <c r="Q4804" s="2"/>
      <c r="R4804" s="181">
        <f>IF(R4799&lt;R4803,R4801,R4802)</f>
        <v>83.449347944656509</v>
      </c>
      <c r="S4804" s="133"/>
      <c r="T4804" s="155"/>
      <c r="U4804" s="138" t="e">
        <f>IF(U4799&lt;U4803,U4801,U4802)</f>
        <v>#NUM!</v>
      </c>
      <c r="V4804" s="133"/>
      <c r="W4804" s="155"/>
      <c r="X4804" s="138">
        <f>IF(X4799&lt;X4803,X4801,X4802)</f>
        <v>40.906690387647657</v>
      </c>
      <c r="Y4804" s="133"/>
      <c r="Z4804" s="155"/>
      <c r="AA4804" s="138">
        <f>IF(AA4799&lt;AA4803,AA4801,AA4802)</f>
        <v>17.609341431180098</v>
      </c>
      <c r="AB4804" s="133"/>
      <c r="AC4804" s="155"/>
      <c r="AD4804" s="138">
        <f>IF(AD4799&lt;AD4803,AD4801,AD4802)</f>
        <v>10.572048771776574</v>
      </c>
      <c r="AE4804" s="133"/>
      <c r="AF4804" s="155"/>
      <c r="AG4804" s="138">
        <f>IF(AG4799&lt;AG4803,AG4801,AG4802)</f>
        <v>7.8324130328645154</v>
      </c>
      <c r="AH4804" s="133"/>
      <c r="AI4804" s="155"/>
      <c r="AJ4804" s="138">
        <f>IF(AJ4799&lt;AJ4803,AJ4801,AJ4802)</f>
        <v>6.5693180081431262</v>
      </c>
      <c r="AK4804" s="133"/>
      <c r="AL4804" s="155"/>
      <c r="AM4804" s="138">
        <f>IF(AM4799&lt;AM4803,AM4801,AM4802)</f>
        <v>6.2042336837150689</v>
      </c>
      <c r="AN4804" s="133"/>
      <c r="AO4804" s="155"/>
      <c r="AP4804" s="138">
        <f>IF(AP4799&lt;AP4803,AP4801,AP4802)</f>
        <v>5.7369157488674709</v>
      </c>
      <c r="AQ4804" s="133"/>
      <c r="AR4804" s="155"/>
      <c r="AS4804" s="138">
        <f>IF(AS4799&lt;AS4803,AS4801,AS4802)</f>
        <v>8.3184154566150994</v>
      </c>
      <c r="AT4804" s="133"/>
      <c r="AU4804" s="155"/>
    </row>
    <row r="4805" spans="13:47" ht="13" x14ac:dyDescent="0.3">
      <c r="M4805" s="28"/>
      <c r="N4805" s="28"/>
      <c r="O4805" s="9" t="s">
        <v>194</v>
      </c>
      <c r="P4805" s="1"/>
      <c r="Q4805" s="1"/>
      <c r="R4805" s="135"/>
      <c r="S4805" s="132">
        <f>IF(R4798&lt;=0,W_max,ABS(R$23-R4804))</f>
        <v>81.449347944656509</v>
      </c>
      <c r="T4805" s="151">
        <f>R4793</f>
        <v>9613.1094218982253</v>
      </c>
      <c r="U4805" s="135"/>
      <c r="V4805" s="132">
        <f>IF(U4798&lt;=0,W_max,ABS(U$23-U4804))</f>
        <v>7174</v>
      </c>
      <c r="W4805" s="151">
        <f>U4793</f>
        <v>13686.88733252535</v>
      </c>
      <c r="X4805" s="135"/>
      <c r="Y4805" s="132">
        <f>IF(X4798&lt;=0,W_max,ABS(X$23-X4804))</f>
        <v>7174</v>
      </c>
      <c r="Z4805" s="151">
        <f>X4793</f>
        <v>33849.301132020497</v>
      </c>
      <c r="AA4805" s="135"/>
      <c r="AB4805" s="132">
        <f>IF(AA4798&lt;=0,W_max,ABS(AA$23-AA4804))</f>
        <v>7174</v>
      </c>
      <c r="AC4805" s="151">
        <f>AA4793</f>
        <v>65929.798726317036</v>
      </c>
      <c r="AD4805" s="135"/>
      <c r="AE4805" s="132">
        <f>IF(AD4798&lt;=0,W_max,ABS(AD$23-AD4804))</f>
        <v>7174</v>
      </c>
      <c r="AF4805" s="151">
        <f>AD4793</f>
        <v>108430.24499306321</v>
      </c>
      <c r="AG4805" s="135"/>
      <c r="AH4805" s="132">
        <f>IF(AG4798&lt;=0,W_max,ABS(AG$23-AG4804))</f>
        <v>7174</v>
      </c>
      <c r="AI4805" s="151">
        <f>AG4793</f>
        <v>152081.76623199898</v>
      </c>
      <c r="AJ4805" s="135"/>
      <c r="AK4805" s="132">
        <f>IF(AJ4798&lt;=0,W_max,ABS(AJ$23-AJ4804))</f>
        <v>7174</v>
      </c>
      <c r="AL4805" s="151">
        <f>AJ4793</f>
        <v>193103.48799470009</v>
      </c>
      <c r="AM4805" s="135"/>
      <c r="AN4805" s="132">
        <f>IF(AM4798&lt;=0,W_max,ABS(AM$23-AM4804))</f>
        <v>7174</v>
      </c>
      <c r="AO4805" s="151">
        <f>AM4793</f>
        <v>226429.02628286518</v>
      </c>
      <c r="AP4805" s="135"/>
      <c r="AQ4805" s="132">
        <f>IF(AP4798&lt;=0,W_max,ABS(AP$23-AP4804))</f>
        <v>7174</v>
      </c>
      <c r="AR4805" s="151">
        <f>AP4793</f>
        <v>252619.69739004178</v>
      </c>
      <c r="AS4805" s="135"/>
      <c r="AT4805" s="132">
        <f>IF(AS4798&lt;=0,W_max,ABS(AS$23-AS4804))</f>
        <v>7174</v>
      </c>
      <c r="AU4805" s="151">
        <f>AS4793</f>
        <v>281839.80012224062</v>
      </c>
    </row>
    <row r="4806" spans="13:47" ht="13" x14ac:dyDescent="0.25">
      <c r="M4806" s="12"/>
      <c r="N4806" s="12"/>
      <c r="O4806" s="2"/>
      <c r="P4806" s="85"/>
      <c r="Q4806" s="2"/>
      <c r="R4806" s="18"/>
      <c r="S4806" s="150"/>
      <c r="T4806" s="152"/>
      <c r="U4806" s="157"/>
      <c r="V4806" s="1"/>
      <c r="W4806" s="147"/>
      <c r="X4806" s="157"/>
      <c r="Y4806" s="1"/>
      <c r="Z4806" s="147"/>
      <c r="AA4806" s="157"/>
      <c r="AB4806" s="1"/>
      <c r="AC4806" s="147"/>
      <c r="AD4806" s="157"/>
      <c r="AE4806" s="1"/>
      <c r="AF4806" s="147"/>
      <c r="AG4806" s="157"/>
      <c r="AH4806" s="1"/>
      <c r="AI4806" s="147"/>
      <c r="AJ4806" s="157"/>
      <c r="AK4806" s="1"/>
      <c r="AL4806" s="147"/>
      <c r="AM4806" s="157"/>
      <c r="AN4806" s="1"/>
      <c r="AO4806" s="147"/>
      <c r="AP4806" s="157"/>
      <c r="AQ4806" s="1"/>
      <c r="AR4806" s="147"/>
      <c r="AS4806" s="157"/>
      <c r="AT4806" s="1"/>
      <c r="AU4806" s="147"/>
    </row>
    <row r="4807" spans="13:47" ht="14" x14ac:dyDescent="0.3">
      <c r="M4807" s="23"/>
      <c r="N4807" s="23"/>
      <c r="O4807" s="23" t="s">
        <v>238</v>
      </c>
      <c r="P4807" s="20"/>
      <c r="Q4807" s="20"/>
      <c r="R4807" s="181">
        <f>R4793*1.02</f>
        <v>9805.3716103361894</v>
      </c>
      <c r="S4807" s="128" t="s">
        <v>185</v>
      </c>
      <c r="T4807" s="153" t="s">
        <v>186</v>
      </c>
      <c r="U4807" s="143">
        <f>U4793*1.01</f>
        <v>13823.756205850603</v>
      </c>
      <c r="V4807" s="128" t="s">
        <v>185</v>
      </c>
      <c r="W4807" s="153" t="s">
        <v>186</v>
      </c>
      <c r="X4807" s="143">
        <f>X4793*1.01</f>
        <v>34187.794143340703</v>
      </c>
      <c r="Y4807" s="128" t="s">
        <v>185</v>
      </c>
      <c r="Z4807" s="153" t="s">
        <v>186</v>
      </c>
      <c r="AA4807" s="143">
        <f>AA4793*1.01</f>
        <v>66589.096713580206</v>
      </c>
      <c r="AB4807" s="128" t="s">
        <v>185</v>
      </c>
      <c r="AC4807" s="153" t="s">
        <v>186</v>
      </c>
      <c r="AD4807" s="143">
        <f>AD4793*1.01</f>
        <v>109514.54744299385</v>
      </c>
      <c r="AE4807" s="128" t="s">
        <v>185</v>
      </c>
      <c r="AF4807" s="153" t="s">
        <v>186</v>
      </c>
      <c r="AG4807" s="143">
        <f>AG4793*1.01</f>
        <v>153602.58389431896</v>
      </c>
      <c r="AH4807" s="128" t="s">
        <v>185</v>
      </c>
      <c r="AI4807" s="153" t="s">
        <v>186</v>
      </c>
      <c r="AJ4807" s="143">
        <f>AJ4793*1.01</f>
        <v>195034.52287464708</v>
      </c>
      <c r="AK4807" s="128" t="s">
        <v>185</v>
      </c>
      <c r="AL4807" s="153" t="s">
        <v>186</v>
      </c>
      <c r="AM4807" s="143">
        <f>AM4793*1.01</f>
        <v>228693.31654569381</v>
      </c>
      <c r="AN4807" s="128" t="s">
        <v>185</v>
      </c>
      <c r="AO4807" s="153" t="s">
        <v>186</v>
      </c>
      <c r="AP4807" s="143">
        <f>AP4793*1.01</f>
        <v>255145.89436394221</v>
      </c>
      <c r="AQ4807" s="128" t="s">
        <v>185</v>
      </c>
      <c r="AR4807" s="153" t="s">
        <v>186</v>
      </c>
      <c r="AS4807" s="143">
        <f>AS4793*1.01</f>
        <v>284658.19812346302</v>
      </c>
      <c r="AT4807" s="128" t="s">
        <v>185</v>
      </c>
      <c r="AU4807" s="153" t="s">
        <v>186</v>
      </c>
    </row>
    <row r="4808" spans="13:47" ht="14" x14ac:dyDescent="0.3">
      <c r="M4808" s="12"/>
      <c r="N4808" s="12"/>
      <c r="O4808" s="20"/>
      <c r="P4808" s="20"/>
      <c r="Q4808" s="23"/>
      <c r="R4808" s="139"/>
      <c r="S4808" s="130" t="s">
        <v>228</v>
      </c>
      <c r="T4808" s="154" t="s">
        <v>187</v>
      </c>
      <c r="U4808" s="144"/>
      <c r="V4808" s="130" t="s">
        <v>228</v>
      </c>
      <c r="W4808" s="154" t="s">
        <v>187</v>
      </c>
      <c r="X4808" s="144"/>
      <c r="Y4808" s="130" t="s">
        <v>228</v>
      </c>
      <c r="Z4808" s="154" t="s">
        <v>187</v>
      </c>
      <c r="AA4808" s="144"/>
      <c r="AB4808" s="130" t="s">
        <v>228</v>
      </c>
      <c r="AC4808" s="154" t="s">
        <v>187</v>
      </c>
      <c r="AD4808" s="144"/>
      <c r="AE4808" s="130" t="s">
        <v>228</v>
      </c>
      <c r="AF4808" s="154" t="s">
        <v>187</v>
      </c>
      <c r="AG4808" s="144"/>
      <c r="AH4808" s="130" t="s">
        <v>228</v>
      </c>
      <c r="AI4808" s="154" t="s">
        <v>187</v>
      </c>
      <c r="AJ4808" s="144"/>
      <c r="AK4808" s="130" t="s">
        <v>228</v>
      </c>
      <c r="AL4808" s="154" t="s">
        <v>187</v>
      </c>
      <c r="AM4808" s="144"/>
      <c r="AN4808" s="130" t="s">
        <v>228</v>
      </c>
      <c r="AO4808" s="154" t="s">
        <v>187</v>
      </c>
      <c r="AP4808" s="144"/>
      <c r="AQ4808" s="130" t="s">
        <v>228</v>
      </c>
      <c r="AR4808" s="154" t="s">
        <v>187</v>
      </c>
      <c r="AS4808" s="144"/>
      <c r="AT4808" s="130" t="s">
        <v>228</v>
      </c>
      <c r="AU4808" s="154" t="s">
        <v>187</v>
      </c>
    </row>
    <row r="4809" spans="13:47" x14ac:dyDescent="0.25">
      <c r="M4809" s="20"/>
      <c r="N4809" s="20"/>
      <c r="O4809" s="7" t="s">
        <v>188</v>
      </c>
      <c r="P4809" s="7"/>
      <c r="Q4809" s="7"/>
      <c r="R4809" s="181">
        <f>P_1_minW-(R4807^2*R_up)+dpup_minQ</f>
        <v>62.183705384392589</v>
      </c>
      <c r="S4809" s="132"/>
      <c r="T4809" s="145"/>
      <c r="U4809" s="138">
        <f>P_1_minW-(U4807^2*R_up)+dpup_minQ</f>
        <v>24.320900860891697</v>
      </c>
      <c r="V4809" s="132"/>
      <c r="W4809" s="145"/>
      <c r="X4809" s="138">
        <f>P_1_minW-(X4807^2*R_up)+dpup_minQ</f>
        <v>-365.55214862246066</v>
      </c>
      <c r="Y4809" s="132"/>
      <c r="Z4809" s="145"/>
      <c r="AA4809" s="138">
        <f>P_1_minW-(AA4807^2*R_up)+dpup_minQ</f>
        <v>-1667.6301833802161</v>
      </c>
      <c r="AB4809" s="132"/>
      <c r="AC4809" s="145"/>
      <c r="AD4809" s="138">
        <f>P_1_minW-(AD4807^2*R_up)+dpup_minQ</f>
        <v>-4682.0018193683254</v>
      </c>
      <c r="AE4809" s="132"/>
      <c r="AF4809" s="145"/>
      <c r="AG4809" s="138">
        <f>P_1_minW-(AG4807^2*R_up)+dpup_minQ</f>
        <v>-9307.7658006382208</v>
      </c>
      <c r="AH4809" s="132"/>
      <c r="AI4809" s="145"/>
      <c r="AJ4809" s="138">
        <f>P_1_minW-(AJ4807^2*R_up)+dpup_minQ</f>
        <v>-15067.765420191492</v>
      </c>
      <c r="AK4809" s="132"/>
      <c r="AL4809" s="145"/>
      <c r="AM4809" s="138">
        <f>P_1_minW-(AM4807^2*R_up)+dpup_minQ</f>
        <v>-20754.973692652406</v>
      </c>
      <c r="AN4809" s="132"/>
      <c r="AO4809" s="145"/>
      <c r="AP4809" s="138">
        <f>P_1_minW-(AP4807^2*R_up)+dpup_minQ</f>
        <v>-25858.644444138441</v>
      </c>
      <c r="AQ4809" s="132"/>
      <c r="AR4809" s="145"/>
      <c r="AS4809" s="138">
        <f>P_1_minW-(AS4807^2*R_up)+dpup_minQ</f>
        <v>-32211.26437146002</v>
      </c>
      <c r="AT4809" s="132"/>
      <c r="AU4809" s="145"/>
    </row>
    <row r="4810" spans="13:47" x14ac:dyDescent="0.25">
      <c r="M4810" s="20"/>
      <c r="N4810" s="20"/>
      <c r="O4810" s="7" t="s">
        <v>189</v>
      </c>
      <c r="P4810" s="1"/>
      <c r="Q4810" s="7"/>
      <c r="R4810" s="181">
        <f>P_2_minW+(R4807^2*R_dn)-dpdn_minQ</f>
        <v>50</v>
      </c>
      <c r="S4810" s="132"/>
      <c r="T4810" s="146"/>
      <c r="U4810" s="138">
        <f>P_2_minW+(U4807^2*R_dn)-dpdn_minQ</f>
        <v>50</v>
      </c>
      <c r="V4810" s="132"/>
      <c r="W4810" s="146"/>
      <c r="X4810" s="138">
        <f>P_2_minW+(X4807^2*R_dn)-dpdn_minQ</f>
        <v>50</v>
      </c>
      <c r="Y4810" s="132"/>
      <c r="Z4810" s="146"/>
      <c r="AA4810" s="138">
        <f>P_2_minW+(AA4807^2*R_dn)-dpdn_minQ</f>
        <v>50</v>
      </c>
      <c r="AB4810" s="132"/>
      <c r="AC4810" s="146"/>
      <c r="AD4810" s="138">
        <f>P_2_minW+(AD4807^2*R_dn)-dpdn_minQ</f>
        <v>50</v>
      </c>
      <c r="AE4810" s="132"/>
      <c r="AF4810" s="146"/>
      <c r="AG4810" s="138">
        <f>P_2_minW+(AG4807^2*R_dn)-dpdn_minQ</f>
        <v>50</v>
      </c>
      <c r="AH4810" s="132"/>
      <c r="AI4810" s="146"/>
      <c r="AJ4810" s="138">
        <f>P_2_minW+(AJ4807^2*R_dn)-dpdn_minQ</f>
        <v>50</v>
      </c>
      <c r="AK4810" s="132"/>
      <c r="AL4810" s="146"/>
      <c r="AM4810" s="138">
        <f>P_2_minW+(AM4807^2*R_dn)-dpdn_minQ</f>
        <v>50</v>
      </c>
      <c r="AN4810" s="132"/>
      <c r="AO4810" s="146"/>
      <c r="AP4810" s="138">
        <f>P_2_minW+(AP4807^2*R_dn)-dpdn_minQ</f>
        <v>50</v>
      </c>
      <c r="AQ4810" s="132"/>
      <c r="AR4810" s="146"/>
      <c r="AS4810" s="138">
        <f>P_2_minW+(AS4807^2*R_dn)-dpdn_minQ</f>
        <v>50</v>
      </c>
      <c r="AT4810" s="132"/>
      <c r="AU4810" s="146"/>
    </row>
    <row r="4811" spans="13:47" x14ac:dyDescent="0.25">
      <c r="M4811" s="20"/>
      <c r="N4811" s="20"/>
      <c r="O4811" s="7" t="s">
        <v>234</v>
      </c>
      <c r="P4811" s="1"/>
      <c r="Q4811" s="7"/>
      <c r="R4811" s="179">
        <f>'Valve Sizing'!G$8*R4809/P_1_maxW</f>
        <v>0.29996312364794708</v>
      </c>
      <c r="S4811" s="132"/>
      <c r="T4811" s="146"/>
      <c r="U4811" s="143">
        <f>'Valve Sizing'!$G$8*U4809/P_1_maxW</f>
        <v>0.11731969568343181</v>
      </c>
      <c r="V4811" s="132"/>
      <c r="W4811" s="146"/>
      <c r="X4811" s="143">
        <f>'Valve Sizing'!$G$8*X4809/P_1_maxW</f>
        <v>-1.7633584824061217</v>
      </c>
      <c r="Y4811" s="132"/>
      <c r="Z4811" s="146"/>
      <c r="AA4811" s="143">
        <f>'Valve Sizing'!$G$8*AA4809/P_1_maxW</f>
        <v>-8.0443511013719657</v>
      </c>
      <c r="AB4811" s="132"/>
      <c r="AC4811" s="146"/>
      <c r="AD4811" s="143">
        <f>'Valve Sizing'!$G$8*AD4809/P_1_maxW</f>
        <v>-22.585143197587414</v>
      </c>
      <c r="AE4811" s="132"/>
      <c r="AF4811" s="146"/>
      <c r="AG4811" s="143">
        <f>'Valve Sizing'!$G$8*AG4809/P_1_maxW</f>
        <v>-44.899005076717941</v>
      </c>
      <c r="AH4811" s="132"/>
      <c r="AI4811" s="146"/>
      <c r="AJ4811" s="143">
        <f>'Valve Sizing'!$G$8*AJ4809/P_1_maxW</f>
        <v>-72.68421773671875</v>
      </c>
      <c r="AK4811" s="132"/>
      <c r="AL4811" s="146"/>
      <c r="AM4811" s="143">
        <f>'Valve Sizing'!$G$8*AM4809/P_1_maxW</f>
        <v>-100.11829789804661</v>
      </c>
      <c r="AN4811" s="132"/>
      <c r="AO4811" s="146"/>
      <c r="AP4811" s="143">
        <f>'Valve Sizing'!$G$8*AP4809/P_1_maxW</f>
        <v>-124.73749695064373</v>
      </c>
      <c r="AQ4811" s="132"/>
      <c r="AR4811" s="146"/>
      <c r="AS4811" s="143">
        <f>'Valve Sizing'!$G$8*AS4809/P_1_maxW</f>
        <v>-155.38140446577626</v>
      </c>
      <c r="AT4811" s="132"/>
      <c r="AU4811" s="146"/>
    </row>
    <row r="4812" spans="13:47" x14ac:dyDescent="0.25">
      <c r="M4812" s="20"/>
      <c r="N4812" s="20"/>
      <c r="O4812" s="7" t="s">
        <v>190</v>
      </c>
      <c r="P4812" s="1"/>
      <c r="Q4812" s="7"/>
      <c r="R4812" s="181">
        <f>R4809-R4810</f>
        <v>12.183705384392589</v>
      </c>
      <c r="S4812" s="132"/>
      <c r="T4812" s="146"/>
      <c r="U4812" s="138">
        <f>U4809-U4810</f>
        <v>-25.679099139108303</v>
      </c>
      <c r="V4812" s="132"/>
      <c r="W4812" s="146"/>
      <c r="X4812" s="138">
        <f>X4809-X4810</f>
        <v>-415.55214862246066</v>
      </c>
      <c r="Y4812" s="132"/>
      <c r="Z4812" s="146"/>
      <c r="AA4812" s="138">
        <f>AA4809-AA4810</f>
        <v>-1717.6301833802161</v>
      </c>
      <c r="AB4812" s="132"/>
      <c r="AC4812" s="146"/>
      <c r="AD4812" s="138">
        <f>AD4809-AD4810</f>
        <v>-4732.0018193683254</v>
      </c>
      <c r="AE4812" s="132"/>
      <c r="AF4812" s="146"/>
      <c r="AG4812" s="138">
        <f>AG4809-AG4810</f>
        <v>-9357.7658006382208</v>
      </c>
      <c r="AH4812" s="132"/>
      <c r="AI4812" s="146"/>
      <c r="AJ4812" s="138">
        <f>AJ4809-AJ4810</f>
        <v>-15117.765420191492</v>
      </c>
      <c r="AK4812" s="132"/>
      <c r="AL4812" s="146"/>
      <c r="AM4812" s="138">
        <f>AM4809-AM4810</f>
        <v>-20804.973692652406</v>
      </c>
      <c r="AN4812" s="132"/>
      <c r="AO4812" s="146"/>
      <c r="AP4812" s="138">
        <f>AP4809-AP4810</f>
        <v>-25908.644444138441</v>
      </c>
      <c r="AQ4812" s="132"/>
      <c r="AR4812" s="146"/>
      <c r="AS4812" s="138">
        <f>AS4809-AS4810</f>
        <v>-32261.26437146002</v>
      </c>
      <c r="AT4812" s="132"/>
      <c r="AU4812" s="146"/>
    </row>
    <row r="4813" spans="13:47" ht="14.5" x14ac:dyDescent="0.35">
      <c r="M4813" s="27"/>
      <c r="N4813" s="27"/>
      <c r="O4813" s="2" t="s">
        <v>191</v>
      </c>
      <c r="P4813" s="10"/>
      <c r="Q4813" s="2"/>
      <c r="R4813" s="181">
        <f>R4812/R4809</f>
        <v>0.19593083604584557</v>
      </c>
      <c r="S4813" s="132"/>
      <c r="T4813" s="146"/>
      <c r="U4813" s="138">
        <f>U4812/U4809</f>
        <v>-1.0558449000711403</v>
      </c>
      <c r="V4813" s="132"/>
      <c r="W4813" s="146"/>
      <c r="X4813" s="138">
        <f>X4812/X4809</f>
        <v>1.1367793902687182</v>
      </c>
      <c r="Y4813" s="132"/>
      <c r="Z4813" s="146"/>
      <c r="AA4813" s="138">
        <f>AA4812/AA4809</f>
        <v>1.0299826667196992</v>
      </c>
      <c r="AB4813" s="132"/>
      <c r="AC4813" s="146"/>
      <c r="AD4813" s="138">
        <f>AD4812/AD4809</f>
        <v>1.0106791927745866</v>
      </c>
      <c r="AE4813" s="132"/>
      <c r="AF4813" s="146"/>
      <c r="AG4813" s="138">
        <f>AG4812/AG4809</f>
        <v>1.0053718584105942</v>
      </c>
      <c r="AH4813" s="132"/>
      <c r="AI4813" s="146"/>
      <c r="AJ4813" s="138">
        <f>AJ4812/AJ4809</f>
        <v>1.0033183420769876</v>
      </c>
      <c r="AK4813" s="132"/>
      <c r="AL4813" s="146"/>
      <c r="AM4813" s="138">
        <f>AM4812/AM4809</f>
        <v>1.0024090611118288</v>
      </c>
      <c r="AN4813" s="132"/>
      <c r="AO4813" s="146"/>
      <c r="AP4813" s="138">
        <f>AP4812/AP4809</f>
        <v>1.0019335893692345</v>
      </c>
      <c r="AQ4813" s="132"/>
      <c r="AR4813" s="146"/>
      <c r="AS4813" s="138">
        <f>AS4812/AS4809</f>
        <v>1.0015522520141835</v>
      </c>
      <c r="AT4813" s="132"/>
      <c r="AU4813" s="146"/>
    </row>
    <row r="4814" spans="13:47" x14ac:dyDescent="0.25">
      <c r="M4814" s="27"/>
      <c r="N4814" s="27"/>
      <c r="O4814" s="2" t="s">
        <v>26</v>
      </c>
      <c r="P4814" s="7">
        <v>12</v>
      </c>
      <c r="Q4814" s="2"/>
      <c r="R4814" s="181">
        <f>1-R4813/(3*F_GAMMA*R$29)</f>
        <v>0.8979569753906651</v>
      </c>
      <c r="S4814" s="133"/>
      <c r="T4814" s="146"/>
      <c r="U4814" s="138">
        <f>1-U4813/(3*F_GAMMA*U$29)</f>
        <v>1.5497750495868994</v>
      </c>
      <c r="V4814" s="133"/>
      <c r="W4814" s="146"/>
      <c r="X4814" s="138">
        <f>1-X4813/(3*F_GAMMA*X$29)</f>
        <v>0.39920291849795864</v>
      </c>
      <c r="Y4814" s="133"/>
      <c r="Z4814" s="146"/>
      <c r="AA4814" s="138">
        <f>1-AA4813/(3*F_GAMMA*AA$29)</f>
        <v>0.44818199578123685</v>
      </c>
      <c r="AB4814" s="133"/>
      <c r="AC4814" s="146"/>
      <c r="AD4814" s="138">
        <f>1-AD4813/(3*F_GAMMA*AD$29)</f>
        <v>0.44367779904260285</v>
      </c>
      <c r="AE4814" s="133"/>
      <c r="AF4814" s="146"/>
      <c r="AG4814" s="138">
        <f>1-AG4813/(3*F_GAMMA*AG$29)</f>
        <v>0.41503233278620022</v>
      </c>
      <c r="AH4814" s="133"/>
      <c r="AI4814" s="146"/>
      <c r="AJ4814" s="138">
        <f>1-AJ4813/(3*F_GAMMA*AJ$29)</f>
        <v>0.37593891477050745</v>
      </c>
      <c r="AK4814" s="133"/>
      <c r="AL4814" s="146"/>
      <c r="AM4814" s="138">
        <f>1-AM4813/(3*F_GAMMA*AM$29)</f>
        <v>0.31876774721277268</v>
      </c>
      <c r="AN4814" s="133"/>
      <c r="AO4814" s="146"/>
      <c r="AP4814" s="138">
        <f>1-AP4813/(3*F_GAMMA*AP$29)</f>
        <v>0.4373022741933974</v>
      </c>
      <c r="AQ4814" s="133"/>
      <c r="AR4814" s="146"/>
      <c r="AS4814" s="138">
        <f>1-AS4813/(3*F_GAMMA*AS$29)</f>
        <v>0.14610107635007075</v>
      </c>
      <c r="AT4814" s="133"/>
      <c r="AU4814" s="146"/>
    </row>
    <row r="4815" spans="13:47" x14ac:dyDescent="0.25">
      <c r="M4815" s="27"/>
      <c r="N4815" s="27"/>
      <c r="O4815" s="2" t="s">
        <v>71</v>
      </c>
      <c r="P4815" s="85">
        <v>5</v>
      </c>
      <c r="Q4815" s="2"/>
      <c r="R4815" s="179">
        <f>R4807/((N_6*R$27*R4814)*SQRT(R4813*R4809*R4811))</f>
        <v>90.246974362584055</v>
      </c>
      <c r="S4815" s="133"/>
      <c r="T4815" s="146"/>
      <c r="U4815" s="143" t="e">
        <f>U4807/((N_6*U$27*U4814)*SQRT(U4813*U4809*U4811))</f>
        <v>#NUM!</v>
      </c>
      <c r="V4815" s="133"/>
      <c r="W4815" s="146"/>
      <c r="X4815" s="143">
        <f>X4807/((N_6*X$27*X4814)*SQRT(X4813*X4809*X4811))</f>
        <v>50.127198920242662</v>
      </c>
      <c r="Y4815" s="133"/>
      <c r="Z4815" s="146"/>
      <c r="AA4815" s="143">
        <f>AA4807/((N_6*AA$27*AA4814)*SQRT(AA4813*AA4809*AA4811))</f>
        <v>20.142255265298004</v>
      </c>
      <c r="AB4815" s="133"/>
      <c r="AC4815" s="146"/>
      <c r="AD4815" s="143">
        <f>AD4807/((N_6*AD$27*AD4814)*SQRT(AD4813*AD4809*AD4811))</f>
        <v>12.17543924308371</v>
      </c>
      <c r="AE4815" s="133"/>
      <c r="AF4815" s="146"/>
      <c r="AG4815" s="143">
        <f>AG4807/((N_6*AG$27*AG4814)*SQRT(AG4813*AG4809*AG4811))</f>
        <v>9.4058330484631334</v>
      </c>
      <c r="AH4815" s="133"/>
      <c r="AI4815" s="146"/>
      <c r="AJ4815" s="143">
        <f>AJ4807/((N_6*AJ$27*AJ4814)*SQRT(AJ4813*AJ4809*AJ4811))</f>
        <v>8.4328629759200648</v>
      </c>
      <c r="AK4815" s="133"/>
      <c r="AL4815" s="146"/>
      <c r="AM4815" s="143">
        <f>AM4807/((N_6*AM$27*AM4814)*SQRT(AM4813*AM4809*AM4811))</f>
        <v>8.9901662975003305</v>
      </c>
      <c r="AN4815" s="133"/>
      <c r="AO4815" s="146"/>
      <c r="AP4815" s="143">
        <f>AP4807/((N_6*AP$27*AP4814)*SQRT(AP4813*AP4809*AP4811))</f>
        <v>6.6675925589261054</v>
      </c>
      <c r="AQ4815" s="133"/>
      <c r="AR4815" s="146"/>
      <c r="AS4815" s="143">
        <f>AS4807/((N_6*AS$27*AS4814)*SQRT(AS4813*AS4809*AS4811))</f>
        <v>23.490948274088129</v>
      </c>
      <c r="AT4815" s="133"/>
      <c r="AU4815" s="146"/>
    </row>
    <row r="4816" spans="13:47" x14ac:dyDescent="0.25">
      <c r="M4816" s="27"/>
      <c r="N4816" s="27"/>
      <c r="O4816" s="2" t="s">
        <v>73</v>
      </c>
      <c r="P4816" s="85">
        <v>5</v>
      </c>
      <c r="Q4816" s="2"/>
      <c r="R4816" s="179">
        <f>R4807/((N_6*R$27*0.667)*SQRT(R4817*R4809*R4811))</f>
        <v>67.222495985253516</v>
      </c>
      <c r="S4816" s="133"/>
      <c r="T4816" s="155"/>
      <c r="U4816" s="143">
        <f>U4807/((N_6*U$27*0.667)*SQRT(U4817*U4809*U4811))</f>
        <v>242.43522946331782</v>
      </c>
      <c r="V4816" s="133"/>
      <c r="W4816" s="155"/>
      <c r="X4816" s="143">
        <f>X4807/((N_6*X$27*0.667)*SQRT(X4817*X4809*X4811))</f>
        <v>40.27780967857602</v>
      </c>
      <c r="Y4816" s="133"/>
      <c r="Z4816" s="155"/>
      <c r="AA4816" s="143">
        <f>AA4807/((N_6*AA$27*0.667)*SQRT(AA4817*AA4809*AA4811))</f>
        <v>17.413867204153338</v>
      </c>
      <c r="AB4816" s="133"/>
      <c r="AC4816" s="155"/>
      <c r="AD4816" s="143">
        <f>AD4807/((N_6*AD$27*0.667)*SQRT(AD4817*AD4809*AD4811))</f>
        <v>10.462857847940287</v>
      </c>
      <c r="AE4816" s="133"/>
      <c r="AF4816" s="155"/>
      <c r="AG4816" s="143">
        <f>AG4807/((N_6*AG$27*0.667)*SQRT(AG4817*AG4809*AG4811))</f>
        <v>7.7531809811649444</v>
      </c>
      <c r="AH4816" s="133"/>
      <c r="AI4816" s="155"/>
      <c r="AJ4816" s="143">
        <f>AJ4807/((N_6*AJ$27*0.667)*SQRT(AJ4817*AJ4809*AJ4811))</f>
        <v>6.5034030665194775</v>
      </c>
      <c r="AK4816" s="133"/>
      <c r="AL4816" s="155"/>
      <c r="AM4816" s="143">
        <f>AM4807/((N_6*AM$27*0.667)*SQRT(AM4817*AM4809*AM4811))</f>
        <v>6.1422076219611625</v>
      </c>
      <c r="AN4816" s="133"/>
      <c r="AO4816" s="155"/>
      <c r="AP4816" s="143">
        <f>AP4807/((N_6*AP$27*0.667)*SQRT(AP4817*AP4809*AP4811))</f>
        <v>5.6796707776765922</v>
      </c>
      <c r="AQ4816" s="133"/>
      <c r="AR4816" s="155"/>
      <c r="AS4816" s="143">
        <f>AS4807/((N_6*AS$27*0.667)*SQRT(AS4817*AS4809*AS4811))</f>
        <v>8.2355382865605424</v>
      </c>
      <c r="AT4816" s="133"/>
      <c r="AU4816" s="155"/>
    </row>
    <row r="4817" spans="13:47" ht="15.5" x14ac:dyDescent="0.4">
      <c r="M4817" s="27"/>
      <c r="N4817" s="27"/>
      <c r="O4817" s="2" t="s">
        <v>192</v>
      </c>
      <c r="P4817" s="85">
        <v>10</v>
      </c>
      <c r="Q4817" s="2"/>
      <c r="R4817" s="181">
        <f>F_GAMMA*R$29</f>
        <v>0.64002688015162901</v>
      </c>
      <c r="S4817" s="133"/>
      <c r="T4817" s="155"/>
      <c r="U4817" s="138">
        <f>F_GAMMA*U$29</f>
        <v>0.64016782916606918</v>
      </c>
      <c r="V4817" s="133"/>
      <c r="W4817" s="155"/>
      <c r="X4817" s="138">
        <f>F_GAMMA*X$29</f>
        <v>0.6307062319203669</v>
      </c>
      <c r="Y4817" s="133"/>
      <c r="Z4817" s="155"/>
      <c r="AA4817" s="138">
        <f>F_GAMMA*AA$29</f>
        <v>0.62217534213893466</v>
      </c>
      <c r="AB4817" s="133"/>
      <c r="AC4817" s="155"/>
      <c r="AD4817" s="138">
        <f>F_GAMMA*AD$29</f>
        <v>0.60557184969146072</v>
      </c>
      <c r="AE4817" s="133"/>
      <c r="AF4817" s="155"/>
      <c r="AG4817" s="138">
        <f>F_GAMMA*AG$29</f>
        <v>0.57289312142622573</v>
      </c>
      <c r="AH4817" s="133"/>
      <c r="AI4817" s="155"/>
      <c r="AJ4817" s="138">
        <f>F_GAMMA*AJ$29</f>
        <v>0.53590819116049981</v>
      </c>
      <c r="AK4817" s="133"/>
      <c r="AL4817" s="155"/>
      <c r="AM4817" s="138">
        <f>F_GAMMA*AM$29</f>
        <v>0.49048815926850342</v>
      </c>
      <c r="AN4817" s="133"/>
      <c r="AO4817" s="155"/>
      <c r="AP4817" s="138">
        <f>F_GAMMA*AP$29</f>
        <v>0.59352979016280105</v>
      </c>
      <c r="AQ4817" s="133"/>
      <c r="AR4817" s="155"/>
      <c r="AS4817" s="138">
        <f>F_GAMMA*AS$29</f>
        <v>0.39097221161068291</v>
      </c>
      <c r="AT4817" s="133"/>
      <c r="AU4817" s="155"/>
    </row>
    <row r="4818" spans="13:47" x14ac:dyDescent="0.25">
      <c r="M4818" s="27"/>
      <c r="N4818" s="27"/>
      <c r="O4818" s="2" t="s">
        <v>193</v>
      </c>
      <c r="P4818" s="134"/>
      <c r="Q4818" s="2"/>
      <c r="R4818" s="181">
        <f>IF(R4813&lt;R4817,R4815,R4816)</f>
        <v>90.246974362584055</v>
      </c>
      <c r="S4818" s="133"/>
      <c r="T4818" s="155"/>
      <c r="U4818" s="138" t="e">
        <f>IF(U4813&lt;U4817,U4815,U4816)</f>
        <v>#NUM!</v>
      </c>
      <c r="V4818" s="133"/>
      <c r="W4818" s="155"/>
      <c r="X4818" s="138">
        <f>IF(X4813&lt;X4817,X4815,X4816)</f>
        <v>40.27780967857602</v>
      </c>
      <c r="Y4818" s="133"/>
      <c r="Z4818" s="155"/>
      <c r="AA4818" s="138">
        <f>IF(AA4813&lt;AA4817,AA4815,AA4816)</f>
        <v>17.413867204153338</v>
      </c>
      <c r="AB4818" s="133"/>
      <c r="AC4818" s="155"/>
      <c r="AD4818" s="138">
        <f>IF(AD4813&lt;AD4817,AD4815,AD4816)</f>
        <v>10.462857847940287</v>
      </c>
      <c r="AE4818" s="133"/>
      <c r="AF4818" s="155"/>
      <c r="AG4818" s="138">
        <f>IF(AG4813&lt;AG4817,AG4815,AG4816)</f>
        <v>7.7531809811649444</v>
      </c>
      <c r="AH4818" s="133"/>
      <c r="AI4818" s="155"/>
      <c r="AJ4818" s="138">
        <f>IF(AJ4813&lt;AJ4817,AJ4815,AJ4816)</f>
        <v>6.5034030665194775</v>
      </c>
      <c r="AK4818" s="133"/>
      <c r="AL4818" s="155"/>
      <c r="AM4818" s="138">
        <f>IF(AM4813&lt;AM4817,AM4815,AM4816)</f>
        <v>6.1422076219611625</v>
      </c>
      <c r="AN4818" s="133"/>
      <c r="AO4818" s="155"/>
      <c r="AP4818" s="138">
        <f>IF(AP4813&lt;AP4817,AP4815,AP4816)</f>
        <v>5.6796707776765922</v>
      </c>
      <c r="AQ4818" s="133"/>
      <c r="AR4818" s="155"/>
      <c r="AS4818" s="138">
        <f>IF(AS4813&lt;AS4817,AS4815,AS4816)</f>
        <v>8.2355382865605424</v>
      </c>
      <c r="AT4818" s="133"/>
      <c r="AU4818" s="155"/>
    </row>
    <row r="4819" spans="13:47" ht="13" x14ac:dyDescent="0.3">
      <c r="M4819" s="28"/>
      <c r="N4819" s="28"/>
      <c r="O4819" s="9" t="s">
        <v>194</v>
      </c>
      <c r="P4819" s="1"/>
      <c r="Q4819" s="1"/>
      <c r="R4819" s="135"/>
      <c r="S4819" s="132">
        <f>IF(R4812&lt;=0,W_max,ABS(R$23-R4818))</f>
        <v>88.246974362584055</v>
      </c>
      <c r="T4819" s="151">
        <f>R4807</f>
        <v>9805.3716103361894</v>
      </c>
      <c r="U4819" s="135"/>
      <c r="V4819" s="132">
        <f>IF(U4812&lt;=0,W_max,ABS(U$23-U4818))</f>
        <v>7174</v>
      </c>
      <c r="W4819" s="151">
        <f>U4807</f>
        <v>13823.756205850603</v>
      </c>
      <c r="X4819" s="135"/>
      <c r="Y4819" s="132">
        <f>IF(X4812&lt;=0,W_max,ABS(X$23-X4818))</f>
        <v>7174</v>
      </c>
      <c r="Z4819" s="151">
        <f>X4807</f>
        <v>34187.794143340703</v>
      </c>
      <c r="AA4819" s="135"/>
      <c r="AB4819" s="132">
        <f>IF(AA4812&lt;=0,W_max,ABS(AA$23-AA4818))</f>
        <v>7174</v>
      </c>
      <c r="AC4819" s="151">
        <f>AA4807</f>
        <v>66589.096713580206</v>
      </c>
      <c r="AD4819" s="135"/>
      <c r="AE4819" s="132">
        <f>IF(AD4812&lt;=0,W_max,ABS(AD$23-AD4818))</f>
        <v>7174</v>
      </c>
      <c r="AF4819" s="151">
        <f>AD4807</f>
        <v>109514.54744299385</v>
      </c>
      <c r="AG4819" s="135"/>
      <c r="AH4819" s="132">
        <f>IF(AG4812&lt;=0,W_max,ABS(AG$23-AG4818))</f>
        <v>7174</v>
      </c>
      <c r="AI4819" s="151">
        <f>AG4807</f>
        <v>153602.58389431896</v>
      </c>
      <c r="AJ4819" s="135"/>
      <c r="AK4819" s="132">
        <f>IF(AJ4812&lt;=0,W_max,ABS(AJ$23-AJ4818))</f>
        <v>7174</v>
      </c>
      <c r="AL4819" s="151">
        <f>AJ4807</f>
        <v>195034.52287464708</v>
      </c>
      <c r="AM4819" s="135"/>
      <c r="AN4819" s="132">
        <f>IF(AM4812&lt;=0,W_max,ABS(AM$23-AM4818))</f>
        <v>7174</v>
      </c>
      <c r="AO4819" s="151">
        <f>AM4807</f>
        <v>228693.31654569381</v>
      </c>
      <c r="AP4819" s="135"/>
      <c r="AQ4819" s="132">
        <f>IF(AP4812&lt;=0,W_max,ABS(AP$23-AP4818))</f>
        <v>7174</v>
      </c>
      <c r="AR4819" s="151">
        <f>AP4807</f>
        <v>255145.89436394221</v>
      </c>
      <c r="AS4819" s="135"/>
      <c r="AT4819" s="132">
        <f>IF(AS4812&lt;=0,W_max,ABS(AS$23-AS4818))</f>
        <v>7174</v>
      </c>
      <c r="AU4819" s="151">
        <f>AS4807</f>
        <v>284658.19812346302</v>
      </c>
    </row>
    <row r="4820" spans="13:47" ht="13" x14ac:dyDescent="0.25">
      <c r="M4820" s="12"/>
      <c r="N4820" s="12"/>
      <c r="O4820" s="2"/>
      <c r="P4820" s="85"/>
      <c r="Q4820" s="2"/>
      <c r="R4820" s="18"/>
      <c r="S4820" s="150"/>
      <c r="T4820" s="148"/>
      <c r="U4820" s="157"/>
      <c r="V4820" s="1"/>
      <c r="W4820" s="147"/>
      <c r="X4820" s="157"/>
      <c r="Y4820" s="1"/>
      <c r="Z4820" s="147"/>
      <c r="AA4820" s="157"/>
      <c r="AB4820" s="1"/>
      <c r="AC4820" s="147"/>
      <c r="AD4820" s="157"/>
      <c r="AE4820" s="1"/>
      <c r="AF4820" s="147"/>
      <c r="AG4820" s="157"/>
      <c r="AH4820" s="1"/>
      <c r="AI4820" s="147"/>
      <c r="AJ4820" s="157"/>
      <c r="AK4820" s="1"/>
      <c r="AL4820" s="147"/>
      <c r="AM4820" s="157"/>
      <c r="AN4820" s="1"/>
      <c r="AO4820" s="147"/>
      <c r="AP4820" s="157"/>
      <c r="AQ4820" s="1"/>
      <c r="AR4820" s="147"/>
      <c r="AS4820" s="157"/>
      <c r="AT4820" s="1"/>
      <c r="AU4820" s="147"/>
    </row>
    <row r="4821" spans="13:47" ht="14" x14ac:dyDescent="0.3">
      <c r="M4821" s="23"/>
      <c r="N4821" s="23"/>
      <c r="O4821" s="23" t="s">
        <v>238</v>
      </c>
      <c r="P4821" s="20"/>
      <c r="Q4821" s="20"/>
      <c r="R4821" s="181">
        <f>R4807*1.02</f>
        <v>10001.479042542913</v>
      </c>
      <c r="S4821" s="128" t="s">
        <v>185</v>
      </c>
      <c r="T4821" s="149" t="s">
        <v>186</v>
      </c>
      <c r="U4821" s="143">
        <f>U4807*1.01</f>
        <v>13961.993767909109</v>
      </c>
      <c r="V4821" s="128" t="s">
        <v>185</v>
      </c>
      <c r="W4821" s="153" t="s">
        <v>186</v>
      </c>
      <c r="X4821" s="143">
        <f>X4807*1.01</f>
        <v>34529.672084774109</v>
      </c>
      <c r="Y4821" s="128" t="s">
        <v>185</v>
      </c>
      <c r="Z4821" s="153" t="s">
        <v>186</v>
      </c>
      <c r="AA4821" s="143">
        <f>AA4807*1.01</f>
        <v>67254.987680716004</v>
      </c>
      <c r="AB4821" s="128" t="s">
        <v>185</v>
      </c>
      <c r="AC4821" s="153" t="s">
        <v>186</v>
      </c>
      <c r="AD4821" s="143">
        <f>AD4807*1.01</f>
        <v>110609.69291742379</v>
      </c>
      <c r="AE4821" s="128" t="s">
        <v>185</v>
      </c>
      <c r="AF4821" s="153" t="s">
        <v>186</v>
      </c>
      <c r="AG4821" s="143">
        <f>AG4807*1.01</f>
        <v>155138.60973326216</v>
      </c>
      <c r="AH4821" s="128" t="s">
        <v>185</v>
      </c>
      <c r="AI4821" s="153" t="s">
        <v>186</v>
      </c>
      <c r="AJ4821" s="143">
        <f>AJ4807*1.01</f>
        <v>196984.86810339356</v>
      </c>
      <c r="AK4821" s="128" t="s">
        <v>185</v>
      </c>
      <c r="AL4821" s="153" t="s">
        <v>186</v>
      </c>
      <c r="AM4821" s="143">
        <f>AM4807*1.01</f>
        <v>230980.24971115077</v>
      </c>
      <c r="AN4821" s="128" t="s">
        <v>185</v>
      </c>
      <c r="AO4821" s="153" t="s">
        <v>186</v>
      </c>
      <c r="AP4821" s="143">
        <f>AP4807*1.01</f>
        <v>257697.35330758162</v>
      </c>
      <c r="AQ4821" s="128" t="s">
        <v>185</v>
      </c>
      <c r="AR4821" s="153" t="s">
        <v>186</v>
      </c>
      <c r="AS4821" s="143">
        <f>AS4807*1.01</f>
        <v>287504.78010469768</v>
      </c>
      <c r="AT4821" s="128" t="s">
        <v>185</v>
      </c>
      <c r="AU4821" s="153" t="s">
        <v>186</v>
      </c>
    </row>
    <row r="4822" spans="13:47" ht="14" x14ac:dyDescent="0.3">
      <c r="M4822" s="12"/>
      <c r="N4822" s="12"/>
      <c r="O4822" s="20"/>
      <c r="P4822" s="20"/>
      <c r="Q4822" s="23"/>
      <c r="R4822" s="139"/>
      <c r="S4822" s="130" t="s">
        <v>228</v>
      </c>
      <c r="T4822" s="131" t="s">
        <v>187</v>
      </c>
      <c r="U4822" s="144"/>
      <c r="V4822" s="130" t="s">
        <v>228</v>
      </c>
      <c r="W4822" s="154" t="s">
        <v>187</v>
      </c>
      <c r="X4822" s="144"/>
      <c r="Y4822" s="130" t="s">
        <v>228</v>
      </c>
      <c r="Z4822" s="154" t="s">
        <v>187</v>
      </c>
      <c r="AA4822" s="144"/>
      <c r="AB4822" s="130" t="s">
        <v>228</v>
      </c>
      <c r="AC4822" s="154" t="s">
        <v>187</v>
      </c>
      <c r="AD4822" s="144"/>
      <c r="AE4822" s="130" t="s">
        <v>228</v>
      </c>
      <c r="AF4822" s="154" t="s">
        <v>187</v>
      </c>
      <c r="AG4822" s="144"/>
      <c r="AH4822" s="130" t="s">
        <v>228</v>
      </c>
      <c r="AI4822" s="154" t="s">
        <v>187</v>
      </c>
      <c r="AJ4822" s="144"/>
      <c r="AK4822" s="130" t="s">
        <v>228</v>
      </c>
      <c r="AL4822" s="154" t="s">
        <v>187</v>
      </c>
      <c r="AM4822" s="144"/>
      <c r="AN4822" s="130" t="s">
        <v>228</v>
      </c>
      <c r="AO4822" s="154" t="s">
        <v>187</v>
      </c>
      <c r="AP4822" s="144"/>
      <c r="AQ4822" s="130" t="s">
        <v>228</v>
      </c>
      <c r="AR4822" s="154" t="s">
        <v>187</v>
      </c>
      <c r="AS4822" s="144"/>
      <c r="AT4822" s="130" t="s">
        <v>228</v>
      </c>
      <c r="AU4822" s="154" t="s">
        <v>187</v>
      </c>
    </row>
    <row r="4823" spans="13:47" x14ac:dyDescent="0.25">
      <c r="M4823" s="20"/>
      <c r="N4823" s="20"/>
      <c r="O4823" s="7" t="s">
        <v>188</v>
      </c>
      <c r="P4823" s="7"/>
      <c r="Q4823" s="7"/>
      <c r="R4823" s="181">
        <f>P_1_minW-(R4821^2*R_up)+dpup_minQ</f>
        <v>60.634806497758291</v>
      </c>
      <c r="S4823" s="132"/>
      <c r="T4823" s="145"/>
      <c r="U4823" s="138">
        <f>P_1_minW-(U4821^2*R_up)+dpup_minQ</f>
        <v>22.789242954787412</v>
      </c>
      <c r="V4823" s="132"/>
      <c r="W4823" s="145"/>
      <c r="X4823" s="138">
        <f>P_1_minW-(X4821^2*R_up)+dpup_minQ</f>
        <v>-374.9202548231803</v>
      </c>
      <c r="Y4823" s="132"/>
      <c r="Z4823" s="145"/>
      <c r="AA4823" s="138">
        <f>P_1_minW-(AA4821^2*R_up)+dpup_minQ</f>
        <v>-1703.1700580795666</v>
      </c>
      <c r="AB4823" s="132"/>
      <c r="AC4823" s="145"/>
      <c r="AD4823" s="138">
        <f>P_1_minW-(AD4821^2*R_up)+dpup_minQ</f>
        <v>-4778.1305639510374</v>
      </c>
      <c r="AE4823" s="132"/>
      <c r="AF4823" s="145"/>
      <c r="AG4823" s="138">
        <f>P_1_minW-(AG4821^2*R_up)+dpup_minQ</f>
        <v>-9496.8724012444582</v>
      </c>
      <c r="AH4823" s="132"/>
      <c r="AI4823" s="145"/>
      <c r="AJ4823" s="138">
        <f>P_1_minW-(AJ4821^2*R_up)+dpup_minQ</f>
        <v>-15372.648013150751</v>
      </c>
      <c r="AK4823" s="132"/>
      <c r="AL4823" s="145"/>
      <c r="AM4823" s="138">
        <f>P_1_minW-(AM4821^2*R_up)+dpup_minQ</f>
        <v>-21174.16917188813</v>
      </c>
      <c r="AN4823" s="132"/>
      <c r="AO4823" s="145"/>
      <c r="AP4823" s="138">
        <f>P_1_minW-(AP4821^2*R_up)+dpup_minQ</f>
        <v>-26380.423705479032</v>
      </c>
      <c r="AQ4823" s="132"/>
      <c r="AR4823" s="145"/>
      <c r="AS4823" s="138">
        <f>P_1_minW-(AS4821^2*R_up)+dpup_minQ</f>
        <v>-32860.731293339777</v>
      </c>
      <c r="AT4823" s="132"/>
      <c r="AU4823" s="145"/>
    </row>
    <row r="4824" spans="13:47" x14ac:dyDescent="0.25">
      <c r="M4824" s="20"/>
      <c r="N4824" s="20"/>
      <c r="O4824" s="7" t="s">
        <v>189</v>
      </c>
      <c r="P4824" s="1"/>
      <c r="Q4824" s="7"/>
      <c r="R4824" s="181">
        <f>P_2_minW+(R4821^2*R_dn)-dpdn_minQ</f>
        <v>50</v>
      </c>
      <c r="S4824" s="132"/>
      <c r="T4824" s="146"/>
      <c r="U4824" s="138">
        <f>P_2_minW+(U4821^2*R_dn)-dpdn_minQ</f>
        <v>50</v>
      </c>
      <c r="V4824" s="132"/>
      <c r="W4824" s="146"/>
      <c r="X4824" s="138">
        <f>P_2_minW+(X4821^2*R_dn)-dpdn_minQ</f>
        <v>50</v>
      </c>
      <c r="Y4824" s="132"/>
      <c r="Z4824" s="146"/>
      <c r="AA4824" s="138">
        <f>P_2_minW+(AA4821^2*R_dn)-dpdn_minQ</f>
        <v>50</v>
      </c>
      <c r="AB4824" s="132"/>
      <c r="AC4824" s="146"/>
      <c r="AD4824" s="138">
        <f>P_2_minW+(AD4821^2*R_dn)-dpdn_minQ</f>
        <v>50</v>
      </c>
      <c r="AE4824" s="132"/>
      <c r="AF4824" s="146"/>
      <c r="AG4824" s="138">
        <f>P_2_minW+(AG4821^2*R_dn)-dpdn_minQ</f>
        <v>50</v>
      </c>
      <c r="AH4824" s="132"/>
      <c r="AI4824" s="146"/>
      <c r="AJ4824" s="138">
        <f>P_2_minW+(AJ4821^2*R_dn)-dpdn_minQ</f>
        <v>50</v>
      </c>
      <c r="AK4824" s="132"/>
      <c r="AL4824" s="146"/>
      <c r="AM4824" s="138">
        <f>P_2_minW+(AM4821^2*R_dn)-dpdn_minQ</f>
        <v>50</v>
      </c>
      <c r="AN4824" s="132"/>
      <c r="AO4824" s="146"/>
      <c r="AP4824" s="138">
        <f>P_2_minW+(AP4821^2*R_dn)-dpdn_minQ</f>
        <v>50</v>
      </c>
      <c r="AQ4824" s="132"/>
      <c r="AR4824" s="146"/>
      <c r="AS4824" s="138">
        <f>P_2_minW+(AS4821^2*R_dn)-dpdn_minQ</f>
        <v>50</v>
      </c>
      <c r="AT4824" s="132"/>
      <c r="AU4824" s="146"/>
    </row>
    <row r="4825" spans="13:47" x14ac:dyDescent="0.25">
      <c r="M4825" s="20"/>
      <c r="N4825" s="20"/>
      <c r="O4825" s="7" t="s">
        <v>234</v>
      </c>
      <c r="P4825" s="1"/>
      <c r="Q4825" s="7"/>
      <c r="R4825" s="179">
        <f>'Valve Sizing'!G$8*R4823/P_1_maxW</f>
        <v>0.29249151118327293</v>
      </c>
      <c r="S4825" s="132"/>
      <c r="T4825" s="146"/>
      <c r="U4825" s="143">
        <f>'Valve Sizing'!$G$8*U4823/P_1_maxW</f>
        <v>0.10993125063926708</v>
      </c>
      <c r="V4825" s="132"/>
      <c r="W4825" s="146"/>
      <c r="X4825" s="143">
        <f>'Valve Sizing'!$G$8*X4823/P_1_maxW</f>
        <v>-1.8085485588298862</v>
      </c>
      <c r="Y4825" s="132"/>
      <c r="Z4825" s="146"/>
      <c r="AA4825" s="143">
        <f>'Valve Sizing'!$G$8*AA4823/P_1_maxW</f>
        <v>-8.2157891294369456</v>
      </c>
      <c r="AB4825" s="132"/>
      <c r="AC4825" s="146"/>
      <c r="AD4825" s="143">
        <f>'Valve Sizing'!$G$8*AD4823/P_1_maxW</f>
        <v>-23.048851146786326</v>
      </c>
      <c r="AE4825" s="132"/>
      <c r="AF4825" s="146"/>
      <c r="AG4825" s="143">
        <f>'Valve Sizing'!$G$8*AG4823/P_1_maxW</f>
        <v>-45.811221649687376</v>
      </c>
      <c r="AH4825" s="132"/>
      <c r="AI4825" s="146"/>
      <c r="AJ4825" s="143">
        <f>'Valve Sizing'!$G$8*AJ4823/P_1_maxW</f>
        <v>-74.154917084154221</v>
      </c>
      <c r="AK4825" s="132"/>
      <c r="AL4825" s="146"/>
      <c r="AM4825" s="143">
        <f>'Valve Sizing'!$G$8*AM4823/P_1_maxW</f>
        <v>-102.14042225672475</v>
      </c>
      <c r="AN4825" s="132"/>
      <c r="AO4825" s="146"/>
      <c r="AP4825" s="143">
        <f>'Valve Sizing'!$G$8*AP4823/P_1_maxW</f>
        <v>-127.25446721027906</v>
      </c>
      <c r="AQ4825" s="132"/>
      <c r="AR4825" s="146"/>
      <c r="AS4825" s="143">
        <f>'Valve Sizing'!$G$8*AS4823/P_1_maxW</f>
        <v>-158.51431726646575</v>
      </c>
      <c r="AT4825" s="132"/>
      <c r="AU4825" s="146"/>
    </row>
    <row r="4826" spans="13:47" x14ac:dyDescent="0.25">
      <c r="M4826" s="20"/>
      <c r="N4826" s="20"/>
      <c r="O4826" s="7" t="s">
        <v>190</v>
      </c>
      <c r="P4826" s="1"/>
      <c r="Q4826" s="7"/>
      <c r="R4826" s="181">
        <f>R4823-R4824</f>
        <v>10.634806497758291</v>
      </c>
      <c r="S4826" s="132"/>
      <c r="T4826" s="146"/>
      <c r="U4826" s="138">
        <f>U4823-U4824</f>
        <v>-27.210757045212588</v>
      </c>
      <c r="V4826" s="132"/>
      <c r="W4826" s="146"/>
      <c r="X4826" s="138">
        <f>X4823-X4824</f>
        <v>-424.9202548231803</v>
      </c>
      <c r="Y4826" s="132"/>
      <c r="Z4826" s="146"/>
      <c r="AA4826" s="138">
        <f>AA4823-AA4824</f>
        <v>-1753.1700580795666</v>
      </c>
      <c r="AB4826" s="132"/>
      <c r="AC4826" s="146"/>
      <c r="AD4826" s="138">
        <f>AD4823-AD4824</f>
        <v>-4828.1305639510374</v>
      </c>
      <c r="AE4826" s="132"/>
      <c r="AF4826" s="146"/>
      <c r="AG4826" s="138">
        <f>AG4823-AG4824</f>
        <v>-9546.8724012444582</v>
      </c>
      <c r="AH4826" s="132"/>
      <c r="AI4826" s="146"/>
      <c r="AJ4826" s="138">
        <f>AJ4823-AJ4824</f>
        <v>-15422.648013150751</v>
      </c>
      <c r="AK4826" s="132"/>
      <c r="AL4826" s="146"/>
      <c r="AM4826" s="138">
        <f>AM4823-AM4824</f>
        <v>-21224.16917188813</v>
      </c>
      <c r="AN4826" s="132"/>
      <c r="AO4826" s="146"/>
      <c r="AP4826" s="138">
        <f>AP4823-AP4824</f>
        <v>-26430.423705479032</v>
      </c>
      <c r="AQ4826" s="132"/>
      <c r="AR4826" s="146"/>
      <c r="AS4826" s="138">
        <f>AS4823-AS4824</f>
        <v>-32910.731293339777</v>
      </c>
      <c r="AT4826" s="132"/>
      <c r="AU4826" s="146"/>
    </row>
    <row r="4827" spans="13:47" ht="14.5" x14ac:dyDescent="0.35">
      <c r="M4827" s="27"/>
      <c r="N4827" s="27"/>
      <c r="O4827" s="2" t="s">
        <v>191</v>
      </c>
      <c r="P4827" s="10"/>
      <c r="Q4827" s="2"/>
      <c r="R4827" s="181">
        <f>R4826/R4823</f>
        <v>0.17539111794067433</v>
      </c>
      <c r="S4827" s="132"/>
      <c r="T4827" s="146"/>
      <c r="U4827" s="138">
        <f>U4826/U4823</f>
        <v>-1.1940175941428688</v>
      </c>
      <c r="V4827" s="132"/>
      <c r="W4827" s="146"/>
      <c r="X4827" s="138">
        <f>X4826/X4823</f>
        <v>1.1333616932048149</v>
      </c>
      <c r="Y4827" s="132"/>
      <c r="Z4827" s="146"/>
      <c r="AA4827" s="138">
        <f>AA4826/AA4823</f>
        <v>1.0293570214922509</v>
      </c>
      <c r="AB4827" s="132"/>
      <c r="AC4827" s="146"/>
      <c r="AD4827" s="138">
        <f>AD4826/AD4823</f>
        <v>1.0104643436027532</v>
      </c>
      <c r="AE4827" s="132"/>
      <c r="AF4827" s="146"/>
      <c r="AG4827" s="138">
        <f>AG4826/AG4823</f>
        <v>1.0052648912070723</v>
      </c>
      <c r="AH4827" s="132"/>
      <c r="AI4827" s="146"/>
      <c r="AJ4827" s="138">
        <f>AJ4826/AJ4823</f>
        <v>1.0032525300753148</v>
      </c>
      <c r="AK4827" s="132"/>
      <c r="AL4827" s="146"/>
      <c r="AM4827" s="138">
        <f>AM4826/AM4823</f>
        <v>1.0023613677398207</v>
      </c>
      <c r="AN4827" s="132"/>
      <c r="AO4827" s="146"/>
      <c r="AP4827" s="138">
        <f>AP4826/AP4823</f>
        <v>1.0018953448420018</v>
      </c>
      <c r="AQ4827" s="132"/>
      <c r="AR4827" s="146"/>
      <c r="AS4827" s="138">
        <f>AS4826/AS4823</f>
        <v>1.0015215729544684</v>
      </c>
      <c r="AT4827" s="132"/>
      <c r="AU4827" s="146"/>
    </row>
    <row r="4828" spans="13:47" x14ac:dyDescent="0.25">
      <c r="M4828" s="27"/>
      <c r="N4828" s="27"/>
      <c r="O4828" s="2" t="s">
        <v>26</v>
      </c>
      <c r="P4828" s="7">
        <v>12</v>
      </c>
      <c r="Q4828" s="2"/>
      <c r="R4828" s="181">
        <f>1-R4827/(3*F_GAMMA*R$29)</f>
        <v>0.90865429594711067</v>
      </c>
      <c r="S4828" s="133"/>
      <c r="T4828" s="146"/>
      <c r="U4828" s="138">
        <f>1-U4827/(3*F_GAMMA*U$29)</f>
        <v>1.6217211277748242</v>
      </c>
      <c r="V4828" s="133"/>
      <c r="W4828" s="146"/>
      <c r="X4828" s="138">
        <f>1-X4827/(3*F_GAMMA*X$29)</f>
        <v>0.40100919897685239</v>
      </c>
      <c r="Y4828" s="133"/>
      <c r="Z4828" s="146"/>
      <c r="AA4828" s="138">
        <f>1-AA4827/(3*F_GAMMA*AA$29)</f>
        <v>0.44851718812176333</v>
      </c>
      <c r="AB4828" s="133"/>
      <c r="AC4828" s="146"/>
      <c r="AD4828" s="138">
        <f>1-AD4827/(3*F_GAMMA*AD$29)</f>
        <v>0.44379606145960193</v>
      </c>
      <c r="AE4828" s="133"/>
      <c r="AF4828" s="146"/>
      <c r="AG4828" s="138">
        <f>1-AG4827/(3*F_GAMMA*AG$29)</f>
        <v>0.41509457080787271</v>
      </c>
      <c r="AH4828" s="133"/>
      <c r="AI4828" s="146"/>
      <c r="AJ4828" s="138">
        <f>1-AJ4827/(3*F_GAMMA*AJ$29)</f>
        <v>0.37597984964378006</v>
      </c>
      <c r="AK4828" s="133"/>
      <c r="AL4828" s="146"/>
      <c r="AM4828" s="138">
        <f>1-AM4827/(3*F_GAMMA*AM$29)</f>
        <v>0.31880015939310569</v>
      </c>
      <c r="AN4828" s="133"/>
      <c r="AO4828" s="146"/>
      <c r="AP4828" s="138">
        <f>1-AP4827/(3*F_GAMMA*AP$29)</f>
        <v>0.43732375277114621</v>
      </c>
      <c r="AQ4828" s="133"/>
      <c r="AR4828" s="146"/>
      <c r="AS4828" s="138">
        <f>1-AS4827/(3*F_GAMMA*AS$29)</f>
        <v>0.14612723256510263</v>
      </c>
      <c r="AT4828" s="133"/>
      <c r="AU4828" s="146"/>
    </row>
    <row r="4829" spans="13:47" x14ac:dyDescent="0.25">
      <c r="M4829" s="27"/>
      <c r="N4829" s="27"/>
      <c r="O4829" s="2" t="s">
        <v>71</v>
      </c>
      <c r="P4829" s="85">
        <v>5</v>
      </c>
      <c r="Q4829" s="2"/>
      <c r="R4829" s="179">
        <f>R4821/((N_6*R$27*R4828)*SQRT(R4827*R4823*R4825))</f>
        <v>98.603394332306209</v>
      </c>
      <c r="S4829" s="133"/>
      <c r="T4829" s="146"/>
      <c r="U4829" s="143" t="e">
        <f>U4821/((N_6*U$27*U4828)*SQRT(U4827*U4823*U4825))</f>
        <v>#NUM!</v>
      </c>
      <c r="V4829" s="133"/>
      <c r="W4829" s="146"/>
      <c r="X4829" s="143">
        <f>X4821/((N_6*X$27*X4828)*SQRT(X4827*X4823*X4825))</f>
        <v>49.215109023685486</v>
      </c>
      <c r="Y4829" s="133"/>
      <c r="Z4829" s="146"/>
      <c r="AA4829" s="143">
        <f>AA4821/((N_6*AA$27*AA4828)*SQRT(AA4827*AA4823*AA4825))</f>
        <v>19.910330113661317</v>
      </c>
      <c r="AB4829" s="133"/>
      <c r="AC4829" s="146"/>
      <c r="AD4829" s="143">
        <f>AD4821/((N_6*AD$27*AD4828)*SQRT(AD4827*AD4823*AD4825))</f>
        <v>12.047862349076595</v>
      </c>
      <c r="AE4829" s="133"/>
      <c r="AF4829" s="146"/>
      <c r="AG4829" s="143">
        <f>AG4821/((N_6*AG$27*AG4828)*SQRT(AG4827*AG4823*AG4825))</f>
        <v>9.3098239166839267</v>
      </c>
      <c r="AH4829" s="133"/>
      <c r="AI4829" s="146"/>
      <c r="AJ4829" s="143">
        <f>AJ4821/((N_6*AJ$27*AJ4828)*SQRT(AJ4827*AJ4823*AJ4825))</f>
        <v>8.3476367453007203</v>
      </c>
      <c r="AK4829" s="133"/>
      <c r="AL4829" s="146"/>
      <c r="AM4829" s="143">
        <f>AM4821/((N_6*AM$27*AM4828)*SQRT(AM4827*AM4823*AM4825))</f>
        <v>8.8996122040608689</v>
      </c>
      <c r="AN4829" s="133"/>
      <c r="AO4829" s="146"/>
      <c r="AP4829" s="143">
        <f>AP4821/((N_6*AP$27*AP4828)*SQRT(AP4827*AP4823*AP4825))</f>
        <v>6.6008729467621086</v>
      </c>
      <c r="AQ4829" s="133"/>
      <c r="AR4829" s="146"/>
      <c r="AS4829" s="143">
        <f>AS4821/((N_6*AS$27*AS4828)*SQRT(AS4827*AS4823*AS4825))</f>
        <v>23.253127780320007</v>
      </c>
      <c r="AT4829" s="133"/>
      <c r="AU4829" s="146"/>
    </row>
    <row r="4830" spans="13:47" x14ac:dyDescent="0.25">
      <c r="M4830" s="27"/>
      <c r="N4830" s="27"/>
      <c r="O4830" s="2" t="s">
        <v>73</v>
      </c>
      <c r="P4830" s="85">
        <v>5</v>
      </c>
      <c r="Q4830" s="2"/>
      <c r="R4830" s="179">
        <f>R4821/((N_6*R$27*0.667)*SQRT(R4831*R4823*R4825))</f>
        <v>70.318469036743167</v>
      </c>
      <c r="S4830" s="133"/>
      <c r="T4830" s="147"/>
      <c r="U4830" s="143">
        <f>U4821/((N_6*U$27*0.667)*SQRT(U4831*U4823*U4825))</f>
        <v>261.31651782331375</v>
      </c>
      <c r="V4830" s="133"/>
      <c r="W4830" s="155"/>
      <c r="X4830" s="143">
        <f>X4821/((N_6*X$27*0.667)*SQRT(X4831*X4823*X4825))</f>
        <v>39.664104772150822</v>
      </c>
      <c r="Y4830" s="133"/>
      <c r="Z4830" s="155"/>
      <c r="AA4830" s="143">
        <f>AA4821/((N_6*AA$27*0.667)*SQRT(AA4831*AA4823*AA4825))</f>
        <v>17.220998763730584</v>
      </c>
      <c r="AB4830" s="133"/>
      <c r="AC4830" s="155"/>
      <c r="AD4830" s="143">
        <f>AD4821/((N_6*AD$27*0.667)*SQRT(AD4831*AD4823*AD4825))</f>
        <v>10.354884616994337</v>
      </c>
      <c r="AE4830" s="133"/>
      <c r="AF4830" s="155"/>
      <c r="AG4830" s="143">
        <f>AG4821/((N_6*AG$27*0.667)*SQRT(AG4831*AG4823*AG4825))</f>
        <v>7.6747836162273018</v>
      </c>
      <c r="AH4830" s="133"/>
      <c r="AI4830" s="155"/>
      <c r="AJ4830" s="143">
        <f>AJ4821/((N_6*AJ$27*0.667)*SQRT(AJ4831*AJ4823*AJ4825))</f>
        <v>6.4381666237980255</v>
      </c>
      <c r="AK4830" s="133"/>
      <c r="AL4830" s="155"/>
      <c r="AM4830" s="143">
        <f>AM4821/((N_6*AM$27*0.667)*SQRT(AM4831*AM4823*AM4825))</f>
        <v>6.080813378767286</v>
      </c>
      <c r="AN4830" s="133"/>
      <c r="AO4830" s="155"/>
      <c r="AP4830" s="143">
        <f>AP4821/((N_6*AP$27*0.667)*SQRT(AP4831*AP4823*AP4825))</f>
        <v>5.6230057078609645</v>
      </c>
      <c r="AQ4830" s="133"/>
      <c r="AR4830" s="155"/>
      <c r="AS4830" s="143">
        <f>AS4821/((N_6*AS$27*0.667)*SQRT(AS4831*AS4823*AS4825))</f>
        <v>8.1534969385749338</v>
      </c>
      <c r="AT4830" s="133"/>
      <c r="AU4830" s="155"/>
    </row>
    <row r="4831" spans="13:47" ht="15.5" x14ac:dyDescent="0.4">
      <c r="M4831" s="27"/>
      <c r="N4831" s="27"/>
      <c r="O4831" s="2" t="s">
        <v>192</v>
      </c>
      <c r="P4831" s="85">
        <v>10</v>
      </c>
      <c r="Q4831" s="2"/>
      <c r="R4831" s="181">
        <f>F_GAMMA*R$29</f>
        <v>0.64002688015162901</v>
      </c>
      <c r="S4831" s="133"/>
      <c r="T4831" s="147"/>
      <c r="U4831" s="138">
        <f>F_GAMMA*U$29</f>
        <v>0.64016782916606918</v>
      </c>
      <c r="V4831" s="133"/>
      <c r="W4831" s="155"/>
      <c r="X4831" s="138">
        <f>F_GAMMA*X$29</f>
        <v>0.6307062319203669</v>
      </c>
      <c r="Y4831" s="133"/>
      <c r="Z4831" s="155"/>
      <c r="AA4831" s="138">
        <f>F_GAMMA*AA$29</f>
        <v>0.62217534213893466</v>
      </c>
      <c r="AB4831" s="133"/>
      <c r="AC4831" s="155"/>
      <c r="AD4831" s="138">
        <f>F_GAMMA*AD$29</f>
        <v>0.60557184969146072</v>
      </c>
      <c r="AE4831" s="133"/>
      <c r="AF4831" s="155"/>
      <c r="AG4831" s="138">
        <f>F_GAMMA*AG$29</f>
        <v>0.57289312142622573</v>
      </c>
      <c r="AH4831" s="133"/>
      <c r="AI4831" s="155"/>
      <c r="AJ4831" s="138">
        <f>F_GAMMA*AJ$29</f>
        <v>0.53590819116049981</v>
      </c>
      <c r="AK4831" s="133"/>
      <c r="AL4831" s="155"/>
      <c r="AM4831" s="138">
        <f>F_GAMMA*AM$29</f>
        <v>0.49048815926850342</v>
      </c>
      <c r="AN4831" s="133"/>
      <c r="AO4831" s="155"/>
      <c r="AP4831" s="138">
        <f>F_GAMMA*AP$29</f>
        <v>0.59352979016280105</v>
      </c>
      <c r="AQ4831" s="133"/>
      <c r="AR4831" s="155"/>
      <c r="AS4831" s="138">
        <f>F_GAMMA*AS$29</f>
        <v>0.39097221161068291</v>
      </c>
      <c r="AT4831" s="133"/>
      <c r="AU4831" s="155"/>
    </row>
    <row r="4832" spans="13:47" x14ac:dyDescent="0.25">
      <c r="M4832" s="27"/>
      <c r="N4832" s="27"/>
      <c r="O4832" s="2" t="s">
        <v>193</v>
      </c>
      <c r="P4832" s="134"/>
      <c r="Q4832" s="2"/>
      <c r="R4832" s="181">
        <f>IF(R4827&lt;R4831,R4829,R4830)</f>
        <v>98.603394332306209</v>
      </c>
      <c r="S4832" s="133"/>
      <c r="T4832" s="147"/>
      <c r="U4832" s="138" t="e">
        <f>IF(U4827&lt;U4831,U4829,U4830)</f>
        <v>#NUM!</v>
      </c>
      <c r="V4832" s="133"/>
      <c r="W4832" s="155"/>
      <c r="X4832" s="138">
        <f>IF(X4827&lt;X4831,X4829,X4830)</f>
        <v>39.664104772150822</v>
      </c>
      <c r="Y4832" s="133"/>
      <c r="Z4832" s="155"/>
      <c r="AA4832" s="138">
        <f>IF(AA4827&lt;AA4831,AA4829,AA4830)</f>
        <v>17.220998763730584</v>
      </c>
      <c r="AB4832" s="133"/>
      <c r="AC4832" s="155"/>
      <c r="AD4832" s="138">
        <f>IF(AD4827&lt;AD4831,AD4829,AD4830)</f>
        <v>10.354884616994337</v>
      </c>
      <c r="AE4832" s="133"/>
      <c r="AF4832" s="155"/>
      <c r="AG4832" s="138">
        <f>IF(AG4827&lt;AG4831,AG4829,AG4830)</f>
        <v>7.6747836162273018</v>
      </c>
      <c r="AH4832" s="133"/>
      <c r="AI4832" s="155"/>
      <c r="AJ4832" s="138">
        <f>IF(AJ4827&lt;AJ4831,AJ4829,AJ4830)</f>
        <v>6.4381666237980255</v>
      </c>
      <c r="AK4832" s="133"/>
      <c r="AL4832" s="155"/>
      <c r="AM4832" s="138">
        <f>IF(AM4827&lt;AM4831,AM4829,AM4830)</f>
        <v>6.080813378767286</v>
      </c>
      <c r="AN4832" s="133"/>
      <c r="AO4832" s="155"/>
      <c r="AP4832" s="138">
        <f>IF(AP4827&lt;AP4831,AP4829,AP4830)</f>
        <v>5.6230057078609645</v>
      </c>
      <c r="AQ4832" s="133"/>
      <c r="AR4832" s="155"/>
      <c r="AS4832" s="138">
        <f>IF(AS4827&lt;AS4831,AS4829,AS4830)</f>
        <v>8.1534969385749338</v>
      </c>
      <c r="AT4832" s="133"/>
      <c r="AU4832" s="155"/>
    </row>
    <row r="4833" spans="13:47" ht="13" x14ac:dyDescent="0.3">
      <c r="M4833" s="28"/>
      <c r="N4833" s="28"/>
      <c r="O4833" s="9" t="s">
        <v>194</v>
      </c>
      <c r="P4833" s="1"/>
      <c r="Q4833" s="1"/>
      <c r="R4833" s="135"/>
      <c r="S4833" s="132">
        <f>IF(R4826&lt;=0,W_max,ABS(R$23-R4832))</f>
        <v>96.603394332306209</v>
      </c>
      <c r="T4833" s="151">
        <f>R4821</f>
        <v>10001.479042542913</v>
      </c>
      <c r="U4833" s="135"/>
      <c r="V4833" s="132">
        <f>IF(U4826&lt;=0,W_max,ABS(U$23-U4832))</f>
        <v>7174</v>
      </c>
      <c r="W4833" s="151">
        <f>U4821</f>
        <v>13961.993767909109</v>
      </c>
      <c r="X4833" s="135"/>
      <c r="Y4833" s="132">
        <f>IF(X4826&lt;=0,W_max,ABS(X$23-X4832))</f>
        <v>7174</v>
      </c>
      <c r="Z4833" s="151">
        <f>X4821</f>
        <v>34529.672084774109</v>
      </c>
      <c r="AA4833" s="135"/>
      <c r="AB4833" s="132">
        <f>IF(AA4826&lt;=0,W_max,ABS(AA$23-AA4832))</f>
        <v>7174</v>
      </c>
      <c r="AC4833" s="151">
        <f>AA4821</f>
        <v>67254.987680716004</v>
      </c>
      <c r="AD4833" s="135"/>
      <c r="AE4833" s="132">
        <f>IF(AD4826&lt;=0,W_max,ABS(AD$23-AD4832))</f>
        <v>7174</v>
      </c>
      <c r="AF4833" s="151">
        <f>AD4821</f>
        <v>110609.69291742379</v>
      </c>
      <c r="AG4833" s="135"/>
      <c r="AH4833" s="132">
        <f>IF(AG4826&lt;=0,W_max,ABS(AG$23-AG4832))</f>
        <v>7174</v>
      </c>
      <c r="AI4833" s="151">
        <f>AG4821</f>
        <v>155138.60973326216</v>
      </c>
      <c r="AJ4833" s="135"/>
      <c r="AK4833" s="132">
        <f>IF(AJ4826&lt;=0,W_max,ABS(AJ$23-AJ4832))</f>
        <v>7174</v>
      </c>
      <c r="AL4833" s="151">
        <f>AJ4821</f>
        <v>196984.86810339356</v>
      </c>
      <c r="AM4833" s="135"/>
      <c r="AN4833" s="132">
        <f>IF(AM4826&lt;=0,W_max,ABS(AM$23-AM4832))</f>
        <v>7174</v>
      </c>
      <c r="AO4833" s="151">
        <f>AM4821</f>
        <v>230980.24971115077</v>
      </c>
      <c r="AP4833" s="135"/>
      <c r="AQ4833" s="132">
        <f>IF(AP4826&lt;=0,W_max,ABS(AP$23-AP4832))</f>
        <v>7174</v>
      </c>
      <c r="AR4833" s="151">
        <f>AP4821</f>
        <v>257697.35330758162</v>
      </c>
      <c r="AS4833" s="135"/>
      <c r="AT4833" s="132">
        <f>IF(AS4826&lt;=0,W_max,ABS(AS$23-AS4832))</f>
        <v>7174</v>
      </c>
      <c r="AU4833" s="151">
        <f>AS4821</f>
        <v>287504.78010469768</v>
      </c>
    </row>
    <row r="4834" spans="13:47" ht="13" x14ac:dyDescent="0.25">
      <c r="M4834" s="12"/>
      <c r="N4834" s="12"/>
      <c r="O4834" s="12"/>
      <c r="P4834" s="12"/>
      <c r="Q4834" s="12"/>
      <c r="R4834" s="182"/>
      <c r="S4834" s="22"/>
      <c r="T4834" s="152"/>
      <c r="U4834" s="157"/>
      <c r="V4834" s="1"/>
      <c r="W4834" s="147"/>
      <c r="X4834" s="157"/>
      <c r="Y4834" s="1"/>
      <c r="Z4834" s="147"/>
      <c r="AA4834" s="157"/>
      <c r="AB4834" s="1"/>
      <c r="AC4834" s="147"/>
      <c r="AD4834" s="157"/>
      <c r="AE4834" s="1"/>
      <c r="AF4834" s="147"/>
      <c r="AG4834" s="157"/>
      <c r="AH4834" s="1"/>
      <c r="AI4834" s="147"/>
      <c r="AJ4834" s="157"/>
      <c r="AK4834" s="1"/>
      <c r="AL4834" s="147"/>
      <c r="AM4834" s="157"/>
      <c r="AN4834" s="1"/>
      <c r="AO4834" s="147"/>
      <c r="AP4834" s="157"/>
      <c r="AQ4834" s="1"/>
      <c r="AR4834" s="147"/>
      <c r="AS4834" s="157"/>
      <c r="AT4834" s="1"/>
      <c r="AU4834" s="147"/>
    </row>
    <row r="4835" spans="13:47" ht="14" x14ac:dyDescent="0.3">
      <c r="M4835" s="23"/>
      <c r="N4835" s="23"/>
      <c r="O4835" s="23" t="s">
        <v>238</v>
      </c>
      <c r="P4835" s="20"/>
      <c r="Q4835" s="20"/>
      <c r="R4835" s="18">
        <f>R4821*1.02</f>
        <v>10201.508623393771</v>
      </c>
      <c r="S4835" s="128" t="s">
        <v>185</v>
      </c>
      <c r="T4835" s="153" t="s">
        <v>186</v>
      </c>
      <c r="U4835" s="143">
        <f>U4821*1.01</f>
        <v>14101.613705588201</v>
      </c>
      <c r="V4835" s="128" t="s">
        <v>185</v>
      </c>
      <c r="W4835" s="153" t="s">
        <v>186</v>
      </c>
      <c r="X4835" s="143">
        <f>X4821*1.01</f>
        <v>34874.968805621851</v>
      </c>
      <c r="Y4835" s="128" t="s">
        <v>185</v>
      </c>
      <c r="Z4835" s="153" t="s">
        <v>186</v>
      </c>
      <c r="AA4835" s="143">
        <f>AA4821*1.01</f>
        <v>67927.537557523159</v>
      </c>
      <c r="AB4835" s="128" t="s">
        <v>185</v>
      </c>
      <c r="AC4835" s="153" t="s">
        <v>186</v>
      </c>
      <c r="AD4835" s="143">
        <f>AD4821*1.01</f>
        <v>111715.78984659803</v>
      </c>
      <c r="AE4835" s="128" t="s">
        <v>185</v>
      </c>
      <c r="AF4835" s="153" t="s">
        <v>186</v>
      </c>
      <c r="AG4835" s="143">
        <f>AG4821*1.01</f>
        <v>156689.99583059479</v>
      </c>
      <c r="AH4835" s="128" t="s">
        <v>185</v>
      </c>
      <c r="AI4835" s="153" t="s">
        <v>186</v>
      </c>
      <c r="AJ4835" s="143">
        <f>AJ4821*1.01</f>
        <v>198954.7167844275</v>
      </c>
      <c r="AK4835" s="128" t="s">
        <v>185</v>
      </c>
      <c r="AL4835" s="153" t="s">
        <v>186</v>
      </c>
      <c r="AM4835" s="143">
        <f>AM4821*1.01</f>
        <v>233290.05220826229</v>
      </c>
      <c r="AN4835" s="128" t="s">
        <v>185</v>
      </c>
      <c r="AO4835" s="153" t="s">
        <v>186</v>
      </c>
      <c r="AP4835" s="143">
        <f>AP4821*1.01</f>
        <v>260274.32684065745</v>
      </c>
      <c r="AQ4835" s="128" t="s">
        <v>185</v>
      </c>
      <c r="AR4835" s="153" t="s">
        <v>186</v>
      </c>
      <c r="AS4835" s="143">
        <f>AS4821*1.01</f>
        <v>290379.82790574466</v>
      </c>
      <c r="AT4835" s="128" t="s">
        <v>185</v>
      </c>
      <c r="AU4835" s="153" t="s">
        <v>186</v>
      </c>
    </row>
    <row r="4836" spans="13:47" ht="14" x14ac:dyDescent="0.3">
      <c r="M4836" s="12"/>
      <c r="N4836" s="12"/>
      <c r="O4836" s="20"/>
      <c r="P4836" s="20"/>
      <c r="Q4836" s="23"/>
      <c r="R4836" s="139"/>
      <c r="S4836" s="130" t="s">
        <v>228</v>
      </c>
      <c r="T4836" s="154" t="s">
        <v>187</v>
      </c>
      <c r="U4836" s="144"/>
      <c r="V4836" s="130" t="s">
        <v>228</v>
      </c>
      <c r="W4836" s="154" t="s">
        <v>187</v>
      </c>
      <c r="X4836" s="144"/>
      <c r="Y4836" s="130" t="s">
        <v>228</v>
      </c>
      <c r="Z4836" s="154" t="s">
        <v>187</v>
      </c>
      <c r="AA4836" s="144"/>
      <c r="AB4836" s="130" t="s">
        <v>228</v>
      </c>
      <c r="AC4836" s="154" t="s">
        <v>187</v>
      </c>
      <c r="AD4836" s="144"/>
      <c r="AE4836" s="130" t="s">
        <v>228</v>
      </c>
      <c r="AF4836" s="154" t="s">
        <v>187</v>
      </c>
      <c r="AG4836" s="144"/>
      <c r="AH4836" s="130" t="s">
        <v>228</v>
      </c>
      <c r="AI4836" s="154" t="s">
        <v>187</v>
      </c>
      <c r="AJ4836" s="144"/>
      <c r="AK4836" s="130" t="s">
        <v>228</v>
      </c>
      <c r="AL4836" s="154" t="s">
        <v>187</v>
      </c>
      <c r="AM4836" s="144"/>
      <c r="AN4836" s="130" t="s">
        <v>228</v>
      </c>
      <c r="AO4836" s="154" t="s">
        <v>187</v>
      </c>
      <c r="AP4836" s="144"/>
      <c r="AQ4836" s="130" t="s">
        <v>228</v>
      </c>
      <c r="AR4836" s="154" t="s">
        <v>187</v>
      </c>
      <c r="AS4836" s="144"/>
      <c r="AT4836" s="130" t="s">
        <v>228</v>
      </c>
      <c r="AU4836" s="154" t="s">
        <v>187</v>
      </c>
    </row>
    <row r="4837" spans="13:47" x14ac:dyDescent="0.25">
      <c r="M4837" s="20"/>
      <c r="N4837" s="20"/>
      <c r="O4837" s="7" t="s">
        <v>188</v>
      </c>
      <c r="P4837" s="7"/>
      <c r="Q4837" s="7"/>
      <c r="R4837" s="181">
        <f>P_1_minW-(R4835^2*R_up)+dpup_minQ</f>
        <v>59.023332096103964</v>
      </c>
      <c r="S4837" s="132"/>
      <c r="T4837" s="145"/>
      <c r="U4837" s="138">
        <f>P_1_minW-(U4835^2*R_up)+dpup_minQ</f>
        <v>21.226798724770418</v>
      </c>
      <c r="V4837" s="132"/>
      <c r="W4837" s="145"/>
      <c r="X4837" s="138">
        <f>P_1_minW-(X4835^2*R_up)+dpup_minQ</f>
        <v>-384.47665995853441</v>
      </c>
      <c r="Y4837" s="132"/>
      <c r="Z4837" s="145"/>
      <c r="AA4837" s="138">
        <f>P_1_minW-(AA4835^2*R_up)+dpup_minQ</f>
        <v>-1739.4242842603737</v>
      </c>
      <c r="AB4837" s="132"/>
      <c r="AC4837" s="145"/>
      <c r="AD4837" s="138">
        <f>P_1_minW-(AD4835^2*R_up)+dpup_minQ</f>
        <v>-4876.1914962998608</v>
      </c>
      <c r="AE4837" s="132"/>
      <c r="AF4837" s="145"/>
      <c r="AG4837" s="138">
        <f>P_1_minW-(AG4835^2*R_up)+dpup_minQ</f>
        <v>-9689.7800445228822</v>
      </c>
      <c r="AH4837" s="132"/>
      <c r="AI4837" s="145"/>
      <c r="AJ4837" s="138">
        <f>P_1_minW-(AJ4835^2*R_up)+dpup_minQ</f>
        <v>-15683.65874622849</v>
      </c>
      <c r="AK4837" s="132"/>
      <c r="AL4837" s="145"/>
      <c r="AM4837" s="138">
        <f>P_1_minW-(AM4835^2*R_up)+dpup_minQ</f>
        <v>-21601.790480256492</v>
      </c>
      <c r="AN4837" s="132"/>
      <c r="AO4837" s="145"/>
      <c r="AP4837" s="138">
        <f>P_1_minW-(AP4835^2*R_up)+dpup_minQ</f>
        <v>-26912.690729972572</v>
      </c>
      <c r="AQ4837" s="132"/>
      <c r="AR4837" s="145"/>
      <c r="AS4837" s="138">
        <f>P_1_minW-(AS4835^2*R_up)+dpup_minQ</f>
        <v>-33523.252500349321</v>
      </c>
      <c r="AT4837" s="132"/>
      <c r="AU4837" s="145"/>
    </row>
    <row r="4838" spans="13:47" x14ac:dyDescent="0.25">
      <c r="M4838" s="20"/>
      <c r="N4838" s="20"/>
      <c r="O4838" s="7" t="s">
        <v>189</v>
      </c>
      <c r="P4838" s="1"/>
      <c r="Q4838" s="7"/>
      <c r="R4838" s="181">
        <f>P_2_minW+(R4835^2*R_dn)-dpdn_minQ</f>
        <v>50</v>
      </c>
      <c r="S4838" s="132"/>
      <c r="T4838" s="146"/>
      <c r="U4838" s="138">
        <f>P_2_minW+(U4835^2*R_dn)-dpdn_minQ</f>
        <v>50</v>
      </c>
      <c r="V4838" s="132"/>
      <c r="W4838" s="146"/>
      <c r="X4838" s="138">
        <f>P_2_minW+(X4835^2*R_dn)-dpdn_minQ</f>
        <v>50</v>
      </c>
      <c r="Y4838" s="132"/>
      <c r="Z4838" s="146"/>
      <c r="AA4838" s="138">
        <f>P_2_minW+(AA4835^2*R_dn)-dpdn_minQ</f>
        <v>50</v>
      </c>
      <c r="AB4838" s="132"/>
      <c r="AC4838" s="146"/>
      <c r="AD4838" s="138">
        <f>P_2_minW+(AD4835^2*R_dn)-dpdn_minQ</f>
        <v>50</v>
      </c>
      <c r="AE4838" s="132"/>
      <c r="AF4838" s="146"/>
      <c r="AG4838" s="138">
        <f>P_2_minW+(AG4835^2*R_dn)-dpdn_minQ</f>
        <v>50</v>
      </c>
      <c r="AH4838" s="132"/>
      <c r="AI4838" s="146"/>
      <c r="AJ4838" s="138">
        <f>P_2_minW+(AJ4835^2*R_dn)-dpdn_minQ</f>
        <v>50</v>
      </c>
      <c r="AK4838" s="132"/>
      <c r="AL4838" s="146"/>
      <c r="AM4838" s="138">
        <f>P_2_minW+(AM4835^2*R_dn)-dpdn_minQ</f>
        <v>50</v>
      </c>
      <c r="AN4838" s="132"/>
      <c r="AO4838" s="146"/>
      <c r="AP4838" s="138">
        <f>P_2_minW+(AP4835^2*R_dn)-dpdn_minQ</f>
        <v>50</v>
      </c>
      <c r="AQ4838" s="132"/>
      <c r="AR4838" s="146"/>
      <c r="AS4838" s="138">
        <f>P_2_minW+(AS4835^2*R_dn)-dpdn_minQ</f>
        <v>50</v>
      </c>
      <c r="AT4838" s="132"/>
      <c r="AU4838" s="146"/>
    </row>
    <row r="4839" spans="13:47" x14ac:dyDescent="0.25">
      <c r="M4839" s="20"/>
      <c r="N4839" s="20"/>
      <c r="O4839" s="7" t="s">
        <v>234</v>
      </c>
      <c r="P4839" s="1"/>
      <c r="Q4839" s="7"/>
      <c r="R4839" s="179">
        <f>'Valve Sizing'!G$8*R4837/P_1_maxW</f>
        <v>0.28471804557502595</v>
      </c>
      <c r="S4839" s="132"/>
      <c r="T4839" s="146"/>
      <c r="U4839" s="143">
        <f>'Valve Sizing'!$G$8*U4837/P_1_maxW</f>
        <v>0.10239429784971457</v>
      </c>
      <c r="V4839" s="132"/>
      <c r="W4839" s="146"/>
      <c r="X4839" s="143">
        <f>'Valve Sizing'!$G$8*X4837/P_1_maxW</f>
        <v>-1.8546469557897685</v>
      </c>
      <c r="Y4839" s="132"/>
      <c r="Z4839" s="146"/>
      <c r="AA4839" s="143">
        <f>'Valve Sizing'!$G$8*AA4837/P_1_maxW</f>
        <v>-8.3906730618660266</v>
      </c>
      <c r="AB4839" s="132"/>
      <c r="AC4839" s="146"/>
      <c r="AD4839" s="143">
        <f>'Valve Sizing'!$G$8*AD4837/P_1_maxW</f>
        <v>-23.521879625764129</v>
      </c>
      <c r="AE4839" s="132"/>
      <c r="AF4839" s="146"/>
      <c r="AG4839" s="143">
        <f>'Valve Sizing'!$G$8*AG4837/P_1_maxW</f>
        <v>-46.741773775773503</v>
      </c>
      <c r="AH4839" s="132"/>
      <c r="AI4839" s="146"/>
      <c r="AJ4839" s="143">
        <f>'Valve Sizing'!$G$8*AJ4837/P_1_maxW</f>
        <v>-75.655177488473129</v>
      </c>
      <c r="AK4839" s="132"/>
      <c r="AL4839" s="146"/>
      <c r="AM4839" s="143">
        <f>'Valve Sizing'!$G$8*AM4837/P_1_maxW</f>
        <v>-104.20319131501233</v>
      </c>
      <c r="AN4839" s="132"/>
      <c r="AO4839" s="146"/>
      <c r="AP4839" s="143">
        <f>'Valve Sizing'!$G$8*AP4837/P_1_maxW</f>
        <v>-129.82202857213309</v>
      </c>
      <c r="AQ4839" s="132"/>
      <c r="AR4839" s="146"/>
      <c r="AS4839" s="143">
        <f>'Valve Sizing'!$G$8*AS4837/P_1_maxW</f>
        <v>-161.71020161444918</v>
      </c>
      <c r="AT4839" s="132"/>
      <c r="AU4839" s="146"/>
    </row>
    <row r="4840" spans="13:47" x14ac:dyDescent="0.25">
      <c r="M4840" s="20"/>
      <c r="N4840" s="20"/>
      <c r="O4840" s="7" t="s">
        <v>190</v>
      </c>
      <c r="P4840" s="1"/>
      <c r="Q4840" s="7"/>
      <c r="R4840" s="181">
        <f>R4837-R4838</f>
        <v>9.0233320961039638</v>
      </c>
      <c r="S4840" s="132"/>
      <c r="T4840" s="146"/>
      <c r="U4840" s="138">
        <f>U4837-U4838</f>
        <v>-28.773201275229582</v>
      </c>
      <c r="V4840" s="132"/>
      <c r="W4840" s="146"/>
      <c r="X4840" s="138">
        <f>X4837-X4838</f>
        <v>-434.47665995853441</v>
      </c>
      <c r="Y4840" s="132"/>
      <c r="Z4840" s="146"/>
      <c r="AA4840" s="138">
        <f>AA4837-AA4838</f>
        <v>-1789.4242842603737</v>
      </c>
      <c r="AB4840" s="132"/>
      <c r="AC4840" s="146"/>
      <c r="AD4840" s="138">
        <f>AD4837-AD4838</f>
        <v>-4926.1914962998608</v>
      </c>
      <c r="AE4840" s="132"/>
      <c r="AF4840" s="146"/>
      <c r="AG4840" s="138">
        <f>AG4837-AG4838</f>
        <v>-9739.7800445228822</v>
      </c>
      <c r="AH4840" s="132"/>
      <c r="AI4840" s="146"/>
      <c r="AJ4840" s="138">
        <f>AJ4837-AJ4838</f>
        <v>-15733.65874622849</v>
      </c>
      <c r="AK4840" s="132"/>
      <c r="AL4840" s="146"/>
      <c r="AM4840" s="138">
        <f>AM4837-AM4838</f>
        <v>-21651.790480256492</v>
      </c>
      <c r="AN4840" s="132"/>
      <c r="AO4840" s="146"/>
      <c r="AP4840" s="138">
        <f>AP4837-AP4838</f>
        <v>-26962.690729972572</v>
      </c>
      <c r="AQ4840" s="132"/>
      <c r="AR4840" s="146"/>
      <c r="AS4840" s="138">
        <f>AS4837-AS4838</f>
        <v>-33573.252500349321</v>
      </c>
      <c r="AT4840" s="132"/>
      <c r="AU4840" s="146"/>
    </row>
    <row r="4841" spans="13:47" ht="14.5" x14ac:dyDescent="0.35">
      <c r="M4841" s="27"/>
      <c r="N4841" s="27"/>
      <c r="O4841" s="2" t="s">
        <v>191</v>
      </c>
      <c r="P4841" s="10"/>
      <c r="Q4841" s="2"/>
      <c r="R4841" s="181">
        <f>R4840/R4837</f>
        <v>0.15287737536423465</v>
      </c>
      <c r="S4841" s="132"/>
      <c r="T4841" s="146"/>
      <c r="U4841" s="138">
        <f>U4840/U4837</f>
        <v>-1.3555129837667399</v>
      </c>
      <c r="V4841" s="132"/>
      <c r="W4841" s="146"/>
      <c r="X4841" s="138">
        <f>X4840/X4837</f>
        <v>1.1300469058522109</v>
      </c>
      <c r="Y4841" s="132"/>
      <c r="Z4841" s="146"/>
      <c r="AA4841" s="138">
        <f>AA4840/AA4837</f>
        <v>1.0287451431214556</v>
      </c>
      <c r="AB4841" s="132"/>
      <c r="AC4841" s="146"/>
      <c r="AD4841" s="138">
        <f>AD4840/AD4837</f>
        <v>1.0102539041048615</v>
      </c>
      <c r="AE4841" s="132"/>
      <c r="AF4841" s="146"/>
      <c r="AG4841" s="138">
        <f>AG4840/AG4837</f>
        <v>1.0051600758500461</v>
      </c>
      <c r="AH4841" s="132"/>
      <c r="AI4841" s="146"/>
      <c r="AJ4841" s="138">
        <f>AJ4840/AJ4837</f>
        <v>1.003188031619983</v>
      </c>
      <c r="AK4841" s="132"/>
      <c r="AL4841" s="146"/>
      <c r="AM4841" s="138">
        <f>AM4840/AM4837</f>
        <v>1.0023146229496902</v>
      </c>
      <c r="AN4841" s="132"/>
      <c r="AO4841" s="146"/>
      <c r="AP4841" s="138">
        <f>AP4840/AP4837</f>
        <v>1.001857859568992</v>
      </c>
      <c r="AQ4841" s="132"/>
      <c r="AR4841" s="146"/>
      <c r="AS4841" s="138">
        <f>AS4840/AS4837</f>
        <v>1.0014915020551625</v>
      </c>
      <c r="AT4841" s="132"/>
      <c r="AU4841" s="146"/>
    </row>
    <row r="4842" spans="13:47" x14ac:dyDescent="0.25">
      <c r="M4842" s="27"/>
      <c r="N4842" s="27"/>
      <c r="O4842" s="2" t="s">
        <v>26</v>
      </c>
      <c r="P4842" s="7">
        <v>12</v>
      </c>
      <c r="Q4842" s="2"/>
      <c r="R4842" s="181">
        <f>1-R4841/(3*F_GAMMA*R$29)</f>
        <v>0.92037971106879324</v>
      </c>
      <c r="S4842" s="133"/>
      <c r="T4842" s="146"/>
      <c r="U4842" s="138">
        <f>1-U4841/(3*F_GAMMA*U$29)</f>
        <v>1.7058112586572456</v>
      </c>
      <c r="V4842" s="133"/>
      <c r="W4842" s="146"/>
      <c r="X4842" s="138">
        <f>1-X4841/(3*F_GAMMA*X$29)</f>
        <v>0.40276109084284906</v>
      </c>
      <c r="Y4842" s="133"/>
      <c r="Z4842" s="146"/>
      <c r="AA4842" s="138">
        <f>1-AA4841/(3*F_GAMMA*AA$29)</f>
        <v>0.44884500480480738</v>
      </c>
      <c r="AB4842" s="133"/>
      <c r="AC4842" s="146"/>
      <c r="AD4842" s="138">
        <f>1-AD4841/(3*F_GAMMA*AD$29)</f>
        <v>0.44391189659845953</v>
      </c>
      <c r="AE4842" s="133"/>
      <c r="AF4842" s="146"/>
      <c r="AG4842" s="138">
        <f>1-AG4841/(3*F_GAMMA*AG$29)</f>
        <v>0.41515555679467431</v>
      </c>
      <c r="AH4842" s="133"/>
      <c r="AI4842" s="146"/>
      <c r="AJ4842" s="138">
        <f>1-AJ4841/(3*F_GAMMA*AJ$29)</f>
        <v>0.37601996749505606</v>
      </c>
      <c r="AK4842" s="133"/>
      <c r="AL4842" s="146"/>
      <c r="AM4842" s="138">
        <f>1-AM4841/(3*F_GAMMA*AM$29)</f>
        <v>0.31883192692187412</v>
      </c>
      <c r="AN4842" s="133"/>
      <c r="AO4842" s="146"/>
      <c r="AP4842" s="138">
        <f>1-AP4841/(3*F_GAMMA*AP$29)</f>
        <v>0.43734480494276484</v>
      </c>
      <c r="AQ4842" s="133"/>
      <c r="AR4842" s="146"/>
      <c r="AS4842" s="138">
        <f>1-AS4841/(3*F_GAMMA*AS$29)</f>
        <v>0.14615287027746249</v>
      </c>
      <c r="AT4842" s="133"/>
      <c r="AU4842" s="146"/>
    </row>
    <row r="4843" spans="13:47" x14ac:dyDescent="0.25">
      <c r="M4843" s="27"/>
      <c r="N4843" s="27"/>
      <c r="O4843" s="2" t="s">
        <v>71</v>
      </c>
      <c r="P4843" s="85">
        <v>5</v>
      </c>
      <c r="Q4843" s="2"/>
      <c r="R4843" s="179">
        <f>R4835/((N_6*R$27*R4842)*SQRT(R4841*R4837*R4839))</f>
        <v>109.25822644906657</v>
      </c>
      <c r="S4843" s="133"/>
      <c r="T4843" s="146"/>
      <c r="U4843" s="143" t="e">
        <f>U4835/((N_6*U$27*U4842)*SQRT(U4841*U4837*U4839))</f>
        <v>#NUM!</v>
      </c>
      <c r="V4843" s="133"/>
      <c r="W4843" s="146"/>
      <c r="X4843" s="143">
        <f>X4835/((N_6*X$27*X4842)*SQRT(X4841*X4837*X4839))</f>
        <v>48.331648084129291</v>
      </c>
      <c r="Y4843" s="133"/>
      <c r="Z4843" s="146"/>
      <c r="AA4843" s="143">
        <f>AA4835/((N_6*AA$27*AA4842)*SQRT(AA4841*AA4837*AA4839))</f>
        <v>19.681768997640336</v>
      </c>
      <c r="AB4843" s="133"/>
      <c r="AC4843" s="146"/>
      <c r="AD4843" s="143">
        <f>AD4835/((N_6*AD$27*AD4842)*SQRT(AD4841*AD4837*AD4839))</f>
        <v>11.921763940894403</v>
      </c>
      <c r="AE4843" s="133"/>
      <c r="AF4843" s="146"/>
      <c r="AG4843" s="143">
        <f>AG4835/((N_6*AG$27*AG4842)*SQRT(AG4841*AG4837*AG4839))</f>
        <v>9.2148520134031155</v>
      </c>
      <c r="AH4843" s="133"/>
      <c r="AI4843" s="146"/>
      <c r="AJ4843" s="143">
        <f>AJ4835/((N_6*AJ$27*AJ4842)*SQRT(AJ4841*AJ4837*AJ4839))</f>
        <v>8.263306049168234</v>
      </c>
      <c r="AK4843" s="133"/>
      <c r="AL4843" s="146"/>
      <c r="AM4843" s="143">
        <f>AM4835/((N_6*AM$27*AM4842)*SQRT(AM4841*AM4837*AM4839))</f>
        <v>8.8100006117572978</v>
      </c>
      <c r="AN4843" s="133"/>
      <c r="AO4843" s="146"/>
      <c r="AP4843" s="143">
        <f>AP4835/((N_6*AP$27*AP4842)*SQRT(AP4841*AP4837*AP4839))</f>
        <v>6.5348347831917328</v>
      </c>
      <c r="AQ4843" s="133"/>
      <c r="AR4843" s="146"/>
      <c r="AS4843" s="143">
        <f>AS4835/((N_6*AS$27*AS4842)*SQRT(AS4841*AS4837*AS4839))</f>
        <v>23.017818353364785</v>
      </c>
      <c r="AT4843" s="133"/>
      <c r="AU4843" s="146"/>
    </row>
    <row r="4844" spans="13:47" x14ac:dyDescent="0.25">
      <c r="M4844" s="27"/>
      <c r="N4844" s="27"/>
      <c r="O4844" s="2" t="s">
        <v>73</v>
      </c>
      <c r="P4844" s="85">
        <v>5</v>
      </c>
      <c r="Q4844" s="2"/>
      <c r="R4844" s="179">
        <f>R4835/((N_6*R$27*0.667)*SQRT(R4845*R4837*R4839))</f>
        <v>73.683093517077666</v>
      </c>
      <c r="S4844" s="133"/>
      <c r="T4844" s="155"/>
      <c r="U4844" s="143">
        <f>U4835/((N_6*U$27*0.667)*SQRT(U4845*U4837*U4839))</f>
        <v>283.35679566619774</v>
      </c>
      <c r="V4844" s="133"/>
      <c r="W4844" s="155"/>
      <c r="X4844" s="143">
        <f>X4835/((N_6*X$27*0.667)*SQRT(X4845*X4837*X4839))</f>
        <v>39.065011209817115</v>
      </c>
      <c r="Y4844" s="133"/>
      <c r="Z4844" s="155"/>
      <c r="AA4844" s="143">
        <f>AA4835/((N_6*AA$27*0.667)*SQRT(AA4845*AA4837*AA4839))</f>
        <v>17.030688042770208</v>
      </c>
      <c r="AB4844" s="133"/>
      <c r="AC4844" s="155"/>
      <c r="AD4844" s="143">
        <f>AD4835/((N_6*AD$27*0.667)*SQRT(AD4845*AD4837*AD4839))</f>
        <v>10.248112819054171</v>
      </c>
      <c r="AE4844" s="133"/>
      <c r="AF4844" s="155"/>
      <c r="AG4844" s="143">
        <f>AG4835/((N_6*AG$27*0.667)*SQRT(AG4845*AG4837*AG4839))</f>
        <v>7.5972111626195007</v>
      </c>
      <c r="AH4844" s="133"/>
      <c r="AI4844" s="155"/>
      <c r="AJ4844" s="143">
        <f>AJ4835/((N_6*AJ$27*0.667)*SQRT(AJ4845*AJ4837*AJ4839))</f>
        <v>6.3736011901736207</v>
      </c>
      <c r="AK4844" s="133"/>
      <c r="AL4844" s="155"/>
      <c r="AM4844" s="143">
        <f>AM4835/((N_6*AM$27*0.667)*SQRT(AM4845*AM4837*AM4839))</f>
        <v>6.0200441725144467</v>
      </c>
      <c r="AN4844" s="133"/>
      <c r="AO4844" s="155"/>
      <c r="AP4844" s="143">
        <f>AP4835/((N_6*AP$27*0.667)*SQRT(AP4845*AP4837*AP4839))</f>
        <v>5.5669144087313995</v>
      </c>
      <c r="AQ4844" s="133"/>
      <c r="AR4844" s="155"/>
      <c r="AS4844" s="143">
        <f>AS4835/((N_6*AS$27*0.667)*SQRT(AS4845*AS4837*AS4839))</f>
        <v>8.072282685480932</v>
      </c>
      <c r="AT4844" s="133"/>
      <c r="AU4844" s="155"/>
    </row>
    <row r="4845" spans="13:47" ht="15.5" x14ac:dyDescent="0.4">
      <c r="M4845" s="27"/>
      <c r="N4845" s="27"/>
      <c r="O4845" s="2" t="s">
        <v>192</v>
      </c>
      <c r="P4845" s="85">
        <v>10</v>
      </c>
      <c r="Q4845" s="2"/>
      <c r="R4845" s="181">
        <f>F_GAMMA*R$29</f>
        <v>0.64002688015162901</v>
      </c>
      <c r="S4845" s="133"/>
      <c r="T4845" s="155"/>
      <c r="U4845" s="138">
        <f>F_GAMMA*U$29</f>
        <v>0.64016782916606918</v>
      </c>
      <c r="V4845" s="133"/>
      <c r="W4845" s="155"/>
      <c r="X4845" s="138">
        <f>F_GAMMA*X$29</f>
        <v>0.6307062319203669</v>
      </c>
      <c r="Y4845" s="133"/>
      <c r="Z4845" s="155"/>
      <c r="AA4845" s="138">
        <f>F_GAMMA*AA$29</f>
        <v>0.62217534213893466</v>
      </c>
      <c r="AB4845" s="133"/>
      <c r="AC4845" s="155"/>
      <c r="AD4845" s="138">
        <f>F_GAMMA*AD$29</f>
        <v>0.60557184969146072</v>
      </c>
      <c r="AE4845" s="133"/>
      <c r="AF4845" s="155"/>
      <c r="AG4845" s="138">
        <f>F_GAMMA*AG$29</f>
        <v>0.57289312142622573</v>
      </c>
      <c r="AH4845" s="133"/>
      <c r="AI4845" s="155"/>
      <c r="AJ4845" s="138">
        <f>F_GAMMA*AJ$29</f>
        <v>0.53590819116049981</v>
      </c>
      <c r="AK4845" s="133"/>
      <c r="AL4845" s="155"/>
      <c r="AM4845" s="138">
        <f>F_GAMMA*AM$29</f>
        <v>0.49048815926850342</v>
      </c>
      <c r="AN4845" s="133"/>
      <c r="AO4845" s="155"/>
      <c r="AP4845" s="138">
        <f>F_GAMMA*AP$29</f>
        <v>0.59352979016280105</v>
      </c>
      <c r="AQ4845" s="133"/>
      <c r="AR4845" s="155"/>
      <c r="AS4845" s="138">
        <f>F_GAMMA*AS$29</f>
        <v>0.39097221161068291</v>
      </c>
      <c r="AT4845" s="133"/>
      <c r="AU4845" s="155"/>
    </row>
    <row r="4846" spans="13:47" x14ac:dyDescent="0.25">
      <c r="M4846" s="27"/>
      <c r="N4846" s="27"/>
      <c r="O4846" s="2" t="s">
        <v>193</v>
      </c>
      <c r="P4846" s="134"/>
      <c r="Q4846" s="2"/>
      <c r="R4846" s="181">
        <f>IF(R4841&lt;R4845,R4843,R4844)</f>
        <v>109.25822644906657</v>
      </c>
      <c r="S4846" s="133"/>
      <c r="T4846" s="155"/>
      <c r="U4846" s="138" t="e">
        <f>IF(U4841&lt;U4845,U4843,U4844)</f>
        <v>#NUM!</v>
      </c>
      <c r="V4846" s="133"/>
      <c r="W4846" s="155"/>
      <c r="X4846" s="138">
        <f>IF(X4841&lt;X4845,X4843,X4844)</f>
        <v>39.065011209817115</v>
      </c>
      <c r="Y4846" s="133"/>
      <c r="Z4846" s="155"/>
      <c r="AA4846" s="138">
        <f>IF(AA4841&lt;AA4845,AA4843,AA4844)</f>
        <v>17.030688042770208</v>
      </c>
      <c r="AB4846" s="133"/>
      <c r="AC4846" s="155"/>
      <c r="AD4846" s="138">
        <f>IF(AD4841&lt;AD4845,AD4843,AD4844)</f>
        <v>10.248112819054171</v>
      </c>
      <c r="AE4846" s="133"/>
      <c r="AF4846" s="155"/>
      <c r="AG4846" s="138">
        <f>IF(AG4841&lt;AG4845,AG4843,AG4844)</f>
        <v>7.5972111626195007</v>
      </c>
      <c r="AH4846" s="133"/>
      <c r="AI4846" s="155"/>
      <c r="AJ4846" s="138">
        <f>IF(AJ4841&lt;AJ4845,AJ4843,AJ4844)</f>
        <v>6.3736011901736207</v>
      </c>
      <c r="AK4846" s="133"/>
      <c r="AL4846" s="155"/>
      <c r="AM4846" s="138">
        <f>IF(AM4841&lt;AM4845,AM4843,AM4844)</f>
        <v>6.0200441725144467</v>
      </c>
      <c r="AN4846" s="133"/>
      <c r="AO4846" s="155"/>
      <c r="AP4846" s="138">
        <f>IF(AP4841&lt;AP4845,AP4843,AP4844)</f>
        <v>5.5669144087313995</v>
      </c>
      <c r="AQ4846" s="133"/>
      <c r="AR4846" s="155"/>
      <c r="AS4846" s="138">
        <f>IF(AS4841&lt;AS4845,AS4843,AS4844)</f>
        <v>8.072282685480932</v>
      </c>
      <c r="AT4846" s="133"/>
      <c r="AU4846" s="155"/>
    </row>
    <row r="4847" spans="13:47" ht="13" x14ac:dyDescent="0.3">
      <c r="M4847" s="28"/>
      <c r="N4847" s="28"/>
      <c r="O4847" s="9" t="s">
        <v>194</v>
      </c>
      <c r="P4847" s="1"/>
      <c r="Q4847" s="1"/>
      <c r="R4847" s="135"/>
      <c r="S4847" s="132">
        <f>IF(R4840&lt;=0,W_max,ABS(R$23-R4846))</f>
        <v>107.25822644906657</v>
      </c>
      <c r="T4847" s="151">
        <f>R4835</f>
        <v>10201.508623393771</v>
      </c>
      <c r="U4847" s="135"/>
      <c r="V4847" s="132">
        <f>IF(U4840&lt;=0,W_max,ABS(U$23-U4846))</f>
        <v>7174</v>
      </c>
      <c r="W4847" s="151">
        <f>U4835</f>
        <v>14101.613705588201</v>
      </c>
      <c r="X4847" s="135"/>
      <c r="Y4847" s="132">
        <f>IF(X4840&lt;=0,W_max,ABS(X$23-X4846))</f>
        <v>7174</v>
      </c>
      <c r="Z4847" s="151">
        <f>X4835</f>
        <v>34874.968805621851</v>
      </c>
      <c r="AA4847" s="135"/>
      <c r="AB4847" s="132">
        <f>IF(AA4840&lt;=0,W_max,ABS(AA$23-AA4846))</f>
        <v>7174</v>
      </c>
      <c r="AC4847" s="151">
        <f>AA4835</f>
        <v>67927.537557523159</v>
      </c>
      <c r="AD4847" s="135"/>
      <c r="AE4847" s="132">
        <f>IF(AD4840&lt;=0,W_max,ABS(AD$23-AD4846))</f>
        <v>7174</v>
      </c>
      <c r="AF4847" s="151">
        <f>AD4835</f>
        <v>111715.78984659803</v>
      </c>
      <c r="AG4847" s="135"/>
      <c r="AH4847" s="132">
        <f>IF(AG4840&lt;=0,W_max,ABS(AG$23-AG4846))</f>
        <v>7174</v>
      </c>
      <c r="AI4847" s="151">
        <f>AG4835</f>
        <v>156689.99583059479</v>
      </c>
      <c r="AJ4847" s="135"/>
      <c r="AK4847" s="132">
        <f>IF(AJ4840&lt;=0,W_max,ABS(AJ$23-AJ4846))</f>
        <v>7174</v>
      </c>
      <c r="AL4847" s="151">
        <f>AJ4835</f>
        <v>198954.7167844275</v>
      </c>
      <c r="AM4847" s="135"/>
      <c r="AN4847" s="132">
        <f>IF(AM4840&lt;=0,W_max,ABS(AM$23-AM4846))</f>
        <v>7174</v>
      </c>
      <c r="AO4847" s="151">
        <f>AM4835</f>
        <v>233290.05220826229</v>
      </c>
      <c r="AP4847" s="135"/>
      <c r="AQ4847" s="132">
        <f>IF(AP4840&lt;=0,W_max,ABS(AP$23-AP4846))</f>
        <v>7174</v>
      </c>
      <c r="AR4847" s="151">
        <f>AP4835</f>
        <v>260274.32684065745</v>
      </c>
      <c r="AS4847" s="135"/>
      <c r="AT4847" s="132">
        <f>IF(AS4840&lt;=0,W_max,ABS(AS$23-AS4846))</f>
        <v>7174</v>
      </c>
      <c r="AU4847" s="151">
        <f>AS4835</f>
        <v>290379.82790574466</v>
      </c>
    </row>
    <row r="4848" spans="13:47" ht="13" x14ac:dyDescent="0.25">
      <c r="M4848" s="12"/>
      <c r="N4848" s="12"/>
      <c r="O4848" s="2"/>
      <c r="P4848" s="85"/>
      <c r="Q4848" s="2"/>
      <c r="R4848" s="18"/>
      <c r="S4848" s="150"/>
      <c r="T4848" s="152"/>
      <c r="U4848" s="157"/>
      <c r="V4848" s="1"/>
      <c r="W4848" s="147"/>
      <c r="X4848" s="157"/>
      <c r="Y4848" s="1"/>
      <c r="Z4848" s="147"/>
      <c r="AA4848" s="157"/>
      <c r="AB4848" s="1"/>
      <c r="AC4848" s="147"/>
      <c r="AD4848" s="157"/>
      <c r="AE4848" s="1"/>
      <c r="AF4848" s="147"/>
      <c r="AG4848" s="157"/>
      <c r="AH4848" s="1"/>
      <c r="AI4848" s="147"/>
      <c r="AJ4848" s="157"/>
      <c r="AK4848" s="1"/>
      <c r="AL4848" s="147"/>
      <c r="AM4848" s="157"/>
      <c r="AN4848" s="1"/>
      <c r="AO4848" s="147"/>
      <c r="AP4848" s="157"/>
      <c r="AQ4848" s="1"/>
      <c r="AR4848" s="147"/>
      <c r="AS4848" s="157"/>
      <c r="AT4848" s="1"/>
      <c r="AU4848" s="147"/>
    </row>
    <row r="4849" spans="13:47" ht="14" x14ac:dyDescent="0.3">
      <c r="M4849" s="23"/>
      <c r="N4849" s="23"/>
      <c r="O4849" s="23" t="s">
        <v>238</v>
      </c>
      <c r="P4849" s="20"/>
      <c r="Q4849" s="20"/>
      <c r="R4849" s="181">
        <f>R4835*1.02</f>
        <v>10405.538795861647</v>
      </c>
      <c r="S4849" s="128" t="s">
        <v>185</v>
      </c>
      <c r="T4849" s="153" t="s">
        <v>186</v>
      </c>
      <c r="U4849" s="143">
        <f>U4835*1.01</f>
        <v>14242.629842644083</v>
      </c>
      <c r="V4849" s="128" t="s">
        <v>185</v>
      </c>
      <c r="W4849" s="153" t="s">
        <v>186</v>
      </c>
      <c r="X4849" s="143">
        <f>X4835*1.01</f>
        <v>35223.718493678069</v>
      </c>
      <c r="Y4849" s="128" t="s">
        <v>185</v>
      </c>
      <c r="Z4849" s="153" t="s">
        <v>186</v>
      </c>
      <c r="AA4849" s="143">
        <f>AA4835*1.01</f>
        <v>68606.812933098394</v>
      </c>
      <c r="AB4849" s="128" t="s">
        <v>185</v>
      </c>
      <c r="AC4849" s="153" t="s">
        <v>186</v>
      </c>
      <c r="AD4849" s="143">
        <f>AD4835*1.01</f>
        <v>112832.94774506401</v>
      </c>
      <c r="AE4849" s="128" t="s">
        <v>185</v>
      </c>
      <c r="AF4849" s="153" t="s">
        <v>186</v>
      </c>
      <c r="AG4849" s="143">
        <f>AG4835*1.01</f>
        <v>158256.89578890076</v>
      </c>
      <c r="AH4849" s="128" t="s">
        <v>185</v>
      </c>
      <c r="AI4849" s="153" t="s">
        <v>186</v>
      </c>
      <c r="AJ4849" s="143">
        <f>AJ4835*1.01</f>
        <v>200944.26395227178</v>
      </c>
      <c r="AK4849" s="128" t="s">
        <v>185</v>
      </c>
      <c r="AL4849" s="153" t="s">
        <v>186</v>
      </c>
      <c r="AM4849" s="143">
        <f>AM4835*1.01</f>
        <v>235622.95273034493</v>
      </c>
      <c r="AN4849" s="128" t="s">
        <v>185</v>
      </c>
      <c r="AO4849" s="153" t="s">
        <v>186</v>
      </c>
      <c r="AP4849" s="143">
        <f>AP4835*1.01</f>
        <v>262877.07010906405</v>
      </c>
      <c r="AQ4849" s="128" t="s">
        <v>185</v>
      </c>
      <c r="AR4849" s="153" t="s">
        <v>186</v>
      </c>
      <c r="AS4849" s="143">
        <f>AS4835*1.01</f>
        <v>293283.62618480209</v>
      </c>
      <c r="AT4849" s="128" t="s">
        <v>185</v>
      </c>
      <c r="AU4849" s="153" t="s">
        <v>186</v>
      </c>
    </row>
    <row r="4850" spans="13:47" ht="14" x14ac:dyDescent="0.3">
      <c r="M4850" s="12"/>
      <c r="N4850" s="12"/>
      <c r="O4850" s="20"/>
      <c r="P4850" s="20"/>
      <c r="Q4850" s="23"/>
      <c r="R4850" s="139"/>
      <c r="S4850" s="130" t="s">
        <v>228</v>
      </c>
      <c r="T4850" s="154" t="s">
        <v>187</v>
      </c>
      <c r="U4850" s="144"/>
      <c r="V4850" s="130" t="s">
        <v>228</v>
      </c>
      <c r="W4850" s="154" t="s">
        <v>187</v>
      </c>
      <c r="X4850" s="144"/>
      <c r="Y4850" s="130" t="s">
        <v>228</v>
      </c>
      <c r="Z4850" s="154" t="s">
        <v>187</v>
      </c>
      <c r="AA4850" s="144"/>
      <c r="AB4850" s="130" t="s">
        <v>228</v>
      </c>
      <c r="AC4850" s="154" t="s">
        <v>187</v>
      </c>
      <c r="AD4850" s="144"/>
      <c r="AE4850" s="130" t="s">
        <v>228</v>
      </c>
      <c r="AF4850" s="154" t="s">
        <v>187</v>
      </c>
      <c r="AG4850" s="144"/>
      <c r="AH4850" s="130" t="s">
        <v>228</v>
      </c>
      <c r="AI4850" s="154" t="s">
        <v>187</v>
      </c>
      <c r="AJ4850" s="144"/>
      <c r="AK4850" s="130" t="s">
        <v>228</v>
      </c>
      <c r="AL4850" s="154" t="s">
        <v>187</v>
      </c>
      <c r="AM4850" s="144"/>
      <c r="AN4850" s="130" t="s">
        <v>228</v>
      </c>
      <c r="AO4850" s="154" t="s">
        <v>187</v>
      </c>
      <c r="AP4850" s="144"/>
      <c r="AQ4850" s="130" t="s">
        <v>228</v>
      </c>
      <c r="AR4850" s="154" t="s">
        <v>187</v>
      </c>
      <c r="AS4850" s="144"/>
      <c r="AT4850" s="130" t="s">
        <v>228</v>
      </c>
      <c r="AU4850" s="154" t="s">
        <v>187</v>
      </c>
    </row>
    <row r="4851" spans="13:47" x14ac:dyDescent="0.25">
      <c r="M4851" s="20"/>
      <c r="N4851" s="20"/>
      <c r="O4851" s="7" t="s">
        <v>188</v>
      </c>
      <c r="P4851" s="7"/>
      <c r="Q4851" s="7"/>
      <c r="R4851" s="181">
        <f>P_1_minW-(R4849^2*R_up)+dpup_minQ</f>
        <v>57.346754128622798</v>
      </c>
      <c r="S4851" s="132"/>
      <c r="T4851" s="145"/>
      <c r="U4851" s="138">
        <f>P_1_minW-(U4849^2*R_up)+dpup_minQ</f>
        <v>19.632949365730099</v>
      </c>
      <c r="V4851" s="132"/>
      <c r="W4851" s="145"/>
      <c r="X4851" s="138">
        <f>P_1_minW-(X4849^2*R_up)+dpup_minQ</f>
        <v>-394.2251488371092</v>
      </c>
      <c r="Y4851" s="132"/>
      <c r="Z4851" s="145"/>
      <c r="AA4851" s="138">
        <f>P_1_minW-(AA4849^2*R_up)+dpup_minQ</f>
        <v>-1776.4072203874157</v>
      </c>
      <c r="AB4851" s="132"/>
      <c r="AC4851" s="145"/>
      <c r="AD4851" s="138">
        <f>P_1_minW-(AD4849^2*R_up)+dpup_minQ</f>
        <v>-4976.2234533888968</v>
      </c>
      <c r="AE4851" s="132"/>
      <c r="AF4851" s="145"/>
      <c r="AG4851" s="138">
        <f>P_1_minW-(AG4849^2*R_up)+dpup_minQ</f>
        <v>-9886.5651314312017</v>
      </c>
      <c r="AH4851" s="132"/>
      <c r="AI4851" s="145"/>
      <c r="AJ4851" s="138">
        <f>P_1_minW-(AJ4849^2*R_up)+dpup_minQ</f>
        <v>-16000.920795041091</v>
      </c>
      <c r="AK4851" s="132"/>
      <c r="AL4851" s="145"/>
      <c r="AM4851" s="138">
        <f>P_1_minW-(AM4849^2*R_up)+dpup_minQ</f>
        <v>-22038.006976923058</v>
      </c>
      <c r="AN4851" s="132"/>
      <c r="AO4851" s="145"/>
      <c r="AP4851" s="138">
        <f>P_1_minW-(AP4849^2*R_up)+dpup_minQ</f>
        <v>-27455.656321658433</v>
      </c>
      <c r="AQ4851" s="132"/>
      <c r="AR4851" s="145"/>
      <c r="AS4851" s="138">
        <f>P_1_minW-(AS4849^2*R_up)+dpup_minQ</f>
        <v>-34199.090383619747</v>
      </c>
      <c r="AT4851" s="132"/>
      <c r="AU4851" s="145"/>
    </row>
    <row r="4852" spans="13:47" x14ac:dyDescent="0.25">
      <c r="M4852" s="20"/>
      <c r="N4852" s="20"/>
      <c r="O4852" s="7" t="s">
        <v>189</v>
      </c>
      <c r="P4852" s="1"/>
      <c r="Q4852" s="7"/>
      <c r="R4852" s="181">
        <f>P_2_minW+(R4849^2*R_dn)-dpdn_minQ</f>
        <v>50</v>
      </c>
      <c r="S4852" s="132"/>
      <c r="T4852" s="146"/>
      <c r="U4852" s="138">
        <f>P_2_minW+(U4849^2*R_dn)-dpdn_minQ</f>
        <v>50</v>
      </c>
      <c r="V4852" s="132"/>
      <c r="W4852" s="146"/>
      <c r="X4852" s="138">
        <f>P_2_minW+(X4849^2*R_dn)-dpdn_minQ</f>
        <v>50</v>
      </c>
      <c r="Y4852" s="132"/>
      <c r="Z4852" s="146"/>
      <c r="AA4852" s="138">
        <f>P_2_minW+(AA4849^2*R_dn)-dpdn_minQ</f>
        <v>50</v>
      </c>
      <c r="AB4852" s="132"/>
      <c r="AC4852" s="146"/>
      <c r="AD4852" s="138">
        <f>P_2_minW+(AD4849^2*R_dn)-dpdn_minQ</f>
        <v>50</v>
      </c>
      <c r="AE4852" s="132"/>
      <c r="AF4852" s="146"/>
      <c r="AG4852" s="138">
        <f>P_2_minW+(AG4849^2*R_dn)-dpdn_minQ</f>
        <v>50</v>
      </c>
      <c r="AH4852" s="132"/>
      <c r="AI4852" s="146"/>
      <c r="AJ4852" s="138">
        <f>P_2_minW+(AJ4849^2*R_dn)-dpdn_minQ</f>
        <v>50</v>
      </c>
      <c r="AK4852" s="132"/>
      <c r="AL4852" s="146"/>
      <c r="AM4852" s="138">
        <f>P_2_minW+(AM4849^2*R_dn)-dpdn_minQ</f>
        <v>50</v>
      </c>
      <c r="AN4852" s="132"/>
      <c r="AO4852" s="146"/>
      <c r="AP4852" s="138">
        <f>P_2_minW+(AP4849^2*R_dn)-dpdn_minQ</f>
        <v>50</v>
      </c>
      <c r="AQ4852" s="132"/>
      <c r="AR4852" s="146"/>
      <c r="AS4852" s="138">
        <f>P_2_minW+(AS4849^2*R_dn)-dpdn_minQ</f>
        <v>50</v>
      </c>
      <c r="AT4852" s="132"/>
      <c r="AU4852" s="146"/>
    </row>
    <row r="4853" spans="13:47" x14ac:dyDescent="0.25">
      <c r="M4853" s="20"/>
      <c r="N4853" s="20"/>
      <c r="O4853" s="7" t="s">
        <v>234</v>
      </c>
      <c r="P4853" s="1"/>
      <c r="Q4853" s="7"/>
      <c r="R4853" s="179">
        <f>'Valve Sizing'!G$8*R4851/P_1_maxW</f>
        <v>0.27663053195620579</v>
      </c>
      <c r="S4853" s="132"/>
      <c r="T4853" s="146"/>
      <c r="U4853" s="143">
        <f>'Valve Sizing'!$G$8*U4851/P_1_maxW</f>
        <v>9.4705852309092134E-2</v>
      </c>
      <c r="V4853" s="132"/>
      <c r="W4853" s="146"/>
      <c r="X4853" s="143">
        <f>'Valve Sizing'!$G$8*X4851/P_1_maxW</f>
        <v>-1.9016719305285448</v>
      </c>
      <c r="Y4853" s="132"/>
      <c r="Z4853" s="146"/>
      <c r="AA4853" s="143">
        <f>'Valve Sizing'!$G$8*AA4851/P_1_maxW</f>
        <v>-8.5690721613369369</v>
      </c>
      <c r="AB4853" s="132"/>
      <c r="AC4853" s="146"/>
      <c r="AD4853" s="143">
        <f>'Valve Sizing'!$G$8*AD4851/P_1_maxW</f>
        <v>-24.004415977169394</v>
      </c>
      <c r="AE4853" s="132"/>
      <c r="AF4853" s="146"/>
      <c r="AG4853" s="143">
        <f>'Valve Sizing'!$G$8*AG4851/P_1_maxW</f>
        <v>-47.691029999593965</v>
      </c>
      <c r="AH4853" s="132"/>
      <c r="AI4853" s="146"/>
      <c r="AJ4853" s="143">
        <f>'Valve Sizing'!$G$8*AJ4851/P_1_maxW</f>
        <v>-77.185593126918832</v>
      </c>
      <c r="AK4853" s="132"/>
      <c r="AL4853" s="146"/>
      <c r="AM4853" s="143">
        <f>'Valve Sizing'!$G$8*AM4851/P_1_maxW</f>
        <v>-106.30742203137149</v>
      </c>
      <c r="AN4853" s="132"/>
      <c r="AO4853" s="146"/>
      <c r="AP4853" s="143">
        <f>'Valve Sizing'!$G$8*AP4851/P_1_maxW</f>
        <v>-132.4411979173604</v>
      </c>
      <c r="AQ4853" s="132"/>
      <c r="AR4853" s="146"/>
      <c r="AS4853" s="143">
        <f>'Valve Sizing'!$G$8*AS4851/P_1_maxW</f>
        <v>-164.97032323782699</v>
      </c>
      <c r="AT4853" s="132"/>
      <c r="AU4853" s="146"/>
    </row>
    <row r="4854" spans="13:47" x14ac:dyDescent="0.25">
      <c r="M4854" s="20"/>
      <c r="N4854" s="20"/>
      <c r="O4854" s="7" t="s">
        <v>190</v>
      </c>
      <c r="P4854" s="1"/>
      <c r="Q4854" s="7"/>
      <c r="R4854" s="181">
        <f>R4851-R4852</f>
        <v>7.3467541286227984</v>
      </c>
      <c r="S4854" s="132"/>
      <c r="T4854" s="146"/>
      <c r="U4854" s="138">
        <f>U4851-U4852</f>
        <v>-30.367050634269901</v>
      </c>
      <c r="V4854" s="132"/>
      <c r="W4854" s="146"/>
      <c r="X4854" s="138">
        <f>X4851-X4852</f>
        <v>-444.2251488371092</v>
      </c>
      <c r="Y4854" s="132"/>
      <c r="Z4854" s="146"/>
      <c r="AA4854" s="138">
        <f>AA4851-AA4852</f>
        <v>-1826.4072203874157</v>
      </c>
      <c r="AB4854" s="132"/>
      <c r="AC4854" s="146"/>
      <c r="AD4854" s="138">
        <f>AD4851-AD4852</f>
        <v>-5026.2234533888968</v>
      </c>
      <c r="AE4854" s="132"/>
      <c r="AF4854" s="146"/>
      <c r="AG4854" s="138">
        <f>AG4851-AG4852</f>
        <v>-9936.5651314312017</v>
      </c>
      <c r="AH4854" s="132"/>
      <c r="AI4854" s="146"/>
      <c r="AJ4854" s="138">
        <f>AJ4851-AJ4852</f>
        <v>-16050.920795041091</v>
      </c>
      <c r="AK4854" s="132"/>
      <c r="AL4854" s="146"/>
      <c r="AM4854" s="138">
        <f>AM4851-AM4852</f>
        <v>-22088.006976923058</v>
      </c>
      <c r="AN4854" s="132"/>
      <c r="AO4854" s="146"/>
      <c r="AP4854" s="138">
        <f>AP4851-AP4852</f>
        <v>-27505.656321658433</v>
      </c>
      <c r="AQ4854" s="132"/>
      <c r="AR4854" s="146"/>
      <c r="AS4854" s="138">
        <f>AS4851-AS4852</f>
        <v>-34249.090383619747</v>
      </c>
      <c r="AT4854" s="132"/>
      <c r="AU4854" s="146"/>
    </row>
    <row r="4855" spans="13:47" ht="14.5" x14ac:dyDescent="0.35">
      <c r="M4855" s="27"/>
      <c r="N4855" s="27"/>
      <c r="O4855" s="2" t="s">
        <v>191</v>
      </c>
      <c r="P4855" s="10"/>
      <c r="Q4855" s="2"/>
      <c r="R4855" s="181">
        <f>R4854/R4851</f>
        <v>0.1281110716771309</v>
      </c>
      <c r="S4855" s="132"/>
      <c r="T4855" s="146"/>
      <c r="U4855" s="138">
        <f>U4854/U4851</f>
        <v>-1.5467391102875505</v>
      </c>
      <c r="V4855" s="132"/>
      <c r="W4855" s="146"/>
      <c r="X4855" s="138">
        <f>X4854/X4851</f>
        <v>1.1268310764736615</v>
      </c>
      <c r="Y4855" s="132"/>
      <c r="Z4855" s="146"/>
      <c r="AA4855" s="138">
        <f>AA4854/AA4851</f>
        <v>1.0281466993750992</v>
      </c>
      <c r="AB4855" s="132"/>
      <c r="AC4855" s="146"/>
      <c r="AD4855" s="138">
        <f>AD4854/AD4851</f>
        <v>1.0100477803033441</v>
      </c>
      <c r="AE4855" s="132"/>
      <c r="AF4855" s="146"/>
      <c r="AG4855" s="138">
        <f>AG4854/AG4851</f>
        <v>1.0050573681895889</v>
      </c>
      <c r="AH4855" s="132"/>
      <c r="AI4855" s="146"/>
      <c r="AJ4855" s="138">
        <f>AJ4854/AJ4851</f>
        <v>1.0031248201675678</v>
      </c>
      <c r="AK4855" s="132"/>
      <c r="AL4855" s="146"/>
      <c r="AM4855" s="138">
        <f>AM4854/AM4851</f>
        <v>1.002268807703544</v>
      </c>
      <c r="AN4855" s="132"/>
      <c r="AO4855" s="146"/>
      <c r="AP4855" s="138">
        <f>AP4854/AP4851</f>
        <v>1.0018211183668029</v>
      </c>
      <c r="AQ4855" s="132"/>
      <c r="AR4855" s="146"/>
      <c r="AS4855" s="138">
        <f>AS4854/AS4851</f>
        <v>1.0014620271895871</v>
      </c>
      <c r="AT4855" s="132"/>
      <c r="AU4855" s="146"/>
    </row>
    <row r="4856" spans="13:47" x14ac:dyDescent="0.25">
      <c r="M4856" s="27"/>
      <c r="N4856" s="27"/>
      <c r="O4856" s="2" t="s">
        <v>26</v>
      </c>
      <c r="P4856" s="7">
        <v>12</v>
      </c>
      <c r="Q4856" s="2"/>
      <c r="R4856" s="181">
        <f>1-R4855/(3*F_GAMMA*R$29)</f>
        <v>0.93327828582929717</v>
      </c>
      <c r="S4856" s="133"/>
      <c r="T4856" s="146"/>
      <c r="U4856" s="138">
        <f>1-U4855/(3*F_GAMMA*U$29)</f>
        <v>1.8053820887888359</v>
      </c>
      <c r="V4856" s="133"/>
      <c r="W4856" s="146"/>
      <c r="X4856" s="138">
        <f>1-X4855/(3*F_GAMMA*X$29)</f>
        <v>0.40446068262097257</v>
      </c>
      <c r="Y4856" s="133"/>
      <c r="Z4856" s="146"/>
      <c r="AA4856" s="138">
        <f>1-AA4855/(3*F_GAMMA*AA$29)</f>
        <v>0.44916562382532288</v>
      </c>
      <c r="AB4856" s="133"/>
      <c r="AC4856" s="146"/>
      <c r="AD4856" s="138">
        <f>1-AD4855/(3*F_GAMMA*AD$29)</f>
        <v>0.44402535618855465</v>
      </c>
      <c r="AE4856" s="133"/>
      <c r="AF4856" s="146"/>
      <c r="AG4856" s="138">
        <f>1-AG4855/(3*F_GAMMA*AG$29)</f>
        <v>0.41521531643489107</v>
      </c>
      <c r="AH4856" s="133"/>
      <c r="AI4856" s="146"/>
      <c r="AJ4856" s="138">
        <f>1-AJ4855/(3*F_GAMMA*AJ$29)</f>
        <v>0.3760592848342682</v>
      </c>
      <c r="AK4856" s="133"/>
      <c r="AL4856" s="146"/>
      <c r="AM4856" s="138">
        <f>1-AM4855/(3*F_GAMMA*AM$29)</f>
        <v>0.3188630627371366</v>
      </c>
      <c r="AN4856" s="133"/>
      <c r="AO4856" s="146"/>
      <c r="AP4856" s="138">
        <f>1-AP4855/(3*F_GAMMA*AP$29)</f>
        <v>0.43736543923543114</v>
      </c>
      <c r="AQ4856" s="133"/>
      <c r="AR4856" s="146"/>
      <c r="AS4856" s="138">
        <f>1-AS4855/(3*F_GAMMA*AS$29)</f>
        <v>0.14617799982605961</v>
      </c>
      <c r="AT4856" s="133"/>
      <c r="AU4856" s="146"/>
    </row>
    <row r="4857" spans="13:47" x14ac:dyDescent="0.25">
      <c r="M4857" s="27"/>
      <c r="N4857" s="27"/>
      <c r="O4857" s="2" t="s">
        <v>71</v>
      </c>
      <c r="P4857" s="85">
        <v>5</v>
      </c>
      <c r="Q4857" s="2"/>
      <c r="R4857" s="179">
        <f>R4849/((N_6*R$27*R4856)*SQRT(R4855*R4851*R4853))</f>
        <v>123.56724165308169</v>
      </c>
      <c r="S4857" s="133"/>
      <c r="T4857" s="146"/>
      <c r="U4857" s="143" t="e">
        <f>U4849/((N_6*U$27*U4856)*SQRT(U4855*U4851*U4853))</f>
        <v>#NUM!</v>
      </c>
      <c r="V4857" s="133"/>
      <c r="W4857" s="146"/>
      <c r="X4857" s="143">
        <f>X4849/((N_6*X$27*X4856)*SQRT(X4855*X4851*X4853))</f>
        <v>47.475402844720996</v>
      </c>
      <c r="Y4857" s="133"/>
      <c r="Z4857" s="146"/>
      <c r="AA4857" s="143">
        <f>AA4849/((N_6*AA$27*AA4856)*SQRT(AA4855*AA4851*AA4853))</f>
        <v>19.45650118532259</v>
      </c>
      <c r="AB4857" s="133"/>
      <c r="AC4857" s="146"/>
      <c r="AD4857" s="143">
        <f>AD4849/((N_6*AD$27*AD4856)*SQRT(AD4855*AD4851*AD4853))</f>
        <v>11.797122610408138</v>
      </c>
      <c r="AE4857" s="133"/>
      <c r="AF4857" s="146"/>
      <c r="AG4857" s="143">
        <f>AG4849/((N_6*AG$27*AG4856)*SQRT(AG4855*AG4851*AG4853))</f>
        <v>9.1209044276848985</v>
      </c>
      <c r="AH4857" s="133"/>
      <c r="AI4857" s="146"/>
      <c r="AJ4857" s="143">
        <f>AJ4849/((N_6*AJ$27*AJ4856)*SQRT(AJ4855*AJ4851*AJ4853))</f>
        <v>8.1798604628224627</v>
      </c>
      <c r="AK4857" s="133"/>
      <c r="AL4857" s="146"/>
      <c r="AM4857" s="143">
        <f>AM4849/((N_6*AM$27*AM4856)*SQRT(AM4855*AM4851*AM4853))</f>
        <v>8.7213208107406146</v>
      </c>
      <c r="AN4857" s="133"/>
      <c r="AO4857" s="146"/>
      <c r="AP4857" s="143">
        <f>AP4849/((N_6*AP$27*AP4856)*SQRT(AP4855*AP4851*AP4853))</f>
        <v>6.4694707000146563</v>
      </c>
      <c r="AQ4857" s="133"/>
      <c r="AR4857" s="146"/>
      <c r="AS4857" s="143">
        <f>AS4849/((N_6*AS$27*AS4856)*SQRT(AS4855*AS4851*AS4853))</f>
        <v>22.784990413448828</v>
      </c>
      <c r="AT4857" s="133"/>
      <c r="AU4857" s="146"/>
    </row>
    <row r="4858" spans="13:47" x14ac:dyDescent="0.25">
      <c r="M4858" s="27"/>
      <c r="N4858" s="27"/>
      <c r="O4858" s="2" t="s">
        <v>73</v>
      </c>
      <c r="P4858" s="85">
        <v>5</v>
      </c>
      <c r="Q4858" s="2"/>
      <c r="R4858" s="179">
        <f>R4849/((N_6*R$27*0.667)*SQRT(R4859*R4851*R4853))</f>
        <v>77.35402290682056</v>
      </c>
      <c r="S4858" s="133"/>
      <c r="T4858" s="155"/>
      <c r="U4858" s="143">
        <f>U4849/((N_6*U$27*0.667)*SQRT(U4859*U4851*U4853))</f>
        <v>309.42397560476724</v>
      </c>
      <c r="V4858" s="133"/>
      <c r="W4858" s="155"/>
      <c r="X4858" s="143">
        <f>X4849/((N_6*X$27*0.667)*SQRT(X4859*X4851*X4853))</f>
        <v>38.479992781417295</v>
      </c>
      <c r="Y4858" s="133"/>
      <c r="Z4858" s="155"/>
      <c r="AA4858" s="143">
        <f>AA4849/((N_6*AA$27*0.667)*SQRT(AA4859*AA4851*AA4853))</f>
        <v>16.842888240639244</v>
      </c>
      <c r="AB4858" s="133"/>
      <c r="AC4858" s="155"/>
      <c r="AD4858" s="143">
        <f>AD4849/((N_6*AD$27*0.667)*SQRT(AD4859*AD4851*AD4853))</f>
        <v>10.142526488201712</v>
      </c>
      <c r="AE4858" s="133"/>
      <c r="AF4858" s="155"/>
      <c r="AG4858" s="143">
        <f>AG4849/((N_6*AG$27*0.667)*SQRT(AG4859*AG4851*AG4853))</f>
        <v>7.5204539878441494</v>
      </c>
      <c r="AH4858" s="133"/>
      <c r="AI4858" s="155"/>
      <c r="AJ4858" s="143">
        <f>AJ4849/((N_6*AJ$27*0.667)*SQRT(AJ4859*AJ4851*AJ4853))</f>
        <v>6.3096993732410969</v>
      </c>
      <c r="AK4858" s="133"/>
      <c r="AL4858" s="155"/>
      <c r="AM4858" s="143">
        <f>AM4849/((N_6*AM$27*0.667)*SQRT(AM4859*AM4851*AM4853))</f>
        <v>5.9598933044647717</v>
      </c>
      <c r="AN4858" s="133"/>
      <c r="AO4858" s="155"/>
      <c r="AP4858" s="143">
        <f>AP4849/((N_6*AP$27*0.667)*SQRT(AP4859*AP4851*AP4853))</f>
        <v>5.5113908219004175</v>
      </c>
      <c r="AQ4858" s="133"/>
      <c r="AR4858" s="155"/>
      <c r="AS4858" s="143">
        <f>AS4849/((N_6*AS$27*0.667)*SQRT(AS4859*AS4851*AS4853))</f>
        <v>7.9918868999416439</v>
      </c>
      <c r="AT4858" s="133"/>
      <c r="AU4858" s="155"/>
    </row>
    <row r="4859" spans="13:47" ht="15.5" x14ac:dyDescent="0.4">
      <c r="M4859" s="27"/>
      <c r="N4859" s="27"/>
      <c r="O4859" s="2" t="s">
        <v>192</v>
      </c>
      <c r="P4859" s="85">
        <v>10</v>
      </c>
      <c r="Q4859" s="2"/>
      <c r="R4859" s="181">
        <f>F_GAMMA*R$29</f>
        <v>0.64002688015162901</v>
      </c>
      <c r="S4859" s="133"/>
      <c r="T4859" s="155"/>
      <c r="U4859" s="138">
        <f>F_GAMMA*U$29</f>
        <v>0.64016782916606918</v>
      </c>
      <c r="V4859" s="133"/>
      <c r="W4859" s="155"/>
      <c r="X4859" s="138">
        <f>F_GAMMA*X$29</f>
        <v>0.6307062319203669</v>
      </c>
      <c r="Y4859" s="133"/>
      <c r="Z4859" s="155"/>
      <c r="AA4859" s="138">
        <f>F_GAMMA*AA$29</f>
        <v>0.62217534213893466</v>
      </c>
      <c r="AB4859" s="133"/>
      <c r="AC4859" s="155"/>
      <c r="AD4859" s="138">
        <f>F_GAMMA*AD$29</f>
        <v>0.60557184969146072</v>
      </c>
      <c r="AE4859" s="133"/>
      <c r="AF4859" s="155"/>
      <c r="AG4859" s="138">
        <f>F_GAMMA*AG$29</f>
        <v>0.57289312142622573</v>
      </c>
      <c r="AH4859" s="133"/>
      <c r="AI4859" s="155"/>
      <c r="AJ4859" s="138">
        <f>F_GAMMA*AJ$29</f>
        <v>0.53590819116049981</v>
      </c>
      <c r="AK4859" s="133"/>
      <c r="AL4859" s="155"/>
      <c r="AM4859" s="138">
        <f>F_GAMMA*AM$29</f>
        <v>0.49048815926850342</v>
      </c>
      <c r="AN4859" s="133"/>
      <c r="AO4859" s="155"/>
      <c r="AP4859" s="138">
        <f>F_GAMMA*AP$29</f>
        <v>0.59352979016280105</v>
      </c>
      <c r="AQ4859" s="133"/>
      <c r="AR4859" s="155"/>
      <c r="AS4859" s="138">
        <f>F_GAMMA*AS$29</f>
        <v>0.39097221161068291</v>
      </c>
      <c r="AT4859" s="133"/>
      <c r="AU4859" s="155"/>
    </row>
    <row r="4860" spans="13:47" x14ac:dyDescent="0.25">
      <c r="M4860" s="27"/>
      <c r="N4860" s="27"/>
      <c r="O4860" s="2" t="s">
        <v>193</v>
      </c>
      <c r="P4860" s="134"/>
      <c r="Q4860" s="2"/>
      <c r="R4860" s="181">
        <f>IF(R4855&lt;R4859,R4857,R4858)</f>
        <v>123.56724165308169</v>
      </c>
      <c r="S4860" s="133"/>
      <c r="T4860" s="155"/>
      <c r="U4860" s="138" t="e">
        <f>IF(U4855&lt;U4859,U4857,U4858)</f>
        <v>#NUM!</v>
      </c>
      <c r="V4860" s="133"/>
      <c r="W4860" s="155"/>
      <c r="X4860" s="138">
        <f>IF(X4855&lt;X4859,X4857,X4858)</f>
        <v>38.479992781417295</v>
      </c>
      <c r="Y4860" s="133"/>
      <c r="Z4860" s="155"/>
      <c r="AA4860" s="138">
        <f>IF(AA4855&lt;AA4859,AA4857,AA4858)</f>
        <v>16.842888240639244</v>
      </c>
      <c r="AB4860" s="133"/>
      <c r="AC4860" s="155"/>
      <c r="AD4860" s="138">
        <f>IF(AD4855&lt;AD4859,AD4857,AD4858)</f>
        <v>10.142526488201712</v>
      </c>
      <c r="AE4860" s="133"/>
      <c r="AF4860" s="155"/>
      <c r="AG4860" s="138">
        <f>IF(AG4855&lt;AG4859,AG4857,AG4858)</f>
        <v>7.5204539878441494</v>
      </c>
      <c r="AH4860" s="133"/>
      <c r="AI4860" s="155"/>
      <c r="AJ4860" s="138">
        <f>IF(AJ4855&lt;AJ4859,AJ4857,AJ4858)</f>
        <v>6.3096993732410969</v>
      </c>
      <c r="AK4860" s="133"/>
      <c r="AL4860" s="155"/>
      <c r="AM4860" s="138">
        <f>IF(AM4855&lt;AM4859,AM4857,AM4858)</f>
        <v>5.9598933044647717</v>
      </c>
      <c r="AN4860" s="133"/>
      <c r="AO4860" s="155"/>
      <c r="AP4860" s="138">
        <f>IF(AP4855&lt;AP4859,AP4857,AP4858)</f>
        <v>5.5113908219004175</v>
      </c>
      <c r="AQ4860" s="133"/>
      <c r="AR4860" s="155"/>
      <c r="AS4860" s="138">
        <f>IF(AS4855&lt;AS4859,AS4857,AS4858)</f>
        <v>7.9918868999416439</v>
      </c>
      <c r="AT4860" s="133"/>
      <c r="AU4860" s="155"/>
    </row>
    <row r="4861" spans="13:47" ht="13" x14ac:dyDescent="0.3">
      <c r="M4861" s="28"/>
      <c r="N4861" s="28"/>
      <c r="O4861" s="9" t="s">
        <v>194</v>
      </c>
      <c r="P4861" s="1"/>
      <c r="Q4861" s="1"/>
      <c r="R4861" s="135"/>
      <c r="S4861" s="132">
        <f>IF(R4854&lt;=0,W_max,ABS(R$23-R4860))</f>
        <v>121.56724165308169</v>
      </c>
      <c r="T4861" s="151">
        <f>R4849</f>
        <v>10405.538795861647</v>
      </c>
      <c r="U4861" s="135"/>
      <c r="V4861" s="132">
        <f>IF(U4854&lt;=0,W_max,ABS(U$23-U4860))</f>
        <v>7174</v>
      </c>
      <c r="W4861" s="151">
        <f>U4849</f>
        <v>14242.629842644083</v>
      </c>
      <c r="X4861" s="135"/>
      <c r="Y4861" s="132">
        <f>IF(X4854&lt;=0,W_max,ABS(X$23-X4860))</f>
        <v>7174</v>
      </c>
      <c r="Z4861" s="151">
        <f>X4849</f>
        <v>35223.718493678069</v>
      </c>
      <c r="AA4861" s="135"/>
      <c r="AB4861" s="132">
        <f>IF(AA4854&lt;=0,W_max,ABS(AA$23-AA4860))</f>
        <v>7174</v>
      </c>
      <c r="AC4861" s="151">
        <f>AA4849</f>
        <v>68606.812933098394</v>
      </c>
      <c r="AD4861" s="135"/>
      <c r="AE4861" s="132">
        <f>IF(AD4854&lt;=0,W_max,ABS(AD$23-AD4860))</f>
        <v>7174</v>
      </c>
      <c r="AF4861" s="151">
        <f>AD4849</f>
        <v>112832.94774506401</v>
      </c>
      <c r="AG4861" s="135"/>
      <c r="AH4861" s="132">
        <f>IF(AG4854&lt;=0,W_max,ABS(AG$23-AG4860))</f>
        <v>7174</v>
      </c>
      <c r="AI4861" s="151">
        <f>AG4849</f>
        <v>158256.89578890076</v>
      </c>
      <c r="AJ4861" s="135"/>
      <c r="AK4861" s="132">
        <f>IF(AJ4854&lt;=0,W_max,ABS(AJ$23-AJ4860))</f>
        <v>7174</v>
      </c>
      <c r="AL4861" s="151">
        <f>AJ4849</f>
        <v>200944.26395227178</v>
      </c>
      <c r="AM4861" s="135"/>
      <c r="AN4861" s="132">
        <f>IF(AM4854&lt;=0,W_max,ABS(AM$23-AM4860))</f>
        <v>7174</v>
      </c>
      <c r="AO4861" s="151">
        <f>AM4849</f>
        <v>235622.95273034493</v>
      </c>
      <c r="AP4861" s="135"/>
      <c r="AQ4861" s="132">
        <f>IF(AP4854&lt;=0,W_max,ABS(AP$23-AP4860))</f>
        <v>7174</v>
      </c>
      <c r="AR4861" s="151">
        <f>AP4849</f>
        <v>262877.07010906405</v>
      </c>
      <c r="AS4861" s="135"/>
      <c r="AT4861" s="132">
        <f>IF(AS4854&lt;=0,W_max,ABS(AS$23-AS4860))</f>
        <v>7174</v>
      </c>
      <c r="AU4861" s="151">
        <f>AS4849</f>
        <v>293283.62618480209</v>
      </c>
    </row>
    <row r="4862" spans="13:47" ht="13" x14ac:dyDescent="0.25">
      <c r="M4862" s="12"/>
      <c r="N4862" s="12"/>
      <c r="O4862" s="2"/>
      <c r="P4862" s="85"/>
      <c r="Q4862" s="2"/>
      <c r="R4862" s="18"/>
      <c r="S4862" s="150"/>
      <c r="T4862" s="148"/>
      <c r="U4862" s="157"/>
      <c r="V4862" s="1"/>
      <c r="W4862" s="147"/>
      <c r="X4862" s="157"/>
      <c r="Y4862" s="1"/>
      <c r="Z4862" s="147"/>
      <c r="AA4862" s="157"/>
      <c r="AB4862" s="1"/>
      <c r="AC4862" s="147"/>
      <c r="AD4862" s="157"/>
      <c r="AE4862" s="1"/>
      <c r="AF4862" s="147"/>
      <c r="AG4862" s="157"/>
      <c r="AH4862" s="1"/>
      <c r="AI4862" s="147"/>
      <c r="AJ4862" s="157"/>
      <c r="AK4862" s="1"/>
      <c r="AL4862" s="147"/>
      <c r="AM4862" s="157"/>
      <c r="AN4862" s="1"/>
      <c r="AO4862" s="147"/>
      <c r="AP4862" s="157"/>
      <c r="AQ4862" s="1"/>
      <c r="AR4862" s="147"/>
      <c r="AS4862" s="157"/>
      <c r="AT4862" s="1"/>
      <c r="AU4862" s="147"/>
    </row>
    <row r="4863" spans="13:47" ht="14" x14ac:dyDescent="0.3">
      <c r="M4863" s="23"/>
      <c r="N4863" s="23"/>
      <c r="O4863" s="23" t="s">
        <v>238</v>
      </c>
      <c r="P4863" s="20"/>
      <c r="Q4863" s="20"/>
      <c r="R4863" s="181">
        <f>R4849*1.02</f>
        <v>10613.64957177888</v>
      </c>
      <c r="S4863" s="128" t="s">
        <v>185</v>
      </c>
      <c r="T4863" s="149" t="s">
        <v>186</v>
      </c>
      <c r="U4863" s="143">
        <f>U4849*1.01</f>
        <v>14385.056141070523</v>
      </c>
      <c r="V4863" s="128" t="s">
        <v>185</v>
      </c>
      <c r="W4863" s="153" t="s">
        <v>186</v>
      </c>
      <c r="X4863" s="143">
        <f>X4849*1.01</f>
        <v>35575.955678614853</v>
      </c>
      <c r="Y4863" s="128" t="s">
        <v>185</v>
      </c>
      <c r="Z4863" s="153" t="s">
        <v>186</v>
      </c>
      <c r="AA4863" s="143">
        <f>AA4849*1.01</f>
        <v>69292.881062429384</v>
      </c>
      <c r="AB4863" s="128" t="s">
        <v>185</v>
      </c>
      <c r="AC4863" s="153" t="s">
        <v>186</v>
      </c>
      <c r="AD4863" s="143">
        <f>AD4849*1.01</f>
        <v>113961.27722251465</v>
      </c>
      <c r="AE4863" s="128" t="s">
        <v>185</v>
      </c>
      <c r="AF4863" s="153" t="s">
        <v>186</v>
      </c>
      <c r="AG4863" s="143">
        <f>AG4849*1.01</f>
        <v>159839.46474678977</v>
      </c>
      <c r="AH4863" s="128" t="s">
        <v>185</v>
      </c>
      <c r="AI4863" s="153" t="s">
        <v>186</v>
      </c>
      <c r="AJ4863" s="143">
        <f>AJ4849*1.01</f>
        <v>202953.7065917945</v>
      </c>
      <c r="AK4863" s="128" t="s">
        <v>185</v>
      </c>
      <c r="AL4863" s="153" t="s">
        <v>186</v>
      </c>
      <c r="AM4863" s="143">
        <f>AM4849*1.01</f>
        <v>237979.18225764838</v>
      </c>
      <c r="AN4863" s="128" t="s">
        <v>185</v>
      </c>
      <c r="AO4863" s="153" t="s">
        <v>186</v>
      </c>
      <c r="AP4863" s="143">
        <f>AP4849*1.01</f>
        <v>265505.84081015468</v>
      </c>
      <c r="AQ4863" s="128" t="s">
        <v>185</v>
      </c>
      <c r="AR4863" s="153" t="s">
        <v>186</v>
      </c>
      <c r="AS4863" s="143">
        <f>AS4849*1.01</f>
        <v>296216.46244665014</v>
      </c>
      <c r="AT4863" s="128" t="s">
        <v>185</v>
      </c>
      <c r="AU4863" s="153" t="s">
        <v>186</v>
      </c>
    </row>
    <row r="4864" spans="13:47" ht="14" x14ac:dyDescent="0.3">
      <c r="M4864" s="12"/>
      <c r="N4864" s="12"/>
      <c r="O4864" s="20"/>
      <c r="P4864" s="20"/>
      <c r="Q4864" s="23"/>
      <c r="R4864" s="139"/>
      <c r="S4864" s="130" t="s">
        <v>228</v>
      </c>
      <c r="T4864" s="131" t="s">
        <v>187</v>
      </c>
      <c r="U4864" s="144"/>
      <c r="V4864" s="130" t="s">
        <v>228</v>
      </c>
      <c r="W4864" s="154" t="s">
        <v>187</v>
      </c>
      <c r="X4864" s="144"/>
      <c r="Y4864" s="130" t="s">
        <v>228</v>
      </c>
      <c r="Z4864" s="154" t="s">
        <v>187</v>
      </c>
      <c r="AA4864" s="144"/>
      <c r="AB4864" s="130" t="s">
        <v>228</v>
      </c>
      <c r="AC4864" s="154" t="s">
        <v>187</v>
      </c>
      <c r="AD4864" s="144"/>
      <c r="AE4864" s="130" t="s">
        <v>228</v>
      </c>
      <c r="AF4864" s="154" t="s">
        <v>187</v>
      </c>
      <c r="AG4864" s="144"/>
      <c r="AH4864" s="130" t="s">
        <v>228</v>
      </c>
      <c r="AI4864" s="154" t="s">
        <v>187</v>
      </c>
      <c r="AJ4864" s="144"/>
      <c r="AK4864" s="130" t="s">
        <v>228</v>
      </c>
      <c r="AL4864" s="154" t="s">
        <v>187</v>
      </c>
      <c r="AM4864" s="144"/>
      <c r="AN4864" s="130" t="s">
        <v>228</v>
      </c>
      <c r="AO4864" s="154" t="s">
        <v>187</v>
      </c>
      <c r="AP4864" s="144"/>
      <c r="AQ4864" s="130" t="s">
        <v>228</v>
      </c>
      <c r="AR4864" s="154" t="s">
        <v>187</v>
      </c>
      <c r="AS4864" s="144"/>
      <c r="AT4864" s="130" t="s">
        <v>228</v>
      </c>
      <c r="AU4864" s="154" t="s">
        <v>187</v>
      </c>
    </row>
    <row r="4865" spans="13:47" x14ac:dyDescent="0.25">
      <c r="M4865" s="20"/>
      <c r="N4865" s="20"/>
      <c r="O4865" s="7" t="s">
        <v>188</v>
      </c>
      <c r="P4865" s="7"/>
      <c r="Q4865" s="7"/>
      <c r="R4865" s="181">
        <f>P_1_minW-(R4863^2*R_up)+dpup_minQ</f>
        <v>55.602442411255396</v>
      </c>
      <c r="S4865" s="132"/>
      <c r="T4865" s="145"/>
      <c r="U4865" s="138">
        <f>P_1_minW-(U4863^2*R_up)+dpup_minQ</f>
        <v>18.007063634573072</v>
      </c>
      <c r="V4865" s="132"/>
      <c r="W4865" s="145"/>
      <c r="X4865" s="138">
        <f>P_1_minW-(X4863^2*R_up)+dpup_minQ</f>
        <v>-404.16958234214343</v>
      </c>
      <c r="Y4865" s="132"/>
      <c r="Z4865" s="145"/>
      <c r="AA4865" s="138">
        <f>P_1_minW-(AA4863^2*R_up)+dpup_minQ</f>
        <v>-1814.1335135306113</v>
      </c>
      <c r="AB4865" s="132"/>
      <c r="AC4865" s="145"/>
      <c r="AD4865" s="138">
        <f>P_1_minW-(AD4863^2*R_up)+dpup_minQ</f>
        <v>-5078.266052815422</v>
      </c>
      <c r="AE4865" s="132"/>
      <c r="AF4865" s="145"/>
      <c r="AG4865" s="138">
        <f>P_1_minW-(AG4863^2*R_up)+dpup_minQ</f>
        <v>-10087.305598586379</v>
      </c>
      <c r="AH4865" s="132"/>
      <c r="AI4865" s="145"/>
      <c r="AJ4865" s="138">
        <f>P_1_minW-(AJ4863^2*R_up)+dpup_minQ</f>
        <v>-16324.559811034827</v>
      </c>
      <c r="AK4865" s="132"/>
      <c r="AL4865" s="145"/>
      <c r="AM4865" s="138">
        <f>P_1_minW-(AM4863^2*R_up)+dpup_minQ</f>
        <v>-22482.991425172622</v>
      </c>
      <c r="AN4865" s="132"/>
      <c r="AO4865" s="145"/>
      <c r="AP4865" s="138">
        <f>P_1_minW-(AP4863^2*R_up)+dpup_minQ</f>
        <v>-28009.535521737176</v>
      </c>
      <c r="AQ4865" s="132"/>
      <c r="AR4865" s="145"/>
      <c r="AS4865" s="138">
        <f>P_1_minW-(AS4863^2*R_up)+dpup_minQ</f>
        <v>-34888.512608343917</v>
      </c>
      <c r="AT4865" s="132"/>
      <c r="AU4865" s="145"/>
    </row>
    <row r="4866" spans="13:47" x14ac:dyDescent="0.25">
      <c r="M4866" s="20"/>
      <c r="N4866" s="20"/>
      <c r="O4866" s="7" t="s">
        <v>189</v>
      </c>
      <c r="P4866" s="1"/>
      <c r="Q4866" s="7"/>
      <c r="R4866" s="181">
        <f>P_2_minW+(R4863^2*R_dn)-dpdn_minQ</f>
        <v>50</v>
      </c>
      <c r="S4866" s="132"/>
      <c r="T4866" s="146"/>
      <c r="U4866" s="138">
        <f>P_2_minW+(U4863^2*R_dn)-dpdn_minQ</f>
        <v>50</v>
      </c>
      <c r="V4866" s="132"/>
      <c r="W4866" s="146"/>
      <c r="X4866" s="138">
        <f>P_2_minW+(X4863^2*R_dn)-dpdn_minQ</f>
        <v>50</v>
      </c>
      <c r="Y4866" s="132"/>
      <c r="Z4866" s="146"/>
      <c r="AA4866" s="138">
        <f>P_2_minW+(AA4863^2*R_dn)-dpdn_minQ</f>
        <v>50</v>
      </c>
      <c r="AB4866" s="132"/>
      <c r="AC4866" s="146"/>
      <c r="AD4866" s="138">
        <f>P_2_minW+(AD4863^2*R_dn)-dpdn_minQ</f>
        <v>50</v>
      </c>
      <c r="AE4866" s="132"/>
      <c r="AF4866" s="146"/>
      <c r="AG4866" s="138">
        <f>P_2_minW+(AG4863^2*R_dn)-dpdn_minQ</f>
        <v>50</v>
      </c>
      <c r="AH4866" s="132"/>
      <c r="AI4866" s="146"/>
      <c r="AJ4866" s="138">
        <f>P_2_minW+(AJ4863^2*R_dn)-dpdn_minQ</f>
        <v>50</v>
      </c>
      <c r="AK4866" s="132"/>
      <c r="AL4866" s="146"/>
      <c r="AM4866" s="138">
        <f>P_2_minW+(AM4863^2*R_dn)-dpdn_minQ</f>
        <v>50</v>
      </c>
      <c r="AN4866" s="132"/>
      <c r="AO4866" s="146"/>
      <c r="AP4866" s="138">
        <f>P_2_minW+(AP4863^2*R_dn)-dpdn_minQ</f>
        <v>50</v>
      </c>
      <c r="AQ4866" s="132"/>
      <c r="AR4866" s="146"/>
      <c r="AS4866" s="138">
        <f>P_2_minW+(AS4863^2*R_dn)-dpdn_minQ</f>
        <v>50</v>
      </c>
      <c r="AT4866" s="132"/>
      <c r="AU4866" s="146"/>
    </row>
    <row r="4867" spans="13:47" x14ac:dyDescent="0.25">
      <c r="M4867" s="20"/>
      <c r="N4867" s="20"/>
      <c r="O4867" s="7" t="s">
        <v>234</v>
      </c>
      <c r="P4867" s="1"/>
      <c r="Q4867" s="7"/>
      <c r="R4867" s="179">
        <f>'Valve Sizing'!G$8*R4865/P_1_maxW</f>
        <v>0.26821628278718529</v>
      </c>
      <c r="S4867" s="132"/>
      <c r="T4867" s="146"/>
      <c r="U4867" s="143">
        <f>'Valve Sizing'!$G$8*U4865/P_1_maxW</f>
        <v>8.6862869013103194E-2</v>
      </c>
      <c r="V4867" s="132"/>
      <c r="W4867" s="146"/>
      <c r="X4867" s="143">
        <f>'Valve Sizing'!$G$8*X4865/P_1_maxW</f>
        <v>-1.9496421072595709</v>
      </c>
      <c r="Y4867" s="132"/>
      <c r="Z4867" s="146"/>
      <c r="AA4867" s="143">
        <f>'Valve Sizing'!$G$8*AA4865/P_1_maxW</f>
        <v>-8.7510570827072129</v>
      </c>
      <c r="AB4867" s="132"/>
      <c r="AC4867" s="146"/>
      <c r="AD4867" s="143">
        <f>'Valve Sizing'!$G$8*AD4865/P_1_maxW</f>
        <v>-24.496651309237897</v>
      </c>
      <c r="AE4867" s="132"/>
      <c r="AF4867" s="146"/>
      <c r="AG4867" s="143">
        <f>'Valve Sizing'!$G$8*AG4865/P_1_maxW</f>
        <v>-48.659366273513214</v>
      </c>
      <c r="AH4867" s="132"/>
      <c r="AI4867" s="146"/>
      <c r="AJ4867" s="143">
        <f>'Valve Sizing'!$G$8*AJ4865/P_1_maxW</f>
        <v>-78.746770119697317</v>
      </c>
      <c r="AK4867" s="132"/>
      <c r="AL4867" s="146"/>
      <c r="AM4867" s="143">
        <f>'Valve Sizing'!$G$8*AM4865/P_1_maxW</f>
        <v>-108.45394778512949</v>
      </c>
      <c r="AN4867" s="132"/>
      <c r="AO4867" s="146"/>
      <c r="AP4867" s="143">
        <f>'Valve Sizing'!$G$8*AP4865/P_1_maxW</f>
        <v>-135.11301256642673</v>
      </c>
      <c r="AQ4867" s="132"/>
      <c r="AR4867" s="146"/>
      <c r="AS4867" s="143">
        <f>'Valve Sizing'!$G$8*AS4865/P_1_maxW</f>
        <v>-168.29597330583471</v>
      </c>
      <c r="AT4867" s="132"/>
      <c r="AU4867" s="146"/>
    </row>
    <row r="4868" spans="13:47" x14ac:dyDescent="0.25">
      <c r="M4868" s="20"/>
      <c r="N4868" s="20"/>
      <c r="O4868" s="7" t="s">
        <v>190</v>
      </c>
      <c r="P4868" s="1"/>
      <c r="Q4868" s="7"/>
      <c r="R4868" s="181">
        <f>R4865-R4866</f>
        <v>5.6024424112553959</v>
      </c>
      <c r="S4868" s="132"/>
      <c r="T4868" s="146"/>
      <c r="U4868" s="138">
        <f>U4865-U4866</f>
        <v>-31.992936365426928</v>
      </c>
      <c r="V4868" s="132"/>
      <c r="W4868" s="146"/>
      <c r="X4868" s="138">
        <f>X4865-X4866</f>
        <v>-454.16958234214343</v>
      </c>
      <c r="Y4868" s="132"/>
      <c r="Z4868" s="146"/>
      <c r="AA4868" s="138">
        <f>AA4865-AA4866</f>
        <v>-1864.1335135306113</v>
      </c>
      <c r="AB4868" s="132"/>
      <c r="AC4868" s="146"/>
      <c r="AD4868" s="138">
        <f>AD4865-AD4866</f>
        <v>-5128.266052815422</v>
      </c>
      <c r="AE4868" s="132"/>
      <c r="AF4868" s="146"/>
      <c r="AG4868" s="138">
        <f>AG4865-AG4866</f>
        <v>-10137.305598586379</v>
      </c>
      <c r="AH4868" s="132"/>
      <c r="AI4868" s="146"/>
      <c r="AJ4868" s="138">
        <f>AJ4865-AJ4866</f>
        <v>-16374.559811034827</v>
      </c>
      <c r="AK4868" s="132"/>
      <c r="AL4868" s="146"/>
      <c r="AM4868" s="138">
        <f>AM4865-AM4866</f>
        <v>-22532.991425172622</v>
      </c>
      <c r="AN4868" s="132"/>
      <c r="AO4868" s="146"/>
      <c r="AP4868" s="138">
        <f>AP4865-AP4866</f>
        <v>-28059.535521737176</v>
      </c>
      <c r="AQ4868" s="132"/>
      <c r="AR4868" s="146"/>
      <c r="AS4868" s="138">
        <f>AS4865-AS4866</f>
        <v>-34938.512608343917</v>
      </c>
      <c r="AT4868" s="132"/>
      <c r="AU4868" s="146"/>
    </row>
    <row r="4869" spans="13:47" ht="14.5" x14ac:dyDescent="0.35">
      <c r="M4869" s="27"/>
      <c r="N4869" s="27"/>
      <c r="O4869" s="2" t="s">
        <v>191</v>
      </c>
      <c r="P4869" s="10"/>
      <c r="Q4869" s="2"/>
      <c r="R4869" s="181">
        <f>R4868/R4865</f>
        <v>0.1007589265560988</v>
      </c>
      <c r="S4869" s="132"/>
      <c r="T4869" s="146"/>
      <c r="U4869" s="138">
        <f>U4868/U4865</f>
        <v>-1.7766881383148645</v>
      </c>
      <c r="V4869" s="132"/>
      <c r="W4869" s="146"/>
      <c r="X4869" s="138">
        <f>X4868/X4865</f>
        <v>1.123710447753768</v>
      </c>
      <c r="Y4869" s="132"/>
      <c r="Z4869" s="146"/>
      <c r="AA4869" s="138">
        <f>AA4868/AA4865</f>
        <v>1.027561367246169</v>
      </c>
      <c r="AB4869" s="132"/>
      <c r="AC4869" s="146"/>
      <c r="AD4869" s="138">
        <f>AD4868/AD4865</f>
        <v>1.0098458803615222</v>
      </c>
      <c r="AE4869" s="132"/>
      <c r="AF4869" s="146"/>
      <c r="AG4869" s="138">
        <f>AG4868/AG4865</f>
        <v>1.0049567250155489</v>
      </c>
      <c r="AH4869" s="132"/>
      <c r="AI4869" s="146"/>
      <c r="AJ4869" s="138">
        <f>AJ4868/AJ4865</f>
        <v>1.0030628697238257</v>
      </c>
      <c r="AK4869" s="132"/>
      <c r="AL4869" s="146"/>
      <c r="AM4869" s="138">
        <f>AM4868/AM4865</f>
        <v>1.0022239033522924</v>
      </c>
      <c r="AN4869" s="132"/>
      <c r="AO4869" s="146"/>
      <c r="AP4869" s="138">
        <f>AP4868/AP4865</f>
        <v>1.0017851063599821</v>
      </c>
      <c r="AQ4869" s="132"/>
      <c r="AR4869" s="146"/>
      <c r="AS4869" s="138">
        <f>AS4868/AS4865</f>
        <v>1.0014331364756446</v>
      </c>
      <c r="AT4869" s="132"/>
      <c r="AU4869" s="146"/>
    </row>
    <row r="4870" spans="13:47" x14ac:dyDescent="0.25">
      <c r="M4870" s="27"/>
      <c r="N4870" s="27"/>
      <c r="O4870" s="2" t="s">
        <v>26</v>
      </c>
      <c r="P4870" s="7">
        <v>12</v>
      </c>
      <c r="Q4870" s="2"/>
      <c r="R4870" s="181">
        <f>1-R4869/(3*F_GAMMA*R$29)</f>
        <v>0.94752359644008077</v>
      </c>
      <c r="S4870" s="133"/>
      <c r="T4870" s="146"/>
      <c r="U4870" s="138">
        <f>1-U4869/(3*F_GAMMA*U$29)</f>
        <v>1.9251158094116829</v>
      </c>
      <c r="V4870" s="133"/>
      <c r="W4870" s="146"/>
      <c r="X4870" s="138">
        <f>1-X4869/(3*F_GAMMA*X$29)</f>
        <v>0.40610996008273259</v>
      </c>
      <c r="Y4870" s="133"/>
      <c r="Z4870" s="146"/>
      <c r="AA4870" s="138">
        <f>1-AA4869/(3*F_GAMMA*AA$29)</f>
        <v>0.44947921823581916</v>
      </c>
      <c r="AB4870" s="133"/>
      <c r="AC4870" s="146"/>
      <c r="AD4870" s="138">
        <f>1-AD4869/(3*F_GAMMA*AD$29)</f>
        <v>0.44413649078082729</v>
      </c>
      <c r="AE4870" s="133"/>
      <c r="AF4870" s="146"/>
      <c r="AG4870" s="138">
        <f>1-AG4869/(3*F_GAMMA*AG$29)</f>
        <v>0.415273874870008</v>
      </c>
      <c r="AH4870" s="133"/>
      <c r="AI4870" s="146"/>
      <c r="AJ4870" s="138">
        <f>1-AJ4869/(3*F_GAMMA*AJ$29)</f>
        <v>0.37609781782976004</v>
      </c>
      <c r="AK4870" s="133"/>
      <c r="AL4870" s="146"/>
      <c r="AM4870" s="138">
        <f>1-AM4869/(3*F_GAMMA*AM$29)</f>
        <v>0.31889357951272235</v>
      </c>
      <c r="AN4870" s="133"/>
      <c r="AO4870" s="146"/>
      <c r="AP4870" s="138">
        <f>1-AP4869/(3*F_GAMMA*AP$29)</f>
        <v>0.43738566400337464</v>
      </c>
      <c r="AQ4870" s="133"/>
      <c r="AR4870" s="146"/>
      <c r="AS4870" s="138">
        <f>1-AS4869/(3*F_GAMMA*AS$29)</f>
        <v>0.14620263134127953</v>
      </c>
      <c r="AT4870" s="133"/>
      <c r="AU4870" s="146"/>
    </row>
    <row r="4871" spans="13:47" x14ac:dyDescent="0.25">
      <c r="M4871" s="27"/>
      <c r="N4871" s="27"/>
      <c r="O4871" s="2" t="s">
        <v>71</v>
      </c>
      <c r="P4871" s="85">
        <v>5</v>
      </c>
      <c r="Q4871" s="2"/>
      <c r="R4871" s="179">
        <f>R4863/((N_6*R$27*R4870)*SQRT(R4869*R4865*R4867))</f>
        <v>144.37473159488525</v>
      </c>
      <c r="S4871" s="133"/>
      <c r="T4871" s="146"/>
      <c r="U4871" s="143" t="e">
        <f>U4863/((N_6*U$27*U4870)*SQRT(U4869*U4865*U4867))</f>
        <v>#NUM!</v>
      </c>
      <c r="V4871" s="133"/>
      <c r="W4871" s="146"/>
      <c r="X4871" s="143">
        <f>X4863/((N_6*X$27*X4870)*SQRT(X4869*X4865*X4867))</f>
        <v>46.645054047478084</v>
      </c>
      <c r="Y4871" s="133"/>
      <c r="Z4871" s="146"/>
      <c r="AA4871" s="143">
        <f>AA4863/((N_6*AA$27*AA4870)*SQRT(AA4869*AA4865*AA4867))</f>
        <v>19.234458081480714</v>
      </c>
      <c r="AB4871" s="133"/>
      <c r="AC4871" s="146"/>
      <c r="AD4871" s="143">
        <f>AD4863/((N_6*AD$27*AD4870)*SQRT(AD4869*AD4865*AD4867))</f>
        <v>11.673917382848547</v>
      </c>
      <c r="AE4871" s="133"/>
      <c r="AF4871" s="146"/>
      <c r="AG4871" s="143">
        <f>AG4863/((N_6*AG$27*AG4870)*SQRT(AG4869*AG4865*AG4867))</f>
        <v>9.0279684587564901</v>
      </c>
      <c r="AH4871" s="133"/>
      <c r="AI4871" s="146"/>
      <c r="AJ4871" s="143">
        <f>AJ4863/((N_6*AJ$27*AJ4870)*SQRT(AJ4869*AJ4865*AJ4867))</f>
        <v>8.0972897124400127</v>
      </c>
      <c r="AK4871" s="133"/>
      <c r="AL4871" s="146"/>
      <c r="AM4871" s="143">
        <f>AM4863/((N_6*AM$27*AM4870)*SQRT(AM4869*AM4865*AM4867))</f>
        <v>8.6335622390856379</v>
      </c>
      <c r="AN4871" s="133"/>
      <c r="AO4871" s="146"/>
      <c r="AP4871" s="143">
        <f>AP4863/((N_6*AP$27*AP4870)*SQRT(AP4869*AP4865*AP4867))</f>
        <v>6.4047734206314457</v>
      </c>
      <c r="AQ4871" s="133"/>
      <c r="AR4871" s="146"/>
      <c r="AS4871" s="143">
        <f>AS4863/((N_6*AS$27*AS4870)*SQRT(AS4869*AS4865*AS4867))</f>
        <v>22.554614818240967</v>
      </c>
      <c r="AT4871" s="133"/>
      <c r="AU4871" s="146"/>
    </row>
    <row r="4872" spans="13:47" x14ac:dyDescent="0.25">
      <c r="M4872" s="27"/>
      <c r="N4872" s="27"/>
      <c r="O4872" s="2" t="s">
        <v>73</v>
      </c>
      <c r="P4872" s="85">
        <v>5</v>
      </c>
      <c r="Q4872" s="2"/>
      <c r="R4872" s="179">
        <f>R4863/((N_6*R$27*0.667)*SQRT(R4873*R4865*R4867))</f>
        <v>81.376320516296587</v>
      </c>
      <c r="S4872" s="133"/>
      <c r="T4872" s="147"/>
      <c r="U4872" s="143">
        <f>U4863/((N_6*U$27*0.667)*SQRT(U4873*U4865*U4867))</f>
        <v>340.73597020376633</v>
      </c>
      <c r="V4872" s="133"/>
      <c r="W4872" s="155"/>
      <c r="X4872" s="143">
        <f>X4863/((N_6*X$27*0.667)*SQRT(X4873*X4865*X4867))</f>
        <v>37.908539780586494</v>
      </c>
      <c r="Y4872" s="133"/>
      <c r="Z4872" s="155"/>
      <c r="AA4872" s="143">
        <f>AA4863/((N_6*AA$27*0.667)*SQRT(AA4873*AA4865*AA4867))</f>
        <v>16.657553779967937</v>
      </c>
      <c r="AB4872" s="133"/>
      <c r="AC4872" s="155"/>
      <c r="AD4872" s="143">
        <f>AD4863/((N_6*AD$27*0.667)*SQRT(AD4873*AD4865*AD4867))</f>
        <v>10.038109945188484</v>
      </c>
      <c r="AE4872" s="133"/>
      <c r="AF4872" s="155"/>
      <c r="AG4872" s="143">
        <f>AG4863/((N_6*AG$27*0.667)*SQRT(AG4873*AG4865*AG4867))</f>
        <v>7.4445025994814653</v>
      </c>
      <c r="AH4872" s="133"/>
      <c r="AI4872" s="155"/>
      <c r="AJ4872" s="143">
        <f>AJ4863/((N_6*AJ$27*0.667)*SQRT(AJ4873*AJ4865*AJ4867))</f>
        <v>6.2464538763207678</v>
      </c>
      <c r="AK4872" s="133"/>
      <c r="AL4872" s="155"/>
      <c r="AM4872" s="143">
        <f>AM4863/((N_6*AM$27*0.667)*SQRT(AM4873*AM4865*AM4867))</f>
        <v>5.9003541574649798</v>
      </c>
      <c r="AN4872" s="133"/>
      <c r="AO4872" s="155"/>
      <c r="AP4872" s="143">
        <f>AP4863/((N_6*AP$27*0.667)*SQRT(AP4873*AP4865*AP4867))</f>
        <v>5.4564289602174068</v>
      </c>
      <c r="AQ4872" s="133"/>
      <c r="AR4872" s="155"/>
      <c r="AS4872" s="143">
        <f>AS4863/((N_6*AS$27*0.667)*SQRT(AS4873*AS4865*AS4867))</f>
        <v>7.9123010530698021</v>
      </c>
      <c r="AT4872" s="133"/>
      <c r="AU4872" s="155"/>
    </row>
    <row r="4873" spans="13:47" ht="15.5" x14ac:dyDescent="0.4">
      <c r="M4873" s="27"/>
      <c r="N4873" s="27"/>
      <c r="O4873" s="2" t="s">
        <v>192</v>
      </c>
      <c r="P4873" s="85">
        <v>10</v>
      </c>
      <c r="Q4873" s="2"/>
      <c r="R4873" s="181">
        <f>F_GAMMA*R$29</f>
        <v>0.64002688015162901</v>
      </c>
      <c r="S4873" s="133"/>
      <c r="T4873" s="147"/>
      <c r="U4873" s="138">
        <f>F_GAMMA*U$29</f>
        <v>0.64016782916606918</v>
      </c>
      <c r="V4873" s="133"/>
      <c r="W4873" s="155"/>
      <c r="X4873" s="138">
        <f>F_GAMMA*X$29</f>
        <v>0.6307062319203669</v>
      </c>
      <c r="Y4873" s="133"/>
      <c r="Z4873" s="155"/>
      <c r="AA4873" s="138">
        <f>F_GAMMA*AA$29</f>
        <v>0.62217534213893466</v>
      </c>
      <c r="AB4873" s="133"/>
      <c r="AC4873" s="155"/>
      <c r="AD4873" s="138">
        <f>F_GAMMA*AD$29</f>
        <v>0.60557184969146072</v>
      </c>
      <c r="AE4873" s="133"/>
      <c r="AF4873" s="155"/>
      <c r="AG4873" s="138">
        <f>F_GAMMA*AG$29</f>
        <v>0.57289312142622573</v>
      </c>
      <c r="AH4873" s="133"/>
      <c r="AI4873" s="155"/>
      <c r="AJ4873" s="138">
        <f>F_GAMMA*AJ$29</f>
        <v>0.53590819116049981</v>
      </c>
      <c r="AK4873" s="133"/>
      <c r="AL4873" s="155"/>
      <c r="AM4873" s="138">
        <f>F_GAMMA*AM$29</f>
        <v>0.49048815926850342</v>
      </c>
      <c r="AN4873" s="133"/>
      <c r="AO4873" s="155"/>
      <c r="AP4873" s="138">
        <f>F_GAMMA*AP$29</f>
        <v>0.59352979016280105</v>
      </c>
      <c r="AQ4873" s="133"/>
      <c r="AR4873" s="155"/>
      <c r="AS4873" s="138">
        <f>F_GAMMA*AS$29</f>
        <v>0.39097221161068291</v>
      </c>
      <c r="AT4873" s="133"/>
      <c r="AU4873" s="155"/>
    </row>
    <row r="4874" spans="13:47" x14ac:dyDescent="0.25">
      <c r="M4874" s="27"/>
      <c r="N4874" s="27"/>
      <c r="O4874" s="2" t="s">
        <v>193</v>
      </c>
      <c r="P4874" s="134"/>
      <c r="Q4874" s="2"/>
      <c r="R4874" s="181">
        <f>IF(R4869&lt;R4873,R4871,R4872)</f>
        <v>144.37473159488525</v>
      </c>
      <c r="S4874" s="133"/>
      <c r="T4874" s="147"/>
      <c r="U4874" s="138" t="e">
        <f>IF(U4869&lt;U4873,U4871,U4872)</f>
        <v>#NUM!</v>
      </c>
      <c r="V4874" s="133"/>
      <c r="W4874" s="155"/>
      <c r="X4874" s="138">
        <f>IF(X4869&lt;X4873,X4871,X4872)</f>
        <v>37.908539780586494</v>
      </c>
      <c r="Y4874" s="133"/>
      <c r="Z4874" s="155"/>
      <c r="AA4874" s="138">
        <f>IF(AA4869&lt;AA4873,AA4871,AA4872)</f>
        <v>16.657553779967937</v>
      </c>
      <c r="AB4874" s="133"/>
      <c r="AC4874" s="155"/>
      <c r="AD4874" s="138">
        <f>IF(AD4869&lt;AD4873,AD4871,AD4872)</f>
        <v>10.038109945188484</v>
      </c>
      <c r="AE4874" s="133"/>
      <c r="AF4874" s="155"/>
      <c r="AG4874" s="138">
        <f>IF(AG4869&lt;AG4873,AG4871,AG4872)</f>
        <v>7.4445025994814653</v>
      </c>
      <c r="AH4874" s="133"/>
      <c r="AI4874" s="155"/>
      <c r="AJ4874" s="138">
        <f>IF(AJ4869&lt;AJ4873,AJ4871,AJ4872)</f>
        <v>6.2464538763207678</v>
      </c>
      <c r="AK4874" s="133"/>
      <c r="AL4874" s="155"/>
      <c r="AM4874" s="138">
        <f>IF(AM4869&lt;AM4873,AM4871,AM4872)</f>
        <v>5.9003541574649798</v>
      </c>
      <c r="AN4874" s="133"/>
      <c r="AO4874" s="155"/>
      <c r="AP4874" s="138">
        <f>IF(AP4869&lt;AP4873,AP4871,AP4872)</f>
        <v>5.4564289602174068</v>
      </c>
      <c r="AQ4874" s="133"/>
      <c r="AR4874" s="155"/>
      <c r="AS4874" s="138">
        <f>IF(AS4869&lt;AS4873,AS4871,AS4872)</f>
        <v>7.9123010530698021</v>
      </c>
      <c r="AT4874" s="133"/>
      <c r="AU4874" s="155"/>
    </row>
    <row r="4875" spans="13:47" ht="13" x14ac:dyDescent="0.3">
      <c r="M4875" s="28"/>
      <c r="N4875" s="28"/>
      <c r="O4875" s="9" t="s">
        <v>194</v>
      </c>
      <c r="P4875" s="1"/>
      <c r="Q4875" s="1"/>
      <c r="R4875" s="135"/>
      <c r="S4875" s="132">
        <f>IF(R4868&lt;=0,W_max,ABS(R$23-R4874))</f>
        <v>142.37473159488525</v>
      </c>
      <c r="T4875" s="151">
        <f>R4863</f>
        <v>10613.64957177888</v>
      </c>
      <c r="U4875" s="135"/>
      <c r="V4875" s="132">
        <f>IF(U4868&lt;=0,W_max,ABS(U$23-U4874))</f>
        <v>7174</v>
      </c>
      <c r="W4875" s="151">
        <f>U4863</f>
        <v>14385.056141070523</v>
      </c>
      <c r="X4875" s="135"/>
      <c r="Y4875" s="132">
        <f>IF(X4868&lt;=0,W_max,ABS(X$23-X4874))</f>
        <v>7174</v>
      </c>
      <c r="Z4875" s="151">
        <f>X4863</f>
        <v>35575.955678614853</v>
      </c>
      <c r="AA4875" s="135"/>
      <c r="AB4875" s="132">
        <f>IF(AA4868&lt;=0,W_max,ABS(AA$23-AA4874))</f>
        <v>7174</v>
      </c>
      <c r="AC4875" s="151">
        <f>AA4863</f>
        <v>69292.881062429384</v>
      </c>
      <c r="AD4875" s="135"/>
      <c r="AE4875" s="132">
        <f>IF(AD4868&lt;=0,W_max,ABS(AD$23-AD4874))</f>
        <v>7174</v>
      </c>
      <c r="AF4875" s="151">
        <f>AD4863</f>
        <v>113961.27722251465</v>
      </c>
      <c r="AG4875" s="135"/>
      <c r="AH4875" s="132">
        <f>IF(AG4868&lt;=0,W_max,ABS(AG$23-AG4874))</f>
        <v>7174</v>
      </c>
      <c r="AI4875" s="151">
        <f>AG4863</f>
        <v>159839.46474678977</v>
      </c>
      <c r="AJ4875" s="135"/>
      <c r="AK4875" s="132">
        <f>IF(AJ4868&lt;=0,W_max,ABS(AJ$23-AJ4874))</f>
        <v>7174</v>
      </c>
      <c r="AL4875" s="151">
        <f>AJ4863</f>
        <v>202953.7065917945</v>
      </c>
      <c r="AM4875" s="135"/>
      <c r="AN4875" s="132">
        <f>IF(AM4868&lt;=0,W_max,ABS(AM$23-AM4874))</f>
        <v>7174</v>
      </c>
      <c r="AO4875" s="151">
        <f>AM4863</f>
        <v>237979.18225764838</v>
      </c>
      <c r="AP4875" s="135"/>
      <c r="AQ4875" s="132">
        <f>IF(AP4868&lt;=0,W_max,ABS(AP$23-AP4874))</f>
        <v>7174</v>
      </c>
      <c r="AR4875" s="151">
        <f>AP4863</f>
        <v>265505.84081015468</v>
      </c>
      <c r="AS4875" s="135"/>
      <c r="AT4875" s="132">
        <f>IF(AS4868&lt;=0,W_max,ABS(AS$23-AS4874))</f>
        <v>7174</v>
      </c>
      <c r="AU4875" s="151">
        <f>AS4863</f>
        <v>296216.46244665014</v>
      </c>
    </row>
    <row r="4876" spans="13:47" ht="13" x14ac:dyDescent="0.25">
      <c r="M4876" s="12"/>
      <c r="N4876" s="12"/>
      <c r="O4876" s="12"/>
      <c r="P4876" s="12"/>
      <c r="Q4876" s="12"/>
      <c r="R4876" s="182"/>
      <c r="S4876" s="22"/>
      <c r="T4876" s="152"/>
      <c r="U4876" s="157"/>
      <c r="V4876" s="1"/>
      <c r="W4876" s="147"/>
      <c r="X4876" s="157"/>
      <c r="Y4876" s="1"/>
      <c r="Z4876" s="147"/>
      <c r="AA4876" s="157"/>
      <c r="AB4876" s="1"/>
      <c r="AC4876" s="147"/>
      <c r="AD4876" s="157"/>
      <c r="AE4876" s="1"/>
      <c r="AF4876" s="147"/>
      <c r="AG4876" s="157"/>
      <c r="AH4876" s="1"/>
      <c r="AI4876" s="147"/>
      <c r="AJ4876" s="157"/>
      <c r="AK4876" s="1"/>
      <c r="AL4876" s="147"/>
      <c r="AM4876" s="157"/>
      <c r="AN4876" s="1"/>
      <c r="AO4876" s="147"/>
      <c r="AP4876" s="157"/>
      <c r="AQ4876" s="1"/>
      <c r="AR4876" s="147"/>
      <c r="AS4876" s="157"/>
      <c r="AT4876" s="1"/>
      <c r="AU4876" s="147"/>
    </row>
    <row r="4877" spans="13:47" ht="14" x14ac:dyDescent="0.3">
      <c r="M4877" s="23"/>
      <c r="N4877" s="23"/>
      <c r="O4877" s="23" t="s">
        <v>238</v>
      </c>
      <c r="P4877" s="20"/>
      <c r="Q4877" s="20"/>
      <c r="R4877" s="18">
        <f>R4863*1.02</f>
        <v>10825.922563214459</v>
      </c>
      <c r="S4877" s="128" t="s">
        <v>185</v>
      </c>
      <c r="T4877" s="153" t="s">
        <v>186</v>
      </c>
      <c r="U4877" s="143">
        <f>U4863*1.01</f>
        <v>14528.906702481228</v>
      </c>
      <c r="V4877" s="128" t="s">
        <v>185</v>
      </c>
      <c r="W4877" s="153" t="s">
        <v>186</v>
      </c>
      <c r="X4877" s="143">
        <f>X4863*1.01</f>
        <v>35931.715235401003</v>
      </c>
      <c r="Y4877" s="128" t="s">
        <v>185</v>
      </c>
      <c r="Z4877" s="153" t="s">
        <v>186</v>
      </c>
      <c r="AA4877" s="143">
        <f>AA4863*1.01</f>
        <v>69985.809873053673</v>
      </c>
      <c r="AB4877" s="128" t="s">
        <v>185</v>
      </c>
      <c r="AC4877" s="153" t="s">
        <v>186</v>
      </c>
      <c r="AD4877" s="143">
        <f>AD4863*1.01</f>
        <v>115100.88999473979</v>
      </c>
      <c r="AE4877" s="128" t="s">
        <v>185</v>
      </c>
      <c r="AF4877" s="153" t="s">
        <v>186</v>
      </c>
      <c r="AG4877" s="143">
        <f>AG4863*1.01</f>
        <v>161437.85939425768</v>
      </c>
      <c r="AH4877" s="128" t="s">
        <v>185</v>
      </c>
      <c r="AI4877" s="153" t="s">
        <v>186</v>
      </c>
      <c r="AJ4877" s="143">
        <f>AJ4863*1.01</f>
        <v>204983.24365771245</v>
      </c>
      <c r="AK4877" s="128" t="s">
        <v>185</v>
      </c>
      <c r="AL4877" s="153" t="s">
        <v>186</v>
      </c>
      <c r="AM4877" s="143">
        <f>AM4863*1.01</f>
        <v>240358.97408022487</v>
      </c>
      <c r="AN4877" s="128" t="s">
        <v>185</v>
      </c>
      <c r="AO4877" s="153" t="s">
        <v>186</v>
      </c>
      <c r="AP4877" s="143">
        <f>AP4863*1.01</f>
        <v>268160.89921825624</v>
      </c>
      <c r="AQ4877" s="128" t="s">
        <v>185</v>
      </c>
      <c r="AR4877" s="153" t="s">
        <v>186</v>
      </c>
      <c r="AS4877" s="143">
        <f>AS4863*1.01</f>
        <v>299178.62707111664</v>
      </c>
      <c r="AT4877" s="128" t="s">
        <v>185</v>
      </c>
      <c r="AU4877" s="153" t="s">
        <v>186</v>
      </c>
    </row>
    <row r="4878" spans="13:47" ht="14" x14ac:dyDescent="0.3">
      <c r="M4878" s="12"/>
      <c r="N4878" s="12"/>
      <c r="O4878" s="20"/>
      <c r="P4878" s="20"/>
      <c r="Q4878" s="23"/>
      <c r="R4878" s="139"/>
      <c r="S4878" s="130" t="s">
        <v>228</v>
      </c>
      <c r="T4878" s="154" t="s">
        <v>187</v>
      </c>
      <c r="U4878" s="144"/>
      <c r="V4878" s="130" t="s">
        <v>228</v>
      </c>
      <c r="W4878" s="154" t="s">
        <v>187</v>
      </c>
      <c r="X4878" s="144"/>
      <c r="Y4878" s="130" t="s">
        <v>228</v>
      </c>
      <c r="Z4878" s="154" t="s">
        <v>187</v>
      </c>
      <c r="AA4878" s="144"/>
      <c r="AB4878" s="130" t="s">
        <v>228</v>
      </c>
      <c r="AC4878" s="154" t="s">
        <v>187</v>
      </c>
      <c r="AD4878" s="144"/>
      <c r="AE4878" s="130" t="s">
        <v>228</v>
      </c>
      <c r="AF4878" s="154" t="s">
        <v>187</v>
      </c>
      <c r="AG4878" s="144"/>
      <c r="AH4878" s="130" t="s">
        <v>228</v>
      </c>
      <c r="AI4878" s="154" t="s">
        <v>187</v>
      </c>
      <c r="AJ4878" s="144"/>
      <c r="AK4878" s="130" t="s">
        <v>228</v>
      </c>
      <c r="AL4878" s="154" t="s">
        <v>187</v>
      </c>
      <c r="AM4878" s="144"/>
      <c r="AN4878" s="130" t="s">
        <v>228</v>
      </c>
      <c r="AO4878" s="154" t="s">
        <v>187</v>
      </c>
      <c r="AP4878" s="144"/>
      <c r="AQ4878" s="130" t="s">
        <v>228</v>
      </c>
      <c r="AR4878" s="154" t="s">
        <v>187</v>
      </c>
      <c r="AS4878" s="144"/>
      <c r="AT4878" s="130" t="s">
        <v>228</v>
      </c>
      <c r="AU4878" s="154" t="s">
        <v>187</v>
      </c>
    </row>
    <row r="4879" spans="13:47" x14ac:dyDescent="0.25">
      <c r="M4879" s="20"/>
      <c r="N4879" s="20"/>
      <c r="O4879" s="7" t="s">
        <v>188</v>
      </c>
      <c r="P4879" s="7"/>
      <c r="Q4879" s="7"/>
      <c r="R4879" s="181">
        <f>P_1_minW-(R4877^2*R_up)+dpup_minQ</f>
        <v>53.787660500506348</v>
      </c>
      <c r="S4879" s="132"/>
      <c r="T4879" s="145"/>
      <c r="U4879" s="138">
        <f>P_1_minW-(U4877^2*R_up)+dpup_minQ</f>
        <v>16.348497600219787</v>
      </c>
      <c r="V4879" s="132"/>
      <c r="W4879" s="145"/>
      <c r="X4879" s="138">
        <f>P_1_minW-(X4877^2*R_up)+dpup_minQ</f>
        <v>-414.31389896062876</v>
      </c>
      <c r="Y4879" s="132"/>
      <c r="Z4879" s="145"/>
      <c r="AA4879" s="138">
        <f>P_1_minW-(AA4877^2*R_up)+dpup_minQ</f>
        <v>-1852.6181051659846</v>
      </c>
      <c r="AB4879" s="132"/>
      <c r="AC4879" s="145"/>
      <c r="AD4879" s="138">
        <f>P_1_minW-(AD4877^2*R_up)+dpup_minQ</f>
        <v>-5182.3597084904195</v>
      </c>
      <c r="AE4879" s="132"/>
      <c r="AF4879" s="145"/>
      <c r="AG4879" s="138">
        <f>P_1_minW-(AG4877^2*R_up)+dpup_minQ</f>
        <v>-10292.080949131374</v>
      </c>
      <c r="AH4879" s="132"/>
      <c r="AI4879" s="145"/>
      <c r="AJ4879" s="138">
        <f>P_1_minW-(AJ4877^2*R_up)+dpup_minQ</f>
        <v>-16654.703971250034</v>
      </c>
      <c r="AK4879" s="132"/>
      <c r="AL4879" s="145"/>
      <c r="AM4879" s="138">
        <f>P_1_minW-(AM4877^2*R_up)+dpup_minQ</f>
        <v>-22936.920060831999</v>
      </c>
      <c r="AN4879" s="132"/>
      <c r="AO4879" s="145"/>
      <c r="AP4879" s="138">
        <f>P_1_minW-(AP4877^2*R_up)+dpup_minQ</f>
        <v>-28574.547693737502</v>
      </c>
      <c r="AQ4879" s="132"/>
      <c r="AR4879" s="145"/>
      <c r="AS4879" s="138">
        <f>P_1_minW-(AS4877^2*R_up)+dpup_minQ</f>
        <v>-35591.792219785042</v>
      </c>
      <c r="AT4879" s="132"/>
      <c r="AU4879" s="145"/>
    </row>
    <row r="4880" spans="13:47" x14ac:dyDescent="0.25">
      <c r="M4880" s="20"/>
      <c r="N4880" s="20"/>
      <c r="O4880" s="7" t="s">
        <v>189</v>
      </c>
      <c r="P4880" s="1"/>
      <c r="Q4880" s="7"/>
      <c r="R4880" s="181">
        <f>P_2_minW+(R4877^2*R_dn)-dpdn_minQ</f>
        <v>50</v>
      </c>
      <c r="S4880" s="132"/>
      <c r="T4880" s="146"/>
      <c r="U4880" s="138">
        <f>P_2_minW+(U4877^2*R_dn)-dpdn_minQ</f>
        <v>50</v>
      </c>
      <c r="V4880" s="132"/>
      <c r="W4880" s="146"/>
      <c r="X4880" s="138">
        <f>P_2_minW+(X4877^2*R_dn)-dpdn_minQ</f>
        <v>50</v>
      </c>
      <c r="Y4880" s="132"/>
      <c r="Z4880" s="146"/>
      <c r="AA4880" s="138">
        <f>P_2_minW+(AA4877^2*R_dn)-dpdn_minQ</f>
        <v>50</v>
      </c>
      <c r="AB4880" s="132"/>
      <c r="AC4880" s="146"/>
      <c r="AD4880" s="138">
        <f>P_2_minW+(AD4877^2*R_dn)-dpdn_minQ</f>
        <v>50</v>
      </c>
      <c r="AE4880" s="132"/>
      <c r="AF4880" s="146"/>
      <c r="AG4880" s="138">
        <f>P_2_minW+(AG4877^2*R_dn)-dpdn_minQ</f>
        <v>50</v>
      </c>
      <c r="AH4880" s="132"/>
      <c r="AI4880" s="146"/>
      <c r="AJ4880" s="138">
        <f>P_2_minW+(AJ4877^2*R_dn)-dpdn_minQ</f>
        <v>50</v>
      </c>
      <c r="AK4880" s="132"/>
      <c r="AL4880" s="146"/>
      <c r="AM4880" s="138">
        <f>P_2_minW+(AM4877^2*R_dn)-dpdn_minQ</f>
        <v>50</v>
      </c>
      <c r="AN4880" s="132"/>
      <c r="AO4880" s="146"/>
      <c r="AP4880" s="138">
        <f>P_2_minW+(AP4877^2*R_dn)-dpdn_minQ</f>
        <v>50</v>
      </c>
      <c r="AQ4880" s="132"/>
      <c r="AR4880" s="146"/>
      <c r="AS4880" s="138">
        <f>P_2_minW+(AS4877^2*R_dn)-dpdn_minQ</f>
        <v>50</v>
      </c>
      <c r="AT4880" s="132"/>
      <c r="AU4880" s="146"/>
    </row>
    <row r="4881" spans="13:47" x14ac:dyDescent="0.25">
      <c r="M4881" s="20"/>
      <c r="N4881" s="20"/>
      <c r="O4881" s="7" t="s">
        <v>234</v>
      </c>
      <c r="P4881" s="1"/>
      <c r="Q4881" s="7"/>
      <c r="R4881" s="179">
        <f>'Valve Sizing'!G$8*R4879/P_1_maxW</f>
        <v>0.2594620979517363</v>
      </c>
      <c r="S4881" s="132"/>
      <c r="T4881" s="146"/>
      <c r="U4881" s="143">
        <f>'Valve Sizing'!$G$8*U4879/P_1_maxW</f>
        <v>7.8862241752864881E-2</v>
      </c>
      <c r="V4881" s="132"/>
      <c r="W4881" s="146"/>
      <c r="X4881" s="143">
        <f>'Valve Sizing'!$G$8*X4879/P_1_maxW</f>
        <v>-1.9985764845428899</v>
      </c>
      <c r="Y4881" s="132"/>
      <c r="Z4881" s="146"/>
      <c r="AA4881" s="143">
        <f>'Valve Sizing'!$G$8*AA4879/P_1_maxW</f>
        <v>-8.9366999009970289</v>
      </c>
      <c r="AB4881" s="132"/>
      <c r="AC4881" s="146"/>
      <c r="AD4881" s="143">
        <f>'Valve Sizing'!$G$8*AD4879/P_1_maxW</f>
        <v>-24.998780571480978</v>
      </c>
      <c r="AE4881" s="132"/>
      <c r="AF4881" s="146"/>
      <c r="AG4881" s="143">
        <f>'Valve Sizing'!$G$8*AG4879/P_1_maxW</f>
        <v>-49.647166106538229</v>
      </c>
      <c r="AH4881" s="132"/>
      <c r="AI4881" s="146"/>
      <c r="AJ4881" s="143">
        <f>'Valve Sizing'!$G$8*AJ4879/P_1_maxW</f>
        <v>-80.339326770030624</v>
      </c>
      <c r="AK4881" s="132"/>
      <c r="AL4881" s="146"/>
      <c r="AM4881" s="143">
        <f>'Valve Sizing'!$G$8*AM4879/P_1_maxW</f>
        <v>-110.64361870653798</v>
      </c>
      <c r="AN4881" s="132"/>
      <c r="AO4881" s="146"/>
      <c r="AP4881" s="143">
        <f>'Valve Sizing'!$G$8*AP4879/P_1_maxW</f>
        <v>-137.83853068993932</v>
      </c>
      <c r="AQ4881" s="132"/>
      <c r="AR4881" s="146"/>
      <c r="AS4881" s="143">
        <f>'Valve Sizing'!$G$8*AS4879/P_1_maxW</f>
        <v>-171.68846894020942</v>
      </c>
      <c r="AT4881" s="132"/>
      <c r="AU4881" s="146"/>
    </row>
    <row r="4882" spans="13:47" x14ac:dyDescent="0.25">
      <c r="M4882" s="20"/>
      <c r="N4882" s="20"/>
      <c r="O4882" s="7" t="s">
        <v>190</v>
      </c>
      <c r="P4882" s="1"/>
      <c r="Q4882" s="7"/>
      <c r="R4882" s="181">
        <f>R4879-R4880</f>
        <v>3.7876605005063482</v>
      </c>
      <c r="S4882" s="132"/>
      <c r="T4882" s="146"/>
      <c r="U4882" s="138">
        <f>U4879-U4880</f>
        <v>-33.651502399780213</v>
      </c>
      <c r="V4882" s="132"/>
      <c r="W4882" s="146"/>
      <c r="X4882" s="138">
        <f>X4879-X4880</f>
        <v>-464.31389896062876</v>
      </c>
      <c r="Y4882" s="132"/>
      <c r="Z4882" s="146"/>
      <c r="AA4882" s="138">
        <f>AA4879-AA4880</f>
        <v>-1902.6181051659846</v>
      </c>
      <c r="AB4882" s="132"/>
      <c r="AC4882" s="146"/>
      <c r="AD4882" s="138">
        <f>AD4879-AD4880</f>
        <v>-5232.3597084904195</v>
      </c>
      <c r="AE4882" s="132"/>
      <c r="AF4882" s="146"/>
      <c r="AG4882" s="138">
        <f>AG4879-AG4880</f>
        <v>-10342.080949131374</v>
      </c>
      <c r="AH4882" s="132"/>
      <c r="AI4882" s="146"/>
      <c r="AJ4882" s="138">
        <f>AJ4879-AJ4880</f>
        <v>-16704.703971250034</v>
      </c>
      <c r="AK4882" s="132"/>
      <c r="AL4882" s="146"/>
      <c r="AM4882" s="138">
        <f>AM4879-AM4880</f>
        <v>-22986.920060831999</v>
      </c>
      <c r="AN4882" s="132"/>
      <c r="AO4882" s="146"/>
      <c r="AP4882" s="138">
        <f>AP4879-AP4880</f>
        <v>-28624.547693737502</v>
      </c>
      <c r="AQ4882" s="132"/>
      <c r="AR4882" s="146"/>
      <c r="AS4882" s="138">
        <f>AS4879-AS4880</f>
        <v>-35641.792219785042</v>
      </c>
      <c r="AT4882" s="132"/>
      <c r="AU4882" s="146"/>
    </row>
    <row r="4883" spans="13:47" ht="14.5" x14ac:dyDescent="0.35">
      <c r="M4883" s="27"/>
      <c r="N4883" s="27"/>
      <c r="O4883" s="2" t="s">
        <v>191</v>
      </c>
      <c r="P4883" s="10"/>
      <c r="Q4883" s="2"/>
      <c r="R4883" s="181">
        <f>R4882/R4879</f>
        <v>7.0418762691318235E-2</v>
      </c>
      <c r="S4883" s="132"/>
      <c r="T4883" s="146"/>
      <c r="U4883" s="138">
        <f>U4882/U4879</f>
        <v>-2.0583850102120582</v>
      </c>
      <c r="V4883" s="132"/>
      <c r="W4883" s="146"/>
      <c r="X4883" s="138">
        <f>X4882/X4879</f>
        <v>1.1206814449754952</v>
      </c>
      <c r="Y4883" s="132"/>
      <c r="Z4883" s="146"/>
      <c r="AA4883" s="138">
        <f>AA4882/AA4879</f>
        <v>1.0269888326474712</v>
      </c>
      <c r="AB4883" s="132"/>
      <c r="AC4883" s="146"/>
      <c r="AD4883" s="138">
        <f>AD4882/AD4879</f>
        <v>1.0096481145293876</v>
      </c>
      <c r="AE4883" s="132"/>
      <c r="AF4883" s="146"/>
      <c r="AG4883" s="138">
        <f>AG4882/AG4879</f>
        <v>1.0048581040362123</v>
      </c>
      <c r="AH4883" s="132"/>
      <c r="AI4883" s="146"/>
      <c r="AJ4883" s="138">
        <f>AJ4882/AJ4879</f>
        <v>1.0030021548318309</v>
      </c>
      <c r="AK4883" s="132"/>
      <c r="AL4883" s="146"/>
      <c r="AM4883" s="138">
        <f>AM4882/AM4879</f>
        <v>1.0021798916274458</v>
      </c>
      <c r="AN4883" s="132"/>
      <c r="AO4883" s="146"/>
      <c r="AP4883" s="138">
        <f>AP4882/AP4879</f>
        <v>1.0017498089746126</v>
      </c>
      <c r="AQ4883" s="132"/>
      <c r="AR4883" s="146"/>
      <c r="AS4883" s="138">
        <f>AS4882/AS4879</f>
        <v>1.0014048182707755</v>
      </c>
      <c r="AT4883" s="132"/>
      <c r="AU4883" s="146"/>
    </row>
    <row r="4884" spans="13:47" x14ac:dyDescent="0.25">
      <c r="M4884" s="27"/>
      <c r="N4884" s="27"/>
      <c r="O4884" s="2" t="s">
        <v>26</v>
      </c>
      <c r="P4884" s="7">
        <v>12</v>
      </c>
      <c r="Q4884" s="2"/>
      <c r="R4884" s="181">
        <f>1-R4883/(3*F_GAMMA*R$29)</f>
        <v>0.96332510145269978</v>
      </c>
      <c r="S4884" s="133"/>
      <c r="T4884" s="146"/>
      <c r="U4884" s="138">
        <f>1-U4883/(3*F_GAMMA*U$29)</f>
        <v>2.0717944661967085</v>
      </c>
      <c r="V4884" s="133"/>
      <c r="W4884" s="146"/>
      <c r="X4884" s="138">
        <f>1-X4883/(3*F_GAMMA*X$29)</f>
        <v>0.40771081249492991</v>
      </c>
      <c r="Y4884" s="133"/>
      <c r="Z4884" s="146"/>
      <c r="AA4884" s="138">
        <f>1-AA4883/(3*F_GAMMA*AA$29)</f>
        <v>0.4497859563099712</v>
      </c>
      <c r="AB4884" s="133"/>
      <c r="AC4884" s="146"/>
      <c r="AD4884" s="138">
        <f>1-AD4883/(3*F_GAMMA*AD$29)</f>
        <v>0.44424534977762264</v>
      </c>
      <c r="AE4884" s="133"/>
      <c r="AF4884" s="146"/>
      <c r="AG4884" s="138">
        <f>1-AG4883/(3*F_GAMMA*AG$29)</f>
        <v>0.41533125670712456</v>
      </c>
      <c r="AH4884" s="133"/>
      <c r="AI4884" s="146"/>
      <c r="AJ4884" s="138">
        <f>1-AJ4883/(3*F_GAMMA*AJ$29)</f>
        <v>0.37613558231566535</v>
      </c>
      <c r="AK4884" s="133"/>
      <c r="AL4884" s="146"/>
      <c r="AM4884" s="138">
        <f>1-AM4883/(3*F_GAMMA*AM$29)</f>
        <v>0.31892348966380679</v>
      </c>
      <c r="AN4884" s="133"/>
      <c r="AO4884" s="146"/>
      <c r="AP4884" s="138">
        <f>1-AP4883/(3*F_GAMMA*AP$29)</f>
        <v>0.43740548743147911</v>
      </c>
      <c r="AQ4884" s="133"/>
      <c r="AR4884" s="146"/>
      <c r="AS4884" s="138">
        <f>1-AS4883/(3*F_GAMMA*AS$29)</f>
        <v>0.14622677474928314</v>
      </c>
      <c r="AT4884" s="133"/>
      <c r="AU4884" s="146"/>
    </row>
    <row r="4885" spans="13:47" x14ac:dyDescent="0.25">
      <c r="M4885" s="27"/>
      <c r="N4885" s="27"/>
      <c r="O4885" s="2" t="s">
        <v>71</v>
      </c>
      <c r="P4885" s="85">
        <v>5</v>
      </c>
      <c r="Q4885" s="2"/>
      <c r="R4885" s="179">
        <f>R4877/((N_6*R$27*R4884)*SQRT(R4883*R4879*R4881))</f>
        <v>179.10895658175519</v>
      </c>
      <c r="S4885" s="133"/>
      <c r="T4885" s="146"/>
      <c r="U4885" s="143" t="e">
        <f>U4877/((N_6*U$27*U4884)*SQRT(U4883*U4879*U4881))</f>
        <v>#NUM!</v>
      </c>
      <c r="V4885" s="133"/>
      <c r="W4885" s="146"/>
      <c r="X4885" s="143">
        <f>X4877/((N_6*X$27*X4884)*SQRT(X4883*X4879*X4881))</f>
        <v>45.839368679224997</v>
      </c>
      <c r="Y4885" s="133"/>
      <c r="Z4885" s="146"/>
      <c r="AA4885" s="143">
        <f>AA4877/((N_6*AA$27*AA4884)*SQRT(AA4883*AA4879*AA4881))</f>
        <v>19.015573144579701</v>
      </c>
      <c r="AB4885" s="133"/>
      <c r="AC4885" s="146"/>
      <c r="AD4885" s="143">
        <f>AD4877/((N_6*AD$27*AD4884)*SQRT(AD4883*AD4879*AD4881))</f>
        <v>11.552127704842217</v>
      </c>
      <c r="AE4885" s="133"/>
      <c r="AF4885" s="146"/>
      <c r="AG4885" s="143">
        <f>AG4877/((N_6*AG$27*AG4884)*SQRT(AG4883*AG4879*AG4881))</f>
        <v>8.9360316112714084</v>
      </c>
      <c r="AH4885" s="133"/>
      <c r="AI4885" s="146"/>
      <c r="AJ4885" s="143">
        <f>AJ4877/((N_6*AJ$27*AJ4884)*SQRT(AJ4883*AJ4879*AJ4881))</f>
        <v>8.0155836720870326</v>
      </c>
      <c r="AK4885" s="133"/>
      <c r="AL4885" s="146"/>
      <c r="AM4885" s="143">
        <f>AM4877/((N_6*AM$27*AM4884)*SQRT(AM4883*AM4879*AM4881))</f>
        <v>8.5467144800273918</v>
      </c>
      <c r="AN4885" s="133"/>
      <c r="AO4885" s="146"/>
      <c r="AP4885" s="143">
        <f>AP4877/((N_6*AP$27*AP4884)*SQRT(AP4883*AP4879*AP4881))</f>
        <v>6.3407357585694895</v>
      </c>
      <c r="AQ4885" s="133"/>
      <c r="AR4885" s="146"/>
      <c r="AS4885" s="143">
        <f>AS4877/((N_6*AS$27*AS4884)*SQRT(AS4883*AS4879*AS4881))</f>
        <v>22.326662853979101</v>
      </c>
      <c r="AT4885" s="133"/>
      <c r="AU4885" s="146"/>
    </row>
    <row r="4886" spans="13:47" x14ac:dyDescent="0.25">
      <c r="M4886" s="27"/>
      <c r="N4886" s="27"/>
      <c r="O4886" s="2" t="s">
        <v>73</v>
      </c>
      <c r="P4886" s="85">
        <v>5</v>
      </c>
      <c r="Q4886" s="2"/>
      <c r="R4886" s="179">
        <f>R4877/((N_6*R$27*0.667)*SQRT(R4887*R4879*R4881))</f>
        <v>85.804375496248625</v>
      </c>
      <c r="S4886" s="133"/>
      <c r="T4886" s="155"/>
      <c r="U4886" s="143">
        <f>U4877/((N_6*U$27*0.667)*SQRT(U4887*U4879*U4881))</f>
        <v>379.05690128641379</v>
      </c>
      <c r="V4886" s="133"/>
      <c r="W4886" s="155"/>
      <c r="X4886" s="143">
        <f>X4877/((N_6*X$27*0.667)*SQRT(X4887*X4879*X4881))</f>
        <v>37.350167387683754</v>
      </c>
      <c r="Y4886" s="133"/>
      <c r="Z4886" s="155"/>
      <c r="AA4886" s="143">
        <f>AA4877/((N_6*AA$27*0.667)*SQRT(AA4887*AA4879*AA4881))</f>
        <v>16.474640265161717</v>
      </c>
      <c r="AB4886" s="133"/>
      <c r="AC4886" s="155"/>
      <c r="AD4886" s="143">
        <f>AD4877/((N_6*AD$27*0.667)*SQRT(AD4887*AD4879*AD4881))</f>
        <v>9.9348477903645556</v>
      </c>
      <c r="AE4886" s="133"/>
      <c r="AF4886" s="155"/>
      <c r="AG4886" s="143">
        <f>AG4877/((N_6*AG$27*0.667)*SQRT(AG4887*AG4879*AG4881))</f>
        <v>7.3693476424071314</v>
      </c>
      <c r="AH4886" s="133"/>
      <c r="AI4886" s="155"/>
      <c r="AJ4886" s="143">
        <f>AJ4877/((N_6*AJ$27*0.667)*SQRT(AJ4887*AJ4879*AJ4881))</f>
        <v>6.1838574968227054</v>
      </c>
      <c r="AK4886" s="133"/>
      <c r="AL4886" s="155"/>
      <c r="AM4886" s="143">
        <f>AM4877/((N_6*AM$27*0.667)*SQRT(AM4887*AM4879*AM4881))</f>
        <v>5.8414201946773652</v>
      </c>
      <c r="AN4886" s="133"/>
      <c r="AO4886" s="155"/>
      <c r="AP4886" s="143">
        <f>AP4877/((N_6*AP$27*0.667)*SQRT(AP4887*AP4879*AP4881))</f>
        <v>5.4020229067249765</v>
      </c>
      <c r="AQ4886" s="133"/>
      <c r="AR4886" s="155"/>
      <c r="AS4886" s="143">
        <f>AS4877/((N_6*AS$27*0.667)*SQRT(AS4887*AS4879*AS4881))</f>
        <v>7.8335167130629229</v>
      </c>
      <c r="AT4886" s="133"/>
      <c r="AU4886" s="155"/>
    </row>
    <row r="4887" spans="13:47" ht="15.5" x14ac:dyDescent="0.4">
      <c r="M4887" s="27"/>
      <c r="N4887" s="27"/>
      <c r="O4887" s="2" t="s">
        <v>192</v>
      </c>
      <c r="P4887" s="85">
        <v>10</v>
      </c>
      <c r="Q4887" s="2"/>
      <c r="R4887" s="181">
        <f>F_GAMMA*R$29</f>
        <v>0.64002688015162901</v>
      </c>
      <c r="S4887" s="133"/>
      <c r="T4887" s="155"/>
      <c r="U4887" s="138">
        <f>F_GAMMA*U$29</f>
        <v>0.64016782916606918</v>
      </c>
      <c r="V4887" s="133"/>
      <c r="W4887" s="155"/>
      <c r="X4887" s="138">
        <f>F_GAMMA*X$29</f>
        <v>0.6307062319203669</v>
      </c>
      <c r="Y4887" s="133"/>
      <c r="Z4887" s="155"/>
      <c r="AA4887" s="138">
        <f>F_GAMMA*AA$29</f>
        <v>0.62217534213893466</v>
      </c>
      <c r="AB4887" s="133"/>
      <c r="AC4887" s="155"/>
      <c r="AD4887" s="138">
        <f>F_GAMMA*AD$29</f>
        <v>0.60557184969146072</v>
      </c>
      <c r="AE4887" s="133"/>
      <c r="AF4887" s="155"/>
      <c r="AG4887" s="138">
        <f>F_GAMMA*AG$29</f>
        <v>0.57289312142622573</v>
      </c>
      <c r="AH4887" s="133"/>
      <c r="AI4887" s="155"/>
      <c r="AJ4887" s="138">
        <f>F_GAMMA*AJ$29</f>
        <v>0.53590819116049981</v>
      </c>
      <c r="AK4887" s="133"/>
      <c r="AL4887" s="155"/>
      <c r="AM4887" s="138">
        <f>F_GAMMA*AM$29</f>
        <v>0.49048815926850342</v>
      </c>
      <c r="AN4887" s="133"/>
      <c r="AO4887" s="155"/>
      <c r="AP4887" s="138">
        <f>F_GAMMA*AP$29</f>
        <v>0.59352979016280105</v>
      </c>
      <c r="AQ4887" s="133"/>
      <c r="AR4887" s="155"/>
      <c r="AS4887" s="138">
        <f>F_GAMMA*AS$29</f>
        <v>0.39097221161068291</v>
      </c>
      <c r="AT4887" s="133"/>
      <c r="AU4887" s="155"/>
    </row>
    <row r="4888" spans="13:47" x14ac:dyDescent="0.25">
      <c r="M4888" s="27"/>
      <c r="N4888" s="27"/>
      <c r="O4888" s="2" t="s">
        <v>193</v>
      </c>
      <c r="P4888" s="134"/>
      <c r="Q4888" s="2"/>
      <c r="R4888" s="181">
        <f>IF(R4883&lt;R4887,R4885,R4886)</f>
        <v>179.10895658175519</v>
      </c>
      <c r="S4888" s="133"/>
      <c r="T4888" s="155"/>
      <c r="U4888" s="138" t="e">
        <f>IF(U4883&lt;U4887,U4885,U4886)</f>
        <v>#NUM!</v>
      </c>
      <c r="V4888" s="133"/>
      <c r="W4888" s="155"/>
      <c r="X4888" s="138">
        <f>IF(X4883&lt;X4887,X4885,X4886)</f>
        <v>37.350167387683754</v>
      </c>
      <c r="Y4888" s="133"/>
      <c r="Z4888" s="155"/>
      <c r="AA4888" s="138">
        <f>IF(AA4883&lt;AA4887,AA4885,AA4886)</f>
        <v>16.474640265161717</v>
      </c>
      <c r="AB4888" s="133"/>
      <c r="AC4888" s="155"/>
      <c r="AD4888" s="138">
        <f>IF(AD4883&lt;AD4887,AD4885,AD4886)</f>
        <v>9.9348477903645556</v>
      </c>
      <c r="AE4888" s="133"/>
      <c r="AF4888" s="155"/>
      <c r="AG4888" s="138">
        <f>IF(AG4883&lt;AG4887,AG4885,AG4886)</f>
        <v>7.3693476424071314</v>
      </c>
      <c r="AH4888" s="133"/>
      <c r="AI4888" s="155"/>
      <c r="AJ4888" s="138">
        <f>IF(AJ4883&lt;AJ4887,AJ4885,AJ4886)</f>
        <v>6.1838574968227054</v>
      </c>
      <c r="AK4888" s="133"/>
      <c r="AL4888" s="155"/>
      <c r="AM4888" s="138">
        <f>IF(AM4883&lt;AM4887,AM4885,AM4886)</f>
        <v>5.8414201946773652</v>
      </c>
      <c r="AN4888" s="133"/>
      <c r="AO4888" s="155"/>
      <c r="AP4888" s="138">
        <f>IF(AP4883&lt;AP4887,AP4885,AP4886)</f>
        <v>5.4020229067249765</v>
      </c>
      <c r="AQ4888" s="133"/>
      <c r="AR4888" s="155"/>
      <c r="AS4888" s="138">
        <f>IF(AS4883&lt;AS4887,AS4885,AS4886)</f>
        <v>7.8335167130629229</v>
      </c>
      <c r="AT4888" s="133"/>
      <c r="AU4888" s="155"/>
    </row>
    <row r="4889" spans="13:47" ht="13" x14ac:dyDescent="0.3">
      <c r="M4889" s="28"/>
      <c r="N4889" s="28"/>
      <c r="O4889" s="9" t="s">
        <v>194</v>
      </c>
      <c r="P4889" s="1"/>
      <c r="Q4889" s="1"/>
      <c r="R4889" s="135"/>
      <c r="S4889" s="132">
        <f>IF(R4882&lt;=0,W_max,ABS(R$23-R4888))</f>
        <v>177.10895658175519</v>
      </c>
      <c r="T4889" s="151">
        <f>R4877</f>
        <v>10825.922563214459</v>
      </c>
      <c r="U4889" s="135"/>
      <c r="V4889" s="132">
        <f>IF(U4882&lt;=0,W_max,ABS(U$23-U4888))</f>
        <v>7174</v>
      </c>
      <c r="W4889" s="151">
        <f>U4877</f>
        <v>14528.906702481228</v>
      </c>
      <c r="X4889" s="135"/>
      <c r="Y4889" s="132">
        <f>IF(X4882&lt;=0,W_max,ABS(X$23-X4888))</f>
        <v>7174</v>
      </c>
      <c r="Z4889" s="151">
        <f>X4877</f>
        <v>35931.715235401003</v>
      </c>
      <c r="AA4889" s="135"/>
      <c r="AB4889" s="132">
        <f>IF(AA4882&lt;=0,W_max,ABS(AA$23-AA4888))</f>
        <v>7174</v>
      </c>
      <c r="AC4889" s="151">
        <f>AA4877</f>
        <v>69985.809873053673</v>
      </c>
      <c r="AD4889" s="135"/>
      <c r="AE4889" s="132">
        <f>IF(AD4882&lt;=0,W_max,ABS(AD$23-AD4888))</f>
        <v>7174</v>
      </c>
      <c r="AF4889" s="151">
        <f>AD4877</f>
        <v>115100.88999473979</v>
      </c>
      <c r="AG4889" s="135"/>
      <c r="AH4889" s="132">
        <f>IF(AG4882&lt;=0,W_max,ABS(AG$23-AG4888))</f>
        <v>7174</v>
      </c>
      <c r="AI4889" s="151">
        <f>AG4877</f>
        <v>161437.85939425768</v>
      </c>
      <c r="AJ4889" s="135"/>
      <c r="AK4889" s="132">
        <f>IF(AJ4882&lt;=0,W_max,ABS(AJ$23-AJ4888))</f>
        <v>7174</v>
      </c>
      <c r="AL4889" s="151">
        <f>AJ4877</f>
        <v>204983.24365771245</v>
      </c>
      <c r="AM4889" s="135"/>
      <c r="AN4889" s="132">
        <f>IF(AM4882&lt;=0,W_max,ABS(AM$23-AM4888))</f>
        <v>7174</v>
      </c>
      <c r="AO4889" s="151">
        <f>AM4877</f>
        <v>240358.97408022487</v>
      </c>
      <c r="AP4889" s="135"/>
      <c r="AQ4889" s="132">
        <f>IF(AP4882&lt;=0,W_max,ABS(AP$23-AP4888))</f>
        <v>7174</v>
      </c>
      <c r="AR4889" s="151">
        <f>AP4877</f>
        <v>268160.89921825624</v>
      </c>
      <c r="AS4889" s="135"/>
      <c r="AT4889" s="132">
        <f>IF(AS4882&lt;=0,W_max,ABS(AS$23-AS4888))</f>
        <v>7174</v>
      </c>
      <c r="AU4889" s="151">
        <f>AS4877</f>
        <v>299178.62707111664</v>
      </c>
    </row>
    <row r="4890" spans="13:47" ht="13" x14ac:dyDescent="0.25">
      <c r="M4890" s="12"/>
      <c r="N4890" s="12"/>
      <c r="O4890" s="2"/>
      <c r="P4890" s="85"/>
      <c r="Q4890" s="2"/>
      <c r="R4890" s="18"/>
      <c r="S4890" s="150"/>
      <c r="T4890" s="152"/>
      <c r="U4890" s="157"/>
      <c r="V4890" s="1"/>
      <c r="W4890" s="147"/>
      <c r="X4890" s="157"/>
      <c r="Y4890" s="1"/>
      <c r="Z4890" s="147"/>
      <c r="AA4890" s="157"/>
      <c r="AB4890" s="1"/>
      <c r="AC4890" s="147"/>
      <c r="AD4890" s="157"/>
      <c r="AE4890" s="1"/>
      <c r="AF4890" s="147"/>
      <c r="AG4890" s="157"/>
      <c r="AH4890" s="1"/>
      <c r="AI4890" s="147"/>
      <c r="AJ4890" s="157"/>
      <c r="AK4890" s="1"/>
      <c r="AL4890" s="147"/>
      <c r="AM4890" s="157"/>
      <c r="AN4890" s="1"/>
      <c r="AO4890" s="147"/>
      <c r="AP4890" s="157"/>
      <c r="AQ4890" s="1"/>
      <c r="AR4890" s="147"/>
      <c r="AS4890" s="157"/>
      <c r="AT4890" s="1"/>
      <c r="AU4890" s="147"/>
    </row>
    <row r="4891" spans="13:47" ht="14" x14ac:dyDescent="0.3">
      <c r="M4891" s="23"/>
      <c r="N4891" s="23"/>
      <c r="O4891" s="23" t="s">
        <v>238</v>
      </c>
      <c r="P4891" s="20"/>
      <c r="Q4891" s="20"/>
      <c r="R4891" s="181">
        <f>R4877*1.02</f>
        <v>11042.441014478749</v>
      </c>
      <c r="S4891" s="128" t="s">
        <v>185</v>
      </c>
      <c r="T4891" s="153" t="s">
        <v>186</v>
      </c>
      <c r="U4891" s="143">
        <f>U4877*1.01</f>
        <v>14674.195769506041</v>
      </c>
      <c r="V4891" s="128" t="s">
        <v>185</v>
      </c>
      <c r="W4891" s="153" t="s">
        <v>186</v>
      </c>
      <c r="X4891" s="143">
        <f>X4877*1.01</f>
        <v>36291.032387755011</v>
      </c>
      <c r="Y4891" s="128" t="s">
        <v>185</v>
      </c>
      <c r="Z4891" s="153" t="s">
        <v>186</v>
      </c>
      <c r="AA4891" s="143">
        <f>AA4877*1.01</f>
        <v>70685.667971784205</v>
      </c>
      <c r="AB4891" s="128" t="s">
        <v>185</v>
      </c>
      <c r="AC4891" s="153" t="s">
        <v>186</v>
      </c>
      <c r="AD4891" s="143">
        <f>AD4877*1.01</f>
        <v>116251.89889468718</v>
      </c>
      <c r="AE4891" s="128" t="s">
        <v>185</v>
      </c>
      <c r="AF4891" s="153" t="s">
        <v>186</v>
      </c>
      <c r="AG4891" s="143">
        <f>AG4877*1.01</f>
        <v>163052.23798820027</v>
      </c>
      <c r="AH4891" s="128" t="s">
        <v>185</v>
      </c>
      <c r="AI4891" s="153" t="s">
        <v>186</v>
      </c>
      <c r="AJ4891" s="143">
        <f>AJ4877*1.01</f>
        <v>207033.07609428957</v>
      </c>
      <c r="AK4891" s="128" t="s">
        <v>185</v>
      </c>
      <c r="AL4891" s="153" t="s">
        <v>186</v>
      </c>
      <c r="AM4891" s="143">
        <f>AM4877*1.01</f>
        <v>242762.56382102711</v>
      </c>
      <c r="AN4891" s="128" t="s">
        <v>185</v>
      </c>
      <c r="AO4891" s="153" t="s">
        <v>186</v>
      </c>
      <c r="AP4891" s="143">
        <f>AP4877*1.01</f>
        <v>270842.50821043883</v>
      </c>
      <c r="AQ4891" s="128" t="s">
        <v>185</v>
      </c>
      <c r="AR4891" s="153" t="s">
        <v>186</v>
      </c>
      <c r="AS4891" s="143">
        <f>AS4877*1.01</f>
        <v>302170.41334182781</v>
      </c>
      <c r="AT4891" s="128" t="s">
        <v>185</v>
      </c>
      <c r="AU4891" s="153" t="s">
        <v>186</v>
      </c>
    </row>
    <row r="4892" spans="13:47" ht="14" x14ac:dyDescent="0.3">
      <c r="M4892" s="12"/>
      <c r="N4892" s="12"/>
      <c r="O4892" s="20"/>
      <c r="P4892" s="20"/>
      <c r="Q4892" s="23"/>
      <c r="R4892" s="139"/>
      <c r="S4892" s="130" t="s">
        <v>228</v>
      </c>
      <c r="T4892" s="154" t="s">
        <v>187</v>
      </c>
      <c r="U4892" s="144"/>
      <c r="V4892" s="130" t="s">
        <v>228</v>
      </c>
      <c r="W4892" s="154" t="s">
        <v>187</v>
      </c>
      <c r="X4892" s="144"/>
      <c r="Y4892" s="130" t="s">
        <v>228</v>
      </c>
      <c r="Z4892" s="154" t="s">
        <v>187</v>
      </c>
      <c r="AA4892" s="144"/>
      <c r="AB4892" s="130" t="s">
        <v>228</v>
      </c>
      <c r="AC4892" s="154" t="s">
        <v>187</v>
      </c>
      <c r="AD4892" s="144"/>
      <c r="AE4892" s="130" t="s">
        <v>228</v>
      </c>
      <c r="AF4892" s="154" t="s">
        <v>187</v>
      </c>
      <c r="AG4892" s="144"/>
      <c r="AH4892" s="130" t="s">
        <v>228</v>
      </c>
      <c r="AI4892" s="154" t="s">
        <v>187</v>
      </c>
      <c r="AJ4892" s="144"/>
      <c r="AK4892" s="130" t="s">
        <v>228</v>
      </c>
      <c r="AL4892" s="154" t="s">
        <v>187</v>
      </c>
      <c r="AM4892" s="144"/>
      <c r="AN4892" s="130" t="s">
        <v>228</v>
      </c>
      <c r="AO4892" s="154" t="s">
        <v>187</v>
      </c>
      <c r="AP4892" s="144"/>
      <c r="AQ4892" s="130" t="s">
        <v>228</v>
      </c>
      <c r="AR4892" s="154" t="s">
        <v>187</v>
      </c>
      <c r="AS4892" s="144"/>
      <c r="AT4892" s="130" t="s">
        <v>228</v>
      </c>
      <c r="AU4892" s="154" t="s">
        <v>187</v>
      </c>
    </row>
    <row r="4893" spans="13:47" x14ac:dyDescent="0.25">
      <c r="M4893" s="20"/>
      <c r="N4893" s="20"/>
      <c r="O4893" s="7" t="s">
        <v>188</v>
      </c>
      <c r="P4893" s="7"/>
      <c r="Q4893" s="7"/>
      <c r="R4893" s="181">
        <f>P_1_minW-(R4891^2*R_up)+dpup_minQ</f>
        <v>51.899561400563044</v>
      </c>
      <c r="S4893" s="132"/>
      <c r="T4893" s="145"/>
      <c r="U4893" s="138">
        <f>P_1_minW-(U4891^2*R_up)+dpup_minQ</f>
        <v>14.656594388575982</v>
      </c>
      <c r="V4893" s="132"/>
      <c r="W4893" s="145"/>
      <c r="X4893" s="138">
        <f>P_1_minW-(X4891^2*R_up)+dpup_minQ</f>
        <v>-424.6621163431455</v>
      </c>
      <c r="Y4893" s="132"/>
      <c r="Z4893" s="145"/>
      <c r="AA4893" s="138">
        <f>P_1_minW-(AA4891^2*R_up)+dpup_minQ</f>
        <v>-1891.8762370932286</v>
      </c>
      <c r="AB4893" s="132"/>
      <c r="AC4893" s="145"/>
      <c r="AD4893" s="138">
        <f>P_1_minW-(AD4891^2*R_up)+dpup_minQ</f>
        <v>-5288.5456466444848</v>
      </c>
      <c r="AE4893" s="132"/>
      <c r="AF4893" s="145"/>
      <c r="AG4893" s="138">
        <f>P_1_minW-(AG4891^2*R_up)+dpup_minQ</f>
        <v>-10500.972284222325</v>
      </c>
      <c r="AH4893" s="132"/>
      <c r="AI4893" s="145"/>
      <c r="AJ4893" s="138">
        <f>P_1_minW-(AJ4891^2*R_up)+dpup_minQ</f>
        <v>-16991.484029085565</v>
      </c>
      <c r="AK4893" s="132"/>
      <c r="AL4893" s="145"/>
      <c r="AM4893" s="138">
        <f>P_1_minW-(AM4891^2*R_up)+dpup_minQ</f>
        <v>-23399.972662068129</v>
      </c>
      <c r="AN4893" s="132"/>
      <c r="AO4893" s="145"/>
      <c r="AP4893" s="138">
        <f>P_1_minW-(AP4891^2*R_up)+dpup_minQ</f>
        <v>-29150.916610395037</v>
      </c>
      <c r="AQ4893" s="132"/>
      <c r="AR4893" s="145"/>
      <c r="AS4893" s="138">
        <f>P_1_minW-(AS4891^2*R_up)+dpup_minQ</f>
        <v>-36309.207751416121</v>
      </c>
      <c r="AT4893" s="132"/>
      <c r="AU4893" s="145"/>
    </row>
    <row r="4894" spans="13:47" x14ac:dyDescent="0.25">
      <c r="M4894" s="20"/>
      <c r="N4894" s="20"/>
      <c r="O4894" s="7" t="s">
        <v>189</v>
      </c>
      <c r="P4894" s="1"/>
      <c r="Q4894" s="7"/>
      <c r="R4894" s="181">
        <f>P_2_minW+(R4891^2*R_dn)-dpdn_minQ</f>
        <v>50</v>
      </c>
      <c r="S4894" s="132"/>
      <c r="T4894" s="146"/>
      <c r="U4894" s="138">
        <f>P_2_minW+(U4891^2*R_dn)-dpdn_minQ</f>
        <v>50</v>
      </c>
      <c r="V4894" s="132"/>
      <c r="W4894" s="146"/>
      <c r="X4894" s="138">
        <f>P_2_minW+(X4891^2*R_dn)-dpdn_minQ</f>
        <v>50</v>
      </c>
      <c r="Y4894" s="132"/>
      <c r="Z4894" s="146"/>
      <c r="AA4894" s="138">
        <f>P_2_minW+(AA4891^2*R_dn)-dpdn_minQ</f>
        <v>50</v>
      </c>
      <c r="AB4894" s="132"/>
      <c r="AC4894" s="146"/>
      <c r="AD4894" s="138">
        <f>P_2_minW+(AD4891^2*R_dn)-dpdn_minQ</f>
        <v>50</v>
      </c>
      <c r="AE4894" s="132"/>
      <c r="AF4894" s="146"/>
      <c r="AG4894" s="138">
        <f>P_2_minW+(AG4891^2*R_dn)-dpdn_minQ</f>
        <v>50</v>
      </c>
      <c r="AH4894" s="132"/>
      <c r="AI4894" s="146"/>
      <c r="AJ4894" s="138">
        <f>P_2_minW+(AJ4891^2*R_dn)-dpdn_minQ</f>
        <v>50</v>
      </c>
      <c r="AK4894" s="132"/>
      <c r="AL4894" s="146"/>
      <c r="AM4894" s="138">
        <f>P_2_minW+(AM4891^2*R_dn)-dpdn_minQ</f>
        <v>50</v>
      </c>
      <c r="AN4894" s="132"/>
      <c r="AO4894" s="146"/>
      <c r="AP4894" s="138">
        <f>P_2_minW+(AP4891^2*R_dn)-dpdn_minQ</f>
        <v>50</v>
      </c>
      <c r="AQ4894" s="132"/>
      <c r="AR4894" s="146"/>
      <c r="AS4894" s="138">
        <f>P_2_minW+(AS4891^2*R_dn)-dpdn_minQ</f>
        <v>50</v>
      </c>
      <c r="AT4894" s="132"/>
      <c r="AU4894" s="146"/>
    </row>
    <row r="4895" spans="13:47" x14ac:dyDescent="0.25">
      <c r="M4895" s="20"/>
      <c r="N4895" s="20"/>
      <c r="O4895" s="7" t="s">
        <v>234</v>
      </c>
      <c r="P4895" s="1"/>
      <c r="Q4895" s="7"/>
      <c r="R4895" s="179">
        <f>'Valve Sizing'!G$8*R4893/P_1_maxW</f>
        <v>0.2503542440489353</v>
      </c>
      <c r="S4895" s="132"/>
      <c r="T4895" s="146"/>
      <c r="U4895" s="143">
        <f>'Valve Sizing'!$G$8*U4893/P_1_maxW</f>
        <v>7.0700801884695672E-2</v>
      </c>
      <c r="V4895" s="132"/>
      <c r="W4895" s="146"/>
      <c r="X4895" s="143">
        <f>'Valve Sizing'!$G$8*X4893/P_1_maxW</f>
        <v>-2.0484944428096035</v>
      </c>
      <c r="Y4895" s="132"/>
      <c r="Z4895" s="146"/>
      <c r="AA4895" s="143">
        <f>'Valve Sizing'!$G$8*AA4893/P_1_maxW</f>
        <v>-9.1260741399344685</v>
      </c>
      <c r="AB4895" s="132"/>
      <c r="AC4895" s="146"/>
      <c r="AD4895" s="143">
        <f>'Valve Sizing'!$G$8*AD4893/P_1_maxW</f>
        <v>-25.511002631895145</v>
      </c>
      <c r="AE4895" s="132"/>
      <c r="AF4895" s="146"/>
      <c r="AG4895" s="143">
        <f>'Valve Sizing'!$G$8*AG4893/P_1_maxW</f>
        <v>-50.654820716207063</v>
      </c>
      <c r="AH4895" s="132"/>
      <c r="AI4895" s="146"/>
      <c r="AJ4895" s="143">
        <f>'Valve Sizing'!$G$8*AJ4893/P_1_maxW</f>
        <v>-81.963893809035625</v>
      </c>
      <c r="AK4895" s="132"/>
      <c r="AL4895" s="146"/>
      <c r="AM4895" s="143">
        <f>'Valve Sizing'!$G$8*AM4893/P_1_maxW</f>
        <v>-112.87730201346679</v>
      </c>
      <c r="AN4895" s="132"/>
      <c r="AO4895" s="146"/>
      <c r="AP4895" s="143">
        <f>'Valve Sizing'!$G$8*AP4893/P_1_maxW</f>
        <v>-140.61883172773452</v>
      </c>
      <c r="AQ4895" s="132"/>
      <c r="AR4895" s="146"/>
      <c r="AS4895" s="143">
        <f>'Valve Sizing'!$G$8*AS4893/P_1_maxW</f>
        <v>-175.14915373683499</v>
      </c>
      <c r="AT4895" s="132"/>
      <c r="AU4895" s="146"/>
    </row>
    <row r="4896" spans="13:47" x14ac:dyDescent="0.25">
      <c r="M4896" s="20"/>
      <c r="N4896" s="20"/>
      <c r="O4896" s="7" t="s">
        <v>190</v>
      </c>
      <c r="P4896" s="1"/>
      <c r="Q4896" s="7"/>
      <c r="R4896" s="181">
        <f>R4893-R4894</f>
        <v>1.8995614005630443</v>
      </c>
      <c r="S4896" s="132"/>
      <c r="T4896" s="146"/>
      <c r="U4896" s="138">
        <f>U4893-U4894</f>
        <v>-35.343405611424018</v>
      </c>
      <c r="V4896" s="132"/>
      <c r="W4896" s="146"/>
      <c r="X4896" s="138">
        <f>X4893-X4894</f>
        <v>-474.6621163431455</v>
      </c>
      <c r="Y4896" s="132"/>
      <c r="Z4896" s="146"/>
      <c r="AA4896" s="138">
        <f>AA4893-AA4894</f>
        <v>-1941.8762370932286</v>
      </c>
      <c r="AB4896" s="132"/>
      <c r="AC4896" s="146"/>
      <c r="AD4896" s="138">
        <f>AD4893-AD4894</f>
        <v>-5338.5456466444848</v>
      </c>
      <c r="AE4896" s="132"/>
      <c r="AF4896" s="146"/>
      <c r="AG4896" s="138">
        <f>AG4893-AG4894</f>
        <v>-10550.972284222325</v>
      </c>
      <c r="AH4896" s="132"/>
      <c r="AI4896" s="146"/>
      <c r="AJ4896" s="138">
        <f>AJ4893-AJ4894</f>
        <v>-17041.484029085565</v>
      </c>
      <c r="AK4896" s="132"/>
      <c r="AL4896" s="146"/>
      <c r="AM4896" s="138">
        <f>AM4893-AM4894</f>
        <v>-23449.972662068129</v>
      </c>
      <c r="AN4896" s="132"/>
      <c r="AO4896" s="146"/>
      <c r="AP4896" s="138">
        <f>AP4893-AP4894</f>
        <v>-29200.916610395037</v>
      </c>
      <c r="AQ4896" s="132"/>
      <c r="AR4896" s="146"/>
      <c r="AS4896" s="138">
        <f>AS4893-AS4894</f>
        <v>-36359.207751416121</v>
      </c>
      <c r="AT4896" s="132"/>
      <c r="AU4896" s="146"/>
    </row>
    <row r="4897" spans="13:47" ht="14.5" x14ac:dyDescent="0.35">
      <c r="M4897" s="27"/>
      <c r="N4897" s="27"/>
      <c r="O4897" s="2" t="s">
        <v>191</v>
      </c>
      <c r="P4897" s="10"/>
      <c r="Q4897" s="2"/>
      <c r="R4897" s="181">
        <f>R4896/R4893</f>
        <v>3.660072164969079E-2</v>
      </c>
      <c r="S4897" s="132"/>
      <c r="T4897" s="146"/>
      <c r="U4897" s="138">
        <f>U4896/U4893</f>
        <v>-2.4114336983339242</v>
      </c>
      <c r="V4897" s="132"/>
      <c r="W4897" s="146"/>
      <c r="X4897" s="138">
        <f>X4896/X4893</f>
        <v>1.1177406650505124</v>
      </c>
      <c r="Y4897" s="132"/>
      <c r="Z4897" s="146"/>
      <c r="AA4897" s="138">
        <f>AA4896/AA4893</f>
        <v>1.0264287901183338</v>
      </c>
      <c r="AB4897" s="132"/>
      <c r="AC4897" s="146"/>
      <c r="AD4897" s="138">
        <f>AD4896/AD4893</f>
        <v>1.0094543950909689</v>
      </c>
      <c r="AE4897" s="132"/>
      <c r="AF4897" s="146"/>
      <c r="AG4897" s="138">
        <f>AG4896/AG4893</f>
        <v>1.0047614638575062</v>
      </c>
      <c r="AH4897" s="132"/>
      <c r="AI4897" s="146"/>
      <c r="AJ4897" s="138">
        <f>AJ4896/AJ4893</f>
        <v>1.0029426505603873</v>
      </c>
      <c r="AK4897" s="132"/>
      <c r="AL4897" s="146"/>
      <c r="AM4897" s="138">
        <f>AM4896/AM4893</f>
        <v>1.0021367546330964</v>
      </c>
      <c r="AN4897" s="132"/>
      <c r="AO4897" s="146"/>
      <c r="AP4897" s="138">
        <f>AP4896/AP4893</f>
        <v>1.0017152119320383</v>
      </c>
      <c r="AQ4897" s="132"/>
      <c r="AR4897" s="146"/>
      <c r="AS4897" s="138">
        <f>AS4896/AS4893</f>
        <v>1.0013770611670272</v>
      </c>
      <c r="AT4897" s="132"/>
      <c r="AU4897" s="146"/>
    </row>
    <row r="4898" spans="13:47" x14ac:dyDescent="0.25">
      <c r="M4898" s="27"/>
      <c r="N4898" s="27"/>
      <c r="O4898" s="2" t="s">
        <v>26</v>
      </c>
      <c r="P4898" s="7">
        <v>12</v>
      </c>
      <c r="Q4898" s="2"/>
      <c r="R4898" s="181">
        <f>1-R4897/(3*F_GAMMA*R$29)</f>
        <v>0.98093792475246266</v>
      </c>
      <c r="S4898" s="133"/>
      <c r="T4898" s="146"/>
      <c r="U4898" s="138">
        <f>1-U4897/(3*F_GAMMA*U$29)</f>
        <v>2.2556257846088261</v>
      </c>
      <c r="V4898" s="133"/>
      <c r="W4898" s="146"/>
      <c r="X4898" s="138">
        <f>1-X4897/(3*F_GAMMA*X$29)</f>
        <v>0.40926503841721007</v>
      </c>
      <c r="Y4898" s="133"/>
      <c r="Z4898" s="146"/>
      <c r="AA4898" s="138">
        <f>1-AA4897/(3*F_GAMMA*AA$29)</f>
        <v>0.45008600169975477</v>
      </c>
      <c r="AB4898" s="133"/>
      <c r="AC4898" s="146"/>
      <c r="AD4898" s="138">
        <f>1-AD4897/(3*F_GAMMA*AD$29)</f>
        <v>0.44435198146166222</v>
      </c>
      <c r="AE4898" s="133"/>
      <c r="AF4898" s="146"/>
      <c r="AG4898" s="138">
        <f>1-AG4897/(3*F_GAMMA*AG$29)</f>
        <v>0.41538748603105469</v>
      </c>
      <c r="AH4898" s="133"/>
      <c r="AI4898" s="146"/>
      <c r="AJ4898" s="138">
        <f>1-AJ4897/(3*F_GAMMA*AJ$29)</f>
        <v>0.37617259379911527</v>
      </c>
      <c r="AK4898" s="133"/>
      <c r="AL4898" s="146"/>
      <c r="AM4898" s="138">
        <f>1-AM4897/(3*F_GAMMA*AM$29)</f>
        <v>0.3189528053523607</v>
      </c>
      <c r="AN4898" s="133"/>
      <c r="AO4898" s="146"/>
      <c r="AP4898" s="138">
        <f>1-AP4897/(3*F_GAMMA*AP$29)</f>
        <v>0.4374249175388063</v>
      </c>
      <c r="AQ4898" s="133"/>
      <c r="AR4898" s="146"/>
      <c r="AS4898" s="138">
        <f>1-AS4897/(3*F_GAMMA*AS$29)</f>
        <v>0.14625043977621188</v>
      </c>
      <c r="AT4898" s="133"/>
      <c r="AU4898" s="146"/>
    </row>
    <row r="4899" spans="13:47" x14ac:dyDescent="0.25">
      <c r="M4899" s="27"/>
      <c r="N4899" s="27"/>
      <c r="O4899" s="2" t="s">
        <v>71</v>
      </c>
      <c r="P4899" s="85">
        <v>5</v>
      </c>
      <c r="Q4899" s="2"/>
      <c r="R4899" s="179">
        <f>R4891/((N_6*R$27*R4898)*SQRT(R4897*R4893*R4895))</f>
        <v>257.90939648302054</v>
      </c>
      <c r="S4899" s="133"/>
      <c r="T4899" s="146"/>
      <c r="U4899" s="143" t="e">
        <f>U4891/((N_6*U$27*U4898)*SQRT(U4897*U4893*U4895))</f>
        <v>#NUM!</v>
      </c>
      <c r="V4899" s="133"/>
      <c r="W4899" s="146"/>
      <c r="X4899" s="143">
        <f>X4891/((N_6*X$27*X4898)*SQRT(X4897*X4893*X4895))</f>
        <v>45.057192976374779</v>
      </c>
      <c r="Y4899" s="133"/>
      <c r="Z4899" s="146"/>
      <c r="AA4899" s="143">
        <f>AA4891/((N_6*AA$27*AA4898)*SQRT(AA4897*AA4893*AA4895))</f>
        <v>18.799781807633728</v>
      </c>
      <c r="AB4899" s="133"/>
      <c r="AC4899" s="146"/>
      <c r="AD4899" s="143">
        <f>AD4891/((N_6*AD$27*AD4898)*SQRT(AD4897*AD4893*AD4895))</f>
        <v>11.431733432853891</v>
      </c>
      <c r="AE4899" s="133"/>
      <c r="AF4899" s="146"/>
      <c r="AG4899" s="143">
        <f>AG4891/((N_6*AG$27*AG4898)*SQRT(AG4897*AG4893*AG4895))</f>
        <v>8.8450815907097926</v>
      </c>
      <c r="AH4899" s="133"/>
      <c r="AI4899" s="146"/>
      <c r="AJ4899" s="143">
        <f>AJ4891/((N_6*AJ$27*AJ4898)*SQRT(AJ4897*AJ4893*AJ4895))</f>
        <v>7.9347323608100986</v>
      </c>
      <c r="AK4899" s="133"/>
      <c r="AL4899" s="146"/>
      <c r="AM4899" s="143">
        <f>AM4891/((N_6*AM$27*AM4898)*SQRT(AM4897*AM4893*AM4895))</f>
        <v>8.4607672592664596</v>
      </c>
      <c r="AN4899" s="133"/>
      <c r="AO4899" s="146"/>
      <c r="AP4899" s="143">
        <f>AP4891/((N_6*AP$27*AP4898)*SQRT(AP4897*AP4893*AP4895))</f>
        <v>6.277350616041157</v>
      </c>
      <c r="AQ4899" s="133"/>
      <c r="AR4899" s="146"/>
      <c r="AS4899" s="143">
        <f>AS4891/((N_6*AS$27*AS4898)*SQRT(AS4897*AS4893*AS4895))</f>
        <v>22.101106226833114</v>
      </c>
      <c r="AT4899" s="133"/>
      <c r="AU4899" s="146"/>
    </row>
    <row r="4900" spans="13:47" x14ac:dyDescent="0.25">
      <c r="M4900" s="27"/>
      <c r="N4900" s="27"/>
      <c r="O4900" s="2" t="s">
        <v>73</v>
      </c>
      <c r="P4900" s="85">
        <v>5</v>
      </c>
      <c r="Q4900" s="2"/>
      <c r="R4900" s="179">
        <f>R4891/((N_6*R$27*0.667)*SQRT(R4901*R4893*R4895))</f>
        <v>90.704445740694055</v>
      </c>
      <c r="S4900" s="133"/>
      <c r="T4900" s="155"/>
      <c r="U4900" s="143">
        <f>U4891/((N_6*U$27*0.667)*SQRT(U4901*U4893*U4895))</f>
        <v>427.04197056285449</v>
      </c>
      <c r="V4900" s="133"/>
      <c r="W4900" s="155"/>
      <c r="X4900" s="143">
        <f>X4891/((N_6*X$27*0.667)*SQRT(X4901*X4893*X4895))</f>
        <v>36.804414169514331</v>
      </c>
      <c r="Y4900" s="133"/>
      <c r="Z4900" s="155"/>
      <c r="AA4900" s="143">
        <f>AA4891/((N_6*AA$27*0.667)*SQRT(AA4901*AA4893*AA4895))</f>
        <v>16.294104442588548</v>
      </c>
      <c r="AB4900" s="133"/>
      <c r="AC4900" s="155"/>
      <c r="AD4900" s="143">
        <f>AD4891/((N_6*AD$27*0.667)*SQRT(AD4901*AD4893*AD4895))</f>
        <v>9.8327248968252565</v>
      </c>
      <c r="AE4900" s="133"/>
      <c r="AF4900" s="155"/>
      <c r="AG4900" s="143">
        <f>AG4891/((N_6*AG$27*0.667)*SQRT(AG4901*AG4893*AG4895))</f>
        <v>7.2949798960827579</v>
      </c>
      <c r="AH4900" s="133"/>
      <c r="AI4900" s="155"/>
      <c r="AJ4900" s="143">
        <f>AJ4891/((N_6*AJ$27*0.667)*SQRT(AJ4901*AJ4893*AJ4895))</f>
        <v>6.1219031246486866</v>
      </c>
      <c r="AK4900" s="133"/>
      <c r="AL4900" s="155"/>
      <c r="AM4900" s="143">
        <f>AM4891/((N_6*AM$27*0.667)*SQRT(AM4901*AM4893*AM4895))</f>
        <v>5.7830849583374979</v>
      </c>
      <c r="AN4900" s="133"/>
      <c r="AO4900" s="155"/>
      <c r="AP4900" s="143">
        <f>AP4891/((N_6*AP$27*0.667)*SQRT(AP4901*AP4893*AP4895))</f>
        <v>5.348166813635963</v>
      </c>
      <c r="AQ4900" s="133"/>
      <c r="AR4900" s="155"/>
      <c r="AS4900" s="143">
        <f>AS4891/((N_6*AS$27*0.667)*SQRT(AS4901*AS4893*AS4895))</f>
        <v>7.7555255438637811</v>
      </c>
      <c r="AT4900" s="133"/>
      <c r="AU4900" s="155"/>
    </row>
    <row r="4901" spans="13:47" ht="15.5" x14ac:dyDescent="0.4">
      <c r="M4901" s="27"/>
      <c r="N4901" s="27"/>
      <c r="O4901" s="2" t="s">
        <v>192</v>
      </c>
      <c r="P4901" s="85">
        <v>10</v>
      </c>
      <c r="Q4901" s="2"/>
      <c r="R4901" s="181">
        <f>F_GAMMA*R$29</f>
        <v>0.64002688015162901</v>
      </c>
      <c r="S4901" s="133"/>
      <c r="T4901" s="155"/>
      <c r="U4901" s="138">
        <f>F_GAMMA*U$29</f>
        <v>0.64016782916606918</v>
      </c>
      <c r="V4901" s="133"/>
      <c r="W4901" s="155"/>
      <c r="X4901" s="138">
        <f>F_GAMMA*X$29</f>
        <v>0.6307062319203669</v>
      </c>
      <c r="Y4901" s="133"/>
      <c r="Z4901" s="155"/>
      <c r="AA4901" s="138">
        <f>F_GAMMA*AA$29</f>
        <v>0.62217534213893466</v>
      </c>
      <c r="AB4901" s="133"/>
      <c r="AC4901" s="155"/>
      <c r="AD4901" s="138">
        <f>F_GAMMA*AD$29</f>
        <v>0.60557184969146072</v>
      </c>
      <c r="AE4901" s="133"/>
      <c r="AF4901" s="155"/>
      <c r="AG4901" s="138">
        <f>F_GAMMA*AG$29</f>
        <v>0.57289312142622573</v>
      </c>
      <c r="AH4901" s="133"/>
      <c r="AI4901" s="155"/>
      <c r="AJ4901" s="138">
        <f>F_GAMMA*AJ$29</f>
        <v>0.53590819116049981</v>
      </c>
      <c r="AK4901" s="133"/>
      <c r="AL4901" s="155"/>
      <c r="AM4901" s="138">
        <f>F_GAMMA*AM$29</f>
        <v>0.49048815926850342</v>
      </c>
      <c r="AN4901" s="133"/>
      <c r="AO4901" s="155"/>
      <c r="AP4901" s="138">
        <f>F_GAMMA*AP$29</f>
        <v>0.59352979016280105</v>
      </c>
      <c r="AQ4901" s="133"/>
      <c r="AR4901" s="155"/>
      <c r="AS4901" s="138">
        <f>F_GAMMA*AS$29</f>
        <v>0.39097221161068291</v>
      </c>
      <c r="AT4901" s="133"/>
      <c r="AU4901" s="155"/>
    </row>
    <row r="4902" spans="13:47" x14ac:dyDescent="0.25">
      <c r="M4902" s="27"/>
      <c r="N4902" s="27"/>
      <c r="O4902" s="2" t="s">
        <v>193</v>
      </c>
      <c r="P4902" s="134"/>
      <c r="Q4902" s="2"/>
      <c r="R4902" s="181">
        <f>IF(R4897&lt;R4901,R4899,R4900)</f>
        <v>257.90939648302054</v>
      </c>
      <c r="S4902" s="133"/>
      <c r="T4902" s="155"/>
      <c r="U4902" s="138" t="e">
        <f>IF(U4897&lt;U4901,U4899,U4900)</f>
        <v>#NUM!</v>
      </c>
      <c r="V4902" s="133"/>
      <c r="W4902" s="155"/>
      <c r="X4902" s="138">
        <f>IF(X4897&lt;X4901,X4899,X4900)</f>
        <v>36.804414169514331</v>
      </c>
      <c r="Y4902" s="133"/>
      <c r="Z4902" s="155"/>
      <c r="AA4902" s="138">
        <f>IF(AA4897&lt;AA4901,AA4899,AA4900)</f>
        <v>16.294104442588548</v>
      </c>
      <c r="AB4902" s="133"/>
      <c r="AC4902" s="155"/>
      <c r="AD4902" s="138">
        <f>IF(AD4897&lt;AD4901,AD4899,AD4900)</f>
        <v>9.8327248968252565</v>
      </c>
      <c r="AE4902" s="133"/>
      <c r="AF4902" s="155"/>
      <c r="AG4902" s="138">
        <f>IF(AG4897&lt;AG4901,AG4899,AG4900)</f>
        <v>7.2949798960827579</v>
      </c>
      <c r="AH4902" s="133"/>
      <c r="AI4902" s="155"/>
      <c r="AJ4902" s="138">
        <f>IF(AJ4897&lt;AJ4901,AJ4899,AJ4900)</f>
        <v>6.1219031246486866</v>
      </c>
      <c r="AK4902" s="133"/>
      <c r="AL4902" s="155"/>
      <c r="AM4902" s="138">
        <f>IF(AM4897&lt;AM4901,AM4899,AM4900)</f>
        <v>5.7830849583374979</v>
      </c>
      <c r="AN4902" s="133"/>
      <c r="AO4902" s="155"/>
      <c r="AP4902" s="138">
        <f>IF(AP4897&lt;AP4901,AP4899,AP4900)</f>
        <v>5.348166813635963</v>
      </c>
      <c r="AQ4902" s="133"/>
      <c r="AR4902" s="155"/>
      <c r="AS4902" s="138">
        <f>IF(AS4897&lt;AS4901,AS4899,AS4900)</f>
        <v>7.7555255438637811</v>
      </c>
      <c r="AT4902" s="133"/>
      <c r="AU4902" s="155"/>
    </row>
    <row r="4903" spans="13:47" ht="13" x14ac:dyDescent="0.3">
      <c r="M4903" s="28"/>
      <c r="N4903" s="28"/>
      <c r="O4903" s="9" t="s">
        <v>194</v>
      </c>
      <c r="P4903" s="1"/>
      <c r="Q4903" s="1"/>
      <c r="R4903" s="135"/>
      <c r="S4903" s="132">
        <f>IF(R4896&lt;=0,W_max,ABS(R$23-R4902))</f>
        <v>255.90939648302054</v>
      </c>
      <c r="T4903" s="151">
        <f>R4891</f>
        <v>11042.441014478749</v>
      </c>
      <c r="U4903" s="135"/>
      <c r="V4903" s="132">
        <f>IF(U4896&lt;=0,W_max,ABS(U$23-U4902))</f>
        <v>7174</v>
      </c>
      <c r="W4903" s="151">
        <f>U4891</f>
        <v>14674.195769506041</v>
      </c>
      <c r="X4903" s="135"/>
      <c r="Y4903" s="132">
        <f>IF(X4896&lt;=0,W_max,ABS(X$23-X4902))</f>
        <v>7174</v>
      </c>
      <c r="Z4903" s="151">
        <f>X4891</f>
        <v>36291.032387755011</v>
      </c>
      <c r="AA4903" s="135"/>
      <c r="AB4903" s="132">
        <f>IF(AA4896&lt;=0,W_max,ABS(AA$23-AA4902))</f>
        <v>7174</v>
      </c>
      <c r="AC4903" s="151">
        <f>AA4891</f>
        <v>70685.667971784205</v>
      </c>
      <c r="AD4903" s="135"/>
      <c r="AE4903" s="132">
        <f>IF(AD4896&lt;=0,W_max,ABS(AD$23-AD4902))</f>
        <v>7174</v>
      </c>
      <c r="AF4903" s="151">
        <f>AD4891</f>
        <v>116251.89889468718</v>
      </c>
      <c r="AG4903" s="135"/>
      <c r="AH4903" s="132">
        <f>IF(AG4896&lt;=0,W_max,ABS(AG$23-AG4902))</f>
        <v>7174</v>
      </c>
      <c r="AI4903" s="151">
        <f>AG4891</f>
        <v>163052.23798820027</v>
      </c>
      <c r="AJ4903" s="135"/>
      <c r="AK4903" s="132">
        <f>IF(AJ4896&lt;=0,W_max,ABS(AJ$23-AJ4902))</f>
        <v>7174</v>
      </c>
      <c r="AL4903" s="151">
        <f>AJ4891</f>
        <v>207033.07609428957</v>
      </c>
      <c r="AM4903" s="135"/>
      <c r="AN4903" s="132">
        <f>IF(AM4896&lt;=0,W_max,ABS(AM$23-AM4902))</f>
        <v>7174</v>
      </c>
      <c r="AO4903" s="151">
        <f>AM4891</f>
        <v>242762.56382102711</v>
      </c>
      <c r="AP4903" s="135"/>
      <c r="AQ4903" s="132">
        <f>IF(AP4896&lt;=0,W_max,ABS(AP$23-AP4902))</f>
        <v>7174</v>
      </c>
      <c r="AR4903" s="151">
        <f>AP4891</f>
        <v>270842.50821043883</v>
      </c>
      <c r="AS4903" s="135"/>
      <c r="AT4903" s="132">
        <f>IF(AS4896&lt;=0,W_max,ABS(AS$23-AS4902))</f>
        <v>7174</v>
      </c>
      <c r="AU4903" s="151">
        <f>AS4891</f>
        <v>302170.41334182781</v>
      </c>
    </row>
    <row r="4904" spans="13:47" ht="13" x14ac:dyDescent="0.25">
      <c r="M4904" s="12"/>
      <c r="N4904" s="12"/>
      <c r="O4904" s="2"/>
      <c r="P4904" s="85"/>
      <c r="Q4904" s="2"/>
      <c r="R4904" s="18"/>
      <c r="S4904" s="150"/>
      <c r="T4904" s="148"/>
      <c r="U4904" s="157"/>
      <c r="V4904" s="1"/>
      <c r="W4904" s="147"/>
      <c r="X4904" s="157"/>
      <c r="Y4904" s="1"/>
      <c r="Z4904" s="147"/>
      <c r="AA4904" s="157"/>
      <c r="AB4904" s="1"/>
      <c r="AC4904" s="147"/>
      <c r="AD4904" s="157"/>
      <c r="AE4904" s="1"/>
      <c r="AF4904" s="147"/>
      <c r="AG4904" s="157"/>
      <c r="AH4904" s="1"/>
      <c r="AI4904" s="147"/>
      <c r="AJ4904" s="157"/>
      <c r="AK4904" s="1"/>
      <c r="AL4904" s="147"/>
      <c r="AM4904" s="157"/>
      <c r="AN4904" s="1"/>
      <c r="AO4904" s="147"/>
      <c r="AP4904" s="157"/>
      <c r="AQ4904" s="1"/>
      <c r="AR4904" s="147"/>
      <c r="AS4904" s="157"/>
      <c r="AT4904" s="1"/>
      <c r="AU4904" s="147"/>
    </row>
    <row r="4905" spans="13:47" ht="14" x14ac:dyDescent="0.3">
      <c r="M4905" s="23"/>
      <c r="N4905" s="23"/>
      <c r="O4905" s="23" t="s">
        <v>238</v>
      </c>
      <c r="P4905" s="20"/>
      <c r="Q4905" s="20"/>
      <c r="R4905" s="181">
        <f>R4891*1.02</f>
        <v>11263.289834768324</v>
      </c>
      <c r="S4905" s="128" t="s">
        <v>185</v>
      </c>
      <c r="T4905" s="149" t="s">
        <v>186</v>
      </c>
      <c r="U4905" s="143">
        <f>U4891*1.01</f>
        <v>14820.937727201101</v>
      </c>
      <c r="V4905" s="128" t="s">
        <v>185</v>
      </c>
      <c r="W4905" s="153" t="s">
        <v>186</v>
      </c>
      <c r="X4905" s="143">
        <f>X4891*1.01</f>
        <v>36653.942711632561</v>
      </c>
      <c r="Y4905" s="128" t="s">
        <v>185</v>
      </c>
      <c r="Z4905" s="153" t="s">
        <v>186</v>
      </c>
      <c r="AA4905" s="143">
        <f>AA4891*1.01</f>
        <v>71392.524651502041</v>
      </c>
      <c r="AB4905" s="128" t="s">
        <v>185</v>
      </c>
      <c r="AC4905" s="153" t="s">
        <v>186</v>
      </c>
      <c r="AD4905" s="143">
        <f>AD4891*1.01</f>
        <v>117414.41788363406</v>
      </c>
      <c r="AE4905" s="128" t="s">
        <v>185</v>
      </c>
      <c r="AF4905" s="153" t="s">
        <v>186</v>
      </c>
      <c r="AG4905" s="143">
        <f>AG4891*1.01</f>
        <v>164682.76036808226</v>
      </c>
      <c r="AH4905" s="128" t="s">
        <v>185</v>
      </c>
      <c r="AI4905" s="153" t="s">
        <v>186</v>
      </c>
      <c r="AJ4905" s="143">
        <f>AJ4891*1.01</f>
        <v>209103.40685523246</v>
      </c>
      <c r="AK4905" s="128" t="s">
        <v>185</v>
      </c>
      <c r="AL4905" s="153" t="s">
        <v>186</v>
      </c>
      <c r="AM4905" s="143">
        <f>AM4891*1.01</f>
        <v>245190.18945923739</v>
      </c>
      <c r="AN4905" s="128" t="s">
        <v>185</v>
      </c>
      <c r="AO4905" s="153" t="s">
        <v>186</v>
      </c>
      <c r="AP4905" s="143">
        <f>AP4891*1.01</f>
        <v>273550.93329254322</v>
      </c>
      <c r="AQ4905" s="128" t="s">
        <v>185</v>
      </c>
      <c r="AR4905" s="153" t="s">
        <v>186</v>
      </c>
      <c r="AS4905" s="143">
        <f>AS4891*1.01</f>
        <v>305192.11747524608</v>
      </c>
      <c r="AT4905" s="128" t="s">
        <v>185</v>
      </c>
      <c r="AU4905" s="153" t="s">
        <v>186</v>
      </c>
    </row>
    <row r="4906" spans="13:47" ht="14" x14ac:dyDescent="0.3">
      <c r="M4906" s="12"/>
      <c r="N4906" s="12"/>
      <c r="O4906" s="20"/>
      <c r="P4906" s="20"/>
      <c r="Q4906" s="23"/>
      <c r="R4906" s="139"/>
      <c r="S4906" s="130" t="s">
        <v>228</v>
      </c>
      <c r="T4906" s="131" t="s">
        <v>187</v>
      </c>
      <c r="U4906" s="144"/>
      <c r="V4906" s="130" t="s">
        <v>228</v>
      </c>
      <c r="W4906" s="154" t="s">
        <v>187</v>
      </c>
      <c r="X4906" s="144"/>
      <c r="Y4906" s="130" t="s">
        <v>228</v>
      </c>
      <c r="Z4906" s="154" t="s">
        <v>187</v>
      </c>
      <c r="AA4906" s="144"/>
      <c r="AB4906" s="130" t="s">
        <v>228</v>
      </c>
      <c r="AC4906" s="154" t="s">
        <v>187</v>
      </c>
      <c r="AD4906" s="144"/>
      <c r="AE4906" s="130" t="s">
        <v>228</v>
      </c>
      <c r="AF4906" s="154" t="s">
        <v>187</v>
      </c>
      <c r="AG4906" s="144"/>
      <c r="AH4906" s="130" t="s">
        <v>228</v>
      </c>
      <c r="AI4906" s="154" t="s">
        <v>187</v>
      </c>
      <c r="AJ4906" s="144"/>
      <c r="AK4906" s="130" t="s">
        <v>228</v>
      </c>
      <c r="AL4906" s="154" t="s">
        <v>187</v>
      </c>
      <c r="AM4906" s="144"/>
      <c r="AN4906" s="130" t="s">
        <v>228</v>
      </c>
      <c r="AO4906" s="154" t="s">
        <v>187</v>
      </c>
      <c r="AP4906" s="144"/>
      <c r="AQ4906" s="130" t="s">
        <v>228</v>
      </c>
      <c r="AR4906" s="154" t="s">
        <v>187</v>
      </c>
      <c r="AS4906" s="144"/>
      <c r="AT4906" s="130" t="s">
        <v>228</v>
      </c>
      <c r="AU4906" s="154" t="s">
        <v>187</v>
      </c>
    </row>
    <row r="4907" spans="13:47" x14ac:dyDescent="0.25">
      <c r="M4907" s="20"/>
      <c r="N4907" s="20"/>
      <c r="O4907" s="7" t="s">
        <v>188</v>
      </c>
      <c r="P4907" s="7"/>
      <c r="Q4907" s="7"/>
      <c r="R4907" s="181">
        <f>P_1_minW-(R4905^2*R_up)+dpup_minQ</f>
        <v>49.935183096982023</v>
      </c>
      <c r="S4907" s="132"/>
      <c r="T4907" s="145"/>
      <c r="U4907" s="138">
        <f>P_1_minW-(U4905^2*R_up)+dpup_minQ</f>
        <v>12.930683922378165</v>
      </c>
      <c r="V4907" s="132"/>
      <c r="W4907" s="145"/>
      <c r="X4907" s="138">
        <f>P_1_minW-(X4905^2*R_up)+dpup_minQ</f>
        <v>-435.21833289505093</v>
      </c>
      <c r="Y4907" s="132"/>
      <c r="Z4907" s="145"/>
      <c r="AA4907" s="138">
        <f>P_1_minW-(AA4905^2*R_up)+dpup_minQ</f>
        <v>-1931.9234574722107</v>
      </c>
      <c r="AB4907" s="132"/>
      <c r="AC4907" s="145"/>
      <c r="AD4907" s="138">
        <f>P_1_minW-(AD4905^2*R_up)+dpup_minQ</f>
        <v>-5396.8659221554472</v>
      </c>
      <c r="AE4907" s="132"/>
      <c r="AF4907" s="145"/>
      <c r="AG4907" s="138">
        <f>P_1_minW-(AG4905^2*R_up)+dpup_minQ</f>
        <v>-10714.062335148599</v>
      </c>
      <c r="AH4907" s="132"/>
      <c r="AI4907" s="145"/>
      <c r="AJ4907" s="138">
        <f>P_1_minW-(AJ4905^2*R_up)+dpup_minQ</f>
        <v>-17335.033366083593</v>
      </c>
      <c r="AK4907" s="132"/>
      <c r="AL4907" s="145"/>
      <c r="AM4907" s="138">
        <f>P_1_minW-(AM4905^2*R_up)+dpup_minQ</f>
        <v>-23872.332620589106</v>
      </c>
      <c r="AN4907" s="132"/>
      <c r="AO4907" s="145"/>
      <c r="AP4907" s="138">
        <f>P_1_minW-(AP4905^2*R_up)+dpup_minQ</f>
        <v>-29738.870542277393</v>
      </c>
      <c r="AQ4907" s="132"/>
      <c r="AR4907" s="145"/>
      <c r="AS4907" s="138">
        <f>P_1_minW-(AS4905^2*R_up)+dpup_minQ</f>
        <v>-37041.043335232993</v>
      </c>
      <c r="AT4907" s="132"/>
      <c r="AU4907" s="145"/>
    </row>
    <row r="4908" spans="13:47" x14ac:dyDescent="0.25">
      <c r="M4908" s="20"/>
      <c r="N4908" s="20"/>
      <c r="O4908" s="7" t="s">
        <v>189</v>
      </c>
      <c r="P4908" s="1"/>
      <c r="Q4908" s="7"/>
      <c r="R4908" s="181">
        <f>P_2_minW+(R4905^2*R_dn)-dpdn_minQ</f>
        <v>50</v>
      </c>
      <c r="S4908" s="132"/>
      <c r="T4908" s="146"/>
      <c r="U4908" s="138">
        <f>P_2_minW+(U4905^2*R_dn)-dpdn_minQ</f>
        <v>50</v>
      </c>
      <c r="V4908" s="132"/>
      <c r="W4908" s="146"/>
      <c r="X4908" s="138">
        <f>P_2_minW+(X4905^2*R_dn)-dpdn_minQ</f>
        <v>50</v>
      </c>
      <c r="Y4908" s="132"/>
      <c r="Z4908" s="146"/>
      <c r="AA4908" s="138">
        <f>P_2_minW+(AA4905^2*R_dn)-dpdn_minQ</f>
        <v>50</v>
      </c>
      <c r="AB4908" s="132"/>
      <c r="AC4908" s="146"/>
      <c r="AD4908" s="138">
        <f>P_2_minW+(AD4905^2*R_dn)-dpdn_minQ</f>
        <v>50</v>
      </c>
      <c r="AE4908" s="132"/>
      <c r="AF4908" s="146"/>
      <c r="AG4908" s="138">
        <f>P_2_minW+(AG4905^2*R_dn)-dpdn_minQ</f>
        <v>50</v>
      </c>
      <c r="AH4908" s="132"/>
      <c r="AI4908" s="146"/>
      <c r="AJ4908" s="138">
        <f>P_2_minW+(AJ4905^2*R_dn)-dpdn_minQ</f>
        <v>50</v>
      </c>
      <c r="AK4908" s="132"/>
      <c r="AL4908" s="146"/>
      <c r="AM4908" s="138">
        <f>P_2_minW+(AM4905^2*R_dn)-dpdn_minQ</f>
        <v>50</v>
      </c>
      <c r="AN4908" s="132"/>
      <c r="AO4908" s="146"/>
      <c r="AP4908" s="138">
        <f>P_2_minW+(AP4905^2*R_dn)-dpdn_minQ</f>
        <v>50</v>
      </c>
      <c r="AQ4908" s="132"/>
      <c r="AR4908" s="146"/>
      <c r="AS4908" s="138">
        <f>P_2_minW+(AS4905^2*R_dn)-dpdn_minQ</f>
        <v>50</v>
      </c>
      <c r="AT4908" s="132"/>
      <c r="AU4908" s="146"/>
    </row>
    <row r="4909" spans="13:47" x14ac:dyDescent="0.25">
      <c r="M4909" s="20"/>
      <c r="N4909" s="20"/>
      <c r="O4909" s="7" t="s">
        <v>234</v>
      </c>
      <c r="P4909" s="1"/>
      <c r="Q4909" s="7"/>
      <c r="R4909" s="179">
        <f>'Valve Sizing'!G$8*R4907/P_1_maxW</f>
        <v>0.24087843284846105</v>
      </c>
      <c r="S4909" s="132"/>
      <c r="T4909" s="146"/>
      <c r="U4909" s="143">
        <f>'Valve Sizing'!$G$8*U4907/P_1_maxW</f>
        <v>6.237531707517642E-2</v>
      </c>
      <c r="V4909" s="132"/>
      <c r="W4909" s="146"/>
      <c r="X4909" s="143">
        <f>'Valve Sizing'!$G$8*X4907/P_1_maxW</f>
        <v>-2.0994157520374781</v>
      </c>
      <c r="Y4909" s="132"/>
      <c r="Z4909" s="146"/>
      <c r="AA4909" s="143">
        <f>'Valve Sizing'!$G$8*AA4907/P_1_maxW</f>
        <v>-9.3192548010745533</v>
      </c>
      <c r="AB4909" s="132"/>
      <c r="AC4909" s="146"/>
      <c r="AD4909" s="143">
        <f>'Valve Sizing'!$G$8*AD4907/P_1_maxW</f>
        <v>-26.033520355723642</v>
      </c>
      <c r="AE4909" s="132"/>
      <c r="AF4909" s="146"/>
      <c r="AG4909" s="143">
        <f>'Valve Sizing'!$G$8*AG4907/P_1_maxW</f>
        <v>-51.682729183530213</v>
      </c>
      <c r="AH4909" s="132"/>
      <c r="AI4909" s="146"/>
      <c r="AJ4909" s="143">
        <f>'Valve Sizing'!$G$8*AJ4907/P_1_maxW</f>
        <v>-83.621114645524642</v>
      </c>
      <c r="AK4909" s="132"/>
      <c r="AL4909" s="146"/>
      <c r="AM4909" s="143">
        <f>'Valve Sizing'!$G$8*AM4907/P_1_maxW</f>
        <v>-115.15588235486487</v>
      </c>
      <c r="AN4909" s="132"/>
      <c r="AO4909" s="146"/>
      <c r="AP4909" s="143">
        <f>'Valve Sizing'!$G$8*AP4907/P_1_maxW</f>
        <v>-143.45501681638942</v>
      </c>
      <c r="AQ4909" s="132"/>
      <c r="AR4909" s="146"/>
      <c r="AS4909" s="143">
        <f>'Valve Sizing'!$G$8*AS4907/P_1_maxW</f>
        <v>-178.67939829787278</v>
      </c>
      <c r="AT4909" s="132"/>
      <c r="AU4909" s="146"/>
    </row>
    <row r="4910" spans="13:47" x14ac:dyDescent="0.25">
      <c r="M4910" s="20"/>
      <c r="N4910" s="20"/>
      <c r="O4910" s="7" t="s">
        <v>190</v>
      </c>
      <c r="P4910" s="1"/>
      <c r="Q4910" s="7"/>
      <c r="R4910" s="181">
        <f>R4907-R4908</f>
        <v>-6.4816903017977268E-2</v>
      </c>
      <c r="S4910" s="132"/>
      <c r="T4910" s="146"/>
      <c r="U4910" s="138">
        <f>U4907-U4908</f>
        <v>-37.069316077621835</v>
      </c>
      <c r="V4910" s="132"/>
      <c r="W4910" s="146"/>
      <c r="X4910" s="138">
        <f>X4907-X4908</f>
        <v>-485.21833289505093</v>
      </c>
      <c r="Y4910" s="132"/>
      <c r="Z4910" s="146"/>
      <c r="AA4910" s="138">
        <f>AA4907-AA4908</f>
        <v>-1981.9234574722107</v>
      </c>
      <c r="AB4910" s="132"/>
      <c r="AC4910" s="146"/>
      <c r="AD4910" s="138">
        <f>AD4907-AD4908</f>
        <v>-5446.8659221554472</v>
      </c>
      <c r="AE4910" s="132"/>
      <c r="AF4910" s="146"/>
      <c r="AG4910" s="138">
        <f>AG4907-AG4908</f>
        <v>-10764.062335148599</v>
      </c>
      <c r="AH4910" s="132"/>
      <c r="AI4910" s="146"/>
      <c r="AJ4910" s="138">
        <f>AJ4907-AJ4908</f>
        <v>-17385.033366083593</v>
      </c>
      <c r="AK4910" s="132"/>
      <c r="AL4910" s="146"/>
      <c r="AM4910" s="138">
        <f>AM4907-AM4908</f>
        <v>-23922.332620589106</v>
      </c>
      <c r="AN4910" s="132"/>
      <c r="AO4910" s="146"/>
      <c r="AP4910" s="138">
        <f>AP4907-AP4908</f>
        <v>-29788.870542277393</v>
      </c>
      <c r="AQ4910" s="132"/>
      <c r="AR4910" s="146"/>
      <c r="AS4910" s="138">
        <f>AS4907-AS4908</f>
        <v>-37091.043335232993</v>
      </c>
      <c r="AT4910" s="132"/>
      <c r="AU4910" s="146"/>
    </row>
    <row r="4911" spans="13:47" ht="14.5" x14ac:dyDescent="0.35">
      <c r="M4911" s="27"/>
      <c r="N4911" s="27"/>
      <c r="O4911" s="2" t="s">
        <v>191</v>
      </c>
      <c r="P4911" s="10"/>
      <c r="Q4911" s="2"/>
      <c r="R4911" s="181">
        <f>R4910/R4907</f>
        <v>-1.2980207340402175E-3</v>
      </c>
      <c r="S4911" s="132"/>
      <c r="T4911" s="146"/>
      <c r="U4911" s="138">
        <f>U4910/U4907</f>
        <v>-2.866771494852546</v>
      </c>
      <c r="V4911" s="132"/>
      <c r="W4911" s="146"/>
      <c r="X4911" s="138">
        <f>X4910/X4907</f>
        <v>1.114884866332267</v>
      </c>
      <c r="Y4911" s="132"/>
      <c r="Z4911" s="146"/>
      <c r="AA4911" s="138">
        <f>AA4910/AA4907</f>
        <v>1.0258809425428383</v>
      </c>
      <c r="AB4911" s="132"/>
      <c r="AC4911" s="146"/>
      <c r="AD4911" s="138">
        <f>AD4910/AD4907</f>
        <v>1.0092646363132236</v>
      </c>
      <c r="AE4911" s="132"/>
      <c r="AF4911" s="146"/>
      <c r="AG4911" s="138">
        <f>AG4910/AG4907</f>
        <v>1.0046667639627194</v>
      </c>
      <c r="AH4911" s="132"/>
      <c r="AI4911" s="146"/>
      <c r="AJ4911" s="138">
        <f>AJ4910/AJ4907</f>
        <v>1.0028843324927097</v>
      </c>
      <c r="AK4911" s="132"/>
      <c r="AL4911" s="146"/>
      <c r="AM4911" s="138">
        <f>AM4910/AM4907</f>
        <v>1.0020944748380758</v>
      </c>
      <c r="AN4911" s="132"/>
      <c r="AO4911" s="146"/>
      <c r="AP4911" s="138">
        <f>AP4910/AP4907</f>
        <v>1.0016813012427261</v>
      </c>
      <c r="AQ4911" s="132"/>
      <c r="AR4911" s="146"/>
      <c r="AS4911" s="138">
        <f>AS4910/AS4907</f>
        <v>1.0013498539862251</v>
      </c>
      <c r="AT4911" s="132"/>
      <c r="AU4911" s="146"/>
    </row>
    <row r="4912" spans="13:47" x14ac:dyDescent="0.25">
      <c r="M4912" s="27"/>
      <c r="N4912" s="27"/>
      <c r="O4912" s="2" t="s">
        <v>26</v>
      </c>
      <c r="P4912" s="7">
        <v>12</v>
      </c>
      <c r="Q4912" s="2"/>
      <c r="R4912" s="181">
        <f>1-R4911/(3*F_GAMMA*R$29)</f>
        <v>1.0006760240724748</v>
      </c>
      <c r="S4912" s="133"/>
      <c r="T4912" s="146"/>
      <c r="U4912" s="138">
        <f>1-U4911/(3*F_GAMMA*U$29)</f>
        <v>2.4927187133552247</v>
      </c>
      <c r="V4912" s="133"/>
      <c r="W4912" s="146"/>
      <c r="X4912" s="138">
        <f>1-X4911/(3*F_GAMMA*X$29)</f>
        <v>0.41077435108593596</v>
      </c>
      <c r="Y4912" s="133"/>
      <c r="Z4912" s="146"/>
      <c r="AA4912" s="138">
        <f>1-AA4911/(3*F_GAMMA*AA$29)</f>
        <v>0.45037951358640504</v>
      </c>
      <c r="AB4912" s="133"/>
      <c r="AC4912" s="146"/>
      <c r="AD4912" s="138">
        <f>1-AD4911/(3*F_GAMMA*AD$29)</f>
        <v>0.4444564330241767</v>
      </c>
      <c r="AE4912" s="133"/>
      <c r="AF4912" s="146"/>
      <c r="AG4912" s="138">
        <f>1-AG4911/(3*F_GAMMA*AG$29)</f>
        <v>0.41544258641612664</v>
      </c>
      <c r="AH4912" s="133"/>
      <c r="AI4912" s="146"/>
      <c r="AJ4912" s="138">
        <f>1-AJ4911/(3*F_GAMMA*AJ$29)</f>
        <v>0.37620886746727933</v>
      </c>
      <c r="AK4912" s="133"/>
      <c r="AL4912" s="146"/>
      <c r="AM4912" s="138">
        <f>1-AM4911/(3*F_GAMMA*AM$29)</f>
        <v>0.31898153849247946</v>
      </c>
      <c r="AN4912" s="133"/>
      <c r="AO4912" s="146"/>
      <c r="AP4912" s="138">
        <f>1-AP4911/(3*F_GAMMA*AP$29)</f>
        <v>0.43744396218204307</v>
      </c>
      <c r="AQ4912" s="133"/>
      <c r="AR4912" s="146"/>
      <c r="AS4912" s="138">
        <f>1-AS4911/(3*F_GAMMA*AS$29)</f>
        <v>0.14627363595230325</v>
      </c>
      <c r="AT4912" s="133"/>
      <c r="AU4912" s="146"/>
    </row>
    <row r="4913" spans="13:47" x14ac:dyDescent="0.25">
      <c r="M4913" s="27"/>
      <c r="N4913" s="27"/>
      <c r="O4913" s="2" t="s">
        <v>71</v>
      </c>
      <c r="P4913" s="85">
        <v>5</v>
      </c>
      <c r="Q4913" s="2"/>
      <c r="R4913" s="179" t="e">
        <f>R4905/((N_6*R$27*R4912)*SQRT(R4911*R4907*R4909))</f>
        <v>#NUM!</v>
      </c>
      <c r="S4913" s="133"/>
      <c r="T4913" s="146"/>
      <c r="U4913" s="143" t="e">
        <f>U4905/((N_6*U$27*U4912)*SQRT(U4911*U4907*U4909))</f>
        <v>#NUM!</v>
      </c>
      <c r="V4913" s="133"/>
      <c r="W4913" s="146"/>
      <c r="X4913" s="143">
        <f>X4905/((N_6*X$27*X4912)*SQRT(X4911*X4907*X4909))</f>
        <v>44.297446103040485</v>
      </c>
      <c r="Y4913" s="133"/>
      <c r="Z4913" s="146"/>
      <c r="AA4913" s="143">
        <f>AA4905/((N_6*AA$27*AA4912)*SQRT(AA4911*AA4907*AA4909))</f>
        <v>18.587021402705876</v>
      </c>
      <c r="AB4913" s="133"/>
      <c r="AC4913" s="146"/>
      <c r="AD4913" s="143">
        <f>AD4905/((N_6*AD$27*AD4912)*SQRT(AD4911*AD4907*AD4909))</f>
        <v>11.312714822018961</v>
      </c>
      <c r="AE4913" s="133"/>
      <c r="AF4913" s="146"/>
      <c r="AG4913" s="143">
        <f>AG4905/((N_6*AG$27*AG4912)*SQRT(AG4911*AG4907*AG4909))</f>
        <v>8.7551062989111053</v>
      </c>
      <c r="AH4913" s="133"/>
      <c r="AI4913" s="146"/>
      <c r="AJ4913" s="143">
        <f>AJ4905/((N_6*AJ$27*AJ4912)*SQRT(AJ4911*AJ4907*AJ4909))</f>
        <v>7.8547259398027567</v>
      </c>
      <c r="AK4913" s="133"/>
      <c r="AL4913" s="146"/>
      <c r="AM4913" s="143">
        <f>AM4905/((N_6*AM$27*AM4912)*SQRT(AM4911*AM4907*AM4909))</f>
        <v>8.3757104423411555</v>
      </c>
      <c r="AN4913" s="133"/>
      <c r="AO4913" s="146"/>
      <c r="AP4913" s="143">
        <f>AP4905/((N_6*AP$27*AP4912)*SQRT(AP4911*AP4907*AP4909))</f>
        <v>6.2146109825332436</v>
      </c>
      <c r="AQ4913" s="133"/>
      <c r="AR4913" s="146"/>
      <c r="AS4913" s="143">
        <f>AS4905/((N_6*AS$27*AS4912)*SQRT(AS4911*AS4907*AS4909))</f>
        <v>21.877917054496336</v>
      </c>
      <c r="AT4913" s="133"/>
      <c r="AU4913" s="146"/>
    </row>
    <row r="4914" spans="13:47" x14ac:dyDescent="0.25">
      <c r="M4914" s="27"/>
      <c r="N4914" s="27"/>
      <c r="O4914" s="2" t="s">
        <v>73</v>
      </c>
      <c r="P4914" s="85">
        <v>5</v>
      </c>
      <c r="Q4914" s="2"/>
      <c r="R4914" s="179">
        <f>R4905/((N_6*R$27*0.667)*SQRT(R4915*R4907*R4909))</f>
        <v>96.158080780800361</v>
      </c>
      <c r="S4914" s="133"/>
      <c r="T4914" s="147"/>
      <c r="U4914" s="143">
        <f>U4905/((N_6*U$27*0.667)*SQRT(U4915*U4907*U4909))</f>
        <v>488.88139226665902</v>
      </c>
      <c r="V4914" s="133"/>
      <c r="W4914" s="155"/>
      <c r="X4914" s="143">
        <f>X4905/((N_6*X$27*0.667)*SQRT(X4915*X4907*X4909))</f>
        <v>36.270840686120991</v>
      </c>
      <c r="Y4914" s="133"/>
      <c r="Z4914" s="155"/>
      <c r="AA4914" s="143">
        <f>AA4905/((N_6*AA$27*0.667)*SQRT(AA4915*AA4907*AA4909))</f>
        <v>16.115904162363954</v>
      </c>
      <c r="AB4914" s="133"/>
      <c r="AC4914" s="155"/>
      <c r="AD4914" s="143">
        <f>AD4905/((N_6*AD$27*0.667)*SQRT(AD4915*AD4907*AD4909))</f>
        <v>9.731726403767949</v>
      </c>
      <c r="AE4914" s="133"/>
      <c r="AF4914" s="155"/>
      <c r="AG4914" s="143">
        <f>AG4905/((N_6*AG$27*0.667)*SQRT(AG4915*AG4907*AG4909))</f>
        <v>7.2213902719167109</v>
      </c>
      <c r="AH4914" s="133"/>
      <c r="AI4914" s="155"/>
      <c r="AJ4914" s="143">
        <f>AJ4905/((N_6*AJ$27*0.667)*SQRT(AJ4915*AJ4907*AJ4909))</f>
        <v>6.0605837406307606</v>
      </c>
      <c r="AK4914" s="133"/>
      <c r="AL4914" s="155"/>
      <c r="AM4914" s="143">
        <f>AM4905/((N_6*AM$27*0.667)*SQRT(AM4915*AM4907*AM4909))</f>
        <v>5.7253420685379668</v>
      </c>
      <c r="AN4914" s="133"/>
      <c r="AO4914" s="155"/>
      <c r="AP4914" s="143">
        <f>AP4905/((N_6*AP$27*0.667)*SQRT(AP4915*AP4907*AP4909))</f>
        <v>5.2948549013305426</v>
      </c>
      <c r="AQ4914" s="133"/>
      <c r="AR4914" s="155"/>
      <c r="AS4914" s="143">
        <f>AS4905/((N_6*AS$27*0.667)*SQRT(AS4915*AS4907*AS4909))</f>
        <v>7.6783193038455799</v>
      </c>
      <c r="AT4914" s="133"/>
      <c r="AU4914" s="155"/>
    </row>
    <row r="4915" spans="13:47" ht="15.5" x14ac:dyDescent="0.4">
      <c r="M4915" s="27"/>
      <c r="N4915" s="27"/>
      <c r="O4915" s="2" t="s">
        <v>192</v>
      </c>
      <c r="P4915" s="85">
        <v>10</v>
      </c>
      <c r="Q4915" s="2"/>
      <c r="R4915" s="181">
        <f>F_GAMMA*R$29</f>
        <v>0.64002688015162901</v>
      </c>
      <c r="S4915" s="133"/>
      <c r="T4915" s="147"/>
      <c r="U4915" s="138">
        <f>F_GAMMA*U$29</f>
        <v>0.64016782916606918</v>
      </c>
      <c r="V4915" s="133"/>
      <c r="W4915" s="155"/>
      <c r="X4915" s="138">
        <f>F_GAMMA*X$29</f>
        <v>0.6307062319203669</v>
      </c>
      <c r="Y4915" s="133"/>
      <c r="Z4915" s="155"/>
      <c r="AA4915" s="138">
        <f>F_GAMMA*AA$29</f>
        <v>0.62217534213893466</v>
      </c>
      <c r="AB4915" s="133"/>
      <c r="AC4915" s="155"/>
      <c r="AD4915" s="138">
        <f>F_GAMMA*AD$29</f>
        <v>0.60557184969146072</v>
      </c>
      <c r="AE4915" s="133"/>
      <c r="AF4915" s="155"/>
      <c r="AG4915" s="138">
        <f>F_GAMMA*AG$29</f>
        <v>0.57289312142622573</v>
      </c>
      <c r="AH4915" s="133"/>
      <c r="AI4915" s="155"/>
      <c r="AJ4915" s="138">
        <f>F_GAMMA*AJ$29</f>
        <v>0.53590819116049981</v>
      </c>
      <c r="AK4915" s="133"/>
      <c r="AL4915" s="155"/>
      <c r="AM4915" s="138">
        <f>F_GAMMA*AM$29</f>
        <v>0.49048815926850342</v>
      </c>
      <c r="AN4915" s="133"/>
      <c r="AO4915" s="155"/>
      <c r="AP4915" s="138">
        <f>F_GAMMA*AP$29</f>
        <v>0.59352979016280105</v>
      </c>
      <c r="AQ4915" s="133"/>
      <c r="AR4915" s="155"/>
      <c r="AS4915" s="138">
        <f>F_GAMMA*AS$29</f>
        <v>0.39097221161068291</v>
      </c>
      <c r="AT4915" s="133"/>
      <c r="AU4915" s="155"/>
    </row>
    <row r="4916" spans="13:47" x14ac:dyDescent="0.25">
      <c r="M4916" s="27"/>
      <c r="N4916" s="27"/>
      <c r="O4916" s="2" t="s">
        <v>193</v>
      </c>
      <c r="P4916" s="134"/>
      <c r="Q4916" s="2"/>
      <c r="R4916" s="181" t="e">
        <f>IF(R4911&lt;R4915,R4913,R4914)</f>
        <v>#NUM!</v>
      </c>
      <c r="S4916" s="133"/>
      <c r="T4916" s="147"/>
      <c r="U4916" s="138" t="e">
        <f>IF(U4911&lt;U4915,U4913,U4914)</f>
        <v>#NUM!</v>
      </c>
      <c r="V4916" s="133"/>
      <c r="W4916" s="155"/>
      <c r="X4916" s="138">
        <f>IF(X4911&lt;X4915,X4913,X4914)</f>
        <v>36.270840686120991</v>
      </c>
      <c r="Y4916" s="133"/>
      <c r="Z4916" s="155"/>
      <c r="AA4916" s="138">
        <f>IF(AA4911&lt;AA4915,AA4913,AA4914)</f>
        <v>16.115904162363954</v>
      </c>
      <c r="AB4916" s="133"/>
      <c r="AC4916" s="155"/>
      <c r="AD4916" s="138">
        <f>IF(AD4911&lt;AD4915,AD4913,AD4914)</f>
        <v>9.731726403767949</v>
      </c>
      <c r="AE4916" s="133"/>
      <c r="AF4916" s="155"/>
      <c r="AG4916" s="138">
        <f>IF(AG4911&lt;AG4915,AG4913,AG4914)</f>
        <v>7.2213902719167109</v>
      </c>
      <c r="AH4916" s="133"/>
      <c r="AI4916" s="155"/>
      <c r="AJ4916" s="138">
        <f>IF(AJ4911&lt;AJ4915,AJ4913,AJ4914)</f>
        <v>6.0605837406307606</v>
      </c>
      <c r="AK4916" s="133"/>
      <c r="AL4916" s="155"/>
      <c r="AM4916" s="138">
        <f>IF(AM4911&lt;AM4915,AM4913,AM4914)</f>
        <v>5.7253420685379668</v>
      </c>
      <c r="AN4916" s="133"/>
      <c r="AO4916" s="155"/>
      <c r="AP4916" s="138">
        <f>IF(AP4911&lt;AP4915,AP4913,AP4914)</f>
        <v>5.2948549013305426</v>
      </c>
      <c r="AQ4916" s="133"/>
      <c r="AR4916" s="155"/>
      <c r="AS4916" s="138">
        <f>IF(AS4911&lt;AS4915,AS4913,AS4914)</f>
        <v>7.6783193038455799</v>
      </c>
      <c r="AT4916" s="133"/>
      <c r="AU4916" s="155"/>
    </row>
    <row r="4917" spans="13:47" ht="13" x14ac:dyDescent="0.3">
      <c r="M4917" s="28"/>
      <c r="N4917" s="28"/>
      <c r="O4917" s="9" t="s">
        <v>194</v>
      </c>
      <c r="P4917" s="1"/>
      <c r="Q4917" s="1"/>
      <c r="R4917" s="135"/>
      <c r="S4917" s="132">
        <f>IF(R4910&lt;=0,W_max,ABS(R$23-R4916))</f>
        <v>7174</v>
      </c>
      <c r="T4917" s="151">
        <f>R4905</f>
        <v>11263.289834768324</v>
      </c>
      <c r="U4917" s="135"/>
      <c r="V4917" s="132">
        <f>IF(U4910&lt;=0,W_max,ABS(U$23-U4916))</f>
        <v>7174</v>
      </c>
      <c r="W4917" s="151">
        <f>U4905</f>
        <v>14820.937727201101</v>
      </c>
      <c r="X4917" s="135"/>
      <c r="Y4917" s="132">
        <f>IF(X4910&lt;=0,W_max,ABS(X$23-X4916))</f>
        <v>7174</v>
      </c>
      <c r="Z4917" s="151">
        <f>X4905</f>
        <v>36653.942711632561</v>
      </c>
      <c r="AA4917" s="135"/>
      <c r="AB4917" s="132">
        <f>IF(AA4910&lt;=0,W_max,ABS(AA$23-AA4916))</f>
        <v>7174</v>
      </c>
      <c r="AC4917" s="151">
        <f>AA4905</f>
        <v>71392.524651502041</v>
      </c>
      <c r="AD4917" s="135"/>
      <c r="AE4917" s="132">
        <f>IF(AD4910&lt;=0,W_max,ABS(AD$23-AD4916))</f>
        <v>7174</v>
      </c>
      <c r="AF4917" s="151">
        <f>AD4905</f>
        <v>117414.41788363406</v>
      </c>
      <c r="AG4917" s="135"/>
      <c r="AH4917" s="132">
        <f>IF(AG4910&lt;=0,W_max,ABS(AG$23-AG4916))</f>
        <v>7174</v>
      </c>
      <c r="AI4917" s="151">
        <f>AG4905</f>
        <v>164682.76036808226</v>
      </c>
      <c r="AJ4917" s="135"/>
      <c r="AK4917" s="132">
        <f>IF(AJ4910&lt;=0,W_max,ABS(AJ$23-AJ4916))</f>
        <v>7174</v>
      </c>
      <c r="AL4917" s="151">
        <f>AJ4905</f>
        <v>209103.40685523246</v>
      </c>
      <c r="AM4917" s="135"/>
      <c r="AN4917" s="132">
        <f>IF(AM4910&lt;=0,W_max,ABS(AM$23-AM4916))</f>
        <v>7174</v>
      </c>
      <c r="AO4917" s="151">
        <f>AM4905</f>
        <v>245190.18945923739</v>
      </c>
      <c r="AP4917" s="135"/>
      <c r="AQ4917" s="132">
        <f>IF(AP4910&lt;=0,W_max,ABS(AP$23-AP4916))</f>
        <v>7174</v>
      </c>
      <c r="AR4917" s="151">
        <f>AP4905</f>
        <v>273550.93329254322</v>
      </c>
      <c r="AS4917" s="135"/>
      <c r="AT4917" s="132">
        <f>IF(AS4910&lt;=0,W_max,ABS(AS$23-AS4916))</f>
        <v>7174</v>
      </c>
      <c r="AU4917" s="151">
        <f>AS4905</f>
        <v>305192.11747524608</v>
      </c>
    </row>
    <row r="4918" spans="13:47" ht="13" x14ac:dyDescent="0.25">
      <c r="M4918" s="12"/>
      <c r="N4918" s="12"/>
      <c r="O4918" s="12"/>
      <c r="P4918" s="12"/>
      <c r="Q4918" s="12"/>
      <c r="R4918" s="182"/>
      <c r="S4918" s="22"/>
      <c r="T4918" s="152"/>
      <c r="U4918" s="157"/>
      <c r="V4918" s="1"/>
      <c r="W4918" s="147"/>
      <c r="X4918" s="157"/>
      <c r="Y4918" s="1"/>
      <c r="Z4918" s="147"/>
      <c r="AA4918" s="157"/>
      <c r="AB4918" s="1"/>
      <c r="AC4918" s="147"/>
      <c r="AD4918" s="157"/>
      <c r="AE4918" s="1"/>
      <c r="AF4918" s="147"/>
      <c r="AG4918" s="157"/>
      <c r="AH4918" s="1"/>
      <c r="AI4918" s="147"/>
      <c r="AJ4918" s="157"/>
      <c r="AK4918" s="1"/>
      <c r="AL4918" s="147"/>
      <c r="AM4918" s="157"/>
      <c r="AN4918" s="1"/>
      <c r="AO4918" s="147"/>
      <c r="AP4918" s="157"/>
      <c r="AQ4918" s="1"/>
      <c r="AR4918" s="147"/>
      <c r="AS4918" s="157"/>
      <c r="AT4918" s="1"/>
      <c r="AU4918" s="147"/>
    </row>
    <row r="4919" spans="13:47" ht="14" x14ac:dyDescent="0.3">
      <c r="M4919" s="23"/>
      <c r="N4919" s="23"/>
      <c r="O4919" s="23" t="s">
        <v>238</v>
      </c>
      <c r="P4919" s="20"/>
      <c r="Q4919" s="20"/>
      <c r="R4919" s="18">
        <f>R4905*1.02</f>
        <v>11488.555631463691</v>
      </c>
      <c r="S4919" s="128" t="s">
        <v>185</v>
      </c>
      <c r="T4919" s="153" t="s">
        <v>186</v>
      </c>
      <c r="U4919" s="143">
        <f>U4905*1.01</f>
        <v>14969.147104473112</v>
      </c>
      <c r="V4919" s="128" t="s">
        <v>185</v>
      </c>
      <c r="W4919" s="153" t="s">
        <v>186</v>
      </c>
      <c r="X4919" s="143">
        <f>X4905*1.01</f>
        <v>37020.482138748885</v>
      </c>
      <c r="Y4919" s="128" t="s">
        <v>185</v>
      </c>
      <c r="Z4919" s="153" t="s">
        <v>186</v>
      </c>
      <c r="AA4919" s="143">
        <f>AA4905*1.01</f>
        <v>72106.449898017061</v>
      </c>
      <c r="AB4919" s="128" t="s">
        <v>185</v>
      </c>
      <c r="AC4919" s="153" t="s">
        <v>186</v>
      </c>
      <c r="AD4919" s="143">
        <f>AD4905*1.01</f>
        <v>118588.5620624704</v>
      </c>
      <c r="AE4919" s="128" t="s">
        <v>185</v>
      </c>
      <c r="AF4919" s="153" t="s">
        <v>186</v>
      </c>
      <c r="AG4919" s="143">
        <f>AG4905*1.01</f>
        <v>166329.5879717631</v>
      </c>
      <c r="AH4919" s="128" t="s">
        <v>185</v>
      </c>
      <c r="AI4919" s="153" t="s">
        <v>186</v>
      </c>
      <c r="AJ4919" s="143">
        <f>AJ4905*1.01</f>
        <v>211194.4409237848</v>
      </c>
      <c r="AK4919" s="128" t="s">
        <v>185</v>
      </c>
      <c r="AL4919" s="153" t="s">
        <v>186</v>
      </c>
      <c r="AM4919" s="143">
        <f>AM4905*1.01</f>
        <v>247642.09135382978</v>
      </c>
      <c r="AN4919" s="128" t="s">
        <v>185</v>
      </c>
      <c r="AO4919" s="153" t="s">
        <v>186</v>
      </c>
      <c r="AP4919" s="143">
        <f>AP4905*1.01</f>
        <v>276286.44262546866</v>
      </c>
      <c r="AQ4919" s="128" t="s">
        <v>185</v>
      </c>
      <c r="AR4919" s="153" t="s">
        <v>186</v>
      </c>
      <c r="AS4919" s="143">
        <f>AS4905*1.01</f>
        <v>308244.03864999855</v>
      </c>
      <c r="AT4919" s="128" t="s">
        <v>185</v>
      </c>
      <c r="AU4919" s="153" t="s">
        <v>186</v>
      </c>
    </row>
    <row r="4920" spans="13:47" ht="14" x14ac:dyDescent="0.3">
      <c r="M4920" s="12"/>
      <c r="N4920" s="12"/>
      <c r="O4920" s="20"/>
      <c r="P4920" s="20"/>
      <c r="Q4920" s="23"/>
      <c r="R4920" s="139"/>
      <c r="S4920" s="130" t="s">
        <v>228</v>
      </c>
      <c r="T4920" s="154" t="s">
        <v>187</v>
      </c>
      <c r="U4920" s="144"/>
      <c r="V4920" s="130" t="s">
        <v>228</v>
      </c>
      <c r="W4920" s="154" t="s">
        <v>187</v>
      </c>
      <c r="X4920" s="144"/>
      <c r="Y4920" s="130" t="s">
        <v>228</v>
      </c>
      <c r="Z4920" s="154" t="s">
        <v>187</v>
      </c>
      <c r="AA4920" s="144"/>
      <c r="AB4920" s="130" t="s">
        <v>228</v>
      </c>
      <c r="AC4920" s="154" t="s">
        <v>187</v>
      </c>
      <c r="AD4920" s="144"/>
      <c r="AE4920" s="130" t="s">
        <v>228</v>
      </c>
      <c r="AF4920" s="154" t="s">
        <v>187</v>
      </c>
      <c r="AG4920" s="144"/>
      <c r="AH4920" s="130" t="s">
        <v>228</v>
      </c>
      <c r="AI4920" s="154" t="s">
        <v>187</v>
      </c>
      <c r="AJ4920" s="144"/>
      <c r="AK4920" s="130" t="s">
        <v>228</v>
      </c>
      <c r="AL4920" s="154" t="s">
        <v>187</v>
      </c>
      <c r="AM4920" s="144"/>
      <c r="AN4920" s="130" t="s">
        <v>228</v>
      </c>
      <c r="AO4920" s="154" t="s">
        <v>187</v>
      </c>
      <c r="AP4920" s="144"/>
      <c r="AQ4920" s="130" t="s">
        <v>228</v>
      </c>
      <c r="AR4920" s="154" t="s">
        <v>187</v>
      </c>
      <c r="AS4920" s="144"/>
      <c r="AT4920" s="130" t="s">
        <v>228</v>
      </c>
      <c r="AU4920" s="154" t="s">
        <v>187</v>
      </c>
    </row>
    <row r="4921" spans="13:47" x14ac:dyDescent="0.25">
      <c r="M4921" s="20"/>
      <c r="N4921" s="20"/>
      <c r="O4921" s="7" t="s">
        <v>188</v>
      </c>
      <c r="P4921" s="7"/>
      <c r="Q4921" s="7"/>
      <c r="R4921" s="181">
        <f>P_1_minW-(R4919^2*R_up)+dpup_minQ</f>
        <v>47.891443909936342</v>
      </c>
      <c r="S4921" s="132"/>
      <c r="T4921" s="145"/>
      <c r="U4921" s="138">
        <f>P_1_minW-(U4919^2*R_up)+dpup_minQ</f>
        <v>11.17008265580975</v>
      </c>
      <c r="V4921" s="132"/>
      <c r="W4921" s="145"/>
      <c r="X4921" s="138">
        <f>P_1_minW-(X4919^2*R_up)+dpup_minQ</f>
        <v>-445.98672939964956</v>
      </c>
      <c r="Y4921" s="132"/>
      <c r="Z4921" s="145"/>
      <c r="AA4921" s="138">
        <f>P_1_minW-(AA4919^2*R_up)+dpup_minQ</f>
        <v>-1972.7756269808101</v>
      </c>
      <c r="AB4921" s="132"/>
      <c r="AC4921" s="145"/>
      <c r="AD4921" s="138">
        <f>P_1_minW-(AD4919^2*R_up)+dpup_minQ</f>
        <v>-5507.36343520418</v>
      </c>
      <c r="AE4921" s="132"/>
      <c r="AF4921" s="145"/>
      <c r="AG4921" s="138">
        <f>P_1_minW-(AG4919^2*R_up)+dpup_minQ</f>
        <v>-10931.435496098497</v>
      </c>
      <c r="AH4921" s="132"/>
      <c r="AI4921" s="145"/>
      <c r="AJ4921" s="138">
        <f>P_1_minW-(AJ4919^2*R_up)+dpup_minQ</f>
        <v>-17685.488044755286</v>
      </c>
      <c r="AK4921" s="132"/>
      <c r="AL4921" s="145"/>
      <c r="AM4921" s="138">
        <f>P_1_minW-(AM4919^2*R_up)+dpup_minQ</f>
        <v>-24354.187014276358</v>
      </c>
      <c r="AN4921" s="132"/>
      <c r="AO4921" s="145"/>
      <c r="AP4921" s="138">
        <f>P_1_minW-(AP4919^2*R_up)+dpup_minQ</f>
        <v>-30338.642348190573</v>
      </c>
      <c r="AQ4921" s="132"/>
      <c r="AR4921" s="145"/>
      <c r="AS4921" s="138">
        <f>P_1_minW-(AS4919^2*R_up)+dpup_minQ</f>
        <v>-37787.588814284587</v>
      </c>
      <c r="AT4921" s="132"/>
      <c r="AU4921" s="145"/>
    </row>
    <row r="4922" spans="13:47" x14ac:dyDescent="0.25">
      <c r="M4922" s="20"/>
      <c r="N4922" s="20"/>
      <c r="O4922" s="7" t="s">
        <v>189</v>
      </c>
      <c r="P4922" s="1"/>
      <c r="Q4922" s="7"/>
      <c r="R4922" s="181">
        <f>P_2_minW+(R4919^2*R_dn)-dpdn_minQ</f>
        <v>50</v>
      </c>
      <c r="S4922" s="132"/>
      <c r="T4922" s="146"/>
      <c r="U4922" s="138">
        <f>P_2_minW+(U4919^2*R_dn)-dpdn_minQ</f>
        <v>50</v>
      </c>
      <c r="V4922" s="132"/>
      <c r="W4922" s="146"/>
      <c r="X4922" s="138">
        <f>P_2_minW+(X4919^2*R_dn)-dpdn_minQ</f>
        <v>50</v>
      </c>
      <c r="Y4922" s="132"/>
      <c r="Z4922" s="146"/>
      <c r="AA4922" s="138">
        <f>P_2_minW+(AA4919^2*R_dn)-dpdn_minQ</f>
        <v>50</v>
      </c>
      <c r="AB4922" s="132"/>
      <c r="AC4922" s="146"/>
      <c r="AD4922" s="138">
        <f>P_2_minW+(AD4919^2*R_dn)-dpdn_minQ</f>
        <v>50</v>
      </c>
      <c r="AE4922" s="132"/>
      <c r="AF4922" s="146"/>
      <c r="AG4922" s="138">
        <f>P_2_minW+(AG4919^2*R_dn)-dpdn_minQ</f>
        <v>50</v>
      </c>
      <c r="AH4922" s="132"/>
      <c r="AI4922" s="146"/>
      <c r="AJ4922" s="138">
        <f>P_2_minW+(AJ4919^2*R_dn)-dpdn_minQ</f>
        <v>50</v>
      </c>
      <c r="AK4922" s="132"/>
      <c r="AL4922" s="146"/>
      <c r="AM4922" s="138">
        <f>P_2_minW+(AM4919^2*R_dn)-dpdn_minQ</f>
        <v>50</v>
      </c>
      <c r="AN4922" s="132"/>
      <c r="AO4922" s="146"/>
      <c r="AP4922" s="138">
        <f>P_2_minW+(AP4919^2*R_dn)-dpdn_minQ</f>
        <v>50</v>
      </c>
      <c r="AQ4922" s="132"/>
      <c r="AR4922" s="146"/>
      <c r="AS4922" s="138">
        <f>P_2_minW+(AS4919^2*R_dn)-dpdn_minQ</f>
        <v>50</v>
      </c>
      <c r="AT4922" s="132"/>
      <c r="AU4922" s="146"/>
    </row>
    <row r="4923" spans="13:47" x14ac:dyDescent="0.25">
      <c r="M4923" s="20"/>
      <c r="N4923" s="20"/>
      <c r="O4923" s="7" t="s">
        <v>234</v>
      </c>
      <c r="P4923" s="1"/>
      <c r="Q4923" s="7"/>
      <c r="R4923" s="179">
        <f>'Valve Sizing'!G$8*R4921/P_1_maxW</f>
        <v>0.23101979887548768</v>
      </c>
      <c r="S4923" s="132"/>
      <c r="T4923" s="146"/>
      <c r="U4923" s="143">
        <f>'Valve Sizing'!$G$8*U4921/P_1_maxW</f>
        <v>5.3882490020985704E-2</v>
      </c>
      <c r="V4923" s="132"/>
      <c r="W4923" s="146"/>
      <c r="X4923" s="143">
        <f>'Valve Sizing'!$G$8*X4921/P_1_maxW</f>
        <v>-2.1513605795808326</v>
      </c>
      <c r="Y4923" s="132"/>
      <c r="Z4923" s="146"/>
      <c r="AA4923" s="143">
        <f>'Valve Sizing'!$G$8*AA4921/P_1_maxW</f>
        <v>-9.5163183935035516</v>
      </c>
      <c r="AB4923" s="132"/>
      <c r="AC4923" s="146"/>
      <c r="AD4923" s="143">
        <f>'Valve Sizing'!$G$8*AD4921/P_1_maxW</f>
        <v>-26.56654068580109</v>
      </c>
      <c r="AE4923" s="132"/>
      <c r="AF4923" s="146"/>
      <c r="AG4923" s="143">
        <f>'Valve Sizing'!$G$8*AG4921/P_1_maxW</f>
        <v>-52.731298611046576</v>
      </c>
      <c r="AH4923" s="132"/>
      <c r="AI4923" s="146"/>
      <c r="AJ4923" s="143">
        <f>'Valve Sizing'!$G$8*AJ4921/P_1_maxW</f>
        <v>-85.311645620827107</v>
      </c>
      <c r="AK4923" s="132"/>
      <c r="AL4923" s="146"/>
      <c r="AM4923" s="143">
        <f>'Valve Sizing'!$G$8*AM4921/P_1_maxW</f>
        <v>-117.48026216112507</v>
      </c>
      <c r="AN4923" s="132"/>
      <c r="AO4923" s="146"/>
      <c r="AP4923" s="143">
        <f>'Valve Sizing'!$G$8*AP4921/P_1_maxW</f>
        <v>-146.34820922532623</v>
      </c>
      <c r="AQ4923" s="132"/>
      <c r="AR4923" s="146"/>
      <c r="AS4923" s="143">
        <f>'Valve Sizing'!$G$8*AS4921/P_1_maxW</f>
        <v>-182.28060077458744</v>
      </c>
      <c r="AT4923" s="132"/>
      <c r="AU4923" s="146"/>
    </row>
    <row r="4924" spans="13:47" x14ac:dyDescent="0.25">
      <c r="M4924" s="20"/>
      <c r="N4924" s="20"/>
      <c r="O4924" s="7" t="s">
        <v>190</v>
      </c>
      <c r="P4924" s="1"/>
      <c r="Q4924" s="7"/>
      <c r="R4924" s="181">
        <f>R4921-R4922</f>
        <v>-2.108556090063658</v>
      </c>
      <c r="S4924" s="132"/>
      <c r="T4924" s="146"/>
      <c r="U4924" s="138">
        <f>U4921-U4922</f>
        <v>-38.82991734419025</v>
      </c>
      <c r="V4924" s="132"/>
      <c r="W4924" s="146"/>
      <c r="X4924" s="138">
        <f>X4921-X4922</f>
        <v>-495.98672939964956</v>
      </c>
      <c r="Y4924" s="132"/>
      <c r="Z4924" s="146"/>
      <c r="AA4924" s="138">
        <f>AA4921-AA4922</f>
        <v>-2022.7756269808101</v>
      </c>
      <c r="AB4924" s="132"/>
      <c r="AC4924" s="146"/>
      <c r="AD4924" s="138">
        <f>AD4921-AD4922</f>
        <v>-5557.36343520418</v>
      </c>
      <c r="AE4924" s="132"/>
      <c r="AF4924" s="146"/>
      <c r="AG4924" s="138">
        <f>AG4921-AG4922</f>
        <v>-10981.435496098497</v>
      </c>
      <c r="AH4924" s="132"/>
      <c r="AI4924" s="146"/>
      <c r="AJ4924" s="138">
        <f>AJ4921-AJ4922</f>
        <v>-17735.488044755286</v>
      </c>
      <c r="AK4924" s="132"/>
      <c r="AL4924" s="146"/>
      <c r="AM4924" s="138">
        <f>AM4921-AM4922</f>
        <v>-24404.187014276358</v>
      </c>
      <c r="AN4924" s="132"/>
      <c r="AO4924" s="146"/>
      <c r="AP4924" s="138">
        <f>AP4921-AP4922</f>
        <v>-30388.642348190573</v>
      </c>
      <c r="AQ4924" s="132"/>
      <c r="AR4924" s="146"/>
      <c r="AS4924" s="138">
        <f>AS4921-AS4922</f>
        <v>-37837.588814284587</v>
      </c>
      <c r="AT4924" s="132"/>
      <c r="AU4924" s="146"/>
    </row>
    <row r="4925" spans="13:47" ht="14.5" x14ac:dyDescent="0.35">
      <c r="M4925" s="27"/>
      <c r="N4925" s="27"/>
      <c r="O4925" s="2" t="s">
        <v>191</v>
      </c>
      <c r="P4925" s="10"/>
      <c r="Q4925" s="2"/>
      <c r="R4925" s="181">
        <f>R4924/R4921</f>
        <v>-4.4027824553149096E-2</v>
      </c>
      <c r="S4925" s="132"/>
      <c r="T4925" s="146"/>
      <c r="U4925" s="138">
        <f>U4924/U4921</f>
        <v>-3.4762426152678598</v>
      </c>
      <c r="V4925" s="132"/>
      <c r="W4925" s="146"/>
      <c r="X4925" s="138">
        <f>X4924/X4921</f>
        <v>1.112110959147385</v>
      </c>
      <c r="Y4925" s="132"/>
      <c r="Z4925" s="146"/>
      <c r="AA4925" s="138">
        <f>AA4924/AA4921</f>
        <v>1.0253450008790514</v>
      </c>
      <c r="AB4925" s="132"/>
      <c r="AC4925" s="146"/>
      <c r="AD4925" s="138">
        <f>AD4924/AD4921</f>
        <v>1.0090787543964121</v>
      </c>
      <c r="AE4925" s="132"/>
      <c r="AF4925" s="146"/>
      <c r="AG4925" s="138">
        <f>AG4924/AG4921</f>
        <v>1.0045739646927292</v>
      </c>
      <c r="AH4925" s="132"/>
      <c r="AI4925" s="146"/>
      <c r="AJ4925" s="138">
        <f>AJ4924/AJ4921</f>
        <v>1.0028271767153651</v>
      </c>
      <c r="AK4925" s="132"/>
      <c r="AL4925" s="146"/>
      <c r="AM4925" s="138">
        <f>AM4924/AM4921</f>
        <v>1.0020530350682899</v>
      </c>
      <c r="AN4925" s="132"/>
      <c r="AO4925" s="146"/>
      <c r="AP4925" s="138">
        <f>AP4924/AP4921</f>
        <v>1.0016480632002631</v>
      </c>
      <c r="AQ4925" s="132"/>
      <c r="AR4925" s="146"/>
      <c r="AS4925" s="138">
        <f>AS4924/AS4921</f>
        <v>1.0013231857752485</v>
      </c>
      <c r="AT4925" s="132"/>
      <c r="AU4925" s="146"/>
    </row>
    <row r="4926" spans="13:47" x14ac:dyDescent="0.25">
      <c r="M4926" s="27"/>
      <c r="N4926" s="27"/>
      <c r="O4926" s="2" t="s">
        <v>26</v>
      </c>
      <c r="P4926" s="7">
        <v>12</v>
      </c>
      <c r="Q4926" s="2"/>
      <c r="R4926" s="181">
        <f>1-R4925/(3*F_GAMMA*R$29)</f>
        <v>1.0229301955477861</v>
      </c>
      <c r="S4926" s="133"/>
      <c r="T4926" s="146"/>
      <c r="U4926" s="138">
        <f>1-U4925/(3*F_GAMMA*U$29)</f>
        <v>2.8100683689964421</v>
      </c>
      <c r="V4926" s="133"/>
      <c r="W4926" s="146"/>
      <c r="X4926" s="138">
        <f>1-X4925/(3*F_GAMMA*X$29)</f>
        <v>0.4122403834184194</v>
      </c>
      <c r="Y4926" s="133"/>
      <c r="Z4926" s="146"/>
      <c r="AA4926" s="138">
        <f>1-AA4925/(3*F_GAMMA*AA$29)</f>
        <v>0.45066664682548219</v>
      </c>
      <c r="AB4926" s="133"/>
      <c r="AC4926" s="146"/>
      <c r="AD4926" s="138">
        <f>1-AD4925/(3*F_GAMMA*AD$29)</f>
        <v>0.44455875059222205</v>
      </c>
      <c r="AE4926" s="133"/>
      <c r="AF4926" s="146"/>
      <c r="AG4926" s="138">
        <f>1-AG4925/(3*F_GAMMA*AG$29)</f>
        <v>0.41549658093768715</v>
      </c>
      <c r="AH4926" s="133"/>
      <c r="AI4926" s="146"/>
      <c r="AJ4926" s="138">
        <f>1-AJ4925/(3*F_GAMMA*AJ$29)</f>
        <v>0.37624441819424304</v>
      </c>
      <c r="AK4926" s="133"/>
      <c r="AL4926" s="146"/>
      <c r="AM4926" s="138">
        <f>1-AM4925/(3*F_GAMMA*AM$29)</f>
        <v>0.31900970075559276</v>
      </c>
      <c r="AN4926" s="133"/>
      <c r="AO4926" s="146"/>
      <c r="AP4926" s="138">
        <f>1-AP4925/(3*F_GAMMA*AP$29)</f>
        <v>0.43746262905887268</v>
      </c>
      <c r="AQ4926" s="133"/>
      <c r="AR4926" s="146"/>
      <c r="AS4926" s="138">
        <f>1-AS4925/(3*F_GAMMA*AS$29)</f>
        <v>0.14629637261591988</v>
      </c>
      <c r="AT4926" s="133"/>
      <c r="AU4926" s="146"/>
    </row>
    <row r="4927" spans="13:47" x14ac:dyDescent="0.25">
      <c r="M4927" s="27"/>
      <c r="N4927" s="27"/>
      <c r="O4927" s="2" t="s">
        <v>71</v>
      </c>
      <c r="P4927" s="85">
        <v>5</v>
      </c>
      <c r="Q4927" s="2"/>
      <c r="R4927" s="179" t="e">
        <f>R4919/((N_6*R$27*R4926)*SQRT(R4925*R4921*R4923))</f>
        <v>#NUM!</v>
      </c>
      <c r="S4927" s="133"/>
      <c r="T4927" s="146"/>
      <c r="U4927" s="143" t="e">
        <f>U4919/((N_6*U$27*U4926)*SQRT(U4925*U4921*U4923))</f>
        <v>#NUM!</v>
      </c>
      <c r="V4927" s="133"/>
      <c r="W4927" s="146"/>
      <c r="X4927" s="143">
        <f>X4919/((N_6*X$27*X4926)*SQRT(X4925*X4921*X4923))</f>
        <v>43.559114427819793</v>
      </c>
      <c r="Y4927" s="133"/>
      <c r="Z4927" s="146"/>
      <c r="AA4927" s="143">
        <f>AA4919/((N_6*AA$27*AA4926)*SQRT(AA4925*AA4921*AA4923))</f>
        <v>18.377231088856551</v>
      </c>
      <c r="AB4927" s="133"/>
      <c r="AC4927" s="146"/>
      <c r="AD4927" s="143">
        <f>AD4919/((N_6*AD$27*AD4926)*SQRT(AD4925*AD4921*AD4923))</f>
        <v>11.195052515351133</v>
      </c>
      <c r="AE4927" s="133"/>
      <c r="AF4927" s="146"/>
      <c r="AG4927" s="143">
        <f>AG4919/((N_6*AG$27*AG4926)*SQRT(AG4925*AG4921*AG4923))</f>
        <v>8.6660938297346917</v>
      </c>
      <c r="AH4927" s="133"/>
      <c r="AI4927" s="146"/>
      <c r="AJ4927" s="143">
        <f>AJ4919/((N_6*AJ$27*AJ4926)*SQRT(AJ4925*AJ4921*AJ4923))</f>
        <v>7.7755547096454229</v>
      </c>
      <c r="AK4927" s="133"/>
      <c r="AL4927" s="146"/>
      <c r="AM4927" s="143">
        <f>AM4919/((N_6*AM$27*AM4926)*SQRT(AM4925*AM4921*AM4923))</f>
        <v>8.2915340320645505</v>
      </c>
      <c r="AN4927" s="133"/>
      <c r="AO4927" s="146"/>
      <c r="AP4927" s="143">
        <f>AP4919/((N_6*AP$27*AP4926)*SQRT(AP4925*AP4921*AP4923))</f>
        <v>6.1525099334269004</v>
      </c>
      <c r="AQ4927" s="133"/>
      <c r="AR4927" s="146"/>
      <c r="AS4927" s="143">
        <f>AS4919/((N_6*AS$27*AS4926)*SQRT(AS4925*AS4921*AS4923))</f>
        <v>21.657067857998182</v>
      </c>
      <c r="AT4927" s="133"/>
      <c r="AU4927" s="146"/>
    </row>
    <row r="4928" spans="13:47" x14ac:dyDescent="0.25">
      <c r="M4928" s="27"/>
      <c r="N4928" s="27"/>
      <c r="O4928" s="2" t="s">
        <v>73</v>
      </c>
      <c r="P4928" s="85">
        <v>5</v>
      </c>
      <c r="Q4928" s="2"/>
      <c r="R4928" s="179">
        <f>R4919/((N_6*R$27*0.667)*SQRT(R4929*R4921*R4923))</f>
        <v>102.26680169959064</v>
      </c>
      <c r="S4928" s="133"/>
      <c r="T4928" s="155"/>
      <c r="U4928" s="143">
        <f>U4919/((N_6*U$27*0.667)*SQRT(U4929*U4921*U4923))</f>
        <v>571.59706541659568</v>
      </c>
      <c r="V4928" s="133"/>
      <c r="W4928" s="155"/>
      <c r="X4928" s="143">
        <f>X4919/((N_6*X$27*0.667)*SQRT(X4929*X4921*X4923))</f>
        <v>35.749028195835926</v>
      </c>
      <c r="Y4928" s="133"/>
      <c r="Z4928" s="155"/>
      <c r="AA4928" s="143">
        <f>AA4919/((N_6*AA$27*0.667)*SQRT(AA4929*AA4921*AA4923))</f>
        <v>15.939998341660017</v>
      </c>
      <c r="AB4928" s="133"/>
      <c r="AC4928" s="155"/>
      <c r="AD4928" s="143">
        <f>AD4919/((N_6*AD$27*0.667)*SQRT(AD4929*AD4921*AD4923))</f>
        <v>9.6318377100514265</v>
      </c>
      <c r="AE4928" s="133"/>
      <c r="AF4928" s="155"/>
      <c r="AG4928" s="143">
        <f>AG4919/((N_6*AG$27*0.667)*SQRT(AG4929*AG4921*AG4923))</f>
        <v>7.1485698106931181</v>
      </c>
      <c r="AH4928" s="133"/>
      <c r="AI4928" s="155"/>
      <c r="AJ4928" s="143">
        <f>AJ4919/((N_6*AJ$27*0.667)*SQRT(AJ4929*AJ4921*AJ4923))</f>
        <v>5.9998924150053901</v>
      </c>
      <c r="AK4928" s="133"/>
      <c r="AL4928" s="155"/>
      <c r="AM4928" s="143">
        <f>AM4919/((N_6*AM$27*0.667)*SQRT(AM4929*AM4921*AM4923))</f>
        <v>5.6681852220374633</v>
      </c>
      <c r="AN4928" s="133"/>
      <c r="AO4928" s="155"/>
      <c r="AP4928" s="143">
        <f>AP4919/((N_6*AP$27*0.667)*SQRT(AP4929*AP4921*AP4923))</f>
        <v>5.2420814573729677</v>
      </c>
      <c r="AQ4928" s="133"/>
      <c r="AR4928" s="155"/>
      <c r="AS4928" s="143">
        <f>AS4919/((N_6*AS$27*0.667)*SQRT(AS4929*AS4921*AS4923))</f>
        <v>7.6018898445212599</v>
      </c>
      <c r="AT4928" s="133"/>
      <c r="AU4928" s="155"/>
    </row>
    <row r="4929" spans="13:47" ht="15.5" x14ac:dyDescent="0.4">
      <c r="M4929" s="27"/>
      <c r="N4929" s="27"/>
      <c r="O4929" s="2" t="s">
        <v>192</v>
      </c>
      <c r="P4929" s="85">
        <v>10</v>
      </c>
      <c r="Q4929" s="2"/>
      <c r="R4929" s="181">
        <f>F_GAMMA*R$29</f>
        <v>0.64002688015162901</v>
      </c>
      <c r="S4929" s="133"/>
      <c r="T4929" s="155"/>
      <c r="U4929" s="138">
        <f>F_GAMMA*U$29</f>
        <v>0.64016782916606918</v>
      </c>
      <c r="V4929" s="133"/>
      <c r="W4929" s="155"/>
      <c r="X4929" s="138">
        <f>F_GAMMA*X$29</f>
        <v>0.6307062319203669</v>
      </c>
      <c r="Y4929" s="133"/>
      <c r="Z4929" s="155"/>
      <c r="AA4929" s="138">
        <f>F_GAMMA*AA$29</f>
        <v>0.62217534213893466</v>
      </c>
      <c r="AB4929" s="133"/>
      <c r="AC4929" s="155"/>
      <c r="AD4929" s="138">
        <f>F_GAMMA*AD$29</f>
        <v>0.60557184969146072</v>
      </c>
      <c r="AE4929" s="133"/>
      <c r="AF4929" s="155"/>
      <c r="AG4929" s="138">
        <f>F_GAMMA*AG$29</f>
        <v>0.57289312142622573</v>
      </c>
      <c r="AH4929" s="133"/>
      <c r="AI4929" s="155"/>
      <c r="AJ4929" s="138">
        <f>F_GAMMA*AJ$29</f>
        <v>0.53590819116049981</v>
      </c>
      <c r="AK4929" s="133"/>
      <c r="AL4929" s="155"/>
      <c r="AM4929" s="138">
        <f>F_GAMMA*AM$29</f>
        <v>0.49048815926850342</v>
      </c>
      <c r="AN4929" s="133"/>
      <c r="AO4929" s="155"/>
      <c r="AP4929" s="138">
        <f>F_GAMMA*AP$29</f>
        <v>0.59352979016280105</v>
      </c>
      <c r="AQ4929" s="133"/>
      <c r="AR4929" s="155"/>
      <c r="AS4929" s="138">
        <f>F_GAMMA*AS$29</f>
        <v>0.39097221161068291</v>
      </c>
      <c r="AT4929" s="133"/>
      <c r="AU4929" s="155"/>
    </row>
    <row r="4930" spans="13:47" x14ac:dyDescent="0.25">
      <c r="M4930" s="27"/>
      <c r="N4930" s="27"/>
      <c r="O4930" s="2" t="s">
        <v>193</v>
      </c>
      <c r="P4930" s="134"/>
      <c r="Q4930" s="2"/>
      <c r="R4930" s="181" t="e">
        <f>IF(R4925&lt;R4929,R4927,R4928)</f>
        <v>#NUM!</v>
      </c>
      <c r="S4930" s="133"/>
      <c r="T4930" s="155"/>
      <c r="U4930" s="138" t="e">
        <f>IF(U4925&lt;U4929,U4927,U4928)</f>
        <v>#NUM!</v>
      </c>
      <c r="V4930" s="133"/>
      <c r="W4930" s="155"/>
      <c r="X4930" s="138">
        <f>IF(X4925&lt;X4929,X4927,X4928)</f>
        <v>35.749028195835926</v>
      </c>
      <c r="Y4930" s="133"/>
      <c r="Z4930" s="155"/>
      <c r="AA4930" s="138">
        <f>IF(AA4925&lt;AA4929,AA4927,AA4928)</f>
        <v>15.939998341660017</v>
      </c>
      <c r="AB4930" s="133"/>
      <c r="AC4930" s="155"/>
      <c r="AD4930" s="138">
        <f>IF(AD4925&lt;AD4929,AD4927,AD4928)</f>
        <v>9.6318377100514265</v>
      </c>
      <c r="AE4930" s="133"/>
      <c r="AF4930" s="155"/>
      <c r="AG4930" s="138">
        <f>IF(AG4925&lt;AG4929,AG4927,AG4928)</f>
        <v>7.1485698106931181</v>
      </c>
      <c r="AH4930" s="133"/>
      <c r="AI4930" s="155"/>
      <c r="AJ4930" s="138">
        <f>IF(AJ4925&lt;AJ4929,AJ4927,AJ4928)</f>
        <v>5.9998924150053901</v>
      </c>
      <c r="AK4930" s="133"/>
      <c r="AL4930" s="155"/>
      <c r="AM4930" s="138">
        <f>IF(AM4925&lt;AM4929,AM4927,AM4928)</f>
        <v>5.6681852220374633</v>
      </c>
      <c r="AN4930" s="133"/>
      <c r="AO4930" s="155"/>
      <c r="AP4930" s="138">
        <f>IF(AP4925&lt;AP4929,AP4927,AP4928)</f>
        <v>5.2420814573729677</v>
      </c>
      <c r="AQ4930" s="133"/>
      <c r="AR4930" s="155"/>
      <c r="AS4930" s="138">
        <f>IF(AS4925&lt;AS4929,AS4927,AS4928)</f>
        <v>7.6018898445212599</v>
      </c>
      <c r="AT4930" s="133"/>
      <c r="AU4930" s="155"/>
    </row>
    <row r="4931" spans="13:47" ht="13" x14ac:dyDescent="0.3">
      <c r="M4931" s="28"/>
      <c r="N4931" s="28"/>
      <c r="O4931" s="9" t="s">
        <v>194</v>
      </c>
      <c r="P4931" s="1"/>
      <c r="Q4931" s="1"/>
      <c r="R4931" s="135"/>
      <c r="S4931" s="132">
        <f>IF(R4924&lt;=0,W_max,ABS(R$23-R4930))</f>
        <v>7174</v>
      </c>
      <c r="T4931" s="151">
        <f>R4919</f>
        <v>11488.555631463691</v>
      </c>
      <c r="U4931" s="135"/>
      <c r="V4931" s="132">
        <f>IF(U4924&lt;=0,W_max,ABS(U$23-U4930))</f>
        <v>7174</v>
      </c>
      <c r="W4931" s="151">
        <f>U4919</f>
        <v>14969.147104473112</v>
      </c>
      <c r="X4931" s="135"/>
      <c r="Y4931" s="132">
        <f>IF(X4924&lt;=0,W_max,ABS(X$23-X4930))</f>
        <v>7174</v>
      </c>
      <c r="Z4931" s="151">
        <f>X4919</f>
        <v>37020.482138748885</v>
      </c>
      <c r="AA4931" s="135"/>
      <c r="AB4931" s="132">
        <f>IF(AA4924&lt;=0,W_max,ABS(AA$23-AA4930))</f>
        <v>7174</v>
      </c>
      <c r="AC4931" s="151">
        <f>AA4919</f>
        <v>72106.449898017061</v>
      </c>
      <c r="AD4931" s="135"/>
      <c r="AE4931" s="132">
        <f>IF(AD4924&lt;=0,W_max,ABS(AD$23-AD4930))</f>
        <v>7174</v>
      </c>
      <c r="AF4931" s="151">
        <f>AD4919</f>
        <v>118588.5620624704</v>
      </c>
      <c r="AG4931" s="135"/>
      <c r="AH4931" s="132">
        <f>IF(AG4924&lt;=0,W_max,ABS(AG$23-AG4930))</f>
        <v>7174</v>
      </c>
      <c r="AI4931" s="151">
        <f>AG4919</f>
        <v>166329.5879717631</v>
      </c>
      <c r="AJ4931" s="135"/>
      <c r="AK4931" s="132">
        <f>IF(AJ4924&lt;=0,W_max,ABS(AJ$23-AJ4930))</f>
        <v>7174</v>
      </c>
      <c r="AL4931" s="151">
        <f>AJ4919</f>
        <v>211194.4409237848</v>
      </c>
      <c r="AM4931" s="135"/>
      <c r="AN4931" s="132">
        <f>IF(AM4924&lt;=0,W_max,ABS(AM$23-AM4930))</f>
        <v>7174</v>
      </c>
      <c r="AO4931" s="151">
        <f>AM4919</f>
        <v>247642.09135382978</v>
      </c>
      <c r="AP4931" s="135"/>
      <c r="AQ4931" s="132">
        <f>IF(AP4924&lt;=0,W_max,ABS(AP$23-AP4930))</f>
        <v>7174</v>
      </c>
      <c r="AR4931" s="151">
        <f>AP4919</f>
        <v>276286.44262546866</v>
      </c>
      <c r="AS4931" s="135"/>
      <c r="AT4931" s="132">
        <f>IF(AS4924&lt;=0,W_max,ABS(AS$23-AS4930))</f>
        <v>7174</v>
      </c>
      <c r="AU4931" s="151">
        <f>AS4919</f>
        <v>308244.03864999855</v>
      </c>
    </row>
    <row r="4932" spans="13:47" ht="13" x14ac:dyDescent="0.25">
      <c r="M4932" s="12"/>
      <c r="N4932" s="12"/>
      <c r="O4932" s="2"/>
      <c r="P4932" s="85"/>
      <c r="Q4932" s="2"/>
      <c r="R4932" s="18"/>
      <c r="S4932" s="150"/>
      <c r="T4932" s="152"/>
      <c r="U4932" s="157"/>
      <c r="V4932" s="1"/>
      <c r="W4932" s="147"/>
      <c r="X4932" s="157"/>
      <c r="Y4932" s="1"/>
      <c r="Z4932" s="147"/>
      <c r="AA4932" s="157"/>
      <c r="AB4932" s="1"/>
      <c r="AC4932" s="147"/>
      <c r="AD4932" s="157"/>
      <c r="AE4932" s="1"/>
      <c r="AF4932" s="147"/>
      <c r="AG4932" s="157"/>
      <c r="AH4932" s="1"/>
      <c r="AI4932" s="147"/>
      <c r="AJ4932" s="157"/>
      <c r="AK4932" s="1"/>
      <c r="AL4932" s="147"/>
      <c r="AM4932" s="157"/>
      <c r="AN4932" s="1"/>
      <c r="AO4932" s="147"/>
      <c r="AP4932" s="157"/>
      <c r="AQ4932" s="1"/>
      <c r="AR4932" s="147"/>
      <c r="AS4932" s="157"/>
      <c r="AT4932" s="1"/>
      <c r="AU4932" s="147"/>
    </row>
    <row r="4933" spans="13:47" ht="14" x14ac:dyDescent="0.3">
      <c r="M4933" s="23"/>
      <c r="N4933" s="23"/>
      <c r="O4933" s="23" t="s">
        <v>238</v>
      </c>
      <c r="P4933" s="20"/>
      <c r="Q4933" s="20"/>
      <c r="R4933" s="181">
        <f>R4919*1.02</f>
        <v>11718.326744092965</v>
      </c>
      <c r="S4933" s="128" t="s">
        <v>185</v>
      </c>
      <c r="T4933" s="153" t="s">
        <v>186</v>
      </c>
      <c r="U4933" s="143">
        <f>U4919*1.01</f>
        <v>15118.838575517842</v>
      </c>
      <c r="V4933" s="128" t="s">
        <v>185</v>
      </c>
      <c r="W4933" s="153" t="s">
        <v>186</v>
      </c>
      <c r="X4933" s="143">
        <f>X4919*1.01</f>
        <v>37390.686960136372</v>
      </c>
      <c r="Y4933" s="128" t="s">
        <v>185</v>
      </c>
      <c r="Z4933" s="153" t="s">
        <v>186</v>
      </c>
      <c r="AA4933" s="143">
        <f>AA4919*1.01</f>
        <v>72827.514396997227</v>
      </c>
      <c r="AB4933" s="128" t="s">
        <v>185</v>
      </c>
      <c r="AC4933" s="153" t="s">
        <v>186</v>
      </c>
      <c r="AD4933" s="143">
        <f>AD4919*1.01</f>
        <v>119774.4476830951</v>
      </c>
      <c r="AE4933" s="128" t="s">
        <v>185</v>
      </c>
      <c r="AF4933" s="153" t="s">
        <v>186</v>
      </c>
      <c r="AG4933" s="143">
        <f>AG4919*1.01</f>
        <v>167992.88385148073</v>
      </c>
      <c r="AH4933" s="128" t="s">
        <v>185</v>
      </c>
      <c r="AI4933" s="153" t="s">
        <v>186</v>
      </c>
      <c r="AJ4933" s="143">
        <f>AJ4919*1.01</f>
        <v>213306.38533302266</v>
      </c>
      <c r="AK4933" s="128" t="s">
        <v>185</v>
      </c>
      <c r="AL4933" s="153" t="s">
        <v>186</v>
      </c>
      <c r="AM4933" s="143">
        <f>AM4919*1.01</f>
        <v>250118.51226736809</v>
      </c>
      <c r="AN4933" s="128" t="s">
        <v>185</v>
      </c>
      <c r="AO4933" s="153" t="s">
        <v>186</v>
      </c>
      <c r="AP4933" s="143">
        <f>AP4919*1.01</f>
        <v>279049.30705172336</v>
      </c>
      <c r="AQ4933" s="128" t="s">
        <v>185</v>
      </c>
      <c r="AR4933" s="153" t="s">
        <v>186</v>
      </c>
      <c r="AS4933" s="143">
        <f>AS4919*1.01</f>
        <v>311326.47903649852</v>
      </c>
      <c r="AT4933" s="128" t="s">
        <v>185</v>
      </c>
      <c r="AU4933" s="153" t="s">
        <v>186</v>
      </c>
    </row>
    <row r="4934" spans="13:47" ht="14" x14ac:dyDescent="0.3">
      <c r="M4934" s="12"/>
      <c r="N4934" s="12"/>
      <c r="O4934" s="20"/>
      <c r="P4934" s="20"/>
      <c r="Q4934" s="23"/>
      <c r="R4934" s="139"/>
      <c r="S4934" s="130" t="s">
        <v>228</v>
      </c>
      <c r="T4934" s="154" t="s">
        <v>187</v>
      </c>
      <c r="U4934" s="144"/>
      <c r="V4934" s="130" t="s">
        <v>228</v>
      </c>
      <c r="W4934" s="154" t="s">
        <v>187</v>
      </c>
      <c r="X4934" s="144"/>
      <c r="Y4934" s="130" t="s">
        <v>228</v>
      </c>
      <c r="Z4934" s="154" t="s">
        <v>187</v>
      </c>
      <c r="AA4934" s="144"/>
      <c r="AB4934" s="130" t="s">
        <v>228</v>
      </c>
      <c r="AC4934" s="154" t="s">
        <v>187</v>
      </c>
      <c r="AD4934" s="144"/>
      <c r="AE4934" s="130" t="s">
        <v>228</v>
      </c>
      <c r="AF4934" s="154" t="s">
        <v>187</v>
      </c>
      <c r="AG4934" s="144"/>
      <c r="AH4934" s="130" t="s">
        <v>228</v>
      </c>
      <c r="AI4934" s="154" t="s">
        <v>187</v>
      </c>
      <c r="AJ4934" s="144"/>
      <c r="AK4934" s="130" t="s">
        <v>228</v>
      </c>
      <c r="AL4934" s="154" t="s">
        <v>187</v>
      </c>
      <c r="AM4934" s="144"/>
      <c r="AN4934" s="130" t="s">
        <v>228</v>
      </c>
      <c r="AO4934" s="154" t="s">
        <v>187</v>
      </c>
      <c r="AP4934" s="144"/>
      <c r="AQ4934" s="130" t="s">
        <v>228</v>
      </c>
      <c r="AR4934" s="154" t="s">
        <v>187</v>
      </c>
      <c r="AS4934" s="144"/>
      <c r="AT4934" s="130" t="s">
        <v>228</v>
      </c>
      <c r="AU4934" s="154" t="s">
        <v>187</v>
      </c>
    </row>
    <row r="4935" spans="13:47" x14ac:dyDescent="0.25">
      <c r="M4935" s="20"/>
      <c r="N4935" s="20"/>
      <c r="O4935" s="7" t="s">
        <v>188</v>
      </c>
      <c r="P4935" s="7"/>
      <c r="Q4935" s="7"/>
      <c r="R4935" s="181">
        <f>P_1_minW-(R4933^2*R_up)+dpup_minQ</f>
        <v>45.765137659734002</v>
      </c>
      <c r="S4935" s="132"/>
      <c r="T4935" s="145"/>
      <c r="U4935" s="138">
        <f>P_1_minW-(U4933^2*R_up)+dpup_minQ</f>
        <v>9.37409330378334</v>
      </c>
      <c r="V4935" s="132"/>
      <c r="W4935" s="145"/>
      <c r="X4935" s="138">
        <f>P_1_minW-(X4933^2*R_up)+dpup_minQ</f>
        <v>-456.97157067399064</v>
      </c>
      <c r="Y4935" s="132"/>
      <c r="Z4935" s="145"/>
      <c r="AA4935" s="138">
        <f>P_1_minW-(AA4933^2*R_up)+dpup_minQ</f>
        <v>-2014.4489250965325</v>
      </c>
      <c r="AB4935" s="132"/>
      <c r="AC4935" s="145"/>
      <c r="AD4935" s="138">
        <f>P_1_minW-(AD4933^2*R_up)+dpup_minQ</f>
        <v>-5620.0819482651923</v>
      </c>
      <c r="AE4935" s="132"/>
      <c r="AF4935" s="145"/>
      <c r="AG4935" s="138">
        <f>P_1_minW-(AG4933^2*R_up)+dpup_minQ</f>
        <v>-11153.177857583485</v>
      </c>
      <c r="AH4935" s="132"/>
      <c r="AI4935" s="145"/>
      <c r="AJ4935" s="138">
        <f>P_1_minW-(AJ4933^2*R_up)+dpup_minQ</f>
        <v>-18042.986862468275</v>
      </c>
      <c r="AK4935" s="132"/>
      <c r="AL4935" s="145"/>
      <c r="AM4935" s="138">
        <f>P_1_minW-(AM4933^2*R_up)+dpup_minQ</f>
        <v>-24845.726681276727</v>
      </c>
      <c r="AN4935" s="132"/>
      <c r="AO4935" s="145"/>
      <c r="AP4935" s="138">
        <f>P_1_minW-(AP4933^2*R_up)+dpup_minQ</f>
        <v>-30950.469567402615</v>
      </c>
      <c r="AQ4935" s="132"/>
      <c r="AR4935" s="145"/>
      <c r="AS4935" s="138">
        <f>P_1_minW-(AS4933^2*R_up)+dpup_minQ</f>
        <v>-38549.13985746511</v>
      </c>
      <c r="AT4935" s="132"/>
      <c r="AU4935" s="145"/>
    </row>
    <row r="4936" spans="13:47" x14ac:dyDescent="0.25">
      <c r="M4936" s="20"/>
      <c r="N4936" s="20"/>
      <c r="O4936" s="7" t="s">
        <v>189</v>
      </c>
      <c r="P4936" s="1"/>
      <c r="Q4936" s="7"/>
      <c r="R4936" s="181">
        <f>P_2_minW+(R4933^2*R_dn)-dpdn_minQ</f>
        <v>50</v>
      </c>
      <c r="S4936" s="132"/>
      <c r="T4936" s="146"/>
      <c r="U4936" s="138">
        <f>P_2_minW+(U4933^2*R_dn)-dpdn_minQ</f>
        <v>50</v>
      </c>
      <c r="V4936" s="132"/>
      <c r="W4936" s="146"/>
      <c r="X4936" s="138">
        <f>P_2_minW+(X4933^2*R_dn)-dpdn_minQ</f>
        <v>50</v>
      </c>
      <c r="Y4936" s="132"/>
      <c r="Z4936" s="146"/>
      <c r="AA4936" s="138">
        <f>P_2_minW+(AA4933^2*R_dn)-dpdn_minQ</f>
        <v>50</v>
      </c>
      <c r="AB4936" s="132"/>
      <c r="AC4936" s="146"/>
      <c r="AD4936" s="138">
        <f>P_2_minW+(AD4933^2*R_dn)-dpdn_minQ</f>
        <v>50</v>
      </c>
      <c r="AE4936" s="132"/>
      <c r="AF4936" s="146"/>
      <c r="AG4936" s="138">
        <f>P_2_minW+(AG4933^2*R_dn)-dpdn_minQ</f>
        <v>50</v>
      </c>
      <c r="AH4936" s="132"/>
      <c r="AI4936" s="146"/>
      <c r="AJ4936" s="138">
        <f>P_2_minW+(AJ4933^2*R_dn)-dpdn_minQ</f>
        <v>50</v>
      </c>
      <c r="AK4936" s="132"/>
      <c r="AL4936" s="146"/>
      <c r="AM4936" s="138">
        <f>P_2_minW+(AM4933^2*R_dn)-dpdn_minQ</f>
        <v>50</v>
      </c>
      <c r="AN4936" s="132"/>
      <c r="AO4936" s="146"/>
      <c r="AP4936" s="138">
        <f>P_2_minW+(AP4933^2*R_dn)-dpdn_minQ</f>
        <v>50</v>
      </c>
      <c r="AQ4936" s="132"/>
      <c r="AR4936" s="146"/>
      <c r="AS4936" s="138">
        <f>P_2_minW+(AS4933^2*R_dn)-dpdn_minQ</f>
        <v>50</v>
      </c>
      <c r="AT4936" s="132"/>
      <c r="AU4936" s="146"/>
    </row>
    <row r="4937" spans="13:47" x14ac:dyDescent="0.25">
      <c r="M4937" s="20"/>
      <c r="N4937" s="20"/>
      <c r="O4937" s="7" t="s">
        <v>234</v>
      </c>
      <c r="P4937" s="1"/>
      <c r="Q4937" s="7"/>
      <c r="R4937" s="179">
        <f>'Valve Sizing'!G$8*R4935/P_1_maxW</f>
        <v>0.22076287609000614</v>
      </c>
      <c r="S4937" s="132"/>
      <c r="T4937" s="146"/>
      <c r="U4937" s="143">
        <f>'Valve Sizing'!$G$8*U4935/P_1_maxW</f>
        <v>4.5218957143005917E-2</v>
      </c>
      <c r="V4937" s="132"/>
      <c r="W4937" s="146"/>
      <c r="X4937" s="143">
        <f>'Valve Sizing'!$G$8*X4935/P_1_maxW</f>
        <v>-2.2043494981578089</v>
      </c>
      <c r="Y4937" s="132"/>
      <c r="Z4937" s="146"/>
      <c r="AA4937" s="143">
        <f>'Valve Sizing'!$G$8*AA4935/P_1_maxW</f>
        <v>-9.717342964140375</v>
      </c>
      <c r="AB4937" s="132"/>
      <c r="AC4937" s="146"/>
      <c r="AD4937" s="143">
        <f>'Valve Sizing'!$G$8*AD4935/P_1_maxW</f>
        <v>-27.11027472451309</v>
      </c>
      <c r="AE4937" s="132"/>
      <c r="AF4937" s="146"/>
      <c r="AG4937" s="143">
        <f>'Valve Sizing'!$G$8*AG4935/P_1_maxW</f>
        <v>-53.80094428405603</v>
      </c>
      <c r="AH4937" s="132"/>
      <c r="AI4937" s="146"/>
      <c r="AJ4937" s="143">
        <f>'Valve Sizing'!$G$8*AJ4935/P_1_maxW</f>
        <v>-87.036156268733137</v>
      </c>
      <c r="AK4937" s="132"/>
      <c r="AL4937" s="146"/>
      <c r="AM4937" s="143">
        <f>'Valve Sizing'!$G$8*AM4935/P_1_maxW</f>
        <v>-119.85136200149111</v>
      </c>
      <c r="AN4937" s="132"/>
      <c r="AO4937" s="146"/>
      <c r="AP4937" s="143">
        <f>'Valve Sizing'!$G$8*AP4935/P_1_maxW</f>
        <v>-149.29955480168272</v>
      </c>
      <c r="AQ4937" s="132"/>
      <c r="AR4937" s="146"/>
      <c r="AS4937" s="143">
        <f>'Valve Sizing'!$G$8*AS4935/P_1_maxW</f>
        <v>-185.95418742108401</v>
      </c>
      <c r="AT4937" s="132"/>
      <c r="AU4937" s="146"/>
    </row>
    <row r="4938" spans="13:47" x14ac:dyDescent="0.25">
      <c r="M4938" s="20"/>
      <c r="N4938" s="20"/>
      <c r="O4938" s="7" t="s">
        <v>190</v>
      </c>
      <c r="P4938" s="1"/>
      <c r="Q4938" s="7"/>
      <c r="R4938" s="181">
        <f>R4935-R4936</f>
        <v>-4.2348623402659982</v>
      </c>
      <c r="S4938" s="132"/>
      <c r="T4938" s="146"/>
      <c r="U4938" s="138">
        <f>U4935-U4936</f>
        <v>-40.62590669621666</v>
      </c>
      <c r="V4938" s="132"/>
      <c r="W4938" s="146"/>
      <c r="X4938" s="138">
        <f>X4935-X4936</f>
        <v>-506.97157067399064</v>
      </c>
      <c r="Y4938" s="132"/>
      <c r="Z4938" s="146"/>
      <c r="AA4938" s="138">
        <f>AA4935-AA4936</f>
        <v>-2064.4489250965325</v>
      </c>
      <c r="AB4938" s="132"/>
      <c r="AC4938" s="146"/>
      <c r="AD4938" s="138">
        <f>AD4935-AD4936</f>
        <v>-5670.0819482651923</v>
      </c>
      <c r="AE4938" s="132"/>
      <c r="AF4938" s="146"/>
      <c r="AG4938" s="138">
        <f>AG4935-AG4936</f>
        <v>-11203.177857583485</v>
      </c>
      <c r="AH4938" s="132"/>
      <c r="AI4938" s="146"/>
      <c r="AJ4938" s="138">
        <f>AJ4935-AJ4936</f>
        <v>-18092.986862468275</v>
      </c>
      <c r="AK4938" s="132"/>
      <c r="AL4938" s="146"/>
      <c r="AM4938" s="138">
        <f>AM4935-AM4936</f>
        <v>-24895.726681276727</v>
      </c>
      <c r="AN4938" s="132"/>
      <c r="AO4938" s="146"/>
      <c r="AP4938" s="138">
        <f>AP4935-AP4936</f>
        <v>-31000.469567402615</v>
      </c>
      <c r="AQ4938" s="132"/>
      <c r="AR4938" s="146"/>
      <c r="AS4938" s="138">
        <f>AS4935-AS4936</f>
        <v>-38599.13985746511</v>
      </c>
      <c r="AT4938" s="132"/>
      <c r="AU4938" s="146"/>
    </row>
    <row r="4939" spans="13:47" ht="14.5" x14ac:dyDescent="0.35">
      <c r="M4939" s="27"/>
      <c r="N4939" s="27"/>
      <c r="O4939" s="2" t="s">
        <v>191</v>
      </c>
      <c r="P4939" s="10"/>
      <c r="Q4939" s="2"/>
      <c r="R4939" s="181">
        <f>R4938/R4935</f>
        <v>-9.2534679383079826E-2</v>
      </c>
      <c r="S4939" s="132"/>
      <c r="T4939" s="146"/>
      <c r="U4939" s="138">
        <f>U4938/U4935</f>
        <v>-4.3338491926275404</v>
      </c>
      <c r="V4939" s="132"/>
      <c r="W4939" s="146"/>
      <c r="X4939" s="138">
        <f>X4938/X4935</f>
        <v>1.1094159969869781</v>
      </c>
      <c r="Y4939" s="132"/>
      <c r="Z4939" s="146"/>
      <c r="AA4939" s="138">
        <f>AA4938/AA4935</f>
        <v>1.024820683898751</v>
      </c>
      <c r="AB4939" s="132"/>
      <c r="AC4939" s="146"/>
      <c r="AD4939" s="138">
        <f>AD4938/AD4935</f>
        <v>1.0088966674258966</v>
      </c>
      <c r="AE4939" s="132"/>
      <c r="AF4939" s="146"/>
      <c r="AG4939" s="138">
        <f>AG4938/AG4935</f>
        <v>1.0044830272267202</v>
      </c>
      <c r="AH4939" s="132"/>
      <c r="AI4939" s="146"/>
      <c r="AJ4939" s="138">
        <f>AJ4938/AJ4935</f>
        <v>1.0027711598074711</v>
      </c>
      <c r="AK4939" s="132"/>
      <c r="AL4939" s="146"/>
      <c r="AM4939" s="138">
        <f>AM4938/AM4935</f>
        <v>1.0020124184992214</v>
      </c>
      <c r="AN4939" s="132"/>
      <c r="AO4939" s="146"/>
      <c r="AP4939" s="138">
        <f>AP4938/AP4935</f>
        <v>1.001615484375483</v>
      </c>
      <c r="AQ4939" s="132"/>
      <c r="AR4939" s="146"/>
      <c r="AS4939" s="138">
        <f>AS4938/AS4935</f>
        <v>1.0012970458014077</v>
      </c>
      <c r="AT4939" s="132"/>
      <c r="AU4939" s="146"/>
    </row>
    <row r="4940" spans="13:47" x14ac:dyDescent="0.25">
      <c r="M4940" s="27"/>
      <c r="N4940" s="27"/>
      <c r="O4940" s="2" t="s">
        <v>26</v>
      </c>
      <c r="P4940" s="7">
        <v>12</v>
      </c>
      <c r="Q4940" s="2"/>
      <c r="R4940" s="181">
        <f>1-R4939/(3*F_GAMMA*R$29)</f>
        <v>1.0481931213895044</v>
      </c>
      <c r="S4940" s="133"/>
      <c r="T4940" s="146"/>
      <c r="U4940" s="138">
        <f>1-U4939/(3*F_GAMMA*U$29)</f>
        <v>3.2566213604085346</v>
      </c>
      <c r="V4940" s="133"/>
      <c r="W4940" s="146"/>
      <c r="X4940" s="138">
        <f>1-X4939/(3*F_GAMMA*X$29)</f>
        <v>0.41366469266838579</v>
      </c>
      <c r="Y4940" s="133"/>
      <c r="Z4940" s="146"/>
      <c r="AA4940" s="138">
        <f>1-AA4939/(3*F_GAMMA*AA$29)</f>
        <v>0.45094755208631432</v>
      </c>
      <c r="AB4940" s="133"/>
      <c r="AC4940" s="146"/>
      <c r="AD4940" s="138">
        <f>1-AD4939/(3*F_GAMMA*AD$29)</f>
        <v>0.44465897925521136</v>
      </c>
      <c r="AE4940" s="133"/>
      <c r="AF4940" s="146"/>
      <c r="AG4940" s="138">
        <f>1-AG4939/(3*F_GAMMA*AG$29)</f>
        <v>0.41554949218332082</v>
      </c>
      <c r="AH4940" s="133"/>
      <c r="AI4940" s="146"/>
      <c r="AJ4940" s="138">
        <f>1-AJ4939/(3*F_GAMMA*AJ$29)</f>
        <v>0.37627926054772687</v>
      </c>
      <c r="AK4940" s="133"/>
      <c r="AL4940" s="146"/>
      <c r="AM4940" s="138">
        <f>1-AM4939/(3*F_GAMMA*AM$29)</f>
        <v>0.31903730357555971</v>
      </c>
      <c r="AN4940" s="133"/>
      <c r="AO4940" s="146"/>
      <c r="AP4940" s="138">
        <f>1-AP4939/(3*F_GAMMA*AP$29)</f>
        <v>0.43748092571127339</v>
      </c>
      <c r="AQ4940" s="133"/>
      <c r="AR4940" s="146"/>
      <c r="AS4940" s="138">
        <f>1-AS4939/(3*F_GAMMA*AS$29)</f>
        <v>0.1463186589174903</v>
      </c>
      <c r="AT4940" s="133"/>
      <c r="AU4940" s="146"/>
    </row>
    <row r="4941" spans="13:47" x14ac:dyDescent="0.25">
      <c r="M4941" s="27"/>
      <c r="N4941" s="27"/>
      <c r="O4941" s="2" t="s">
        <v>71</v>
      </c>
      <c r="P4941" s="85">
        <v>5</v>
      </c>
      <c r="Q4941" s="2"/>
      <c r="R4941" s="179" t="e">
        <f>R4933/((N_6*R$27*R4940)*SQRT(R4939*R4935*R4937))</f>
        <v>#NUM!</v>
      </c>
      <c r="S4941" s="133"/>
      <c r="T4941" s="146"/>
      <c r="U4941" s="143" t="e">
        <f>U4933/((N_6*U$27*U4940)*SQRT(U4939*U4935*U4937))</f>
        <v>#NUM!</v>
      </c>
      <c r="V4941" s="133"/>
      <c r="W4941" s="146"/>
      <c r="X4941" s="143">
        <f>X4933/((N_6*X$27*X4940)*SQRT(X4939*X4935*X4937))</f>
        <v>42.841246333926726</v>
      </c>
      <c r="Y4941" s="133"/>
      <c r="Z4941" s="146"/>
      <c r="AA4941" s="143">
        <f>AA4933/((N_6*AA$27*AA4940)*SQRT(AA4939*AA4935*AA4937))</f>
        <v>18.170351783358203</v>
      </c>
      <c r="AB4941" s="133"/>
      <c r="AC4941" s="146"/>
      <c r="AD4941" s="143">
        <f>AD4933/((N_6*AD$27*AD4940)*SQRT(AD4939*AD4935*AD4937))</f>
        <v>11.078727533310548</v>
      </c>
      <c r="AE4941" s="133"/>
      <c r="AF4941" s="146"/>
      <c r="AG4941" s="143">
        <f>AG4933/((N_6*AG$27*AG4940)*SQRT(AG4939*AG4935*AG4937))</f>
        <v>8.5780324648440107</v>
      </c>
      <c r="AH4941" s="133"/>
      <c r="AI4941" s="146"/>
      <c r="AJ4941" s="143">
        <f>AJ4933/((N_6*AJ$27*AJ4940)*SQRT(AJ4939*AJ4935*AJ4937))</f>
        <v>7.6972091076163025</v>
      </c>
      <c r="AK4941" s="133"/>
      <c r="AL4941" s="146"/>
      <c r="AM4941" s="143">
        <f>AM4933/((N_6*AM$27*AM4940)*SQRT(AM4939*AM4935*AM4937))</f>
        <v>8.208228166024389</v>
      </c>
      <c r="AN4941" s="133"/>
      <c r="AO4941" s="146"/>
      <c r="AP4941" s="143">
        <f>AP4933/((N_6*AP$27*AP4940)*SQRT(AP4939*AP4935*AP4937))</f>
        <v>6.0910406286471748</v>
      </c>
      <c r="AQ4941" s="133"/>
      <c r="AR4941" s="146"/>
      <c r="AS4941" s="143">
        <f>AS4933/((N_6*AS$27*AS4940)*SQRT(AS4939*AS4935*AS4937))</f>
        <v>21.438531553731636</v>
      </c>
      <c r="AT4941" s="133"/>
      <c r="AU4941" s="146"/>
    </row>
    <row r="4942" spans="13:47" x14ac:dyDescent="0.25">
      <c r="M4942" s="27"/>
      <c r="N4942" s="27"/>
      <c r="O4942" s="2" t="s">
        <v>73</v>
      </c>
      <c r="P4942" s="85">
        <v>5</v>
      </c>
      <c r="Q4942" s="2"/>
      <c r="R4942" s="179">
        <f>R4933/((N_6*R$27*0.667)*SQRT(R4943*R4935*R4937))</f>
        <v>109.1586117480162</v>
      </c>
      <c r="S4942" s="133"/>
      <c r="T4942" s="155"/>
      <c r="U4942" s="143">
        <f>U4933/((N_6*U$27*0.667)*SQRT(U4943*U4935*U4937))</f>
        <v>687.9208604190278</v>
      </c>
      <c r="V4942" s="133"/>
      <c r="W4942" s="155"/>
      <c r="X4942" s="143">
        <f>X4933/((N_6*X$27*0.667)*SQRT(X4943*X4935*X4937))</f>
        <v>35.238577450603792</v>
      </c>
      <c r="Y4942" s="133"/>
      <c r="Z4942" s="155"/>
      <c r="AA4942" s="143">
        <f>AA4933/((N_6*AA$27*0.667)*SQRT(AA4943*AA4935*AA4937))</f>
        <v>15.766346929468494</v>
      </c>
      <c r="AB4942" s="133"/>
      <c r="AC4942" s="155"/>
      <c r="AD4942" s="143">
        <f>AD4933/((N_6*AD$27*0.667)*SQRT(AD4943*AD4935*AD4937))</f>
        <v>9.533044467950786</v>
      </c>
      <c r="AE4942" s="133"/>
      <c r="AF4942" s="155"/>
      <c r="AG4942" s="143">
        <f>AG4933/((N_6*AG$27*0.667)*SQRT(AG4943*AG4935*AG4937))</f>
        <v>7.0765096800669891</v>
      </c>
      <c r="AH4942" s="133"/>
      <c r="AI4942" s="155"/>
      <c r="AJ4942" s="143">
        <f>AJ4933/((N_6*AJ$27*0.667)*SQRT(AJ4943*AJ4935*AJ4937))</f>
        <v>5.939822305922168</v>
      </c>
      <c r="AK4942" s="133"/>
      <c r="AL4942" s="155"/>
      <c r="AM4942" s="143">
        <f>AM4933/((N_6*AM$27*0.667)*SQRT(AM4943*AM4935*AM4937))</f>
        <v>5.6116081910945352</v>
      </c>
      <c r="AN4942" s="133"/>
      <c r="AO4942" s="155"/>
      <c r="AP4942" s="143">
        <f>AP4933/((N_6*AP$27*0.667)*SQRT(AP4943*AP4935*AP4937))</f>
        <v>5.1898408355474022</v>
      </c>
      <c r="AQ4942" s="133"/>
      <c r="AR4942" s="155"/>
      <c r="AS4942" s="143">
        <f>AS4933/((N_6*AS$27*0.667)*SQRT(AS4943*AS4935*AS4937))</f>
        <v>7.5262291092763132</v>
      </c>
      <c r="AT4942" s="133"/>
      <c r="AU4942" s="155"/>
    </row>
    <row r="4943" spans="13:47" ht="15.5" x14ac:dyDescent="0.4">
      <c r="M4943" s="27"/>
      <c r="N4943" s="27"/>
      <c r="O4943" s="2" t="s">
        <v>192</v>
      </c>
      <c r="P4943" s="85">
        <v>10</v>
      </c>
      <c r="Q4943" s="2"/>
      <c r="R4943" s="181">
        <f>F_GAMMA*R$29</f>
        <v>0.64002688015162901</v>
      </c>
      <c r="S4943" s="133"/>
      <c r="T4943" s="155"/>
      <c r="U4943" s="138">
        <f>F_GAMMA*U$29</f>
        <v>0.64016782916606918</v>
      </c>
      <c r="V4943" s="133"/>
      <c r="W4943" s="155"/>
      <c r="X4943" s="138">
        <f>F_GAMMA*X$29</f>
        <v>0.6307062319203669</v>
      </c>
      <c r="Y4943" s="133"/>
      <c r="Z4943" s="155"/>
      <c r="AA4943" s="138">
        <f>F_GAMMA*AA$29</f>
        <v>0.62217534213893466</v>
      </c>
      <c r="AB4943" s="133"/>
      <c r="AC4943" s="155"/>
      <c r="AD4943" s="138">
        <f>F_GAMMA*AD$29</f>
        <v>0.60557184969146072</v>
      </c>
      <c r="AE4943" s="133"/>
      <c r="AF4943" s="155"/>
      <c r="AG4943" s="138">
        <f>F_GAMMA*AG$29</f>
        <v>0.57289312142622573</v>
      </c>
      <c r="AH4943" s="133"/>
      <c r="AI4943" s="155"/>
      <c r="AJ4943" s="138">
        <f>F_GAMMA*AJ$29</f>
        <v>0.53590819116049981</v>
      </c>
      <c r="AK4943" s="133"/>
      <c r="AL4943" s="155"/>
      <c r="AM4943" s="138">
        <f>F_GAMMA*AM$29</f>
        <v>0.49048815926850342</v>
      </c>
      <c r="AN4943" s="133"/>
      <c r="AO4943" s="155"/>
      <c r="AP4943" s="138">
        <f>F_GAMMA*AP$29</f>
        <v>0.59352979016280105</v>
      </c>
      <c r="AQ4943" s="133"/>
      <c r="AR4943" s="155"/>
      <c r="AS4943" s="138">
        <f>F_GAMMA*AS$29</f>
        <v>0.39097221161068291</v>
      </c>
      <c r="AT4943" s="133"/>
      <c r="AU4943" s="155"/>
    </row>
    <row r="4944" spans="13:47" x14ac:dyDescent="0.25">
      <c r="M4944" s="27"/>
      <c r="N4944" s="27"/>
      <c r="O4944" s="2" t="s">
        <v>193</v>
      </c>
      <c r="P4944" s="134"/>
      <c r="Q4944" s="2"/>
      <c r="R4944" s="181" t="e">
        <f>IF(R4939&lt;R4943,R4941,R4942)</f>
        <v>#NUM!</v>
      </c>
      <c r="S4944" s="133"/>
      <c r="T4944" s="155"/>
      <c r="U4944" s="138" t="e">
        <f>IF(U4939&lt;U4943,U4941,U4942)</f>
        <v>#NUM!</v>
      </c>
      <c r="V4944" s="133"/>
      <c r="W4944" s="155"/>
      <c r="X4944" s="138">
        <f>IF(X4939&lt;X4943,X4941,X4942)</f>
        <v>35.238577450603792</v>
      </c>
      <c r="Y4944" s="133"/>
      <c r="Z4944" s="155"/>
      <c r="AA4944" s="138">
        <f>IF(AA4939&lt;AA4943,AA4941,AA4942)</f>
        <v>15.766346929468494</v>
      </c>
      <c r="AB4944" s="133"/>
      <c r="AC4944" s="155"/>
      <c r="AD4944" s="138">
        <f>IF(AD4939&lt;AD4943,AD4941,AD4942)</f>
        <v>9.533044467950786</v>
      </c>
      <c r="AE4944" s="133"/>
      <c r="AF4944" s="155"/>
      <c r="AG4944" s="138">
        <f>IF(AG4939&lt;AG4943,AG4941,AG4942)</f>
        <v>7.0765096800669891</v>
      </c>
      <c r="AH4944" s="133"/>
      <c r="AI4944" s="155"/>
      <c r="AJ4944" s="138">
        <f>IF(AJ4939&lt;AJ4943,AJ4941,AJ4942)</f>
        <v>5.939822305922168</v>
      </c>
      <c r="AK4944" s="133"/>
      <c r="AL4944" s="155"/>
      <c r="AM4944" s="138">
        <f>IF(AM4939&lt;AM4943,AM4941,AM4942)</f>
        <v>5.6116081910945352</v>
      </c>
      <c r="AN4944" s="133"/>
      <c r="AO4944" s="155"/>
      <c r="AP4944" s="138">
        <f>IF(AP4939&lt;AP4943,AP4941,AP4942)</f>
        <v>5.1898408355474022</v>
      </c>
      <c r="AQ4944" s="133"/>
      <c r="AR4944" s="155"/>
      <c r="AS4944" s="138">
        <f>IF(AS4939&lt;AS4943,AS4941,AS4942)</f>
        <v>7.5262291092763132</v>
      </c>
      <c r="AT4944" s="133"/>
      <c r="AU4944" s="155"/>
    </row>
    <row r="4945" spans="13:47" ht="13" x14ac:dyDescent="0.3">
      <c r="M4945" s="28"/>
      <c r="N4945" s="28"/>
      <c r="O4945" s="9" t="s">
        <v>194</v>
      </c>
      <c r="P4945" s="1"/>
      <c r="Q4945" s="1"/>
      <c r="R4945" s="135"/>
      <c r="S4945" s="132">
        <f>IF(R4938&lt;=0,W_max,ABS(R$23-R4944))</f>
        <v>7174</v>
      </c>
      <c r="T4945" s="151">
        <f>R4933</f>
        <v>11718.326744092965</v>
      </c>
      <c r="U4945" s="135"/>
      <c r="V4945" s="132">
        <f>IF(U4938&lt;=0,W_max,ABS(U$23-U4944))</f>
        <v>7174</v>
      </c>
      <c r="W4945" s="151">
        <f>U4933</f>
        <v>15118.838575517842</v>
      </c>
      <c r="X4945" s="135"/>
      <c r="Y4945" s="132">
        <f>IF(X4938&lt;=0,W_max,ABS(X$23-X4944))</f>
        <v>7174</v>
      </c>
      <c r="Z4945" s="151">
        <f>X4933</f>
        <v>37390.686960136372</v>
      </c>
      <c r="AA4945" s="135"/>
      <c r="AB4945" s="132">
        <f>IF(AA4938&lt;=0,W_max,ABS(AA$23-AA4944))</f>
        <v>7174</v>
      </c>
      <c r="AC4945" s="151">
        <f>AA4933</f>
        <v>72827.514396997227</v>
      </c>
      <c r="AD4945" s="135"/>
      <c r="AE4945" s="132">
        <f>IF(AD4938&lt;=0,W_max,ABS(AD$23-AD4944))</f>
        <v>7174</v>
      </c>
      <c r="AF4945" s="151">
        <f>AD4933</f>
        <v>119774.4476830951</v>
      </c>
      <c r="AG4945" s="135"/>
      <c r="AH4945" s="132">
        <f>IF(AG4938&lt;=0,W_max,ABS(AG$23-AG4944))</f>
        <v>7174</v>
      </c>
      <c r="AI4945" s="151">
        <f>AG4933</f>
        <v>167992.88385148073</v>
      </c>
      <c r="AJ4945" s="135"/>
      <c r="AK4945" s="132">
        <f>IF(AJ4938&lt;=0,W_max,ABS(AJ$23-AJ4944))</f>
        <v>7174</v>
      </c>
      <c r="AL4945" s="151">
        <f>AJ4933</f>
        <v>213306.38533302266</v>
      </c>
      <c r="AM4945" s="135"/>
      <c r="AN4945" s="132">
        <f>IF(AM4938&lt;=0,W_max,ABS(AM$23-AM4944))</f>
        <v>7174</v>
      </c>
      <c r="AO4945" s="151">
        <f>AM4933</f>
        <v>250118.51226736809</v>
      </c>
      <c r="AP4945" s="135"/>
      <c r="AQ4945" s="132">
        <f>IF(AP4938&lt;=0,W_max,ABS(AP$23-AP4944))</f>
        <v>7174</v>
      </c>
      <c r="AR4945" s="151">
        <f>AP4933</f>
        <v>279049.30705172336</v>
      </c>
      <c r="AS4945" s="135"/>
      <c r="AT4945" s="132">
        <f>IF(AS4938&lt;=0,W_max,ABS(AS$23-AS4944))</f>
        <v>7174</v>
      </c>
      <c r="AU4945" s="151">
        <f>AS4933</f>
        <v>311326.47903649852</v>
      </c>
    </row>
    <row r="4946" spans="13:47" ht="13" x14ac:dyDescent="0.25">
      <c r="M4946" s="12"/>
      <c r="N4946" s="12"/>
      <c r="O4946" s="2"/>
      <c r="P4946" s="85"/>
      <c r="Q4946" s="2"/>
      <c r="R4946" s="18"/>
      <c r="S4946" s="150"/>
      <c r="T4946" s="148"/>
      <c r="U4946" s="157"/>
      <c r="V4946" s="1"/>
      <c r="W4946" s="147"/>
      <c r="X4946" s="157"/>
      <c r="Y4946" s="1"/>
      <c r="Z4946" s="147"/>
      <c r="AA4946" s="157"/>
      <c r="AB4946" s="1"/>
      <c r="AC4946" s="147"/>
      <c r="AD4946" s="157"/>
      <c r="AE4946" s="1"/>
      <c r="AF4946" s="147"/>
      <c r="AG4946" s="157"/>
      <c r="AH4946" s="1"/>
      <c r="AI4946" s="147"/>
      <c r="AJ4946" s="157"/>
      <c r="AK4946" s="1"/>
      <c r="AL4946" s="147"/>
      <c r="AM4946" s="157"/>
      <c r="AN4946" s="1"/>
      <c r="AO4946" s="147"/>
      <c r="AP4946" s="157"/>
      <c r="AQ4946" s="1"/>
      <c r="AR4946" s="147"/>
      <c r="AS4946" s="157"/>
      <c r="AT4946" s="1"/>
      <c r="AU4946" s="147"/>
    </row>
    <row r="4947" spans="13:47" ht="14" x14ac:dyDescent="0.3">
      <c r="M4947" s="12"/>
      <c r="N4947" s="12"/>
      <c r="O4947" s="23" t="s">
        <v>238</v>
      </c>
      <c r="P4947" s="20"/>
      <c r="Q4947" s="20"/>
      <c r="R4947" s="181">
        <f>R4933*1.02</f>
        <v>11952.693278974824</v>
      </c>
      <c r="S4947" s="128" t="s">
        <v>185</v>
      </c>
      <c r="T4947" s="149" t="s">
        <v>186</v>
      </c>
      <c r="U4947" s="143">
        <f>U4933*1.01</f>
        <v>15270.026961273021</v>
      </c>
      <c r="V4947" s="128" t="s">
        <v>185</v>
      </c>
      <c r="W4947" s="153" t="s">
        <v>186</v>
      </c>
      <c r="X4947" s="143">
        <f>X4933*1.01</f>
        <v>37764.593829737736</v>
      </c>
      <c r="Y4947" s="128" t="s">
        <v>185</v>
      </c>
      <c r="Z4947" s="153" t="s">
        <v>186</v>
      </c>
      <c r="AA4947" s="143">
        <f>AA4933*1.01</f>
        <v>73555.789540967206</v>
      </c>
      <c r="AB4947" s="128" t="s">
        <v>185</v>
      </c>
      <c r="AC4947" s="153" t="s">
        <v>186</v>
      </c>
      <c r="AD4947" s="143">
        <f>AD4933*1.01</f>
        <v>120972.19215992605</v>
      </c>
      <c r="AE4947" s="128" t="s">
        <v>185</v>
      </c>
      <c r="AF4947" s="153" t="s">
        <v>186</v>
      </c>
      <c r="AG4947" s="143">
        <f>AG4933*1.01</f>
        <v>169672.81268999554</v>
      </c>
      <c r="AH4947" s="128" t="s">
        <v>185</v>
      </c>
      <c r="AI4947" s="153" t="s">
        <v>186</v>
      </c>
      <c r="AJ4947" s="143">
        <f>AJ4933*1.01</f>
        <v>215439.4491863529</v>
      </c>
      <c r="AK4947" s="128" t="s">
        <v>185</v>
      </c>
      <c r="AL4947" s="153" t="s">
        <v>186</v>
      </c>
      <c r="AM4947" s="143">
        <f>AM4933*1.01</f>
        <v>252619.69739004178</v>
      </c>
      <c r="AN4947" s="128" t="s">
        <v>185</v>
      </c>
      <c r="AO4947" s="153" t="s">
        <v>186</v>
      </c>
      <c r="AP4947" s="143">
        <f>AP4933*1.01</f>
        <v>281839.80012224062</v>
      </c>
      <c r="AQ4947" s="128" t="s">
        <v>185</v>
      </c>
      <c r="AR4947" s="153" t="s">
        <v>186</v>
      </c>
      <c r="AS4947" s="143">
        <f>AS4933*1.01</f>
        <v>314439.74382686353</v>
      </c>
      <c r="AT4947" s="128" t="s">
        <v>185</v>
      </c>
      <c r="AU4947" s="153" t="s">
        <v>186</v>
      </c>
    </row>
    <row r="4948" spans="13:47" ht="14" x14ac:dyDescent="0.3">
      <c r="M4948" s="12"/>
      <c r="N4948" s="12"/>
      <c r="O4948" s="20"/>
      <c r="P4948" s="20"/>
      <c r="Q4948" s="23"/>
      <c r="R4948" s="139"/>
      <c r="S4948" s="130" t="s">
        <v>228</v>
      </c>
      <c r="T4948" s="131" t="s">
        <v>187</v>
      </c>
      <c r="U4948" s="144"/>
      <c r="V4948" s="130" t="s">
        <v>228</v>
      </c>
      <c r="W4948" s="154" t="s">
        <v>187</v>
      </c>
      <c r="X4948" s="144"/>
      <c r="Y4948" s="130" t="s">
        <v>228</v>
      </c>
      <c r="Z4948" s="154" t="s">
        <v>187</v>
      </c>
      <c r="AA4948" s="144"/>
      <c r="AB4948" s="130" t="s">
        <v>228</v>
      </c>
      <c r="AC4948" s="154" t="s">
        <v>187</v>
      </c>
      <c r="AD4948" s="144"/>
      <c r="AE4948" s="130" t="s">
        <v>228</v>
      </c>
      <c r="AF4948" s="154" t="s">
        <v>187</v>
      </c>
      <c r="AG4948" s="144"/>
      <c r="AH4948" s="130" t="s">
        <v>228</v>
      </c>
      <c r="AI4948" s="154" t="s">
        <v>187</v>
      </c>
      <c r="AJ4948" s="144"/>
      <c r="AK4948" s="130" t="s">
        <v>228</v>
      </c>
      <c r="AL4948" s="154" t="s">
        <v>187</v>
      </c>
      <c r="AM4948" s="144"/>
      <c r="AN4948" s="130" t="s">
        <v>228</v>
      </c>
      <c r="AO4948" s="154" t="s">
        <v>187</v>
      </c>
      <c r="AP4948" s="144"/>
      <c r="AQ4948" s="130" t="s">
        <v>228</v>
      </c>
      <c r="AR4948" s="154" t="s">
        <v>187</v>
      </c>
      <c r="AS4948" s="144"/>
      <c r="AT4948" s="130" t="s">
        <v>228</v>
      </c>
      <c r="AU4948" s="154" t="s">
        <v>187</v>
      </c>
    </row>
    <row r="4949" spans="13:47" x14ac:dyDescent="0.25">
      <c r="M4949" s="12"/>
      <c r="N4949" s="12"/>
      <c r="O4949" s="7" t="s">
        <v>188</v>
      </c>
      <c r="P4949" s="7"/>
      <c r="Q4949" s="7"/>
      <c r="R4949" s="181">
        <f>P_1_minW-(R4947^2*R_up)+dpup_minQ</f>
        <v>43.552928637023491</v>
      </c>
      <c r="S4949" s="132"/>
      <c r="T4949" s="145"/>
      <c r="U4949" s="138">
        <f>P_1_minW-(U4947^2*R_up)+dpup_minQ</f>
        <v>7.542004565781169</v>
      </c>
      <c r="V4949" s="132"/>
      <c r="W4949" s="145"/>
      <c r="X4949" s="138">
        <f>P_1_minW-(X4947^2*R_up)+dpup_minQ</f>
        <v>-468.17720725794618</v>
      </c>
      <c r="Y4949" s="132"/>
      <c r="Z4949" s="145"/>
      <c r="AA4949" s="138">
        <f>P_1_minW-(AA4947^2*R_up)+dpup_minQ</f>
        <v>-2056.9598565043812</v>
      </c>
      <c r="AB4949" s="132"/>
      <c r="AC4949" s="145"/>
      <c r="AD4949" s="138">
        <f>P_1_minW-(AD4947^2*R_up)+dpup_minQ</f>
        <v>-5735.0661034387313</v>
      </c>
      <c r="AE4949" s="132"/>
      <c r="AF4949" s="145"/>
      <c r="AG4949" s="138">
        <f>P_1_minW-(AG4947^2*R_up)+dpup_minQ</f>
        <v>-11379.377240534321</v>
      </c>
      <c r="AH4949" s="132"/>
      <c r="AI4949" s="145"/>
      <c r="AJ4949" s="138">
        <f>P_1_minW-(AJ4947^2*R_up)+dpup_minQ</f>
        <v>-18407.671406417299</v>
      </c>
      <c r="AK4949" s="132"/>
      <c r="AL4949" s="145"/>
      <c r="AM4949" s="138">
        <f>P_1_minW-(AM4947^2*R_up)+dpup_minQ</f>
        <v>-25347.146295583796</v>
      </c>
      <c r="AN4949" s="132"/>
      <c r="AO4949" s="145"/>
      <c r="AP4949" s="138">
        <f>P_1_minW-(AP4947^2*R_up)+dpup_minQ</f>
        <v>-31574.594513720818</v>
      </c>
      <c r="AQ4949" s="132"/>
      <c r="AR4949" s="145"/>
      <c r="AS4949" s="138">
        <f>P_1_minW-(AS4947^2*R_up)+dpup_minQ</f>
        <v>-39325.998076613578</v>
      </c>
      <c r="AT4949" s="132"/>
      <c r="AU4949" s="145"/>
    </row>
    <row r="4950" spans="13:47" x14ac:dyDescent="0.25">
      <c r="M4950" s="12"/>
      <c r="N4950" s="12"/>
      <c r="O4950" s="7" t="s">
        <v>189</v>
      </c>
      <c r="P4950" s="1"/>
      <c r="Q4950" s="7"/>
      <c r="R4950" s="181">
        <f>P_2_minW+(R4947^2*R_dn)-dpdn_minQ</f>
        <v>50</v>
      </c>
      <c r="S4950" s="132"/>
      <c r="T4950" s="146"/>
      <c r="U4950" s="138">
        <f>P_2_minW+(U4947^2*R_dn)-dpdn_minQ</f>
        <v>50</v>
      </c>
      <c r="V4950" s="132"/>
      <c r="W4950" s="146"/>
      <c r="X4950" s="138">
        <f>P_2_minW+(X4947^2*R_dn)-dpdn_minQ</f>
        <v>50</v>
      </c>
      <c r="Y4950" s="132"/>
      <c r="Z4950" s="146"/>
      <c r="AA4950" s="138">
        <f>P_2_minW+(AA4947^2*R_dn)-dpdn_minQ</f>
        <v>50</v>
      </c>
      <c r="AB4950" s="132"/>
      <c r="AC4950" s="146"/>
      <c r="AD4950" s="138">
        <f>P_2_minW+(AD4947^2*R_dn)-dpdn_minQ</f>
        <v>50</v>
      </c>
      <c r="AE4950" s="132"/>
      <c r="AF4950" s="146"/>
      <c r="AG4950" s="138">
        <f>P_2_minW+(AG4947^2*R_dn)-dpdn_minQ</f>
        <v>50</v>
      </c>
      <c r="AH4950" s="132"/>
      <c r="AI4950" s="146"/>
      <c r="AJ4950" s="138">
        <f>P_2_minW+(AJ4947^2*R_dn)-dpdn_minQ</f>
        <v>50</v>
      </c>
      <c r="AK4950" s="132"/>
      <c r="AL4950" s="146"/>
      <c r="AM4950" s="138">
        <f>P_2_minW+(AM4947^2*R_dn)-dpdn_minQ</f>
        <v>50</v>
      </c>
      <c r="AN4950" s="132"/>
      <c r="AO4950" s="146"/>
      <c r="AP4950" s="138">
        <f>P_2_minW+(AP4947^2*R_dn)-dpdn_minQ</f>
        <v>50</v>
      </c>
      <c r="AQ4950" s="132"/>
      <c r="AR4950" s="146"/>
      <c r="AS4950" s="138">
        <f>P_2_minW+(AS4947^2*R_dn)-dpdn_minQ</f>
        <v>50</v>
      </c>
      <c r="AT4950" s="132"/>
      <c r="AU4950" s="146"/>
    </row>
    <row r="4951" spans="13:47" x14ac:dyDescent="0.25">
      <c r="M4951" s="12"/>
      <c r="N4951" s="12"/>
      <c r="O4951" s="7" t="s">
        <v>234</v>
      </c>
      <c r="P4951" s="1"/>
      <c r="Q4951" s="7"/>
      <c r="R4951" s="179">
        <f>'Valve Sizing'!G$8*R4949/P_1_maxW</f>
        <v>0.21009157362399117</v>
      </c>
      <c r="S4951" s="132"/>
      <c r="T4951" s="146"/>
      <c r="U4951" s="143">
        <f>'Valve Sizing'!$G$8*U4949/P_1_maxW</f>
        <v>3.6381287254178579E-2</v>
      </c>
      <c r="V4951" s="132"/>
      <c r="W4951" s="146"/>
      <c r="X4951" s="143">
        <f>'Valve Sizing'!$G$8*X4949/P_1_maxW</f>
        <v>-2.2584034939981832</v>
      </c>
      <c r="Y4951" s="132"/>
      <c r="Z4951" s="146"/>
      <c r="AA4951" s="143">
        <f>'Valve Sizing'!$G$8*AA4949/P_1_maxW</f>
        <v>-9.9224081286469978</v>
      </c>
      <c r="AB4951" s="132"/>
      <c r="AC4951" s="146"/>
      <c r="AD4951" s="143">
        <f>'Valve Sizing'!$G$8*AD4949/P_1_maxW</f>
        <v>-27.66493781740321</v>
      </c>
      <c r="AE4951" s="132"/>
      <c r="AF4951" s="146"/>
      <c r="AG4951" s="143">
        <f>'Valve Sizing'!$G$8*AG4949/P_1_maxW</f>
        <v>-54.892089835092953</v>
      </c>
      <c r="AH4951" s="132"/>
      <c r="AI4951" s="146"/>
      <c r="AJ4951" s="143">
        <f>'Valve Sizing'!$G$8*AJ4949/P_1_maxW</f>
        <v>-88.795329580662084</v>
      </c>
      <c r="AK4951" s="132"/>
      <c r="AL4951" s="146"/>
      <c r="AM4951" s="143">
        <f>'Valve Sizing'!$G$8*AM4949/P_1_maxW</f>
        <v>-122.27012094864847</v>
      </c>
      <c r="AN4951" s="132"/>
      <c r="AO4951" s="146"/>
      <c r="AP4951" s="143">
        <f>'Valve Sizing'!$G$8*AP4949/P_1_maxW</f>
        <v>-152.31022242412394</v>
      </c>
      <c r="AQ4951" s="132"/>
      <c r="AR4951" s="146"/>
      <c r="AS4951" s="143">
        <f>'Valve Sizing'!$G$8*AS4949/P_1_maxW</f>
        <v>-189.70161315917525</v>
      </c>
      <c r="AT4951" s="132"/>
      <c r="AU4951" s="146"/>
    </row>
    <row r="4952" spans="13:47" x14ac:dyDescent="0.25">
      <c r="M4952" s="12"/>
      <c r="N4952" s="12"/>
      <c r="O4952" s="7" t="s">
        <v>190</v>
      </c>
      <c r="P4952" s="1"/>
      <c r="Q4952" s="7"/>
      <c r="R4952" s="181">
        <f>R4949-R4950</f>
        <v>-6.4470713629765086</v>
      </c>
      <c r="S4952" s="132"/>
      <c r="T4952" s="146"/>
      <c r="U4952" s="138">
        <f>U4949-U4950</f>
        <v>-42.45799543421883</v>
      </c>
      <c r="V4952" s="132"/>
      <c r="W4952" s="146"/>
      <c r="X4952" s="138">
        <f>X4949-X4950</f>
        <v>-518.17720725794618</v>
      </c>
      <c r="Y4952" s="132"/>
      <c r="Z4952" s="146"/>
      <c r="AA4952" s="138">
        <f>AA4949-AA4950</f>
        <v>-2106.9598565043812</v>
      </c>
      <c r="AB4952" s="132"/>
      <c r="AC4952" s="146"/>
      <c r="AD4952" s="138">
        <f>AD4949-AD4950</f>
        <v>-5785.0661034387313</v>
      </c>
      <c r="AE4952" s="132"/>
      <c r="AF4952" s="146"/>
      <c r="AG4952" s="138">
        <f>AG4949-AG4950</f>
        <v>-11429.377240534321</v>
      </c>
      <c r="AH4952" s="132"/>
      <c r="AI4952" s="146"/>
      <c r="AJ4952" s="138">
        <f>AJ4949-AJ4950</f>
        <v>-18457.671406417299</v>
      </c>
      <c r="AK4952" s="132"/>
      <c r="AL4952" s="146"/>
      <c r="AM4952" s="138">
        <f>AM4949-AM4950</f>
        <v>-25397.146295583796</v>
      </c>
      <c r="AN4952" s="132"/>
      <c r="AO4952" s="146"/>
      <c r="AP4952" s="138">
        <f>AP4949-AP4950</f>
        <v>-31624.594513720818</v>
      </c>
      <c r="AQ4952" s="132"/>
      <c r="AR4952" s="146"/>
      <c r="AS4952" s="138">
        <f>AS4949-AS4950</f>
        <v>-39375.998076613578</v>
      </c>
      <c r="AT4952" s="132"/>
      <c r="AU4952" s="146"/>
    </row>
    <row r="4953" spans="13:47" ht="14.5" x14ac:dyDescent="0.35">
      <c r="M4953" s="12"/>
      <c r="N4953" s="12"/>
      <c r="O4953" s="2" t="s">
        <v>191</v>
      </c>
      <c r="P4953" s="10"/>
      <c r="Q4953" s="2"/>
      <c r="R4953" s="181">
        <f>R4952/R4949</f>
        <v>-0.14802842345476577</v>
      </c>
      <c r="S4953" s="132"/>
      <c r="T4953" s="146"/>
      <c r="U4953" s="138">
        <f>U4952/U4949</f>
        <v>-5.6295372223526634</v>
      </c>
      <c r="V4953" s="132"/>
      <c r="W4953" s="146"/>
      <c r="X4953" s="138">
        <f>X4952/X4949</f>
        <v>1.1067971683048041</v>
      </c>
      <c r="Y4953" s="132"/>
      <c r="Z4953" s="146"/>
      <c r="AA4953" s="138">
        <f>AA4952/AA4949</f>
        <v>1.0243077179371747</v>
      </c>
      <c r="AB4953" s="132"/>
      <c r="AC4953" s="146"/>
      <c r="AD4953" s="138">
        <f>AD4952/AD4949</f>
        <v>1.008718295325318</v>
      </c>
      <c r="AE4953" s="132"/>
      <c r="AF4953" s="146"/>
      <c r="AG4953" s="138">
        <f>AG4952/AG4949</f>
        <v>1.0043939135633799</v>
      </c>
      <c r="AH4953" s="132"/>
      <c r="AI4953" s="146"/>
      <c r="AJ4953" s="138">
        <f>AJ4952/AJ4949</f>
        <v>1.0027162588301402</v>
      </c>
      <c r="AK4953" s="132"/>
      <c r="AL4953" s="146"/>
      <c r="AM4953" s="138">
        <f>AM4952/AM4949</f>
        <v>1.0019726086486</v>
      </c>
      <c r="AN4953" s="132"/>
      <c r="AO4953" s="146"/>
      <c r="AP4953" s="138">
        <f>AP4952/AP4949</f>
        <v>1.001583551610719</v>
      </c>
      <c r="AQ4953" s="132"/>
      <c r="AR4953" s="146"/>
      <c r="AS4953" s="138">
        <f>AS4952/AS4949</f>
        <v>1.0012714235479183</v>
      </c>
      <c r="AT4953" s="132"/>
      <c r="AU4953" s="146"/>
    </row>
    <row r="4954" spans="13:47" x14ac:dyDescent="0.25">
      <c r="M4954" s="12"/>
      <c r="N4954" s="12"/>
      <c r="O4954" s="2" t="s">
        <v>26</v>
      </c>
      <c r="P4954" s="7">
        <v>12</v>
      </c>
      <c r="Q4954" s="2"/>
      <c r="R4954" s="181">
        <f>1-R4953/(3*F_GAMMA*R$29)</f>
        <v>1.0770948992119915</v>
      </c>
      <c r="S4954" s="133"/>
      <c r="T4954" s="146"/>
      <c r="U4954" s="138">
        <f>1-U4953/(3*F_GAMMA*U$29)</f>
        <v>3.9312819575694298</v>
      </c>
      <c r="V4954" s="133"/>
      <c r="W4954" s="146"/>
      <c r="X4954" s="138">
        <f>1-X4953/(3*F_GAMMA*X$29)</f>
        <v>0.41504876476071317</v>
      </c>
      <c r="Y4954" s="133"/>
      <c r="Z4954" s="146"/>
      <c r="AA4954" s="138">
        <f>1-AA4953/(3*F_GAMMA*AA$29)</f>
        <v>0.45122237598607051</v>
      </c>
      <c r="AB4954" s="133"/>
      <c r="AC4954" s="146"/>
      <c r="AD4954" s="138">
        <f>1-AD4953/(3*F_GAMMA*AD$29)</f>
        <v>0.44475716309068825</v>
      </c>
      <c r="AE4954" s="133"/>
      <c r="AF4954" s="146"/>
      <c r="AG4954" s="138">
        <f>1-AG4953/(3*F_GAMMA*AG$29)</f>
        <v>0.41560134226379108</v>
      </c>
      <c r="AH4954" s="133"/>
      <c r="AI4954" s="146"/>
      <c r="AJ4954" s="138">
        <f>1-AJ4953/(3*F_GAMMA*AJ$29)</f>
        <v>0.37631340879565234</v>
      </c>
      <c r="AK4954" s="133"/>
      <c r="AL4954" s="146"/>
      <c r="AM4954" s="138">
        <f>1-AM4953/(3*F_GAMMA*AM$29)</f>
        <v>0.31906435815364964</v>
      </c>
      <c r="AN4954" s="133"/>
      <c r="AO4954" s="146"/>
      <c r="AP4954" s="138">
        <f>1-AP4953/(3*F_GAMMA*AP$29)</f>
        <v>0.43749885952874601</v>
      </c>
      <c r="AQ4954" s="133"/>
      <c r="AR4954" s="146"/>
      <c r="AS4954" s="138">
        <f>1-AS4953/(3*F_GAMMA*AS$29)</f>
        <v>0.14634050382336727</v>
      </c>
      <c r="AT4954" s="133"/>
      <c r="AU4954" s="146"/>
    </row>
    <row r="4955" spans="13:47" x14ac:dyDescent="0.25">
      <c r="M4955" s="12"/>
      <c r="N4955" s="12"/>
      <c r="O4955" s="2" t="s">
        <v>71</v>
      </c>
      <c r="P4955" s="85">
        <v>5</v>
      </c>
      <c r="Q4955" s="2"/>
      <c r="R4955" s="179" t="e">
        <f>R4947/((N_6*R$27*R4954)*SQRT(R4953*R4949*R4951))</f>
        <v>#NUM!</v>
      </c>
      <c r="S4955" s="133"/>
      <c r="T4955" s="146"/>
      <c r="U4955" s="143" t="e">
        <f>U4947/((N_6*U$27*U4954)*SQRT(U4953*U4949*U4951))</f>
        <v>#NUM!</v>
      </c>
      <c r="V4955" s="133"/>
      <c r="W4955" s="146"/>
      <c r="X4955" s="143">
        <f>X4947/((N_6*X$27*X4954)*SQRT(X4953*X4949*X4951))</f>
        <v>42.142947505381329</v>
      </c>
      <c r="Y4955" s="133"/>
      <c r="Z4955" s="146"/>
      <c r="AA4955" s="143">
        <f>AA4947/((N_6*AA$27*AA4954)*SQRT(AA4953*AA4949*AA4951))</f>
        <v>17.966326096004998</v>
      </c>
      <c r="AB4955" s="133"/>
      <c r="AC4955" s="146"/>
      <c r="AD4955" s="143">
        <f>AD4947/((N_6*AD$27*AD4954)*SQRT(AD4953*AD4949*AD4951))</f>
        <v>10.963721263718602</v>
      </c>
      <c r="AE4955" s="133"/>
      <c r="AF4955" s="146"/>
      <c r="AG4955" s="143">
        <f>AG4947/((N_6*AG$27*AG4954)*SQRT(AG4953*AG4949*AG4951))</f>
        <v>8.4909106696103489</v>
      </c>
      <c r="AH4955" s="133"/>
      <c r="AI4955" s="146"/>
      <c r="AJ4955" s="143">
        <f>AJ4947/((N_6*AJ$27*AJ4954)*SQRT(AJ4953*AJ4949*AJ4951))</f>
        <v>7.6196797050711549</v>
      </c>
      <c r="AK4955" s="133"/>
      <c r="AL4955" s="146"/>
      <c r="AM4955" s="143">
        <f>AM4947/((N_6*AM$27*AM4954)*SQRT(AM4953*AM4949*AM4951))</f>
        <v>8.1257831141440615</v>
      </c>
      <c r="AN4955" s="133"/>
      <c r="AO4955" s="146"/>
      <c r="AP4955" s="143">
        <f>AP4947/((N_6*AP$27*AP4954)*SQRT(AP4953*AP4949*AP4951))</f>
        <v>6.0301963113413857</v>
      </c>
      <c r="AQ4955" s="133"/>
      <c r="AR4955" s="146"/>
      <c r="AS4955" s="143">
        <f>AS4947/((N_6*AS$27*AS4954)*SQRT(AS4953*AS4949*AS4951))</f>
        <v>21.222281445688289</v>
      </c>
      <c r="AT4955" s="133"/>
      <c r="AU4955" s="146"/>
    </row>
    <row r="4956" spans="13:47" x14ac:dyDescent="0.25">
      <c r="M4956" s="12"/>
      <c r="N4956" s="12"/>
      <c r="O4956" s="2" t="s">
        <v>73</v>
      </c>
      <c r="P4956" s="85">
        <v>5</v>
      </c>
      <c r="Q4956" s="2"/>
      <c r="R4956" s="179">
        <f>R4947/((N_6*R$27*0.667)*SQRT(R4957*R4949*R4951))</f>
        <v>116.99723143140461</v>
      </c>
      <c r="S4956" s="133"/>
      <c r="T4956" s="147"/>
      <c r="U4956" s="143">
        <f>U4947/((N_6*U$27*0.667)*SQRT(U4957*U4949*U4951))</f>
        <v>863.57951890528307</v>
      </c>
      <c r="V4956" s="133"/>
      <c r="W4956" s="155"/>
      <c r="X4956" s="143">
        <f>X4947/((N_6*X$27*0.667)*SQRT(X4957*X4949*X4951))</f>
        <v>34.739107574320379</v>
      </c>
      <c r="Y4956" s="133"/>
      <c r="Z4956" s="155"/>
      <c r="AA4956" s="143">
        <f>AA4947/((N_6*AA$27*0.667)*SQRT(AA4957*AA4949*AA4951))</f>
        <v>15.594910872751964</v>
      </c>
      <c r="AB4956" s="133"/>
      <c r="AC4956" s="155"/>
      <c r="AD4956" s="143">
        <f>AD4947/((N_6*AD$27*0.667)*SQRT(AD4957*AD4949*AD4951))</f>
        <v>9.4353325771009651</v>
      </c>
      <c r="AE4956" s="133"/>
      <c r="AF4956" s="155"/>
      <c r="AG4956" s="143">
        <f>AG4947/((N_6*AG$27*0.667)*SQRT(AG4957*AG4949*AG4951))</f>
        <v>7.0052011721233951</v>
      </c>
      <c r="AH4956" s="133"/>
      <c r="AI4956" s="155"/>
      <c r="AJ4956" s="143">
        <f>AJ4947/((N_6*AJ$27*0.667)*SQRT(AJ4957*AJ4949*AJ4951))</f>
        <v>5.8803666579861442</v>
      </c>
      <c r="AK4956" s="133"/>
      <c r="AL4956" s="155"/>
      <c r="AM4956" s="143">
        <f>AM4947/((N_6*AM$27*0.667)*SQRT(AM4957*AM4949*AM4951))</f>
        <v>5.5556048223253711</v>
      </c>
      <c r="AN4956" s="133"/>
      <c r="AO4956" s="155"/>
      <c r="AP4956" s="143">
        <f>AP4947/((N_6*AP$27*0.667)*SQRT(AP4957*AP4949*AP4951))</f>
        <v>5.1381274549124205</v>
      </c>
      <c r="AQ4956" s="133"/>
      <c r="AR4956" s="155"/>
      <c r="AS4956" s="143">
        <f>AS4947/((N_6*AS$27*0.667)*SQRT(AS4957*AS4949*AS4951))</f>
        <v>7.4513291321245783</v>
      </c>
      <c r="AT4956" s="133"/>
      <c r="AU4956" s="155"/>
    </row>
    <row r="4957" spans="13:47" ht="15.5" x14ac:dyDescent="0.4">
      <c r="M4957" s="12"/>
      <c r="N4957" s="12"/>
      <c r="O4957" s="2" t="s">
        <v>192</v>
      </c>
      <c r="P4957" s="85">
        <v>10</v>
      </c>
      <c r="Q4957" s="2"/>
      <c r="R4957" s="181">
        <f>F_GAMMA*R$29</f>
        <v>0.64002688015162901</v>
      </c>
      <c r="S4957" s="133"/>
      <c r="T4957" s="147"/>
      <c r="U4957" s="138">
        <f>F_GAMMA*U$29</f>
        <v>0.64016782916606918</v>
      </c>
      <c r="V4957" s="133"/>
      <c r="W4957" s="155"/>
      <c r="X4957" s="138">
        <f>F_GAMMA*X$29</f>
        <v>0.6307062319203669</v>
      </c>
      <c r="Y4957" s="133"/>
      <c r="Z4957" s="155"/>
      <c r="AA4957" s="138">
        <f>F_GAMMA*AA$29</f>
        <v>0.62217534213893466</v>
      </c>
      <c r="AB4957" s="133"/>
      <c r="AC4957" s="155"/>
      <c r="AD4957" s="138">
        <f>F_GAMMA*AD$29</f>
        <v>0.60557184969146072</v>
      </c>
      <c r="AE4957" s="133"/>
      <c r="AF4957" s="155"/>
      <c r="AG4957" s="138">
        <f>F_GAMMA*AG$29</f>
        <v>0.57289312142622573</v>
      </c>
      <c r="AH4957" s="133"/>
      <c r="AI4957" s="155"/>
      <c r="AJ4957" s="138">
        <f>F_GAMMA*AJ$29</f>
        <v>0.53590819116049981</v>
      </c>
      <c r="AK4957" s="133"/>
      <c r="AL4957" s="155"/>
      <c r="AM4957" s="138">
        <f>F_GAMMA*AM$29</f>
        <v>0.49048815926850342</v>
      </c>
      <c r="AN4957" s="133"/>
      <c r="AO4957" s="155"/>
      <c r="AP4957" s="138">
        <f>F_GAMMA*AP$29</f>
        <v>0.59352979016280105</v>
      </c>
      <c r="AQ4957" s="133"/>
      <c r="AR4957" s="155"/>
      <c r="AS4957" s="138">
        <f>F_GAMMA*AS$29</f>
        <v>0.39097221161068291</v>
      </c>
      <c r="AT4957" s="133"/>
      <c r="AU4957" s="155"/>
    </row>
    <row r="4958" spans="13:47" x14ac:dyDescent="0.25">
      <c r="M4958" s="12"/>
      <c r="N4958" s="12"/>
      <c r="O4958" s="2" t="s">
        <v>193</v>
      </c>
      <c r="P4958" s="134"/>
      <c r="Q4958" s="2"/>
      <c r="R4958" s="181" t="e">
        <f>IF(R4953&lt;R4957,R4955,R4956)</f>
        <v>#NUM!</v>
      </c>
      <c r="S4958" s="133"/>
      <c r="T4958" s="147"/>
      <c r="U4958" s="138" t="e">
        <f>IF(U4953&lt;U4957,U4955,U4956)</f>
        <v>#NUM!</v>
      </c>
      <c r="V4958" s="133"/>
      <c r="W4958" s="155"/>
      <c r="X4958" s="138">
        <f>IF(X4953&lt;X4957,X4955,X4956)</f>
        <v>34.739107574320379</v>
      </c>
      <c r="Y4958" s="133"/>
      <c r="Z4958" s="155"/>
      <c r="AA4958" s="138">
        <f>IF(AA4953&lt;AA4957,AA4955,AA4956)</f>
        <v>15.594910872751964</v>
      </c>
      <c r="AB4958" s="133"/>
      <c r="AC4958" s="155"/>
      <c r="AD4958" s="138">
        <f>IF(AD4953&lt;AD4957,AD4955,AD4956)</f>
        <v>9.4353325771009651</v>
      </c>
      <c r="AE4958" s="133"/>
      <c r="AF4958" s="155"/>
      <c r="AG4958" s="138">
        <f>IF(AG4953&lt;AG4957,AG4955,AG4956)</f>
        <v>7.0052011721233951</v>
      </c>
      <c r="AH4958" s="133"/>
      <c r="AI4958" s="155"/>
      <c r="AJ4958" s="138">
        <f>IF(AJ4953&lt;AJ4957,AJ4955,AJ4956)</f>
        <v>5.8803666579861442</v>
      </c>
      <c r="AK4958" s="133"/>
      <c r="AL4958" s="155"/>
      <c r="AM4958" s="138">
        <f>IF(AM4953&lt;AM4957,AM4955,AM4956)</f>
        <v>5.5556048223253711</v>
      </c>
      <c r="AN4958" s="133"/>
      <c r="AO4958" s="155"/>
      <c r="AP4958" s="138">
        <f>IF(AP4953&lt;AP4957,AP4955,AP4956)</f>
        <v>5.1381274549124205</v>
      </c>
      <c r="AQ4958" s="133"/>
      <c r="AR4958" s="155"/>
      <c r="AS4958" s="138">
        <f>IF(AS4953&lt;AS4957,AS4955,AS4956)</f>
        <v>7.4513291321245783</v>
      </c>
      <c r="AT4958" s="133"/>
      <c r="AU4958" s="155"/>
    </row>
    <row r="4959" spans="13:47" ht="13" x14ac:dyDescent="0.3">
      <c r="M4959" s="12"/>
      <c r="N4959" s="12"/>
      <c r="O4959" s="9" t="s">
        <v>194</v>
      </c>
      <c r="P4959" s="1"/>
      <c r="Q4959" s="1"/>
      <c r="R4959" s="135"/>
      <c r="S4959" s="132">
        <f>IF(R4952&lt;=0,W_max,ABS(R$23-R4958))</f>
        <v>7174</v>
      </c>
      <c r="T4959" s="151">
        <f>R4947</f>
        <v>11952.693278974824</v>
      </c>
      <c r="U4959" s="135"/>
      <c r="V4959" s="132">
        <f>IF(U4952&lt;=0,W_max,ABS(U$23-U4958))</f>
        <v>7174</v>
      </c>
      <c r="W4959" s="151">
        <f>U4947</f>
        <v>15270.026961273021</v>
      </c>
      <c r="X4959" s="135"/>
      <c r="Y4959" s="132">
        <f>IF(X4952&lt;=0,W_max,ABS(X$23-X4958))</f>
        <v>7174</v>
      </c>
      <c r="Z4959" s="151">
        <f>X4947</f>
        <v>37764.593829737736</v>
      </c>
      <c r="AA4959" s="135"/>
      <c r="AB4959" s="132">
        <f>IF(AA4952&lt;=0,W_max,ABS(AA$23-AA4958))</f>
        <v>7174</v>
      </c>
      <c r="AC4959" s="151">
        <f>AA4947</f>
        <v>73555.789540967206</v>
      </c>
      <c r="AD4959" s="135"/>
      <c r="AE4959" s="132">
        <f>IF(AD4952&lt;=0,W_max,ABS(AD$23-AD4958))</f>
        <v>7174</v>
      </c>
      <c r="AF4959" s="151">
        <f>AD4947</f>
        <v>120972.19215992605</v>
      </c>
      <c r="AG4959" s="135"/>
      <c r="AH4959" s="132">
        <f>IF(AG4952&lt;=0,W_max,ABS(AG$23-AG4958))</f>
        <v>7174</v>
      </c>
      <c r="AI4959" s="151">
        <f>AG4947</f>
        <v>169672.81268999554</v>
      </c>
      <c r="AJ4959" s="135"/>
      <c r="AK4959" s="132">
        <f>IF(AJ4952&lt;=0,W_max,ABS(AJ$23-AJ4958))</f>
        <v>7174</v>
      </c>
      <c r="AL4959" s="151">
        <f>AJ4947</f>
        <v>215439.4491863529</v>
      </c>
      <c r="AM4959" s="135"/>
      <c r="AN4959" s="132">
        <f>IF(AM4952&lt;=0,W_max,ABS(AM$23-AM4958))</f>
        <v>7174</v>
      </c>
      <c r="AO4959" s="151">
        <f>AM4947</f>
        <v>252619.69739004178</v>
      </c>
      <c r="AP4959" s="135"/>
      <c r="AQ4959" s="132">
        <f>IF(AP4952&lt;=0,W_max,ABS(AP$23-AP4958))</f>
        <v>7174</v>
      </c>
      <c r="AR4959" s="151">
        <f>AP4947</f>
        <v>281839.80012224062</v>
      </c>
      <c r="AS4959" s="135"/>
      <c r="AT4959" s="132">
        <f>IF(AS4952&lt;=0,W_max,ABS(AS$23-AS4958))</f>
        <v>7174</v>
      </c>
      <c r="AU4959" s="151">
        <f>AS4947</f>
        <v>314439.74382686353</v>
      </c>
    </row>
    <row r="4960" spans="13:47" ht="13" x14ac:dyDescent="0.25">
      <c r="M4960" s="12"/>
      <c r="N4960" s="12"/>
      <c r="O4960" s="12"/>
      <c r="P4960" s="12"/>
      <c r="Q4960" s="12"/>
      <c r="R4960" s="182"/>
      <c r="S4960" s="22"/>
      <c r="T4960" s="152"/>
      <c r="U4960" s="157"/>
      <c r="V4960" s="1"/>
      <c r="W4960" s="147"/>
      <c r="X4960" s="157"/>
      <c r="Y4960" s="1"/>
      <c r="Z4960" s="147"/>
      <c r="AA4960" s="157"/>
      <c r="AB4960" s="1"/>
      <c r="AC4960" s="147"/>
      <c r="AD4960" s="157"/>
      <c r="AE4960" s="1"/>
      <c r="AF4960" s="147"/>
      <c r="AG4960" s="157"/>
      <c r="AH4960" s="1"/>
      <c r="AI4960" s="147"/>
      <c r="AJ4960" s="157"/>
      <c r="AK4960" s="1"/>
      <c r="AL4960" s="147"/>
      <c r="AM4960" s="157"/>
      <c r="AN4960" s="1"/>
      <c r="AO4960" s="147"/>
      <c r="AP4960" s="157"/>
      <c r="AQ4960" s="1"/>
      <c r="AR4960" s="147"/>
      <c r="AS4960" s="157"/>
      <c r="AT4960" s="1"/>
      <c r="AU4960" s="147"/>
    </row>
    <row r="4961" spans="13:47" ht="14" x14ac:dyDescent="0.3">
      <c r="M4961" s="12"/>
      <c r="N4961" s="12"/>
      <c r="O4961" s="23" t="s">
        <v>238</v>
      </c>
      <c r="P4961" s="20"/>
      <c r="Q4961" s="20"/>
      <c r="R4961" s="18">
        <f>R4947*1.02</f>
        <v>12191.747144554321</v>
      </c>
      <c r="S4961" s="128" t="s">
        <v>185</v>
      </c>
      <c r="T4961" s="153" t="s">
        <v>186</v>
      </c>
      <c r="U4961" s="143">
        <f>U4947*1.01</f>
        <v>15422.727230885752</v>
      </c>
      <c r="V4961" s="128" t="s">
        <v>185</v>
      </c>
      <c r="W4961" s="153" t="s">
        <v>186</v>
      </c>
      <c r="X4961" s="143">
        <f>X4947*1.01</f>
        <v>38142.239768035113</v>
      </c>
      <c r="Y4961" s="128" t="s">
        <v>185</v>
      </c>
      <c r="Z4961" s="153" t="s">
        <v>186</v>
      </c>
      <c r="AA4961" s="143">
        <f>AA4947*1.01</f>
        <v>74291.347436376876</v>
      </c>
      <c r="AB4961" s="128" t="s">
        <v>185</v>
      </c>
      <c r="AC4961" s="153" t="s">
        <v>186</v>
      </c>
      <c r="AD4961" s="143">
        <f>AD4947*1.01</f>
        <v>122181.91408152532</v>
      </c>
      <c r="AE4961" s="128" t="s">
        <v>185</v>
      </c>
      <c r="AF4961" s="153" t="s">
        <v>186</v>
      </c>
      <c r="AG4961" s="143">
        <f>AG4947*1.01</f>
        <v>171369.54081689549</v>
      </c>
      <c r="AH4961" s="128" t="s">
        <v>185</v>
      </c>
      <c r="AI4961" s="153" t="s">
        <v>186</v>
      </c>
      <c r="AJ4961" s="143">
        <f>AJ4947*1.01</f>
        <v>217593.84367821642</v>
      </c>
      <c r="AK4961" s="128" t="s">
        <v>185</v>
      </c>
      <c r="AL4961" s="153" t="s">
        <v>186</v>
      </c>
      <c r="AM4961" s="143">
        <f>AM4947*1.01</f>
        <v>255145.89436394221</v>
      </c>
      <c r="AN4961" s="128" t="s">
        <v>185</v>
      </c>
      <c r="AO4961" s="153" t="s">
        <v>186</v>
      </c>
      <c r="AP4961" s="143">
        <f>AP4947*1.01</f>
        <v>284658.19812346302</v>
      </c>
      <c r="AQ4961" s="128" t="s">
        <v>185</v>
      </c>
      <c r="AR4961" s="153" t="s">
        <v>186</v>
      </c>
      <c r="AS4961" s="143">
        <f>AS4947*1.01</f>
        <v>317584.14126513217</v>
      </c>
      <c r="AT4961" s="128" t="s">
        <v>185</v>
      </c>
      <c r="AU4961" s="153" t="s">
        <v>186</v>
      </c>
    </row>
    <row r="4962" spans="13:47" ht="14" x14ac:dyDescent="0.3">
      <c r="M4962" s="12"/>
      <c r="N4962" s="12"/>
      <c r="O4962" s="20"/>
      <c r="P4962" s="20"/>
      <c r="Q4962" s="23"/>
      <c r="R4962" s="139"/>
      <c r="S4962" s="130" t="s">
        <v>228</v>
      </c>
      <c r="T4962" s="154" t="s">
        <v>187</v>
      </c>
      <c r="U4962" s="144"/>
      <c r="V4962" s="130" t="s">
        <v>228</v>
      </c>
      <c r="W4962" s="154" t="s">
        <v>187</v>
      </c>
      <c r="X4962" s="144"/>
      <c r="Y4962" s="130" t="s">
        <v>228</v>
      </c>
      <c r="Z4962" s="154" t="s">
        <v>187</v>
      </c>
      <c r="AA4962" s="144"/>
      <c r="AB4962" s="130" t="s">
        <v>228</v>
      </c>
      <c r="AC4962" s="154" t="s">
        <v>187</v>
      </c>
      <c r="AD4962" s="144"/>
      <c r="AE4962" s="130" t="s">
        <v>228</v>
      </c>
      <c r="AF4962" s="154" t="s">
        <v>187</v>
      </c>
      <c r="AG4962" s="144"/>
      <c r="AH4962" s="130" t="s">
        <v>228</v>
      </c>
      <c r="AI4962" s="154" t="s">
        <v>187</v>
      </c>
      <c r="AJ4962" s="144"/>
      <c r="AK4962" s="130" t="s">
        <v>228</v>
      </c>
      <c r="AL4962" s="154" t="s">
        <v>187</v>
      </c>
      <c r="AM4962" s="144"/>
      <c r="AN4962" s="130" t="s">
        <v>228</v>
      </c>
      <c r="AO4962" s="154" t="s">
        <v>187</v>
      </c>
      <c r="AP4962" s="144"/>
      <c r="AQ4962" s="130" t="s">
        <v>228</v>
      </c>
      <c r="AR4962" s="154" t="s">
        <v>187</v>
      </c>
      <c r="AS4962" s="144"/>
      <c r="AT4962" s="130" t="s">
        <v>228</v>
      </c>
      <c r="AU4962" s="154" t="s">
        <v>187</v>
      </c>
    </row>
    <row r="4963" spans="13:47" x14ac:dyDescent="0.25">
      <c r="M4963" s="12"/>
      <c r="N4963" s="12"/>
      <c r="O4963" s="7" t="s">
        <v>188</v>
      </c>
      <c r="P4963" s="7"/>
      <c r="Q4963" s="7"/>
      <c r="R4963" s="181">
        <f>P_1_minW-(R4961^2*R_up)+dpup_minQ</f>
        <v>41.251346369795478</v>
      </c>
      <c r="S4963" s="132"/>
      <c r="T4963" s="145"/>
      <c r="U4963" s="138">
        <f>P_1_minW-(U4961^2*R_up)+dpup_minQ</f>
        <v>5.6730908441451495</v>
      </c>
      <c r="V4963" s="132"/>
      <c r="W4963" s="145"/>
      <c r="X4963" s="138">
        <f>P_1_minW-(X4961^2*R_up)+dpup_minQ</f>
        <v>-479.60807713723909</v>
      </c>
      <c r="Y4963" s="132"/>
      <c r="Z4963" s="145"/>
      <c r="AA4963" s="138">
        <f>P_1_minW-(AA4961^2*R_up)+dpup_minQ</f>
        <v>-2100.3252576335276</v>
      </c>
      <c r="AB4963" s="132"/>
      <c r="AC4963" s="145"/>
      <c r="AD4963" s="138">
        <f>P_1_minW-(AD4961^2*R_up)+dpup_minQ</f>
        <v>-5852.361440131258</v>
      </c>
      <c r="AE4963" s="132"/>
      <c r="AF4963" s="145"/>
      <c r="AG4963" s="138">
        <f>P_1_minW-(AG4961^2*R_up)+dpup_minQ</f>
        <v>-11610.123231082469</v>
      </c>
      <c r="AH4963" s="132"/>
      <c r="AI4963" s="145"/>
      <c r="AJ4963" s="138">
        <f>P_1_minW-(AJ4961^2*R_up)+dpup_minQ</f>
        <v>-18779.686109699694</v>
      </c>
      <c r="AK4963" s="132"/>
      <c r="AL4963" s="145"/>
      <c r="AM4963" s="138">
        <f>P_1_minW-(AM4961^2*R_up)+dpup_minQ</f>
        <v>-25858.644444138441</v>
      </c>
      <c r="AN4963" s="132"/>
      <c r="AO4963" s="145"/>
      <c r="AP4963" s="138">
        <f>P_1_minW-(AP4961^2*R_up)+dpup_minQ</f>
        <v>-32211.26437146002</v>
      </c>
      <c r="AQ4963" s="132"/>
      <c r="AR4963" s="145"/>
      <c r="AS4963" s="138">
        <f>P_1_minW-(AS4961^2*R_up)+dpup_minQ</f>
        <v>-40118.47114596692</v>
      </c>
      <c r="AT4963" s="132"/>
      <c r="AU4963" s="145"/>
    </row>
    <row r="4964" spans="13:47" x14ac:dyDescent="0.25">
      <c r="M4964" s="12"/>
      <c r="N4964" s="12"/>
      <c r="O4964" s="7" t="s">
        <v>189</v>
      </c>
      <c r="P4964" s="1"/>
      <c r="Q4964" s="7"/>
      <c r="R4964" s="181">
        <f>P_2_minW+(R4961^2*R_dn)-dpdn_minQ</f>
        <v>50</v>
      </c>
      <c r="S4964" s="132"/>
      <c r="T4964" s="146"/>
      <c r="U4964" s="138">
        <f>P_2_minW+(U4961^2*R_dn)-dpdn_minQ</f>
        <v>50</v>
      </c>
      <c r="V4964" s="132"/>
      <c r="W4964" s="146"/>
      <c r="X4964" s="138">
        <f>P_2_minW+(X4961^2*R_dn)-dpdn_minQ</f>
        <v>50</v>
      </c>
      <c r="Y4964" s="132"/>
      <c r="Z4964" s="146"/>
      <c r="AA4964" s="138">
        <f>P_2_minW+(AA4961^2*R_dn)-dpdn_minQ</f>
        <v>50</v>
      </c>
      <c r="AB4964" s="132"/>
      <c r="AC4964" s="146"/>
      <c r="AD4964" s="138">
        <f>P_2_minW+(AD4961^2*R_dn)-dpdn_minQ</f>
        <v>50</v>
      </c>
      <c r="AE4964" s="132"/>
      <c r="AF4964" s="146"/>
      <c r="AG4964" s="138">
        <f>P_2_minW+(AG4961^2*R_dn)-dpdn_minQ</f>
        <v>50</v>
      </c>
      <c r="AH4964" s="132"/>
      <c r="AI4964" s="146"/>
      <c r="AJ4964" s="138">
        <f>P_2_minW+(AJ4961^2*R_dn)-dpdn_minQ</f>
        <v>50</v>
      </c>
      <c r="AK4964" s="132"/>
      <c r="AL4964" s="146"/>
      <c r="AM4964" s="138">
        <f>P_2_minW+(AM4961^2*R_dn)-dpdn_minQ</f>
        <v>50</v>
      </c>
      <c r="AN4964" s="132"/>
      <c r="AO4964" s="146"/>
      <c r="AP4964" s="138">
        <f>P_2_minW+(AP4961^2*R_dn)-dpdn_minQ</f>
        <v>50</v>
      </c>
      <c r="AQ4964" s="132"/>
      <c r="AR4964" s="146"/>
      <c r="AS4964" s="138">
        <f>P_2_minW+(AS4961^2*R_dn)-dpdn_minQ</f>
        <v>50</v>
      </c>
      <c r="AT4964" s="132"/>
      <c r="AU4964" s="146"/>
    </row>
    <row r="4965" spans="13:47" x14ac:dyDescent="0.25">
      <c r="M4965" s="12"/>
      <c r="N4965" s="12"/>
      <c r="O4965" s="7" t="s">
        <v>234</v>
      </c>
      <c r="P4965" s="1"/>
      <c r="Q4965" s="7"/>
      <c r="R4965" s="179">
        <f>'Valve Sizing'!G$8*R4963/P_1_maxW</f>
        <v>0.1989891505383492</v>
      </c>
      <c r="S4965" s="132"/>
      <c r="T4965" s="146"/>
      <c r="U4965" s="143">
        <f>'Valve Sizing'!$G$8*U4963/P_1_maxW</f>
        <v>2.7365980200585793E-2</v>
      </c>
      <c r="V4965" s="132"/>
      <c r="W4965" s="146"/>
      <c r="X4965" s="143">
        <f>'Valve Sizing'!$G$8*X4963/P_1_maxW</f>
        <v>-2.313543975154948</v>
      </c>
      <c r="Y4965" s="132"/>
      <c r="Z4965" s="146"/>
      <c r="AA4965" s="143">
        <f>'Valve Sizing'!$G$8*AA4963/P_1_maxW</f>
        <v>-10.131595102960205</v>
      </c>
      <c r="AB4965" s="132"/>
      <c r="AC4965" s="146"/>
      <c r="AD4965" s="143">
        <f>'Valve Sizing'!$G$8*AD4963/P_1_maxW</f>
        <v>-28.230749638460416</v>
      </c>
      <c r="AE4965" s="132"/>
      <c r="AF4965" s="146"/>
      <c r="AG4965" s="143">
        <f>'Valve Sizing'!$G$8*AG4963/P_1_maxW</f>
        <v>-56.005167411705713</v>
      </c>
      <c r="AH4965" s="132"/>
      <c r="AI4965" s="146"/>
      <c r="AJ4965" s="143">
        <f>'Valve Sizing'!$G$8*AJ4963/P_1_maxW</f>
        <v>-90.589862276160801</v>
      </c>
      <c r="AK4965" s="132"/>
      <c r="AL4965" s="146"/>
      <c r="AM4965" s="143">
        <f>'Valve Sizing'!$G$8*AM4963/P_1_maxW</f>
        <v>-124.73749695064373</v>
      </c>
      <c r="AN4965" s="132"/>
      <c r="AO4965" s="146"/>
      <c r="AP4965" s="143">
        <f>'Valve Sizing'!$G$8*AP4963/P_1_maxW</f>
        <v>-155.38140446577626</v>
      </c>
      <c r="AQ4965" s="132"/>
      <c r="AR4965" s="146"/>
      <c r="AS4965" s="143">
        <f>'Valve Sizing'!$G$8*AS4963/P_1_maxW</f>
        <v>-193.5243621546021</v>
      </c>
      <c r="AT4965" s="132"/>
      <c r="AU4965" s="146"/>
    </row>
    <row r="4966" spans="13:47" x14ac:dyDescent="0.25">
      <c r="M4966" s="12"/>
      <c r="N4966" s="12"/>
      <c r="O4966" s="7" t="s">
        <v>190</v>
      </c>
      <c r="P4966" s="1"/>
      <c r="Q4966" s="7"/>
      <c r="R4966" s="181">
        <f>R4963-R4964</f>
        <v>-8.7486536302045224</v>
      </c>
      <c r="S4966" s="132"/>
      <c r="T4966" s="146"/>
      <c r="U4966" s="138">
        <f>U4963-U4964</f>
        <v>-44.32690915585485</v>
      </c>
      <c r="V4966" s="132"/>
      <c r="W4966" s="146"/>
      <c r="X4966" s="138">
        <f>X4963-X4964</f>
        <v>-529.60807713723909</v>
      </c>
      <c r="Y4966" s="132"/>
      <c r="Z4966" s="146"/>
      <c r="AA4966" s="138">
        <f>AA4963-AA4964</f>
        <v>-2150.3252576335276</v>
      </c>
      <c r="AB4966" s="132"/>
      <c r="AC4966" s="146"/>
      <c r="AD4966" s="138">
        <f>AD4963-AD4964</f>
        <v>-5902.361440131258</v>
      </c>
      <c r="AE4966" s="132"/>
      <c r="AF4966" s="146"/>
      <c r="AG4966" s="138">
        <f>AG4963-AG4964</f>
        <v>-11660.123231082469</v>
      </c>
      <c r="AH4966" s="132"/>
      <c r="AI4966" s="146"/>
      <c r="AJ4966" s="138">
        <f>AJ4963-AJ4964</f>
        <v>-18829.686109699694</v>
      </c>
      <c r="AK4966" s="132"/>
      <c r="AL4966" s="146"/>
      <c r="AM4966" s="138">
        <f>AM4963-AM4964</f>
        <v>-25908.644444138441</v>
      </c>
      <c r="AN4966" s="132"/>
      <c r="AO4966" s="146"/>
      <c r="AP4966" s="138">
        <f>AP4963-AP4964</f>
        <v>-32261.26437146002</v>
      </c>
      <c r="AQ4966" s="132"/>
      <c r="AR4966" s="146"/>
      <c r="AS4966" s="138">
        <f>AS4963-AS4964</f>
        <v>-40168.47114596692</v>
      </c>
      <c r="AT4966" s="132"/>
      <c r="AU4966" s="146"/>
    </row>
    <row r="4967" spans="13:47" ht="14.5" x14ac:dyDescent="0.35">
      <c r="M4967" s="12"/>
      <c r="N4967" s="12"/>
      <c r="O4967" s="2" t="s">
        <v>191</v>
      </c>
      <c r="P4967" s="10"/>
      <c r="Q4967" s="2"/>
      <c r="R4967" s="181">
        <f>R4966/R4963</f>
        <v>-0.21208165066365803</v>
      </c>
      <c r="S4967" s="132"/>
      <c r="T4967" s="146"/>
      <c r="U4967" s="138">
        <f>U4966/U4963</f>
        <v>-7.8135376946417043</v>
      </c>
      <c r="V4967" s="132"/>
      <c r="W4967" s="146"/>
      <c r="X4967" s="138">
        <f>X4966/X4963</f>
        <v>1.1042517888740488</v>
      </c>
      <c r="Y4967" s="132"/>
      <c r="Z4967" s="146"/>
      <c r="AA4967" s="138">
        <f>AA4966/AA4963</f>
        <v>1.0238058366523364</v>
      </c>
      <c r="AB4967" s="132"/>
      <c r="AC4967" s="146"/>
      <c r="AD4967" s="138">
        <f>AD4966/AD4963</f>
        <v>1.0085435598111108</v>
      </c>
      <c r="AE4967" s="132"/>
      <c r="AF4967" s="146"/>
      <c r="AG4967" s="138">
        <f>AG4966/AG4963</f>
        <v>1.0043065865025567</v>
      </c>
      <c r="AH4967" s="132"/>
      <c r="AI4967" s="146"/>
      <c r="AJ4967" s="138">
        <f>AJ4966/AJ4963</f>
        <v>1.0026624513161684</v>
      </c>
      <c r="AK4967" s="132"/>
      <c r="AL4967" s="146"/>
      <c r="AM4967" s="138">
        <f>AM4966/AM4963</f>
        <v>1.0019335893692345</v>
      </c>
      <c r="AN4967" s="132"/>
      <c r="AO4967" s="146"/>
      <c r="AP4967" s="138">
        <f>AP4966/AP4963</f>
        <v>1.0015522520141835</v>
      </c>
      <c r="AQ4967" s="132"/>
      <c r="AR4967" s="146"/>
      <c r="AS4967" s="138">
        <f>AS4966/AS4963</f>
        <v>1.0012463087094741</v>
      </c>
      <c r="AT4967" s="132"/>
      <c r="AU4967" s="146"/>
    </row>
    <row r="4968" spans="13:47" x14ac:dyDescent="0.25">
      <c r="M4968" s="12"/>
      <c r="N4968" s="12"/>
      <c r="O4968" s="2" t="s">
        <v>26</v>
      </c>
      <c r="P4968" s="7">
        <v>12</v>
      </c>
      <c r="Q4968" s="2"/>
      <c r="R4968" s="181">
        <f>1-R4967/(3*F_GAMMA*R$29)</f>
        <v>1.1104545539365542</v>
      </c>
      <c r="S4968" s="133"/>
      <c r="T4968" s="146"/>
      <c r="U4968" s="138">
        <f>1-U4967/(3*F_GAMMA*U$29)</f>
        <v>5.0684839915704636</v>
      </c>
      <c r="V4968" s="133"/>
      <c r="W4968" s="146"/>
      <c r="X4968" s="138">
        <f>1-X4967/(3*F_GAMMA*X$29)</f>
        <v>0.41639401833093459</v>
      </c>
      <c r="Y4968" s="133"/>
      <c r="Z4968" s="146"/>
      <c r="AA4968" s="138">
        <f>1-AA4967/(3*F_GAMMA*AA$29)</f>
        <v>0.45149126121870864</v>
      </c>
      <c r="AB4968" s="133"/>
      <c r="AC4968" s="146"/>
      <c r="AD4968" s="138">
        <f>1-AD4967/(3*F_GAMMA*AD$29)</f>
        <v>0.44485334518936426</v>
      </c>
      <c r="AE4968" s="133"/>
      <c r="AF4968" s="146"/>
      <c r="AG4968" s="138">
        <f>1-AG4967/(3*F_GAMMA*AG$29)</f>
        <v>0.41565215282371182</v>
      </c>
      <c r="AH4968" s="133"/>
      <c r="AI4968" s="146"/>
      <c r="AJ4968" s="138">
        <f>1-AJ4967/(3*F_GAMMA*AJ$29)</f>
        <v>0.37634687691255442</v>
      </c>
      <c r="AK4968" s="133"/>
      <c r="AL4968" s="146"/>
      <c r="AM4968" s="138">
        <f>1-AM4967/(3*F_GAMMA*AM$29)</f>
        <v>0.31909087546341419</v>
      </c>
      <c r="AN4968" s="133"/>
      <c r="AO4968" s="146"/>
      <c r="AP4968" s="138">
        <f>1-AP4967/(3*F_GAMMA*AP$29)</f>
        <v>0.43751643775147053</v>
      </c>
      <c r="AQ4968" s="133"/>
      <c r="AR4968" s="146"/>
      <c r="AS4968" s="138">
        <f>1-AS4967/(3*F_GAMMA*AS$29)</f>
        <v>0.14636191611960248</v>
      </c>
      <c r="AT4968" s="133"/>
      <c r="AU4968" s="146"/>
    </row>
    <row r="4969" spans="13:47" x14ac:dyDescent="0.25">
      <c r="M4969" s="12"/>
      <c r="N4969" s="12"/>
      <c r="O4969" s="2" t="s">
        <v>71</v>
      </c>
      <c r="P4969" s="85">
        <v>5</v>
      </c>
      <c r="Q4969" s="2"/>
      <c r="R4969" s="179" t="e">
        <f>R4961/((N_6*R$27*R4968)*SQRT(R4967*R4963*R4965))</f>
        <v>#NUM!</v>
      </c>
      <c r="S4969" s="133"/>
      <c r="T4969" s="146"/>
      <c r="U4969" s="143" t="e">
        <f>U4961/((N_6*U$27*U4968)*SQRT(U4967*U4963*U4965))</f>
        <v>#NUM!</v>
      </c>
      <c r="V4969" s="133"/>
      <c r="W4969" s="146"/>
      <c r="X4969" s="143">
        <f>X4961/((N_6*X$27*X4968)*SQRT(X4967*X4963*X4965))</f>
        <v>41.463376638909146</v>
      </c>
      <c r="Y4969" s="133"/>
      <c r="Z4969" s="146"/>
      <c r="AA4969" s="143">
        <f>AA4961/((N_6*AA$27*AA4968)*SQRT(AA4967*AA4963*AA4965))</f>
        <v>17.765098266356159</v>
      </c>
      <c r="AB4969" s="133"/>
      <c r="AC4969" s="146"/>
      <c r="AD4969" s="143">
        <f>AD4961/((N_6*AD$27*AD4968)*SQRT(AD4967*AD4963*AD4965))</f>
        <v>10.850015452006065</v>
      </c>
      <c r="AE4969" s="133"/>
      <c r="AF4969" s="146"/>
      <c r="AG4969" s="143">
        <f>AG4961/((N_6*AG$27*AG4968)*SQRT(AG4967*AG4963*AG4965))</f>
        <v>8.4047170891320579</v>
      </c>
      <c r="AH4969" s="133"/>
      <c r="AI4969" s="146"/>
      <c r="AJ4969" s="143">
        <f>AJ4961/((N_6*AJ$27*AJ4968)*SQRT(AJ4967*AJ4963*AJ4965))</f>
        <v>7.542957204889877</v>
      </c>
      <c r="AK4969" s="133"/>
      <c r="AL4969" s="146"/>
      <c r="AM4969" s="143">
        <f>AM4961/((N_6*AM$27*AM4968)*SQRT(AM4967*AM4963*AM4965))</f>
        <v>8.0441892763027898</v>
      </c>
      <c r="AN4969" s="133"/>
      <c r="AO4969" s="146"/>
      <c r="AP4969" s="143">
        <f>AP4961/((N_6*AP$27*AP4968)*SQRT(AP4967*AP4963*AP4965))</f>
        <v>5.9699703065855578</v>
      </c>
      <c r="AQ4969" s="133"/>
      <c r="AR4969" s="146"/>
      <c r="AS4969" s="143">
        <f>AS4961/((N_6*AS$27*AS4968)*SQRT(AS4967*AS4963*AS4965))</f>
        <v>21.008291217895028</v>
      </c>
      <c r="AT4969" s="133"/>
      <c r="AU4969" s="146"/>
    </row>
    <row r="4970" spans="13:47" x14ac:dyDescent="0.25">
      <c r="M4970" s="12"/>
      <c r="N4970" s="12"/>
      <c r="O4970" s="2" t="s">
        <v>73</v>
      </c>
      <c r="P4970" s="85">
        <v>5</v>
      </c>
      <c r="Q4970" s="2"/>
      <c r="R4970" s="179">
        <f>R4961/((N_6*R$27*0.667)*SQRT(R4971*R4963*R4965))</f>
        <v>125.99548790708431</v>
      </c>
      <c r="S4970" s="133"/>
      <c r="T4970" s="155"/>
      <c r="U4970" s="143">
        <f>U4961/((N_6*U$27*0.667)*SQRT(U4971*U4963*U4965))</f>
        <v>1159.5534184037879</v>
      </c>
      <c r="V4970" s="133"/>
      <c r="W4970" s="155"/>
      <c r="X4970" s="143">
        <f>X4961/((N_6*X$27*0.667)*SQRT(X4971*X4963*X4965))</f>
        <v>34.250255017590106</v>
      </c>
      <c r="Y4970" s="133"/>
      <c r="Z4970" s="155"/>
      <c r="AA4970" s="143">
        <f>AA4961/((N_6*AA$27*0.667)*SQRT(AA4971*AA4963*AA4965))</f>
        <v>15.425652083920095</v>
      </c>
      <c r="AB4970" s="133"/>
      <c r="AC4970" s="155"/>
      <c r="AD4970" s="143">
        <f>AD4961/((N_6*AD$27*0.667)*SQRT(AD4971*AD4963*AD4965))</f>
        <v>9.3386881786223412</v>
      </c>
      <c r="AE4970" s="133"/>
      <c r="AF4970" s="155"/>
      <c r="AG4970" s="143">
        <f>AG4961/((N_6*AG$27*0.667)*SQRT(AG4971*AG4963*AG4965))</f>
        <v>6.9346357009987614</v>
      </c>
      <c r="AH4970" s="133"/>
      <c r="AI4970" s="155"/>
      <c r="AJ4970" s="143">
        <f>AJ4961/((N_6*AJ$27*0.667)*SQRT(AJ4971*AJ4963*AJ4965))</f>
        <v>5.8215188008328242</v>
      </c>
      <c r="AK4970" s="133"/>
      <c r="AL4970" s="155"/>
      <c r="AM4970" s="143">
        <f>AM4961/((N_6*AM$27*0.667)*SQRT(AM4971*AM4963*AM4965))</f>
        <v>5.5001690355849604</v>
      </c>
      <c r="AN4970" s="133"/>
      <c r="AO4970" s="155"/>
      <c r="AP4970" s="143">
        <f>AP4961/((N_6*AP$27*0.667)*SQRT(AP4971*AP4963*AP4965))</f>
        <v>5.0869357988736335</v>
      </c>
      <c r="AQ4970" s="133"/>
      <c r="AR4970" s="155"/>
      <c r="AS4970" s="143">
        <f>AS4961/((N_6*AS$27*0.667)*SQRT(AS4971*AS4963*AS4965))</f>
        <v>7.3771820364864551</v>
      </c>
      <c r="AT4970" s="133"/>
      <c r="AU4970" s="155"/>
    </row>
    <row r="4971" spans="13:47" ht="15.5" x14ac:dyDescent="0.4">
      <c r="M4971" s="12"/>
      <c r="N4971" s="12"/>
      <c r="O4971" s="2" t="s">
        <v>192</v>
      </c>
      <c r="P4971" s="85">
        <v>10</v>
      </c>
      <c r="Q4971" s="2"/>
      <c r="R4971" s="181">
        <f>F_GAMMA*R$29</f>
        <v>0.64002688015162901</v>
      </c>
      <c r="S4971" s="133"/>
      <c r="T4971" s="155"/>
      <c r="U4971" s="138">
        <f>F_GAMMA*U$29</f>
        <v>0.64016782916606918</v>
      </c>
      <c r="V4971" s="133"/>
      <c r="W4971" s="155"/>
      <c r="X4971" s="138">
        <f>F_GAMMA*X$29</f>
        <v>0.6307062319203669</v>
      </c>
      <c r="Y4971" s="133"/>
      <c r="Z4971" s="155"/>
      <c r="AA4971" s="138">
        <f>F_GAMMA*AA$29</f>
        <v>0.62217534213893466</v>
      </c>
      <c r="AB4971" s="133"/>
      <c r="AC4971" s="155"/>
      <c r="AD4971" s="138">
        <f>F_GAMMA*AD$29</f>
        <v>0.60557184969146072</v>
      </c>
      <c r="AE4971" s="133"/>
      <c r="AF4971" s="155"/>
      <c r="AG4971" s="138">
        <f>F_GAMMA*AG$29</f>
        <v>0.57289312142622573</v>
      </c>
      <c r="AH4971" s="133"/>
      <c r="AI4971" s="155"/>
      <c r="AJ4971" s="138">
        <f>F_GAMMA*AJ$29</f>
        <v>0.53590819116049981</v>
      </c>
      <c r="AK4971" s="133"/>
      <c r="AL4971" s="155"/>
      <c r="AM4971" s="138">
        <f>F_GAMMA*AM$29</f>
        <v>0.49048815926850342</v>
      </c>
      <c r="AN4971" s="133"/>
      <c r="AO4971" s="155"/>
      <c r="AP4971" s="138">
        <f>F_GAMMA*AP$29</f>
        <v>0.59352979016280105</v>
      </c>
      <c r="AQ4971" s="133"/>
      <c r="AR4971" s="155"/>
      <c r="AS4971" s="138">
        <f>F_GAMMA*AS$29</f>
        <v>0.39097221161068291</v>
      </c>
      <c r="AT4971" s="133"/>
      <c r="AU4971" s="155"/>
    </row>
    <row r="4972" spans="13:47" x14ac:dyDescent="0.25">
      <c r="M4972" s="12"/>
      <c r="N4972" s="12"/>
      <c r="O4972" s="2" t="s">
        <v>193</v>
      </c>
      <c r="P4972" s="134"/>
      <c r="Q4972" s="2"/>
      <c r="R4972" s="181" t="e">
        <f>IF(R4967&lt;R4971,R4969,R4970)</f>
        <v>#NUM!</v>
      </c>
      <c r="S4972" s="133"/>
      <c r="T4972" s="155"/>
      <c r="U4972" s="138" t="e">
        <f>IF(U4967&lt;U4971,U4969,U4970)</f>
        <v>#NUM!</v>
      </c>
      <c r="V4972" s="133"/>
      <c r="W4972" s="155"/>
      <c r="X4972" s="138">
        <f>IF(X4967&lt;X4971,X4969,X4970)</f>
        <v>34.250255017590106</v>
      </c>
      <c r="Y4972" s="133"/>
      <c r="Z4972" s="155"/>
      <c r="AA4972" s="138">
        <f>IF(AA4967&lt;AA4971,AA4969,AA4970)</f>
        <v>15.425652083920095</v>
      </c>
      <c r="AB4972" s="133"/>
      <c r="AC4972" s="155"/>
      <c r="AD4972" s="138">
        <f>IF(AD4967&lt;AD4971,AD4969,AD4970)</f>
        <v>9.3386881786223412</v>
      </c>
      <c r="AE4972" s="133"/>
      <c r="AF4972" s="155"/>
      <c r="AG4972" s="138">
        <f>IF(AG4967&lt;AG4971,AG4969,AG4970)</f>
        <v>6.9346357009987614</v>
      </c>
      <c r="AH4972" s="133"/>
      <c r="AI4972" s="155"/>
      <c r="AJ4972" s="138">
        <f>IF(AJ4967&lt;AJ4971,AJ4969,AJ4970)</f>
        <v>5.8215188008328242</v>
      </c>
      <c r="AK4972" s="133"/>
      <c r="AL4972" s="155"/>
      <c r="AM4972" s="138">
        <f>IF(AM4967&lt;AM4971,AM4969,AM4970)</f>
        <v>5.5001690355849604</v>
      </c>
      <c r="AN4972" s="133"/>
      <c r="AO4972" s="155"/>
      <c r="AP4972" s="138">
        <f>IF(AP4967&lt;AP4971,AP4969,AP4970)</f>
        <v>5.0869357988736335</v>
      </c>
      <c r="AQ4972" s="133"/>
      <c r="AR4972" s="155"/>
      <c r="AS4972" s="138">
        <f>IF(AS4967&lt;AS4971,AS4969,AS4970)</f>
        <v>7.3771820364864551</v>
      </c>
      <c r="AT4972" s="133"/>
      <c r="AU4972" s="155"/>
    </row>
    <row r="4973" spans="13:47" ht="13" x14ac:dyDescent="0.3">
      <c r="M4973" s="12"/>
      <c r="N4973" s="12"/>
      <c r="O4973" s="9" t="s">
        <v>194</v>
      </c>
      <c r="P4973" s="1"/>
      <c r="Q4973" s="1"/>
      <c r="R4973" s="135"/>
      <c r="S4973" s="132">
        <f>IF(R4966&lt;=0,W_max,ABS(R$23-R4972))</f>
        <v>7174</v>
      </c>
      <c r="T4973" s="151">
        <f>R4961</f>
        <v>12191.747144554321</v>
      </c>
      <c r="U4973" s="135"/>
      <c r="V4973" s="132">
        <f>IF(U4966&lt;=0,W_max,ABS(U$23-U4972))</f>
        <v>7174</v>
      </c>
      <c r="W4973" s="151">
        <f>U4961</f>
        <v>15422.727230885752</v>
      </c>
      <c r="X4973" s="135"/>
      <c r="Y4973" s="132">
        <f>IF(X4966&lt;=0,W_max,ABS(X$23-X4972))</f>
        <v>7174</v>
      </c>
      <c r="Z4973" s="151">
        <f>X4961</f>
        <v>38142.239768035113</v>
      </c>
      <c r="AA4973" s="135"/>
      <c r="AB4973" s="132">
        <f>IF(AA4966&lt;=0,W_max,ABS(AA$23-AA4972))</f>
        <v>7174</v>
      </c>
      <c r="AC4973" s="151">
        <f>AA4961</f>
        <v>74291.347436376876</v>
      </c>
      <c r="AD4973" s="135"/>
      <c r="AE4973" s="132">
        <f>IF(AD4966&lt;=0,W_max,ABS(AD$23-AD4972))</f>
        <v>7174</v>
      </c>
      <c r="AF4973" s="151">
        <f>AD4961</f>
        <v>122181.91408152532</v>
      </c>
      <c r="AG4973" s="135"/>
      <c r="AH4973" s="132">
        <f>IF(AG4966&lt;=0,W_max,ABS(AG$23-AG4972))</f>
        <v>7174</v>
      </c>
      <c r="AI4973" s="151">
        <f>AG4961</f>
        <v>171369.54081689549</v>
      </c>
      <c r="AJ4973" s="135"/>
      <c r="AK4973" s="132">
        <f>IF(AJ4966&lt;=0,W_max,ABS(AJ$23-AJ4972))</f>
        <v>7174</v>
      </c>
      <c r="AL4973" s="151">
        <f>AJ4961</f>
        <v>217593.84367821642</v>
      </c>
      <c r="AM4973" s="135"/>
      <c r="AN4973" s="132">
        <f>IF(AM4966&lt;=0,W_max,ABS(AM$23-AM4972))</f>
        <v>7174</v>
      </c>
      <c r="AO4973" s="151">
        <f>AM4961</f>
        <v>255145.89436394221</v>
      </c>
      <c r="AP4973" s="135"/>
      <c r="AQ4973" s="132">
        <f>IF(AP4966&lt;=0,W_max,ABS(AP$23-AP4972))</f>
        <v>7174</v>
      </c>
      <c r="AR4973" s="151">
        <f>AP4961</f>
        <v>284658.19812346302</v>
      </c>
      <c r="AS4973" s="135"/>
      <c r="AT4973" s="132">
        <f>IF(AS4966&lt;=0,W_max,ABS(AS$23-AS4972))</f>
        <v>7174</v>
      </c>
      <c r="AU4973" s="151">
        <f>AS4961</f>
        <v>317584.14126513217</v>
      </c>
    </row>
    <row r="4974" spans="13:47" ht="13" x14ac:dyDescent="0.25">
      <c r="M4974" s="12"/>
      <c r="N4974" s="12"/>
      <c r="O4974" s="2"/>
      <c r="P4974" s="85"/>
      <c r="Q4974" s="2"/>
      <c r="R4974" s="18"/>
      <c r="S4974" s="150"/>
      <c r="T4974" s="152"/>
      <c r="U4974" s="157"/>
      <c r="V4974" s="1"/>
      <c r="W4974" s="147"/>
      <c r="X4974" s="157"/>
      <c r="Y4974" s="1"/>
      <c r="Z4974" s="147"/>
      <c r="AA4974" s="157"/>
      <c r="AB4974" s="1"/>
      <c r="AC4974" s="147"/>
      <c r="AD4974" s="157"/>
      <c r="AE4974" s="1"/>
      <c r="AF4974" s="147"/>
      <c r="AG4974" s="157"/>
      <c r="AH4974" s="1"/>
      <c r="AI4974" s="147"/>
      <c r="AJ4974" s="157"/>
      <c r="AK4974" s="1"/>
      <c r="AL4974" s="147"/>
      <c r="AM4974" s="157"/>
      <c r="AN4974" s="1"/>
      <c r="AO4974" s="147"/>
      <c r="AP4974" s="157"/>
      <c r="AQ4974" s="1"/>
      <c r="AR4974" s="147"/>
      <c r="AS4974" s="157"/>
      <c r="AT4974" s="1"/>
      <c r="AU4974" s="147"/>
    </row>
    <row r="4975" spans="13:47" ht="14" x14ac:dyDescent="0.3">
      <c r="M4975" s="12"/>
      <c r="N4975" s="12"/>
      <c r="O4975" s="23" t="s">
        <v>238</v>
      </c>
      <c r="P4975" s="20"/>
      <c r="Q4975" s="20"/>
      <c r="R4975" s="181">
        <f>R4961*1.02</f>
        <v>12435.582087445408</v>
      </c>
      <c r="S4975" s="128" t="s">
        <v>185</v>
      </c>
      <c r="T4975" s="153" t="s">
        <v>186</v>
      </c>
      <c r="U4975" s="143">
        <f>U4961*1.01</f>
        <v>15576.954503194609</v>
      </c>
      <c r="V4975" s="128" t="s">
        <v>185</v>
      </c>
      <c r="W4975" s="153" t="s">
        <v>186</v>
      </c>
      <c r="X4975" s="143">
        <f>X4961*1.01</f>
        <v>38523.662165715468</v>
      </c>
      <c r="Y4975" s="128" t="s">
        <v>185</v>
      </c>
      <c r="Z4975" s="153" t="s">
        <v>186</v>
      </c>
      <c r="AA4975" s="143">
        <f>AA4961*1.01</f>
        <v>75034.260910740646</v>
      </c>
      <c r="AB4975" s="128" t="s">
        <v>185</v>
      </c>
      <c r="AC4975" s="153" t="s">
        <v>186</v>
      </c>
      <c r="AD4975" s="143">
        <f>AD4961*1.01</f>
        <v>123403.73322234057</v>
      </c>
      <c r="AE4975" s="128" t="s">
        <v>185</v>
      </c>
      <c r="AF4975" s="153" t="s">
        <v>186</v>
      </c>
      <c r="AG4975" s="143">
        <f>AG4961*1.01</f>
        <v>173083.23622506444</v>
      </c>
      <c r="AH4975" s="128" t="s">
        <v>185</v>
      </c>
      <c r="AI4975" s="153" t="s">
        <v>186</v>
      </c>
      <c r="AJ4975" s="143">
        <f>AJ4961*1.01</f>
        <v>219769.78211499858</v>
      </c>
      <c r="AK4975" s="128" t="s">
        <v>185</v>
      </c>
      <c r="AL4975" s="153" t="s">
        <v>186</v>
      </c>
      <c r="AM4975" s="143">
        <f>AM4961*1.01</f>
        <v>257697.35330758162</v>
      </c>
      <c r="AN4975" s="128" t="s">
        <v>185</v>
      </c>
      <c r="AO4975" s="153" t="s">
        <v>186</v>
      </c>
      <c r="AP4975" s="143">
        <f>AP4961*1.01</f>
        <v>287504.78010469768</v>
      </c>
      <c r="AQ4975" s="128" t="s">
        <v>185</v>
      </c>
      <c r="AR4975" s="153" t="s">
        <v>186</v>
      </c>
      <c r="AS4975" s="143">
        <f>AS4961*1.01</f>
        <v>320759.98267778353</v>
      </c>
      <c r="AT4975" s="128" t="s">
        <v>185</v>
      </c>
      <c r="AU4975" s="153" t="s">
        <v>186</v>
      </c>
    </row>
    <row r="4976" spans="13:47" ht="14" x14ac:dyDescent="0.3">
      <c r="M4976" s="12"/>
      <c r="N4976" s="12"/>
      <c r="O4976" s="20"/>
      <c r="P4976" s="20"/>
      <c r="Q4976" s="23"/>
      <c r="R4976" s="139"/>
      <c r="S4976" s="130" t="s">
        <v>228</v>
      </c>
      <c r="T4976" s="154" t="s">
        <v>187</v>
      </c>
      <c r="U4976" s="144"/>
      <c r="V4976" s="130" t="s">
        <v>228</v>
      </c>
      <c r="W4976" s="154" t="s">
        <v>187</v>
      </c>
      <c r="X4976" s="144"/>
      <c r="Y4976" s="130" t="s">
        <v>228</v>
      </c>
      <c r="Z4976" s="154" t="s">
        <v>187</v>
      </c>
      <c r="AA4976" s="144"/>
      <c r="AB4976" s="130" t="s">
        <v>228</v>
      </c>
      <c r="AC4976" s="154" t="s">
        <v>187</v>
      </c>
      <c r="AD4976" s="144"/>
      <c r="AE4976" s="130" t="s">
        <v>228</v>
      </c>
      <c r="AF4976" s="154" t="s">
        <v>187</v>
      </c>
      <c r="AG4976" s="144"/>
      <c r="AH4976" s="130" t="s">
        <v>228</v>
      </c>
      <c r="AI4976" s="154" t="s">
        <v>187</v>
      </c>
      <c r="AJ4976" s="144"/>
      <c r="AK4976" s="130" t="s">
        <v>228</v>
      </c>
      <c r="AL4976" s="154" t="s">
        <v>187</v>
      </c>
      <c r="AM4976" s="144"/>
      <c r="AN4976" s="130" t="s">
        <v>228</v>
      </c>
      <c r="AO4976" s="154" t="s">
        <v>187</v>
      </c>
      <c r="AP4976" s="144"/>
      <c r="AQ4976" s="130" t="s">
        <v>228</v>
      </c>
      <c r="AR4976" s="154" t="s">
        <v>187</v>
      </c>
      <c r="AS4976" s="144"/>
      <c r="AT4976" s="130" t="s">
        <v>228</v>
      </c>
      <c r="AU4976" s="154" t="s">
        <v>187</v>
      </c>
    </row>
    <row r="4977" spans="13:47" x14ac:dyDescent="0.25">
      <c r="M4977" s="12"/>
      <c r="N4977" s="12"/>
      <c r="O4977" s="7" t="s">
        <v>188</v>
      </c>
      <c r="P4977" s="7"/>
      <c r="Q4977" s="7"/>
      <c r="R4977" s="181">
        <f>P_1_minW-(R4975^2*R_up)+dpup_minQ</f>
        <v>38.856780178971455</v>
      </c>
      <c r="S4977" s="132"/>
      <c r="T4977" s="145"/>
      <c r="U4977" s="138">
        <f>P_1_minW-(U4975^2*R_up)+dpup_minQ</f>
        <v>3.7666119567042666</v>
      </c>
      <c r="V4977" s="132"/>
      <c r="W4977" s="145"/>
      <c r="X4977" s="138">
        <f>P_1_minW-(X4975^2*R_up)+dpup_minQ</f>
        <v>-491.26870750110584</v>
      </c>
      <c r="Y4977" s="132"/>
      <c r="Z4977" s="145"/>
      <c r="AA4977" s="138">
        <f>P_1_minW-(AA4975^2*R_up)+dpup_minQ</f>
        <v>-2144.5623033253696</v>
      </c>
      <c r="AB4977" s="132"/>
      <c r="AC4977" s="145"/>
      <c r="AD4977" s="138">
        <f>P_1_minW-(AD4975^2*R_up)+dpup_minQ</f>
        <v>-5972.014413091304</v>
      </c>
      <c r="AE4977" s="132"/>
      <c r="AF4977" s="145"/>
      <c r="AG4977" s="138">
        <f>P_1_minW-(AG4975^2*R_up)+dpup_minQ</f>
        <v>-11845.507216040633</v>
      </c>
      <c r="AH4977" s="132"/>
      <c r="AI4977" s="145"/>
      <c r="AJ4977" s="138">
        <f>P_1_minW-(AJ4975^2*R_up)+dpup_minQ</f>
        <v>-19159.178308518065</v>
      </c>
      <c r="AK4977" s="132"/>
      <c r="AL4977" s="145"/>
      <c r="AM4977" s="138">
        <f>P_1_minW-(AM4975^2*R_up)+dpup_minQ</f>
        <v>-26380.423705479032</v>
      </c>
      <c r="AN4977" s="132"/>
      <c r="AO4977" s="145"/>
      <c r="AP4977" s="138">
        <f>P_1_minW-(AP4975^2*R_up)+dpup_minQ</f>
        <v>-32860.731293339777</v>
      </c>
      <c r="AQ4977" s="132"/>
      <c r="AR4977" s="145"/>
      <c r="AS4977" s="138">
        <f>P_1_minW-(AS4975^2*R_up)+dpup_minQ</f>
        <v>-40926.872924014271</v>
      </c>
      <c r="AT4977" s="132"/>
      <c r="AU4977" s="145"/>
    </row>
    <row r="4978" spans="13:47" x14ac:dyDescent="0.25">
      <c r="M4978" s="12"/>
      <c r="N4978" s="12"/>
      <c r="O4978" s="7" t="s">
        <v>189</v>
      </c>
      <c r="P4978" s="1"/>
      <c r="Q4978" s="7"/>
      <c r="R4978" s="181">
        <f>P_2_minW+(R4975^2*R_dn)-dpdn_minQ</f>
        <v>50</v>
      </c>
      <c r="S4978" s="132"/>
      <c r="T4978" s="146"/>
      <c r="U4978" s="138">
        <f>P_2_minW+(U4975^2*R_dn)-dpdn_minQ</f>
        <v>50</v>
      </c>
      <c r="V4978" s="132"/>
      <c r="W4978" s="146"/>
      <c r="X4978" s="138">
        <f>P_2_minW+(X4975^2*R_dn)-dpdn_minQ</f>
        <v>50</v>
      </c>
      <c r="Y4978" s="132"/>
      <c r="Z4978" s="146"/>
      <c r="AA4978" s="138">
        <f>P_2_minW+(AA4975^2*R_dn)-dpdn_minQ</f>
        <v>50</v>
      </c>
      <c r="AB4978" s="132"/>
      <c r="AC4978" s="146"/>
      <c r="AD4978" s="138">
        <f>P_2_minW+(AD4975^2*R_dn)-dpdn_minQ</f>
        <v>50</v>
      </c>
      <c r="AE4978" s="132"/>
      <c r="AF4978" s="146"/>
      <c r="AG4978" s="138">
        <f>P_2_minW+(AG4975^2*R_dn)-dpdn_minQ</f>
        <v>50</v>
      </c>
      <c r="AH4978" s="132"/>
      <c r="AI4978" s="146"/>
      <c r="AJ4978" s="138">
        <f>P_2_minW+(AJ4975^2*R_dn)-dpdn_minQ</f>
        <v>50</v>
      </c>
      <c r="AK4978" s="132"/>
      <c r="AL4978" s="146"/>
      <c r="AM4978" s="138">
        <f>P_2_minW+(AM4975^2*R_dn)-dpdn_minQ</f>
        <v>50</v>
      </c>
      <c r="AN4978" s="132"/>
      <c r="AO4978" s="146"/>
      <c r="AP4978" s="138">
        <f>P_2_minW+(AP4975^2*R_dn)-dpdn_minQ</f>
        <v>50</v>
      </c>
      <c r="AQ4978" s="132"/>
      <c r="AR4978" s="146"/>
      <c r="AS4978" s="138">
        <f>P_2_minW+(AS4975^2*R_dn)-dpdn_minQ</f>
        <v>50</v>
      </c>
      <c r="AT4978" s="132"/>
      <c r="AU4978" s="146"/>
    </row>
    <row r="4979" spans="13:47" x14ac:dyDescent="0.25">
      <c r="M4979" s="12"/>
      <c r="N4979" s="12"/>
      <c r="O4979" s="7" t="s">
        <v>234</v>
      </c>
      <c r="P4979" s="1"/>
      <c r="Q4979" s="7"/>
      <c r="R4979" s="179">
        <f>'Valve Sizing'!G$8*R4977/P_1_maxW</f>
        <v>0.18743818956004732</v>
      </c>
      <c r="S4979" s="132"/>
      <c r="T4979" s="146"/>
      <c r="U4979" s="143">
        <f>'Valve Sizing'!$G$8*U4977/P_1_maxW</f>
        <v>1.8169465475215894E-2</v>
      </c>
      <c r="V4979" s="132"/>
      <c r="W4979" s="146"/>
      <c r="X4979" s="143">
        <f>'Valve Sizing'!$G$8*X4977/P_1_maxW</f>
        <v>-2.3697927799829648</v>
      </c>
      <c r="Y4979" s="132"/>
      <c r="Z4979" s="146"/>
      <c r="AA4979" s="143">
        <f>'Valve Sizing'!$G$8*AA4977/P_1_maxW</f>
        <v>-10.344986735457107</v>
      </c>
      <c r="AB4979" s="132"/>
      <c r="AC4979" s="146"/>
      <c r="AD4979" s="143">
        <f>'Valve Sizing'!$G$8*AD4977/P_1_maxW</f>
        <v>-28.807934277120872</v>
      </c>
      <c r="AE4979" s="132"/>
      <c r="AF4979" s="146"/>
      <c r="AG4979" s="143">
        <f>'Valve Sizing'!$G$8*AG4977/P_1_maxW</f>
        <v>-57.140617847608397</v>
      </c>
      <c r="AH4979" s="132"/>
      <c r="AI4979" s="146"/>
      <c r="AJ4979" s="143">
        <f>'Valve Sizing'!$G$8*AJ4977/P_1_maxW</f>
        <v>-92.42046507883903</v>
      </c>
      <c r="AK4979" s="132"/>
      <c r="AL4979" s="146"/>
      <c r="AM4979" s="143">
        <f>'Valve Sizing'!$G$8*AM4977/P_1_maxW</f>
        <v>-127.25446721027906</v>
      </c>
      <c r="AN4979" s="132"/>
      <c r="AO4979" s="146"/>
      <c r="AP4979" s="143">
        <f>'Valve Sizing'!$G$8*AP4977/P_1_maxW</f>
        <v>-158.51431726646575</v>
      </c>
      <c r="AQ4979" s="132"/>
      <c r="AR4979" s="146"/>
      <c r="AS4979" s="143">
        <f>'Valve Sizing'!$G$8*AS4977/P_1_maxW</f>
        <v>-197.42394840483703</v>
      </c>
      <c r="AT4979" s="132"/>
      <c r="AU4979" s="146"/>
    </row>
    <row r="4980" spans="13:47" x14ac:dyDescent="0.25">
      <c r="M4980" s="12"/>
      <c r="N4980" s="12"/>
      <c r="O4980" s="7" t="s">
        <v>190</v>
      </c>
      <c r="P4980" s="1"/>
      <c r="Q4980" s="7"/>
      <c r="R4980" s="181">
        <f>R4977-R4978</f>
        <v>-11.143219821028545</v>
      </c>
      <c r="S4980" s="132"/>
      <c r="T4980" s="146"/>
      <c r="U4980" s="138">
        <f>U4977-U4978</f>
        <v>-46.233388043295733</v>
      </c>
      <c r="V4980" s="132"/>
      <c r="W4980" s="146"/>
      <c r="X4980" s="138">
        <f>X4977-X4978</f>
        <v>-541.26870750110584</v>
      </c>
      <c r="Y4980" s="132"/>
      <c r="Z4980" s="146"/>
      <c r="AA4980" s="138">
        <f>AA4977-AA4978</f>
        <v>-2194.5623033253696</v>
      </c>
      <c r="AB4980" s="132"/>
      <c r="AC4980" s="146"/>
      <c r="AD4980" s="138">
        <f>AD4977-AD4978</f>
        <v>-6022.014413091304</v>
      </c>
      <c r="AE4980" s="132"/>
      <c r="AF4980" s="146"/>
      <c r="AG4980" s="138">
        <f>AG4977-AG4978</f>
        <v>-11895.507216040633</v>
      </c>
      <c r="AH4980" s="132"/>
      <c r="AI4980" s="146"/>
      <c r="AJ4980" s="138">
        <f>AJ4977-AJ4978</f>
        <v>-19209.178308518065</v>
      </c>
      <c r="AK4980" s="132"/>
      <c r="AL4980" s="146"/>
      <c r="AM4980" s="138">
        <f>AM4977-AM4978</f>
        <v>-26430.423705479032</v>
      </c>
      <c r="AN4980" s="132"/>
      <c r="AO4980" s="146"/>
      <c r="AP4980" s="138">
        <f>AP4977-AP4978</f>
        <v>-32910.731293339777</v>
      </c>
      <c r="AQ4980" s="132"/>
      <c r="AR4980" s="146"/>
      <c r="AS4980" s="138">
        <f>AS4977-AS4978</f>
        <v>-40976.872924014271</v>
      </c>
      <c r="AT4980" s="132"/>
      <c r="AU4980" s="146"/>
    </row>
    <row r="4981" spans="13:47" ht="14.5" x14ac:dyDescent="0.35">
      <c r="M4981" s="12"/>
      <c r="N4981" s="12"/>
      <c r="O4981" s="2" t="s">
        <v>191</v>
      </c>
      <c r="P4981" s="10"/>
      <c r="Q4981" s="2"/>
      <c r="R4981" s="181">
        <f>R4980/R4977</f>
        <v>-0.28677671617935657</v>
      </c>
      <c r="S4981" s="132"/>
      <c r="T4981" s="146"/>
      <c r="U4981" s="138">
        <f>U4980/U4977</f>
        <v>-12.274529092651559</v>
      </c>
      <c r="V4981" s="132"/>
      <c r="W4981" s="146"/>
      <c r="X4981" s="138">
        <f>X4980/X4977</f>
        <v>1.1017772946588247</v>
      </c>
      <c r="Y4981" s="132"/>
      <c r="Z4981" s="146"/>
      <c r="AA4981" s="138">
        <f>AA4980/AA4977</f>
        <v>1.0233147807934839</v>
      </c>
      <c r="AB4981" s="132"/>
      <c r="AC4981" s="146"/>
      <c r="AD4981" s="138">
        <f>AD4980/AD4977</f>
        <v>1.0083723843483021</v>
      </c>
      <c r="AE4981" s="132"/>
      <c r="AF4981" s="146"/>
      <c r="AG4981" s="138">
        <f>AG4980/AG4977</f>
        <v>1.0042210096273709</v>
      </c>
      <c r="AH4981" s="132"/>
      <c r="AI4981" s="146"/>
      <c r="AJ4981" s="138">
        <f>AJ4980/AJ4977</f>
        <v>1.0026097152599582</v>
      </c>
      <c r="AK4981" s="132"/>
      <c r="AL4981" s="146"/>
      <c r="AM4981" s="138">
        <f>AM4980/AM4977</f>
        <v>1.0018953448420018</v>
      </c>
      <c r="AN4981" s="132"/>
      <c r="AO4981" s="146"/>
      <c r="AP4981" s="138">
        <f>AP4980/AP4977</f>
        <v>1.0015215729544684</v>
      </c>
      <c r="AQ4981" s="132"/>
      <c r="AR4981" s="146"/>
      <c r="AS4981" s="138">
        <f>AS4980/AS4977</f>
        <v>1.0012216911879104</v>
      </c>
      <c r="AT4981" s="132"/>
      <c r="AU4981" s="146"/>
    </row>
    <row r="4982" spans="13:47" x14ac:dyDescent="0.25">
      <c r="M4982" s="12"/>
      <c r="N4982" s="12"/>
      <c r="O4982" s="2" t="s">
        <v>26</v>
      </c>
      <c r="P4982" s="7">
        <v>12</v>
      </c>
      <c r="Q4982" s="2"/>
      <c r="R4982" s="181">
        <f>1-R4981/(3*F_GAMMA*R$29)</f>
        <v>1.149356599997496</v>
      </c>
      <c r="S4982" s="133"/>
      <c r="T4982" s="146"/>
      <c r="U4982" s="138">
        <f>1-U4981/(3*F_GAMMA*U$29)</f>
        <v>7.3913078901206699</v>
      </c>
      <c r="V4982" s="133"/>
      <c r="W4982" s="146"/>
      <c r="X4982" s="138">
        <f>1-X4981/(3*F_GAMMA*X$29)</f>
        <v>0.41770180849270822</v>
      </c>
      <c r="Y4982" s="133"/>
      <c r="Z4982" s="146"/>
      <c r="AA4982" s="138">
        <f>1-AA4981/(3*F_GAMMA*AA$29)</f>
        <v>0.45175434667902514</v>
      </c>
      <c r="AB4982" s="133"/>
      <c r="AC4982" s="146"/>
      <c r="AD4982" s="138">
        <f>1-AD4981/(3*F_GAMMA*AD$29)</f>
        <v>0.44494756767944854</v>
      </c>
      <c r="AE4982" s="133"/>
      <c r="AF4982" s="146"/>
      <c r="AG4982" s="138">
        <f>1-AG4981/(3*F_GAMMA*AG$29)</f>
        <v>0.41570194505195657</v>
      </c>
      <c r="AH4982" s="133"/>
      <c r="AI4982" s="146"/>
      <c r="AJ4982" s="138">
        <f>1-AJ4981/(3*F_GAMMA*AJ$29)</f>
        <v>0.37637967858585097</v>
      </c>
      <c r="AK4982" s="133"/>
      <c r="AL4982" s="146"/>
      <c r="AM4982" s="138">
        <f>1-AM4981/(3*F_GAMMA*AM$29)</f>
        <v>0.31911686625545133</v>
      </c>
      <c r="AN4982" s="133"/>
      <c r="AO4982" s="146"/>
      <c r="AP4982" s="138">
        <f>1-AP4981/(3*F_GAMMA*AP$29)</f>
        <v>0.43753366747339495</v>
      </c>
      <c r="AQ4982" s="133"/>
      <c r="AR4982" s="146"/>
      <c r="AS4982" s="138">
        <f>1-AS4981/(3*F_GAMMA*AS$29)</f>
        <v>0.14638290441564383</v>
      </c>
      <c r="AT4982" s="133"/>
      <c r="AU4982" s="146"/>
    </row>
    <row r="4983" spans="13:47" x14ac:dyDescent="0.25">
      <c r="M4983" s="12"/>
      <c r="N4983" s="12"/>
      <c r="O4983" s="2" t="s">
        <v>71</v>
      </c>
      <c r="P4983" s="85">
        <v>5</v>
      </c>
      <c r="Q4983" s="2"/>
      <c r="R4983" s="179" t="e">
        <f>R4975/((N_6*R$27*R4982)*SQRT(R4981*R4977*R4979))</f>
        <v>#NUM!</v>
      </c>
      <c r="S4983" s="133"/>
      <c r="T4983" s="146"/>
      <c r="U4983" s="143" t="e">
        <f>U4975/((N_6*U$27*U4982)*SQRT(U4981*U4977*U4979))</f>
        <v>#NUM!</v>
      </c>
      <c r="V4983" s="133"/>
      <c r="W4983" s="146"/>
      <c r="X4983" s="143">
        <f>X4975/((N_6*X$27*X4982)*SQRT(X4981*X4977*X4979))</f>
        <v>40.80174153720904</v>
      </c>
      <c r="Y4983" s="133"/>
      <c r="Z4983" s="146"/>
      <c r="AA4983" s="143">
        <f>AA4975/((N_6*AA$27*AA4982)*SQRT(AA4981*AA4977*AA4979))</f>
        <v>17.566614103761502</v>
      </c>
      <c r="AB4983" s="133"/>
      <c r="AC4983" s="146"/>
      <c r="AD4983" s="143">
        <f>AD4975/((N_6*AD$27*AD4982)*SQRT(AD4981*AD4977*AD4979))</f>
        <v>10.737592191781868</v>
      </c>
      <c r="AE4983" s="133"/>
      <c r="AF4983" s="146"/>
      <c r="AG4983" s="143">
        <f>AG4975/((N_6*AG$27*AG4982)*SQRT(AG4981*AG4977*AG4979))</f>
        <v>8.3194405443654809</v>
      </c>
      <c r="AH4983" s="133"/>
      <c r="AI4983" s="146"/>
      <c r="AJ4983" s="143">
        <f>AJ4975/((N_6*AJ$27*AJ4982)*SQRT(AJ4981*AJ4977*AJ4979))</f>
        <v>7.4670324389877054</v>
      </c>
      <c r="AK4983" s="133"/>
      <c r="AL4983" s="146"/>
      <c r="AM4983" s="143">
        <f>AM4975/((N_6*AM$27*AM4982)*SQRT(AM4981*AM4977*AM4979))</f>
        <v>7.9634371800132913</v>
      </c>
      <c r="AN4983" s="133"/>
      <c r="AO4983" s="146"/>
      <c r="AP4983" s="143">
        <f>AP4975/((N_6*AP$27*AP4982)*SQRT(AP4981*AP4977*AP4979))</f>
        <v>5.9103560201181438</v>
      </c>
      <c r="AQ4983" s="133"/>
      <c r="AR4983" s="146"/>
      <c r="AS4983" s="143">
        <f>AS4975/((N_6*AS$27*AS4982)*SQRT(AS4981*AS4977*AS4979))</f>
        <v>20.796534927045368</v>
      </c>
      <c r="AT4983" s="133"/>
      <c r="AU4983" s="146"/>
    </row>
    <row r="4984" spans="13:47" x14ac:dyDescent="0.25">
      <c r="M4984" s="12"/>
      <c r="N4984" s="12"/>
      <c r="O4984" s="2" t="s">
        <v>73</v>
      </c>
      <c r="P4984" s="85">
        <v>5</v>
      </c>
      <c r="Q4984" s="2"/>
      <c r="R4984" s="179">
        <f>R4975/((N_6*R$27*0.667)*SQRT(R4985*R4977*R4979))</f>
        <v>136.43521564376238</v>
      </c>
      <c r="S4984" s="133"/>
      <c r="T4984" s="155"/>
      <c r="U4984" s="143">
        <f>U4975/((N_6*U$27*0.667)*SQRT(U4985*U4977*U4979))</f>
        <v>1763.9285587224688</v>
      </c>
      <c r="V4984" s="133"/>
      <c r="W4984" s="155"/>
      <c r="X4984" s="143">
        <f>X4975/((N_6*X$27*0.667)*SQRT(X4985*X4977*X4979))</f>
        <v>33.771672582898205</v>
      </c>
      <c r="Y4984" s="133"/>
      <c r="Z4984" s="155"/>
      <c r="AA4984" s="143">
        <f>AA4975/((N_6*AA$27*0.667)*SQRT(AA4985*AA4977*AA4979))</f>
        <v>15.258533409571557</v>
      </c>
      <c r="AB4984" s="133"/>
      <c r="AC4984" s="155"/>
      <c r="AD4984" s="143">
        <f>AD4975/((N_6*AD$27*0.667)*SQRT(AD4985*AD4977*AD4979))</f>
        <v>9.2430976494220403</v>
      </c>
      <c r="AE4984" s="133"/>
      <c r="AF4984" s="155"/>
      <c r="AG4984" s="143">
        <f>AG4975/((N_6*AG$27*0.667)*SQRT(AG4985*AG4977*AG4979))</f>
        <v>6.8648048005623901</v>
      </c>
      <c r="AH4984" s="133"/>
      <c r="AI4984" s="155"/>
      <c r="AJ4984" s="143">
        <f>AJ4975/((N_6*AJ$27*0.667)*SQRT(AJ4985*AJ4977*AJ4979))</f>
        <v>5.7632721477349298</v>
      </c>
      <c r="AK4984" s="133"/>
      <c r="AL4984" s="155"/>
      <c r="AM4984" s="143">
        <f>AM4975/((N_6*AM$27*0.667)*SQRT(AM4985*AM4977*AM4979))</f>
        <v>5.4452948228710563</v>
      </c>
      <c r="AN4984" s="133"/>
      <c r="AO4984" s="155"/>
      <c r="AP4984" s="143">
        <f>AP4975/((N_6*AP$27*0.667)*SQRT(AP4985*AP4977*AP4979))</f>
        <v>5.036260414274075</v>
      </c>
      <c r="AQ4984" s="133"/>
      <c r="AR4984" s="155"/>
      <c r="AS4984" s="143">
        <f>AS4975/((N_6*AS$27*0.667)*SQRT(AS4985*AS4977*AS4979))</f>
        <v>7.3037800339890051</v>
      </c>
      <c r="AT4984" s="133"/>
      <c r="AU4984" s="155"/>
    </row>
    <row r="4985" spans="13:47" ht="15.5" x14ac:dyDescent="0.4">
      <c r="M4985" s="12"/>
      <c r="N4985" s="12"/>
      <c r="O4985" s="2" t="s">
        <v>192</v>
      </c>
      <c r="P4985" s="85">
        <v>10</v>
      </c>
      <c r="Q4985" s="2"/>
      <c r="R4985" s="181">
        <f>F_GAMMA*R$29</f>
        <v>0.64002688015162901</v>
      </c>
      <c r="S4985" s="133"/>
      <c r="T4985" s="155"/>
      <c r="U4985" s="138">
        <f>F_GAMMA*U$29</f>
        <v>0.64016782916606918</v>
      </c>
      <c r="V4985" s="133"/>
      <c r="W4985" s="155"/>
      <c r="X4985" s="138">
        <f>F_GAMMA*X$29</f>
        <v>0.6307062319203669</v>
      </c>
      <c r="Y4985" s="133"/>
      <c r="Z4985" s="155"/>
      <c r="AA4985" s="138">
        <f>F_GAMMA*AA$29</f>
        <v>0.62217534213893466</v>
      </c>
      <c r="AB4985" s="133"/>
      <c r="AC4985" s="155"/>
      <c r="AD4985" s="138">
        <f>F_GAMMA*AD$29</f>
        <v>0.60557184969146072</v>
      </c>
      <c r="AE4985" s="133"/>
      <c r="AF4985" s="155"/>
      <c r="AG4985" s="138">
        <f>F_GAMMA*AG$29</f>
        <v>0.57289312142622573</v>
      </c>
      <c r="AH4985" s="133"/>
      <c r="AI4985" s="155"/>
      <c r="AJ4985" s="138">
        <f>F_GAMMA*AJ$29</f>
        <v>0.53590819116049981</v>
      </c>
      <c r="AK4985" s="133"/>
      <c r="AL4985" s="155"/>
      <c r="AM4985" s="138">
        <f>F_GAMMA*AM$29</f>
        <v>0.49048815926850342</v>
      </c>
      <c r="AN4985" s="133"/>
      <c r="AO4985" s="155"/>
      <c r="AP4985" s="138">
        <f>F_GAMMA*AP$29</f>
        <v>0.59352979016280105</v>
      </c>
      <c r="AQ4985" s="133"/>
      <c r="AR4985" s="155"/>
      <c r="AS4985" s="138">
        <f>F_GAMMA*AS$29</f>
        <v>0.39097221161068291</v>
      </c>
      <c r="AT4985" s="133"/>
      <c r="AU4985" s="155"/>
    </row>
    <row r="4986" spans="13:47" x14ac:dyDescent="0.25">
      <c r="M4986" s="12"/>
      <c r="N4986" s="12"/>
      <c r="O4986" s="2" t="s">
        <v>193</v>
      </c>
      <c r="P4986" s="134"/>
      <c r="Q4986" s="2"/>
      <c r="R4986" s="181" t="e">
        <f>IF(R4981&lt;R4985,R4983,R4984)</f>
        <v>#NUM!</v>
      </c>
      <c r="S4986" s="133"/>
      <c r="T4986" s="155"/>
      <c r="U4986" s="138" t="e">
        <f>IF(U4981&lt;U4985,U4983,U4984)</f>
        <v>#NUM!</v>
      </c>
      <c r="V4986" s="133"/>
      <c r="W4986" s="155"/>
      <c r="X4986" s="138">
        <f>IF(X4981&lt;X4985,X4983,X4984)</f>
        <v>33.771672582898205</v>
      </c>
      <c r="Y4986" s="133"/>
      <c r="Z4986" s="155"/>
      <c r="AA4986" s="138">
        <f>IF(AA4981&lt;AA4985,AA4983,AA4984)</f>
        <v>15.258533409571557</v>
      </c>
      <c r="AB4986" s="133"/>
      <c r="AC4986" s="155"/>
      <c r="AD4986" s="138">
        <f>IF(AD4981&lt;AD4985,AD4983,AD4984)</f>
        <v>9.2430976494220403</v>
      </c>
      <c r="AE4986" s="133"/>
      <c r="AF4986" s="155"/>
      <c r="AG4986" s="138">
        <f>IF(AG4981&lt;AG4985,AG4983,AG4984)</f>
        <v>6.8648048005623901</v>
      </c>
      <c r="AH4986" s="133"/>
      <c r="AI4986" s="155"/>
      <c r="AJ4986" s="138">
        <f>IF(AJ4981&lt;AJ4985,AJ4983,AJ4984)</f>
        <v>5.7632721477349298</v>
      </c>
      <c r="AK4986" s="133"/>
      <c r="AL4986" s="155"/>
      <c r="AM4986" s="138">
        <f>IF(AM4981&lt;AM4985,AM4983,AM4984)</f>
        <v>5.4452948228710563</v>
      </c>
      <c r="AN4986" s="133"/>
      <c r="AO4986" s="155"/>
      <c r="AP4986" s="138">
        <f>IF(AP4981&lt;AP4985,AP4983,AP4984)</f>
        <v>5.036260414274075</v>
      </c>
      <c r="AQ4986" s="133"/>
      <c r="AR4986" s="155"/>
      <c r="AS4986" s="138">
        <f>IF(AS4981&lt;AS4985,AS4983,AS4984)</f>
        <v>7.3037800339890051</v>
      </c>
      <c r="AT4986" s="133"/>
      <c r="AU4986" s="155"/>
    </row>
    <row r="4987" spans="13:47" ht="13" x14ac:dyDescent="0.3">
      <c r="M4987" s="12"/>
      <c r="N4987" s="12"/>
      <c r="O4987" s="9" t="s">
        <v>194</v>
      </c>
      <c r="P4987" s="1"/>
      <c r="Q4987" s="1"/>
      <c r="R4987" s="135"/>
      <c r="S4987" s="132">
        <f>IF(R4980&lt;=0,W_max,ABS(R$23-R4986))</f>
        <v>7174</v>
      </c>
      <c r="T4987" s="151">
        <f>R4975</f>
        <v>12435.582087445408</v>
      </c>
      <c r="U4987" s="135"/>
      <c r="V4987" s="132">
        <f>IF(U4980&lt;=0,W_max,ABS(U$23-U4986))</f>
        <v>7174</v>
      </c>
      <c r="W4987" s="151">
        <f>U4975</f>
        <v>15576.954503194609</v>
      </c>
      <c r="X4987" s="135"/>
      <c r="Y4987" s="132">
        <f>IF(X4980&lt;=0,W_max,ABS(X$23-X4986))</f>
        <v>7174</v>
      </c>
      <c r="Z4987" s="151">
        <f>X4975</f>
        <v>38523.662165715468</v>
      </c>
      <c r="AA4987" s="135"/>
      <c r="AB4987" s="132">
        <f>IF(AA4980&lt;=0,W_max,ABS(AA$23-AA4986))</f>
        <v>7174</v>
      </c>
      <c r="AC4987" s="151">
        <f>AA4975</f>
        <v>75034.260910740646</v>
      </c>
      <c r="AD4987" s="135"/>
      <c r="AE4987" s="132">
        <f>IF(AD4980&lt;=0,W_max,ABS(AD$23-AD4986))</f>
        <v>7174</v>
      </c>
      <c r="AF4987" s="151">
        <f>AD4975</f>
        <v>123403.73322234057</v>
      </c>
      <c r="AG4987" s="135"/>
      <c r="AH4987" s="132">
        <f>IF(AG4980&lt;=0,W_max,ABS(AG$23-AG4986))</f>
        <v>7174</v>
      </c>
      <c r="AI4987" s="151">
        <f>AG4975</f>
        <v>173083.23622506444</v>
      </c>
      <c r="AJ4987" s="135"/>
      <c r="AK4987" s="132">
        <f>IF(AJ4980&lt;=0,W_max,ABS(AJ$23-AJ4986))</f>
        <v>7174</v>
      </c>
      <c r="AL4987" s="151">
        <f>AJ4975</f>
        <v>219769.78211499858</v>
      </c>
      <c r="AM4987" s="135"/>
      <c r="AN4987" s="132">
        <f>IF(AM4980&lt;=0,W_max,ABS(AM$23-AM4986))</f>
        <v>7174</v>
      </c>
      <c r="AO4987" s="151">
        <f>AM4975</f>
        <v>257697.35330758162</v>
      </c>
      <c r="AP4987" s="135"/>
      <c r="AQ4987" s="132">
        <f>IF(AP4980&lt;=0,W_max,ABS(AP$23-AP4986))</f>
        <v>7174</v>
      </c>
      <c r="AR4987" s="151">
        <f>AP4975</f>
        <v>287504.78010469768</v>
      </c>
      <c r="AS4987" s="135"/>
      <c r="AT4987" s="132">
        <f>IF(AS4980&lt;=0,W_max,ABS(AS$23-AS4986))</f>
        <v>7174</v>
      </c>
      <c r="AU4987" s="151">
        <f>AS4975</f>
        <v>320759.98267778353</v>
      </c>
    </row>
    <row r="4988" spans="13:47" ht="13" x14ac:dyDescent="0.25">
      <c r="M4988" s="12"/>
      <c r="N4988" s="12"/>
      <c r="O4988" s="2"/>
      <c r="P4988" s="85"/>
      <c r="Q4988" s="2"/>
      <c r="R4988" s="18"/>
      <c r="S4988" s="150"/>
      <c r="T4988" s="148"/>
      <c r="U4988" s="157"/>
      <c r="V4988" s="1"/>
      <c r="W4988" s="147"/>
      <c r="X4988" s="157"/>
      <c r="Y4988" s="1"/>
      <c r="Z4988" s="147"/>
      <c r="AA4988" s="157"/>
      <c r="AB4988" s="1"/>
      <c r="AC4988" s="147"/>
      <c r="AD4988" s="157"/>
      <c r="AE4988" s="1"/>
      <c r="AF4988" s="147"/>
      <c r="AG4988" s="157"/>
      <c r="AH4988" s="1"/>
      <c r="AI4988" s="147"/>
      <c r="AJ4988" s="157"/>
      <c r="AK4988" s="1"/>
      <c r="AL4988" s="147"/>
      <c r="AM4988" s="157"/>
      <c r="AN4988" s="1"/>
      <c r="AO4988" s="147"/>
      <c r="AP4988" s="157"/>
      <c r="AQ4988" s="1"/>
      <c r="AR4988" s="147"/>
      <c r="AS4988" s="157"/>
      <c r="AT4988" s="1"/>
      <c r="AU4988" s="147"/>
    </row>
    <row r="4989" spans="13:47" ht="14" x14ac:dyDescent="0.3">
      <c r="M4989" s="12"/>
      <c r="N4989" s="12"/>
      <c r="O4989" s="23" t="s">
        <v>238</v>
      </c>
      <c r="P4989" s="20"/>
      <c r="Q4989" s="20"/>
      <c r="R4989" s="181">
        <f>R4975*1.02</f>
        <v>12684.293729194316</v>
      </c>
      <c r="S4989" s="128" t="s">
        <v>185</v>
      </c>
      <c r="T4989" s="149" t="s">
        <v>186</v>
      </c>
      <c r="U4989" s="143">
        <f>U4975*1.01</f>
        <v>15732.724048226555</v>
      </c>
      <c r="V4989" s="128" t="s">
        <v>185</v>
      </c>
      <c r="W4989" s="153" t="s">
        <v>186</v>
      </c>
      <c r="X4989" s="143">
        <f>X4975*1.01</f>
        <v>38908.898787372622</v>
      </c>
      <c r="Y4989" s="128" t="s">
        <v>185</v>
      </c>
      <c r="Z4989" s="153" t="s">
        <v>186</v>
      </c>
      <c r="AA4989" s="143">
        <f>AA4975*1.01</f>
        <v>75784.603519848053</v>
      </c>
      <c r="AB4989" s="128" t="s">
        <v>185</v>
      </c>
      <c r="AC4989" s="153" t="s">
        <v>186</v>
      </c>
      <c r="AD4989" s="143">
        <f>AD4975*1.01</f>
        <v>124637.77055456398</v>
      </c>
      <c r="AE4989" s="128" t="s">
        <v>185</v>
      </c>
      <c r="AF4989" s="153" t="s">
        <v>186</v>
      </c>
      <c r="AG4989" s="143">
        <f>AG4975*1.01</f>
        <v>174814.06858731509</v>
      </c>
      <c r="AH4989" s="128" t="s">
        <v>185</v>
      </c>
      <c r="AI4989" s="153" t="s">
        <v>186</v>
      </c>
      <c r="AJ4989" s="143">
        <f>AJ4975*1.01</f>
        <v>221967.47993614856</v>
      </c>
      <c r="AK4989" s="128" t="s">
        <v>185</v>
      </c>
      <c r="AL4989" s="153" t="s">
        <v>186</v>
      </c>
      <c r="AM4989" s="143">
        <f>AM4975*1.01</f>
        <v>260274.32684065745</v>
      </c>
      <c r="AN4989" s="128" t="s">
        <v>185</v>
      </c>
      <c r="AO4989" s="153" t="s">
        <v>186</v>
      </c>
      <c r="AP4989" s="143">
        <f>AP4975*1.01</f>
        <v>290379.82790574466</v>
      </c>
      <c r="AQ4989" s="128" t="s">
        <v>185</v>
      </c>
      <c r="AR4989" s="153" t="s">
        <v>186</v>
      </c>
      <c r="AS4989" s="143">
        <f>AS4975*1.01</f>
        <v>323967.58250456135</v>
      </c>
      <c r="AT4989" s="128" t="s">
        <v>185</v>
      </c>
      <c r="AU4989" s="153" t="s">
        <v>186</v>
      </c>
    </row>
    <row r="4990" spans="13:47" ht="14" x14ac:dyDescent="0.3">
      <c r="M4990" s="12"/>
      <c r="N4990" s="12"/>
      <c r="O4990" s="20"/>
      <c r="P4990" s="20"/>
      <c r="Q4990" s="23"/>
      <c r="R4990" s="139"/>
      <c r="S4990" s="130" t="s">
        <v>228</v>
      </c>
      <c r="T4990" s="131" t="s">
        <v>187</v>
      </c>
      <c r="U4990" s="144"/>
      <c r="V4990" s="130" t="s">
        <v>228</v>
      </c>
      <c r="W4990" s="154" t="s">
        <v>187</v>
      </c>
      <c r="X4990" s="144"/>
      <c r="Y4990" s="130" t="s">
        <v>228</v>
      </c>
      <c r="Z4990" s="154" t="s">
        <v>187</v>
      </c>
      <c r="AA4990" s="144"/>
      <c r="AB4990" s="130" t="s">
        <v>228</v>
      </c>
      <c r="AC4990" s="154" t="s">
        <v>187</v>
      </c>
      <c r="AD4990" s="144"/>
      <c r="AE4990" s="130" t="s">
        <v>228</v>
      </c>
      <c r="AF4990" s="154" t="s">
        <v>187</v>
      </c>
      <c r="AG4990" s="144"/>
      <c r="AH4990" s="130" t="s">
        <v>228</v>
      </c>
      <c r="AI4990" s="154" t="s">
        <v>187</v>
      </c>
      <c r="AJ4990" s="144"/>
      <c r="AK4990" s="130" t="s">
        <v>228</v>
      </c>
      <c r="AL4990" s="154" t="s">
        <v>187</v>
      </c>
      <c r="AM4990" s="144"/>
      <c r="AN4990" s="130" t="s">
        <v>228</v>
      </c>
      <c r="AO4990" s="154" t="s">
        <v>187</v>
      </c>
      <c r="AP4990" s="144"/>
      <c r="AQ4990" s="130" t="s">
        <v>228</v>
      </c>
      <c r="AR4990" s="154" t="s">
        <v>187</v>
      </c>
      <c r="AS4990" s="144"/>
      <c r="AT4990" s="130" t="s">
        <v>228</v>
      </c>
      <c r="AU4990" s="154" t="s">
        <v>187</v>
      </c>
    </row>
    <row r="4991" spans="13:47" x14ac:dyDescent="0.25">
      <c r="M4991" s="12"/>
      <c r="N4991" s="12"/>
      <c r="O4991" s="7" t="s">
        <v>188</v>
      </c>
      <c r="P4991" s="7"/>
      <c r="Q4991" s="7"/>
      <c r="R4991" s="181">
        <f>P_1_minW-(R4989^2*R_up)+dpup_minQ</f>
        <v>36.365473514038129</v>
      </c>
      <c r="S4991" s="132"/>
      <c r="T4991" s="145"/>
      <c r="U4991" s="138">
        <f>P_1_minW-(U4989^2*R_up)+dpup_minQ</f>
        <v>1.8218128436258065</v>
      </c>
      <c r="V4991" s="132"/>
      <c r="W4991" s="145"/>
      <c r="X4991" s="138">
        <f>P_1_minW-(X4989^2*R_up)+dpup_minQ</f>
        <v>-503.16371653528631</v>
      </c>
      <c r="Y4991" s="132"/>
      <c r="Z4991" s="145"/>
      <c r="AA4991" s="138">
        <f>P_1_minW-(AA4989^2*R_up)+dpup_minQ</f>
        <v>-2189.6885136356177</v>
      </c>
      <c r="AB4991" s="132"/>
      <c r="AC4991" s="145"/>
      <c r="AD4991" s="138">
        <f>P_1_minW-(AD4989^2*R_up)+dpup_minQ</f>
        <v>-6094.0724108078475</v>
      </c>
      <c r="AE4991" s="132"/>
      <c r="AF4991" s="145"/>
      <c r="AG4991" s="138">
        <f>P_1_minW-(AG4989^2*R_up)+dpup_minQ</f>
        <v>-12085.62241909646</v>
      </c>
      <c r="AH4991" s="132"/>
      <c r="AI4991" s="145"/>
      <c r="AJ4991" s="138">
        <f>P_1_minW-(AJ4989^2*R_up)+dpup_minQ</f>
        <v>-19546.298300532686</v>
      </c>
      <c r="AK4991" s="132"/>
      <c r="AL4991" s="145"/>
      <c r="AM4991" s="138">
        <f>P_1_minW-(AM4989^2*R_up)+dpup_minQ</f>
        <v>-26912.690729972572</v>
      </c>
      <c r="AN4991" s="132"/>
      <c r="AO4991" s="145"/>
      <c r="AP4991" s="138">
        <f>P_1_minW-(AP4989^2*R_up)+dpup_minQ</f>
        <v>-33523.252500349321</v>
      </c>
      <c r="AQ4991" s="132"/>
      <c r="AR4991" s="145"/>
      <c r="AS4991" s="138">
        <f>P_1_minW-(AS4989^2*R_up)+dpup_minQ</f>
        <v>-41751.523577800363</v>
      </c>
      <c r="AT4991" s="132"/>
      <c r="AU4991" s="145"/>
    </row>
    <row r="4992" spans="13:47" x14ac:dyDescent="0.25">
      <c r="M4992" s="12"/>
      <c r="N4992" s="12"/>
      <c r="O4992" s="7" t="s">
        <v>189</v>
      </c>
      <c r="P4992" s="1"/>
      <c r="Q4992" s="7"/>
      <c r="R4992" s="181">
        <f>P_2_minW+(R4989^2*R_dn)-dpdn_minQ</f>
        <v>50</v>
      </c>
      <c r="S4992" s="132"/>
      <c r="T4992" s="146"/>
      <c r="U4992" s="138">
        <f>P_2_minW+(U4989^2*R_dn)-dpdn_minQ</f>
        <v>50</v>
      </c>
      <c r="V4992" s="132"/>
      <c r="W4992" s="146"/>
      <c r="X4992" s="138">
        <f>P_2_minW+(X4989^2*R_dn)-dpdn_minQ</f>
        <v>50</v>
      </c>
      <c r="Y4992" s="132"/>
      <c r="Z4992" s="146"/>
      <c r="AA4992" s="138">
        <f>P_2_minW+(AA4989^2*R_dn)-dpdn_minQ</f>
        <v>50</v>
      </c>
      <c r="AB4992" s="132"/>
      <c r="AC4992" s="146"/>
      <c r="AD4992" s="138">
        <f>P_2_minW+(AD4989^2*R_dn)-dpdn_minQ</f>
        <v>50</v>
      </c>
      <c r="AE4992" s="132"/>
      <c r="AF4992" s="146"/>
      <c r="AG4992" s="138">
        <f>P_2_minW+(AG4989^2*R_dn)-dpdn_minQ</f>
        <v>50</v>
      </c>
      <c r="AH4992" s="132"/>
      <c r="AI4992" s="146"/>
      <c r="AJ4992" s="138">
        <f>P_2_minW+(AJ4989^2*R_dn)-dpdn_minQ</f>
        <v>50</v>
      </c>
      <c r="AK4992" s="132"/>
      <c r="AL4992" s="146"/>
      <c r="AM4992" s="138">
        <f>P_2_minW+(AM4989^2*R_dn)-dpdn_minQ</f>
        <v>50</v>
      </c>
      <c r="AN4992" s="132"/>
      <c r="AO4992" s="146"/>
      <c r="AP4992" s="138">
        <f>P_2_minW+(AP4989^2*R_dn)-dpdn_minQ</f>
        <v>50</v>
      </c>
      <c r="AQ4992" s="132"/>
      <c r="AR4992" s="146"/>
      <c r="AS4992" s="138">
        <f>P_2_minW+(AS4989^2*R_dn)-dpdn_minQ</f>
        <v>50</v>
      </c>
      <c r="AT4992" s="132"/>
      <c r="AU4992" s="146"/>
    </row>
    <row r="4993" spans="13:47" x14ac:dyDescent="0.25">
      <c r="M4993" s="12"/>
      <c r="N4993" s="12"/>
      <c r="O4993" s="7" t="s">
        <v>234</v>
      </c>
      <c r="P4993" s="1"/>
      <c r="Q4993" s="7"/>
      <c r="R4993" s="179">
        <f>'Valve Sizing'!G$8*R4991/P_1_maxW</f>
        <v>0.17542056975822198</v>
      </c>
      <c r="S4993" s="132"/>
      <c r="T4993" s="146"/>
      <c r="U4993" s="143">
        <f>'Valve Sizing'!$G$8*U4991/P_1_maxW</f>
        <v>8.7881008038659808E-3</v>
      </c>
      <c r="V4993" s="132"/>
      <c r="W4993" s="146"/>
      <c r="X4993" s="143">
        <f>'Valve Sizing'!$G$8*X4991/P_1_maxW</f>
        <v>-2.4271721857880242</v>
      </c>
      <c r="Y4993" s="132"/>
      <c r="Z4993" s="146"/>
      <c r="AA4993" s="143">
        <f>'Valve Sizing'!$G$8*AA4991/P_1_maxW</f>
        <v>-10.562667539767196</v>
      </c>
      <c r="AB4993" s="132"/>
      <c r="AC4993" s="146"/>
      <c r="AD4993" s="143">
        <f>'Valve Sizing'!$G$8*AD4991/P_1_maxW</f>
        <v>-29.396720327018404</v>
      </c>
      <c r="AE4993" s="132"/>
      <c r="AF4993" s="146"/>
      <c r="AG4993" s="143">
        <f>'Valve Sizing'!$G$8*AG4991/P_1_maxW</f>
        <v>-58.298890837272737</v>
      </c>
      <c r="AH4993" s="132"/>
      <c r="AI4993" s="146"/>
      <c r="AJ4993" s="143">
        <f>'Valve Sizing'!$G$8*AJ4991/P_1_maxW</f>
        <v>-94.287862997851079</v>
      </c>
      <c r="AK4993" s="132"/>
      <c r="AL4993" s="146"/>
      <c r="AM4993" s="143">
        <f>'Valve Sizing'!$G$8*AM4991/P_1_maxW</f>
        <v>-129.82202857213309</v>
      </c>
      <c r="AN4993" s="132"/>
      <c r="AO4993" s="146"/>
      <c r="AP4993" s="143">
        <f>'Valve Sizing'!$G$8*AP4991/P_1_maxW</f>
        <v>-161.71020161444918</v>
      </c>
      <c r="AQ4993" s="132"/>
      <c r="AR4993" s="146"/>
      <c r="AS4993" s="143">
        <f>'Valve Sizing'!$G$8*AS4991/P_1_maxW</f>
        <v>-201.40191633870165</v>
      </c>
      <c r="AT4993" s="132"/>
      <c r="AU4993" s="146"/>
    </row>
    <row r="4994" spans="13:47" x14ac:dyDescent="0.25">
      <c r="M4994" s="12"/>
      <c r="N4994" s="12"/>
      <c r="O4994" s="7" t="s">
        <v>190</v>
      </c>
      <c r="P4994" s="1"/>
      <c r="Q4994" s="7"/>
      <c r="R4994" s="181">
        <f>R4991-R4992</f>
        <v>-13.634526485961871</v>
      </c>
      <c r="S4994" s="132"/>
      <c r="T4994" s="146"/>
      <c r="U4994" s="138">
        <f>U4991-U4992</f>
        <v>-48.178187156374193</v>
      </c>
      <c r="V4994" s="132"/>
      <c r="W4994" s="146"/>
      <c r="X4994" s="138">
        <f>X4991-X4992</f>
        <v>-553.16371653528631</v>
      </c>
      <c r="Y4994" s="132"/>
      <c r="Z4994" s="146"/>
      <c r="AA4994" s="138">
        <f>AA4991-AA4992</f>
        <v>-2239.6885136356177</v>
      </c>
      <c r="AB4994" s="132"/>
      <c r="AC4994" s="146"/>
      <c r="AD4994" s="138">
        <f>AD4991-AD4992</f>
        <v>-6144.0724108078475</v>
      </c>
      <c r="AE4994" s="132"/>
      <c r="AF4994" s="146"/>
      <c r="AG4994" s="138">
        <f>AG4991-AG4992</f>
        <v>-12135.62241909646</v>
      </c>
      <c r="AH4994" s="132"/>
      <c r="AI4994" s="146"/>
      <c r="AJ4994" s="138">
        <f>AJ4991-AJ4992</f>
        <v>-19596.298300532686</v>
      </c>
      <c r="AK4994" s="132"/>
      <c r="AL4994" s="146"/>
      <c r="AM4994" s="138">
        <f>AM4991-AM4992</f>
        <v>-26962.690729972572</v>
      </c>
      <c r="AN4994" s="132"/>
      <c r="AO4994" s="146"/>
      <c r="AP4994" s="138">
        <f>AP4991-AP4992</f>
        <v>-33573.252500349321</v>
      </c>
      <c r="AQ4994" s="132"/>
      <c r="AR4994" s="146"/>
      <c r="AS4994" s="138">
        <f>AS4991-AS4992</f>
        <v>-41801.523577800363</v>
      </c>
      <c r="AT4994" s="132"/>
      <c r="AU4994" s="146"/>
    </row>
    <row r="4995" spans="13:47" ht="14.5" x14ac:dyDescent="0.35">
      <c r="M4995" s="12"/>
      <c r="N4995" s="12"/>
      <c r="O4995" s="2" t="s">
        <v>191</v>
      </c>
      <c r="P4995" s="10"/>
      <c r="Q4995" s="2"/>
      <c r="R4995" s="181">
        <f>R4994/R4991</f>
        <v>-0.37493053625985506</v>
      </c>
      <c r="S4995" s="132"/>
      <c r="T4995" s="146"/>
      <c r="U4995" s="138">
        <f>U4994/U4991</f>
        <v>-26.445190198840102</v>
      </c>
      <c r="V4995" s="132"/>
      <c r="W4995" s="146"/>
      <c r="X4995" s="138">
        <f>X4994/X4991</f>
        <v>1.0993712351603826</v>
      </c>
      <c r="Y4995" s="132"/>
      <c r="Z4995" s="146"/>
      <c r="AA4995" s="138">
        <f>AA4994/AA4991</f>
        <v>1.0228342979782925</v>
      </c>
      <c r="AB4995" s="132"/>
      <c r="AC4995" s="146"/>
      <c r="AD4995" s="138">
        <f>AD4994/AD4991</f>
        <v>1.0082046941075602</v>
      </c>
      <c r="AE4995" s="132"/>
      <c r="AF4995" s="146"/>
      <c r="AG4995" s="138">
        <f>AG4994/AG4991</f>
        <v>1.0041371472867624</v>
      </c>
      <c r="AH4995" s="132"/>
      <c r="AI4995" s="146"/>
      <c r="AJ4995" s="138">
        <f>AJ4994/AJ4991</f>
        <v>1.0025580291076719</v>
      </c>
      <c r="AK4995" s="132"/>
      <c r="AL4995" s="146"/>
      <c r="AM4995" s="138">
        <f>AM4994/AM4991</f>
        <v>1.001857859568992</v>
      </c>
      <c r="AN4995" s="132"/>
      <c r="AO4995" s="146"/>
      <c r="AP4995" s="138">
        <f>AP4994/AP4991</f>
        <v>1.0014915020551625</v>
      </c>
      <c r="AQ4995" s="132"/>
      <c r="AR4995" s="146"/>
      <c r="AS4995" s="138">
        <f>AS4994/AS4991</f>
        <v>1.0011975610879644</v>
      </c>
      <c r="AT4995" s="132"/>
      <c r="AU4995" s="146"/>
    </row>
    <row r="4996" spans="13:47" x14ac:dyDescent="0.25">
      <c r="M4996" s="12"/>
      <c r="N4996" s="12"/>
      <c r="O4996" s="2" t="s">
        <v>26</v>
      </c>
      <c r="P4996" s="7">
        <v>12</v>
      </c>
      <c r="Q4996" s="2"/>
      <c r="R4996" s="181">
        <f>1-R4995/(3*F_GAMMA*R$29)</f>
        <v>1.1952681196613857</v>
      </c>
      <c r="S4996" s="133"/>
      <c r="T4996" s="146"/>
      <c r="U4996" s="138">
        <f>1-U4995/(3*F_GAMMA*U$29)</f>
        <v>14.769925631996429</v>
      </c>
      <c r="V4996" s="133"/>
      <c r="W4996" s="146"/>
      <c r="X4996" s="138">
        <f>1-X4995/(3*F_GAMMA*X$29)</f>
        <v>0.41897343035439816</v>
      </c>
      <c r="Y4996" s="133"/>
      <c r="Z4996" s="146"/>
      <c r="AA4996" s="138">
        <f>1-AA4995/(3*F_GAMMA*AA$29)</f>
        <v>0.4520117675820241</v>
      </c>
      <c r="AB4996" s="133"/>
      <c r="AC4996" s="146"/>
      <c r="AD4996" s="138">
        <f>1-AD4995/(3*F_GAMMA*AD$29)</f>
        <v>0.44503987175029069</v>
      </c>
      <c r="AE4996" s="133"/>
      <c r="AF4996" s="146"/>
      <c r="AG4996" s="138">
        <f>1-AG4995/(3*F_GAMMA*AG$29)</f>
        <v>0.41575073969181298</v>
      </c>
      <c r="AH4996" s="133"/>
      <c r="AI4996" s="146"/>
      <c r="AJ4996" s="138">
        <f>1-AJ4995/(3*F_GAMMA*AJ$29)</f>
        <v>0.3764118272219662</v>
      </c>
      <c r="AK4996" s="133"/>
      <c r="AL4996" s="146"/>
      <c r="AM4996" s="138">
        <f>1-AM4995/(3*F_GAMMA*AM$29)</f>
        <v>0.31914234106206418</v>
      </c>
      <c r="AN4996" s="133"/>
      <c r="AO4996" s="146"/>
      <c r="AP4996" s="138">
        <f>1-AP4995/(3*F_GAMMA*AP$29)</f>
        <v>0.4375505556452578</v>
      </c>
      <c r="AQ4996" s="133"/>
      <c r="AR4996" s="146"/>
      <c r="AS4996" s="138">
        <f>1-AS4995/(3*F_GAMMA*AS$29)</f>
        <v>0.1464034771479501</v>
      </c>
      <c r="AT4996" s="133"/>
      <c r="AU4996" s="146"/>
    </row>
    <row r="4997" spans="13:47" x14ac:dyDescent="0.25">
      <c r="M4997" s="12"/>
      <c r="N4997" s="12"/>
      <c r="O4997" s="2" t="s">
        <v>71</v>
      </c>
      <c r="P4997" s="85">
        <v>5</v>
      </c>
      <c r="Q4997" s="2"/>
      <c r="R4997" s="179" t="e">
        <f>R4989/((N_6*R$27*R4996)*SQRT(R4995*R4991*R4993))</f>
        <v>#NUM!</v>
      </c>
      <c r="S4997" s="133"/>
      <c r="T4997" s="146"/>
      <c r="U4997" s="143" t="e">
        <f>U4989/((N_6*U$27*U4996)*SQRT(U4995*U4991*U4993))</f>
        <v>#NUM!</v>
      </c>
      <c r="V4997" s="133"/>
      <c r="W4997" s="146"/>
      <c r="X4997" s="143">
        <f>X4989/((N_6*X$27*X4996)*SQRT(X4995*X4991*X4993))</f>
        <v>40.157295544460283</v>
      </c>
      <c r="Y4997" s="133"/>
      <c r="Z4997" s="146"/>
      <c r="AA4997" s="143">
        <f>AA4989/((N_6*AA$27*AA4996)*SQRT(AA4995*AA4991*AA4993))</f>
        <v>17.370820930026341</v>
      </c>
      <c r="AB4997" s="133"/>
      <c r="AC4997" s="146"/>
      <c r="AD4997" s="143">
        <f>AD4989/((N_6*AD$27*AD4996)*SQRT(AD4995*AD4991*AD4993))</f>
        <v>10.626433915710313</v>
      </c>
      <c r="AE4997" s="133"/>
      <c r="AF4997" s="146"/>
      <c r="AG4997" s="143">
        <f>AG4989/((N_6*AG$27*AG4996)*SQRT(AG4995*AG4991*AG4993))</f>
        <v>8.2350700283639178</v>
      </c>
      <c r="AH4997" s="133"/>
      <c r="AI4997" s="146"/>
      <c r="AJ4997" s="143">
        <f>AJ4989/((N_6*AJ$27*AJ4996)*SQRT(AJ4995*AJ4991*AJ4993))</f>
        <v>7.3918963658892194</v>
      </c>
      <c r="AK4997" s="133"/>
      <c r="AL4997" s="146"/>
      <c r="AM4997" s="143">
        <f>AM4989/((N_6*AM$27*AM4996)*SQRT(AM4995*AM4991*AM4993))</f>
        <v>7.8835174781552384</v>
      </c>
      <c r="AN4997" s="133"/>
      <c r="AO4997" s="146"/>
      <c r="AP4997" s="143">
        <f>AP4989/((N_6*AP$27*AP4996)*SQRT(AP4995*AP4991*AP4993))</f>
        <v>5.8513469371003124</v>
      </c>
      <c r="AQ4997" s="133"/>
      <c r="AR4997" s="146"/>
      <c r="AS4997" s="143">
        <f>AS4989/((N_6*AS$27*AS4996)*SQRT(AS4995*AS4991*AS4993))</f>
        <v>20.586986995320537</v>
      </c>
      <c r="AT4997" s="133"/>
      <c r="AU4997" s="146"/>
    </row>
    <row r="4998" spans="13:47" x14ac:dyDescent="0.25">
      <c r="M4998" s="12"/>
      <c r="N4998" s="12"/>
      <c r="O4998" s="2" t="s">
        <v>73</v>
      </c>
      <c r="P4998" s="85">
        <v>5</v>
      </c>
      <c r="Q4998" s="2"/>
      <c r="R4998" s="179">
        <f>R4989/((N_6*R$27*0.667)*SQRT(R4999*R4991*R4993))</f>
        <v>148.69768833098269</v>
      </c>
      <c r="S4998" s="133"/>
      <c r="T4998" s="147"/>
      <c r="U4998" s="143">
        <f>U4989/((N_6*U$27*0.667)*SQRT(U4999*U4991*U4993))</f>
        <v>3683.4051135030004</v>
      </c>
      <c r="V4998" s="133"/>
      <c r="W4998" s="155"/>
      <c r="X4998" s="143">
        <f>X4989/((N_6*X$27*0.667)*SQRT(X4999*X4991*X4993))</f>
        <v>33.303028514726577</v>
      </c>
      <c r="Y4998" s="133"/>
      <c r="Z4998" s="155"/>
      <c r="AA4998" s="143">
        <f>AA4989/((N_6*AA$27*0.667)*SQRT(AA4999*AA4991*AA4993))</f>
        <v>15.093518600444957</v>
      </c>
      <c r="AB4998" s="133"/>
      <c r="AC4998" s="155"/>
      <c r="AD4998" s="143">
        <f>AD4989/((N_6*AD$27*0.667)*SQRT(AD4999*AD4991*AD4993))</f>
        <v>9.1485475966649581</v>
      </c>
      <c r="AE4998" s="133"/>
      <c r="AF4998" s="155"/>
      <c r="AG4998" s="143">
        <f>AG4989/((N_6*AG$27*0.667)*SQRT(AG4999*AG4991*AG4993))</f>
        <v>6.7957001221563962</v>
      </c>
      <c r="AH4998" s="133"/>
      <c r="AI4998" s="155"/>
      <c r="AJ4998" s="143">
        <f>AJ4989/((N_6*AJ$27*0.667)*SQRT(AJ4999*AJ4991*AJ4993))</f>
        <v>5.7056201942400397</v>
      </c>
      <c r="AK4998" s="133"/>
      <c r="AL4998" s="155"/>
      <c r="AM4998" s="143">
        <f>AM4989/((N_6*AM$27*0.667)*SQRT(AM4999*AM4991*AM4993))</f>
        <v>5.3909762472503093</v>
      </c>
      <c r="AN4998" s="133"/>
      <c r="AO4998" s="155"/>
      <c r="AP4998" s="143">
        <f>AP4989/((N_6*AP$27*0.667)*SQRT(AP4999*AP4991*AP4993))</f>
        <v>4.9860959105018257</v>
      </c>
      <c r="AQ4998" s="133"/>
      <c r="AR4998" s="155"/>
      <c r="AS4998" s="143">
        <f>AS4989/((N_6*AS$27*0.667)*SQRT(AS4999*AS4991*AS4993))</f>
        <v>7.2311154232874273</v>
      </c>
      <c r="AT4998" s="133"/>
      <c r="AU4998" s="155"/>
    </row>
    <row r="4999" spans="13:47" ht="15.5" x14ac:dyDescent="0.4">
      <c r="M4999" s="12"/>
      <c r="N4999" s="12"/>
      <c r="O4999" s="2" t="s">
        <v>192</v>
      </c>
      <c r="P4999" s="85">
        <v>10</v>
      </c>
      <c r="Q4999" s="2"/>
      <c r="R4999" s="181">
        <f>F_GAMMA*R$29</f>
        <v>0.64002688015162901</v>
      </c>
      <c r="S4999" s="133"/>
      <c r="T4999" s="147"/>
      <c r="U4999" s="138">
        <f>F_GAMMA*U$29</f>
        <v>0.64016782916606918</v>
      </c>
      <c r="V4999" s="133"/>
      <c r="W4999" s="155"/>
      <c r="X4999" s="138">
        <f>F_GAMMA*X$29</f>
        <v>0.6307062319203669</v>
      </c>
      <c r="Y4999" s="133"/>
      <c r="Z4999" s="155"/>
      <c r="AA4999" s="138">
        <f>F_GAMMA*AA$29</f>
        <v>0.62217534213893466</v>
      </c>
      <c r="AB4999" s="133"/>
      <c r="AC4999" s="155"/>
      <c r="AD4999" s="138">
        <f>F_GAMMA*AD$29</f>
        <v>0.60557184969146072</v>
      </c>
      <c r="AE4999" s="133"/>
      <c r="AF4999" s="155"/>
      <c r="AG4999" s="138">
        <f>F_GAMMA*AG$29</f>
        <v>0.57289312142622573</v>
      </c>
      <c r="AH4999" s="133"/>
      <c r="AI4999" s="155"/>
      <c r="AJ4999" s="138">
        <f>F_GAMMA*AJ$29</f>
        <v>0.53590819116049981</v>
      </c>
      <c r="AK4999" s="133"/>
      <c r="AL4999" s="155"/>
      <c r="AM4999" s="138">
        <f>F_GAMMA*AM$29</f>
        <v>0.49048815926850342</v>
      </c>
      <c r="AN4999" s="133"/>
      <c r="AO4999" s="155"/>
      <c r="AP4999" s="138">
        <f>F_GAMMA*AP$29</f>
        <v>0.59352979016280105</v>
      </c>
      <c r="AQ4999" s="133"/>
      <c r="AR4999" s="155"/>
      <c r="AS4999" s="138">
        <f>F_GAMMA*AS$29</f>
        <v>0.39097221161068291</v>
      </c>
      <c r="AT4999" s="133"/>
      <c r="AU4999" s="155"/>
    </row>
    <row r="5000" spans="13:47" x14ac:dyDescent="0.25">
      <c r="M5000" s="12"/>
      <c r="N5000" s="12"/>
      <c r="O5000" s="2" t="s">
        <v>193</v>
      </c>
      <c r="P5000" s="134"/>
      <c r="Q5000" s="2"/>
      <c r="R5000" s="181" t="e">
        <f>IF(R4995&lt;R4999,R4997,R4998)</f>
        <v>#NUM!</v>
      </c>
      <c r="S5000" s="133"/>
      <c r="T5000" s="147"/>
      <c r="U5000" s="138" t="e">
        <f>IF(U4995&lt;U4999,U4997,U4998)</f>
        <v>#NUM!</v>
      </c>
      <c r="V5000" s="133"/>
      <c r="W5000" s="155"/>
      <c r="X5000" s="138">
        <f>IF(X4995&lt;X4999,X4997,X4998)</f>
        <v>33.303028514726577</v>
      </c>
      <c r="Y5000" s="133"/>
      <c r="Z5000" s="155"/>
      <c r="AA5000" s="138">
        <f>IF(AA4995&lt;AA4999,AA4997,AA4998)</f>
        <v>15.093518600444957</v>
      </c>
      <c r="AB5000" s="133"/>
      <c r="AC5000" s="155"/>
      <c r="AD5000" s="138">
        <f>IF(AD4995&lt;AD4999,AD4997,AD4998)</f>
        <v>9.1485475966649581</v>
      </c>
      <c r="AE5000" s="133"/>
      <c r="AF5000" s="155"/>
      <c r="AG5000" s="138">
        <f>IF(AG4995&lt;AG4999,AG4997,AG4998)</f>
        <v>6.7957001221563962</v>
      </c>
      <c r="AH5000" s="133"/>
      <c r="AI5000" s="155"/>
      <c r="AJ5000" s="138">
        <f>IF(AJ4995&lt;AJ4999,AJ4997,AJ4998)</f>
        <v>5.7056201942400397</v>
      </c>
      <c r="AK5000" s="133"/>
      <c r="AL5000" s="155"/>
      <c r="AM5000" s="138">
        <f>IF(AM4995&lt;AM4999,AM4997,AM4998)</f>
        <v>5.3909762472503093</v>
      </c>
      <c r="AN5000" s="133"/>
      <c r="AO5000" s="155"/>
      <c r="AP5000" s="138">
        <f>IF(AP4995&lt;AP4999,AP4997,AP4998)</f>
        <v>4.9860959105018257</v>
      </c>
      <c r="AQ5000" s="133"/>
      <c r="AR5000" s="155"/>
      <c r="AS5000" s="138">
        <f>IF(AS4995&lt;AS4999,AS4997,AS4998)</f>
        <v>7.2311154232874273</v>
      </c>
      <c r="AT5000" s="133"/>
      <c r="AU5000" s="155"/>
    </row>
    <row r="5001" spans="13:47" ht="13" x14ac:dyDescent="0.3">
      <c r="M5001" s="12"/>
      <c r="N5001" s="12"/>
      <c r="O5001" s="9" t="s">
        <v>194</v>
      </c>
      <c r="P5001" s="1"/>
      <c r="Q5001" s="1"/>
      <c r="R5001" s="135"/>
      <c r="S5001" s="132">
        <f>IF(R4994&lt;=0,W_max,ABS(R$23-R5000))</f>
        <v>7174</v>
      </c>
      <c r="T5001" s="151">
        <f>R4989</f>
        <v>12684.293729194316</v>
      </c>
      <c r="U5001" s="135"/>
      <c r="V5001" s="132">
        <f>IF(U4994&lt;=0,W_max,ABS(U$23-U5000))</f>
        <v>7174</v>
      </c>
      <c r="W5001" s="151">
        <f>U4989</f>
        <v>15732.724048226555</v>
      </c>
      <c r="X5001" s="135"/>
      <c r="Y5001" s="132">
        <f>IF(X4994&lt;=0,W_max,ABS(X$23-X5000))</f>
        <v>7174</v>
      </c>
      <c r="Z5001" s="151">
        <f>X4989</f>
        <v>38908.898787372622</v>
      </c>
      <c r="AA5001" s="135"/>
      <c r="AB5001" s="132">
        <f>IF(AA4994&lt;=0,W_max,ABS(AA$23-AA5000))</f>
        <v>7174</v>
      </c>
      <c r="AC5001" s="151">
        <f>AA4989</f>
        <v>75784.603519848053</v>
      </c>
      <c r="AD5001" s="135"/>
      <c r="AE5001" s="132">
        <f>IF(AD4994&lt;=0,W_max,ABS(AD$23-AD5000))</f>
        <v>7174</v>
      </c>
      <c r="AF5001" s="151">
        <f>AD4989</f>
        <v>124637.77055456398</v>
      </c>
      <c r="AG5001" s="135"/>
      <c r="AH5001" s="132">
        <f>IF(AG4994&lt;=0,W_max,ABS(AG$23-AG5000))</f>
        <v>7174</v>
      </c>
      <c r="AI5001" s="151">
        <f>AG4989</f>
        <v>174814.06858731509</v>
      </c>
      <c r="AJ5001" s="135"/>
      <c r="AK5001" s="132">
        <f>IF(AJ4994&lt;=0,W_max,ABS(AJ$23-AJ5000))</f>
        <v>7174</v>
      </c>
      <c r="AL5001" s="151">
        <f>AJ4989</f>
        <v>221967.47993614856</v>
      </c>
      <c r="AM5001" s="135"/>
      <c r="AN5001" s="132">
        <f>IF(AM4994&lt;=0,W_max,ABS(AM$23-AM5000))</f>
        <v>7174</v>
      </c>
      <c r="AO5001" s="151">
        <f>AM4989</f>
        <v>260274.32684065745</v>
      </c>
      <c r="AP5001" s="135"/>
      <c r="AQ5001" s="132">
        <f>IF(AP4994&lt;=0,W_max,ABS(AP$23-AP5000))</f>
        <v>7174</v>
      </c>
      <c r="AR5001" s="151">
        <f>AP4989</f>
        <v>290379.82790574466</v>
      </c>
      <c r="AS5001" s="135"/>
      <c r="AT5001" s="132">
        <f>IF(AS4994&lt;=0,W_max,ABS(AS$23-AS5000))</f>
        <v>7174</v>
      </c>
      <c r="AU5001" s="151">
        <f>AS4989</f>
        <v>323967.58250456135</v>
      </c>
    </row>
    <row r="5002" spans="13:47" ht="13" x14ac:dyDescent="0.25">
      <c r="M5002" s="12"/>
      <c r="N5002" s="12"/>
      <c r="O5002" s="12"/>
      <c r="P5002" s="12"/>
      <c r="Q5002" s="12"/>
      <c r="R5002" s="182"/>
      <c r="S5002" s="22"/>
      <c r="T5002" s="152"/>
      <c r="U5002" s="157"/>
      <c r="V5002" s="1"/>
      <c r="W5002" s="147"/>
      <c r="X5002" s="157"/>
      <c r="Y5002" s="1"/>
      <c r="Z5002" s="147"/>
      <c r="AA5002" s="157"/>
      <c r="AB5002" s="1"/>
      <c r="AC5002" s="147"/>
      <c r="AD5002" s="157"/>
      <c r="AE5002" s="1"/>
      <c r="AF5002" s="147"/>
      <c r="AG5002" s="157"/>
      <c r="AH5002" s="1"/>
      <c r="AI5002" s="147"/>
      <c r="AJ5002" s="157"/>
      <c r="AK5002" s="1"/>
      <c r="AL5002" s="147"/>
      <c r="AM5002" s="157"/>
      <c r="AN5002" s="1"/>
      <c r="AO5002" s="147"/>
      <c r="AP5002" s="157"/>
      <c r="AQ5002" s="1"/>
      <c r="AR5002" s="147"/>
      <c r="AS5002" s="157"/>
      <c r="AT5002" s="1"/>
      <c r="AU5002" s="147"/>
    </row>
    <row r="5003" spans="13:47" ht="14" x14ac:dyDescent="0.3">
      <c r="M5003" s="12"/>
      <c r="N5003" s="12"/>
      <c r="O5003" s="23" t="s">
        <v>238</v>
      </c>
      <c r="P5003" s="20"/>
      <c r="Q5003" s="20"/>
      <c r="R5003" s="18">
        <f>R4989*1.02</f>
        <v>12937.979603778203</v>
      </c>
      <c r="S5003" s="128" t="s">
        <v>185</v>
      </c>
      <c r="T5003" s="153" t="s">
        <v>186</v>
      </c>
      <c r="U5003" s="143">
        <f>U4989*1.01</f>
        <v>15890.051288708821</v>
      </c>
      <c r="V5003" s="128" t="s">
        <v>185</v>
      </c>
      <c r="W5003" s="153" t="s">
        <v>186</v>
      </c>
      <c r="X5003" s="143">
        <f>X4989*1.01</f>
        <v>39297.987775246351</v>
      </c>
      <c r="Y5003" s="128" t="s">
        <v>185</v>
      </c>
      <c r="Z5003" s="153" t="s">
        <v>186</v>
      </c>
      <c r="AA5003" s="143">
        <f>AA4989*1.01</f>
        <v>76542.449555046536</v>
      </c>
      <c r="AB5003" s="128" t="s">
        <v>185</v>
      </c>
      <c r="AC5003" s="153" t="s">
        <v>186</v>
      </c>
      <c r="AD5003" s="143">
        <f>AD4989*1.01</f>
        <v>125884.14826010962</v>
      </c>
      <c r="AE5003" s="128" t="s">
        <v>185</v>
      </c>
      <c r="AF5003" s="153" t="s">
        <v>186</v>
      </c>
      <c r="AG5003" s="143">
        <f>AG4989*1.01</f>
        <v>176562.20927318826</v>
      </c>
      <c r="AH5003" s="128" t="s">
        <v>185</v>
      </c>
      <c r="AI5003" s="153" t="s">
        <v>186</v>
      </c>
      <c r="AJ5003" s="143">
        <f>AJ4989*1.01</f>
        <v>224187.15473551006</v>
      </c>
      <c r="AK5003" s="128" t="s">
        <v>185</v>
      </c>
      <c r="AL5003" s="153" t="s">
        <v>186</v>
      </c>
      <c r="AM5003" s="143">
        <f>AM4989*1.01</f>
        <v>262877.07010906405</v>
      </c>
      <c r="AN5003" s="128" t="s">
        <v>185</v>
      </c>
      <c r="AO5003" s="153" t="s">
        <v>186</v>
      </c>
      <c r="AP5003" s="143">
        <f>AP4989*1.01</f>
        <v>293283.62618480209</v>
      </c>
      <c r="AQ5003" s="128" t="s">
        <v>185</v>
      </c>
      <c r="AR5003" s="153" t="s">
        <v>186</v>
      </c>
      <c r="AS5003" s="143">
        <f>AS4989*1.01</f>
        <v>327207.25832960696</v>
      </c>
      <c r="AT5003" s="128" t="s">
        <v>185</v>
      </c>
      <c r="AU5003" s="153" t="s">
        <v>186</v>
      </c>
    </row>
    <row r="5004" spans="13:47" ht="14" x14ac:dyDescent="0.3">
      <c r="M5004" s="12"/>
      <c r="N5004" s="12"/>
      <c r="O5004" s="20"/>
      <c r="P5004" s="20"/>
      <c r="Q5004" s="23"/>
      <c r="R5004" s="139"/>
      <c r="S5004" s="130" t="s">
        <v>228</v>
      </c>
      <c r="T5004" s="154" t="s">
        <v>187</v>
      </c>
      <c r="U5004" s="144"/>
      <c r="V5004" s="130" t="s">
        <v>228</v>
      </c>
      <c r="W5004" s="154" t="s">
        <v>187</v>
      </c>
      <c r="X5004" s="144"/>
      <c r="Y5004" s="130" t="s">
        <v>228</v>
      </c>
      <c r="Z5004" s="154" t="s">
        <v>187</v>
      </c>
      <c r="AA5004" s="144"/>
      <c r="AB5004" s="130" t="s">
        <v>228</v>
      </c>
      <c r="AC5004" s="154" t="s">
        <v>187</v>
      </c>
      <c r="AD5004" s="144"/>
      <c r="AE5004" s="130" t="s">
        <v>228</v>
      </c>
      <c r="AF5004" s="154" t="s">
        <v>187</v>
      </c>
      <c r="AG5004" s="144"/>
      <c r="AH5004" s="130" t="s">
        <v>228</v>
      </c>
      <c r="AI5004" s="154" t="s">
        <v>187</v>
      </c>
      <c r="AJ5004" s="144"/>
      <c r="AK5004" s="130" t="s">
        <v>228</v>
      </c>
      <c r="AL5004" s="154" t="s">
        <v>187</v>
      </c>
      <c r="AM5004" s="144"/>
      <c r="AN5004" s="130" t="s">
        <v>228</v>
      </c>
      <c r="AO5004" s="154" t="s">
        <v>187</v>
      </c>
      <c r="AP5004" s="144"/>
      <c r="AQ5004" s="130" t="s">
        <v>228</v>
      </c>
      <c r="AR5004" s="154" t="s">
        <v>187</v>
      </c>
      <c r="AS5004" s="144"/>
      <c r="AT5004" s="130" t="s">
        <v>228</v>
      </c>
      <c r="AU5004" s="154" t="s">
        <v>187</v>
      </c>
    </row>
    <row r="5005" spans="13:47" x14ac:dyDescent="0.25">
      <c r="M5005" s="12"/>
      <c r="N5005" s="12"/>
      <c r="O5005" s="7" t="s">
        <v>188</v>
      </c>
      <c r="P5005" s="7"/>
      <c r="Q5005" s="7"/>
      <c r="R5005" s="181">
        <f>P_1_minW-(R5003^2*R_up)+dpup_minQ</f>
        <v>33.773518059841507</v>
      </c>
      <c r="S5005" s="132"/>
      <c r="T5005" s="145"/>
      <c r="U5005" s="138">
        <f>P_1_minW-(U5003^2*R_up)+dpup_minQ</f>
        <v>-0.16207673162550462</v>
      </c>
      <c r="V5005" s="132"/>
      <c r="W5005" s="145"/>
      <c r="X5005" s="138">
        <f>P_1_minW-(X5003^2*R_up)+dpup_minQ</f>
        <v>-515.29781525105386</v>
      </c>
      <c r="Y5005" s="132"/>
      <c r="Z5005" s="145"/>
      <c r="AA5005" s="138">
        <f>P_1_minW-(AA5003^2*R_up)+dpup_minQ</f>
        <v>-2235.7217607731018</v>
      </c>
      <c r="AB5005" s="132"/>
      <c r="AC5005" s="145"/>
      <c r="AD5005" s="138">
        <f>P_1_minW-(AD5003^2*R_up)+dpup_minQ</f>
        <v>-6218.5837742784943</v>
      </c>
      <c r="AE5005" s="132"/>
      <c r="AF5005" s="145"/>
      <c r="AG5005" s="138">
        <f>P_1_minW-(AG5003^2*R_up)+dpup_minQ</f>
        <v>-12330.563937733708</v>
      </c>
      <c r="AH5005" s="132"/>
      <c r="AI5005" s="145"/>
      <c r="AJ5005" s="138">
        <f>P_1_minW-(AJ5003^2*R_up)+dpup_minQ</f>
        <v>-19941.199404386804</v>
      </c>
      <c r="AK5005" s="132"/>
      <c r="AL5005" s="145"/>
      <c r="AM5005" s="138">
        <f>P_1_minW-(AM5003^2*R_up)+dpup_minQ</f>
        <v>-27455.656321658433</v>
      </c>
      <c r="AN5005" s="132"/>
      <c r="AO5005" s="145"/>
      <c r="AP5005" s="138">
        <f>P_1_minW-(AP5003^2*R_up)+dpup_minQ</f>
        <v>-34199.090383619747</v>
      </c>
      <c r="AQ5005" s="132"/>
      <c r="AR5005" s="145"/>
      <c r="AS5005" s="138">
        <f>P_1_minW-(AS5003^2*R_up)+dpup_minQ</f>
        <v>-42592.749709727555</v>
      </c>
      <c r="AT5005" s="132"/>
      <c r="AU5005" s="145"/>
    </row>
    <row r="5006" spans="13:47" x14ac:dyDescent="0.25">
      <c r="M5006" s="12"/>
      <c r="N5006" s="12"/>
      <c r="O5006" s="7" t="s">
        <v>189</v>
      </c>
      <c r="P5006" s="1"/>
      <c r="Q5006" s="7"/>
      <c r="R5006" s="181">
        <f>P_2_minW+(R5003^2*R_dn)-dpdn_minQ</f>
        <v>50</v>
      </c>
      <c r="S5006" s="132"/>
      <c r="T5006" s="146"/>
      <c r="U5006" s="138">
        <f>P_2_minW+(U5003^2*R_dn)-dpdn_minQ</f>
        <v>50</v>
      </c>
      <c r="V5006" s="132"/>
      <c r="W5006" s="146"/>
      <c r="X5006" s="138">
        <f>P_2_minW+(X5003^2*R_dn)-dpdn_minQ</f>
        <v>50</v>
      </c>
      <c r="Y5006" s="132"/>
      <c r="Z5006" s="146"/>
      <c r="AA5006" s="138">
        <f>P_2_minW+(AA5003^2*R_dn)-dpdn_minQ</f>
        <v>50</v>
      </c>
      <c r="AB5006" s="132"/>
      <c r="AC5006" s="146"/>
      <c r="AD5006" s="138">
        <f>P_2_minW+(AD5003^2*R_dn)-dpdn_minQ</f>
        <v>50</v>
      </c>
      <c r="AE5006" s="132"/>
      <c r="AF5006" s="146"/>
      <c r="AG5006" s="138">
        <f>P_2_minW+(AG5003^2*R_dn)-dpdn_minQ</f>
        <v>50</v>
      </c>
      <c r="AH5006" s="132"/>
      <c r="AI5006" s="146"/>
      <c r="AJ5006" s="138">
        <f>P_2_minW+(AJ5003^2*R_dn)-dpdn_minQ</f>
        <v>50</v>
      </c>
      <c r="AK5006" s="132"/>
      <c r="AL5006" s="146"/>
      <c r="AM5006" s="138">
        <f>P_2_minW+(AM5003^2*R_dn)-dpdn_minQ</f>
        <v>50</v>
      </c>
      <c r="AN5006" s="132"/>
      <c r="AO5006" s="146"/>
      <c r="AP5006" s="138">
        <f>P_2_minW+(AP5003^2*R_dn)-dpdn_minQ</f>
        <v>50</v>
      </c>
      <c r="AQ5006" s="132"/>
      <c r="AR5006" s="146"/>
      <c r="AS5006" s="138">
        <f>P_2_minW+(AS5003^2*R_dn)-dpdn_minQ</f>
        <v>50</v>
      </c>
      <c r="AT5006" s="132"/>
      <c r="AU5006" s="146"/>
    </row>
    <row r="5007" spans="13:47" x14ac:dyDescent="0.25">
      <c r="M5007" s="12"/>
      <c r="N5007" s="12"/>
      <c r="O5007" s="7" t="s">
        <v>234</v>
      </c>
      <c r="P5007" s="1"/>
      <c r="Q5007" s="7"/>
      <c r="R5007" s="179">
        <f>'Valve Sizing'!G$8*R5005/P_1_maxW</f>
        <v>0.16291743811640294</v>
      </c>
      <c r="S5007" s="132"/>
      <c r="T5007" s="146"/>
      <c r="U5007" s="143">
        <f>'Valve Sizing'!$G$8*U5005/P_1_maxW</f>
        <v>-7.818292973779383E-4</v>
      </c>
      <c r="V5007" s="132"/>
      <c r="W5007" s="146"/>
      <c r="X5007" s="143">
        <f>'Valve Sizing'!$G$8*X5005/P_1_maxW</f>
        <v>-2.4857049176497652</v>
      </c>
      <c r="Y5007" s="132"/>
      <c r="Z5007" s="146"/>
      <c r="AA5007" s="143">
        <f>'Valve Sizing'!$G$8*AA5005/P_1_maxW</f>
        <v>-10.784723728243918</v>
      </c>
      <c r="AB5007" s="132"/>
      <c r="AC5007" s="146"/>
      <c r="AD5007" s="143">
        <f>'Valve Sizing'!$G$8*AD5005/P_1_maxW</f>
        <v>-29.997340976518878</v>
      </c>
      <c r="AE5007" s="132"/>
      <c r="AF5007" s="146"/>
      <c r="AG5007" s="143">
        <f>'Valve Sizing'!$G$8*AG5005/P_1_maxW</f>
        <v>-59.48044511402933</v>
      </c>
      <c r="AH5007" s="132"/>
      <c r="AI5007" s="146"/>
      <c r="AJ5007" s="143">
        <f>'Valve Sizing'!$G$8*AJ5005/P_1_maxW</f>
        <v>-96.192795615035308</v>
      </c>
      <c r="AK5007" s="132"/>
      <c r="AL5007" s="146"/>
      <c r="AM5007" s="143">
        <f>'Valve Sizing'!$G$8*AM5005/P_1_maxW</f>
        <v>-132.4411979173604</v>
      </c>
      <c r="AN5007" s="132"/>
      <c r="AO5007" s="146"/>
      <c r="AP5007" s="143">
        <f>'Valve Sizing'!$G$8*AP5005/P_1_maxW</f>
        <v>-164.97032323782699</v>
      </c>
      <c r="AQ5007" s="132"/>
      <c r="AR5007" s="146"/>
      <c r="AS5007" s="143">
        <f>'Valve Sizing'!$G$8*AS5005/P_1_maxW</f>
        <v>-205.45984142803695</v>
      </c>
      <c r="AT5007" s="132"/>
      <c r="AU5007" s="146"/>
    </row>
    <row r="5008" spans="13:47" x14ac:dyDescent="0.25">
      <c r="M5008" s="12"/>
      <c r="N5008" s="12"/>
      <c r="O5008" s="7" t="s">
        <v>190</v>
      </c>
      <c r="P5008" s="1"/>
      <c r="Q5008" s="7"/>
      <c r="R5008" s="181">
        <f>R5005-R5006</f>
        <v>-16.226481940158493</v>
      </c>
      <c r="S5008" s="132"/>
      <c r="T5008" s="146"/>
      <c r="U5008" s="138">
        <f>U5005-U5006</f>
        <v>-50.162076731625504</v>
      </c>
      <c r="V5008" s="132"/>
      <c r="W5008" s="146"/>
      <c r="X5008" s="138">
        <f>X5005-X5006</f>
        <v>-565.29781525105386</v>
      </c>
      <c r="Y5008" s="132"/>
      <c r="Z5008" s="146"/>
      <c r="AA5008" s="138">
        <f>AA5005-AA5006</f>
        <v>-2285.7217607731018</v>
      </c>
      <c r="AB5008" s="132"/>
      <c r="AC5008" s="146"/>
      <c r="AD5008" s="138">
        <f>AD5005-AD5006</f>
        <v>-6268.5837742784943</v>
      </c>
      <c r="AE5008" s="132"/>
      <c r="AF5008" s="146"/>
      <c r="AG5008" s="138">
        <f>AG5005-AG5006</f>
        <v>-12380.563937733708</v>
      </c>
      <c r="AH5008" s="132"/>
      <c r="AI5008" s="146"/>
      <c r="AJ5008" s="138">
        <f>AJ5005-AJ5006</f>
        <v>-19991.199404386804</v>
      </c>
      <c r="AK5008" s="132"/>
      <c r="AL5008" s="146"/>
      <c r="AM5008" s="138">
        <f>AM5005-AM5006</f>
        <v>-27505.656321658433</v>
      </c>
      <c r="AN5008" s="132"/>
      <c r="AO5008" s="146"/>
      <c r="AP5008" s="138">
        <f>AP5005-AP5006</f>
        <v>-34249.090383619747</v>
      </c>
      <c r="AQ5008" s="132"/>
      <c r="AR5008" s="146"/>
      <c r="AS5008" s="138">
        <f>AS5005-AS5006</f>
        <v>-42642.749709727555</v>
      </c>
      <c r="AT5008" s="132"/>
      <c r="AU5008" s="146"/>
    </row>
    <row r="5009" spans="13:47" ht="14.5" x14ac:dyDescent="0.35">
      <c r="M5009" s="12"/>
      <c r="N5009" s="12"/>
      <c r="O5009" s="2" t="s">
        <v>191</v>
      </c>
      <c r="P5009" s="10"/>
      <c r="Q5009" s="2"/>
      <c r="R5009" s="181">
        <f>R5008/R5005</f>
        <v>-0.48044985753061464</v>
      </c>
      <c r="S5009" s="132"/>
      <c r="T5009" s="146"/>
      <c r="U5009" s="138">
        <f>U5008/U5005</f>
        <v>309.49585562676742</v>
      </c>
      <c r="V5009" s="132"/>
      <c r="W5009" s="146"/>
      <c r="X5009" s="138">
        <f>X5008/X5005</f>
        <v>1.0970312672015501</v>
      </c>
      <c r="Y5009" s="132"/>
      <c r="Z5009" s="146"/>
      <c r="AA5009" s="138">
        <f>AA5008/AA5005</f>
        <v>1.0223641424784049</v>
      </c>
      <c r="AB5009" s="132"/>
      <c r="AC5009" s="146"/>
      <c r="AD5009" s="138">
        <f>AD5008/AD5005</f>
        <v>1.0080404159234473</v>
      </c>
      <c r="AE5009" s="132"/>
      <c r="AF5009" s="146"/>
      <c r="AG5009" s="138">
        <f>AG5008/AG5005</f>
        <v>1.0040549645784644</v>
      </c>
      <c r="AH5009" s="132"/>
      <c r="AI5009" s="146"/>
      <c r="AJ5009" s="138">
        <f>AJ5008/AJ5005</f>
        <v>1.0025073717476092</v>
      </c>
      <c r="AK5009" s="132"/>
      <c r="AL5009" s="146"/>
      <c r="AM5009" s="138">
        <f>AM5008/AM5005</f>
        <v>1.0018211183668029</v>
      </c>
      <c r="AN5009" s="132"/>
      <c r="AO5009" s="146"/>
      <c r="AP5009" s="138">
        <f>AP5008/AP5005</f>
        <v>1.0014620271895871</v>
      </c>
      <c r="AQ5009" s="132"/>
      <c r="AR5009" s="146"/>
      <c r="AS5009" s="138">
        <f>AS5008/AS5005</f>
        <v>1.0011739087131202</v>
      </c>
      <c r="AT5009" s="132"/>
      <c r="AU5009" s="146"/>
    </row>
    <row r="5010" spans="13:47" x14ac:dyDescent="0.25">
      <c r="M5010" s="12"/>
      <c r="N5010" s="12"/>
      <c r="O5010" s="2" t="s">
        <v>26</v>
      </c>
      <c r="P5010" s="7">
        <v>12</v>
      </c>
      <c r="Q5010" s="2"/>
      <c r="R5010" s="181">
        <f>1-R5009/(3*F_GAMMA*R$29)</f>
        <v>1.2502237913386758</v>
      </c>
      <c r="S5010" s="133"/>
      <c r="T5010" s="146"/>
      <c r="U5010" s="138">
        <f>1-U5009/(3*F_GAMMA*U$29)</f>
        <v>-160.15349836200505</v>
      </c>
      <c r="V5010" s="133"/>
      <c r="W5010" s="146"/>
      <c r="X5010" s="138">
        <f>1-X5009/(3*F_GAMMA*X$29)</f>
        <v>0.42021012230404942</v>
      </c>
      <c r="Y5010" s="133"/>
      <c r="Z5010" s="146"/>
      <c r="AA5010" s="138">
        <f>1-AA5009/(3*F_GAMMA*AA$29)</f>
        <v>0.45226365557781611</v>
      </c>
      <c r="AB5010" s="133"/>
      <c r="AC5010" s="146"/>
      <c r="AD5010" s="138">
        <f>1-AD5009/(3*F_GAMMA*AD$29)</f>
        <v>0.44513029767536005</v>
      </c>
      <c r="AE5010" s="133"/>
      <c r="AF5010" s="146"/>
      <c r="AG5010" s="138">
        <f>1-AG5009/(3*F_GAMMA*AG$29)</f>
        <v>0.41579855705088875</v>
      </c>
      <c r="AH5010" s="133"/>
      <c r="AI5010" s="146"/>
      <c r="AJ5010" s="138">
        <f>1-AJ5009/(3*F_GAMMA*AJ$29)</f>
        <v>0.37644333595231605</v>
      </c>
      <c r="AK5010" s="133"/>
      <c r="AL5010" s="146"/>
      <c r="AM5010" s="138">
        <f>1-AM5009/(3*F_GAMMA*AM$29)</f>
        <v>0.31916731020181799</v>
      </c>
      <c r="AN5010" s="133"/>
      <c r="AO5010" s="146"/>
      <c r="AP5010" s="138">
        <f>1-AP5009/(3*F_GAMMA*AP$29)</f>
        <v>0.43756710907754481</v>
      </c>
      <c r="AQ5010" s="133"/>
      <c r="AR5010" s="146"/>
      <c r="AS5010" s="138">
        <f>1-AS5009/(3*F_GAMMA*AS$29)</f>
        <v>0.14642364258353335</v>
      </c>
      <c r="AT5010" s="133"/>
      <c r="AU5010" s="146"/>
    </row>
    <row r="5011" spans="13:47" x14ac:dyDescent="0.25">
      <c r="M5011" s="12"/>
      <c r="N5011" s="12"/>
      <c r="O5011" s="2" t="s">
        <v>71</v>
      </c>
      <c r="P5011" s="85">
        <v>5</v>
      </c>
      <c r="Q5011" s="2"/>
      <c r="R5011" s="179" t="e">
        <f>R5003/((N_6*R$27*R5010)*SQRT(R5009*R5005*R5007))</f>
        <v>#NUM!</v>
      </c>
      <c r="S5011" s="133"/>
      <c r="T5011" s="146"/>
      <c r="U5011" s="143">
        <f>U5003/((N_6*U$27*U5010)*SQRT(U5009*U5005*U5007))</f>
        <v>-7.9206871073160894</v>
      </c>
      <c r="V5011" s="133"/>
      <c r="W5011" s="146"/>
      <c r="X5011" s="143">
        <f>X5003/((N_6*X$27*X5010)*SQRT(X5009*X5005*X5007))</f>
        <v>39.529334289471599</v>
      </c>
      <c r="Y5011" s="133"/>
      <c r="Z5011" s="146"/>
      <c r="AA5011" s="143">
        <f>AA5003/((N_6*AA$27*AA5010)*SQRT(AA5009*AA5005*AA5007))</f>
        <v>17.177667524581363</v>
      </c>
      <c r="AB5011" s="133"/>
      <c r="AC5011" s="146"/>
      <c r="AD5011" s="143">
        <f>AD5003/((N_6*AD$27*AD5010)*SQRT(AD5009*AD5005*AD5007))</f>
        <v>10.516523386685106</v>
      </c>
      <c r="AE5011" s="133"/>
      <c r="AF5011" s="146"/>
      <c r="AG5011" s="143">
        <f>AG5003/((N_6*AG$27*AG5010)*SQRT(AG5009*AG5005*AG5007))</f>
        <v>8.1515947026210736</v>
      </c>
      <c r="AH5011" s="133"/>
      <c r="AI5011" s="146"/>
      <c r="AJ5011" s="143">
        <f>AJ5003/((N_6*AJ$27*AJ5010)*SQRT(AJ5009*AJ5005*AJ5007))</f>
        <v>7.3175400683631464</v>
      </c>
      <c r="AK5011" s="133"/>
      <c r="AL5011" s="146"/>
      <c r="AM5011" s="143">
        <f>AM5003/((N_6*AM$27*AM5010)*SQRT(AM5009*AM5005*AM5007))</f>
        <v>7.8044209467628649</v>
      </c>
      <c r="AN5011" s="133"/>
      <c r="AO5011" s="146"/>
      <c r="AP5011" s="143">
        <f>AP5003/((N_6*AP$27*AP5010)*SQRT(AP5009*AP5005*AP5007))</f>
        <v>5.7929366209021094</v>
      </c>
      <c r="AQ5011" s="133"/>
      <c r="AR5011" s="146"/>
      <c r="AS5011" s="143">
        <f>AS5003/((N_6*AS$27*AS5010)*SQRT(AS5009*AS5005*AS5007))</f>
        <v>20.379622203393314</v>
      </c>
      <c r="AT5011" s="133"/>
      <c r="AU5011" s="146"/>
    </row>
    <row r="5012" spans="13:47" x14ac:dyDescent="0.25">
      <c r="M5012" s="12"/>
      <c r="N5012" s="12"/>
      <c r="O5012" s="2" t="s">
        <v>73</v>
      </c>
      <c r="P5012" s="85">
        <v>5</v>
      </c>
      <c r="Q5012" s="2"/>
      <c r="R5012" s="179">
        <f>R5003/((N_6*R$27*0.667)*SQRT(R5013*R5005*R5007))</f>
        <v>163.31171285615582</v>
      </c>
      <c r="S5012" s="133"/>
      <c r="T5012" s="155"/>
      <c r="U5012" s="143">
        <f>U5003/((N_6*U$27*0.667)*SQRT(U5013*U5005*U5007))</f>
        <v>41817.103686157847</v>
      </c>
      <c r="V5012" s="133"/>
      <c r="W5012" s="155"/>
      <c r="X5012" s="143">
        <f>X5003/((N_6*X$27*0.667)*SQRT(X5013*X5005*X5007))</f>
        <v>32.844005649622893</v>
      </c>
      <c r="Y5012" s="133"/>
      <c r="Z5012" s="155"/>
      <c r="AA5012" s="143">
        <f>AA5003/((N_6*AA$27*0.667)*SQRT(AA5013*AA5005*AA5007))</f>
        <v>14.93057228252518</v>
      </c>
      <c r="AB5012" s="133"/>
      <c r="AC5012" s="155"/>
      <c r="AD5012" s="143">
        <f>AD5003/((N_6*AD$27*0.667)*SQRT(AD5013*AD5005*AD5007))</f>
        <v>9.0550248524085557</v>
      </c>
      <c r="AE5012" s="133"/>
      <c r="AF5012" s="155"/>
      <c r="AG5012" s="143">
        <f>AG5003/((N_6*AG$27*0.667)*SQRT(AG5013*AG5005*AG5007))</f>
        <v>6.7273134323922781</v>
      </c>
      <c r="AH5012" s="133"/>
      <c r="AI5012" s="155"/>
      <c r="AJ5012" s="143">
        <f>AJ5003/((N_6*AJ$27*0.667)*SQRT(AJ5013*AJ5005*AJ5007))</f>
        <v>5.6485565168382772</v>
      </c>
      <c r="AK5012" s="133"/>
      <c r="AL5012" s="155"/>
      <c r="AM5012" s="143">
        <f>AM5003/((N_6*AM$27*0.667)*SQRT(AM5013*AM5005*AM5007))</f>
        <v>5.3372074418060427</v>
      </c>
      <c r="AN5012" s="133"/>
      <c r="AO5012" s="155"/>
      <c r="AP5012" s="143">
        <f>AP5003/((N_6*AP$27*0.667)*SQRT(AP5013*AP5005*AP5007))</f>
        <v>4.9364369586145216</v>
      </c>
      <c r="AQ5012" s="133"/>
      <c r="AR5012" s="155"/>
      <c r="AS5012" s="143">
        <f>AS5003/((N_6*AS$27*0.667)*SQRT(AS5013*AS5005*AS5007))</f>
        <v>7.1591805889073958</v>
      </c>
      <c r="AT5012" s="133"/>
      <c r="AU5012" s="155"/>
    </row>
    <row r="5013" spans="13:47" ht="15.5" x14ac:dyDescent="0.4">
      <c r="M5013" s="12"/>
      <c r="N5013" s="12"/>
      <c r="O5013" s="2" t="s">
        <v>192</v>
      </c>
      <c r="P5013" s="85">
        <v>10</v>
      </c>
      <c r="Q5013" s="2"/>
      <c r="R5013" s="181">
        <f>F_GAMMA*R$29</f>
        <v>0.64002688015162901</v>
      </c>
      <c r="S5013" s="133"/>
      <c r="T5013" s="155"/>
      <c r="U5013" s="138">
        <f>F_GAMMA*U$29</f>
        <v>0.64016782916606918</v>
      </c>
      <c r="V5013" s="133"/>
      <c r="W5013" s="155"/>
      <c r="X5013" s="138">
        <f>F_GAMMA*X$29</f>
        <v>0.6307062319203669</v>
      </c>
      <c r="Y5013" s="133"/>
      <c r="Z5013" s="155"/>
      <c r="AA5013" s="138">
        <f>F_GAMMA*AA$29</f>
        <v>0.62217534213893466</v>
      </c>
      <c r="AB5013" s="133"/>
      <c r="AC5013" s="155"/>
      <c r="AD5013" s="138">
        <f>F_GAMMA*AD$29</f>
        <v>0.60557184969146072</v>
      </c>
      <c r="AE5013" s="133"/>
      <c r="AF5013" s="155"/>
      <c r="AG5013" s="138">
        <f>F_GAMMA*AG$29</f>
        <v>0.57289312142622573</v>
      </c>
      <c r="AH5013" s="133"/>
      <c r="AI5013" s="155"/>
      <c r="AJ5013" s="138">
        <f>F_GAMMA*AJ$29</f>
        <v>0.53590819116049981</v>
      </c>
      <c r="AK5013" s="133"/>
      <c r="AL5013" s="155"/>
      <c r="AM5013" s="138">
        <f>F_GAMMA*AM$29</f>
        <v>0.49048815926850342</v>
      </c>
      <c r="AN5013" s="133"/>
      <c r="AO5013" s="155"/>
      <c r="AP5013" s="138">
        <f>F_GAMMA*AP$29</f>
        <v>0.59352979016280105</v>
      </c>
      <c r="AQ5013" s="133"/>
      <c r="AR5013" s="155"/>
      <c r="AS5013" s="138">
        <f>F_GAMMA*AS$29</f>
        <v>0.39097221161068291</v>
      </c>
      <c r="AT5013" s="133"/>
      <c r="AU5013" s="155"/>
    </row>
    <row r="5014" spans="13:47" x14ac:dyDescent="0.25">
      <c r="M5014" s="12"/>
      <c r="N5014" s="12"/>
      <c r="O5014" s="2" t="s">
        <v>193</v>
      </c>
      <c r="P5014" s="134"/>
      <c r="Q5014" s="2"/>
      <c r="R5014" s="181" t="e">
        <f>IF(R5009&lt;R5013,R5011,R5012)</f>
        <v>#NUM!</v>
      </c>
      <c r="S5014" s="133"/>
      <c r="T5014" s="155"/>
      <c r="U5014" s="138">
        <f>IF(U5009&lt;U5013,U5011,U5012)</f>
        <v>41817.103686157847</v>
      </c>
      <c r="V5014" s="133"/>
      <c r="W5014" s="155"/>
      <c r="X5014" s="138">
        <f>IF(X5009&lt;X5013,X5011,X5012)</f>
        <v>32.844005649622893</v>
      </c>
      <c r="Y5014" s="133"/>
      <c r="Z5014" s="155"/>
      <c r="AA5014" s="138">
        <f>IF(AA5009&lt;AA5013,AA5011,AA5012)</f>
        <v>14.93057228252518</v>
      </c>
      <c r="AB5014" s="133"/>
      <c r="AC5014" s="155"/>
      <c r="AD5014" s="138">
        <f>IF(AD5009&lt;AD5013,AD5011,AD5012)</f>
        <v>9.0550248524085557</v>
      </c>
      <c r="AE5014" s="133"/>
      <c r="AF5014" s="155"/>
      <c r="AG5014" s="138">
        <f>IF(AG5009&lt;AG5013,AG5011,AG5012)</f>
        <v>6.7273134323922781</v>
      </c>
      <c r="AH5014" s="133"/>
      <c r="AI5014" s="155"/>
      <c r="AJ5014" s="138">
        <f>IF(AJ5009&lt;AJ5013,AJ5011,AJ5012)</f>
        <v>5.6485565168382772</v>
      </c>
      <c r="AK5014" s="133"/>
      <c r="AL5014" s="155"/>
      <c r="AM5014" s="138">
        <f>IF(AM5009&lt;AM5013,AM5011,AM5012)</f>
        <v>5.3372074418060427</v>
      </c>
      <c r="AN5014" s="133"/>
      <c r="AO5014" s="155"/>
      <c r="AP5014" s="138">
        <f>IF(AP5009&lt;AP5013,AP5011,AP5012)</f>
        <v>4.9364369586145216</v>
      </c>
      <c r="AQ5014" s="133"/>
      <c r="AR5014" s="155"/>
      <c r="AS5014" s="138">
        <f>IF(AS5009&lt;AS5013,AS5011,AS5012)</f>
        <v>7.1591805889073958</v>
      </c>
      <c r="AT5014" s="133"/>
      <c r="AU5014" s="155"/>
    </row>
    <row r="5015" spans="13:47" ht="13" x14ac:dyDescent="0.3">
      <c r="M5015" s="12"/>
      <c r="N5015" s="12"/>
      <c r="O5015" s="9" t="s">
        <v>194</v>
      </c>
      <c r="P5015" s="1"/>
      <c r="Q5015" s="1"/>
      <c r="R5015" s="135"/>
      <c r="S5015" s="132">
        <f>IF(R5008&lt;=0,W_max,ABS(R$23-R5014))</f>
        <v>7174</v>
      </c>
      <c r="T5015" s="151">
        <f>R5003</f>
        <v>12937.979603778203</v>
      </c>
      <c r="U5015" s="135"/>
      <c r="V5015" s="132">
        <f>IF(U5008&lt;=0,W_max,ABS(U$23-U5014))</f>
        <v>7174</v>
      </c>
      <c r="W5015" s="151">
        <f>U5003</f>
        <v>15890.051288708821</v>
      </c>
      <c r="X5015" s="135"/>
      <c r="Y5015" s="132">
        <f>IF(X5008&lt;=0,W_max,ABS(X$23-X5014))</f>
        <v>7174</v>
      </c>
      <c r="Z5015" s="151">
        <f>X5003</f>
        <v>39297.987775246351</v>
      </c>
      <c r="AA5015" s="135"/>
      <c r="AB5015" s="132">
        <f>IF(AA5008&lt;=0,W_max,ABS(AA$23-AA5014))</f>
        <v>7174</v>
      </c>
      <c r="AC5015" s="151">
        <f>AA5003</f>
        <v>76542.449555046536</v>
      </c>
      <c r="AD5015" s="135"/>
      <c r="AE5015" s="132">
        <f>IF(AD5008&lt;=0,W_max,ABS(AD$23-AD5014))</f>
        <v>7174</v>
      </c>
      <c r="AF5015" s="151">
        <f>AD5003</f>
        <v>125884.14826010962</v>
      </c>
      <c r="AG5015" s="135"/>
      <c r="AH5015" s="132">
        <f>IF(AG5008&lt;=0,W_max,ABS(AG$23-AG5014))</f>
        <v>7174</v>
      </c>
      <c r="AI5015" s="151">
        <f>AG5003</f>
        <v>176562.20927318826</v>
      </c>
      <c r="AJ5015" s="135"/>
      <c r="AK5015" s="132">
        <f>IF(AJ5008&lt;=0,W_max,ABS(AJ$23-AJ5014))</f>
        <v>7174</v>
      </c>
      <c r="AL5015" s="151">
        <f>AJ5003</f>
        <v>224187.15473551006</v>
      </c>
      <c r="AM5015" s="135"/>
      <c r="AN5015" s="132">
        <f>IF(AM5008&lt;=0,W_max,ABS(AM$23-AM5014))</f>
        <v>7174</v>
      </c>
      <c r="AO5015" s="151">
        <f>AM5003</f>
        <v>262877.07010906405</v>
      </c>
      <c r="AP5015" s="135"/>
      <c r="AQ5015" s="132">
        <f>IF(AP5008&lt;=0,W_max,ABS(AP$23-AP5014))</f>
        <v>7174</v>
      </c>
      <c r="AR5015" s="151">
        <f>AP5003</f>
        <v>293283.62618480209</v>
      </c>
      <c r="AS5015" s="135"/>
      <c r="AT5015" s="132">
        <f>IF(AS5008&lt;=0,W_max,ABS(AS$23-AS5014))</f>
        <v>7174</v>
      </c>
      <c r="AU5015" s="151">
        <f>AS5003</f>
        <v>327207.25832960696</v>
      </c>
    </row>
    <row r="5016" spans="13:47" ht="13" x14ac:dyDescent="0.25">
      <c r="M5016" s="12"/>
      <c r="N5016" s="12"/>
      <c r="O5016" s="2"/>
      <c r="P5016" s="85"/>
      <c r="Q5016" s="2"/>
      <c r="R5016" s="18"/>
      <c r="S5016" s="150"/>
      <c r="T5016" s="152"/>
      <c r="U5016" s="157"/>
      <c r="V5016" s="1"/>
      <c r="W5016" s="147"/>
      <c r="X5016" s="157"/>
      <c r="Y5016" s="1"/>
      <c r="Z5016" s="147"/>
      <c r="AA5016" s="157"/>
      <c r="AB5016" s="1"/>
      <c r="AC5016" s="147"/>
      <c r="AD5016" s="157"/>
      <c r="AE5016" s="1"/>
      <c r="AF5016" s="147"/>
      <c r="AG5016" s="157"/>
      <c r="AH5016" s="1"/>
      <c r="AI5016" s="147"/>
      <c r="AJ5016" s="157"/>
      <c r="AK5016" s="1"/>
      <c r="AL5016" s="147"/>
      <c r="AM5016" s="157"/>
      <c r="AN5016" s="1"/>
      <c r="AO5016" s="147"/>
      <c r="AP5016" s="157"/>
      <c r="AQ5016" s="1"/>
      <c r="AR5016" s="147"/>
      <c r="AS5016" s="157"/>
      <c r="AT5016" s="1"/>
      <c r="AU5016" s="147"/>
    </row>
    <row r="5017" spans="13:47" ht="14" x14ac:dyDescent="0.3">
      <c r="M5017" s="12"/>
      <c r="N5017" s="12"/>
      <c r="O5017" s="23" t="s">
        <v>238</v>
      </c>
      <c r="P5017" s="20"/>
      <c r="Q5017" s="20"/>
      <c r="R5017" s="181">
        <f>R5003*1.02</f>
        <v>13196.739195853768</v>
      </c>
      <c r="S5017" s="128" t="s">
        <v>185</v>
      </c>
      <c r="T5017" s="153" t="s">
        <v>186</v>
      </c>
      <c r="U5017" s="143">
        <f>U5003*1.01</f>
        <v>16048.951801595909</v>
      </c>
      <c r="V5017" s="128" t="s">
        <v>185</v>
      </c>
      <c r="W5017" s="153" t="s">
        <v>186</v>
      </c>
      <c r="X5017" s="143">
        <f>X5003*1.01</f>
        <v>39690.967652998814</v>
      </c>
      <c r="Y5017" s="128" t="s">
        <v>185</v>
      </c>
      <c r="Z5017" s="153" t="s">
        <v>186</v>
      </c>
      <c r="AA5017" s="143">
        <f>AA5003*1.01</f>
        <v>77307.874050597005</v>
      </c>
      <c r="AB5017" s="128" t="s">
        <v>185</v>
      </c>
      <c r="AC5017" s="153" t="s">
        <v>186</v>
      </c>
      <c r="AD5017" s="143">
        <f>AD5003*1.01</f>
        <v>127142.98974271072</v>
      </c>
      <c r="AE5017" s="128" t="s">
        <v>185</v>
      </c>
      <c r="AF5017" s="153" t="s">
        <v>186</v>
      </c>
      <c r="AG5017" s="143">
        <f>AG5003*1.01</f>
        <v>178327.83136592014</v>
      </c>
      <c r="AH5017" s="128" t="s">
        <v>185</v>
      </c>
      <c r="AI5017" s="153" t="s">
        <v>186</v>
      </c>
      <c r="AJ5017" s="143">
        <f>AJ5003*1.01</f>
        <v>226429.02628286518</v>
      </c>
      <c r="AK5017" s="128" t="s">
        <v>185</v>
      </c>
      <c r="AL5017" s="153" t="s">
        <v>186</v>
      </c>
      <c r="AM5017" s="143">
        <f>AM5003*1.01</f>
        <v>265505.84081015468</v>
      </c>
      <c r="AN5017" s="128" t="s">
        <v>185</v>
      </c>
      <c r="AO5017" s="153" t="s">
        <v>186</v>
      </c>
      <c r="AP5017" s="143">
        <f>AP5003*1.01</f>
        <v>296216.46244665014</v>
      </c>
      <c r="AQ5017" s="128" t="s">
        <v>185</v>
      </c>
      <c r="AR5017" s="153" t="s">
        <v>186</v>
      </c>
      <c r="AS5017" s="143">
        <f>AS5003*1.01</f>
        <v>330479.33091290301</v>
      </c>
      <c r="AT5017" s="128" t="s">
        <v>185</v>
      </c>
      <c r="AU5017" s="153" t="s">
        <v>186</v>
      </c>
    </row>
    <row r="5018" spans="13:47" ht="14" x14ac:dyDescent="0.3">
      <c r="M5018" s="12"/>
      <c r="N5018" s="12"/>
      <c r="O5018" s="20"/>
      <c r="P5018" s="20"/>
      <c r="Q5018" s="23"/>
      <c r="R5018" s="139"/>
      <c r="S5018" s="130" t="s">
        <v>228</v>
      </c>
      <c r="T5018" s="154" t="s">
        <v>187</v>
      </c>
      <c r="U5018" s="144"/>
      <c r="V5018" s="130" t="s">
        <v>228</v>
      </c>
      <c r="W5018" s="154" t="s">
        <v>187</v>
      </c>
      <c r="X5018" s="144"/>
      <c r="Y5018" s="130" t="s">
        <v>228</v>
      </c>
      <c r="Z5018" s="154" t="s">
        <v>187</v>
      </c>
      <c r="AA5018" s="144"/>
      <c r="AB5018" s="130" t="s">
        <v>228</v>
      </c>
      <c r="AC5018" s="154" t="s">
        <v>187</v>
      </c>
      <c r="AD5018" s="144"/>
      <c r="AE5018" s="130" t="s">
        <v>228</v>
      </c>
      <c r="AF5018" s="154" t="s">
        <v>187</v>
      </c>
      <c r="AG5018" s="144"/>
      <c r="AH5018" s="130" t="s">
        <v>228</v>
      </c>
      <c r="AI5018" s="154" t="s">
        <v>187</v>
      </c>
      <c r="AJ5018" s="144"/>
      <c r="AK5018" s="130" t="s">
        <v>228</v>
      </c>
      <c r="AL5018" s="154" t="s">
        <v>187</v>
      </c>
      <c r="AM5018" s="144"/>
      <c r="AN5018" s="130" t="s">
        <v>228</v>
      </c>
      <c r="AO5018" s="154" t="s">
        <v>187</v>
      </c>
      <c r="AP5018" s="144"/>
      <c r="AQ5018" s="130" t="s">
        <v>228</v>
      </c>
      <c r="AR5018" s="154" t="s">
        <v>187</v>
      </c>
      <c r="AS5018" s="144"/>
      <c r="AT5018" s="130" t="s">
        <v>228</v>
      </c>
      <c r="AU5018" s="154" t="s">
        <v>187</v>
      </c>
    </row>
    <row r="5019" spans="13:47" x14ac:dyDescent="0.25">
      <c r="M5019" s="12"/>
      <c r="N5019" s="12"/>
      <c r="O5019" s="7" t="s">
        <v>188</v>
      </c>
      <c r="P5019" s="7"/>
      <c r="Q5019" s="7"/>
      <c r="R5019" s="181">
        <f>P_1_minW-(R5017^2*R_up)+dpup_minQ</f>
        <v>31.076847605295342</v>
      </c>
      <c r="S5019" s="132"/>
      <c r="T5019" s="145"/>
      <c r="U5019" s="138">
        <f>P_1_minW-(U5017^2*R_up)+dpup_minQ</f>
        <v>-2.1858424873393862</v>
      </c>
      <c r="V5019" s="132"/>
      <c r="W5019" s="145"/>
      <c r="X5019" s="138">
        <f>P_1_minW-(X5017^2*R_up)+dpup_minQ</f>
        <v>-527.67580935100818</v>
      </c>
      <c r="Y5019" s="132"/>
      <c r="Z5019" s="145"/>
      <c r="AA5019" s="138">
        <f>P_1_minW-(AA5017^2*R_up)+dpup_minQ</f>
        <v>-2282.68027617805</v>
      </c>
      <c r="AB5019" s="132"/>
      <c r="AC5019" s="145"/>
      <c r="AD5019" s="138">
        <f>P_1_minW-(AD5017^2*R_up)+dpup_minQ</f>
        <v>-6345.597816154901</v>
      </c>
      <c r="AE5019" s="132"/>
      <c r="AF5019" s="145"/>
      <c r="AG5019" s="138">
        <f>P_1_minW-(AG5017^2*R_up)+dpup_minQ</f>
        <v>-12580.428780895565</v>
      </c>
      <c r="AH5019" s="132"/>
      <c r="AI5019" s="145"/>
      <c r="AJ5019" s="138">
        <f>P_1_minW-(AJ5017^2*R_up)+dpup_minQ</f>
        <v>-20344.038020428387</v>
      </c>
      <c r="AK5019" s="132"/>
      <c r="AL5019" s="145"/>
      <c r="AM5019" s="138">
        <f>P_1_minW-(AM5017^2*R_up)+dpup_minQ</f>
        <v>-28009.535521737176</v>
      </c>
      <c r="AN5019" s="132"/>
      <c r="AO5019" s="145"/>
      <c r="AP5019" s="138">
        <f>P_1_minW-(AP5017^2*R_up)+dpup_minQ</f>
        <v>-34888.512608343917</v>
      </c>
      <c r="AQ5019" s="132"/>
      <c r="AR5019" s="145"/>
      <c r="AS5019" s="138">
        <f>P_1_minW-(AS5017^2*R_up)+dpup_minQ</f>
        <v>-43450.884486906485</v>
      </c>
      <c r="AT5019" s="132"/>
      <c r="AU5019" s="145"/>
    </row>
    <row r="5020" spans="13:47" x14ac:dyDescent="0.25">
      <c r="M5020" s="12"/>
      <c r="N5020" s="12"/>
      <c r="O5020" s="7" t="s">
        <v>189</v>
      </c>
      <c r="P5020" s="1"/>
      <c r="Q5020" s="7"/>
      <c r="R5020" s="181">
        <f>P_2_minW+(R5017^2*R_dn)-dpdn_minQ</f>
        <v>50</v>
      </c>
      <c r="S5020" s="132"/>
      <c r="T5020" s="146"/>
      <c r="U5020" s="138">
        <f>P_2_minW+(U5017^2*R_dn)-dpdn_minQ</f>
        <v>50</v>
      </c>
      <c r="V5020" s="132"/>
      <c r="W5020" s="146"/>
      <c r="X5020" s="138">
        <f>P_2_minW+(X5017^2*R_dn)-dpdn_minQ</f>
        <v>50</v>
      </c>
      <c r="Y5020" s="132"/>
      <c r="Z5020" s="146"/>
      <c r="AA5020" s="138">
        <f>P_2_minW+(AA5017^2*R_dn)-dpdn_minQ</f>
        <v>50</v>
      </c>
      <c r="AB5020" s="132"/>
      <c r="AC5020" s="146"/>
      <c r="AD5020" s="138">
        <f>P_2_minW+(AD5017^2*R_dn)-dpdn_minQ</f>
        <v>50</v>
      </c>
      <c r="AE5020" s="132"/>
      <c r="AF5020" s="146"/>
      <c r="AG5020" s="138">
        <f>P_2_minW+(AG5017^2*R_dn)-dpdn_minQ</f>
        <v>50</v>
      </c>
      <c r="AH5020" s="132"/>
      <c r="AI5020" s="146"/>
      <c r="AJ5020" s="138">
        <f>P_2_minW+(AJ5017^2*R_dn)-dpdn_minQ</f>
        <v>50</v>
      </c>
      <c r="AK5020" s="132"/>
      <c r="AL5020" s="146"/>
      <c r="AM5020" s="138">
        <f>P_2_minW+(AM5017^2*R_dn)-dpdn_minQ</f>
        <v>50</v>
      </c>
      <c r="AN5020" s="132"/>
      <c r="AO5020" s="146"/>
      <c r="AP5020" s="138">
        <f>P_2_minW+(AP5017^2*R_dn)-dpdn_minQ</f>
        <v>50</v>
      </c>
      <c r="AQ5020" s="132"/>
      <c r="AR5020" s="146"/>
      <c r="AS5020" s="138">
        <f>P_2_minW+(AS5017^2*R_dn)-dpdn_minQ</f>
        <v>50</v>
      </c>
      <c r="AT5020" s="132"/>
      <c r="AU5020" s="146"/>
    </row>
    <row r="5021" spans="13:47" x14ac:dyDescent="0.25">
      <c r="M5021" s="12"/>
      <c r="N5021" s="12"/>
      <c r="O5021" s="7" t="s">
        <v>234</v>
      </c>
      <c r="P5021" s="1"/>
      <c r="Q5021" s="7"/>
      <c r="R5021" s="179">
        <f>'Valve Sizing'!G$8*R5019/P_1_maxW</f>
        <v>0.14990917995625438</v>
      </c>
      <c r="S5021" s="132"/>
      <c r="T5021" s="146"/>
      <c r="U5021" s="143">
        <f>'Valve Sizing'!$G$8*U5019/P_1_maxW</f>
        <v>-1.0544114993656952E-2</v>
      </c>
      <c r="V5021" s="132"/>
      <c r="W5021" s="146"/>
      <c r="X5021" s="143">
        <f>'Valve Sizing'!$G$8*X5019/P_1_maxW</f>
        <v>-2.5454141574219271</v>
      </c>
      <c r="Y5021" s="132"/>
      <c r="Z5021" s="146"/>
      <c r="AA5021" s="143">
        <f>'Valve Sizing'!$G$8*AA5019/P_1_maxW</f>
        <v>-11.011243246109027</v>
      </c>
      <c r="AB5021" s="132"/>
      <c r="AC5021" s="146"/>
      <c r="AD5021" s="143">
        <f>'Valve Sizing'!$G$8*AD5019/P_1_maxW</f>
        <v>-30.610034101074312</v>
      </c>
      <c r="AE5021" s="132"/>
      <c r="AF5021" s="146"/>
      <c r="AG5021" s="143">
        <f>'Valve Sizing'!$G$8*AG5019/P_1_maxW</f>
        <v>-60.685748631748723</v>
      </c>
      <c r="AH5021" s="132"/>
      <c r="AI5021" s="146"/>
      <c r="AJ5021" s="143">
        <f>'Valve Sizing'!$G$8*AJ5019/P_1_maxW</f>
        <v>-98.136017377824913</v>
      </c>
      <c r="AK5021" s="132"/>
      <c r="AL5021" s="146"/>
      <c r="AM5021" s="143">
        <f>'Valve Sizing'!$G$8*AM5019/P_1_maxW</f>
        <v>-135.11301256642673</v>
      </c>
      <c r="AN5021" s="132"/>
      <c r="AO5021" s="146"/>
      <c r="AP5021" s="143">
        <f>'Valve Sizing'!$G$8*AP5019/P_1_maxW</f>
        <v>-168.29597330583471</v>
      </c>
      <c r="AQ5021" s="132"/>
      <c r="AR5021" s="146"/>
      <c r="AS5021" s="143">
        <f>'Valve Sizing'!$G$8*AS5019/P_1_maxW</f>
        <v>-209.59933081166787</v>
      </c>
      <c r="AT5021" s="132"/>
      <c r="AU5021" s="146"/>
    </row>
    <row r="5022" spans="13:47" x14ac:dyDescent="0.25">
      <c r="M5022" s="12"/>
      <c r="N5022" s="12"/>
      <c r="O5022" s="7" t="s">
        <v>190</v>
      </c>
      <c r="P5022" s="1"/>
      <c r="Q5022" s="7"/>
      <c r="R5022" s="181">
        <f>R5019-R5020</f>
        <v>-18.923152394704658</v>
      </c>
      <c r="S5022" s="132"/>
      <c r="T5022" s="146"/>
      <c r="U5022" s="138">
        <f>U5019-U5020</f>
        <v>-52.185842487339386</v>
      </c>
      <c r="V5022" s="132"/>
      <c r="W5022" s="146"/>
      <c r="X5022" s="138">
        <f>X5019-X5020</f>
        <v>-577.67580935100818</v>
      </c>
      <c r="Y5022" s="132"/>
      <c r="Z5022" s="146"/>
      <c r="AA5022" s="138">
        <f>AA5019-AA5020</f>
        <v>-2332.68027617805</v>
      </c>
      <c r="AB5022" s="132"/>
      <c r="AC5022" s="146"/>
      <c r="AD5022" s="138">
        <f>AD5019-AD5020</f>
        <v>-6395.597816154901</v>
      </c>
      <c r="AE5022" s="132"/>
      <c r="AF5022" s="146"/>
      <c r="AG5022" s="138">
        <f>AG5019-AG5020</f>
        <v>-12630.428780895565</v>
      </c>
      <c r="AH5022" s="132"/>
      <c r="AI5022" s="146"/>
      <c r="AJ5022" s="138">
        <f>AJ5019-AJ5020</f>
        <v>-20394.038020428387</v>
      </c>
      <c r="AK5022" s="132"/>
      <c r="AL5022" s="146"/>
      <c r="AM5022" s="138">
        <f>AM5019-AM5020</f>
        <v>-28059.535521737176</v>
      </c>
      <c r="AN5022" s="132"/>
      <c r="AO5022" s="146"/>
      <c r="AP5022" s="138">
        <f>AP5019-AP5020</f>
        <v>-34938.512608343917</v>
      </c>
      <c r="AQ5022" s="132"/>
      <c r="AR5022" s="146"/>
      <c r="AS5022" s="138">
        <f>AS5019-AS5020</f>
        <v>-43500.884486906485</v>
      </c>
      <c r="AT5022" s="132"/>
      <c r="AU5022" s="146"/>
    </row>
    <row r="5023" spans="13:47" ht="14.5" x14ac:dyDescent="0.35">
      <c r="M5023" s="12"/>
      <c r="N5023" s="12"/>
      <c r="O5023" s="2" t="s">
        <v>191</v>
      </c>
      <c r="P5023" s="10"/>
      <c r="Q5023" s="2"/>
      <c r="R5023" s="181">
        <f>R5022/R5019</f>
        <v>-0.6089147984070381</v>
      </c>
      <c r="S5023" s="132"/>
      <c r="T5023" s="146"/>
      <c r="U5023" s="138">
        <f>U5022/U5019</f>
        <v>23.874475306251433</v>
      </c>
      <c r="V5023" s="132"/>
      <c r="W5023" s="146"/>
      <c r="X5023" s="138">
        <f>X5022/X5019</f>
        <v>1.0947551491160743</v>
      </c>
      <c r="Y5023" s="132"/>
      <c r="Z5023" s="146"/>
      <c r="AA5023" s="138">
        <f>AA5022/AA5019</f>
        <v>1.0219040750129564</v>
      </c>
      <c r="AB5023" s="132"/>
      <c r="AC5023" s="146"/>
      <c r="AD5023" s="138">
        <f>AD5022/AD5019</f>
        <v>1.0078794782538389</v>
      </c>
      <c r="AE5023" s="132"/>
      <c r="AF5023" s="146"/>
      <c r="AG5023" s="138">
        <f>AG5022/AG5019</f>
        <v>1.0039744273323918</v>
      </c>
      <c r="AH5023" s="132"/>
      <c r="AI5023" s="146"/>
      <c r="AJ5023" s="138">
        <f>AJ5022/AJ5019</f>
        <v>1.0024577225008031</v>
      </c>
      <c r="AK5023" s="132"/>
      <c r="AL5023" s="146"/>
      <c r="AM5023" s="138">
        <f>AM5022/AM5019</f>
        <v>1.0017851063599821</v>
      </c>
      <c r="AN5023" s="132"/>
      <c r="AO5023" s="146"/>
      <c r="AP5023" s="138">
        <f>AP5022/AP5019</f>
        <v>1.0014331364756446</v>
      </c>
      <c r="AQ5023" s="132"/>
      <c r="AR5023" s="146"/>
      <c r="AS5023" s="138">
        <f>AS5022/AS5019</f>
        <v>1.0011507245615465</v>
      </c>
      <c r="AT5023" s="132"/>
      <c r="AU5023" s="146"/>
    </row>
    <row r="5024" spans="13:47" x14ac:dyDescent="0.25">
      <c r="M5024" s="12"/>
      <c r="N5024" s="12"/>
      <c r="O5024" s="2" t="s">
        <v>26</v>
      </c>
      <c r="P5024" s="7">
        <v>12</v>
      </c>
      <c r="Q5024" s="2"/>
      <c r="R5024" s="181">
        <f>1-R5023/(3*F_GAMMA*R$29)</f>
        <v>1.3171298046434028</v>
      </c>
      <c r="S5024" s="133"/>
      <c r="T5024" s="146"/>
      <c r="U5024" s="138">
        <f>1-U5023/(3*F_GAMMA*U$29)</f>
        <v>-11.431362640925022</v>
      </c>
      <c r="V5024" s="133"/>
      <c r="W5024" s="146"/>
      <c r="X5024" s="138">
        <f>1-X5023/(3*F_GAMMA*X$29)</f>
        <v>0.42141306908036691</v>
      </c>
      <c r="Y5024" s="133"/>
      <c r="Z5024" s="146"/>
      <c r="AA5024" s="138">
        <f>1-AA5023/(3*F_GAMMA*AA$29)</f>
        <v>0.45251013886223712</v>
      </c>
      <c r="AB5024" s="133"/>
      <c r="AC5024" s="146"/>
      <c r="AD5024" s="138">
        <f>1-AD5023/(3*F_GAMMA*AD$29)</f>
        <v>0.44521888483458283</v>
      </c>
      <c r="AE5024" s="133"/>
      <c r="AF5024" s="146"/>
      <c r="AG5024" s="138">
        <f>1-AG5023/(3*F_GAMMA*AG$29)</f>
        <v>0.41584541701077804</v>
      </c>
      <c r="AH5024" s="133"/>
      <c r="AI5024" s="146"/>
      <c r="AJ5024" s="138">
        <f>1-AJ5023/(3*F_GAMMA*AJ$29)</f>
        <v>0.37647421763915789</v>
      </c>
      <c r="AK5024" s="133"/>
      <c r="AL5024" s="146"/>
      <c r="AM5024" s="138">
        <f>1-AM5023/(3*F_GAMMA*AM$29)</f>
        <v>0.31919178378399682</v>
      </c>
      <c r="AN5024" s="133"/>
      <c r="AO5024" s="146"/>
      <c r="AP5024" s="138">
        <f>1-AP5023/(3*F_GAMMA*AP$29)</f>
        <v>0.43758333444338238</v>
      </c>
      <c r="AQ5024" s="133"/>
      <c r="AR5024" s="146"/>
      <c r="AS5024" s="138">
        <f>1-AS5023/(3*F_GAMMA*AS$29)</f>
        <v>0.14644340882342211</v>
      </c>
      <c r="AT5024" s="133"/>
      <c r="AU5024" s="146"/>
    </row>
    <row r="5025" spans="13:47" x14ac:dyDescent="0.25">
      <c r="M5025" s="12"/>
      <c r="N5025" s="12"/>
      <c r="O5025" s="2" t="s">
        <v>71</v>
      </c>
      <c r="P5025" s="85">
        <v>5</v>
      </c>
      <c r="Q5025" s="2"/>
      <c r="R5025" s="179" t="e">
        <f>R5017/((N_6*R$27*R5024)*SQRT(R5023*R5019*R5021))</f>
        <v>#NUM!</v>
      </c>
      <c r="S5025" s="133"/>
      <c r="T5025" s="146"/>
      <c r="U5025" s="143">
        <f>U5017/((N_6*U$27*U5024)*SQRT(U5023*U5019*U5021))</f>
        <v>-29.921610612980817</v>
      </c>
      <c r="V5025" s="133"/>
      <c r="W5025" s="146"/>
      <c r="X5025" s="143">
        <f>X5017/((N_6*X$27*X5024)*SQRT(X5023*X5019*X5021))</f>
        <v>38.917192705823794</v>
      </c>
      <c r="Y5025" s="133"/>
      <c r="Z5025" s="146"/>
      <c r="AA5025" s="143">
        <f>AA5017/((N_6*AA$27*AA5024)*SQRT(AA5023*AA5019*AA5021))</f>
        <v>16.987104072030988</v>
      </c>
      <c r="AB5025" s="133"/>
      <c r="AC5025" s="146"/>
      <c r="AD5025" s="143">
        <f>AD5017/((N_6*AD$27*AD5024)*SQRT(AD5023*AD5019*AD5021))</f>
        <v>10.407843689289061</v>
      </c>
      <c r="AE5025" s="133"/>
      <c r="AF5025" s="146"/>
      <c r="AG5025" s="143">
        <f>AG5017/((N_6*AG$27*AG5024)*SQRT(AG5023*AG5019*AG5021))</f>
        <v>8.0690038935155197</v>
      </c>
      <c r="AH5025" s="133"/>
      <c r="AI5025" s="146"/>
      <c r="AJ5025" s="143">
        <f>AJ5017/((N_6*AJ$27*AJ5024)*SQRT(AJ5023*AJ5019*AJ5021))</f>
        <v>7.2439547511161804</v>
      </c>
      <c r="AK5025" s="133"/>
      <c r="AL5025" s="146"/>
      <c r="AM5025" s="143">
        <f>AM5017/((N_6*AM$27*AM5024)*SQRT(AM5023*AM5019*AM5021))</f>
        <v>7.7261384828651529</v>
      </c>
      <c r="AN5025" s="133"/>
      <c r="AO5025" s="146"/>
      <c r="AP5025" s="143">
        <f>AP5017/((N_6*AP$27*AP5024)*SQRT(AP5023*AP5019*AP5021))</f>
        <v>5.735118711913783</v>
      </c>
      <c r="AQ5025" s="133"/>
      <c r="AR5025" s="146"/>
      <c r="AS5025" s="143">
        <f>AS5017/((N_6*AS$27*AS5024)*SQRT(AS5023*AS5019*AS5021))</f>
        <v>20.174415683610093</v>
      </c>
      <c r="AT5025" s="133"/>
      <c r="AU5025" s="146"/>
    </row>
    <row r="5026" spans="13:47" x14ac:dyDescent="0.25">
      <c r="M5026" s="12"/>
      <c r="N5026" s="12"/>
      <c r="O5026" s="2" t="s">
        <v>73</v>
      </c>
      <c r="P5026" s="85">
        <v>5</v>
      </c>
      <c r="Q5026" s="2"/>
      <c r="R5026" s="179">
        <f>R5017/((N_6*R$27*0.667)*SQRT(R5027*R5019*R5021))</f>
        <v>181.03262520883942</v>
      </c>
      <c r="S5026" s="133"/>
      <c r="T5026" s="155"/>
      <c r="U5026" s="143">
        <f>U5017/((N_6*U$27*0.667)*SQRT(U5027*U5019*U5021))</f>
        <v>3131.6782092311073</v>
      </c>
      <c r="V5026" s="133"/>
      <c r="W5026" s="155"/>
      <c r="X5026" s="143">
        <f>X5017/((N_6*X$27*0.667)*SQRT(X5027*X5019*X5021))</f>
        <v>32.394300621665842</v>
      </c>
      <c r="Y5026" s="133"/>
      <c r="Z5026" s="155"/>
      <c r="AA5026" s="143">
        <f>AA5017/((N_6*AA$27*0.667)*SQRT(AA5027*AA5019*AA5021))</f>
        <v>14.769659929254106</v>
      </c>
      <c r="AB5026" s="133"/>
      <c r="AC5026" s="155"/>
      <c r="AD5026" s="143">
        <f>AD5017/((N_6*AD$27*0.667)*SQRT(AD5027*AD5019*AD5021))</f>
        <v>8.9625164683958634</v>
      </c>
      <c r="AE5026" s="133"/>
      <c r="AF5026" s="155"/>
      <c r="AG5026" s="143">
        <f>AG5017/((N_6*AG$27*0.667)*SQRT(AG5027*AG5019*AG5021))</f>
        <v>6.6596366110024219</v>
      </c>
      <c r="AH5026" s="133"/>
      <c r="AI5026" s="155"/>
      <c r="AJ5026" s="143">
        <f>AJ5017/((N_6*AJ$27*0.667)*SQRT(AJ5027*AJ5019*AJ5021))</f>
        <v>5.5920747716591865</v>
      </c>
      <c r="AK5026" s="133"/>
      <c r="AL5026" s="155"/>
      <c r="AM5026" s="143">
        <f>AM5017/((N_6*AM$27*0.667)*SQRT(AM5027*AM5019*AM5021))</f>
        <v>5.2839826086070536</v>
      </c>
      <c r="AN5026" s="133"/>
      <c r="AO5026" s="155"/>
      <c r="AP5026" s="143">
        <f>AP5017/((N_6*AP$27*0.667)*SQRT(AP5027*AP5019*AP5021))</f>
        <v>4.8872782904802587</v>
      </c>
      <c r="AQ5026" s="133"/>
      <c r="AR5026" s="155"/>
      <c r="AS5026" s="143">
        <f>AS5017/((N_6*AS$27*0.667)*SQRT(AS5027*AS5019*AS5021))</f>
        <v>7.0879680001077947</v>
      </c>
      <c r="AT5026" s="133"/>
      <c r="AU5026" s="155"/>
    </row>
    <row r="5027" spans="13:47" ht="15.5" x14ac:dyDescent="0.4">
      <c r="M5027" s="12"/>
      <c r="N5027" s="12"/>
      <c r="O5027" s="2" t="s">
        <v>192</v>
      </c>
      <c r="P5027" s="85">
        <v>10</v>
      </c>
      <c r="Q5027" s="2"/>
      <c r="R5027" s="181">
        <f>F_GAMMA*R$29</f>
        <v>0.64002688015162901</v>
      </c>
      <c r="S5027" s="133"/>
      <c r="T5027" s="155"/>
      <c r="U5027" s="138">
        <f>F_GAMMA*U$29</f>
        <v>0.64016782916606918</v>
      </c>
      <c r="V5027" s="133"/>
      <c r="W5027" s="155"/>
      <c r="X5027" s="138">
        <f>F_GAMMA*X$29</f>
        <v>0.6307062319203669</v>
      </c>
      <c r="Y5027" s="133"/>
      <c r="Z5027" s="155"/>
      <c r="AA5027" s="138">
        <f>F_GAMMA*AA$29</f>
        <v>0.62217534213893466</v>
      </c>
      <c r="AB5027" s="133"/>
      <c r="AC5027" s="155"/>
      <c r="AD5027" s="138">
        <f>F_GAMMA*AD$29</f>
        <v>0.60557184969146072</v>
      </c>
      <c r="AE5027" s="133"/>
      <c r="AF5027" s="155"/>
      <c r="AG5027" s="138">
        <f>F_GAMMA*AG$29</f>
        <v>0.57289312142622573</v>
      </c>
      <c r="AH5027" s="133"/>
      <c r="AI5027" s="155"/>
      <c r="AJ5027" s="138">
        <f>F_GAMMA*AJ$29</f>
        <v>0.53590819116049981</v>
      </c>
      <c r="AK5027" s="133"/>
      <c r="AL5027" s="155"/>
      <c r="AM5027" s="138">
        <f>F_GAMMA*AM$29</f>
        <v>0.49048815926850342</v>
      </c>
      <c r="AN5027" s="133"/>
      <c r="AO5027" s="155"/>
      <c r="AP5027" s="138">
        <f>F_GAMMA*AP$29</f>
        <v>0.59352979016280105</v>
      </c>
      <c r="AQ5027" s="133"/>
      <c r="AR5027" s="155"/>
      <c r="AS5027" s="138">
        <f>F_GAMMA*AS$29</f>
        <v>0.39097221161068291</v>
      </c>
      <c r="AT5027" s="133"/>
      <c r="AU5027" s="155"/>
    </row>
    <row r="5028" spans="13:47" x14ac:dyDescent="0.25">
      <c r="M5028" s="12"/>
      <c r="N5028" s="12"/>
      <c r="O5028" s="2" t="s">
        <v>193</v>
      </c>
      <c r="P5028" s="134"/>
      <c r="Q5028" s="2"/>
      <c r="R5028" s="181" t="e">
        <f>IF(R5023&lt;R5027,R5025,R5026)</f>
        <v>#NUM!</v>
      </c>
      <c r="S5028" s="133"/>
      <c r="T5028" s="155"/>
      <c r="U5028" s="138">
        <f>IF(U5023&lt;U5027,U5025,U5026)</f>
        <v>3131.6782092311073</v>
      </c>
      <c r="V5028" s="133"/>
      <c r="W5028" s="155"/>
      <c r="X5028" s="138">
        <f>IF(X5023&lt;X5027,X5025,X5026)</f>
        <v>32.394300621665842</v>
      </c>
      <c r="Y5028" s="133"/>
      <c r="Z5028" s="155"/>
      <c r="AA5028" s="138">
        <f>IF(AA5023&lt;AA5027,AA5025,AA5026)</f>
        <v>14.769659929254106</v>
      </c>
      <c r="AB5028" s="133"/>
      <c r="AC5028" s="155"/>
      <c r="AD5028" s="138">
        <f>IF(AD5023&lt;AD5027,AD5025,AD5026)</f>
        <v>8.9625164683958634</v>
      </c>
      <c r="AE5028" s="133"/>
      <c r="AF5028" s="155"/>
      <c r="AG5028" s="138">
        <f>IF(AG5023&lt;AG5027,AG5025,AG5026)</f>
        <v>6.6596366110024219</v>
      </c>
      <c r="AH5028" s="133"/>
      <c r="AI5028" s="155"/>
      <c r="AJ5028" s="138">
        <f>IF(AJ5023&lt;AJ5027,AJ5025,AJ5026)</f>
        <v>5.5920747716591865</v>
      </c>
      <c r="AK5028" s="133"/>
      <c r="AL5028" s="155"/>
      <c r="AM5028" s="138">
        <f>IF(AM5023&lt;AM5027,AM5025,AM5026)</f>
        <v>5.2839826086070536</v>
      </c>
      <c r="AN5028" s="133"/>
      <c r="AO5028" s="155"/>
      <c r="AP5028" s="138">
        <f>IF(AP5023&lt;AP5027,AP5025,AP5026)</f>
        <v>4.8872782904802587</v>
      </c>
      <c r="AQ5028" s="133"/>
      <c r="AR5028" s="155"/>
      <c r="AS5028" s="138">
        <f>IF(AS5023&lt;AS5027,AS5025,AS5026)</f>
        <v>7.0879680001077947</v>
      </c>
      <c r="AT5028" s="133"/>
      <c r="AU5028" s="155"/>
    </row>
    <row r="5029" spans="13:47" ht="13" x14ac:dyDescent="0.3">
      <c r="M5029" s="12"/>
      <c r="N5029" s="12"/>
      <c r="O5029" s="9" t="s">
        <v>194</v>
      </c>
      <c r="P5029" s="1"/>
      <c r="Q5029" s="1"/>
      <c r="R5029" s="135"/>
      <c r="S5029" s="132">
        <f>IF(R5022&lt;=0,W_max,ABS(R$23-R5028))</f>
        <v>7174</v>
      </c>
      <c r="T5029" s="151">
        <f>R5017</f>
        <v>13196.739195853768</v>
      </c>
      <c r="U5029" s="135"/>
      <c r="V5029" s="132">
        <f>IF(U5022&lt;=0,W_max,ABS(U$23-U5028))</f>
        <v>7174</v>
      </c>
      <c r="W5029" s="151">
        <f>U5017</f>
        <v>16048.951801595909</v>
      </c>
      <c r="X5029" s="135"/>
      <c r="Y5029" s="132">
        <f>IF(X5022&lt;=0,W_max,ABS(X$23-X5028))</f>
        <v>7174</v>
      </c>
      <c r="Z5029" s="151">
        <f>X5017</f>
        <v>39690.967652998814</v>
      </c>
      <c r="AA5029" s="135"/>
      <c r="AB5029" s="132">
        <f>IF(AA5022&lt;=0,W_max,ABS(AA$23-AA5028))</f>
        <v>7174</v>
      </c>
      <c r="AC5029" s="151">
        <f>AA5017</f>
        <v>77307.874050597005</v>
      </c>
      <c r="AD5029" s="135"/>
      <c r="AE5029" s="132">
        <f>IF(AD5022&lt;=0,W_max,ABS(AD$23-AD5028))</f>
        <v>7174</v>
      </c>
      <c r="AF5029" s="151">
        <f>AD5017</f>
        <v>127142.98974271072</v>
      </c>
      <c r="AG5029" s="135"/>
      <c r="AH5029" s="132">
        <f>IF(AG5022&lt;=0,W_max,ABS(AG$23-AG5028))</f>
        <v>7174</v>
      </c>
      <c r="AI5029" s="151">
        <f>AG5017</f>
        <v>178327.83136592014</v>
      </c>
      <c r="AJ5029" s="135"/>
      <c r="AK5029" s="132">
        <f>IF(AJ5022&lt;=0,W_max,ABS(AJ$23-AJ5028))</f>
        <v>7174</v>
      </c>
      <c r="AL5029" s="151">
        <f>AJ5017</f>
        <v>226429.02628286518</v>
      </c>
      <c r="AM5029" s="135"/>
      <c r="AN5029" s="132">
        <f>IF(AM5022&lt;=0,W_max,ABS(AM$23-AM5028))</f>
        <v>7174</v>
      </c>
      <c r="AO5029" s="151">
        <f>AM5017</f>
        <v>265505.84081015468</v>
      </c>
      <c r="AP5029" s="135"/>
      <c r="AQ5029" s="132">
        <f>IF(AP5022&lt;=0,W_max,ABS(AP$23-AP5028))</f>
        <v>7174</v>
      </c>
      <c r="AR5029" s="151">
        <f>AP5017</f>
        <v>296216.46244665014</v>
      </c>
      <c r="AS5029" s="135"/>
      <c r="AT5029" s="132">
        <f>IF(AS5022&lt;=0,W_max,ABS(AS$23-AS5028))</f>
        <v>7174</v>
      </c>
      <c r="AU5029" s="151">
        <f>AS5017</f>
        <v>330479.33091290301</v>
      </c>
    </row>
    <row r="5030" spans="13:47" ht="13" x14ac:dyDescent="0.25">
      <c r="M5030" s="12"/>
      <c r="N5030" s="12"/>
      <c r="O5030" s="2"/>
      <c r="P5030" s="85"/>
      <c r="Q5030" s="2"/>
      <c r="R5030" s="18"/>
      <c r="S5030" s="150"/>
      <c r="T5030" s="148"/>
      <c r="U5030" s="157"/>
      <c r="V5030" s="1"/>
      <c r="W5030" s="147"/>
      <c r="X5030" s="157"/>
      <c r="Y5030" s="1"/>
      <c r="Z5030" s="147"/>
      <c r="AA5030" s="157"/>
      <c r="AB5030" s="1"/>
      <c r="AC5030" s="147"/>
      <c r="AD5030" s="157"/>
      <c r="AE5030" s="1"/>
      <c r="AF5030" s="147"/>
      <c r="AG5030" s="157"/>
      <c r="AH5030" s="1"/>
      <c r="AI5030" s="147"/>
      <c r="AJ5030" s="157"/>
      <c r="AK5030" s="1"/>
      <c r="AL5030" s="147"/>
      <c r="AM5030" s="157"/>
      <c r="AN5030" s="1"/>
      <c r="AO5030" s="147"/>
      <c r="AP5030" s="157"/>
      <c r="AQ5030" s="1"/>
      <c r="AR5030" s="147"/>
      <c r="AS5030" s="157"/>
      <c r="AT5030" s="1"/>
      <c r="AU5030" s="147"/>
    </row>
    <row r="5031" spans="13:47" ht="14" x14ac:dyDescent="0.3">
      <c r="M5031" s="12"/>
      <c r="N5031" s="12"/>
      <c r="O5031" s="23" t="s">
        <v>238</v>
      </c>
      <c r="P5031" s="20"/>
      <c r="Q5031" s="20"/>
      <c r="R5031" s="181">
        <f>R5017*1.02</f>
        <v>13460.673979770843</v>
      </c>
      <c r="S5031" s="128" t="s">
        <v>185</v>
      </c>
      <c r="T5031" s="149" t="s">
        <v>186</v>
      </c>
      <c r="U5031" s="143">
        <f>U5017*1.01</f>
        <v>16209.441319611869</v>
      </c>
      <c r="V5031" s="128" t="s">
        <v>185</v>
      </c>
      <c r="W5031" s="153" t="s">
        <v>186</v>
      </c>
      <c r="X5031" s="143">
        <f>X5017*1.01</f>
        <v>40087.877329528805</v>
      </c>
      <c r="Y5031" s="128" t="s">
        <v>185</v>
      </c>
      <c r="Z5031" s="153" t="s">
        <v>186</v>
      </c>
      <c r="AA5031" s="143">
        <f>AA5017*1.01</f>
        <v>78080.952791102973</v>
      </c>
      <c r="AB5031" s="128" t="s">
        <v>185</v>
      </c>
      <c r="AC5031" s="153" t="s">
        <v>186</v>
      </c>
      <c r="AD5031" s="143">
        <f>AD5017*1.01</f>
        <v>128414.41964013783</v>
      </c>
      <c r="AE5031" s="128" t="s">
        <v>185</v>
      </c>
      <c r="AF5031" s="153" t="s">
        <v>186</v>
      </c>
      <c r="AG5031" s="143">
        <f>AG5017*1.01</f>
        <v>180111.10967957933</v>
      </c>
      <c r="AH5031" s="128" t="s">
        <v>185</v>
      </c>
      <c r="AI5031" s="153" t="s">
        <v>186</v>
      </c>
      <c r="AJ5031" s="143">
        <f>AJ5017*1.01</f>
        <v>228693.31654569381</v>
      </c>
      <c r="AK5031" s="128" t="s">
        <v>185</v>
      </c>
      <c r="AL5031" s="153" t="s">
        <v>186</v>
      </c>
      <c r="AM5031" s="143">
        <f>AM5017*1.01</f>
        <v>268160.89921825624</v>
      </c>
      <c r="AN5031" s="128" t="s">
        <v>185</v>
      </c>
      <c r="AO5031" s="153" t="s">
        <v>186</v>
      </c>
      <c r="AP5031" s="143">
        <f>AP5017*1.01</f>
        <v>299178.62707111664</v>
      </c>
      <c r="AQ5031" s="128" t="s">
        <v>185</v>
      </c>
      <c r="AR5031" s="153" t="s">
        <v>186</v>
      </c>
      <c r="AS5031" s="143">
        <f>AS5017*1.01</f>
        <v>333784.12422203203</v>
      </c>
      <c r="AT5031" s="128" t="s">
        <v>185</v>
      </c>
      <c r="AU5031" s="153" t="s">
        <v>186</v>
      </c>
    </row>
    <row r="5032" spans="13:47" ht="14" x14ac:dyDescent="0.3">
      <c r="M5032" s="12"/>
      <c r="N5032" s="12"/>
      <c r="O5032" s="20"/>
      <c r="P5032" s="20"/>
      <c r="Q5032" s="23"/>
      <c r="R5032" s="139"/>
      <c r="S5032" s="130" t="s">
        <v>228</v>
      </c>
      <c r="T5032" s="131" t="s">
        <v>187</v>
      </c>
      <c r="U5032" s="144"/>
      <c r="V5032" s="130" t="s">
        <v>228</v>
      </c>
      <c r="W5032" s="154" t="s">
        <v>187</v>
      </c>
      <c r="X5032" s="144"/>
      <c r="Y5032" s="130" t="s">
        <v>228</v>
      </c>
      <c r="Z5032" s="154" t="s">
        <v>187</v>
      </c>
      <c r="AA5032" s="144"/>
      <c r="AB5032" s="130" t="s">
        <v>228</v>
      </c>
      <c r="AC5032" s="154" t="s">
        <v>187</v>
      </c>
      <c r="AD5032" s="144"/>
      <c r="AE5032" s="130" t="s">
        <v>228</v>
      </c>
      <c r="AF5032" s="154" t="s">
        <v>187</v>
      </c>
      <c r="AG5032" s="144"/>
      <c r="AH5032" s="130" t="s">
        <v>228</v>
      </c>
      <c r="AI5032" s="154" t="s">
        <v>187</v>
      </c>
      <c r="AJ5032" s="144"/>
      <c r="AK5032" s="130" t="s">
        <v>228</v>
      </c>
      <c r="AL5032" s="154" t="s">
        <v>187</v>
      </c>
      <c r="AM5032" s="144"/>
      <c r="AN5032" s="130" t="s">
        <v>228</v>
      </c>
      <c r="AO5032" s="154" t="s">
        <v>187</v>
      </c>
      <c r="AP5032" s="144"/>
      <c r="AQ5032" s="130" t="s">
        <v>228</v>
      </c>
      <c r="AR5032" s="154" t="s">
        <v>187</v>
      </c>
      <c r="AS5032" s="144"/>
      <c r="AT5032" s="130" t="s">
        <v>228</v>
      </c>
      <c r="AU5032" s="154" t="s">
        <v>187</v>
      </c>
    </row>
    <row r="5033" spans="13:47" x14ac:dyDescent="0.25">
      <c r="M5033" s="12"/>
      <c r="N5033" s="12"/>
      <c r="O5033" s="7" t="s">
        <v>188</v>
      </c>
      <c r="P5033" s="7"/>
      <c r="Q5033" s="7"/>
      <c r="R5033" s="181">
        <f>P_1_minW-(R5031^2*R_up)+dpup_minQ</f>
        <v>28.27123166438551</v>
      </c>
      <c r="S5033" s="132"/>
      <c r="T5033" s="145"/>
      <c r="U5033" s="138">
        <f>P_1_minW-(U5031^2*R_up)+dpup_minQ</f>
        <v>-4.2502859347431334</v>
      </c>
      <c r="V5033" s="132"/>
      <c r="W5033" s="145"/>
      <c r="X5033" s="138">
        <f>P_1_minW-(X5031^2*R_up)+dpup_minQ</f>
        <v>-540.30260113237171</v>
      </c>
      <c r="Y5033" s="132"/>
      <c r="Z5033" s="145"/>
      <c r="AA5033" s="138">
        <f>P_1_minW-(AA5031^2*R_up)+dpup_minQ</f>
        <v>-2330.5826577426365</v>
      </c>
      <c r="AB5033" s="132"/>
      <c r="AC5033" s="145"/>
      <c r="AD5033" s="138">
        <f>P_1_minW-(AD5031^2*R_up)+dpup_minQ</f>
        <v>-6475.1648402730225</v>
      </c>
      <c r="AE5033" s="132"/>
      <c r="AF5033" s="145"/>
      <c r="AG5033" s="138">
        <f>P_1_minW-(AG5031^2*R_up)+dpup_minQ</f>
        <v>-12835.315907404971</v>
      </c>
      <c r="AH5033" s="132"/>
      <c r="AI5033" s="145"/>
      <c r="AJ5033" s="138">
        <f>P_1_minW-(AJ5031^2*R_up)+dpup_minQ</f>
        <v>-20754.973692652406</v>
      </c>
      <c r="AK5033" s="132"/>
      <c r="AL5033" s="145"/>
      <c r="AM5033" s="138">
        <f>P_1_minW-(AM5031^2*R_up)+dpup_minQ</f>
        <v>-28574.547693737502</v>
      </c>
      <c r="AN5033" s="132"/>
      <c r="AO5033" s="145"/>
      <c r="AP5033" s="138">
        <f>P_1_minW-(AP5031^2*R_up)+dpup_minQ</f>
        <v>-35591.792219785042</v>
      </c>
      <c r="AQ5033" s="132"/>
      <c r="AR5033" s="145"/>
      <c r="AS5033" s="138">
        <f>P_1_minW-(AS5031^2*R_up)+dpup_minQ</f>
        <v>-44326.267773106716</v>
      </c>
      <c r="AT5033" s="132"/>
      <c r="AU5033" s="145"/>
    </row>
    <row r="5034" spans="13:47" x14ac:dyDescent="0.25">
      <c r="M5034" s="12"/>
      <c r="N5034" s="12"/>
      <c r="O5034" s="7" t="s">
        <v>189</v>
      </c>
      <c r="P5034" s="1"/>
      <c r="Q5034" s="7"/>
      <c r="R5034" s="181">
        <f>P_2_minW+(R5031^2*R_dn)-dpdn_minQ</f>
        <v>50</v>
      </c>
      <c r="S5034" s="132"/>
      <c r="T5034" s="146"/>
      <c r="U5034" s="138">
        <f>P_2_minW+(U5031^2*R_dn)-dpdn_minQ</f>
        <v>50</v>
      </c>
      <c r="V5034" s="132"/>
      <c r="W5034" s="146"/>
      <c r="X5034" s="138">
        <f>P_2_minW+(X5031^2*R_dn)-dpdn_minQ</f>
        <v>50</v>
      </c>
      <c r="Y5034" s="132"/>
      <c r="Z5034" s="146"/>
      <c r="AA5034" s="138">
        <f>P_2_minW+(AA5031^2*R_dn)-dpdn_minQ</f>
        <v>50</v>
      </c>
      <c r="AB5034" s="132"/>
      <c r="AC5034" s="146"/>
      <c r="AD5034" s="138">
        <f>P_2_minW+(AD5031^2*R_dn)-dpdn_minQ</f>
        <v>50</v>
      </c>
      <c r="AE5034" s="132"/>
      <c r="AF5034" s="146"/>
      <c r="AG5034" s="138">
        <f>P_2_minW+(AG5031^2*R_dn)-dpdn_minQ</f>
        <v>50</v>
      </c>
      <c r="AH5034" s="132"/>
      <c r="AI5034" s="146"/>
      <c r="AJ5034" s="138">
        <f>P_2_minW+(AJ5031^2*R_dn)-dpdn_minQ</f>
        <v>50</v>
      </c>
      <c r="AK5034" s="132"/>
      <c r="AL5034" s="146"/>
      <c r="AM5034" s="138">
        <f>P_2_minW+(AM5031^2*R_dn)-dpdn_minQ</f>
        <v>50</v>
      </c>
      <c r="AN5034" s="132"/>
      <c r="AO5034" s="146"/>
      <c r="AP5034" s="138">
        <f>P_2_minW+(AP5031^2*R_dn)-dpdn_minQ</f>
        <v>50</v>
      </c>
      <c r="AQ5034" s="132"/>
      <c r="AR5034" s="146"/>
      <c r="AS5034" s="138">
        <f>P_2_minW+(AS5031^2*R_dn)-dpdn_minQ</f>
        <v>50</v>
      </c>
      <c r="AT5034" s="132"/>
      <c r="AU5034" s="146"/>
    </row>
    <row r="5035" spans="13:47" x14ac:dyDescent="0.25">
      <c r="M5035" s="12"/>
      <c r="N5035" s="12"/>
      <c r="O5035" s="7" t="s">
        <v>234</v>
      </c>
      <c r="P5035" s="1"/>
      <c r="Q5035" s="7"/>
      <c r="R5035" s="179">
        <f>'Valve Sizing'!G$8*R5033/P_1_maxW</f>
        <v>0.13637538816643585</v>
      </c>
      <c r="S5035" s="132"/>
      <c r="T5035" s="146"/>
      <c r="U5035" s="143">
        <f>'Valve Sizing'!$G$8*U5033/P_1_maxW</f>
        <v>-2.0502622632431255E-2</v>
      </c>
      <c r="V5035" s="132"/>
      <c r="W5035" s="146"/>
      <c r="X5035" s="143">
        <f>'Valve Sizing'!$G$8*X5033/P_1_maxW</f>
        <v>-2.6063235529135094</v>
      </c>
      <c r="Y5035" s="132"/>
      <c r="Z5035" s="146"/>
      <c r="AA5035" s="143">
        <f>'Valve Sizing'!$G$8*AA5033/P_1_maxW</f>
        <v>-11.242315806283216</v>
      </c>
      <c r="AB5035" s="132"/>
      <c r="AC5035" s="146"/>
      <c r="AD5035" s="143">
        <f>'Valve Sizing'!$G$8*AD5033/P_1_maxW</f>
        <v>-31.235042357433304</v>
      </c>
      <c r="AE5035" s="132"/>
      <c r="AF5035" s="146"/>
      <c r="AG5035" s="143">
        <f>'Valve Sizing'!$G$8*AG5033/P_1_maxW</f>
        <v>-61.915278750174267</v>
      </c>
      <c r="AH5035" s="132"/>
      <c r="AI5035" s="146"/>
      <c r="AJ5035" s="143">
        <f>'Valve Sizing'!$G$8*AJ5033/P_1_maxW</f>
        <v>-100.11829789804661</v>
      </c>
      <c r="AK5035" s="132"/>
      <c r="AL5035" s="146"/>
      <c r="AM5035" s="143">
        <f>'Valve Sizing'!$G$8*AM5033/P_1_maxW</f>
        <v>-137.83853068993932</v>
      </c>
      <c r="AN5035" s="132"/>
      <c r="AO5035" s="146"/>
      <c r="AP5035" s="143">
        <f>'Valve Sizing'!$G$8*AP5033/P_1_maxW</f>
        <v>-171.68846894020942</v>
      </c>
      <c r="AQ5035" s="132"/>
      <c r="AR5035" s="146"/>
      <c r="AS5035" s="143">
        <f>'Valve Sizing'!$G$8*AS5033/P_1_maxW</f>
        <v>-213.82202393190983</v>
      </c>
      <c r="AT5035" s="132"/>
      <c r="AU5035" s="146"/>
    </row>
    <row r="5036" spans="13:47" x14ac:dyDescent="0.25">
      <c r="M5036" s="12"/>
      <c r="N5036" s="12"/>
      <c r="O5036" s="7" t="s">
        <v>190</v>
      </c>
      <c r="P5036" s="1"/>
      <c r="Q5036" s="7"/>
      <c r="R5036" s="181">
        <f>R5033-R5034</f>
        <v>-21.72876833561449</v>
      </c>
      <c r="S5036" s="132"/>
      <c r="T5036" s="146"/>
      <c r="U5036" s="138">
        <f>U5033-U5034</f>
        <v>-54.250285934743133</v>
      </c>
      <c r="V5036" s="132"/>
      <c r="W5036" s="146"/>
      <c r="X5036" s="138">
        <f>X5033-X5034</f>
        <v>-590.30260113237171</v>
      </c>
      <c r="Y5036" s="132"/>
      <c r="Z5036" s="146"/>
      <c r="AA5036" s="138">
        <f>AA5033-AA5034</f>
        <v>-2380.5826577426365</v>
      </c>
      <c r="AB5036" s="132"/>
      <c r="AC5036" s="146"/>
      <c r="AD5036" s="138">
        <f>AD5033-AD5034</f>
        <v>-6525.1648402730225</v>
      </c>
      <c r="AE5036" s="132"/>
      <c r="AF5036" s="146"/>
      <c r="AG5036" s="138">
        <f>AG5033-AG5034</f>
        <v>-12885.315907404971</v>
      </c>
      <c r="AH5036" s="132"/>
      <c r="AI5036" s="146"/>
      <c r="AJ5036" s="138">
        <f>AJ5033-AJ5034</f>
        <v>-20804.973692652406</v>
      </c>
      <c r="AK5036" s="132"/>
      <c r="AL5036" s="146"/>
      <c r="AM5036" s="138">
        <f>AM5033-AM5034</f>
        <v>-28624.547693737502</v>
      </c>
      <c r="AN5036" s="132"/>
      <c r="AO5036" s="146"/>
      <c r="AP5036" s="138">
        <f>AP5033-AP5034</f>
        <v>-35641.792219785042</v>
      </c>
      <c r="AQ5036" s="132"/>
      <c r="AR5036" s="146"/>
      <c r="AS5036" s="138">
        <f>AS5033-AS5034</f>
        <v>-44376.267773106716</v>
      </c>
      <c r="AT5036" s="132"/>
      <c r="AU5036" s="146"/>
    </row>
    <row r="5037" spans="13:47" ht="14.5" x14ac:dyDescent="0.35">
      <c r="M5037" s="12"/>
      <c r="N5037" s="12"/>
      <c r="O5037" s="2" t="s">
        <v>191</v>
      </c>
      <c r="P5037" s="10"/>
      <c r="Q5037" s="2"/>
      <c r="R5037" s="181">
        <f>R5036/R5033</f>
        <v>-0.76858230280031115</v>
      </c>
      <c r="S5037" s="132"/>
      <c r="T5037" s="146"/>
      <c r="U5037" s="138">
        <f>U5036/U5033</f>
        <v>12.763914420741614</v>
      </c>
      <c r="V5037" s="132"/>
      <c r="W5037" s="146"/>
      <c r="X5037" s="138">
        <f>X5036/X5033</f>
        <v>1.0925407353124148</v>
      </c>
      <c r="Y5037" s="132"/>
      <c r="Z5037" s="146"/>
      <c r="AA5037" s="138">
        <f>AA5036/AA5033</f>
        <v>1.0214538625497322</v>
      </c>
      <c r="AB5037" s="132"/>
      <c r="AC5037" s="146"/>
      <c r="AD5037" s="138">
        <f>AD5036/AD5033</f>
        <v>1.00772181114047</v>
      </c>
      <c r="AE5037" s="132"/>
      <c r="AF5037" s="146"/>
      <c r="AG5037" s="138">
        <f>AG5036/AG5033</f>
        <v>1.0038955020944327</v>
      </c>
      <c r="AH5037" s="132"/>
      <c r="AI5037" s="146"/>
      <c r="AJ5037" s="138">
        <f>AJ5036/AJ5033</f>
        <v>1.0024090611118288</v>
      </c>
      <c r="AK5037" s="132"/>
      <c r="AL5037" s="146"/>
      <c r="AM5037" s="138">
        <f>AM5036/AM5033</f>
        <v>1.0017498089746126</v>
      </c>
      <c r="AN5037" s="132"/>
      <c r="AO5037" s="146"/>
      <c r="AP5037" s="138">
        <f>AP5036/AP5033</f>
        <v>1.0014048182707755</v>
      </c>
      <c r="AQ5037" s="132"/>
      <c r="AR5037" s="146"/>
      <c r="AS5037" s="138">
        <f>AS5036/AS5033</f>
        <v>1.001127999322116</v>
      </c>
      <c r="AT5037" s="132"/>
      <c r="AU5037" s="146"/>
    </row>
    <row r="5038" spans="13:47" x14ac:dyDescent="0.25">
      <c r="M5038" s="12"/>
      <c r="N5038" s="12"/>
      <c r="O5038" s="2" t="s">
        <v>26</v>
      </c>
      <c r="P5038" s="7">
        <v>12</v>
      </c>
      <c r="Q5038" s="2"/>
      <c r="R5038" s="181">
        <f>1-R5037/(3*F_GAMMA*R$29)</f>
        <v>1.4002864705818949</v>
      </c>
      <c r="S5038" s="133"/>
      <c r="T5038" s="146"/>
      <c r="U5038" s="138">
        <f>1-U5037/(3*F_GAMMA*U$29)</f>
        <v>-5.6461292592438088</v>
      </c>
      <c r="V5038" s="133"/>
      <c r="W5038" s="146"/>
      <c r="X5038" s="138">
        <f>1-X5037/(3*F_GAMMA*X$29)</f>
        <v>0.42258340464579436</v>
      </c>
      <c r="Y5038" s="133"/>
      <c r="Z5038" s="146"/>
      <c r="AA5038" s="138">
        <f>1-AA5037/(3*F_GAMMA*AA$29)</f>
        <v>0.4527513422833801</v>
      </c>
      <c r="AB5038" s="133"/>
      <c r="AC5038" s="146"/>
      <c r="AD5038" s="138">
        <f>1-AD5037/(3*F_GAMMA*AD$29)</f>
        <v>0.44530567173605962</v>
      </c>
      <c r="AE5038" s="133"/>
      <c r="AF5038" s="146"/>
      <c r="AG5038" s="138">
        <f>1-AG5037/(3*F_GAMMA*AG$29)</f>
        <v>0.41589133903649123</v>
      </c>
      <c r="AH5038" s="133"/>
      <c r="AI5038" s="146"/>
      <c r="AJ5038" s="138">
        <f>1-AJ5037/(3*F_GAMMA*AJ$29)</f>
        <v>0.37650448488130672</v>
      </c>
      <c r="AK5038" s="133"/>
      <c r="AL5038" s="146"/>
      <c r="AM5038" s="138">
        <f>1-AM5037/(3*F_GAMMA*AM$29)</f>
        <v>0.31921577171296278</v>
      </c>
      <c r="AN5038" s="133"/>
      <c r="AO5038" s="146"/>
      <c r="AP5038" s="138">
        <f>1-AP5037/(3*F_GAMMA*AP$29)</f>
        <v>0.43759923828136904</v>
      </c>
      <c r="AQ5038" s="133"/>
      <c r="AR5038" s="146"/>
      <c r="AS5038" s="138">
        <f>1-AS5037/(3*F_GAMMA*AS$29)</f>
        <v>0.14646278380605571</v>
      </c>
      <c r="AT5038" s="133"/>
      <c r="AU5038" s="146"/>
    </row>
    <row r="5039" spans="13:47" x14ac:dyDescent="0.25">
      <c r="M5039" s="12"/>
      <c r="N5039" s="12"/>
      <c r="O5039" s="2" t="s">
        <v>71</v>
      </c>
      <c r="P5039" s="85">
        <v>5</v>
      </c>
      <c r="Q5039" s="2"/>
      <c r="R5039" s="179" t="e">
        <f>R5031/((N_6*R$27*R5038)*SQRT(R5037*R5033*R5035))</f>
        <v>#NUM!</v>
      </c>
      <c r="S5039" s="133"/>
      <c r="T5039" s="146"/>
      <c r="U5039" s="143">
        <f>U5031/((N_6*U$27*U5038)*SQRT(U5037*U5033*U5035))</f>
        <v>-43.035734348004318</v>
      </c>
      <c r="V5039" s="133"/>
      <c r="W5039" s="146"/>
      <c r="X5039" s="143">
        <f>X5031/((N_6*X$27*X5038)*SQRT(X5037*X5033*X5035))</f>
        <v>38.320242301806033</v>
      </c>
      <c r="Y5039" s="133"/>
      <c r="Z5039" s="146"/>
      <c r="AA5039" s="143">
        <f>AA5031/((N_6*AA$27*AA5038)*SQRT(AA5037*AA5033*AA5035))</f>
        <v>16.799082111960761</v>
      </c>
      <c r="AB5039" s="133"/>
      <c r="AC5039" s="146"/>
      <c r="AD5039" s="143">
        <f>AD5031/((N_6*AD$27*AD5038)*SQRT(AD5037*AD5033*AD5035))</f>
        <v>10.300378221528735</v>
      </c>
      <c r="AE5039" s="133"/>
      <c r="AF5039" s="146"/>
      <c r="AG5039" s="143">
        <f>AG5031/((N_6*AG$27*AG5038)*SQRT(AG5037*AG5033*AG5035))</f>
        <v>7.9872870888529794</v>
      </c>
      <c r="AH5039" s="133"/>
      <c r="AI5039" s="146"/>
      <c r="AJ5039" s="143">
        <f>AJ5031/((N_6*AJ$27*AJ5038)*SQRT(AJ5037*AJ5033*AJ5035))</f>
        <v>7.1711317385439983</v>
      </c>
      <c r="AK5039" s="133"/>
      <c r="AL5039" s="146"/>
      <c r="AM5039" s="143">
        <f>AM5031/((N_6*AM$27*AM5038)*SQRT(AM5037*AM5033*AM5035))</f>
        <v>7.6486611023770479</v>
      </c>
      <c r="AN5039" s="133"/>
      <c r="AO5039" s="146"/>
      <c r="AP5039" s="143">
        <f>AP5031/((N_6*AP$27*AP5038)*SQRT(AP5037*AP5033*AP5035))</f>
        <v>5.677886926381615</v>
      </c>
      <c r="AQ5039" s="133"/>
      <c r="AR5039" s="146"/>
      <c r="AS5039" s="143">
        <f>AS5031/((N_6*AS$27*AS5038)*SQRT(AS5037*AS5033*AS5035))</f>
        <v>19.971342913344753</v>
      </c>
      <c r="AT5039" s="133"/>
      <c r="AU5039" s="146"/>
    </row>
    <row r="5040" spans="13:47" x14ac:dyDescent="0.25">
      <c r="M5040" s="12"/>
      <c r="N5040" s="12"/>
      <c r="O5040" s="2" t="s">
        <v>73</v>
      </c>
      <c r="P5040" s="85">
        <v>5</v>
      </c>
      <c r="Q5040" s="2"/>
      <c r="R5040" s="179">
        <f>R5031/((N_6*R$27*0.667)*SQRT(R5041*R5033*R5035))</f>
        <v>202.97813124762607</v>
      </c>
      <c r="S5040" s="133"/>
      <c r="T5040" s="147"/>
      <c r="U5040" s="143">
        <f>U5031/((N_6*U$27*0.667)*SQRT(U5041*U5033*U5035))</f>
        <v>1626.6691101322901</v>
      </c>
      <c r="V5040" s="133"/>
      <c r="W5040" s="155"/>
      <c r="X5040" s="143">
        <f>X5031/((N_6*X$27*0.667)*SQRT(X5041*X5033*X5035))</f>
        <v>31.953623119161342</v>
      </c>
      <c r="Y5040" s="133"/>
      <c r="Z5040" s="155"/>
      <c r="AA5040" s="143">
        <f>AA5031/((N_6*AA$27*0.667)*SQRT(AA5041*AA5033*AA5035))</f>
        <v>14.610747834797271</v>
      </c>
      <c r="AB5040" s="133"/>
      <c r="AC5040" s="155"/>
      <c r="AD5040" s="143">
        <f>AD5031/((N_6*AD$27*0.667)*SQRT(AD5041*AD5033*AD5035))</f>
        <v>8.8710097110013013</v>
      </c>
      <c r="AE5040" s="133"/>
      <c r="AF5040" s="155"/>
      <c r="AG5040" s="143">
        <f>AG5031/((N_6*AG$27*0.667)*SQRT(AG5041*AG5033*AG5035))</f>
        <v>6.5926616487449143</v>
      </c>
      <c r="AH5040" s="133"/>
      <c r="AI5040" s="155"/>
      <c r="AJ5040" s="143">
        <f>AJ5031/((N_6*AJ$27*0.667)*SQRT(AJ5041*AJ5033*AJ5035))</f>
        <v>5.5361686931970207</v>
      </c>
      <c r="AK5040" s="133"/>
      <c r="AL5040" s="155"/>
      <c r="AM5040" s="143">
        <f>AM5031/((N_6*AM$27*0.667)*SQRT(AM5041*AM5033*AM5035))</f>
        <v>5.2312960176969643</v>
      </c>
      <c r="AN5040" s="133"/>
      <c r="AO5040" s="155"/>
      <c r="AP5040" s="143">
        <f>AP5031/((N_6*AP$27*0.667)*SQRT(AP5041*AP5033*AP5035))</f>
        <v>4.8386146979345659</v>
      </c>
      <c r="AQ5040" s="133"/>
      <c r="AR5040" s="155"/>
      <c r="AS5040" s="143">
        <f>AS5031/((N_6*AS$27*0.667)*SQRT(AS5041*AS5033*AS5035))</f>
        <v>7.0174702097633377</v>
      </c>
      <c r="AT5040" s="133"/>
      <c r="AU5040" s="155"/>
    </row>
    <row r="5041" spans="13:47" ht="15.5" x14ac:dyDescent="0.4">
      <c r="M5041" s="12"/>
      <c r="N5041" s="12"/>
      <c r="O5041" s="2" t="s">
        <v>192</v>
      </c>
      <c r="P5041" s="85">
        <v>10</v>
      </c>
      <c r="Q5041" s="2"/>
      <c r="R5041" s="181">
        <f>F_GAMMA*R$29</f>
        <v>0.64002688015162901</v>
      </c>
      <c r="S5041" s="133"/>
      <c r="T5041" s="147"/>
      <c r="U5041" s="138">
        <f>F_GAMMA*U$29</f>
        <v>0.64016782916606918</v>
      </c>
      <c r="V5041" s="133"/>
      <c r="W5041" s="155"/>
      <c r="X5041" s="138">
        <f>F_GAMMA*X$29</f>
        <v>0.6307062319203669</v>
      </c>
      <c r="Y5041" s="133"/>
      <c r="Z5041" s="155"/>
      <c r="AA5041" s="138">
        <f>F_GAMMA*AA$29</f>
        <v>0.62217534213893466</v>
      </c>
      <c r="AB5041" s="133"/>
      <c r="AC5041" s="155"/>
      <c r="AD5041" s="138">
        <f>F_GAMMA*AD$29</f>
        <v>0.60557184969146072</v>
      </c>
      <c r="AE5041" s="133"/>
      <c r="AF5041" s="155"/>
      <c r="AG5041" s="138">
        <f>F_GAMMA*AG$29</f>
        <v>0.57289312142622573</v>
      </c>
      <c r="AH5041" s="133"/>
      <c r="AI5041" s="155"/>
      <c r="AJ5041" s="138">
        <f>F_GAMMA*AJ$29</f>
        <v>0.53590819116049981</v>
      </c>
      <c r="AK5041" s="133"/>
      <c r="AL5041" s="155"/>
      <c r="AM5041" s="138">
        <f>F_GAMMA*AM$29</f>
        <v>0.49048815926850342</v>
      </c>
      <c r="AN5041" s="133"/>
      <c r="AO5041" s="155"/>
      <c r="AP5041" s="138">
        <f>F_GAMMA*AP$29</f>
        <v>0.59352979016280105</v>
      </c>
      <c r="AQ5041" s="133"/>
      <c r="AR5041" s="155"/>
      <c r="AS5041" s="138">
        <f>F_GAMMA*AS$29</f>
        <v>0.39097221161068291</v>
      </c>
      <c r="AT5041" s="133"/>
      <c r="AU5041" s="155"/>
    </row>
    <row r="5042" spans="13:47" x14ac:dyDescent="0.25">
      <c r="M5042" s="12"/>
      <c r="N5042" s="12"/>
      <c r="O5042" s="2" t="s">
        <v>193</v>
      </c>
      <c r="P5042" s="134"/>
      <c r="Q5042" s="2"/>
      <c r="R5042" s="181" t="e">
        <f>IF(R5037&lt;R5041,R5039,R5040)</f>
        <v>#NUM!</v>
      </c>
      <c r="S5042" s="133"/>
      <c r="T5042" s="147"/>
      <c r="U5042" s="138">
        <f>IF(U5037&lt;U5041,U5039,U5040)</f>
        <v>1626.6691101322901</v>
      </c>
      <c r="V5042" s="133"/>
      <c r="W5042" s="155"/>
      <c r="X5042" s="138">
        <f>IF(X5037&lt;X5041,X5039,X5040)</f>
        <v>31.953623119161342</v>
      </c>
      <c r="Y5042" s="133"/>
      <c r="Z5042" s="155"/>
      <c r="AA5042" s="138">
        <f>IF(AA5037&lt;AA5041,AA5039,AA5040)</f>
        <v>14.610747834797271</v>
      </c>
      <c r="AB5042" s="133"/>
      <c r="AC5042" s="155"/>
      <c r="AD5042" s="138">
        <f>IF(AD5037&lt;AD5041,AD5039,AD5040)</f>
        <v>8.8710097110013013</v>
      </c>
      <c r="AE5042" s="133"/>
      <c r="AF5042" s="155"/>
      <c r="AG5042" s="138">
        <f>IF(AG5037&lt;AG5041,AG5039,AG5040)</f>
        <v>6.5926616487449143</v>
      </c>
      <c r="AH5042" s="133"/>
      <c r="AI5042" s="155"/>
      <c r="AJ5042" s="138">
        <f>IF(AJ5037&lt;AJ5041,AJ5039,AJ5040)</f>
        <v>5.5361686931970207</v>
      </c>
      <c r="AK5042" s="133"/>
      <c r="AL5042" s="155"/>
      <c r="AM5042" s="138">
        <f>IF(AM5037&lt;AM5041,AM5039,AM5040)</f>
        <v>5.2312960176969643</v>
      </c>
      <c r="AN5042" s="133"/>
      <c r="AO5042" s="155"/>
      <c r="AP5042" s="138">
        <f>IF(AP5037&lt;AP5041,AP5039,AP5040)</f>
        <v>4.8386146979345659</v>
      </c>
      <c r="AQ5042" s="133"/>
      <c r="AR5042" s="155"/>
      <c r="AS5042" s="138">
        <f>IF(AS5037&lt;AS5041,AS5039,AS5040)</f>
        <v>7.0174702097633377</v>
      </c>
      <c r="AT5042" s="133"/>
      <c r="AU5042" s="155"/>
    </row>
    <row r="5043" spans="13:47" ht="13" x14ac:dyDescent="0.3">
      <c r="M5043" s="12"/>
      <c r="N5043" s="12"/>
      <c r="O5043" s="9" t="s">
        <v>194</v>
      </c>
      <c r="P5043" s="1"/>
      <c r="Q5043" s="1"/>
      <c r="R5043" s="135"/>
      <c r="S5043" s="132">
        <f>IF(R5036&lt;=0,W_max,ABS(R$23-R5042))</f>
        <v>7174</v>
      </c>
      <c r="T5043" s="151">
        <f>R5031</f>
        <v>13460.673979770843</v>
      </c>
      <c r="U5043" s="135"/>
      <c r="V5043" s="132">
        <f>IF(U5036&lt;=0,W_max,ABS(U$23-U5042))</f>
        <v>7174</v>
      </c>
      <c r="W5043" s="151">
        <f>U5031</f>
        <v>16209.441319611869</v>
      </c>
      <c r="X5043" s="135"/>
      <c r="Y5043" s="132">
        <f>IF(X5036&lt;=0,W_max,ABS(X$23-X5042))</f>
        <v>7174</v>
      </c>
      <c r="Z5043" s="151">
        <f>X5031</f>
        <v>40087.877329528805</v>
      </c>
      <c r="AA5043" s="135"/>
      <c r="AB5043" s="132">
        <f>IF(AA5036&lt;=0,W_max,ABS(AA$23-AA5042))</f>
        <v>7174</v>
      </c>
      <c r="AC5043" s="151">
        <f>AA5031</f>
        <v>78080.952791102973</v>
      </c>
      <c r="AD5043" s="135"/>
      <c r="AE5043" s="132">
        <f>IF(AD5036&lt;=0,W_max,ABS(AD$23-AD5042))</f>
        <v>7174</v>
      </c>
      <c r="AF5043" s="151">
        <f>AD5031</f>
        <v>128414.41964013783</v>
      </c>
      <c r="AG5043" s="135"/>
      <c r="AH5043" s="132">
        <f>IF(AG5036&lt;=0,W_max,ABS(AG$23-AG5042))</f>
        <v>7174</v>
      </c>
      <c r="AI5043" s="151">
        <f>AG5031</f>
        <v>180111.10967957933</v>
      </c>
      <c r="AJ5043" s="135"/>
      <c r="AK5043" s="132">
        <f>IF(AJ5036&lt;=0,W_max,ABS(AJ$23-AJ5042))</f>
        <v>7174</v>
      </c>
      <c r="AL5043" s="151">
        <f>AJ5031</f>
        <v>228693.31654569381</v>
      </c>
      <c r="AM5043" s="135"/>
      <c r="AN5043" s="132">
        <f>IF(AM5036&lt;=0,W_max,ABS(AM$23-AM5042))</f>
        <v>7174</v>
      </c>
      <c r="AO5043" s="151">
        <f>AM5031</f>
        <v>268160.89921825624</v>
      </c>
      <c r="AP5043" s="135"/>
      <c r="AQ5043" s="132">
        <f>IF(AP5036&lt;=0,W_max,ABS(AP$23-AP5042))</f>
        <v>7174</v>
      </c>
      <c r="AR5043" s="151">
        <f>AP5031</f>
        <v>299178.62707111664</v>
      </c>
      <c r="AS5043" s="135"/>
      <c r="AT5043" s="132">
        <f>IF(AS5036&lt;=0,W_max,ABS(AS$23-AS5042))</f>
        <v>7174</v>
      </c>
      <c r="AU5043" s="151">
        <f>AS5031</f>
        <v>333784.12422203203</v>
      </c>
    </row>
    <row r="5044" spans="13:47" ht="13" x14ac:dyDescent="0.25">
      <c r="M5044" s="12"/>
      <c r="N5044" s="12"/>
      <c r="O5044" s="12"/>
      <c r="P5044" s="12"/>
      <c r="Q5044" s="12"/>
      <c r="R5044" s="182"/>
      <c r="S5044" s="22"/>
      <c r="T5044" s="152"/>
      <c r="U5044" s="157"/>
      <c r="V5044" s="1"/>
      <c r="W5044" s="147"/>
      <c r="X5044" s="157"/>
      <c r="Y5044" s="1"/>
      <c r="Z5044" s="147"/>
      <c r="AA5044" s="157"/>
      <c r="AB5044" s="1"/>
      <c r="AC5044" s="147"/>
      <c r="AD5044" s="157"/>
      <c r="AE5044" s="1"/>
      <c r="AF5044" s="147"/>
      <c r="AG5044" s="157"/>
      <c r="AH5044" s="1"/>
      <c r="AI5044" s="147"/>
      <c r="AJ5044" s="157"/>
      <c r="AK5044" s="1"/>
      <c r="AL5044" s="147"/>
      <c r="AM5044" s="157"/>
      <c r="AN5044" s="1"/>
      <c r="AO5044" s="147"/>
      <c r="AP5044" s="157"/>
      <c r="AQ5044" s="1"/>
      <c r="AR5044" s="147"/>
      <c r="AS5044" s="157"/>
      <c r="AT5044" s="1"/>
      <c r="AU5044" s="147"/>
    </row>
    <row r="5045" spans="13:47" ht="14" x14ac:dyDescent="0.3">
      <c r="M5045" s="12"/>
      <c r="N5045" s="12"/>
      <c r="O5045" s="23" t="s">
        <v>238</v>
      </c>
      <c r="P5045" s="20"/>
      <c r="Q5045" s="20"/>
      <c r="R5045" s="18">
        <f>R5031*1.02</f>
        <v>13729.88745936626</v>
      </c>
      <c r="S5045" s="128" t="s">
        <v>185</v>
      </c>
      <c r="T5045" s="153" t="s">
        <v>186</v>
      </c>
      <c r="U5045" s="143">
        <f>U5031*1.01</f>
        <v>16371.535732807988</v>
      </c>
      <c r="V5045" s="128" t="s">
        <v>185</v>
      </c>
      <c r="W5045" s="153" t="s">
        <v>186</v>
      </c>
      <c r="X5045" s="143">
        <f>X5031*1.01</f>
        <v>40488.756102824096</v>
      </c>
      <c r="Y5045" s="128" t="s">
        <v>185</v>
      </c>
      <c r="Z5045" s="153" t="s">
        <v>186</v>
      </c>
      <c r="AA5045" s="143">
        <f>AA5031*1.01</f>
        <v>78861.762319014</v>
      </c>
      <c r="AB5045" s="128" t="s">
        <v>185</v>
      </c>
      <c r="AC5045" s="153" t="s">
        <v>186</v>
      </c>
      <c r="AD5045" s="143">
        <f>AD5031*1.01</f>
        <v>129698.56383653921</v>
      </c>
      <c r="AE5045" s="128" t="s">
        <v>185</v>
      </c>
      <c r="AF5045" s="153" t="s">
        <v>186</v>
      </c>
      <c r="AG5045" s="143">
        <f>AG5031*1.01</f>
        <v>181912.22077637512</v>
      </c>
      <c r="AH5045" s="128" t="s">
        <v>185</v>
      </c>
      <c r="AI5045" s="153" t="s">
        <v>186</v>
      </c>
      <c r="AJ5045" s="143">
        <f>AJ5031*1.01</f>
        <v>230980.24971115077</v>
      </c>
      <c r="AK5045" s="128" t="s">
        <v>185</v>
      </c>
      <c r="AL5045" s="153" t="s">
        <v>186</v>
      </c>
      <c r="AM5045" s="143">
        <f>AM5031*1.01</f>
        <v>270842.50821043883</v>
      </c>
      <c r="AN5045" s="128" t="s">
        <v>185</v>
      </c>
      <c r="AO5045" s="153" t="s">
        <v>186</v>
      </c>
      <c r="AP5045" s="143">
        <f>AP5031*1.01</f>
        <v>302170.41334182781</v>
      </c>
      <c r="AQ5045" s="128" t="s">
        <v>185</v>
      </c>
      <c r="AR5045" s="153" t="s">
        <v>186</v>
      </c>
      <c r="AS5045" s="143">
        <f>AS5031*1.01</f>
        <v>337121.96546425234</v>
      </c>
      <c r="AT5045" s="128" t="s">
        <v>185</v>
      </c>
      <c r="AU5045" s="153" t="s">
        <v>186</v>
      </c>
    </row>
    <row r="5046" spans="13:47" ht="14" x14ac:dyDescent="0.3">
      <c r="M5046" s="12"/>
      <c r="N5046" s="12"/>
      <c r="O5046" s="20"/>
      <c r="P5046" s="20"/>
      <c r="Q5046" s="23"/>
      <c r="R5046" s="139"/>
      <c r="S5046" s="130" t="s">
        <v>228</v>
      </c>
      <c r="T5046" s="154" t="s">
        <v>187</v>
      </c>
      <c r="U5046" s="144"/>
      <c r="V5046" s="130" t="s">
        <v>228</v>
      </c>
      <c r="W5046" s="154" t="s">
        <v>187</v>
      </c>
      <c r="X5046" s="144"/>
      <c r="Y5046" s="130" t="s">
        <v>228</v>
      </c>
      <c r="Z5046" s="154" t="s">
        <v>187</v>
      </c>
      <c r="AA5046" s="144"/>
      <c r="AB5046" s="130" t="s">
        <v>228</v>
      </c>
      <c r="AC5046" s="154" t="s">
        <v>187</v>
      </c>
      <c r="AD5046" s="144"/>
      <c r="AE5046" s="130" t="s">
        <v>228</v>
      </c>
      <c r="AF5046" s="154" t="s">
        <v>187</v>
      </c>
      <c r="AG5046" s="144"/>
      <c r="AH5046" s="130" t="s">
        <v>228</v>
      </c>
      <c r="AI5046" s="154" t="s">
        <v>187</v>
      </c>
      <c r="AJ5046" s="144"/>
      <c r="AK5046" s="130" t="s">
        <v>228</v>
      </c>
      <c r="AL5046" s="154" t="s">
        <v>187</v>
      </c>
      <c r="AM5046" s="144"/>
      <c r="AN5046" s="130" t="s">
        <v>228</v>
      </c>
      <c r="AO5046" s="154" t="s">
        <v>187</v>
      </c>
      <c r="AP5046" s="144"/>
      <c r="AQ5046" s="130" t="s">
        <v>228</v>
      </c>
      <c r="AR5046" s="154" t="s">
        <v>187</v>
      </c>
      <c r="AS5046" s="144"/>
      <c r="AT5046" s="130" t="s">
        <v>228</v>
      </c>
      <c r="AU5046" s="154" t="s">
        <v>187</v>
      </c>
    </row>
    <row r="5047" spans="13:47" x14ac:dyDescent="0.25">
      <c r="M5047" s="12"/>
      <c r="N5047" s="12"/>
      <c r="O5047" s="7" t="s">
        <v>188</v>
      </c>
      <c r="P5047" s="7"/>
      <c r="Q5047" s="7"/>
      <c r="R5047" s="181">
        <f>P_1_minW-(R5045^2*R_up)+dpup_minQ</f>
        <v>25.352268839462937</v>
      </c>
      <c r="S5047" s="132"/>
      <c r="T5047" s="145"/>
      <c r="U5047" s="138">
        <f>P_1_minW-(U5045^2*R_up)+dpup_minQ</f>
        <v>-6.3562246954396935</v>
      </c>
      <c r="V5047" s="132"/>
      <c r="W5047" s="145"/>
      <c r="X5047" s="138">
        <f>P_1_minW-(X5045^2*R_up)+dpup_minQ</f>
        <v>-553.18319142854068</v>
      </c>
      <c r="Y5047" s="132"/>
      <c r="Z5047" s="145"/>
      <c r="AA5047" s="138">
        <f>P_1_minW-(AA5045^2*R_up)+dpup_minQ</f>
        <v>-2379.4478771766717</v>
      </c>
      <c r="AB5047" s="132"/>
      <c r="AC5047" s="145"/>
      <c r="AD5047" s="138">
        <f>P_1_minW-(AD5045^2*R_up)+dpup_minQ</f>
        <v>-6607.3361615759177</v>
      </c>
      <c r="AE5047" s="132"/>
      <c r="AF5047" s="145"/>
      <c r="AG5047" s="138">
        <f>P_1_minW-(AG5045^2*R_up)+dpup_minQ</f>
        <v>-13095.32626515722</v>
      </c>
      <c r="AH5047" s="132"/>
      <c r="AI5047" s="145"/>
      <c r="AJ5047" s="138">
        <f>P_1_minW-(AJ5045^2*R_up)+dpup_minQ</f>
        <v>-21174.16917188813</v>
      </c>
      <c r="AK5047" s="132"/>
      <c r="AL5047" s="145"/>
      <c r="AM5047" s="138">
        <f>P_1_minW-(AM5045^2*R_up)+dpup_minQ</f>
        <v>-29150.916610395037</v>
      </c>
      <c r="AN5047" s="132"/>
      <c r="AO5047" s="145"/>
      <c r="AP5047" s="138">
        <f>P_1_minW-(AP5045^2*R_up)+dpup_minQ</f>
        <v>-36309.207751416121</v>
      </c>
      <c r="AQ5047" s="132"/>
      <c r="AR5047" s="145"/>
      <c r="AS5047" s="138">
        <f>P_1_minW-(AS5045^2*R_up)+dpup_minQ</f>
        <v>-45219.246263359564</v>
      </c>
      <c r="AT5047" s="132"/>
      <c r="AU5047" s="145"/>
    </row>
    <row r="5048" spans="13:47" x14ac:dyDescent="0.25">
      <c r="M5048" s="12"/>
      <c r="N5048" s="12"/>
      <c r="O5048" s="7" t="s">
        <v>189</v>
      </c>
      <c r="P5048" s="1"/>
      <c r="Q5048" s="7"/>
      <c r="R5048" s="181">
        <f>P_2_minW+(R5045^2*R_dn)-dpdn_minQ</f>
        <v>50</v>
      </c>
      <c r="S5048" s="132"/>
      <c r="T5048" s="146"/>
      <c r="U5048" s="138">
        <f>P_2_minW+(U5045^2*R_dn)-dpdn_minQ</f>
        <v>50</v>
      </c>
      <c r="V5048" s="132"/>
      <c r="W5048" s="146"/>
      <c r="X5048" s="138">
        <f>P_2_minW+(X5045^2*R_dn)-dpdn_minQ</f>
        <v>50</v>
      </c>
      <c r="Y5048" s="132"/>
      <c r="Z5048" s="146"/>
      <c r="AA5048" s="138">
        <f>P_2_minW+(AA5045^2*R_dn)-dpdn_minQ</f>
        <v>50</v>
      </c>
      <c r="AB5048" s="132"/>
      <c r="AC5048" s="146"/>
      <c r="AD5048" s="138">
        <f>P_2_minW+(AD5045^2*R_dn)-dpdn_minQ</f>
        <v>50</v>
      </c>
      <c r="AE5048" s="132"/>
      <c r="AF5048" s="146"/>
      <c r="AG5048" s="138">
        <f>P_2_minW+(AG5045^2*R_dn)-dpdn_minQ</f>
        <v>50</v>
      </c>
      <c r="AH5048" s="132"/>
      <c r="AI5048" s="146"/>
      <c r="AJ5048" s="138">
        <f>P_2_minW+(AJ5045^2*R_dn)-dpdn_minQ</f>
        <v>50</v>
      </c>
      <c r="AK5048" s="132"/>
      <c r="AL5048" s="146"/>
      <c r="AM5048" s="138">
        <f>P_2_minW+(AM5045^2*R_dn)-dpdn_minQ</f>
        <v>50</v>
      </c>
      <c r="AN5048" s="132"/>
      <c r="AO5048" s="146"/>
      <c r="AP5048" s="138">
        <f>P_2_minW+(AP5045^2*R_dn)-dpdn_minQ</f>
        <v>50</v>
      </c>
      <c r="AQ5048" s="132"/>
      <c r="AR5048" s="146"/>
      <c r="AS5048" s="138">
        <f>P_2_minW+(AS5045^2*R_dn)-dpdn_minQ</f>
        <v>50</v>
      </c>
      <c r="AT5048" s="132"/>
      <c r="AU5048" s="146"/>
    </row>
    <row r="5049" spans="13:47" x14ac:dyDescent="0.25">
      <c r="M5049" s="12"/>
      <c r="N5049" s="12"/>
      <c r="O5049" s="7" t="s">
        <v>234</v>
      </c>
      <c r="P5049" s="1"/>
      <c r="Q5049" s="7"/>
      <c r="R5049" s="179">
        <f>'Valve Sizing'!G$8*R5047/P_1_maxW</f>
        <v>0.12229483118830872</v>
      </c>
      <c r="S5049" s="132"/>
      <c r="T5049" s="146"/>
      <c r="U5049" s="143">
        <f>'Valve Sizing'!$G$8*U5047/P_1_maxW</f>
        <v>-3.0661296274744908E-2</v>
      </c>
      <c r="V5049" s="132"/>
      <c r="W5049" s="146"/>
      <c r="X5049" s="143">
        <f>'Valve Sizing'!$G$8*X5047/P_1_maxW</f>
        <v>-2.6684572272544735</v>
      </c>
      <c r="Y5049" s="132"/>
      <c r="Z5049" s="146"/>
      <c r="AA5049" s="143">
        <f>'Valve Sizing'!$G$8*AA5047/P_1_maxW</f>
        <v>-11.47803292491691</v>
      </c>
      <c r="AB5049" s="132"/>
      <c r="AC5049" s="146"/>
      <c r="AD5049" s="143">
        <f>'Valve Sizing'!$G$8*AD5047/P_1_maxW</f>
        <v>-31.87261327974511</v>
      </c>
      <c r="AE5049" s="132"/>
      <c r="AF5049" s="146"/>
      <c r="AG5049" s="143">
        <f>'Valve Sizing'!$G$8*AG5047/P_1_maxW</f>
        <v>-63.169522423980176</v>
      </c>
      <c r="AH5049" s="132"/>
      <c r="AI5049" s="146"/>
      <c r="AJ5049" s="143">
        <f>'Valve Sizing'!$G$8*AJ5047/P_1_maxW</f>
        <v>-102.14042225672475</v>
      </c>
      <c r="AK5049" s="132"/>
      <c r="AL5049" s="146"/>
      <c r="AM5049" s="143">
        <f>'Valve Sizing'!$G$8*AM5047/P_1_maxW</f>
        <v>-140.61883172773452</v>
      </c>
      <c r="AN5049" s="132"/>
      <c r="AO5049" s="146"/>
      <c r="AP5049" s="143">
        <f>'Valve Sizing'!$G$8*AP5047/P_1_maxW</f>
        <v>-175.14915373683499</v>
      </c>
      <c r="AQ5049" s="132"/>
      <c r="AR5049" s="146"/>
      <c r="AS5049" s="143">
        <f>'Valve Sizing'!$G$8*AS5047/P_1_maxW</f>
        <v>-218.12959318386856</v>
      </c>
      <c r="AT5049" s="132"/>
      <c r="AU5049" s="146"/>
    </row>
    <row r="5050" spans="13:47" x14ac:dyDescent="0.25">
      <c r="M5050" s="12"/>
      <c r="N5050" s="12"/>
      <c r="O5050" s="7" t="s">
        <v>190</v>
      </c>
      <c r="P5050" s="1"/>
      <c r="Q5050" s="7"/>
      <c r="R5050" s="181">
        <f>R5047-R5048</f>
        <v>-24.647731160537063</v>
      </c>
      <c r="S5050" s="132"/>
      <c r="T5050" s="146"/>
      <c r="U5050" s="138">
        <f>U5047-U5048</f>
        <v>-56.356224695439693</v>
      </c>
      <c r="V5050" s="132"/>
      <c r="W5050" s="146"/>
      <c r="X5050" s="138">
        <f>X5047-X5048</f>
        <v>-603.18319142854068</v>
      </c>
      <c r="Y5050" s="132"/>
      <c r="Z5050" s="146"/>
      <c r="AA5050" s="138">
        <f>AA5047-AA5048</f>
        <v>-2429.4478771766717</v>
      </c>
      <c r="AB5050" s="132"/>
      <c r="AC5050" s="146"/>
      <c r="AD5050" s="138">
        <f>AD5047-AD5048</f>
        <v>-6657.3361615759177</v>
      </c>
      <c r="AE5050" s="132"/>
      <c r="AF5050" s="146"/>
      <c r="AG5050" s="138">
        <f>AG5047-AG5048</f>
        <v>-13145.32626515722</v>
      </c>
      <c r="AH5050" s="132"/>
      <c r="AI5050" s="146"/>
      <c r="AJ5050" s="138">
        <f>AJ5047-AJ5048</f>
        <v>-21224.16917188813</v>
      </c>
      <c r="AK5050" s="132"/>
      <c r="AL5050" s="146"/>
      <c r="AM5050" s="138">
        <f>AM5047-AM5048</f>
        <v>-29200.916610395037</v>
      </c>
      <c r="AN5050" s="132"/>
      <c r="AO5050" s="146"/>
      <c r="AP5050" s="138">
        <f>AP5047-AP5048</f>
        <v>-36359.207751416121</v>
      </c>
      <c r="AQ5050" s="132"/>
      <c r="AR5050" s="146"/>
      <c r="AS5050" s="138">
        <f>AS5047-AS5048</f>
        <v>-45269.246263359564</v>
      </c>
      <c r="AT5050" s="132"/>
      <c r="AU5050" s="146"/>
    </row>
    <row r="5051" spans="13:47" ht="14.5" x14ac:dyDescent="0.35">
      <c r="M5051" s="12"/>
      <c r="N5051" s="12"/>
      <c r="O5051" s="2" t="s">
        <v>191</v>
      </c>
      <c r="P5051" s="10"/>
      <c r="Q5051" s="2"/>
      <c r="R5051" s="181">
        <f>R5050/R5047</f>
        <v>-0.97221007384438896</v>
      </c>
      <c r="S5051" s="132"/>
      <c r="T5051" s="146"/>
      <c r="U5051" s="138">
        <f>U5050/U5047</f>
        <v>8.8663046691651353</v>
      </c>
      <c r="V5051" s="132"/>
      <c r="W5051" s="146"/>
      <c r="X5051" s="138">
        <f>X5050/X5047</f>
        <v>1.0903859711841206</v>
      </c>
      <c r="Y5051" s="132"/>
      <c r="Z5051" s="146"/>
      <c r="AA5051" s="138">
        <f>AA5050/AA5047</f>
        <v>1.0210132781136301</v>
      </c>
      <c r="AB5051" s="132"/>
      <c r="AC5051" s="146"/>
      <c r="AD5051" s="138">
        <f>AD5050/AD5047</f>
        <v>1.0075673461705745</v>
      </c>
      <c r="AE5051" s="132"/>
      <c r="AF5051" s="146"/>
      <c r="AG5051" s="138">
        <f>AG5050/AG5047</f>
        <v>1.0038181561106296</v>
      </c>
      <c r="AH5051" s="132"/>
      <c r="AI5051" s="146"/>
      <c r="AJ5051" s="138">
        <f>AJ5050/AJ5047</f>
        <v>1.0023613677398207</v>
      </c>
      <c r="AK5051" s="132"/>
      <c r="AL5051" s="146"/>
      <c r="AM5051" s="138">
        <f>AM5050/AM5047</f>
        <v>1.0017152119320383</v>
      </c>
      <c r="AN5051" s="132"/>
      <c r="AO5051" s="146"/>
      <c r="AP5051" s="138">
        <f>AP5050/AP5047</f>
        <v>1.0013770611670272</v>
      </c>
      <c r="AQ5051" s="132"/>
      <c r="AR5051" s="146"/>
      <c r="AS5051" s="138">
        <f>AS5050/AS5047</f>
        <v>1.001105723870513</v>
      </c>
      <c r="AT5051" s="132"/>
      <c r="AU5051" s="146"/>
    </row>
    <row r="5052" spans="13:47" x14ac:dyDescent="0.25">
      <c r="M5052" s="12"/>
      <c r="N5052" s="12"/>
      <c r="O5052" s="2" t="s">
        <v>26</v>
      </c>
      <c r="P5052" s="7">
        <v>12</v>
      </c>
      <c r="Q5052" s="2"/>
      <c r="R5052" s="181">
        <f>1-R5051/(3*F_GAMMA*R$29)</f>
        <v>1.5063381471384778</v>
      </c>
      <c r="S5052" s="133"/>
      <c r="T5052" s="146"/>
      <c r="U5052" s="138">
        <f>1-U5051/(3*F_GAMMA*U$29)</f>
        <v>-3.6166563752066132</v>
      </c>
      <c r="V5052" s="133"/>
      <c r="W5052" s="146"/>
      <c r="X5052" s="138">
        <f>1-X5051/(3*F_GAMMA*X$29)</f>
        <v>0.42372221487642181</v>
      </c>
      <c r="Y5052" s="133"/>
      <c r="Z5052" s="146"/>
      <c r="AA5052" s="138">
        <f>1-AA5051/(3*F_GAMMA*AA$29)</f>
        <v>0.45298738744421185</v>
      </c>
      <c r="AB5052" s="133"/>
      <c r="AC5052" s="146"/>
      <c r="AD5052" s="138">
        <f>1-AD5051/(3*F_GAMMA*AD$29)</f>
        <v>0.44539069603718051</v>
      </c>
      <c r="AE5052" s="133"/>
      <c r="AF5052" s="146"/>
      <c r="AG5052" s="138">
        <f>1-AG5051/(3*F_GAMMA*AG$29)</f>
        <v>0.41593634218565956</v>
      </c>
      <c r="AH5052" s="133"/>
      <c r="AI5052" s="146"/>
      <c r="AJ5052" s="138">
        <f>1-AJ5051/(3*F_GAMMA*AJ$29)</f>
        <v>0.37653415001972335</v>
      </c>
      <c r="AK5052" s="133"/>
      <c r="AL5052" s="146"/>
      <c r="AM5052" s="138">
        <f>1-AM5051/(3*F_GAMMA*AM$29)</f>
        <v>0.31923928369242005</v>
      </c>
      <c r="AN5052" s="133"/>
      <c r="AO5052" s="146"/>
      <c r="AP5052" s="138">
        <f>1-AP5051/(3*F_GAMMA*AP$29)</f>
        <v>0.43761482699834575</v>
      </c>
      <c r="AQ5052" s="133"/>
      <c r="AR5052" s="146"/>
      <c r="AS5052" s="138">
        <f>1-AS5051/(3*F_GAMMA*AS$29)</f>
        <v>0.14648177531060214</v>
      </c>
      <c r="AT5052" s="133"/>
      <c r="AU5052" s="146"/>
    </row>
    <row r="5053" spans="13:47" x14ac:dyDescent="0.25">
      <c r="M5053" s="12"/>
      <c r="N5053" s="12"/>
      <c r="O5053" s="2" t="s">
        <v>71</v>
      </c>
      <c r="P5053" s="85">
        <v>5</v>
      </c>
      <c r="Q5053" s="2"/>
      <c r="R5053" s="179" t="e">
        <f>R5045/((N_6*R$27*R5052)*SQRT(R5051*R5047*R5049))</f>
        <v>#NUM!</v>
      </c>
      <c r="S5053" s="133"/>
      <c r="T5053" s="146"/>
      <c r="U5053" s="143">
        <f>U5045/((N_6*U$27*U5052)*SQRT(U5051*U5047*U5049))</f>
        <v>-54.441951411019232</v>
      </c>
      <c r="V5053" s="133"/>
      <c r="W5053" s="146"/>
      <c r="X5053" s="143">
        <f>X5045/((N_6*X$27*X5052)*SQRT(X5051*X5047*X5049))</f>
        <v>37.737888655962919</v>
      </c>
      <c r="Y5053" s="133"/>
      <c r="Z5053" s="146"/>
      <c r="AA5053" s="143">
        <f>AA5045/((N_6*AA$27*AA5052)*SQRT(AA5051*AA5047*AA5049))</f>
        <v>16.613554490891246</v>
      </c>
      <c r="AB5053" s="133"/>
      <c r="AC5053" s="146"/>
      <c r="AD5053" s="143">
        <f>AD5045/((N_6*AD$27*AD5052)*SQRT(AD5051*AD5047*AD5049))</f>
        <v>10.194110686833827</v>
      </c>
      <c r="AE5053" s="133"/>
      <c r="AF5053" s="146"/>
      <c r="AG5053" s="143">
        <f>AG5045/((N_6*AG$27*AG5052)*SQRT(AG5051*AG5047*AG5049))</f>
        <v>7.9064339345031556</v>
      </c>
      <c r="AH5053" s="133"/>
      <c r="AI5053" s="146"/>
      <c r="AJ5053" s="143">
        <f>AJ5045/((N_6*AJ$27*AJ5052)*SQRT(AJ5051*AJ5047*AJ5049))</f>
        <v>7.0990624725377973</v>
      </c>
      <c r="AK5053" s="133"/>
      <c r="AL5053" s="146"/>
      <c r="AM5053" s="143">
        <f>AM5045/((N_6*AM$27*AM5052)*SQRT(AM5051*AM5047*AM5049))</f>
        <v>7.5719799380402737</v>
      </c>
      <c r="AN5053" s="133"/>
      <c r="AO5053" s="146"/>
      <c r="AP5053" s="143">
        <f>AP5045/((N_6*AP$27*AP5052)*SQRT(AP5051*AP5047*AP5049))</f>
        <v>5.6212350552676211</v>
      </c>
      <c r="AQ5053" s="133"/>
      <c r="AR5053" s="146"/>
      <c r="AS5053" s="143">
        <f>AS5045/((N_6*AS$27*AS5052)*SQRT(AS5051*AS5047*AS5049))</f>
        <v>19.770379708520171</v>
      </c>
      <c r="AT5053" s="133"/>
      <c r="AU5053" s="146"/>
    </row>
    <row r="5054" spans="13:47" x14ac:dyDescent="0.25">
      <c r="M5054" s="12"/>
      <c r="N5054" s="12"/>
      <c r="O5054" s="2" t="s">
        <v>73</v>
      </c>
      <c r="P5054" s="85">
        <v>5</v>
      </c>
      <c r="Q5054" s="2"/>
      <c r="R5054" s="179">
        <f>R5045/((N_6*R$27*0.667)*SQRT(R5055*R5047*R5049))</f>
        <v>230.87521845858555</v>
      </c>
      <c r="S5054" s="133"/>
      <c r="T5054" s="155"/>
      <c r="U5054" s="143">
        <f>U5045/((N_6*U$27*0.667)*SQRT(U5055*U5047*U5049))</f>
        <v>1098.5997604331258</v>
      </c>
      <c r="V5054" s="133"/>
      <c r="W5054" s="155"/>
      <c r="X5054" s="143">
        <f>X5045/((N_6*X$27*0.667)*SQRT(X5055*X5047*X5049))</f>
        <v>31.521695188758724</v>
      </c>
      <c r="Y5054" s="133"/>
      <c r="Z5054" s="155"/>
      <c r="AA5054" s="143">
        <f>AA5045/((N_6*AA$27*0.667)*SQRT(AA5055*AA5047*AA5049))</f>
        <v>14.453803088320395</v>
      </c>
      <c r="AB5054" s="133"/>
      <c r="AC5054" s="155"/>
      <c r="AD5054" s="143">
        <f>AD5045/((N_6*AD$27*0.667)*SQRT(AD5055*AD5047*AD5049))</f>
        <v>8.7804920563240731</v>
      </c>
      <c r="AE5054" s="133"/>
      <c r="AF5054" s="155"/>
      <c r="AG5054" s="143">
        <f>AG5045/((N_6*AG$27*0.667)*SQRT(AG5055*AG5047*AG5049))</f>
        <v>6.526380645360037</v>
      </c>
      <c r="AH5054" s="133"/>
      <c r="AI5054" s="155"/>
      <c r="AJ5054" s="143">
        <f>AJ5045/((N_6*AJ$27*0.667)*SQRT(AJ5055*AJ5047*AJ5049))</f>
        <v>5.4808320930636727</v>
      </c>
      <c r="AK5054" s="133"/>
      <c r="AL5054" s="155"/>
      <c r="AM5054" s="143">
        <f>AM5045/((N_6*AM$27*0.667)*SQRT(AM5055*AM5047*AM5049))</f>
        <v>5.1791420061035414</v>
      </c>
      <c r="AN5054" s="133"/>
      <c r="AO5054" s="155"/>
      <c r="AP5054" s="143">
        <f>AP5045/((N_6*AP$27*0.667)*SQRT(AP5055*AP5047*AP5049))</f>
        <v>4.7904410319530051</v>
      </c>
      <c r="AQ5054" s="133"/>
      <c r="AR5054" s="155"/>
      <c r="AS5054" s="143">
        <f>AS5045/((N_6*AS$27*0.667)*SQRT(AS5055*AS5047*AS5049))</f>
        <v>6.9476798532666564</v>
      </c>
      <c r="AT5054" s="133"/>
      <c r="AU5054" s="155"/>
    </row>
    <row r="5055" spans="13:47" ht="15.5" x14ac:dyDescent="0.4">
      <c r="M5055" s="12"/>
      <c r="N5055" s="12"/>
      <c r="O5055" s="2" t="s">
        <v>192</v>
      </c>
      <c r="P5055" s="85">
        <v>10</v>
      </c>
      <c r="Q5055" s="2"/>
      <c r="R5055" s="181">
        <f>F_GAMMA*R$29</f>
        <v>0.64002688015162901</v>
      </c>
      <c r="S5055" s="133"/>
      <c r="T5055" s="155"/>
      <c r="U5055" s="138">
        <f>F_GAMMA*U$29</f>
        <v>0.64016782916606918</v>
      </c>
      <c r="V5055" s="133"/>
      <c r="W5055" s="155"/>
      <c r="X5055" s="138">
        <f>F_GAMMA*X$29</f>
        <v>0.6307062319203669</v>
      </c>
      <c r="Y5055" s="133"/>
      <c r="Z5055" s="155"/>
      <c r="AA5055" s="138">
        <f>F_GAMMA*AA$29</f>
        <v>0.62217534213893466</v>
      </c>
      <c r="AB5055" s="133"/>
      <c r="AC5055" s="155"/>
      <c r="AD5055" s="138">
        <f>F_GAMMA*AD$29</f>
        <v>0.60557184969146072</v>
      </c>
      <c r="AE5055" s="133"/>
      <c r="AF5055" s="155"/>
      <c r="AG5055" s="138">
        <f>F_GAMMA*AG$29</f>
        <v>0.57289312142622573</v>
      </c>
      <c r="AH5055" s="133"/>
      <c r="AI5055" s="155"/>
      <c r="AJ5055" s="138">
        <f>F_GAMMA*AJ$29</f>
        <v>0.53590819116049981</v>
      </c>
      <c r="AK5055" s="133"/>
      <c r="AL5055" s="155"/>
      <c r="AM5055" s="138">
        <f>F_GAMMA*AM$29</f>
        <v>0.49048815926850342</v>
      </c>
      <c r="AN5055" s="133"/>
      <c r="AO5055" s="155"/>
      <c r="AP5055" s="138">
        <f>F_GAMMA*AP$29</f>
        <v>0.59352979016280105</v>
      </c>
      <c r="AQ5055" s="133"/>
      <c r="AR5055" s="155"/>
      <c r="AS5055" s="138">
        <f>F_GAMMA*AS$29</f>
        <v>0.39097221161068291</v>
      </c>
      <c r="AT5055" s="133"/>
      <c r="AU5055" s="155"/>
    </row>
    <row r="5056" spans="13:47" x14ac:dyDescent="0.25">
      <c r="M5056" s="12"/>
      <c r="N5056" s="12"/>
      <c r="O5056" s="2" t="s">
        <v>193</v>
      </c>
      <c r="P5056" s="134"/>
      <c r="Q5056" s="2"/>
      <c r="R5056" s="181" t="e">
        <f>IF(R5051&lt;R5055,R5053,R5054)</f>
        <v>#NUM!</v>
      </c>
      <c r="S5056" s="133"/>
      <c r="T5056" s="155"/>
      <c r="U5056" s="138">
        <f>IF(U5051&lt;U5055,U5053,U5054)</f>
        <v>1098.5997604331258</v>
      </c>
      <c r="V5056" s="133"/>
      <c r="W5056" s="155"/>
      <c r="X5056" s="138">
        <f>IF(X5051&lt;X5055,X5053,X5054)</f>
        <v>31.521695188758724</v>
      </c>
      <c r="Y5056" s="133"/>
      <c r="Z5056" s="155"/>
      <c r="AA5056" s="138">
        <f>IF(AA5051&lt;AA5055,AA5053,AA5054)</f>
        <v>14.453803088320395</v>
      </c>
      <c r="AB5056" s="133"/>
      <c r="AC5056" s="155"/>
      <c r="AD5056" s="138">
        <f>IF(AD5051&lt;AD5055,AD5053,AD5054)</f>
        <v>8.7804920563240731</v>
      </c>
      <c r="AE5056" s="133"/>
      <c r="AF5056" s="155"/>
      <c r="AG5056" s="138">
        <f>IF(AG5051&lt;AG5055,AG5053,AG5054)</f>
        <v>6.526380645360037</v>
      </c>
      <c r="AH5056" s="133"/>
      <c r="AI5056" s="155"/>
      <c r="AJ5056" s="138">
        <f>IF(AJ5051&lt;AJ5055,AJ5053,AJ5054)</f>
        <v>5.4808320930636727</v>
      </c>
      <c r="AK5056" s="133"/>
      <c r="AL5056" s="155"/>
      <c r="AM5056" s="138">
        <f>IF(AM5051&lt;AM5055,AM5053,AM5054)</f>
        <v>5.1791420061035414</v>
      </c>
      <c r="AN5056" s="133"/>
      <c r="AO5056" s="155"/>
      <c r="AP5056" s="138">
        <f>IF(AP5051&lt;AP5055,AP5053,AP5054)</f>
        <v>4.7904410319530051</v>
      </c>
      <c r="AQ5056" s="133"/>
      <c r="AR5056" s="155"/>
      <c r="AS5056" s="138">
        <f>IF(AS5051&lt;AS5055,AS5053,AS5054)</f>
        <v>6.9476798532666564</v>
      </c>
      <c r="AT5056" s="133"/>
      <c r="AU5056" s="155"/>
    </row>
    <row r="5057" spans="13:47" ht="13" x14ac:dyDescent="0.3">
      <c r="M5057" s="12"/>
      <c r="N5057" s="12"/>
      <c r="O5057" s="9" t="s">
        <v>194</v>
      </c>
      <c r="P5057" s="1"/>
      <c r="Q5057" s="1"/>
      <c r="R5057" s="135"/>
      <c r="S5057" s="132">
        <f>IF(R5050&lt;=0,W_max,ABS(R$23-R5056))</f>
        <v>7174</v>
      </c>
      <c r="T5057" s="151">
        <f>R5045</f>
        <v>13729.88745936626</v>
      </c>
      <c r="U5057" s="135"/>
      <c r="V5057" s="132">
        <f>IF(U5050&lt;=0,W_max,ABS(U$23-U5056))</f>
        <v>7174</v>
      </c>
      <c r="W5057" s="151">
        <f>U5045</f>
        <v>16371.535732807988</v>
      </c>
      <c r="X5057" s="135"/>
      <c r="Y5057" s="132">
        <f>IF(X5050&lt;=0,W_max,ABS(X$23-X5056))</f>
        <v>7174</v>
      </c>
      <c r="Z5057" s="151">
        <f>X5045</f>
        <v>40488.756102824096</v>
      </c>
      <c r="AA5057" s="135"/>
      <c r="AB5057" s="132">
        <f>IF(AA5050&lt;=0,W_max,ABS(AA$23-AA5056))</f>
        <v>7174</v>
      </c>
      <c r="AC5057" s="151">
        <f>AA5045</f>
        <v>78861.762319014</v>
      </c>
      <c r="AD5057" s="135"/>
      <c r="AE5057" s="132">
        <f>IF(AD5050&lt;=0,W_max,ABS(AD$23-AD5056))</f>
        <v>7174</v>
      </c>
      <c r="AF5057" s="151">
        <f>AD5045</f>
        <v>129698.56383653921</v>
      </c>
      <c r="AG5057" s="135"/>
      <c r="AH5057" s="132">
        <f>IF(AG5050&lt;=0,W_max,ABS(AG$23-AG5056))</f>
        <v>7174</v>
      </c>
      <c r="AI5057" s="151">
        <f>AG5045</f>
        <v>181912.22077637512</v>
      </c>
      <c r="AJ5057" s="135"/>
      <c r="AK5057" s="132">
        <f>IF(AJ5050&lt;=0,W_max,ABS(AJ$23-AJ5056))</f>
        <v>7174</v>
      </c>
      <c r="AL5057" s="151">
        <f>AJ5045</f>
        <v>230980.24971115077</v>
      </c>
      <c r="AM5057" s="135"/>
      <c r="AN5057" s="132">
        <f>IF(AM5050&lt;=0,W_max,ABS(AM$23-AM5056))</f>
        <v>7174</v>
      </c>
      <c r="AO5057" s="151">
        <f>AM5045</f>
        <v>270842.50821043883</v>
      </c>
      <c r="AP5057" s="135"/>
      <c r="AQ5057" s="132">
        <f>IF(AP5050&lt;=0,W_max,ABS(AP$23-AP5056))</f>
        <v>7174</v>
      </c>
      <c r="AR5057" s="151">
        <f>AP5045</f>
        <v>302170.41334182781</v>
      </c>
      <c r="AS5057" s="135"/>
      <c r="AT5057" s="132">
        <f>IF(AS5050&lt;=0,W_max,ABS(AS$23-AS5056))</f>
        <v>7174</v>
      </c>
      <c r="AU5057" s="151">
        <f>AS5045</f>
        <v>337121.96546425234</v>
      </c>
    </row>
    <row r="5058" spans="13:47" ht="13" x14ac:dyDescent="0.25">
      <c r="M5058" s="12"/>
      <c r="N5058" s="12"/>
      <c r="O5058" s="2"/>
      <c r="P5058" s="85"/>
      <c r="Q5058" s="2"/>
      <c r="R5058" s="18"/>
      <c r="S5058" s="150"/>
      <c r="T5058" s="152"/>
      <c r="U5058" s="157"/>
      <c r="V5058" s="1"/>
      <c r="W5058" s="147"/>
      <c r="X5058" s="157"/>
      <c r="Y5058" s="1"/>
      <c r="Z5058" s="147"/>
      <c r="AA5058" s="157"/>
      <c r="AB5058" s="1"/>
      <c r="AC5058" s="147"/>
      <c r="AD5058" s="157"/>
      <c r="AE5058" s="1"/>
      <c r="AF5058" s="147"/>
      <c r="AG5058" s="157"/>
      <c r="AH5058" s="1"/>
      <c r="AI5058" s="147"/>
      <c r="AJ5058" s="157"/>
      <c r="AK5058" s="1"/>
      <c r="AL5058" s="147"/>
      <c r="AM5058" s="157"/>
      <c r="AN5058" s="1"/>
      <c r="AO5058" s="147"/>
      <c r="AP5058" s="157"/>
      <c r="AQ5058" s="1"/>
      <c r="AR5058" s="147"/>
      <c r="AS5058" s="157"/>
      <c r="AT5058" s="1"/>
      <c r="AU5058" s="147"/>
    </row>
    <row r="5059" spans="13:47" ht="14" x14ac:dyDescent="0.3">
      <c r="M5059" s="12"/>
      <c r="N5059" s="12"/>
      <c r="O5059" s="23" t="s">
        <v>238</v>
      </c>
      <c r="P5059" s="20"/>
      <c r="Q5059" s="20"/>
      <c r="R5059" s="181">
        <f>R5045*1.02</f>
        <v>14004.485208553586</v>
      </c>
      <c r="S5059" s="128" t="s">
        <v>185</v>
      </c>
      <c r="T5059" s="153" t="s">
        <v>186</v>
      </c>
      <c r="U5059" s="143">
        <f>U5045*1.01</f>
        <v>16535.251090136069</v>
      </c>
      <c r="V5059" s="128" t="s">
        <v>185</v>
      </c>
      <c r="W5059" s="153" t="s">
        <v>186</v>
      </c>
      <c r="X5059" s="143">
        <f>X5045*1.01</f>
        <v>40893.643663852337</v>
      </c>
      <c r="Y5059" s="128" t="s">
        <v>185</v>
      </c>
      <c r="Z5059" s="153" t="s">
        <v>186</v>
      </c>
      <c r="AA5059" s="143">
        <f>AA5045*1.01</f>
        <v>79650.379942204134</v>
      </c>
      <c r="AB5059" s="128" t="s">
        <v>185</v>
      </c>
      <c r="AC5059" s="153" t="s">
        <v>186</v>
      </c>
      <c r="AD5059" s="143">
        <f>AD5045*1.01</f>
        <v>130995.5494749046</v>
      </c>
      <c r="AE5059" s="128" t="s">
        <v>185</v>
      </c>
      <c r="AF5059" s="153" t="s">
        <v>186</v>
      </c>
      <c r="AG5059" s="143">
        <f>AG5045*1.01</f>
        <v>183731.34298413887</v>
      </c>
      <c r="AH5059" s="128" t="s">
        <v>185</v>
      </c>
      <c r="AI5059" s="153" t="s">
        <v>186</v>
      </c>
      <c r="AJ5059" s="143">
        <f>AJ5045*1.01</f>
        <v>233290.05220826229</v>
      </c>
      <c r="AK5059" s="128" t="s">
        <v>185</v>
      </c>
      <c r="AL5059" s="153" t="s">
        <v>186</v>
      </c>
      <c r="AM5059" s="143">
        <f>AM5045*1.01</f>
        <v>273550.93329254322</v>
      </c>
      <c r="AN5059" s="128" t="s">
        <v>185</v>
      </c>
      <c r="AO5059" s="153" t="s">
        <v>186</v>
      </c>
      <c r="AP5059" s="143">
        <f>AP5045*1.01</f>
        <v>305192.11747524608</v>
      </c>
      <c r="AQ5059" s="128" t="s">
        <v>185</v>
      </c>
      <c r="AR5059" s="153" t="s">
        <v>186</v>
      </c>
      <c r="AS5059" s="143">
        <f>AS5045*1.01</f>
        <v>340493.18511889485</v>
      </c>
      <c r="AT5059" s="128" t="s">
        <v>185</v>
      </c>
      <c r="AU5059" s="153" t="s">
        <v>186</v>
      </c>
    </row>
    <row r="5060" spans="13:47" ht="14" x14ac:dyDescent="0.3">
      <c r="M5060" s="12"/>
      <c r="N5060" s="12"/>
      <c r="O5060" s="20"/>
      <c r="P5060" s="20"/>
      <c r="Q5060" s="23"/>
      <c r="R5060" s="139"/>
      <c r="S5060" s="130" t="s">
        <v>228</v>
      </c>
      <c r="T5060" s="154" t="s">
        <v>187</v>
      </c>
      <c r="U5060" s="144"/>
      <c r="V5060" s="130" t="s">
        <v>228</v>
      </c>
      <c r="W5060" s="154" t="s">
        <v>187</v>
      </c>
      <c r="X5060" s="144"/>
      <c r="Y5060" s="130" t="s">
        <v>228</v>
      </c>
      <c r="Z5060" s="154" t="s">
        <v>187</v>
      </c>
      <c r="AA5060" s="144"/>
      <c r="AB5060" s="130" t="s">
        <v>228</v>
      </c>
      <c r="AC5060" s="154" t="s">
        <v>187</v>
      </c>
      <c r="AD5060" s="144"/>
      <c r="AE5060" s="130" t="s">
        <v>228</v>
      </c>
      <c r="AF5060" s="154" t="s">
        <v>187</v>
      </c>
      <c r="AG5060" s="144"/>
      <c r="AH5060" s="130" t="s">
        <v>228</v>
      </c>
      <c r="AI5060" s="154" t="s">
        <v>187</v>
      </c>
      <c r="AJ5060" s="144"/>
      <c r="AK5060" s="130" t="s">
        <v>228</v>
      </c>
      <c r="AL5060" s="154" t="s">
        <v>187</v>
      </c>
      <c r="AM5060" s="144"/>
      <c r="AN5060" s="130" t="s">
        <v>228</v>
      </c>
      <c r="AO5060" s="154" t="s">
        <v>187</v>
      </c>
      <c r="AP5060" s="144"/>
      <c r="AQ5060" s="130" t="s">
        <v>228</v>
      </c>
      <c r="AR5060" s="154" t="s">
        <v>187</v>
      </c>
      <c r="AS5060" s="144"/>
      <c r="AT5060" s="130" t="s">
        <v>228</v>
      </c>
      <c r="AU5060" s="154" t="s">
        <v>187</v>
      </c>
    </row>
    <row r="5061" spans="13:47" x14ac:dyDescent="0.25">
      <c r="M5061" s="12"/>
      <c r="N5061" s="12"/>
      <c r="O5061" s="7" t="s">
        <v>188</v>
      </c>
      <c r="P5061" s="7"/>
      <c r="Q5061" s="7"/>
      <c r="R5061" s="181">
        <f>P_1_minW-(R5059^2*R_up)+dpup_minQ</f>
        <v>22.315379916413477</v>
      </c>
      <c r="S5061" s="132"/>
      <c r="T5061" s="145"/>
      <c r="U5061" s="138">
        <f>P_1_minW-(U5059^2*R_up)+dpup_minQ</f>
        <v>-8.5044928252262508</v>
      </c>
      <c r="V5061" s="132"/>
      <c r="W5061" s="145"/>
      <c r="X5061" s="138">
        <f>P_1_minW-(X5059^2*R_up)+dpup_minQ</f>
        <v>-566.32268158966258</v>
      </c>
      <c r="Y5061" s="132"/>
      <c r="Z5061" s="145"/>
      <c r="AA5061" s="138">
        <f>P_1_minW-(AA5059^2*R_up)+dpup_minQ</f>
        <v>-2429.2952875213305</v>
      </c>
      <c r="AB5061" s="132"/>
      <c r="AC5061" s="145"/>
      <c r="AD5061" s="138">
        <f>P_1_minW-(AD5059^2*R_up)+dpup_minQ</f>
        <v>-6742.1641264370028</v>
      </c>
      <c r="AE5061" s="132"/>
      <c r="AF5061" s="145"/>
      <c r="AG5061" s="138">
        <f>P_1_minW-(AG5059^2*R_up)+dpup_minQ</f>
        <v>-13360.562831100287</v>
      </c>
      <c r="AH5061" s="132"/>
      <c r="AI5061" s="145"/>
      <c r="AJ5061" s="138">
        <f>P_1_minW-(AJ5059^2*R_up)+dpup_minQ</f>
        <v>-21601.790480256492</v>
      </c>
      <c r="AK5061" s="132"/>
      <c r="AL5061" s="145"/>
      <c r="AM5061" s="138">
        <f>P_1_minW-(AM5059^2*R_up)+dpup_minQ</f>
        <v>-29738.870542277393</v>
      </c>
      <c r="AN5061" s="132"/>
      <c r="AO5061" s="145"/>
      <c r="AP5061" s="138">
        <f>P_1_minW-(AP5059^2*R_up)+dpup_minQ</f>
        <v>-37041.043335232993</v>
      </c>
      <c r="AQ5061" s="132"/>
      <c r="AR5061" s="145"/>
      <c r="AS5061" s="138">
        <f>P_1_minW-(AS5059^2*R_up)+dpup_minQ</f>
        <v>-46130.173621266498</v>
      </c>
      <c r="AT5061" s="132"/>
      <c r="AU5061" s="145"/>
    </row>
    <row r="5062" spans="13:47" x14ac:dyDescent="0.25">
      <c r="M5062" s="12"/>
      <c r="N5062" s="12"/>
      <c r="O5062" s="7" t="s">
        <v>189</v>
      </c>
      <c r="P5062" s="1"/>
      <c r="Q5062" s="7"/>
      <c r="R5062" s="181">
        <f>P_2_minW+(R5059^2*R_dn)-dpdn_minQ</f>
        <v>50</v>
      </c>
      <c r="S5062" s="132"/>
      <c r="T5062" s="146"/>
      <c r="U5062" s="138">
        <f>P_2_minW+(U5059^2*R_dn)-dpdn_minQ</f>
        <v>50</v>
      </c>
      <c r="V5062" s="132"/>
      <c r="W5062" s="146"/>
      <c r="X5062" s="138">
        <f>P_2_minW+(X5059^2*R_dn)-dpdn_minQ</f>
        <v>50</v>
      </c>
      <c r="Y5062" s="132"/>
      <c r="Z5062" s="146"/>
      <c r="AA5062" s="138">
        <f>P_2_minW+(AA5059^2*R_dn)-dpdn_minQ</f>
        <v>50</v>
      </c>
      <c r="AB5062" s="132"/>
      <c r="AC5062" s="146"/>
      <c r="AD5062" s="138">
        <f>P_2_minW+(AD5059^2*R_dn)-dpdn_minQ</f>
        <v>50</v>
      </c>
      <c r="AE5062" s="132"/>
      <c r="AF5062" s="146"/>
      <c r="AG5062" s="138">
        <f>P_2_minW+(AG5059^2*R_dn)-dpdn_minQ</f>
        <v>50</v>
      </c>
      <c r="AH5062" s="132"/>
      <c r="AI5062" s="146"/>
      <c r="AJ5062" s="138">
        <f>P_2_minW+(AJ5059^2*R_dn)-dpdn_minQ</f>
        <v>50</v>
      </c>
      <c r="AK5062" s="132"/>
      <c r="AL5062" s="146"/>
      <c r="AM5062" s="138">
        <f>P_2_minW+(AM5059^2*R_dn)-dpdn_minQ</f>
        <v>50</v>
      </c>
      <c r="AN5062" s="132"/>
      <c r="AO5062" s="146"/>
      <c r="AP5062" s="138">
        <f>P_2_minW+(AP5059^2*R_dn)-dpdn_minQ</f>
        <v>50</v>
      </c>
      <c r="AQ5062" s="132"/>
      <c r="AR5062" s="146"/>
      <c r="AS5062" s="138">
        <f>P_2_minW+(AS5059^2*R_dn)-dpdn_minQ</f>
        <v>50</v>
      </c>
      <c r="AT5062" s="132"/>
      <c r="AU5062" s="146"/>
    </row>
    <row r="5063" spans="13:47" x14ac:dyDescent="0.25">
      <c r="M5063" s="12"/>
      <c r="N5063" s="12"/>
      <c r="O5063" s="7" t="s">
        <v>234</v>
      </c>
      <c r="P5063" s="1"/>
      <c r="Q5063" s="7"/>
      <c r="R5063" s="179">
        <f>'Valve Sizing'!G$8*R5061/P_1_maxW</f>
        <v>0.1076454197082652</v>
      </c>
      <c r="S5063" s="132"/>
      <c r="T5063" s="146"/>
      <c r="U5063" s="143">
        <f>'Valve Sizing'!$G$8*U5061/P_1_maxW</f>
        <v>-4.1024159257269051E-2</v>
      </c>
      <c r="V5063" s="132"/>
      <c r="W5063" s="146"/>
      <c r="X5063" s="143">
        <f>'Valve Sizing'!$G$8*X5061/P_1_maxW</f>
        <v>-2.7318397884496899</v>
      </c>
      <c r="Y5063" s="132"/>
      <c r="Z5063" s="146"/>
      <c r="AA5063" s="143">
        <f>'Valve Sizing'!$G$8*AA5061/P_1_maxW</f>
        <v>-11.718487957635139</v>
      </c>
      <c r="AB5063" s="132"/>
      <c r="AC5063" s="146"/>
      <c r="AD5063" s="143">
        <f>'Valve Sizing'!$G$8*AD5061/P_1_maxW</f>
        <v>-32.522999377595397</v>
      </c>
      <c r="AE5063" s="132"/>
      <c r="AF5063" s="146"/>
      <c r="AG5063" s="143">
        <f>'Valve Sizing'!$G$8*AG5061/P_1_maxW</f>
        <v>-64.448976395629558</v>
      </c>
      <c r="AH5063" s="132"/>
      <c r="AI5063" s="146"/>
      <c r="AJ5063" s="143">
        <f>'Valve Sizing'!$G$8*AJ5061/P_1_maxW</f>
        <v>-104.20319131501233</v>
      </c>
      <c r="AK5063" s="132"/>
      <c r="AL5063" s="146"/>
      <c r="AM5063" s="143">
        <f>'Valve Sizing'!$G$8*AM5061/P_1_maxW</f>
        <v>-143.45501681638942</v>
      </c>
      <c r="AN5063" s="132"/>
      <c r="AO5063" s="146"/>
      <c r="AP5063" s="143">
        <f>'Valve Sizing'!$G$8*AP5061/P_1_maxW</f>
        <v>-178.67939829787278</v>
      </c>
      <c r="AQ5063" s="132"/>
      <c r="AR5063" s="146"/>
      <c r="AS5063" s="143">
        <f>'Valve Sizing'!$G$8*AS5061/P_1_maxW</f>
        <v>-222.52374457779175</v>
      </c>
      <c r="AT5063" s="132"/>
      <c r="AU5063" s="146"/>
    </row>
    <row r="5064" spans="13:47" x14ac:dyDescent="0.25">
      <c r="M5064" s="12"/>
      <c r="N5064" s="12"/>
      <c r="O5064" s="7" t="s">
        <v>190</v>
      </c>
      <c r="P5064" s="1"/>
      <c r="Q5064" s="7"/>
      <c r="R5064" s="181">
        <f>R5061-R5062</f>
        <v>-27.684620083586523</v>
      </c>
      <c r="S5064" s="132"/>
      <c r="T5064" s="146"/>
      <c r="U5064" s="138">
        <f>U5061-U5062</f>
        <v>-58.504492825226251</v>
      </c>
      <c r="V5064" s="132"/>
      <c r="W5064" s="146"/>
      <c r="X5064" s="138">
        <f>X5061-X5062</f>
        <v>-616.32268158966258</v>
      </c>
      <c r="Y5064" s="132"/>
      <c r="Z5064" s="146"/>
      <c r="AA5064" s="138">
        <f>AA5061-AA5062</f>
        <v>-2479.2952875213305</v>
      </c>
      <c r="AB5064" s="132"/>
      <c r="AC5064" s="146"/>
      <c r="AD5064" s="138">
        <f>AD5061-AD5062</f>
        <v>-6792.1641264370028</v>
      </c>
      <c r="AE5064" s="132"/>
      <c r="AF5064" s="146"/>
      <c r="AG5064" s="138">
        <f>AG5061-AG5062</f>
        <v>-13410.562831100287</v>
      </c>
      <c r="AH5064" s="132"/>
      <c r="AI5064" s="146"/>
      <c r="AJ5064" s="138">
        <f>AJ5061-AJ5062</f>
        <v>-21651.790480256492</v>
      </c>
      <c r="AK5064" s="132"/>
      <c r="AL5064" s="146"/>
      <c r="AM5064" s="138">
        <f>AM5061-AM5062</f>
        <v>-29788.870542277393</v>
      </c>
      <c r="AN5064" s="132"/>
      <c r="AO5064" s="146"/>
      <c r="AP5064" s="138">
        <f>AP5061-AP5062</f>
        <v>-37091.043335232993</v>
      </c>
      <c r="AQ5064" s="132"/>
      <c r="AR5064" s="146"/>
      <c r="AS5064" s="138">
        <f>AS5061-AS5062</f>
        <v>-46180.173621266498</v>
      </c>
      <c r="AT5064" s="132"/>
      <c r="AU5064" s="146"/>
    </row>
    <row r="5065" spans="13:47" ht="14.5" x14ac:dyDescent="0.35">
      <c r="M5065" s="12"/>
      <c r="N5065" s="12"/>
      <c r="O5065" s="2" t="s">
        <v>191</v>
      </c>
      <c r="P5065" s="10"/>
      <c r="Q5065" s="2"/>
      <c r="R5065" s="181">
        <f>R5064/R5061</f>
        <v>-1.2406071591559078</v>
      </c>
      <c r="S5065" s="132"/>
      <c r="T5065" s="146"/>
      <c r="U5065" s="138">
        <f>U5064/U5061</f>
        <v>6.8792453621324343</v>
      </c>
      <c r="V5065" s="132"/>
      <c r="W5065" s="146"/>
      <c r="X5065" s="138">
        <f>X5064/X5061</f>
        <v>1.0882888883412729</v>
      </c>
      <c r="Y5065" s="132"/>
      <c r="Z5065" s="146"/>
      <c r="AA5065" s="138">
        <f>AA5064/AA5061</f>
        <v>1.0205821006021119</v>
      </c>
      <c r="AB5065" s="132"/>
      <c r="AC5065" s="146"/>
      <c r="AD5065" s="138">
        <f>AD5064/AD5061</f>
        <v>1.0074160164395796</v>
      </c>
      <c r="AE5065" s="132"/>
      <c r="AF5065" s="146"/>
      <c r="AG5065" s="138">
        <f>AG5064/AG5061</f>
        <v>1.0037423573117452</v>
      </c>
      <c r="AH5065" s="132"/>
      <c r="AI5065" s="146"/>
      <c r="AJ5065" s="138">
        <f>AJ5064/AJ5061</f>
        <v>1.0023146229496902</v>
      </c>
      <c r="AK5065" s="132"/>
      <c r="AL5065" s="146"/>
      <c r="AM5065" s="138">
        <f>AM5064/AM5061</f>
        <v>1.0016813012427261</v>
      </c>
      <c r="AN5065" s="132"/>
      <c r="AO5065" s="146"/>
      <c r="AP5065" s="138">
        <f>AP5064/AP5061</f>
        <v>1.0013498539862251</v>
      </c>
      <c r="AQ5065" s="132"/>
      <c r="AR5065" s="146"/>
      <c r="AS5065" s="138">
        <f>AS5064/AS5061</f>
        <v>1.0010838892654188</v>
      </c>
      <c r="AT5065" s="132"/>
      <c r="AU5065" s="146"/>
    </row>
    <row r="5066" spans="13:47" x14ac:dyDescent="0.25">
      <c r="M5066" s="12"/>
      <c r="N5066" s="12"/>
      <c r="O5066" s="2" t="s">
        <v>26</v>
      </c>
      <c r="P5066" s="7">
        <v>12</v>
      </c>
      <c r="Q5066" s="2"/>
      <c r="R5066" s="181">
        <f>1-R5065/(3*F_GAMMA*R$29)</f>
        <v>1.6461224247654491</v>
      </c>
      <c r="S5066" s="133"/>
      <c r="T5066" s="146"/>
      <c r="U5066" s="138">
        <f>1-U5065/(3*F_GAMMA*U$29)</f>
        <v>-2.5820009736581406</v>
      </c>
      <c r="V5066" s="133"/>
      <c r="W5066" s="146"/>
      <c r="X5066" s="138">
        <f>1-X5065/(3*F_GAMMA*X$29)</f>
        <v>0.42483054008220611</v>
      </c>
      <c r="Y5066" s="133"/>
      <c r="Z5066" s="146"/>
      <c r="AA5066" s="138">
        <f>1-AA5065/(3*F_GAMMA*AA$29)</f>
        <v>0.45321839280144538</v>
      </c>
      <c r="AB5066" s="133"/>
      <c r="AC5066" s="146"/>
      <c r="AD5066" s="138">
        <f>1-AD5065/(3*F_GAMMA*AD$29)</f>
        <v>0.44547399456515979</v>
      </c>
      <c r="AE5066" s="133"/>
      <c r="AF5066" s="146"/>
      <c r="AG5066" s="138">
        <f>1-AG5065/(3*F_GAMMA*AG$29)</f>
        <v>0.41598044511751509</v>
      </c>
      <c r="AH5066" s="133"/>
      <c r="AI5066" s="146"/>
      <c r="AJ5066" s="138">
        <f>1-AJ5065/(3*F_GAMMA*AJ$29)</f>
        <v>0.37656322514297613</v>
      </c>
      <c r="AK5066" s="133"/>
      <c r="AL5066" s="146"/>
      <c r="AM5066" s="138">
        <f>1-AM5065/(3*F_GAMMA*AM$29)</f>
        <v>0.31926232922958642</v>
      </c>
      <c r="AN5066" s="133"/>
      <c r="AO5066" s="146"/>
      <c r="AP5066" s="138">
        <f>1-AP5065/(3*F_GAMMA*AP$29)</f>
        <v>0.43763010687210724</v>
      </c>
      <c r="AQ5066" s="133"/>
      <c r="AR5066" s="146"/>
      <c r="AS5066" s="138">
        <f>1-AS5065/(3*F_GAMMA*AS$29)</f>
        <v>0.14650039096021084</v>
      </c>
      <c r="AT5066" s="133"/>
      <c r="AU5066" s="146"/>
    </row>
    <row r="5067" spans="13:47" x14ac:dyDescent="0.25">
      <c r="M5067" s="12"/>
      <c r="N5067" s="12"/>
      <c r="O5067" s="2" t="s">
        <v>71</v>
      </c>
      <c r="P5067" s="85">
        <v>5</v>
      </c>
      <c r="Q5067" s="2"/>
      <c r="R5067" s="179" t="e">
        <f>R5059/((N_6*R$27*R5066)*SQRT(R5065*R5061*R5063))</f>
        <v>#NUM!</v>
      </c>
      <c r="S5067" s="133"/>
      <c r="T5067" s="146"/>
      <c r="U5067" s="143">
        <f>U5059/((N_6*U$27*U5066)*SQRT(U5065*U5061*U5063))</f>
        <v>-65.351814612041125</v>
      </c>
      <c r="V5067" s="133"/>
      <c r="W5067" s="146"/>
      <c r="X5067" s="143">
        <f>X5059/((N_6*X$27*X5066)*SQRT(X5065*X5061*X5063))</f>
        <v>37.169569116715714</v>
      </c>
      <c r="Y5067" s="133"/>
      <c r="Z5067" s="146"/>
      <c r="AA5067" s="143">
        <f>AA5059/((N_6*AA$27*AA5066)*SQRT(AA5065*AA5061*AA5063))</f>
        <v>16.430475316272489</v>
      </c>
      <c r="AB5067" s="133"/>
      <c r="AC5067" s="146"/>
      <c r="AD5067" s="143">
        <f>AD5059/((N_6*AD$27*AD5066)*SQRT(AD5065*AD5061*AD5063))</f>
        <v>10.089025086311498</v>
      </c>
      <c r="AE5067" s="133"/>
      <c r="AF5067" s="146"/>
      <c r="AG5067" s="143">
        <f>AG5059/((N_6*AG$27*AG5066)*SQRT(AG5065*AG5061*AG5063))</f>
        <v>7.8264342311281636</v>
      </c>
      <c r="AH5067" s="133"/>
      <c r="AI5067" s="146"/>
      <c r="AJ5067" s="143">
        <f>AJ5059/((N_6*AJ$27*AJ5066)*SQRT(AJ5065*AJ5061*AJ5063))</f>
        <v>7.0277385103446504</v>
      </c>
      <c r="AK5067" s="133"/>
      <c r="AL5067" s="146"/>
      <c r="AM5067" s="143">
        <f>AM5059/((N_6*AM$27*AM5066)*SQRT(AM5065*AM5061*AM5063))</f>
        <v>7.496086237412225</v>
      </c>
      <c r="AN5067" s="133"/>
      <c r="AO5067" s="146"/>
      <c r="AP5067" s="143">
        <f>AP5059/((N_6*AP$27*AP5066)*SQRT(AP5065*AP5061*AP5063))</f>
        <v>5.5651569631324938</v>
      </c>
      <c r="AQ5067" s="133"/>
      <c r="AR5067" s="146"/>
      <c r="AS5067" s="143">
        <f>AS5059/((N_6*AS$27*AS5066)*SQRT(AS5065*AS5061*AS5063))</f>
        <v>19.571502217291187</v>
      </c>
      <c r="AT5067" s="133"/>
      <c r="AU5067" s="146"/>
    </row>
    <row r="5068" spans="13:47" x14ac:dyDescent="0.25">
      <c r="M5068" s="12"/>
      <c r="N5068" s="12"/>
      <c r="O5068" s="2" t="s">
        <v>73</v>
      </c>
      <c r="P5068" s="85">
        <v>5</v>
      </c>
      <c r="Q5068" s="2"/>
      <c r="R5068" s="179">
        <f>R5059/((N_6*R$27*0.667)*SQRT(R5069*R5061*R5063))</f>
        <v>267.54081002560741</v>
      </c>
      <c r="S5068" s="133"/>
      <c r="T5068" s="155"/>
      <c r="U5068" s="143">
        <f>U5059/((N_6*U$27*0.667)*SQRT(U5069*U5061*U5063))</f>
        <v>829.30005843802076</v>
      </c>
      <c r="V5068" s="133"/>
      <c r="W5068" s="155"/>
      <c r="X5068" s="143">
        <f>X5059/((N_6*X$27*0.667)*SQRT(X5069*X5061*X5063))</f>
        <v>31.098250583496068</v>
      </c>
      <c r="Y5068" s="133"/>
      <c r="Z5068" s="155"/>
      <c r="AA5068" s="143">
        <f>AA5059/((N_6*AA$27*0.667)*SQRT(AA5069*AA5061*AA5063))</f>
        <v>14.298793549232094</v>
      </c>
      <c r="AB5068" s="133"/>
      <c r="AC5068" s="155"/>
      <c r="AD5068" s="143">
        <f>AD5059/((N_6*AD$27*0.667)*SQRT(AD5069*AD5061*AD5063))</f>
        <v>8.6909511854241632</v>
      </c>
      <c r="AE5068" s="133"/>
      <c r="AF5068" s="155"/>
      <c r="AG5068" s="143">
        <f>AG5059/((N_6*AG$27*0.667)*SQRT(AG5069*AG5061*AG5063))</f>
        <v>6.4607858075769604</v>
      </c>
      <c r="AH5068" s="133"/>
      <c r="AI5068" s="155"/>
      <c r="AJ5068" s="143">
        <f>AJ5059/((N_6*AJ$27*0.667)*SQRT(AJ5069*AJ5061*AJ5063))</f>
        <v>5.4260588587684806</v>
      </c>
      <c r="AK5068" s="133"/>
      <c r="AL5068" s="155"/>
      <c r="AM5068" s="143">
        <f>AM5059/((N_6*AM$27*0.667)*SQRT(AM5069*AM5061*AM5063))</f>
        <v>5.1275149768675172</v>
      </c>
      <c r="AN5068" s="133"/>
      <c r="AO5068" s="155"/>
      <c r="AP5068" s="143">
        <f>AP5059/((N_6*AP$27*0.667)*SQRT(AP5069*AP5061*AP5063))</f>
        <v>4.7427522018390187</v>
      </c>
      <c r="AQ5068" s="133"/>
      <c r="AR5068" s="155"/>
      <c r="AS5068" s="143">
        <f>AS5059/((N_6*AS$27*0.667)*SQRT(AS5069*AS5061*AS5063))</f>
        <v>6.878589647449358</v>
      </c>
      <c r="AT5068" s="133"/>
      <c r="AU5068" s="155"/>
    </row>
    <row r="5069" spans="13:47" ht="15.5" x14ac:dyDescent="0.4">
      <c r="M5069" s="12"/>
      <c r="N5069" s="12"/>
      <c r="O5069" s="2" t="s">
        <v>192</v>
      </c>
      <c r="P5069" s="85">
        <v>10</v>
      </c>
      <c r="Q5069" s="2"/>
      <c r="R5069" s="181">
        <f>F_GAMMA*R$29</f>
        <v>0.64002688015162901</v>
      </c>
      <c r="S5069" s="133"/>
      <c r="T5069" s="155"/>
      <c r="U5069" s="138">
        <f>F_GAMMA*U$29</f>
        <v>0.64016782916606918</v>
      </c>
      <c r="V5069" s="133"/>
      <c r="W5069" s="155"/>
      <c r="X5069" s="138">
        <f>F_GAMMA*X$29</f>
        <v>0.6307062319203669</v>
      </c>
      <c r="Y5069" s="133"/>
      <c r="Z5069" s="155"/>
      <c r="AA5069" s="138">
        <f>F_GAMMA*AA$29</f>
        <v>0.62217534213893466</v>
      </c>
      <c r="AB5069" s="133"/>
      <c r="AC5069" s="155"/>
      <c r="AD5069" s="138">
        <f>F_GAMMA*AD$29</f>
        <v>0.60557184969146072</v>
      </c>
      <c r="AE5069" s="133"/>
      <c r="AF5069" s="155"/>
      <c r="AG5069" s="138">
        <f>F_GAMMA*AG$29</f>
        <v>0.57289312142622573</v>
      </c>
      <c r="AH5069" s="133"/>
      <c r="AI5069" s="155"/>
      <c r="AJ5069" s="138">
        <f>F_GAMMA*AJ$29</f>
        <v>0.53590819116049981</v>
      </c>
      <c r="AK5069" s="133"/>
      <c r="AL5069" s="155"/>
      <c r="AM5069" s="138">
        <f>F_GAMMA*AM$29</f>
        <v>0.49048815926850342</v>
      </c>
      <c r="AN5069" s="133"/>
      <c r="AO5069" s="155"/>
      <c r="AP5069" s="138">
        <f>F_GAMMA*AP$29</f>
        <v>0.59352979016280105</v>
      </c>
      <c r="AQ5069" s="133"/>
      <c r="AR5069" s="155"/>
      <c r="AS5069" s="138">
        <f>F_GAMMA*AS$29</f>
        <v>0.39097221161068291</v>
      </c>
      <c r="AT5069" s="133"/>
      <c r="AU5069" s="155"/>
    </row>
    <row r="5070" spans="13:47" x14ac:dyDescent="0.25">
      <c r="M5070" s="12"/>
      <c r="N5070" s="12"/>
      <c r="O5070" s="2" t="s">
        <v>193</v>
      </c>
      <c r="P5070" s="134"/>
      <c r="Q5070" s="2"/>
      <c r="R5070" s="181" t="e">
        <f>IF(R5065&lt;R5069,R5067,R5068)</f>
        <v>#NUM!</v>
      </c>
      <c r="S5070" s="133"/>
      <c r="T5070" s="155"/>
      <c r="U5070" s="138">
        <f>IF(U5065&lt;U5069,U5067,U5068)</f>
        <v>829.30005843802076</v>
      </c>
      <c r="V5070" s="133"/>
      <c r="W5070" s="155"/>
      <c r="X5070" s="138">
        <f>IF(X5065&lt;X5069,X5067,X5068)</f>
        <v>31.098250583496068</v>
      </c>
      <c r="Y5070" s="133"/>
      <c r="Z5070" s="155"/>
      <c r="AA5070" s="138">
        <f>IF(AA5065&lt;AA5069,AA5067,AA5068)</f>
        <v>14.298793549232094</v>
      </c>
      <c r="AB5070" s="133"/>
      <c r="AC5070" s="155"/>
      <c r="AD5070" s="138">
        <f>IF(AD5065&lt;AD5069,AD5067,AD5068)</f>
        <v>8.6909511854241632</v>
      </c>
      <c r="AE5070" s="133"/>
      <c r="AF5070" s="155"/>
      <c r="AG5070" s="138">
        <f>IF(AG5065&lt;AG5069,AG5067,AG5068)</f>
        <v>6.4607858075769604</v>
      </c>
      <c r="AH5070" s="133"/>
      <c r="AI5070" s="155"/>
      <c r="AJ5070" s="138">
        <f>IF(AJ5065&lt;AJ5069,AJ5067,AJ5068)</f>
        <v>5.4260588587684806</v>
      </c>
      <c r="AK5070" s="133"/>
      <c r="AL5070" s="155"/>
      <c r="AM5070" s="138">
        <f>IF(AM5065&lt;AM5069,AM5067,AM5068)</f>
        <v>5.1275149768675172</v>
      </c>
      <c r="AN5070" s="133"/>
      <c r="AO5070" s="155"/>
      <c r="AP5070" s="138">
        <f>IF(AP5065&lt;AP5069,AP5067,AP5068)</f>
        <v>4.7427522018390187</v>
      </c>
      <c r="AQ5070" s="133"/>
      <c r="AR5070" s="155"/>
      <c r="AS5070" s="138">
        <f>IF(AS5065&lt;AS5069,AS5067,AS5068)</f>
        <v>6.878589647449358</v>
      </c>
      <c r="AT5070" s="133"/>
      <c r="AU5070" s="155"/>
    </row>
    <row r="5071" spans="13:47" ht="13" x14ac:dyDescent="0.3">
      <c r="M5071" s="12"/>
      <c r="N5071" s="12"/>
      <c r="O5071" s="9" t="s">
        <v>194</v>
      </c>
      <c r="P5071" s="1"/>
      <c r="Q5071" s="1"/>
      <c r="R5071" s="135"/>
      <c r="S5071" s="132">
        <f>IF(R5064&lt;=0,W_max,ABS(R$23-R5070))</f>
        <v>7174</v>
      </c>
      <c r="T5071" s="151">
        <f>R5059</f>
        <v>14004.485208553586</v>
      </c>
      <c r="U5071" s="135"/>
      <c r="V5071" s="132">
        <f>IF(U5064&lt;=0,W_max,ABS(U$23-U5070))</f>
        <v>7174</v>
      </c>
      <c r="W5071" s="151">
        <f>U5059</f>
        <v>16535.251090136069</v>
      </c>
      <c r="X5071" s="135"/>
      <c r="Y5071" s="132">
        <f>IF(X5064&lt;=0,W_max,ABS(X$23-X5070))</f>
        <v>7174</v>
      </c>
      <c r="Z5071" s="151">
        <f>X5059</f>
        <v>40893.643663852337</v>
      </c>
      <c r="AA5071" s="135"/>
      <c r="AB5071" s="132">
        <f>IF(AA5064&lt;=0,W_max,ABS(AA$23-AA5070))</f>
        <v>7174</v>
      </c>
      <c r="AC5071" s="151">
        <f>AA5059</f>
        <v>79650.379942204134</v>
      </c>
      <c r="AD5071" s="135"/>
      <c r="AE5071" s="132">
        <f>IF(AD5064&lt;=0,W_max,ABS(AD$23-AD5070))</f>
        <v>7174</v>
      </c>
      <c r="AF5071" s="151">
        <f>AD5059</f>
        <v>130995.5494749046</v>
      </c>
      <c r="AG5071" s="135"/>
      <c r="AH5071" s="132">
        <f>IF(AG5064&lt;=0,W_max,ABS(AG$23-AG5070))</f>
        <v>7174</v>
      </c>
      <c r="AI5071" s="151">
        <f>AG5059</f>
        <v>183731.34298413887</v>
      </c>
      <c r="AJ5071" s="135"/>
      <c r="AK5071" s="132">
        <f>IF(AJ5064&lt;=0,W_max,ABS(AJ$23-AJ5070))</f>
        <v>7174</v>
      </c>
      <c r="AL5071" s="151">
        <f>AJ5059</f>
        <v>233290.05220826229</v>
      </c>
      <c r="AM5071" s="135"/>
      <c r="AN5071" s="132">
        <f>IF(AM5064&lt;=0,W_max,ABS(AM$23-AM5070))</f>
        <v>7174</v>
      </c>
      <c r="AO5071" s="151">
        <f>AM5059</f>
        <v>273550.93329254322</v>
      </c>
      <c r="AP5071" s="135"/>
      <c r="AQ5071" s="132">
        <f>IF(AP5064&lt;=0,W_max,ABS(AP$23-AP5070))</f>
        <v>7174</v>
      </c>
      <c r="AR5071" s="151">
        <f>AP5059</f>
        <v>305192.11747524608</v>
      </c>
      <c r="AS5071" s="135"/>
      <c r="AT5071" s="132">
        <f>IF(AS5064&lt;=0,W_max,ABS(AS$23-AS5070))</f>
        <v>7174</v>
      </c>
      <c r="AU5071" s="151">
        <f>AS5059</f>
        <v>340493.18511889485</v>
      </c>
    </row>
    <row r="5072" spans="13:47" ht="13" x14ac:dyDescent="0.25">
      <c r="M5072" s="12"/>
      <c r="N5072" s="12"/>
      <c r="O5072" s="2"/>
      <c r="P5072" s="85"/>
      <c r="Q5072" s="2"/>
      <c r="R5072" s="18"/>
      <c r="S5072" s="150"/>
      <c r="T5072" s="148"/>
      <c r="U5072" s="157"/>
      <c r="V5072" s="1"/>
      <c r="W5072" s="147"/>
      <c r="X5072" s="157"/>
      <c r="Y5072" s="1"/>
      <c r="Z5072" s="147"/>
      <c r="AA5072" s="157"/>
      <c r="AB5072" s="1"/>
      <c r="AC5072" s="147"/>
      <c r="AD5072" s="157"/>
      <c r="AE5072" s="1"/>
      <c r="AF5072" s="147"/>
      <c r="AG5072" s="157"/>
      <c r="AH5072" s="1"/>
      <c r="AI5072" s="147"/>
      <c r="AJ5072" s="157"/>
      <c r="AK5072" s="1"/>
      <c r="AL5072" s="147"/>
      <c r="AM5072" s="157"/>
      <c r="AN5072" s="1"/>
      <c r="AO5072" s="147"/>
      <c r="AP5072" s="157"/>
      <c r="AQ5072" s="1"/>
      <c r="AR5072" s="147"/>
      <c r="AS5072" s="157"/>
      <c r="AT5072" s="1"/>
      <c r="AU5072" s="147"/>
    </row>
    <row r="5073" spans="13:47" ht="14" x14ac:dyDescent="0.3">
      <c r="M5073" s="12"/>
      <c r="N5073" s="12"/>
      <c r="O5073" s="23" t="s">
        <v>238</v>
      </c>
      <c r="P5073" s="20"/>
      <c r="Q5073" s="20"/>
      <c r="R5073" s="181">
        <f>R5059*1.02</f>
        <v>14284.574912724658</v>
      </c>
      <c r="S5073" s="128" t="s">
        <v>185</v>
      </c>
      <c r="T5073" s="149" t="s">
        <v>186</v>
      </c>
      <c r="U5073" s="143">
        <f>U5059*1.01</f>
        <v>16700.60360103743</v>
      </c>
      <c r="V5073" s="128" t="s">
        <v>185</v>
      </c>
      <c r="W5073" s="153" t="s">
        <v>186</v>
      </c>
      <c r="X5073" s="143">
        <f>X5059*1.01</f>
        <v>41302.580100490864</v>
      </c>
      <c r="Y5073" s="128" t="s">
        <v>185</v>
      </c>
      <c r="Z5073" s="153" t="s">
        <v>186</v>
      </c>
      <c r="AA5073" s="143">
        <f>AA5059*1.01</f>
        <v>80446.883741626181</v>
      </c>
      <c r="AB5073" s="128" t="s">
        <v>185</v>
      </c>
      <c r="AC5073" s="153" t="s">
        <v>186</v>
      </c>
      <c r="AD5073" s="143">
        <f>AD5059*1.01</f>
        <v>132305.50496965364</v>
      </c>
      <c r="AE5073" s="128" t="s">
        <v>185</v>
      </c>
      <c r="AF5073" s="153" t="s">
        <v>186</v>
      </c>
      <c r="AG5073" s="143">
        <f>AG5059*1.01</f>
        <v>185568.65641398026</v>
      </c>
      <c r="AH5073" s="128" t="s">
        <v>185</v>
      </c>
      <c r="AI5073" s="153" t="s">
        <v>186</v>
      </c>
      <c r="AJ5073" s="143">
        <f>AJ5059*1.01</f>
        <v>235622.95273034493</v>
      </c>
      <c r="AK5073" s="128" t="s">
        <v>185</v>
      </c>
      <c r="AL5073" s="153" t="s">
        <v>186</v>
      </c>
      <c r="AM5073" s="143">
        <f>AM5059*1.01</f>
        <v>276286.44262546866</v>
      </c>
      <c r="AN5073" s="128" t="s">
        <v>185</v>
      </c>
      <c r="AO5073" s="153" t="s">
        <v>186</v>
      </c>
      <c r="AP5073" s="143">
        <f>AP5059*1.01</f>
        <v>308244.03864999855</v>
      </c>
      <c r="AQ5073" s="128" t="s">
        <v>185</v>
      </c>
      <c r="AR5073" s="153" t="s">
        <v>186</v>
      </c>
      <c r="AS5073" s="143">
        <f>AS5059*1.01</f>
        <v>343898.11697008379</v>
      </c>
      <c r="AT5073" s="128" t="s">
        <v>185</v>
      </c>
      <c r="AU5073" s="153" t="s">
        <v>186</v>
      </c>
    </row>
    <row r="5074" spans="13:47" ht="14" x14ac:dyDescent="0.3">
      <c r="M5074" s="12"/>
      <c r="N5074" s="12"/>
      <c r="O5074" s="20"/>
      <c r="P5074" s="20"/>
      <c r="Q5074" s="23"/>
      <c r="R5074" s="139"/>
      <c r="S5074" s="130" t="s">
        <v>228</v>
      </c>
      <c r="T5074" s="131" t="s">
        <v>187</v>
      </c>
      <c r="U5074" s="144"/>
      <c r="V5074" s="130" t="s">
        <v>228</v>
      </c>
      <c r="W5074" s="154" t="s">
        <v>187</v>
      </c>
      <c r="X5074" s="144"/>
      <c r="Y5074" s="130" t="s">
        <v>228</v>
      </c>
      <c r="Z5074" s="154" t="s">
        <v>187</v>
      </c>
      <c r="AA5074" s="144"/>
      <c r="AB5074" s="130" t="s">
        <v>228</v>
      </c>
      <c r="AC5074" s="154" t="s">
        <v>187</v>
      </c>
      <c r="AD5074" s="144"/>
      <c r="AE5074" s="130" t="s">
        <v>228</v>
      </c>
      <c r="AF5074" s="154" t="s">
        <v>187</v>
      </c>
      <c r="AG5074" s="144"/>
      <c r="AH5074" s="130" t="s">
        <v>228</v>
      </c>
      <c r="AI5074" s="154" t="s">
        <v>187</v>
      </c>
      <c r="AJ5074" s="144"/>
      <c r="AK5074" s="130" t="s">
        <v>228</v>
      </c>
      <c r="AL5074" s="154" t="s">
        <v>187</v>
      </c>
      <c r="AM5074" s="144"/>
      <c r="AN5074" s="130" t="s">
        <v>228</v>
      </c>
      <c r="AO5074" s="154" t="s">
        <v>187</v>
      </c>
      <c r="AP5074" s="144"/>
      <c r="AQ5074" s="130" t="s">
        <v>228</v>
      </c>
      <c r="AR5074" s="154" t="s">
        <v>187</v>
      </c>
      <c r="AS5074" s="144"/>
      <c r="AT5074" s="130" t="s">
        <v>228</v>
      </c>
      <c r="AU5074" s="154" t="s">
        <v>187</v>
      </c>
    </row>
    <row r="5075" spans="13:47" x14ac:dyDescent="0.25">
      <c r="M5075" s="12"/>
      <c r="N5075" s="12"/>
      <c r="O5075" s="7" t="s">
        <v>188</v>
      </c>
      <c r="P5075" s="7"/>
      <c r="Q5075" s="7"/>
      <c r="R5075" s="181">
        <f>P_1_minW-(R5073^2*R_up)+dpup_minQ</f>
        <v>19.155800680872801</v>
      </c>
      <c r="S5075" s="132"/>
      <c r="T5075" s="145"/>
      <c r="U5075" s="138">
        <f>P_1_minW-(U5073^2*R_up)+dpup_minQ</f>
        <v>-10.695941144421511</v>
      </c>
      <c r="V5075" s="132"/>
      <c r="W5075" s="145"/>
      <c r="X5075" s="138">
        <f>P_1_minW-(X5073^2*R_up)+dpup_minQ</f>
        <v>-579.7262755030232</v>
      </c>
      <c r="Y5075" s="132"/>
      <c r="Z5075" s="145"/>
      <c r="AA5075" s="138">
        <f>P_1_minW-(AA5073^2*R_up)+dpup_minQ</f>
        <v>-2480.144630813918</v>
      </c>
      <c r="AB5075" s="132"/>
      <c r="AC5075" s="145"/>
      <c r="AD5075" s="138">
        <f>P_1_minW-(AD5073^2*R_up)+dpup_minQ</f>
        <v>-6879.7021333917937</v>
      </c>
      <c r="AE5075" s="132"/>
      <c r="AF5075" s="145"/>
      <c r="AG5075" s="138">
        <f>P_1_minW-(AG5073^2*R_up)+dpup_minQ</f>
        <v>-13631.130652018812</v>
      </c>
      <c r="AH5075" s="132"/>
      <c r="AI5075" s="145"/>
      <c r="AJ5075" s="138">
        <f>P_1_minW-(AJ5073^2*R_up)+dpup_minQ</f>
        <v>-22038.006976923058</v>
      </c>
      <c r="AK5075" s="132"/>
      <c r="AL5075" s="145"/>
      <c r="AM5075" s="138">
        <f>P_1_minW-(AM5073^2*R_up)+dpup_minQ</f>
        <v>-30338.642348190573</v>
      </c>
      <c r="AN5075" s="132"/>
      <c r="AO5075" s="145"/>
      <c r="AP5075" s="138">
        <f>P_1_minW-(AP5073^2*R_up)+dpup_minQ</f>
        <v>-37787.588814284587</v>
      </c>
      <c r="AQ5075" s="132"/>
      <c r="AR5075" s="145"/>
      <c r="AS5075" s="138">
        <f>P_1_minW-(AS5073^2*R_up)+dpup_minQ</f>
        <v>-47059.410619067356</v>
      </c>
      <c r="AT5075" s="132"/>
      <c r="AU5075" s="145"/>
    </row>
    <row r="5076" spans="13:47" x14ac:dyDescent="0.25">
      <c r="M5076" s="12"/>
      <c r="N5076" s="12"/>
      <c r="O5076" s="7" t="s">
        <v>189</v>
      </c>
      <c r="P5076" s="1"/>
      <c r="Q5076" s="7"/>
      <c r="R5076" s="181">
        <f>P_2_minW+(R5073^2*R_dn)-dpdn_minQ</f>
        <v>50</v>
      </c>
      <c r="S5076" s="132"/>
      <c r="T5076" s="146"/>
      <c r="U5076" s="138">
        <f>P_2_minW+(U5073^2*R_dn)-dpdn_minQ</f>
        <v>50</v>
      </c>
      <c r="V5076" s="132"/>
      <c r="W5076" s="146"/>
      <c r="X5076" s="138">
        <f>P_2_minW+(X5073^2*R_dn)-dpdn_minQ</f>
        <v>50</v>
      </c>
      <c r="Y5076" s="132"/>
      <c r="Z5076" s="146"/>
      <c r="AA5076" s="138">
        <f>P_2_minW+(AA5073^2*R_dn)-dpdn_minQ</f>
        <v>50</v>
      </c>
      <c r="AB5076" s="132"/>
      <c r="AC5076" s="146"/>
      <c r="AD5076" s="138">
        <f>P_2_minW+(AD5073^2*R_dn)-dpdn_minQ</f>
        <v>50</v>
      </c>
      <c r="AE5076" s="132"/>
      <c r="AF5076" s="146"/>
      <c r="AG5076" s="138">
        <f>P_2_minW+(AG5073^2*R_dn)-dpdn_minQ</f>
        <v>50</v>
      </c>
      <c r="AH5076" s="132"/>
      <c r="AI5076" s="146"/>
      <c r="AJ5076" s="138">
        <f>P_2_minW+(AJ5073^2*R_dn)-dpdn_minQ</f>
        <v>50</v>
      </c>
      <c r="AK5076" s="132"/>
      <c r="AL5076" s="146"/>
      <c r="AM5076" s="138">
        <f>P_2_minW+(AM5073^2*R_dn)-dpdn_minQ</f>
        <v>50</v>
      </c>
      <c r="AN5076" s="132"/>
      <c r="AO5076" s="146"/>
      <c r="AP5076" s="138">
        <f>P_2_minW+(AP5073^2*R_dn)-dpdn_minQ</f>
        <v>50</v>
      </c>
      <c r="AQ5076" s="132"/>
      <c r="AR5076" s="146"/>
      <c r="AS5076" s="138">
        <f>P_2_minW+(AS5073^2*R_dn)-dpdn_minQ</f>
        <v>50</v>
      </c>
      <c r="AT5076" s="132"/>
      <c r="AU5076" s="146"/>
    </row>
    <row r="5077" spans="13:47" x14ac:dyDescent="0.25">
      <c r="M5077" s="12"/>
      <c r="N5077" s="12"/>
      <c r="O5077" s="7" t="s">
        <v>234</v>
      </c>
      <c r="P5077" s="1"/>
      <c r="Q5077" s="7"/>
      <c r="R5077" s="179">
        <f>'Valve Sizing'!G$8*R5075/P_1_maxW</f>
        <v>9.2404172004427812E-2</v>
      </c>
      <c r="S5077" s="132"/>
      <c r="T5077" s="146"/>
      <c r="U5077" s="143">
        <f>'Valve Sizing'!$G$8*U5075/P_1_maxW</f>
        <v>-5.1595315785741891E-2</v>
      </c>
      <c r="V5077" s="132"/>
      <c r="W5077" s="146"/>
      <c r="X5077" s="143">
        <f>'Valve Sizing'!$G$8*X5075/P_1_maxW</f>
        <v>-2.7964963391249316</v>
      </c>
      <c r="Y5077" s="132"/>
      <c r="Z5077" s="146"/>
      <c r="AA5077" s="143">
        <f>'Valve Sizing'!$G$8*AA5075/P_1_maxW</f>
        <v>-11.963776136511012</v>
      </c>
      <c r="AB5077" s="132"/>
      <c r="AC5077" s="146"/>
      <c r="AD5077" s="143">
        <f>'Valve Sizing'!$G$8*AD5075/P_1_maxW</f>
        <v>-33.186458236012456</v>
      </c>
      <c r="AE5077" s="132"/>
      <c r="AF5077" s="146"/>
      <c r="AG5077" s="143">
        <f>'Valve Sizing'!$G$8*AG5075/P_1_maxW</f>
        <v>-65.754147392109118</v>
      </c>
      <c r="AH5077" s="132"/>
      <c r="AI5077" s="146"/>
      <c r="AJ5077" s="143">
        <f>'Valve Sizing'!$G$8*AJ5075/P_1_maxW</f>
        <v>-106.30742203137149</v>
      </c>
      <c r="AK5077" s="132"/>
      <c r="AL5077" s="146"/>
      <c r="AM5077" s="143">
        <f>'Valve Sizing'!$G$8*AM5075/P_1_maxW</f>
        <v>-146.34820922532623</v>
      </c>
      <c r="AN5077" s="132"/>
      <c r="AO5077" s="146"/>
      <c r="AP5077" s="143">
        <f>'Valve Sizing'!$G$8*AP5075/P_1_maxW</f>
        <v>-182.28060077458744</v>
      </c>
      <c r="AQ5077" s="132"/>
      <c r="AR5077" s="146"/>
      <c r="AS5077" s="143">
        <f>'Valve Sizing'!$G$8*AS5075/P_1_maxW</f>
        <v>-227.0062184147327</v>
      </c>
      <c r="AT5077" s="132"/>
      <c r="AU5077" s="146"/>
    </row>
    <row r="5078" spans="13:47" x14ac:dyDescent="0.25">
      <c r="M5078" s="12"/>
      <c r="N5078" s="12"/>
      <c r="O5078" s="7" t="s">
        <v>190</v>
      </c>
      <c r="P5078" s="1"/>
      <c r="Q5078" s="7"/>
      <c r="R5078" s="181">
        <f>R5075-R5076</f>
        <v>-30.844199319127199</v>
      </c>
      <c r="S5078" s="132"/>
      <c r="T5078" s="146"/>
      <c r="U5078" s="138">
        <f>U5075-U5076</f>
        <v>-60.695941144421511</v>
      </c>
      <c r="V5078" s="132"/>
      <c r="W5078" s="146"/>
      <c r="X5078" s="138">
        <f>X5075-X5076</f>
        <v>-629.7262755030232</v>
      </c>
      <c r="Y5078" s="132"/>
      <c r="Z5078" s="146"/>
      <c r="AA5078" s="138">
        <f>AA5075-AA5076</f>
        <v>-2530.144630813918</v>
      </c>
      <c r="AB5078" s="132"/>
      <c r="AC5078" s="146"/>
      <c r="AD5078" s="138">
        <f>AD5075-AD5076</f>
        <v>-6929.7021333917937</v>
      </c>
      <c r="AE5078" s="132"/>
      <c r="AF5078" s="146"/>
      <c r="AG5078" s="138">
        <f>AG5075-AG5076</f>
        <v>-13681.130652018812</v>
      </c>
      <c r="AH5078" s="132"/>
      <c r="AI5078" s="146"/>
      <c r="AJ5078" s="138">
        <f>AJ5075-AJ5076</f>
        <v>-22088.006976923058</v>
      </c>
      <c r="AK5078" s="132"/>
      <c r="AL5078" s="146"/>
      <c r="AM5078" s="138">
        <f>AM5075-AM5076</f>
        <v>-30388.642348190573</v>
      </c>
      <c r="AN5078" s="132"/>
      <c r="AO5078" s="146"/>
      <c r="AP5078" s="138">
        <f>AP5075-AP5076</f>
        <v>-37837.588814284587</v>
      </c>
      <c r="AQ5078" s="132"/>
      <c r="AR5078" s="146"/>
      <c r="AS5078" s="138">
        <f>AS5075-AS5076</f>
        <v>-47109.410619067356</v>
      </c>
      <c r="AT5078" s="132"/>
      <c r="AU5078" s="146"/>
    </row>
    <row r="5079" spans="13:47" ht="14.5" x14ac:dyDescent="0.35">
      <c r="M5079" s="12"/>
      <c r="N5079" s="12"/>
      <c r="O5079" s="2" t="s">
        <v>191</v>
      </c>
      <c r="P5079" s="10"/>
      <c r="Q5079" s="2"/>
      <c r="R5079" s="181">
        <f>R5078/R5075</f>
        <v>-1.6101754154252266</v>
      </c>
      <c r="S5079" s="132"/>
      <c r="T5079" s="146"/>
      <c r="U5079" s="138">
        <f>U5078/U5075</f>
        <v>5.6746704497413578</v>
      </c>
      <c r="V5079" s="132"/>
      <c r="W5079" s="146"/>
      <c r="X5079" s="138">
        <f>X5078/X5075</f>
        <v>1.0862476001395924</v>
      </c>
      <c r="Y5079" s="132"/>
      <c r="Z5079" s="146"/>
      <c r="AA5079" s="138">
        <f>AA5078/AA5075</f>
        <v>1.0201601146073451</v>
      </c>
      <c r="AB5079" s="132"/>
      <c r="AC5079" s="146"/>
      <c r="AD5079" s="138">
        <f>AD5078/AD5075</f>
        <v>1.0072677565148229</v>
      </c>
      <c r="AE5079" s="132"/>
      <c r="AF5079" s="146"/>
      <c r="AG5079" s="138">
        <f>AG5078/AG5075</f>
        <v>1.0036680742981945</v>
      </c>
      <c r="AH5079" s="132"/>
      <c r="AI5079" s="146"/>
      <c r="AJ5079" s="138">
        <f>AJ5078/AJ5075</f>
        <v>1.002268807703544</v>
      </c>
      <c r="AK5079" s="132"/>
      <c r="AL5079" s="146"/>
      <c r="AM5079" s="138">
        <f>AM5078/AM5075</f>
        <v>1.0016480632002631</v>
      </c>
      <c r="AN5079" s="132"/>
      <c r="AO5079" s="146"/>
      <c r="AP5079" s="138">
        <f>AP5078/AP5075</f>
        <v>1.0013231857752485</v>
      </c>
      <c r="AQ5079" s="132"/>
      <c r="AR5079" s="146"/>
      <c r="AS5079" s="138">
        <f>AS5078/AS5075</f>
        <v>1.0010624867447817</v>
      </c>
      <c r="AT5079" s="132"/>
      <c r="AU5079" s="146"/>
    </row>
    <row r="5080" spans="13:47" x14ac:dyDescent="0.25">
      <c r="M5080" s="12"/>
      <c r="N5080" s="12"/>
      <c r="O5080" s="2" t="s">
        <v>26</v>
      </c>
      <c r="P5080" s="7">
        <v>12</v>
      </c>
      <c r="Q5080" s="2"/>
      <c r="R5080" s="181">
        <f>1-R5079/(3*F_GAMMA*R$29)</f>
        <v>1.8385978075607072</v>
      </c>
      <c r="S5080" s="133"/>
      <c r="T5080" s="146"/>
      <c r="U5080" s="138">
        <f>1-U5079/(3*F_GAMMA*U$29)</f>
        <v>-1.9547826841666454</v>
      </c>
      <c r="V5080" s="133"/>
      <c r="W5080" s="146"/>
      <c r="X5080" s="138">
        <f>1-X5079/(3*F_GAMMA*X$29)</f>
        <v>0.42590937736987389</v>
      </c>
      <c r="Y5080" s="133"/>
      <c r="Z5080" s="146"/>
      <c r="AA5080" s="138">
        <f>1-AA5079/(3*F_GAMMA*AA$29)</f>
        <v>0.45344447376082897</v>
      </c>
      <c r="AB5080" s="133"/>
      <c r="AC5080" s="146"/>
      <c r="AD5080" s="138">
        <f>1-AD5079/(3*F_GAMMA*AD$29)</f>
        <v>0.4455556033370075</v>
      </c>
      <c r="AE5080" s="133"/>
      <c r="AF5080" s="146"/>
      <c r="AG5080" s="138">
        <f>1-AG5079/(3*F_GAMMA*AG$29)</f>
        <v>0.41602366610165831</v>
      </c>
      <c r="AH5080" s="133"/>
      <c r="AI5080" s="146"/>
      <c r="AJ5080" s="138">
        <f>1-AJ5079/(3*F_GAMMA*AJ$29)</f>
        <v>0.3765917220925793</v>
      </c>
      <c r="AK5080" s="133"/>
      <c r="AL5080" s="146"/>
      <c r="AM5080" s="138">
        <f>1-AM5079/(3*F_GAMMA*AM$29)</f>
        <v>0.31928491763927236</v>
      </c>
      <c r="AN5080" s="133"/>
      <c r="AO5080" s="146"/>
      <c r="AP5080" s="138">
        <f>1-AP5079/(3*F_GAMMA*AP$29)</f>
        <v>0.43764508405405533</v>
      </c>
      <c r="AQ5080" s="133"/>
      <c r="AR5080" s="146"/>
      <c r="AS5080" s="138">
        <f>1-AS5079/(3*F_GAMMA*AS$29)</f>
        <v>0.1465186382251924</v>
      </c>
      <c r="AT5080" s="133"/>
      <c r="AU5080" s="146"/>
    </row>
    <row r="5081" spans="13:47" x14ac:dyDescent="0.25">
      <c r="M5081" s="12"/>
      <c r="N5081" s="12"/>
      <c r="O5081" s="2" t="s">
        <v>71</v>
      </c>
      <c r="P5081" s="85">
        <v>5</v>
      </c>
      <c r="Q5081" s="2"/>
      <c r="R5081" s="179" t="e">
        <f>R5073/((N_6*R$27*R5080)*SQRT(R5079*R5075*R5077))</f>
        <v>#NUM!</v>
      </c>
      <c r="S5081" s="133"/>
      <c r="T5081" s="146"/>
      <c r="U5081" s="143">
        <f>U5073/((N_6*U$27*U5080)*SQRT(U5079*U5075*U5077))</f>
        <v>-76.324933567031337</v>
      </c>
      <c r="V5081" s="133"/>
      <c r="W5081" s="146"/>
      <c r="X5081" s="143">
        <f>X5073/((N_6*X$27*X5080)*SQRT(X5079*X5075*X5077))</f>
        <v>36.61475068684328</v>
      </c>
      <c r="Y5081" s="133"/>
      <c r="Z5081" s="146"/>
      <c r="AA5081" s="143">
        <f>AA5073/((N_6*AA$27*AA5080)*SQRT(AA5079*AA5075*AA5077))</f>
        <v>16.249799912418535</v>
      </c>
      <c r="AB5081" s="133"/>
      <c r="AC5081" s="146"/>
      <c r="AD5081" s="143">
        <f>AD5073/((N_6*AD$27*AD5080)*SQRT(AD5079*AD5075*AD5077))</f>
        <v>9.9851057112462591</v>
      </c>
      <c r="AE5081" s="133"/>
      <c r="AF5081" s="146"/>
      <c r="AG5081" s="143">
        <f>AG5073/((N_6*AG$27*AG5080)*SQRT(AG5079*AG5075*AG5077))</f>
        <v>7.7472779309994753</v>
      </c>
      <c r="AH5081" s="133"/>
      <c r="AI5081" s="146"/>
      <c r="AJ5081" s="143">
        <f>AJ5073/((N_6*AJ$27*AJ5080)*SQRT(AJ5079*AJ5075*AJ5077))</f>
        <v>6.9571515224801468</v>
      </c>
      <c r="AK5081" s="133"/>
      <c r="AL5081" s="146"/>
      <c r="AM5081" s="143">
        <f>AM5073/((N_6*AM$27*AM5080)*SQRT(AM5079*AM5075*AM5077))</f>
        <v>7.4209713609017012</v>
      </c>
      <c r="AN5081" s="133"/>
      <c r="AO5081" s="146"/>
      <c r="AP5081" s="143">
        <f>AP5073/((N_6*AP$27*AP5080)*SQRT(AP5079*AP5075*AP5077))</f>
        <v>5.5096465870411651</v>
      </c>
      <c r="AQ5081" s="133"/>
      <c r="AR5081" s="146"/>
      <c r="AS5081" s="143">
        <f>AS5073/((N_6*AS$27*AS5080)*SQRT(AS5079*AS5075*AS5077))</f>
        <v>19.374686913885295</v>
      </c>
      <c r="AT5081" s="133"/>
      <c r="AU5081" s="146"/>
    </row>
    <row r="5082" spans="13:47" x14ac:dyDescent="0.25">
      <c r="M5082" s="12"/>
      <c r="N5082" s="12"/>
      <c r="O5082" s="2" t="s">
        <v>73</v>
      </c>
      <c r="P5082" s="85">
        <v>5</v>
      </c>
      <c r="Q5082" s="2"/>
      <c r="R5082" s="179">
        <f>R5073/((N_6*R$27*0.667)*SQRT(R5083*R5075*R5077))</f>
        <v>317.90267693296425</v>
      </c>
      <c r="S5082" s="133"/>
      <c r="T5082" s="147"/>
      <c r="U5082" s="143">
        <f>U5073/((N_6*U$27*0.667)*SQRT(U5083*U5075*U5077))</f>
        <v>665.98198931100978</v>
      </c>
      <c r="V5082" s="133"/>
      <c r="W5082" s="155"/>
      <c r="X5082" s="143">
        <f>X5073/((N_6*X$27*0.667)*SQRT(X5083*X5075*X5077))</f>
        <v>30.683034151575121</v>
      </c>
      <c r="Y5082" s="133"/>
      <c r="Z5082" s="155"/>
      <c r="AA5082" s="143">
        <f>AA5073/((N_6*AA$27*0.667)*SQRT(AA5083*AA5075*AA5077))</f>
        <v>14.145687823351009</v>
      </c>
      <c r="AB5082" s="133"/>
      <c r="AC5082" s="155"/>
      <c r="AD5082" s="143">
        <f>AD5073/((N_6*AD$27*0.667)*SQRT(AD5083*AD5075*AD5077))</f>
        <v>8.6023749796961457</v>
      </c>
      <c r="AE5082" s="133"/>
      <c r="AF5082" s="155"/>
      <c r="AG5082" s="143">
        <f>AG5073/((N_6*AG$27*0.667)*SQRT(AG5083*AG5075*AG5077))</f>
        <v>6.3958694471690851</v>
      </c>
      <c r="AH5082" s="133"/>
      <c r="AI5082" s="155"/>
      <c r="AJ5082" s="143">
        <f>AJ5073/((N_6*AJ$27*0.667)*SQRT(AJ5083*AJ5075*AJ5077))</f>
        <v>5.3718429525241831</v>
      </c>
      <c r="AK5082" s="133"/>
      <c r="AL5082" s="155"/>
      <c r="AM5082" s="143">
        <f>AM5073/((N_6*AM$27*0.667)*SQRT(AM5083*AM5075*AM5077))</f>
        <v>5.0764093980904024</v>
      </c>
      <c r="AN5082" s="133"/>
      <c r="AO5082" s="155"/>
      <c r="AP5082" s="143">
        <f>AP5073/((N_6*AP$27*0.667)*SQRT(AP5083*AP5075*AP5077))</f>
        <v>4.6955431744266996</v>
      </c>
      <c r="AQ5082" s="133"/>
      <c r="AR5082" s="155"/>
      <c r="AS5082" s="143">
        <f>AS5073/((N_6*AS$27*0.667)*SQRT(AS5083*AS5075*AS5077))</f>
        <v>6.8101923895216769</v>
      </c>
      <c r="AT5082" s="133"/>
      <c r="AU5082" s="155"/>
    </row>
    <row r="5083" spans="13:47" ht="15.5" x14ac:dyDescent="0.4">
      <c r="M5083" s="12"/>
      <c r="N5083" s="12"/>
      <c r="O5083" s="2" t="s">
        <v>192</v>
      </c>
      <c r="P5083" s="85">
        <v>10</v>
      </c>
      <c r="Q5083" s="2"/>
      <c r="R5083" s="181">
        <f>F_GAMMA*R$29</f>
        <v>0.64002688015162901</v>
      </c>
      <c r="S5083" s="133"/>
      <c r="T5083" s="147"/>
      <c r="U5083" s="138">
        <f>F_GAMMA*U$29</f>
        <v>0.64016782916606918</v>
      </c>
      <c r="V5083" s="133"/>
      <c r="W5083" s="155"/>
      <c r="X5083" s="138">
        <f>F_GAMMA*X$29</f>
        <v>0.6307062319203669</v>
      </c>
      <c r="Y5083" s="133"/>
      <c r="Z5083" s="155"/>
      <c r="AA5083" s="138">
        <f>F_GAMMA*AA$29</f>
        <v>0.62217534213893466</v>
      </c>
      <c r="AB5083" s="133"/>
      <c r="AC5083" s="155"/>
      <c r="AD5083" s="138">
        <f>F_GAMMA*AD$29</f>
        <v>0.60557184969146072</v>
      </c>
      <c r="AE5083" s="133"/>
      <c r="AF5083" s="155"/>
      <c r="AG5083" s="138">
        <f>F_GAMMA*AG$29</f>
        <v>0.57289312142622573</v>
      </c>
      <c r="AH5083" s="133"/>
      <c r="AI5083" s="155"/>
      <c r="AJ5083" s="138">
        <f>F_GAMMA*AJ$29</f>
        <v>0.53590819116049981</v>
      </c>
      <c r="AK5083" s="133"/>
      <c r="AL5083" s="155"/>
      <c r="AM5083" s="138">
        <f>F_GAMMA*AM$29</f>
        <v>0.49048815926850342</v>
      </c>
      <c r="AN5083" s="133"/>
      <c r="AO5083" s="155"/>
      <c r="AP5083" s="138">
        <f>F_GAMMA*AP$29</f>
        <v>0.59352979016280105</v>
      </c>
      <c r="AQ5083" s="133"/>
      <c r="AR5083" s="155"/>
      <c r="AS5083" s="138">
        <f>F_GAMMA*AS$29</f>
        <v>0.39097221161068291</v>
      </c>
      <c r="AT5083" s="133"/>
      <c r="AU5083" s="155"/>
    </row>
    <row r="5084" spans="13:47" x14ac:dyDescent="0.25">
      <c r="M5084" s="12"/>
      <c r="N5084" s="12"/>
      <c r="O5084" s="2" t="s">
        <v>193</v>
      </c>
      <c r="P5084" s="134"/>
      <c r="Q5084" s="2"/>
      <c r="R5084" s="181" t="e">
        <f>IF(R5079&lt;R5083,R5081,R5082)</f>
        <v>#NUM!</v>
      </c>
      <c r="S5084" s="133"/>
      <c r="T5084" s="147"/>
      <c r="U5084" s="138">
        <f>IF(U5079&lt;U5083,U5081,U5082)</f>
        <v>665.98198931100978</v>
      </c>
      <c r="V5084" s="133"/>
      <c r="W5084" s="155"/>
      <c r="X5084" s="138">
        <f>IF(X5079&lt;X5083,X5081,X5082)</f>
        <v>30.683034151575121</v>
      </c>
      <c r="Y5084" s="133"/>
      <c r="Z5084" s="155"/>
      <c r="AA5084" s="138">
        <f>IF(AA5079&lt;AA5083,AA5081,AA5082)</f>
        <v>14.145687823351009</v>
      </c>
      <c r="AB5084" s="133"/>
      <c r="AC5084" s="155"/>
      <c r="AD5084" s="138">
        <f>IF(AD5079&lt;AD5083,AD5081,AD5082)</f>
        <v>8.6023749796961457</v>
      </c>
      <c r="AE5084" s="133"/>
      <c r="AF5084" s="155"/>
      <c r="AG5084" s="138">
        <f>IF(AG5079&lt;AG5083,AG5081,AG5082)</f>
        <v>6.3958694471690851</v>
      </c>
      <c r="AH5084" s="133"/>
      <c r="AI5084" s="155"/>
      <c r="AJ5084" s="138">
        <f>IF(AJ5079&lt;AJ5083,AJ5081,AJ5082)</f>
        <v>5.3718429525241831</v>
      </c>
      <c r="AK5084" s="133"/>
      <c r="AL5084" s="155"/>
      <c r="AM5084" s="138">
        <f>IF(AM5079&lt;AM5083,AM5081,AM5082)</f>
        <v>5.0764093980904024</v>
      </c>
      <c r="AN5084" s="133"/>
      <c r="AO5084" s="155"/>
      <c r="AP5084" s="138">
        <f>IF(AP5079&lt;AP5083,AP5081,AP5082)</f>
        <v>4.6955431744266996</v>
      </c>
      <c r="AQ5084" s="133"/>
      <c r="AR5084" s="155"/>
      <c r="AS5084" s="138">
        <f>IF(AS5079&lt;AS5083,AS5081,AS5082)</f>
        <v>6.8101923895216769</v>
      </c>
      <c r="AT5084" s="133"/>
      <c r="AU5084" s="155"/>
    </row>
    <row r="5085" spans="13:47" ht="13" x14ac:dyDescent="0.3">
      <c r="M5085" s="12"/>
      <c r="N5085" s="12"/>
      <c r="O5085" s="9" t="s">
        <v>194</v>
      </c>
      <c r="P5085" s="1"/>
      <c r="Q5085" s="1"/>
      <c r="R5085" s="135"/>
      <c r="S5085" s="132">
        <f>IF(R5078&lt;=0,W_max,ABS(R$23-R5084))</f>
        <v>7174</v>
      </c>
      <c r="T5085" s="151">
        <f>R5073</f>
        <v>14284.574912724658</v>
      </c>
      <c r="U5085" s="135"/>
      <c r="V5085" s="132">
        <f>IF(U5078&lt;=0,W_max,ABS(U$23-U5084))</f>
        <v>7174</v>
      </c>
      <c r="W5085" s="151">
        <f>U5073</f>
        <v>16700.60360103743</v>
      </c>
      <c r="X5085" s="135"/>
      <c r="Y5085" s="132">
        <f>IF(X5078&lt;=0,W_max,ABS(X$23-X5084))</f>
        <v>7174</v>
      </c>
      <c r="Z5085" s="151">
        <f>X5073</f>
        <v>41302.580100490864</v>
      </c>
      <c r="AA5085" s="135"/>
      <c r="AB5085" s="132">
        <f>IF(AA5078&lt;=0,W_max,ABS(AA$23-AA5084))</f>
        <v>7174</v>
      </c>
      <c r="AC5085" s="151">
        <f>AA5073</f>
        <v>80446.883741626181</v>
      </c>
      <c r="AD5085" s="135"/>
      <c r="AE5085" s="132">
        <f>IF(AD5078&lt;=0,W_max,ABS(AD$23-AD5084))</f>
        <v>7174</v>
      </c>
      <c r="AF5085" s="151">
        <f>AD5073</f>
        <v>132305.50496965364</v>
      </c>
      <c r="AG5085" s="135"/>
      <c r="AH5085" s="132">
        <f>IF(AG5078&lt;=0,W_max,ABS(AG$23-AG5084))</f>
        <v>7174</v>
      </c>
      <c r="AI5085" s="151">
        <f>AG5073</f>
        <v>185568.65641398026</v>
      </c>
      <c r="AJ5085" s="135"/>
      <c r="AK5085" s="132">
        <f>IF(AJ5078&lt;=0,W_max,ABS(AJ$23-AJ5084))</f>
        <v>7174</v>
      </c>
      <c r="AL5085" s="151">
        <f>AJ5073</f>
        <v>235622.95273034493</v>
      </c>
      <c r="AM5085" s="135"/>
      <c r="AN5085" s="132">
        <f>IF(AM5078&lt;=0,W_max,ABS(AM$23-AM5084))</f>
        <v>7174</v>
      </c>
      <c r="AO5085" s="151">
        <f>AM5073</f>
        <v>276286.44262546866</v>
      </c>
      <c r="AP5085" s="135"/>
      <c r="AQ5085" s="132">
        <f>IF(AP5078&lt;=0,W_max,ABS(AP$23-AP5084))</f>
        <v>7174</v>
      </c>
      <c r="AR5085" s="151">
        <f>AP5073</f>
        <v>308244.03864999855</v>
      </c>
      <c r="AS5085" s="135"/>
      <c r="AT5085" s="132">
        <f>IF(AS5078&lt;=0,W_max,ABS(AS$23-AS5084))</f>
        <v>7174</v>
      </c>
      <c r="AU5085" s="151">
        <f>AS5073</f>
        <v>343898.11697008379</v>
      </c>
    </row>
    <row r="5086" spans="13:47" ht="13" x14ac:dyDescent="0.25">
      <c r="M5086" s="12"/>
      <c r="N5086" s="12"/>
      <c r="O5086" s="12"/>
      <c r="P5086" s="12"/>
      <c r="Q5086" s="12"/>
      <c r="R5086" s="182"/>
      <c r="S5086" s="22"/>
      <c r="T5086" s="152"/>
      <c r="U5086" s="157"/>
      <c r="V5086" s="1"/>
      <c r="W5086" s="147"/>
      <c r="X5086" s="157"/>
      <c r="Y5086" s="1"/>
      <c r="Z5086" s="147"/>
      <c r="AA5086" s="157"/>
      <c r="AB5086" s="1"/>
      <c r="AC5086" s="147"/>
      <c r="AD5086" s="157"/>
      <c r="AE5086" s="1"/>
      <c r="AF5086" s="147"/>
      <c r="AG5086" s="157"/>
      <c r="AH5086" s="1"/>
      <c r="AI5086" s="147"/>
      <c r="AJ5086" s="157"/>
      <c r="AK5086" s="1"/>
      <c r="AL5086" s="147"/>
      <c r="AM5086" s="157"/>
      <c r="AN5086" s="1"/>
      <c r="AO5086" s="147"/>
      <c r="AP5086" s="157"/>
      <c r="AQ5086" s="1"/>
      <c r="AR5086" s="147"/>
      <c r="AS5086" s="157"/>
      <c r="AT5086" s="1"/>
      <c r="AU5086" s="147"/>
    </row>
    <row r="5087" spans="13:47" ht="14" x14ac:dyDescent="0.3">
      <c r="M5087" s="12"/>
      <c r="N5087" s="12"/>
      <c r="O5087" s="23" t="s">
        <v>238</v>
      </c>
      <c r="P5087" s="20"/>
      <c r="Q5087" s="20"/>
      <c r="R5087" s="18">
        <f>R5073*1.02</f>
        <v>14570.266410979151</v>
      </c>
      <c r="S5087" s="128" t="s">
        <v>185</v>
      </c>
      <c r="T5087" s="153" t="s">
        <v>186</v>
      </c>
      <c r="U5087" s="143">
        <f>U5073*1.01</f>
        <v>16867.609637047804</v>
      </c>
      <c r="V5087" s="128" t="s">
        <v>185</v>
      </c>
      <c r="W5087" s="153" t="s">
        <v>186</v>
      </c>
      <c r="X5087" s="143">
        <f>X5073*1.01</f>
        <v>41715.605901495772</v>
      </c>
      <c r="Y5087" s="128" t="s">
        <v>185</v>
      </c>
      <c r="Z5087" s="153" t="s">
        <v>186</v>
      </c>
      <c r="AA5087" s="143">
        <f>AA5073*1.01</f>
        <v>81251.352579042446</v>
      </c>
      <c r="AB5087" s="128" t="s">
        <v>185</v>
      </c>
      <c r="AC5087" s="153" t="s">
        <v>186</v>
      </c>
      <c r="AD5087" s="143">
        <f>AD5073*1.01</f>
        <v>133628.56001935017</v>
      </c>
      <c r="AE5087" s="128" t="s">
        <v>185</v>
      </c>
      <c r="AF5087" s="153" t="s">
        <v>186</v>
      </c>
      <c r="AG5087" s="143">
        <f>AG5073*1.01</f>
        <v>187424.34297812008</v>
      </c>
      <c r="AH5087" s="128" t="s">
        <v>185</v>
      </c>
      <c r="AI5087" s="153" t="s">
        <v>186</v>
      </c>
      <c r="AJ5087" s="143">
        <f>AJ5073*1.01</f>
        <v>237979.18225764838</v>
      </c>
      <c r="AK5087" s="128" t="s">
        <v>185</v>
      </c>
      <c r="AL5087" s="153" t="s">
        <v>186</v>
      </c>
      <c r="AM5087" s="143">
        <f>AM5073*1.01</f>
        <v>279049.30705172336</v>
      </c>
      <c r="AN5087" s="128" t="s">
        <v>185</v>
      </c>
      <c r="AO5087" s="153" t="s">
        <v>186</v>
      </c>
      <c r="AP5087" s="143">
        <f>AP5073*1.01</f>
        <v>311326.47903649852</v>
      </c>
      <c r="AQ5087" s="128" t="s">
        <v>185</v>
      </c>
      <c r="AR5087" s="153" t="s">
        <v>186</v>
      </c>
      <c r="AS5087" s="143">
        <f>AS5073*1.01</f>
        <v>347337.09813978465</v>
      </c>
      <c r="AT5087" s="128" t="s">
        <v>185</v>
      </c>
      <c r="AU5087" s="153" t="s">
        <v>186</v>
      </c>
    </row>
    <row r="5088" spans="13:47" ht="14" x14ac:dyDescent="0.3">
      <c r="M5088" s="12"/>
      <c r="N5088" s="12"/>
      <c r="O5088" s="20"/>
      <c r="P5088" s="20"/>
      <c r="Q5088" s="23"/>
      <c r="R5088" s="139"/>
      <c r="S5088" s="130" t="s">
        <v>228</v>
      </c>
      <c r="T5088" s="154" t="s">
        <v>187</v>
      </c>
      <c r="U5088" s="144"/>
      <c r="V5088" s="130" t="s">
        <v>228</v>
      </c>
      <c r="W5088" s="154" t="s">
        <v>187</v>
      </c>
      <c r="X5088" s="144"/>
      <c r="Y5088" s="130" t="s">
        <v>228</v>
      </c>
      <c r="Z5088" s="154" t="s">
        <v>187</v>
      </c>
      <c r="AA5088" s="144"/>
      <c r="AB5088" s="130" t="s">
        <v>228</v>
      </c>
      <c r="AC5088" s="154" t="s">
        <v>187</v>
      </c>
      <c r="AD5088" s="144"/>
      <c r="AE5088" s="130" t="s">
        <v>228</v>
      </c>
      <c r="AF5088" s="154" t="s">
        <v>187</v>
      </c>
      <c r="AG5088" s="144"/>
      <c r="AH5088" s="130" t="s">
        <v>228</v>
      </c>
      <c r="AI5088" s="154" t="s">
        <v>187</v>
      </c>
      <c r="AJ5088" s="144"/>
      <c r="AK5088" s="130" t="s">
        <v>228</v>
      </c>
      <c r="AL5088" s="154" t="s">
        <v>187</v>
      </c>
      <c r="AM5088" s="144"/>
      <c r="AN5088" s="130" t="s">
        <v>228</v>
      </c>
      <c r="AO5088" s="154" t="s">
        <v>187</v>
      </c>
      <c r="AP5088" s="144"/>
      <c r="AQ5088" s="130" t="s">
        <v>228</v>
      </c>
      <c r="AR5088" s="154" t="s">
        <v>187</v>
      </c>
      <c r="AS5088" s="144"/>
      <c r="AT5088" s="130" t="s">
        <v>228</v>
      </c>
      <c r="AU5088" s="154" t="s">
        <v>187</v>
      </c>
    </row>
    <row r="5089" spans="13:47" x14ac:dyDescent="0.25">
      <c r="M5089" s="12"/>
      <c r="N5089" s="12"/>
      <c r="O5089" s="7" t="s">
        <v>188</v>
      </c>
      <c r="P5089" s="7"/>
      <c r="Q5089" s="7"/>
      <c r="R5089" s="181">
        <f>P_1_minW-(R5087^2*R_up)+dpup_minQ</f>
        <v>15.868574444216307</v>
      </c>
      <c r="S5089" s="132"/>
      <c r="T5089" s="145"/>
      <c r="U5089" s="138">
        <f>P_1_minW-(U5087^2*R_up)+dpup_minQ</f>
        <v>-12.931437574832572</v>
      </c>
      <c r="V5089" s="132"/>
      <c r="W5089" s="145"/>
      <c r="X5089" s="138">
        <f>P_1_minW-(X5087^2*R_up)+dpup_minQ</f>
        <v>-593.39928165404206</v>
      </c>
      <c r="Y5089" s="132"/>
      <c r="Z5089" s="145"/>
      <c r="AA5089" s="138">
        <f>P_1_minW-(AA5087^2*R_up)+dpup_minQ</f>
        <v>-2532.016045906686</v>
      </c>
      <c r="AB5089" s="132"/>
      <c r="AC5089" s="145"/>
      <c r="AD5089" s="138">
        <f>P_1_minW-(AD5087^2*R_up)+dpup_minQ</f>
        <v>-7020.0046542863774</v>
      </c>
      <c r="AE5089" s="132"/>
      <c r="AF5089" s="145"/>
      <c r="AG5089" s="138">
        <f>P_1_minW-(AG5087^2*R_up)+dpup_minQ</f>
        <v>-13907.136886137801</v>
      </c>
      <c r="AH5089" s="132"/>
      <c r="AI5089" s="145"/>
      <c r="AJ5089" s="138">
        <f>P_1_minW-(AJ5087^2*R_up)+dpup_minQ</f>
        <v>-22482.991425172622</v>
      </c>
      <c r="AK5089" s="132"/>
      <c r="AL5089" s="145"/>
      <c r="AM5089" s="138">
        <f>P_1_minW-(AM5087^2*R_up)+dpup_minQ</f>
        <v>-30950.469567402615</v>
      </c>
      <c r="AN5089" s="132"/>
      <c r="AO5089" s="145"/>
      <c r="AP5089" s="138">
        <f>P_1_minW-(AP5087^2*R_up)+dpup_minQ</f>
        <v>-38549.13985746511</v>
      </c>
      <c r="AQ5089" s="132"/>
      <c r="AR5089" s="145"/>
      <c r="AS5089" s="138">
        <f>P_1_minW-(AS5087^2*R_up)+dpup_minQ</f>
        <v>-48007.325280524026</v>
      </c>
      <c r="AT5089" s="132"/>
      <c r="AU5089" s="145"/>
    </row>
    <row r="5090" spans="13:47" x14ac:dyDescent="0.25">
      <c r="M5090" s="12"/>
      <c r="N5090" s="12"/>
      <c r="O5090" s="7" t="s">
        <v>189</v>
      </c>
      <c r="P5090" s="1"/>
      <c r="Q5090" s="7"/>
      <c r="R5090" s="181">
        <f>P_2_minW+(R5087^2*R_dn)-dpdn_minQ</f>
        <v>50</v>
      </c>
      <c r="S5090" s="132"/>
      <c r="T5090" s="146"/>
      <c r="U5090" s="138">
        <f>P_2_minW+(U5087^2*R_dn)-dpdn_minQ</f>
        <v>50</v>
      </c>
      <c r="V5090" s="132"/>
      <c r="W5090" s="146"/>
      <c r="X5090" s="138">
        <f>P_2_minW+(X5087^2*R_dn)-dpdn_minQ</f>
        <v>50</v>
      </c>
      <c r="Y5090" s="132"/>
      <c r="Z5090" s="146"/>
      <c r="AA5090" s="138">
        <f>P_2_minW+(AA5087^2*R_dn)-dpdn_minQ</f>
        <v>50</v>
      </c>
      <c r="AB5090" s="132"/>
      <c r="AC5090" s="146"/>
      <c r="AD5090" s="138">
        <f>P_2_minW+(AD5087^2*R_dn)-dpdn_minQ</f>
        <v>50</v>
      </c>
      <c r="AE5090" s="132"/>
      <c r="AF5090" s="146"/>
      <c r="AG5090" s="138">
        <f>P_2_minW+(AG5087^2*R_dn)-dpdn_minQ</f>
        <v>50</v>
      </c>
      <c r="AH5090" s="132"/>
      <c r="AI5090" s="146"/>
      <c r="AJ5090" s="138">
        <f>P_2_minW+(AJ5087^2*R_dn)-dpdn_minQ</f>
        <v>50</v>
      </c>
      <c r="AK5090" s="132"/>
      <c r="AL5090" s="146"/>
      <c r="AM5090" s="138">
        <f>P_2_minW+(AM5087^2*R_dn)-dpdn_minQ</f>
        <v>50</v>
      </c>
      <c r="AN5090" s="132"/>
      <c r="AO5090" s="146"/>
      <c r="AP5090" s="138">
        <f>P_2_minW+(AP5087^2*R_dn)-dpdn_minQ</f>
        <v>50</v>
      </c>
      <c r="AQ5090" s="132"/>
      <c r="AR5090" s="146"/>
      <c r="AS5090" s="138">
        <f>P_2_minW+(AS5087^2*R_dn)-dpdn_minQ</f>
        <v>50</v>
      </c>
      <c r="AT5090" s="132"/>
      <c r="AU5090" s="146"/>
    </row>
    <row r="5091" spans="13:47" x14ac:dyDescent="0.25">
      <c r="M5091" s="12"/>
      <c r="N5091" s="12"/>
      <c r="O5091" s="7" t="s">
        <v>234</v>
      </c>
      <c r="P5091" s="1"/>
      <c r="Q5091" s="7"/>
      <c r="R5091" s="179">
        <f>'Valve Sizing'!G$8*R5089/P_1_maxW</f>
        <v>7.6547177893355522E-2</v>
      </c>
      <c r="S5091" s="132"/>
      <c r="T5091" s="146"/>
      <c r="U5091" s="143">
        <f>'Valve Sizing'!$G$8*U5089/P_1_maxW</f>
        <v>-6.237895256043692E-2</v>
      </c>
      <c r="V5091" s="132"/>
      <c r="W5091" s="146"/>
      <c r="X5091" s="143">
        <f>'Valve Sizing'!$G$8*X5089/P_1_maxW</f>
        <v>-2.8624524864687437</v>
      </c>
      <c r="Y5091" s="132"/>
      <c r="Z5091" s="146"/>
      <c r="AA5091" s="143">
        <f>'Valve Sizing'!$G$8*AA5089/P_1_maxW</f>
        <v>-12.213994607782285</v>
      </c>
      <c r="AB5091" s="132"/>
      <c r="AC5091" s="146"/>
      <c r="AD5091" s="143">
        <f>'Valve Sizing'!$G$8*AD5089/P_1_maxW</f>
        <v>-33.863252617483717</v>
      </c>
      <c r="AE5091" s="132"/>
      <c r="AF5091" s="146"/>
      <c r="AG5091" s="143">
        <f>'Valve Sizing'!$G$8*AG5089/P_1_maxW</f>
        <v>-67.08555232561794</v>
      </c>
      <c r="AH5091" s="132"/>
      <c r="AI5091" s="146"/>
      <c r="AJ5091" s="143">
        <f>'Valve Sizing'!$G$8*AJ5089/P_1_maxW</f>
        <v>-108.45394778512949</v>
      </c>
      <c r="AK5091" s="132"/>
      <c r="AL5091" s="146"/>
      <c r="AM5091" s="143">
        <f>'Valve Sizing'!$G$8*AM5089/P_1_maxW</f>
        <v>-149.29955480168272</v>
      </c>
      <c r="AN5091" s="132"/>
      <c r="AO5091" s="146"/>
      <c r="AP5091" s="143">
        <f>'Valve Sizing'!$G$8*AP5089/P_1_maxW</f>
        <v>-185.95418742108401</v>
      </c>
      <c r="AQ5091" s="132"/>
      <c r="AR5091" s="146"/>
      <c r="AS5091" s="143">
        <f>'Valve Sizing'!$G$8*AS5089/P_1_maxW</f>
        <v>-231.57878997579627</v>
      </c>
      <c r="AT5091" s="132"/>
      <c r="AU5091" s="146"/>
    </row>
    <row r="5092" spans="13:47" x14ac:dyDescent="0.25">
      <c r="M5092" s="12"/>
      <c r="N5092" s="12"/>
      <c r="O5092" s="7" t="s">
        <v>190</v>
      </c>
      <c r="P5092" s="1"/>
      <c r="Q5092" s="7"/>
      <c r="R5092" s="181">
        <f>R5089-R5090</f>
        <v>-34.131425555783693</v>
      </c>
      <c r="S5092" s="132"/>
      <c r="T5092" s="146"/>
      <c r="U5092" s="138">
        <f>U5089-U5090</f>
        <v>-62.931437574832572</v>
      </c>
      <c r="V5092" s="132"/>
      <c r="W5092" s="146"/>
      <c r="X5092" s="138">
        <f>X5089-X5090</f>
        <v>-643.39928165404206</v>
      </c>
      <c r="Y5092" s="132"/>
      <c r="Z5092" s="146"/>
      <c r="AA5092" s="138">
        <f>AA5089-AA5090</f>
        <v>-2582.016045906686</v>
      </c>
      <c r="AB5092" s="132"/>
      <c r="AC5092" s="146"/>
      <c r="AD5092" s="138">
        <f>AD5089-AD5090</f>
        <v>-7070.0046542863774</v>
      </c>
      <c r="AE5092" s="132"/>
      <c r="AF5092" s="146"/>
      <c r="AG5092" s="138">
        <f>AG5089-AG5090</f>
        <v>-13957.136886137801</v>
      </c>
      <c r="AH5092" s="132"/>
      <c r="AI5092" s="146"/>
      <c r="AJ5092" s="138">
        <f>AJ5089-AJ5090</f>
        <v>-22532.991425172622</v>
      </c>
      <c r="AK5092" s="132"/>
      <c r="AL5092" s="146"/>
      <c r="AM5092" s="138">
        <f>AM5089-AM5090</f>
        <v>-31000.469567402615</v>
      </c>
      <c r="AN5092" s="132"/>
      <c r="AO5092" s="146"/>
      <c r="AP5092" s="138">
        <f>AP5089-AP5090</f>
        <v>-38599.13985746511</v>
      </c>
      <c r="AQ5092" s="132"/>
      <c r="AR5092" s="146"/>
      <c r="AS5092" s="138">
        <f>AS5089-AS5090</f>
        <v>-48057.325280524026</v>
      </c>
      <c r="AT5092" s="132"/>
      <c r="AU5092" s="146"/>
    </row>
    <row r="5093" spans="13:47" ht="14.5" x14ac:dyDescent="0.35">
      <c r="M5093" s="12"/>
      <c r="N5093" s="12"/>
      <c r="O5093" s="2" t="s">
        <v>191</v>
      </c>
      <c r="P5093" s="10"/>
      <c r="Q5093" s="2"/>
      <c r="R5093" s="181">
        <f>R5092/R5089</f>
        <v>-2.1508816482392805</v>
      </c>
      <c r="S5093" s="132"/>
      <c r="T5093" s="146"/>
      <c r="U5093" s="138">
        <f>U5092/U5089</f>
        <v>4.8665461369361616</v>
      </c>
      <c r="V5093" s="132"/>
      <c r="W5093" s="146"/>
      <c r="X5093" s="138">
        <f>X5092/X5089</f>
        <v>1.08426029748575</v>
      </c>
      <c r="Y5093" s="132"/>
      <c r="Z5093" s="146"/>
      <c r="AA5093" s="138">
        <f>AA5092/AA5089</f>
        <v>1.019747110244752</v>
      </c>
      <c r="AB5093" s="132"/>
      <c r="AC5093" s="146"/>
      <c r="AD5093" s="138">
        <f>AD5092/AD5089</f>
        <v>1.0071225024002612</v>
      </c>
      <c r="AE5093" s="132"/>
      <c r="AF5093" s="146"/>
      <c r="AG5093" s="138">
        <f>AG5092/AG5089</f>
        <v>1.0035952763253404</v>
      </c>
      <c r="AH5093" s="132"/>
      <c r="AI5093" s="146"/>
      <c r="AJ5093" s="138">
        <f>AJ5092/AJ5089</f>
        <v>1.0022239033522924</v>
      </c>
      <c r="AK5093" s="132"/>
      <c r="AL5093" s="146"/>
      <c r="AM5093" s="138">
        <f>AM5092/AM5089</f>
        <v>1.001615484375483</v>
      </c>
      <c r="AN5093" s="132"/>
      <c r="AO5093" s="146"/>
      <c r="AP5093" s="138">
        <f>AP5092/AP5089</f>
        <v>1.0012970458014077</v>
      </c>
      <c r="AQ5093" s="132"/>
      <c r="AR5093" s="146"/>
      <c r="AS5093" s="138">
        <f>AS5092/AS5089</f>
        <v>1.0010415077221617</v>
      </c>
      <c r="AT5093" s="132"/>
      <c r="AU5093" s="146"/>
    </row>
    <row r="5094" spans="13:47" x14ac:dyDescent="0.25">
      <c r="M5094" s="12"/>
      <c r="N5094" s="12"/>
      <c r="O5094" s="2" t="s">
        <v>26</v>
      </c>
      <c r="P5094" s="7">
        <v>12</v>
      </c>
      <c r="Q5094" s="2"/>
      <c r="R5094" s="181">
        <f>1-R5093/(3*F_GAMMA*R$29)</f>
        <v>2.1202038096325548</v>
      </c>
      <c r="S5094" s="133"/>
      <c r="T5094" s="146"/>
      <c r="U5094" s="138">
        <f>1-U5093/(3*F_GAMMA*U$29)</f>
        <v>-1.5339949490410407</v>
      </c>
      <c r="V5094" s="133"/>
      <c r="W5094" s="146"/>
      <c r="X5094" s="138">
        <f>1-X5093/(3*F_GAMMA*X$29)</f>
        <v>0.42695968285984898</v>
      </c>
      <c r="Y5094" s="133"/>
      <c r="Z5094" s="146"/>
      <c r="AA5094" s="138">
        <f>1-AA5093/(3*F_GAMMA*AA$29)</f>
        <v>0.4536657427690014</v>
      </c>
      <c r="AB5094" s="133"/>
      <c r="AC5094" s="146"/>
      <c r="AD5094" s="138">
        <f>1-AD5093/(3*F_GAMMA*AD$29)</f>
        <v>0.44563555757895568</v>
      </c>
      <c r="AE5094" s="133"/>
      <c r="AF5094" s="146"/>
      <c r="AG5094" s="138">
        <f>1-AG5093/(3*F_GAMMA*AG$29)</f>
        <v>0.41606602302661311</v>
      </c>
      <c r="AH5094" s="133"/>
      <c r="AI5094" s="146"/>
      <c r="AJ5094" s="138">
        <f>1-AJ5093/(3*F_GAMMA*AJ$29)</f>
        <v>0.37661965246821216</v>
      </c>
      <c r="AK5094" s="133"/>
      <c r="AL5094" s="146"/>
      <c r="AM5094" s="138">
        <f>1-AM5093/(3*F_GAMMA*AM$29)</f>
        <v>0.31930705804787307</v>
      </c>
      <c r="AN5094" s="133"/>
      <c r="AO5094" s="146"/>
      <c r="AP5094" s="138">
        <f>1-AP5093/(3*F_GAMMA*AP$29)</f>
        <v>0.43765976457179512</v>
      </c>
      <c r="AQ5094" s="133"/>
      <c r="AR5094" s="146"/>
      <c r="AS5094" s="138">
        <f>1-AS5093/(3*F_GAMMA*AS$29)</f>
        <v>0.14653652442613541</v>
      </c>
      <c r="AT5094" s="133"/>
      <c r="AU5094" s="146"/>
    </row>
    <row r="5095" spans="13:47" x14ac:dyDescent="0.25">
      <c r="M5095" s="12"/>
      <c r="N5095" s="12"/>
      <c r="O5095" s="2" t="s">
        <v>71</v>
      </c>
      <c r="P5095" s="85">
        <v>5</v>
      </c>
      <c r="Q5095" s="2"/>
      <c r="R5095" s="179" t="e">
        <f>R5087/((N_6*R$27*R5094)*SQRT(R5093*R5089*R5091))</f>
        <v>#NUM!</v>
      </c>
      <c r="S5095" s="133"/>
      <c r="T5095" s="146"/>
      <c r="U5095" s="143">
        <f>U5087/((N_6*U$27*U5094)*SQRT(U5093*U5089*U5091))</f>
        <v>-87.739359455455997</v>
      </c>
      <c r="V5095" s="133"/>
      <c r="W5095" s="146"/>
      <c r="X5095" s="143">
        <f>X5087/((N_6*X$27*X5094)*SQRT(X5093*X5089*X5091))</f>
        <v>36.072928075655312</v>
      </c>
      <c r="Y5095" s="133"/>
      <c r="Z5095" s="146"/>
      <c r="AA5095" s="143">
        <f>AA5087/((N_6*AA$27*AA5094)*SQRT(AA5093*AA5089*AA5091))</f>
        <v>16.071484778287726</v>
      </c>
      <c r="AB5095" s="133"/>
      <c r="AC5095" s="146"/>
      <c r="AD5095" s="143">
        <f>AD5087/((N_6*AD$27*AD5094)*SQRT(AD5093*AD5089*AD5091))</f>
        <v>9.8823371358363374</v>
      </c>
      <c r="AE5095" s="133"/>
      <c r="AF5095" s="146"/>
      <c r="AG5095" s="143">
        <f>AG5087/((N_6*AG$27*AG5094)*SQRT(AG5093*AG5089*AG5091))</f>
        <v>7.6689551349007141</v>
      </c>
      <c r="AH5095" s="133"/>
      <c r="AI5095" s="146"/>
      <c r="AJ5095" s="143">
        <f>AJ5087/((N_6*AJ$27*AJ5094)*SQRT(AJ5093*AJ5089*AJ5091))</f>
        <v>6.8872932906916819</v>
      </c>
      <c r="AK5095" s="133"/>
      <c r="AL5095" s="146"/>
      <c r="AM5095" s="143">
        <f>AM5087/((N_6*AM$27*AM5094)*SQRT(AM5093*AM5089*AM5091))</f>
        <v>7.3466267798499727</v>
      </c>
      <c r="AN5095" s="133"/>
      <c r="AO5095" s="146"/>
      <c r="AP5095" s="143">
        <f>AP5087/((N_6*AP$27*AP5094)*SQRT(AP5093*AP5089*AP5091))</f>
        <v>5.4546979354904339</v>
      </c>
      <c r="AQ5095" s="133"/>
      <c r="AR5095" s="146"/>
      <c r="AS5095" s="143">
        <f>AS5087/((N_6*AS$27*AS5094)*SQRT(AS5093*AS5089*AS5091))</f>
        <v>19.179910592595252</v>
      </c>
      <c r="AT5095" s="133"/>
      <c r="AU5095" s="146"/>
    </row>
    <row r="5096" spans="13:47" x14ac:dyDescent="0.25">
      <c r="M5096" s="12"/>
      <c r="N5096" s="12"/>
      <c r="O5096" s="2" t="s">
        <v>73</v>
      </c>
      <c r="P5096" s="85">
        <v>5</v>
      </c>
      <c r="Q5096" s="2"/>
      <c r="R5096" s="179">
        <f>R5087/((N_6*R$27*0.667)*SQRT(R5097*R5089*R5091))</f>
        <v>391.43238375848955</v>
      </c>
      <c r="S5096" s="133"/>
      <c r="T5096" s="155"/>
      <c r="U5096" s="143">
        <f>U5087/((N_6*U$27*0.667)*SQRT(U5097*U5089*U5091))</f>
        <v>556.36020054928963</v>
      </c>
      <c r="V5096" s="133"/>
      <c r="W5096" s="155"/>
      <c r="X5096" s="143">
        <f>X5087/((N_6*X$27*0.667)*SQRT(X5097*X5089*X5091))</f>
        <v>30.275801262929587</v>
      </c>
      <c r="Y5096" s="133"/>
      <c r="Z5096" s="155"/>
      <c r="AA5096" s="143">
        <f>AA5087/((N_6*AA$27*0.667)*SQRT(AA5097*AA5089*AA5091))</f>
        <v>13.994455239957921</v>
      </c>
      <c r="AB5096" s="133"/>
      <c r="AC5096" s="155"/>
      <c r="AD5096" s="143">
        <f>AD5087/((N_6*AD$27*0.667)*SQRT(AD5097*AD5089*AD5091))</f>
        <v>8.5147515163761085</v>
      </c>
      <c r="AE5096" s="133"/>
      <c r="AF5096" s="155"/>
      <c r="AG5096" s="143">
        <f>AG5087/((N_6*AG$27*0.667)*SQRT(AG5097*AG5089*AG5091))</f>
        <v>6.3316239790566469</v>
      </c>
      <c r="AH5096" s="133"/>
      <c r="AI5096" s="155"/>
      <c r="AJ5096" s="143">
        <f>AJ5087/((N_6*AJ$27*0.667)*SQRT(AJ5097*AJ5089*AJ5091))</f>
        <v>5.3181784100783425</v>
      </c>
      <c r="AK5096" s="133"/>
      <c r="AL5096" s="155"/>
      <c r="AM5096" s="143">
        <f>AM5087/((N_6*AM$27*0.667)*SQRT(AM5097*AM5089*AM5091))</f>
        <v>5.0258198020007834</v>
      </c>
      <c r="AN5096" s="133"/>
      <c r="AO5096" s="155"/>
      <c r="AP5096" s="143">
        <f>AP5087/((N_6*AP$27*0.667)*SQRT(AP5097*AP5089*AP5091))</f>
        <v>4.6488089732980749</v>
      </c>
      <c r="AQ5096" s="133"/>
      <c r="AR5096" s="155"/>
      <c r="AS5096" s="143">
        <f>AS5087/((N_6*AS$27*0.667)*SQRT(AS5097*AS5089*AS5091))</f>
        <v>6.7424809560302243</v>
      </c>
      <c r="AT5096" s="133"/>
      <c r="AU5096" s="155"/>
    </row>
    <row r="5097" spans="13:47" ht="15.5" x14ac:dyDescent="0.4">
      <c r="M5097" s="12"/>
      <c r="N5097" s="12"/>
      <c r="O5097" s="2" t="s">
        <v>192</v>
      </c>
      <c r="P5097" s="85">
        <v>10</v>
      </c>
      <c r="Q5097" s="2"/>
      <c r="R5097" s="181">
        <f>F_GAMMA*R$29</f>
        <v>0.64002688015162901</v>
      </c>
      <c r="S5097" s="133"/>
      <c r="T5097" s="155"/>
      <c r="U5097" s="138">
        <f>F_GAMMA*U$29</f>
        <v>0.64016782916606918</v>
      </c>
      <c r="V5097" s="133"/>
      <c r="W5097" s="155"/>
      <c r="X5097" s="138">
        <f>F_GAMMA*X$29</f>
        <v>0.6307062319203669</v>
      </c>
      <c r="Y5097" s="133"/>
      <c r="Z5097" s="155"/>
      <c r="AA5097" s="138">
        <f>F_GAMMA*AA$29</f>
        <v>0.62217534213893466</v>
      </c>
      <c r="AB5097" s="133"/>
      <c r="AC5097" s="155"/>
      <c r="AD5097" s="138">
        <f>F_GAMMA*AD$29</f>
        <v>0.60557184969146072</v>
      </c>
      <c r="AE5097" s="133"/>
      <c r="AF5097" s="155"/>
      <c r="AG5097" s="138">
        <f>F_GAMMA*AG$29</f>
        <v>0.57289312142622573</v>
      </c>
      <c r="AH5097" s="133"/>
      <c r="AI5097" s="155"/>
      <c r="AJ5097" s="138">
        <f>F_GAMMA*AJ$29</f>
        <v>0.53590819116049981</v>
      </c>
      <c r="AK5097" s="133"/>
      <c r="AL5097" s="155"/>
      <c r="AM5097" s="138">
        <f>F_GAMMA*AM$29</f>
        <v>0.49048815926850342</v>
      </c>
      <c r="AN5097" s="133"/>
      <c r="AO5097" s="155"/>
      <c r="AP5097" s="138">
        <f>F_GAMMA*AP$29</f>
        <v>0.59352979016280105</v>
      </c>
      <c r="AQ5097" s="133"/>
      <c r="AR5097" s="155"/>
      <c r="AS5097" s="138">
        <f>F_GAMMA*AS$29</f>
        <v>0.39097221161068291</v>
      </c>
      <c r="AT5097" s="133"/>
      <c r="AU5097" s="155"/>
    </row>
    <row r="5098" spans="13:47" x14ac:dyDescent="0.25">
      <c r="M5098" s="12"/>
      <c r="N5098" s="12"/>
      <c r="O5098" s="2" t="s">
        <v>193</v>
      </c>
      <c r="P5098" s="134"/>
      <c r="Q5098" s="2"/>
      <c r="R5098" s="181" t="e">
        <f>IF(R5093&lt;R5097,R5095,R5096)</f>
        <v>#NUM!</v>
      </c>
      <c r="S5098" s="133"/>
      <c r="T5098" s="155"/>
      <c r="U5098" s="138">
        <f>IF(U5093&lt;U5097,U5095,U5096)</f>
        <v>556.36020054928963</v>
      </c>
      <c r="V5098" s="133"/>
      <c r="W5098" s="155"/>
      <c r="X5098" s="138">
        <f>IF(X5093&lt;X5097,X5095,X5096)</f>
        <v>30.275801262929587</v>
      </c>
      <c r="Y5098" s="133"/>
      <c r="Z5098" s="155"/>
      <c r="AA5098" s="138">
        <f>IF(AA5093&lt;AA5097,AA5095,AA5096)</f>
        <v>13.994455239957921</v>
      </c>
      <c r="AB5098" s="133"/>
      <c r="AC5098" s="155"/>
      <c r="AD5098" s="138">
        <f>IF(AD5093&lt;AD5097,AD5095,AD5096)</f>
        <v>8.5147515163761085</v>
      </c>
      <c r="AE5098" s="133"/>
      <c r="AF5098" s="155"/>
      <c r="AG5098" s="138">
        <f>IF(AG5093&lt;AG5097,AG5095,AG5096)</f>
        <v>6.3316239790566469</v>
      </c>
      <c r="AH5098" s="133"/>
      <c r="AI5098" s="155"/>
      <c r="AJ5098" s="138">
        <f>IF(AJ5093&lt;AJ5097,AJ5095,AJ5096)</f>
        <v>5.3181784100783425</v>
      </c>
      <c r="AK5098" s="133"/>
      <c r="AL5098" s="155"/>
      <c r="AM5098" s="138">
        <f>IF(AM5093&lt;AM5097,AM5095,AM5096)</f>
        <v>5.0258198020007834</v>
      </c>
      <c r="AN5098" s="133"/>
      <c r="AO5098" s="155"/>
      <c r="AP5098" s="138">
        <f>IF(AP5093&lt;AP5097,AP5095,AP5096)</f>
        <v>4.6488089732980749</v>
      </c>
      <c r="AQ5098" s="133"/>
      <c r="AR5098" s="155"/>
      <c r="AS5098" s="138">
        <f>IF(AS5093&lt;AS5097,AS5095,AS5096)</f>
        <v>6.7424809560302243</v>
      </c>
      <c r="AT5098" s="133"/>
      <c r="AU5098" s="155"/>
    </row>
    <row r="5099" spans="13:47" ht="13" x14ac:dyDescent="0.3">
      <c r="M5099" s="12"/>
      <c r="N5099" s="12"/>
      <c r="O5099" s="9" t="s">
        <v>194</v>
      </c>
      <c r="P5099" s="1"/>
      <c r="Q5099" s="1"/>
      <c r="R5099" s="135"/>
      <c r="S5099" s="132">
        <f>IF(R5092&lt;=0,W_max,ABS(R$23-R5098))</f>
        <v>7174</v>
      </c>
      <c r="T5099" s="151">
        <f>R5087</f>
        <v>14570.266410979151</v>
      </c>
      <c r="U5099" s="135"/>
      <c r="V5099" s="132">
        <f>IF(U5092&lt;=0,W_max,ABS(U$23-U5098))</f>
        <v>7174</v>
      </c>
      <c r="W5099" s="151">
        <f>U5087</f>
        <v>16867.609637047804</v>
      </c>
      <c r="X5099" s="135"/>
      <c r="Y5099" s="132">
        <f>IF(X5092&lt;=0,W_max,ABS(X$23-X5098))</f>
        <v>7174</v>
      </c>
      <c r="Z5099" s="151">
        <f>X5087</f>
        <v>41715.605901495772</v>
      </c>
      <c r="AA5099" s="135"/>
      <c r="AB5099" s="132">
        <f>IF(AA5092&lt;=0,W_max,ABS(AA$23-AA5098))</f>
        <v>7174</v>
      </c>
      <c r="AC5099" s="151">
        <f>AA5087</f>
        <v>81251.352579042446</v>
      </c>
      <c r="AD5099" s="135"/>
      <c r="AE5099" s="132">
        <f>IF(AD5092&lt;=0,W_max,ABS(AD$23-AD5098))</f>
        <v>7174</v>
      </c>
      <c r="AF5099" s="151">
        <f>AD5087</f>
        <v>133628.56001935017</v>
      </c>
      <c r="AG5099" s="135"/>
      <c r="AH5099" s="132">
        <f>IF(AG5092&lt;=0,W_max,ABS(AG$23-AG5098))</f>
        <v>7174</v>
      </c>
      <c r="AI5099" s="151">
        <f>AG5087</f>
        <v>187424.34297812008</v>
      </c>
      <c r="AJ5099" s="135"/>
      <c r="AK5099" s="132">
        <f>IF(AJ5092&lt;=0,W_max,ABS(AJ$23-AJ5098))</f>
        <v>7174</v>
      </c>
      <c r="AL5099" s="151">
        <f>AJ5087</f>
        <v>237979.18225764838</v>
      </c>
      <c r="AM5099" s="135"/>
      <c r="AN5099" s="132">
        <f>IF(AM5092&lt;=0,W_max,ABS(AM$23-AM5098))</f>
        <v>7174</v>
      </c>
      <c r="AO5099" s="151">
        <f>AM5087</f>
        <v>279049.30705172336</v>
      </c>
      <c r="AP5099" s="135"/>
      <c r="AQ5099" s="132">
        <f>IF(AP5092&lt;=0,W_max,ABS(AP$23-AP5098))</f>
        <v>7174</v>
      </c>
      <c r="AR5099" s="151">
        <f>AP5087</f>
        <v>311326.47903649852</v>
      </c>
      <c r="AS5099" s="135"/>
      <c r="AT5099" s="132">
        <f>IF(AS5092&lt;=0,W_max,ABS(AS$23-AS5098))</f>
        <v>7174</v>
      </c>
      <c r="AU5099" s="151">
        <f>AS5087</f>
        <v>347337.09813978465</v>
      </c>
    </row>
    <row r="5100" spans="13:47" ht="13" x14ac:dyDescent="0.25">
      <c r="M5100" s="12"/>
      <c r="N5100" s="12"/>
      <c r="O5100" s="2"/>
      <c r="P5100" s="85"/>
      <c r="Q5100" s="2"/>
      <c r="R5100" s="18"/>
      <c r="S5100" s="150"/>
      <c r="T5100" s="152"/>
      <c r="U5100" s="157"/>
      <c r="V5100" s="1"/>
      <c r="W5100" s="147"/>
      <c r="X5100" s="157"/>
      <c r="Y5100" s="1"/>
      <c r="Z5100" s="147"/>
      <c r="AA5100" s="157"/>
      <c r="AB5100" s="1"/>
      <c r="AC5100" s="147"/>
      <c r="AD5100" s="157"/>
      <c r="AE5100" s="1"/>
      <c r="AF5100" s="147"/>
      <c r="AG5100" s="157"/>
      <c r="AH5100" s="1"/>
      <c r="AI5100" s="147"/>
      <c r="AJ5100" s="157"/>
      <c r="AK5100" s="1"/>
      <c r="AL5100" s="147"/>
      <c r="AM5100" s="157"/>
      <c r="AN5100" s="1"/>
      <c r="AO5100" s="147"/>
      <c r="AP5100" s="157"/>
      <c r="AQ5100" s="1"/>
      <c r="AR5100" s="147"/>
      <c r="AS5100" s="157"/>
      <c r="AT5100" s="1"/>
      <c r="AU5100" s="147"/>
    </row>
    <row r="5101" spans="13:47" ht="14" x14ac:dyDescent="0.3">
      <c r="M5101" s="12"/>
      <c r="N5101" s="12"/>
      <c r="O5101" s="23" t="s">
        <v>238</v>
      </c>
      <c r="P5101" s="20"/>
      <c r="Q5101" s="20"/>
      <c r="R5101" s="181">
        <f>R5087*1.02</f>
        <v>14861.671739198735</v>
      </c>
      <c r="S5101" s="128" t="s">
        <v>185</v>
      </c>
      <c r="T5101" s="153" t="s">
        <v>186</v>
      </c>
      <c r="U5101" s="143">
        <f>U5087*1.01</f>
        <v>17036.285733418281</v>
      </c>
      <c r="V5101" s="128" t="s">
        <v>185</v>
      </c>
      <c r="W5101" s="153" t="s">
        <v>186</v>
      </c>
      <c r="X5101" s="143">
        <f>X5087*1.01</f>
        <v>42132.761960510732</v>
      </c>
      <c r="Y5101" s="128" t="s">
        <v>185</v>
      </c>
      <c r="Z5101" s="153" t="s">
        <v>186</v>
      </c>
      <c r="AA5101" s="143">
        <f>AA5087*1.01</f>
        <v>82063.866104832865</v>
      </c>
      <c r="AB5101" s="128" t="s">
        <v>185</v>
      </c>
      <c r="AC5101" s="153" t="s">
        <v>186</v>
      </c>
      <c r="AD5101" s="143">
        <f>AD5087*1.01</f>
        <v>134964.84561954369</v>
      </c>
      <c r="AE5101" s="128" t="s">
        <v>185</v>
      </c>
      <c r="AF5101" s="153" t="s">
        <v>186</v>
      </c>
      <c r="AG5101" s="143">
        <f>AG5087*1.01</f>
        <v>189298.58640790128</v>
      </c>
      <c r="AH5101" s="128" t="s">
        <v>185</v>
      </c>
      <c r="AI5101" s="153" t="s">
        <v>186</v>
      </c>
      <c r="AJ5101" s="143">
        <f>AJ5087*1.01</f>
        <v>240358.97408022487</v>
      </c>
      <c r="AK5101" s="128" t="s">
        <v>185</v>
      </c>
      <c r="AL5101" s="153" t="s">
        <v>186</v>
      </c>
      <c r="AM5101" s="143">
        <f>AM5087*1.01</f>
        <v>281839.80012224062</v>
      </c>
      <c r="AN5101" s="128" t="s">
        <v>185</v>
      </c>
      <c r="AO5101" s="153" t="s">
        <v>186</v>
      </c>
      <c r="AP5101" s="143">
        <f>AP5087*1.01</f>
        <v>314439.74382686353</v>
      </c>
      <c r="AQ5101" s="128" t="s">
        <v>185</v>
      </c>
      <c r="AR5101" s="153" t="s">
        <v>186</v>
      </c>
      <c r="AS5101" s="143">
        <f>AS5087*1.01</f>
        <v>350810.46912118251</v>
      </c>
      <c r="AT5101" s="128" t="s">
        <v>185</v>
      </c>
      <c r="AU5101" s="153" t="s">
        <v>186</v>
      </c>
    </row>
    <row r="5102" spans="13:47" ht="14" x14ac:dyDescent="0.3">
      <c r="M5102" s="12"/>
      <c r="N5102" s="12"/>
      <c r="O5102" s="20"/>
      <c r="P5102" s="20"/>
      <c r="Q5102" s="23"/>
      <c r="R5102" s="139"/>
      <c r="S5102" s="130" t="s">
        <v>228</v>
      </c>
      <c r="T5102" s="154" t="s">
        <v>187</v>
      </c>
      <c r="U5102" s="144"/>
      <c r="V5102" s="130" t="s">
        <v>228</v>
      </c>
      <c r="W5102" s="154" t="s">
        <v>187</v>
      </c>
      <c r="X5102" s="144"/>
      <c r="Y5102" s="130" t="s">
        <v>228</v>
      </c>
      <c r="Z5102" s="154" t="s">
        <v>187</v>
      </c>
      <c r="AA5102" s="144"/>
      <c r="AB5102" s="130" t="s">
        <v>228</v>
      </c>
      <c r="AC5102" s="154" t="s">
        <v>187</v>
      </c>
      <c r="AD5102" s="144"/>
      <c r="AE5102" s="130" t="s">
        <v>228</v>
      </c>
      <c r="AF5102" s="154" t="s">
        <v>187</v>
      </c>
      <c r="AG5102" s="144"/>
      <c r="AH5102" s="130" t="s">
        <v>228</v>
      </c>
      <c r="AI5102" s="154" t="s">
        <v>187</v>
      </c>
      <c r="AJ5102" s="144"/>
      <c r="AK5102" s="130" t="s">
        <v>228</v>
      </c>
      <c r="AL5102" s="154" t="s">
        <v>187</v>
      </c>
      <c r="AM5102" s="144"/>
      <c r="AN5102" s="130" t="s">
        <v>228</v>
      </c>
      <c r="AO5102" s="154" t="s">
        <v>187</v>
      </c>
      <c r="AP5102" s="144"/>
      <c r="AQ5102" s="130" t="s">
        <v>228</v>
      </c>
      <c r="AR5102" s="154" t="s">
        <v>187</v>
      </c>
      <c r="AS5102" s="144"/>
      <c r="AT5102" s="130" t="s">
        <v>228</v>
      </c>
      <c r="AU5102" s="154" t="s">
        <v>187</v>
      </c>
    </row>
    <row r="5103" spans="13:47" x14ac:dyDescent="0.25">
      <c r="M5103" s="12"/>
      <c r="N5103" s="12"/>
      <c r="O5103" s="7" t="s">
        <v>188</v>
      </c>
      <c r="P5103" s="7"/>
      <c r="Q5103" s="7"/>
      <c r="R5103" s="181">
        <f>P_1_minW-(R5101^2*R_up)+dpup_minQ</f>
        <v>12.448544267598876</v>
      </c>
      <c r="S5103" s="132"/>
      <c r="T5103" s="145"/>
      <c r="U5103" s="138">
        <f>P_1_minW-(U5101^2*R_up)+dpup_minQ</f>
        <v>-15.211867483494899</v>
      </c>
      <c r="V5103" s="132"/>
      <c r="W5103" s="145"/>
      <c r="X5103" s="138">
        <f>P_1_minW-(X5101^2*R_up)+dpup_minQ</f>
        <v>-607.34711522869668</v>
      </c>
      <c r="Y5103" s="132"/>
      <c r="Z5103" s="145"/>
      <c r="AA5103" s="138">
        <f>P_1_minW-(AA5101^2*R_up)+dpup_minQ</f>
        <v>-2584.9300764428185</v>
      </c>
      <c r="AB5103" s="132"/>
      <c r="AC5103" s="145"/>
      <c r="AD5103" s="138">
        <f>P_1_minW-(AD5101^2*R_up)+dpup_minQ</f>
        <v>-7163.1272558509427</v>
      </c>
      <c r="AE5103" s="132"/>
      <c r="AF5103" s="145"/>
      <c r="AG5103" s="138">
        <f>P_1_minW-(AG5101^2*R_up)+dpup_minQ</f>
        <v>-14188.69084556258</v>
      </c>
      <c r="AH5103" s="132"/>
      <c r="AI5103" s="145"/>
      <c r="AJ5103" s="138">
        <f>P_1_minW-(AJ5101^2*R_up)+dpup_minQ</f>
        <v>-22936.920060831999</v>
      </c>
      <c r="AK5103" s="132"/>
      <c r="AL5103" s="145"/>
      <c r="AM5103" s="138">
        <f>P_1_minW-(AM5101^2*R_up)+dpup_minQ</f>
        <v>-31574.594513720818</v>
      </c>
      <c r="AN5103" s="132"/>
      <c r="AO5103" s="145"/>
      <c r="AP5103" s="138">
        <f>P_1_minW-(AP5101^2*R_up)+dpup_minQ</f>
        <v>-39325.998076613578</v>
      </c>
      <c r="AQ5103" s="132"/>
      <c r="AR5103" s="145"/>
      <c r="AS5103" s="138">
        <f>P_1_minW-(AS5101^2*R_up)+dpup_minQ</f>
        <v>-48974.293026675972</v>
      </c>
      <c r="AT5103" s="132"/>
      <c r="AU5103" s="145"/>
    </row>
    <row r="5104" spans="13:47" x14ac:dyDescent="0.25">
      <c r="M5104" s="12"/>
      <c r="N5104" s="12"/>
      <c r="O5104" s="7" t="s">
        <v>189</v>
      </c>
      <c r="P5104" s="1"/>
      <c r="Q5104" s="7"/>
      <c r="R5104" s="181">
        <f>P_2_minW+(R5101^2*R_dn)-dpdn_minQ</f>
        <v>50</v>
      </c>
      <c r="S5104" s="132"/>
      <c r="T5104" s="146"/>
      <c r="U5104" s="138">
        <f>P_2_minW+(U5101^2*R_dn)-dpdn_minQ</f>
        <v>50</v>
      </c>
      <c r="V5104" s="132"/>
      <c r="W5104" s="146"/>
      <c r="X5104" s="138">
        <f>P_2_minW+(X5101^2*R_dn)-dpdn_minQ</f>
        <v>50</v>
      </c>
      <c r="Y5104" s="132"/>
      <c r="Z5104" s="146"/>
      <c r="AA5104" s="138">
        <f>P_2_minW+(AA5101^2*R_dn)-dpdn_minQ</f>
        <v>50</v>
      </c>
      <c r="AB5104" s="132"/>
      <c r="AC5104" s="146"/>
      <c r="AD5104" s="138">
        <f>P_2_minW+(AD5101^2*R_dn)-dpdn_minQ</f>
        <v>50</v>
      </c>
      <c r="AE5104" s="132"/>
      <c r="AF5104" s="146"/>
      <c r="AG5104" s="138">
        <f>P_2_minW+(AG5101^2*R_dn)-dpdn_minQ</f>
        <v>50</v>
      </c>
      <c r="AH5104" s="132"/>
      <c r="AI5104" s="146"/>
      <c r="AJ5104" s="138">
        <f>P_2_minW+(AJ5101^2*R_dn)-dpdn_minQ</f>
        <v>50</v>
      </c>
      <c r="AK5104" s="132"/>
      <c r="AL5104" s="146"/>
      <c r="AM5104" s="138">
        <f>P_2_minW+(AM5101^2*R_dn)-dpdn_minQ</f>
        <v>50</v>
      </c>
      <c r="AN5104" s="132"/>
      <c r="AO5104" s="146"/>
      <c r="AP5104" s="138">
        <f>P_2_minW+(AP5101^2*R_dn)-dpdn_minQ</f>
        <v>50</v>
      </c>
      <c r="AQ5104" s="132"/>
      <c r="AR5104" s="146"/>
      <c r="AS5104" s="138">
        <f>P_2_minW+(AS5101^2*R_dn)-dpdn_minQ</f>
        <v>50</v>
      </c>
      <c r="AT5104" s="132"/>
      <c r="AU5104" s="146"/>
    </row>
    <row r="5105" spans="13:47" x14ac:dyDescent="0.25">
      <c r="M5105" s="12"/>
      <c r="N5105" s="12"/>
      <c r="O5105" s="7" t="s">
        <v>234</v>
      </c>
      <c r="P5105" s="1"/>
      <c r="Q5105" s="7"/>
      <c r="R5105" s="179">
        <f>'Valve Sizing'!G$8*R5103/P_1_maxW</f>
        <v>6.0049561220195835E-2</v>
      </c>
      <c r="S5105" s="132"/>
      <c r="T5105" s="146"/>
      <c r="U5105" s="143">
        <f>'Valve Sizing'!$G$8*U5103/P_1_maxW</f>
        <v>-7.3379340434303345E-2</v>
      </c>
      <c r="V5105" s="132"/>
      <c r="W5105" s="146"/>
      <c r="X5105" s="143">
        <f>'Valve Sizing'!$G$8*X5103/P_1_maxW</f>
        <v>-2.9297343523741679</v>
      </c>
      <c r="Y5105" s="132"/>
      <c r="Z5105" s="146"/>
      <c r="AA5105" s="143">
        <f>'Valve Sizing'!$G$8*AA5103/P_1_maxW</f>
        <v>-12.46924247032611</v>
      </c>
      <c r="AB5105" s="132"/>
      <c r="AC5105" s="146"/>
      <c r="AD5105" s="143">
        <f>'Valve Sizing'!$G$8*AD5103/P_1_maxW</f>
        <v>-34.55365056602254</v>
      </c>
      <c r="AE5105" s="132"/>
      <c r="AF5105" s="146"/>
      <c r="AG5105" s="143">
        <f>'Valve Sizing'!$G$8*AG5103/P_1_maxW</f>
        <v>-68.443718498290266</v>
      </c>
      <c r="AH5105" s="132"/>
      <c r="AI5105" s="146"/>
      <c r="AJ5105" s="143">
        <f>'Valve Sizing'!$G$8*AJ5103/P_1_maxW</f>
        <v>-110.64361870653798</v>
      </c>
      <c r="AK5105" s="132"/>
      <c r="AL5105" s="146"/>
      <c r="AM5105" s="143">
        <f>'Valve Sizing'!$G$8*AM5103/P_1_maxW</f>
        <v>-152.31022242412394</v>
      </c>
      <c r="AN5105" s="132"/>
      <c r="AO5105" s="146"/>
      <c r="AP5105" s="143">
        <f>'Valve Sizing'!$G$8*AP5103/P_1_maxW</f>
        <v>-189.70161315917525</v>
      </c>
      <c r="AQ5105" s="132"/>
      <c r="AR5105" s="146"/>
      <c r="AS5105" s="143">
        <f>'Valve Sizing'!$G$8*AS5103/P_1_maxW</f>
        <v>-236.24327022523721</v>
      </c>
      <c r="AT5105" s="132"/>
      <c r="AU5105" s="146"/>
    </row>
    <row r="5106" spans="13:47" x14ac:dyDescent="0.25">
      <c r="M5106" s="12"/>
      <c r="N5106" s="12"/>
      <c r="O5106" s="7" t="s">
        <v>190</v>
      </c>
      <c r="P5106" s="1"/>
      <c r="Q5106" s="7"/>
      <c r="R5106" s="181">
        <f>R5103-R5104</f>
        <v>-37.551455732401124</v>
      </c>
      <c r="S5106" s="132"/>
      <c r="T5106" s="146"/>
      <c r="U5106" s="138">
        <f>U5103-U5104</f>
        <v>-65.211867483494899</v>
      </c>
      <c r="V5106" s="132"/>
      <c r="W5106" s="146"/>
      <c r="X5106" s="138">
        <f>X5103-X5104</f>
        <v>-657.34711522869668</v>
      </c>
      <c r="Y5106" s="132"/>
      <c r="Z5106" s="146"/>
      <c r="AA5106" s="138">
        <f>AA5103-AA5104</f>
        <v>-2634.9300764428185</v>
      </c>
      <c r="AB5106" s="132"/>
      <c r="AC5106" s="146"/>
      <c r="AD5106" s="138">
        <f>AD5103-AD5104</f>
        <v>-7213.1272558509427</v>
      </c>
      <c r="AE5106" s="132"/>
      <c r="AF5106" s="146"/>
      <c r="AG5106" s="138">
        <f>AG5103-AG5104</f>
        <v>-14238.69084556258</v>
      </c>
      <c r="AH5106" s="132"/>
      <c r="AI5106" s="146"/>
      <c r="AJ5106" s="138">
        <f>AJ5103-AJ5104</f>
        <v>-22986.920060831999</v>
      </c>
      <c r="AK5106" s="132"/>
      <c r="AL5106" s="146"/>
      <c r="AM5106" s="138">
        <f>AM5103-AM5104</f>
        <v>-31624.594513720818</v>
      </c>
      <c r="AN5106" s="132"/>
      <c r="AO5106" s="146"/>
      <c r="AP5106" s="138">
        <f>AP5103-AP5104</f>
        <v>-39375.998076613578</v>
      </c>
      <c r="AQ5106" s="132"/>
      <c r="AR5106" s="146"/>
      <c r="AS5106" s="138">
        <f>AS5103-AS5104</f>
        <v>-49024.293026675972</v>
      </c>
      <c r="AT5106" s="132"/>
      <c r="AU5106" s="146"/>
    </row>
    <row r="5107" spans="13:47" ht="14.5" x14ac:dyDescent="0.35">
      <c r="M5107" s="12"/>
      <c r="N5107" s="12"/>
      <c r="O5107" s="2" t="s">
        <v>191</v>
      </c>
      <c r="P5107" s="10"/>
      <c r="Q5107" s="2"/>
      <c r="R5107" s="181">
        <f>R5106/R5103</f>
        <v>-3.0165338954644048</v>
      </c>
      <c r="S5107" s="132"/>
      <c r="T5107" s="146"/>
      <c r="U5107" s="138">
        <f>U5106/U5103</f>
        <v>4.286907413192413</v>
      </c>
      <c r="V5107" s="132"/>
      <c r="W5107" s="146"/>
      <c r="X5107" s="138">
        <f>X5106/X5103</f>
        <v>1.0823252448991587</v>
      </c>
      <c r="Y5107" s="132"/>
      <c r="Z5107" s="146"/>
      <c r="AA5107" s="138">
        <f>AA5106/AA5103</f>
        <v>1.0193428829876923</v>
      </c>
      <c r="AB5107" s="132"/>
      <c r="AC5107" s="146"/>
      <c r="AD5107" s="138">
        <f>AD5106/AD5103</f>
        <v>1.0069801915021346</v>
      </c>
      <c r="AE5107" s="132"/>
      <c r="AF5107" s="146"/>
      <c r="AG5107" s="138">
        <f>AG5106/AG5103</f>
        <v>1.0035239332891404</v>
      </c>
      <c r="AH5107" s="132"/>
      <c r="AI5107" s="146"/>
      <c r="AJ5107" s="138">
        <f>AJ5106/AJ5103</f>
        <v>1.0021798916274458</v>
      </c>
      <c r="AK5107" s="132"/>
      <c r="AL5107" s="146"/>
      <c r="AM5107" s="138">
        <f>AM5106/AM5103</f>
        <v>1.001583551610719</v>
      </c>
      <c r="AN5107" s="132"/>
      <c r="AO5107" s="146"/>
      <c r="AP5107" s="138">
        <f>AP5106/AP5103</f>
        <v>1.0012714235479183</v>
      </c>
      <c r="AQ5107" s="132"/>
      <c r="AR5107" s="146"/>
      <c r="AS5107" s="138">
        <f>AS5106/AS5103</f>
        <v>1.001020943783155</v>
      </c>
      <c r="AT5107" s="132"/>
      <c r="AU5107" s="146"/>
    </row>
    <row r="5108" spans="13:47" x14ac:dyDescent="0.25">
      <c r="M5108" s="12"/>
      <c r="N5108" s="12"/>
      <c r="O5108" s="2" t="s">
        <v>26</v>
      </c>
      <c r="P5108" s="7">
        <v>12</v>
      </c>
      <c r="Q5108" s="2"/>
      <c r="R5108" s="181">
        <f>1-R5107/(3*F_GAMMA*R$29)</f>
        <v>2.5710454196078745</v>
      </c>
      <c r="S5108" s="133"/>
      <c r="T5108" s="146"/>
      <c r="U5108" s="138">
        <f>1-U5107/(3*F_GAMMA*U$29)</f>
        <v>-1.232178926567252</v>
      </c>
      <c r="V5108" s="133"/>
      <c r="W5108" s="146"/>
      <c r="X5108" s="138">
        <f>1-X5107/(3*F_GAMMA*X$29)</f>
        <v>0.42798237376762682</v>
      </c>
      <c r="Y5108" s="133"/>
      <c r="Z5108" s="146"/>
      <c r="AA5108" s="138">
        <f>1-AA5107/(3*F_GAMMA*AA$29)</f>
        <v>0.4538823094020612</v>
      </c>
      <c r="AB5108" s="133"/>
      <c r="AC5108" s="146"/>
      <c r="AD5108" s="138">
        <f>1-AD5107/(3*F_GAMMA*AD$29)</f>
        <v>0.44571389174535792</v>
      </c>
      <c r="AE5108" s="133"/>
      <c r="AF5108" s="146"/>
      <c r="AG5108" s="138">
        <f>1-AG5107/(3*F_GAMMA*AG$29)</f>
        <v>0.41610753340817863</v>
      </c>
      <c r="AH5108" s="133"/>
      <c r="AI5108" s="146"/>
      <c r="AJ5108" s="138">
        <f>1-AJ5107/(3*F_GAMMA*AJ$29)</f>
        <v>0.37664702763282221</v>
      </c>
      <c r="AK5108" s="133"/>
      <c r="AL5108" s="146"/>
      <c r="AM5108" s="138">
        <f>1-AM5107/(3*F_GAMMA*AM$29)</f>
        <v>0.31932875939727412</v>
      </c>
      <c r="AN5108" s="133"/>
      <c r="AO5108" s="146"/>
      <c r="AP5108" s="138">
        <f>1-AP5107/(3*F_GAMMA*AP$29)</f>
        <v>0.43767415433167689</v>
      </c>
      <c r="AQ5108" s="133"/>
      <c r="AR5108" s="146"/>
      <c r="AS5108" s="138">
        <f>1-AS5107/(3*F_GAMMA*AS$29)</f>
        <v>0.14655405673695443</v>
      </c>
      <c r="AT5108" s="133"/>
      <c r="AU5108" s="146"/>
    </row>
    <row r="5109" spans="13:47" x14ac:dyDescent="0.25">
      <c r="M5109" s="12"/>
      <c r="N5109" s="12"/>
      <c r="O5109" s="2" t="s">
        <v>71</v>
      </c>
      <c r="P5109" s="85">
        <v>5</v>
      </c>
      <c r="Q5109" s="2"/>
      <c r="R5109" s="179" t="e">
        <f>R5101/((N_6*R$27*R5108)*SQRT(R5107*R5103*R5105))</f>
        <v>#NUM!</v>
      </c>
      <c r="S5109" s="133"/>
      <c r="T5109" s="146"/>
      <c r="U5109" s="143">
        <f>U5101/((N_6*U$27*U5108)*SQRT(U5107*U5103*U5105))</f>
        <v>-99.923728498398219</v>
      </c>
      <c r="V5109" s="133"/>
      <c r="W5109" s="146"/>
      <c r="X5109" s="143">
        <f>X5101/((N_6*X$27*X5108)*SQRT(X5107*X5103*X5105))</f>
        <v>35.543621903491555</v>
      </c>
      <c r="Y5109" s="133"/>
      <c r="Z5109" s="146"/>
      <c r="AA5109" s="143">
        <f>AA5101/((N_6*AA$27*AA5108)*SQRT(AA5107*AA5103*AA5105))</f>
        <v>15.895487547019222</v>
      </c>
      <c r="AB5109" s="133"/>
      <c r="AC5109" s="146"/>
      <c r="AD5109" s="143">
        <f>AD5101/((N_6*AD$27*AD5108)*SQRT(AD5107*AD5103*AD5105))</f>
        <v>9.7807042101580102</v>
      </c>
      <c r="AE5109" s="133"/>
      <c r="AF5109" s="146"/>
      <c r="AG5109" s="143">
        <f>AG5101/((N_6*AG$27*AG5108)*SQRT(AG5107*AG5103*AG5105))</f>
        <v>7.5914560891134073</v>
      </c>
      <c r="AH5109" s="133"/>
      <c r="AI5109" s="146"/>
      <c r="AJ5109" s="143">
        <f>AJ5101/((N_6*AJ$27*AJ5108)*SQRT(AJ5107*AJ5103*AJ5105))</f>
        <v>6.8181557059709563</v>
      </c>
      <c r="AK5109" s="133"/>
      <c r="AL5109" s="146"/>
      <c r="AM5109" s="143">
        <f>AM5101/((N_6*AM$27*AM5108)*SQRT(AM5107*AM5103*AM5105))</f>
        <v>7.2730440746560072</v>
      </c>
      <c r="AN5109" s="133"/>
      <c r="AO5109" s="146"/>
      <c r="AP5109" s="143">
        <f>AP5101/((N_6*AP$27*AP5108)*SQRT(AP5107*AP5103*AP5105))</f>
        <v>5.4003050873580376</v>
      </c>
      <c r="AQ5109" s="133"/>
      <c r="AR5109" s="146"/>
      <c r="AS5109" s="143">
        <f>AS5101/((N_6*AS$27*AS5108)*SQRT(AS5107*AS5103*AS5105))</f>
        <v>18.987150361920044</v>
      </c>
      <c r="AT5109" s="133"/>
      <c r="AU5109" s="146"/>
    </row>
    <row r="5110" spans="13:47" x14ac:dyDescent="0.25">
      <c r="M5110" s="12"/>
      <c r="N5110" s="12"/>
      <c r="O5110" s="2" t="s">
        <v>73</v>
      </c>
      <c r="P5110" s="85">
        <v>5</v>
      </c>
      <c r="Q5110" s="2"/>
      <c r="R5110" s="179">
        <f>R5101/((N_6*R$27*0.667)*SQRT(R5111*R5103*R5105))</f>
        <v>508.95134915254351</v>
      </c>
      <c r="S5110" s="133"/>
      <c r="T5110" s="155"/>
      <c r="U5110" s="143">
        <f>U5101/((N_6*U$27*0.667)*SQRT(U5111*U5103*U5105))</f>
        <v>477.68510884241886</v>
      </c>
      <c r="V5110" s="133"/>
      <c r="W5110" s="155"/>
      <c r="X5110" s="143">
        <f>X5101/((N_6*X$27*0.667)*SQRT(X5111*X5103*X5105))</f>
        <v>29.876317270889764</v>
      </c>
      <c r="Y5110" s="133"/>
      <c r="Z5110" s="155"/>
      <c r="AA5110" s="143">
        <f>AA5101/((N_6*AA$27*0.667)*SQRT(AA5111*AA5103*AA5105))</f>
        <v>13.845065829694988</v>
      </c>
      <c r="AB5110" s="133"/>
      <c r="AC5110" s="155"/>
      <c r="AD5110" s="143">
        <f>AD5101/((N_6*AD$27*0.667)*SQRT(AD5111*AD5103*AD5105))</f>
        <v>8.4280690641773344</v>
      </c>
      <c r="AE5110" s="133"/>
      <c r="AF5110" s="155"/>
      <c r="AG5110" s="143">
        <f>AG5101/((N_6*AG$27*0.667)*SQRT(AG5111*AG5103*AG5105))</f>
        <v>6.2680419194551815</v>
      </c>
      <c r="AH5110" s="133"/>
      <c r="AI5110" s="155"/>
      <c r="AJ5110" s="143">
        <f>AJ5101/((N_6*AJ$27*0.667)*SQRT(AJ5111*AJ5103*AJ5105))</f>
        <v>5.2650593395695138</v>
      </c>
      <c r="AK5110" s="133"/>
      <c r="AL5110" s="155"/>
      <c r="AM5110" s="143">
        <f>AM5101/((N_6*AM$27*0.667)*SQRT(AM5111*AM5103*AM5105))</f>
        <v>4.9757407840387051</v>
      </c>
      <c r="AN5110" s="133"/>
      <c r="AO5110" s="155"/>
      <c r="AP5110" s="143">
        <f>AP5101/((N_6*AP$27*0.667)*SQRT(AP5111*AP5103*AP5105))</f>
        <v>4.6025446780145769</v>
      </c>
      <c r="AQ5110" s="133"/>
      <c r="AR5110" s="155"/>
      <c r="AS5110" s="143">
        <f>AS5101/((N_6*AS$27*0.667)*SQRT(AS5111*AS5103*AS5105))</f>
        <v>6.6754483018335007</v>
      </c>
      <c r="AT5110" s="133"/>
      <c r="AU5110" s="155"/>
    </row>
    <row r="5111" spans="13:47" ht="15.5" x14ac:dyDescent="0.4">
      <c r="M5111" s="12"/>
      <c r="N5111" s="12"/>
      <c r="O5111" s="2" t="s">
        <v>192</v>
      </c>
      <c r="P5111" s="85">
        <v>10</v>
      </c>
      <c r="Q5111" s="2"/>
      <c r="R5111" s="181">
        <f>F_GAMMA*R$29</f>
        <v>0.64002688015162901</v>
      </c>
      <c r="S5111" s="133"/>
      <c r="T5111" s="155"/>
      <c r="U5111" s="138">
        <f>F_GAMMA*U$29</f>
        <v>0.64016782916606918</v>
      </c>
      <c r="V5111" s="133"/>
      <c r="W5111" s="155"/>
      <c r="X5111" s="138">
        <f>F_GAMMA*X$29</f>
        <v>0.6307062319203669</v>
      </c>
      <c r="Y5111" s="133"/>
      <c r="Z5111" s="155"/>
      <c r="AA5111" s="138">
        <f>F_GAMMA*AA$29</f>
        <v>0.62217534213893466</v>
      </c>
      <c r="AB5111" s="133"/>
      <c r="AC5111" s="155"/>
      <c r="AD5111" s="138">
        <f>F_GAMMA*AD$29</f>
        <v>0.60557184969146072</v>
      </c>
      <c r="AE5111" s="133"/>
      <c r="AF5111" s="155"/>
      <c r="AG5111" s="138">
        <f>F_GAMMA*AG$29</f>
        <v>0.57289312142622573</v>
      </c>
      <c r="AH5111" s="133"/>
      <c r="AI5111" s="155"/>
      <c r="AJ5111" s="138">
        <f>F_GAMMA*AJ$29</f>
        <v>0.53590819116049981</v>
      </c>
      <c r="AK5111" s="133"/>
      <c r="AL5111" s="155"/>
      <c r="AM5111" s="138">
        <f>F_GAMMA*AM$29</f>
        <v>0.49048815926850342</v>
      </c>
      <c r="AN5111" s="133"/>
      <c r="AO5111" s="155"/>
      <c r="AP5111" s="138">
        <f>F_GAMMA*AP$29</f>
        <v>0.59352979016280105</v>
      </c>
      <c r="AQ5111" s="133"/>
      <c r="AR5111" s="155"/>
      <c r="AS5111" s="138">
        <f>F_GAMMA*AS$29</f>
        <v>0.39097221161068291</v>
      </c>
      <c r="AT5111" s="133"/>
      <c r="AU5111" s="155"/>
    </row>
    <row r="5112" spans="13:47" x14ac:dyDescent="0.25">
      <c r="M5112" s="12"/>
      <c r="N5112" s="12"/>
      <c r="O5112" s="2" t="s">
        <v>193</v>
      </c>
      <c r="P5112" s="134"/>
      <c r="Q5112" s="2"/>
      <c r="R5112" s="181" t="e">
        <f>IF(R5107&lt;R5111,R5109,R5110)</f>
        <v>#NUM!</v>
      </c>
      <c r="S5112" s="133"/>
      <c r="T5112" s="155"/>
      <c r="U5112" s="138">
        <f>IF(U5107&lt;U5111,U5109,U5110)</f>
        <v>477.68510884241886</v>
      </c>
      <c r="V5112" s="133"/>
      <c r="W5112" s="155"/>
      <c r="X5112" s="138">
        <f>IF(X5107&lt;X5111,X5109,X5110)</f>
        <v>29.876317270889764</v>
      </c>
      <c r="Y5112" s="133"/>
      <c r="Z5112" s="155"/>
      <c r="AA5112" s="138">
        <f>IF(AA5107&lt;AA5111,AA5109,AA5110)</f>
        <v>13.845065829694988</v>
      </c>
      <c r="AB5112" s="133"/>
      <c r="AC5112" s="155"/>
      <c r="AD5112" s="138">
        <f>IF(AD5107&lt;AD5111,AD5109,AD5110)</f>
        <v>8.4280690641773344</v>
      </c>
      <c r="AE5112" s="133"/>
      <c r="AF5112" s="155"/>
      <c r="AG5112" s="138">
        <f>IF(AG5107&lt;AG5111,AG5109,AG5110)</f>
        <v>6.2680419194551815</v>
      </c>
      <c r="AH5112" s="133"/>
      <c r="AI5112" s="155"/>
      <c r="AJ5112" s="138">
        <f>IF(AJ5107&lt;AJ5111,AJ5109,AJ5110)</f>
        <v>5.2650593395695138</v>
      </c>
      <c r="AK5112" s="133"/>
      <c r="AL5112" s="155"/>
      <c r="AM5112" s="138">
        <f>IF(AM5107&lt;AM5111,AM5109,AM5110)</f>
        <v>4.9757407840387051</v>
      </c>
      <c r="AN5112" s="133"/>
      <c r="AO5112" s="155"/>
      <c r="AP5112" s="138">
        <f>IF(AP5107&lt;AP5111,AP5109,AP5110)</f>
        <v>4.6025446780145769</v>
      </c>
      <c r="AQ5112" s="133"/>
      <c r="AR5112" s="155"/>
      <c r="AS5112" s="138">
        <f>IF(AS5107&lt;AS5111,AS5109,AS5110)</f>
        <v>6.6754483018335007</v>
      </c>
      <c r="AT5112" s="133"/>
      <c r="AU5112" s="155"/>
    </row>
    <row r="5113" spans="13:47" ht="13" x14ac:dyDescent="0.3">
      <c r="M5113" s="12"/>
      <c r="N5113" s="12"/>
      <c r="O5113" s="9" t="s">
        <v>194</v>
      </c>
      <c r="P5113" s="1"/>
      <c r="Q5113" s="1"/>
      <c r="R5113" s="135"/>
      <c r="S5113" s="132">
        <f>IF(R5106&lt;=0,W_max,ABS(R$23-R5112))</f>
        <v>7174</v>
      </c>
      <c r="T5113" s="151">
        <f>R5101</f>
        <v>14861.671739198735</v>
      </c>
      <c r="U5113" s="135"/>
      <c r="V5113" s="132">
        <f>IF(U5106&lt;=0,W_max,ABS(U$23-U5112))</f>
        <v>7174</v>
      </c>
      <c r="W5113" s="151">
        <f>U5101</f>
        <v>17036.285733418281</v>
      </c>
      <c r="X5113" s="135"/>
      <c r="Y5113" s="132">
        <f>IF(X5106&lt;=0,W_max,ABS(X$23-X5112))</f>
        <v>7174</v>
      </c>
      <c r="Z5113" s="151">
        <f>X5101</f>
        <v>42132.761960510732</v>
      </c>
      <c r="AA5113" s="135"/>
      <c r="AB5113" s="132">
        <f>IF(AA5106&lt;=0,W_max,ABS(AA$23-AA5112))</f>
        <v>7174</v>
      </c>
      <c r="AC5113" s="151">
        <f>AA5101</f>
        <v>82063.866104832865</v>
      </c>
      <c r="AD5113" s="135"/>
      <c r="AE5113" s="132">
        <f>IF(AD5106&lt;=0,W_max,ABS(AD$23-AD5112))</f>
        <v>7174</v>
      </c>
      <c r="AF5113" s="151">
        <f>AD5101</f>
        <v>134964.84561954369</v>
      </c>
      <c r="AG5113" s="135"/>
      <c r="AH5113" s="132">
        <f>IF(AG5106&lt;=0,W_max,ABS(AG$23-AG5112))</f>
        <v>7174</v>
      </c>
      <c r="AI5113" s="151">
        <f>AG5101</f>
        <v>189298.58640790128</v>
      </c>
      <c r="AJ5113" s="135"/>
      <c r="AK5113" s="132">
        <f>IF(AJ5106&lt;=0,W_max,ABS(AJ$23-AJ5112))</f>
        <v>7174</v>
      </c>
      <c r="AL5113" s="151">
        <f>AJ5101</f>
        <v>240358.97408022487</v>
      </c>
      <c r="AM5113" s="135"/>
      <c r="AN5113" s="132">
        <f>IF(AM5106&lt;=0,W_max,ABS(AM$23-AM5112))</f>
        <v>7174</v>
      </c>
      <c r="AO5113" s="151">
        <f>AM5101</f>
        <v>281839.80012224062</v>
      </c>
      <c r="AP5113" s="135"/>
      <c r="AQ5113" s="132">
        <f>IF(AP5106&lt;=0,W_max,ABS(AP$23-AP5112))</f>
        <v>7174</v>
      </c>
      <c r="AR5113" s="151">
        <f>AP5101</f>
        <v>314439.74382686353</v>
      </c>
      <c r="AS5113" s="135"/>
      <c r="AT5113" s="132">
        <f>IF(AS5106&lt;=0,W_max,ABS(AS$23-AS5112))</f>
        <v>7174</v>
      </c>
      <c r="AU5113" s="151">
        <f>AS5101</f>
        <v>350810.46912118251</v>
      </c>
    </row>
    <row r="5114" spans="13:47" ht="13" x14ac:dyDescent="0.25">
      <c r="M5114" s="12"/>
      <c r="N5114" s="12"/>
      <c r="O5114" s="2"/>
      <c r="P5114" s="85"/>
      <c r="Q5114" s="2"/>
      <c r="R5114" s="18"/>
      <c r="S5114" s="150"/>
      <c r="T5114" s="148"/>
      <c r="U5114" s="157"/>
      <c r="V5114" s="1"/>
      <c r="W5114" s="147"/>
      <c r="X5114" s="157"/>
      <c r="Y5114" s="1"/>
      <c r="Z5114" s="147"/>
      <c r="AA5114" s="157"/>
      <c r="AB5114" s="1"/>
      <c r="AC5114" s="147"/>
      <c r="AD5114" s="157"/>
      <c r="AE5114" s="1"/>
      <c r="AF5114" s="147"/>
      <c r="AG5114" s="157"/>
      <c r="AH5114" s="1"/>
      <c r="AI5114" s="147"/>
      <c r="AJ5114" s="157"/>
      <c r="AK5114" s="1"/>
      <c r="AL5114" s="147"/>
      <c r="AM5114" s="157"/>
      <c r="AN5114" s="1"/>
      <c r="AO5114" s="147"/>
      <c r="AP5114" s="157"/>
      <c r="AQ5114" s="1"/>
      <c r="AR5114" s="147"/>
      <c r="AS5114" s="157"/>
      <c r="AT5114" s="1"/>
      <c r="AU5114" s="147"/>
    </row>
    <row r="5115" spans="13:47" ht="14" x14ac:dyDescent="0.3">
      <c r="M5115" s="12"/>
      <c r="N5115" s="12"/>
      <c r="O5115" s="23" t="s">
        <v>238</v>
      </c>
      <c r="P5115" s="20"/>
      <c r="Q5115" s="20"/>
      <c r="R5115" s="181">
        <f>R5101*1.02</f>
        <v>15158.90517398271</v>
      </c>
      <c r="S5115" s="128" t="s">
        <v>185</v>
      </c>
      <c r="T5115" s="149" t="s">
        <v>186</v>
      </c>
      <c r="U5115" s="143">
        <f>U5101*1.01</f>
        <v>17206.648590752462</v>
      </c>
      <c r="V5115" s="128" t="s">
        <v>185</v>
      </c>
      <c r="W5115" s="153" t="s">
        <v>186</v>
      </c>
      <c r="X5115" s="143">
        <f>X5101*1.01</f>
        <v>42554.08958011584</v>
      </c>
      <c r="Y5115" s="128" t="s">
        <v>185</v>
      </c>
      <c r="Z5115" s="153" t="s">
        <v>186</v>
      </c>
      <c r="AA5115" s="143">
        <f>AA5101*1.01</f>
        <v>82884.504765881196</v>
      </c>
      <c r="AB5115" s="128" t="s">
        <v>185</v>
      </c>
      <c r="AC5115" s="153" t="s">
        <v>186</v>
      </c>
      <c r="AD5115" s="143">
        <f>AD5101*1.01</f>
        <v>136314.49407573912</v>
      </c>
      <c r="AE5115" s="128" t="s">
        <v>185</v>
      </c>
      <c r="AF5115" s="153" t="s">
        <v>186</v>
      </c>
      <c r="AG5115" s="143">
        <f>AG5101*1.01</f>
        <v>191191.57227198029</v>
      </c>
      <c r="AH5115" s="128" t="s">
        <v>185</v>
      </c>
      <c r="AI5115" s="153" t="s">
        <v>186</v>
      </c>
      <c r="AJ5115" s="143">
        <f>AJ5101*1.01</f>
        <v>242762.56382102711</v>
      </c>
      <c r="AK5115" s="128" t="s">
        <v>185</v>
      </c>
      <c r="AL5115" s="153" t="s">
        <v>186</v>
      </c>
      <c r="AM5115" s="143">
        <f>AM5101*1.01</f>
        <v>284658.19812346302</v>
      </c>
      <c r="AN5115" s="128" t="s">
        <v>185</v>
      </c>
      <c r="AO5115" s="153" t="s">
        <v>186</v>
      </c>
      <c r="AP5115" s="143">
        <f>AP5101*1.01</f>
        <v>317584.14126513217</v>
      </c>
      <c r="AQ5115" s="128" t="s">
        <v>185</v>
      </c>
      <c r="AR5115" s="153" t="s">
        <v>186</v>
      </c>
      <c r="AS5115" s="143">
        <f>AS5101*1.01</f>
        <v>354318.57381239434</v>
      </c>
      <c r="AT5115" s="128" t="s">
        <v>185</v>
      </c>
      <c r="AU5115" s="153" t="s">
        <v>186</v>
      </c>
    </row>
    <row r="5116" spans="13:47" ht="14" x14ac:dyDescent="0.3">
      <c r="M5116" s="12"/>
      <c r="N5116" s="12"/>
      <c r="O5116" s="20"/>
      <c r="P5116" s="20"/>
      <c r="Q5116" s="23"/>
      <c r="R5116" s="139"/>
      <c r="S5116" s="130" t="s">
        <v>228</v>
      </c>
      <c r="T5116" s="131" t="s">
        <v>187</v>
      </c>
      <c r="U5116" s="144"/>
      <c r="V5116" s="130" t="s">
        <v>228</v>
      </c>
      <c r="W5116" s="154" t="s">
        <v>187</v>
      </c>
      <c r="X5116" s="144"/>
      <c r="Y5116" s="130" t="s">
        <v>228</v>
      </c>
      <c r="Z5116" s="154" t="s">
        <v>187</v>
      </c>
      <c r="AA5116" s="144"/>
      <c r="AB5116" s="130" t="s">
        <v>228</v>
      </c>
      <c r="AC5116" s="154" t="s">
        <v>187</v>
      </c>
      <c r="AD5116" s="144"/>
      <c r="AE5116" s="130" t="s">
        <v>228</v>
      </c>
      <c r="AF5116" s="154" t="s">
        <v>187</v>
      </c>
      <c r="AG5116" s="144"/>
      <c r="AH5116" s="130" t="s">
        <v>228</v>
      </c>
      <c r="AI5116" s="154" t="s">
        <v>187</v>
      </c>
      <c r="AJ5116" s="144"/>
      <c r="AK5116" s="130" t="s">
        <v>228</v>
      </c>
      <c r="AL5116" s="154" t="s">
        <v>187</v>
      </c>
      <c r="AM5116" s="144"/>
      <c r="AN5116" s="130" t="s">
        <v>228</v>
      </c>
      <c r="AO5116" s="154" t="s">
        <v>187</v>
      </c>
      <c r="AP5116" s="144"/>
      <c r="AQ5116" s="130" t="s">
        <v>228</v>
      </c>
      <c r="AR5116" s="154" t="s">
        <v>187</v>
      </c>
      <c r="AS5116" s="144"/>
      <c r="AT5116" s="130" t="s">
        <v>228</v>
      </c>
      <c r="AU5116" s="154" t="s">
        <v>187</v>
      </c>
    </row>
    <row r="5117" spans="13:47" x14ac:dyDescent="0.25">
      <c r="M5117" s="12"/>
      <c r="N5117" s="12"/>
      <c r="O5117" s="7" t="s">
        <v>188</v>
      </c>
      <c r="P5117" s="7"/>
      <c r="Q5117" s="7"/>
      <c r="R5117" s="181">
        <f>P_1_minW-(R5115^2*R_up)+dpup_minQ</f>
        <v>8.8903448718460965</v>
      </c>
      <c r="S5117" s="132"/>
      <c r="T5117" s="145"/>
      <c r="U5117" s="138">
        <f>P_1_minW-(U5115^2*R_up)+dpup_minQ</f>
        <v>-17.538134033321342</v>
      </c>
      <c r="V5117" s="132"/>
      <c r="W5117" s="145"/>
      <c r="X5117" s="138">
        <f>P_1_minW-(X5115^2*R_up)+dpup_minQ</f>
        <v>-621.57530025820165</v>
      </c>
      <c r="Y5117" s="132"/>
      <c r="Z5117" s="145"/>
      <c r="AA5117" s="138">
        <f>P_1_minW-(AA5115^2*R_up)+dpup_minQ</f>
        <v>-2638.9076789927276</v>
      </c>
      <c r="AB5117" s="132"/>
      <c r="AC5117" s="145"/>
      <c r="AD5117" s="138">
        <f>P_1_minW-(AD5115^2*R_up)+dpup_minQ</f>
        <v>-7309.1266217069533</v>
      </c>
      <c r="AE5117" s="132"/>
      <c r="AF5117" s="145"/>
      <c r="AG5117" s="138">
        <f>P_1_minW-(AG5115^2*R_up)+dpup_minQ</f>
        <v>-14475.904039571795</v>
      </c>
      <c r="AH5117" s="132"/>
      <c r="AI5117" s="145"/>
      <c r="AJ5117" s="138">
        <f>P_1_minW-(AJ5115^2*R_up)+dpup_minQ</f>
        <v>-23399.972662068129</v>
      </c>
      <c r="AK5117" s="132"/>
      <c r="AL5117" s="145"/>
      <c r="AM5117" s="138">
        <f>P_1_minW-(AM5115^2*R_up)+dpup_minQ</f>
        <v>-32211.26437146002</v>
      </c>
      <c r="AN5117" s="132"/>
      <c r="AO5117" s="145"/>
      <c r="AP5117" s="138">
        <f>P_1_minW-(AP5115^2*R_up)+dpup_minQ</f>
        <v>-40118.47114596692</v>
      </c>
      <c r="AQ5117" s="132"/>
      <c r="AR5117" s="145"/>
      <c r="AS5117" s="138">
        <f>P_1_minW-(AS5115^2*R_up)+dpup_minQ</f>
        <v>-49960.69682452557</v>
      </c>
      <c r="AT5117" s="132"/>
      <c r="AU5117" s="145"/>
    </row>
    <row r="5118" spans="13:47" x14ac:dyDescent="0.25">
      <c r="M5118" s="12"/>
      <c r="N5118" s="12"/>
      <c r="O5118" s="7" t="s">
        <v>189</v>
      </c>
      <c r="P5118" s="1"/>
      <c r="Q5118" s="7"/>
      <c r="R5118" s="181">
        <f>P_2_minW+(R5115^2*R_dn)-dpdn_minQ</f>
        <v>50</v>
      </c>
      <c r="S5118" s="132"/>
      <c r="T5118" s="146"/>
      <c r="U5118" s="138">
        <f>P_2_minW+(U5115^2*R_dn)-dpdn_minQ</f>
        <v>50</v>
      </c>
      <c r="V5118" s="132"/>
      <c r="W5118" s="146"/>
      <c r="X5118" s="138">
        <f>P_2_minW+(X5115^2*R_dn)-dpdn_minQ</f>
        <v>50</v>
      </c>
      <c r="Y5118" s="132"/>
      <c r="Z5118" s="146"/>
      <c r="AA5118" s="138">
        <f>P_2_minW+(AA5115^2*R_dn)-dpdn_minQ</f>
        <v>50</v>
      </c>
      <c r="AB5118" s="132"/>
      <c r="AC5118" s="146"/>
      <c r="AD5118" s="138">
        <f>P_2_minW+(AD5115^2*R_dn)-dpdn_minQ</f>
        <v>50</v>
      </c>
      <c r="AE5118" s="132"/>
      <c r="AF5118" s="146"/>
      <c r="AG5118" s="138">
        <f>P_2_minW+(AG5115^2*R_dn)-dpdn_minQ</f>
        <v>50</v>
      </c>
      <c r="AH5118" s="132"/>
      <c r="AI5118" s="146"/>
      <c r="AJ5118" s="138">
        <f>P_2_minW+(AJ5115^2*R_dn)-dpdn_minQ</f>
        <v>50</v>
      </c>
      <c r="AK5118" s="132"/>
      <c r="AL5118" s="146"/>
      <c r="AM5118" s="138">
        <f>P_2_minW+(AM5115^2*R_dn)-dpdn_minQ</f>
        <v>50</v>
      </c>
      <c r="AN5118" s="132"/>
      <c r="AO5118" s="146"/>
      <c r="AP5118" s="138">
        <f>P_2_minW+(AP5115^2*R_dn)-dpdn_minQ</f>
        <v>50</v>
      </c>
      <c r="AQ5118" s="132"/>
      <c r="AR5118" s="146"/>
      <c r="AS5118" s="138">
        <f>P_2_minW+(AS5115^2*R_dn)-dpdn_minQ</f>
        <v>50</v>
      </c>
      <c r="AT5118" s="132"/>
      <c r="AU5118" s="146"/>
    </row>
    <row r="5119" spans="13:47" x14ac:dyDescent="0.25">
      <c r="M5119" s="12"/>
      <c r="N5119" s="12"/>
      <c r="O5119" s="7" t="s">
        <v>234</v>
      </c>
      <c r="P5119" s="1"/>
      <c r="Q5119" s="7"/>
      <c r="R5119" s="179">
        <f>'Valve Sizing'!G$8*R5117/P_1_maxW</f>
        <v>4.288544083344048E-2</v>
      </c>
      <c r="S5119" s="132"/>
      <c r="T5119" s="146"/>
      <c r="U5119" s="143">
        <f>'Valve Sizing'!$G$8*U5117/P_1_maxW</f>
        <v>-8.4600836104434501E-2</v>
      </c>
      <c r="V5119" s="132"/>
      <c r="W5119" s="146"/>
      <c r="X5119" s="143">
        <f>'Valve Sizing'!$G$8*X5117/P_1_maxW</f>
        <v>-2.9983685837842904</v>
      </c>
      <c r="Y5119" s="132"/>
      <c r="Z5119" s="146"/>
      <c r="AA5119" s="143">
        <f>'Valve Sizing'!$G$8*AA5117/P_1_maxW</f>
        <v>-12.729620814907067</v>
      </c>
      <c r="AB5119" s="132"/>
      <c r="AC5119" s="146"/>
      <c r="AD5119" s="143">
        <f>'Valve Sizing'!$G$8*AD5117/P_1_maxW</f>
        <v>-35.257925513326988</v>
      </c>
      <c r="AE5119" s="132"/>
      <c r="AF5119" s="146"/>
      <c r="AG5119" s="143">
        <f>'Valve Sizing'!$G$8*AG5117/P_1_maxW</f>
        <v>-69.829183811033289</v>
      </c>
      <c r="AH5119" s="132"/>
      <c r="AI5119" s="146"/>
      <c r="AJ5119" s="143">
        <f>'Valve Sizing'!$G$8*AJ5117/P_1_maxW</f>
        <v>-112.87730201346679</v>
      </c>
      <c r="AK5119" s="132"/>
      <c r="AL5119" s="146"/>
      <c r="AM5119" s="143">
        <f>'Valve Sizing'!$G$8*AM5117/P_1_maxW</f>
        <v>-155.38140446577626</v>
      </c>
      <c r="AN5119" s="132"/>
      <c r="AO5119" s="146"/>
      <c r="AP5119" s="143">
        <f>'Valve Sizing'!$G$8*AP5117/P_1_maxW</f>
        <v>-193.5243621546021</v>
      </c>
      <c r="AQ5119" s="132"/>
      <c r="AR5119" s="146"/>
      <c r="AS5119" s="143">
        <f>'Valve Sizing'!$G$8*AS5117/P_1_maxW</f>
        <v>-241.0015065276919</v>
      </c>
      <c r="AT5119" s="132"/>
      <c r="AU5119" s="146"/>
    </row>
    <row r="5120" spans="13:47" x14ac:dyDescent="0.25">
      <c r="M5120" s="12"/>
      <c r="N5120" s="12"/>
      <c r="O5120" s="7" t="s">
        <v>190</v>
      </c>
      <c r="P5120" s="1"/>
      <c r="Q5120" s="7"/>
      <c r="R5120" s="181">
        <f>R5117-R5118</f>
        <v>-41.109655128153904</v>
      </c>
      <c r="S5120" s="132"/>
      <c r="T5120" s="146"/>
      <c r="U5120" s="138">
        <f>U5117-U5118</f>
        <v>-67.538134033321342</v>
      </c>
      <c r="V5120" s="132"/>
      <c r="W5120" s="146"/>
      <c r="X5120" s="138">
        <f>X5117-X5118</f>
        <v>-671.57530025820165</v>
      </c>
      <c r="Y5120" s="132"/>
      <c r="Z5120" s="146"/>
      <c r="AA5120" s="138">
        <f>AA5117-AA5118</f>
        <v>-2688.9076789927276</v>
      </c>
      <c r="AB5120" s="132"/>
      <c r="AC5120" s="146"/>
      <c r="AD5120" s="138">
        <f>AD5117-AD5118</f>
        <v>-7359.1266217069533</v>
      </c>
      <c r="AE5120" s="132"/>
      <c r="AF5120" s="146"/>
      <c r="AG5120" s="138">
        <f>AG5117-AG5118</f>
        <v>-14525.904039571795</v>
      </c>
      <c r="AH5120" s="132"/>
      <c r="AI5120" s="146"/>
      <c r="AJ5120" s="138">
        <f>AJ5117-AJ5118</f>
        <v>-23449.972662068129</v>
      </c>
      <c r="AK5120" s="132"/>
      <c r="AL5120" s="146"/>
      <c r="AM5120" s="138">
        <f>AM5117-AM5118</f>
        <v>-32261.26437146002</v>
      </c>
      <c r="AN5120" s="132"/>
      <c r="AO5120" s="146"/>
      <c r="AP5120" s="138">
        <f>AP5117-AP5118</f>
        <v>-40168.47114596692</v>
      </c>
      <c r="AQ5120" s="132"/>
      <c r="AR5120" s="146"/>
      <c r="AS5120" s="138">
        <f>AS5117-AS5118</f>
        <v>-50010.69682452557</v>
      </c>
      <c r="AT5120" s="132"/>
      <c r="AU5120" s="146"/>
    </row>
    <row r="5121" spans="13:47" ht="14.5" x14ac:dyDescent="0.35">
      <c r="M5121" s="12"/>
      <c r="N5121" s="12"/>
      <c r="O5121" s="2" t="s">
        <v>191</v>
      </c>
      <c r="P5121" s="10"/>
      <c r="Q5121" s="2"/>
      <c r="R5121" s="181">
        <f>R5120/R5117</f>
        <v>-4.6240787866778676</v>
      </c>
      <c r="S5121" s="132"/>
      <c r="T5121" s="146"/>
      <c r="U5121" s="138">
        <f>U5120/U5117</f>
        <v>3.8509304299421578</v>
      </c>
      <c r="V5121" s="132"/>
      <c r="W5121" s="146"/>
      <c r="X5121" s="138">
        <f>X5120/X5117</f>
        <v>1.0804407768121256</v>
      </c>
      <c r="Y5121" s="132"/>
      <c r="Z5121" s="146"/>
      <c r="AA5121" s="138">
        <f>AA5120/AA5117</f>
        <v>1.0189472335080267</v>
      </c>
      <c r="AB5121" s="132"/>
      <c r="AC5121" s="146"/>
      <c r="AD5121" s="138">
        <f>AD5120/AD5117</f>
        <v>1.006840762595562</v>
      </c>
      <c r="AE5121" s="132"/>
      <c r="AF5121" s="146"/>
      <c r="AG5121" s="138">
        <f>AG5120/AG5117</f>
        <v>1.0034540157121323</v>
      </c>
      <c r="AH5121" s="132"/>
      <c r="AI5121" s="146"/>
      <c r="AJ5121" s="138">
        <f>AJ5120/AJ5117</f>
        <v>1.0021367546330964</v>
      </c>
      <c r="AK5121" s="132"/>
      <c r="AL5121" s="146"/>
      <c r="AM5121" s="138">
        <f>AM5120/AM5117</f>
        <v>1.0015522520141835</v>
      </c>
      <c r="AN5121" s="132"/>
      <c r="AO5121" s="146"/>
      <c r="AP5121" s="138">
        <f>AP5120/AP5117</f>
        <v>1.0012463087094741</v>
      </c>
      <c r="AQ5121" s="132"/>
      <c r="AR5121" s="146"/>
      <c r="AS5121" s="138">
        <f>AS5120/AS5117</f>
        <v>1.0010007866818915</v>
      </c>
      <c r="AT5121" s="132"/>
      <c r="AU5121" s="146"/>
    </row>
    <row r="5122" spans="13:47" x14ac:dyDescent="0.25">
      <c r="M5122" s="12"/>
      <c r="N5122" s="12"/>
      <c r="O5122" s="2" t="s">
        <v>26</v>
      </c>
      <c r="P5122" s="7">
        <v>12</v>
      </c>
      <c r="Q5122" s="2"/>
      <c r="R5122" s="181">
        <f>1-R5121/(3*F_GAMMA*R$29)</f>
        <v>3.4082732200155799</v>
      </c>
      <c r="S5122" s="133"/>
      <c r="T5122" s="146"/>
      <c r="U5122" s="138">
        <f>1-U5121/(3*F_GAMMA*U$29)</f>
        <v>-1.0051671111301492</v>
      </c>
      <c r="V5122" s="133"/>
      <c r="W5122" s="146"/>
      <c r="X5122" s="138">
        <f>1-X5121/(3*F_GAMMA*X$29)</f>
        <v>0.4289783303591741</v>
      </c>
      <c r="Y5122" s="133"/>
      <c r="Z5122" s="146"/>
      <c r="AA5122" s="138">
        <f>1-AA5121/(3*F_GAMMA*AA$29)</f>
        <v>0.45409428045098632</v>
      </c>
      <c r="AB5122" s="133"/>
      <c r="AC5122" s="146"/>
      <c r="AD5122" s="138">
        <f>1-AD5121/(3*F_GAMMA*AD$29)</f>
        <v>0.44579063953707665</v>
      </c>
      <c r="AE5122" s="133"/>
      <c r="AF5122" s="146"/>
      <c r="AG5122" s="138">
        <f>1-AG5121/(3*F_GAMMA*AG$29)</f>
        <v>0.4161482143975832</v>
      </c>
      <c r="AH5122" s="133"/>
      <c r="AI5122" s="146"/>
      <c r="AJ5122" s="138">
        <f>1-AJ5121/(3*F_GAMMA*AJ$29)</f>
        <v>0.37667385871761183</v>
      </c>
      <c r="AK5122" s="133"/>
      <c r="AL5122" s="146"/>
      <c r="AM5122" s="138">
        <f>1-AM5121/(3*F_GAMMA*AM$29)</f>
        <v>0.31935003044867061</v>
      </c>
      <c r="AN5122" s="133"/>
      <c r="AO5122" s="146"/>
      <c r="AP5122" s="138">
        <f>1-AP5121/(3*F_GAMMA*AP$29)</f>
        <v>0.43768825912128229</v>
      </c>
      <c r="AQ5122" s="133"/>
      <c r="AR5122" s="146"/>
      <c r="AS5122" s="138">
        <f>1-AS5121/(3*F_GAMMA*AS$29)</f>
        <v>0.14657124218787643</v>
      </c>
      <c r="AT5122" s="133"/>
      <c r="AU5122" s="146"/>
    </row>
    <row r="5123" spans="13:47" x14ac:dyDescent="0.25">
      <c r="M5123" s="12"/>
      <c r="N5123" s="12"/>
      <c r="O5123" s="2" t="s">
        <v>71</v>
      </c>
      <c r="P5123" s="85">
        <v>5</v>
      </c>
      <c r="Q5123" s="2"/>
      <c r="R5123" s="179" t="e">
        <f>R5115/((N_6*R$27*R5122)*SQRT(R5121*R5117*R5119))</f>
        <v>#NUM!</v>
      </c>
      <c r="S5123" s="133"/>
      <c r="T5123" s="146"/>
      <c r="U5123" s="143">
        <f>U5115/((N_6*U$27*U5122)*SQRT(U5121*U5117*U5119))</f>
        <v>-113.21758203315625</v>
      </c>
      <c r="V5123" s="133"/>
      <c r="W5123" s="146"/>
      <c r="X5123" s="143">
        <f>X5115/((N_6*X$27*X5122)*SQRT(X5121*X5117*X5119))</f>
        <v>35.026377044774421</v>
      </c>
      <c r="Y5123" s="133"/>
      <c r="Z5123" s="146"/>
      <c r="AA5123" s="143">
        <f>AA5115/((N_6*AA$27*AA5122)*SQRT(AA5121*AA5117*AA5119))</f>
        <v>15.721766947141424</v>
      </c>
      <c r="AB5123" s="133"/>
      <c r="AC5123" s="146"/>
      <c r="AD5123" s="143">
        <f>AD5115/((N_6*AD$27*AD5122)*SQRT(AD5121*AD5117*AD5119))</f>
        <v>9.6801920533495043</v>
      </c>
      <c r="AE5123" s="133"/>
      <c r="AF5123" s="146"/>
      <c r="AG5123" s="143">
        <f>AG5115/((N_6*AG$27*AG5122)*SQRT(AG5121*AG5117*AG5119))</f>
        <v>7.5147711824831465</v>
      </c>
      <c r="AH5123" s="133"/>
      <c r="AI5123" s="146"/>
      <c r="AJ5123" s="143">
        <f>AJ5115/((N_6*AJ$27*AJ5122)*SQRT(AJ5121*AJ5117*AJ5119))</f>
        <v>6.7497307666142436</v>
      </c>
      <c r="AK5123" s="133"/>
      <c r="AL5123" s="146"/>
      <c r="AM5123" s="143">
        <f>AM5115/((N_6*AM$27*AM5122)*SQRT(AM5121*AM5117*AM5119))</f>
        <v>7.200214932944565</v>
      </c>
      <c r="AN5123" s="133"/>
      <c r="AO5123" s="146"/>
      <c r="AP5123" s="143">
        <f>AP5115/((N_6*AP$27*AP5122)*SQRT(AP5121*AP5117*AP5119))</f>
        <v>5.3464621908726819</v>
      </c>
      <c r="AQ5123" s="133"/>
      <c r="AR5123" s="146"/>
      <c r="AS5123" s="143">
        <f>AS5115/((N_6*AS$27*AS5122)*SQRT(AS5121*AS5117*AS5119))</f>
        <v>18.796383638848983</v>
      </c>
      <c r="AT5123" s="133"/>
      <c r="AU5123" s="146"/>
    </row>
    <row r="5124" spans="13:47" x14ac:dyDescent="0.25">
      <c r="M5124" s="12"/>
      <c r="N5124" s="12"/>
      <c r="O5124" s="2" t="s">
        <v>73</v>
      </c>
      <c r="P5124" s="85">
        <v>5</v>
      </c>
      <c r="Q5124" s="2"/>
      <c r="R5124" s="179">
        <f>R5115/((N_6*R$27*0.667)*SQRT(R5125*R5117*R5119))</f>
        <v>726.90289984636672</v>
      </c>
      <c r="S5124" s="133"/>
      <c r="T5124" s="147"/>
      <c r="U5124" s="143">
        <f>U5115/((N_6*U$27*0.667)*SQRT(U5125*U5117*U5119))</f>
        <v>418.46797306664979</v>
      </c>
      <c r="V5124" s="133"/>
      <c r="W5124" s="155"/>
      <c r="X5124" s="143">
        <f>X5115/((N_6*X$27*0.667)*SQRT(X5125*X5117*X5119))</f>
        <v>29.484357006465025</v>
      </c>
      <c r="Y5124" s="133"/>
      <c r="Z5124" s="155"/>
      <c r="AA5124" s="143">
        <f>AA5115/((N_6*AA$27*0.667)*SQRT(AA5125*AA5117*AA5119))</f>
        <v>13.697490303276364</v>
      </c>
      <c r="AB5124" s="133"/>
      <c r="AC5124" s="155"/>
      <c r="AD5124" s="143">
        <f>AD5115/((N_6*AD$27*0.667)*SQRT(AD5125*AD5117*AD5119))</f>
        <v>8.3423160790503434</v>
      </c>
      <c r="AE5124" s="133"/>
      <c r="AF5124" s="155"/>
      <c r="AG5124" s="143">
        <f>AG5115/((N_6*AG$27*0.667)*SQRT(AG5125*AG5117*AG5119))</f>
        <v>6.205115884068479</v>
      </c>
      <c r="AH5124" s="133"/>
      <c r="AI5124" s="155"/>
      <c r="AJ5124" s="143">
        <f>AJ5115/((N_6*AJ$27*0.667)*SQRT(AJ5125*AJ5117*AJ5119))</f>
        <v>5.2124799204075298</v>
      </c>
      <c r="AK5124" s="133"/>
      <c r="AL5124" s="155"/>
      <c r="AM5124" s="143">
        <f>AM5115/((N_6*AM$27*0.667)*SQRT(AM5125*AM5117*AM5119))</f>
        <v>4.9261670019576194</v>
      </c>
      <c r="AN5124" s="133"/>
      <c r="AO5124" s="155"/>
      <c r="AP5124" s="143">
        <f>AP5115/((N_6*AP$27*0.667)*SQRT(AP5125*AP5117*AP5119))</f>
        <v>4.5567454233623845</v>
      </c>
      <c r="AQ5124" s="133"/>
      <c r="AR5124" s="155"/>
      <c r="AS5124" s="143">
        <f>AS5115/((N_6*AS$27*0.667)*SQRT(AS5125*AS5117*AS5119))</f>
        <v>6.6090874590947051</v>
      </c>
      <c r="AT5124" s="133"/>
      <c r="AU5124" s="155"/>
    </row>
    <row r="5125" spans="13:47" ht="15.5" x14ac:dyDescent="0.4">
      <c r="M5125" s="12"/>
      <c r="N5125" s="12"/>
      <c r="O5125" s="2" t="s">
        <v>192</v>
      </c>
      <c r="P5125" s="85">
        <v>10</v>
      </c>
      <c r="Q5125" s="2"/>
      <c r="R5125" s="181">
        <f>F_GAMMA*R$29</f>
        <v>0.64002688015162901</v>
      </c>
      <c r="S5125" s="133"/>
      <c r="T5125" s="147"/>
      <c r="U5125" s="138">
        <f>F_GAMMA*U$29</f>
        <v>0.64016782916606918</v>
      </c>
      <c r="V5125" s="133"/>
      <c r="W5125" s="155"/>
      <c r="X5125" s="138">
        <f>F_GAMMA*X$29</f>
        <v>0.6307062319203669</v>
      </c>
      <c r="Y5125" s="133"/>
      <c r="Z5125" s="155"/>
      <c r="AA5125" s="138">
        <f>F_GAMMA*AA$29</f>
        <v>0.62217534213893466</v>
      </c>
      <c r="AB5125" s="133"/>
      <c r="AC5125" s="155"/>
      <c r="AD5125" s="138">
        <f>F_GAMMA*AD$29</f>
        <v>0.60557184969146072</v>
      </c>
      <c r="AE5125" s="133"/>
      <c r="AF5125" s="155"/>
      <c r="AG5125" s="138">
        <f>F_GAMMA*AG$29</f>
        <v>0.57289312142622573</v>
      </c>
      <c r="AH5125" s="133"/>
      <c r="AI5125" s="155"/>
      <c r="AJ5125" s="138">
        <f>F_GAMMA*AJ$29</f>
        <v>0.53590819116049981</v>
      </c>
      <c r="AK5125" s="133"/>
      <c r="AL5125" s="155"/>
      <c r="AM5125" s="138">
        <f>F_GAMMA*AM$29</f>
        <v>0.49048815926850342</v>
      </c>
      <c r="AN5125" s="133"/>
      <c r="AO5125" s="155"/>
      <c r="AP5125" s="138">
        <f>F_GAMMA*AP$29</f>
        <v>0.59352979016280105</v>
      </c>
      <c r="AQ5125" s="133"/>
      <c r="AR5125" s="155"/>
      <c r="AS5125" s="138">
        <f>F_GAMMA*AS$29</f>
        <v>0.39097221161068291</v>
      </c>
      <c r="AT5125" s="133"/>
      <c r="AU5125" s="155"/>
    </row>
    <row r="5126" spans="13:47" x14ac:dyDescent="0.25">
      <c r="M5126" s="12"/>
      <c r="N5126" s="12"/>
      <c r="O5126" s="2" t="s">
        <v>193</v>
      </c>
      <c r="P5126" s="134"/>
      <c r="Q5126" s="2"/>
      <c r="R5126" s="181" t="e">
        <f>IF(R5121&lt;R5125,R5123,R5124)</f>
        <v>#NUM!</v>
      </c>
      <c r="S5126" s="133"/>
      <c r="T5126" s="147"/>
      <c r="U5126" s="138">
        <f>IF(U5121&lt;U5125,U5123,U5124)</f>
        <v>418.46797306664979</v>
      </c>
      <c r="V5126" s="133"/>
      <c r="W5126" s="155"/>
      <c r="X5126" s="138">
        <f>IF(X5121&lt;X5125,X5123,X5124)</f>
        <v>29.484357006465025</v>
      </c>
      <c r="Y5126" s="133"/>
      <c r="Z5126" s="155"/>
      <c r="AA5126" s="138">
        <f>IF(AA5121&lt;AA5125,AA5123,AA5124)</f>
        <v>13.697490303276364</v>
      </c>
      <c r="AB5126" s="133"/>
      <c r="AC5126" s="155"/>
      <c r="AD5126" s="138">
        <f>IF(AD5121&lt;AD5125,AD5123,AD5124)</f>
        <v>8.3423160790503434</v>
      </c>
      <c r="AE5126" s="133"/>
      <c r="AF5126" s="155"/>
      <c r="AG5126" s="138">
        <f>IF(AG5121&lt;AG5125,AG5123,AG5124)</f>
        <v>6.205115884068479</v>
      </c>
      <c r="AH5126" s="133"/>
      <c r="AI5126" s="155"/>
      <c r="AJ5126" s="138">
        <f>IF(AJ5121&lt;AJ5125,AJ5123,AJ5124)</f>
        <v>5.2124799204075298</v>
      </c>
      <c r="AK5126" s="133"/>
      <c r="AL5126" s="155"/>
      <c r="AM5126" s="138">
        <f>IF(AM5121&lt;AM5125,AM5123,AM5124)</f>
        <v>4.9261670019576194</v>
      </c>
      <c r="AN5126" s="133"/>
      <c r="AO5126" s="155"/>
      <c r="AP5126" s="138">
        <f>IF(AP5121&lt;AP5125,AP5123,AP5124)</f>
        <v>4.5567454233623845</v>
      </c>
      <c r="AQ5126" s="133"/>
      <c r="AR5126" s="155"/>
      <c r="AS5126" s="138">
        <f>IF(AS5121&lt;AS5125,AS5123,AS5124)</f>
        <v>6.6090874590947051</v>
      </c>
      <c r="AT5126" s="133"/>
      <c r="AU5126" s="155"/>
    </row>
    <row r="5127" spans="13:47" ht="13" x14ac:dyDescent="0.3">
      <c r="M5127" s="12"/>
      <c r="N5127" s="12"/>
      <c r="O5127" s="9" t="s">
        <v>194</v>
      </c>
      <c r="P5127" s="1"/>
      <c r="Q5127" s="1"/>
      <c r="R5127" s="135"/>
      <c r="S5127" s="132">
        <f>IF(R5120&lt;=0,W_max,ABS(R$23-R5126))</f>
        <v>7174</v>
      </c>
      <c r="T5127" s="151">
        <f>R5115</f>
        <v>15158.90517398271</v>
      </c>
      <c r="U5127" s="135"/>
      <c r="V5127" s="132">
        <f>IF(U5120&lt;=0,W_max,ABS(U$23-U5126))</f>
        <v>7174</v>
      </c>
      <c r="W5127" s="151">
        <f>U5115</f>
        <v>17206.648590752462</v>
      </c>
      <c r="X5127" s="135"/>
      <c r="Y5127" s="132">
        <f>IF(X5120&lt;=0,W_max,ABS(X$23-X5126))</f>
        <v>7174</v>
      </c>
      <c r="Z5127" s="151">
        <f>X5115</f>
        <v>42554.08958011584</v>
      </c>
      <c r="AA5127" s="135"/>
      <c r="AB5127" s="132">
        <f>IF(AA5120&lt;=0,W_max,ABS(AA$23-AA5126))</f>
        <v>7174</v>
      </c>
      <c r="AC5127" s="151">
        <f>AA5115</f>
        <v>82884.504765881196</v>
      </c>
      <c r="AD5127" s="135"/>
      <c r="AE5127" s="132">
        <f>IF(AD5120&lt;=0,W_max,ABS(AD$23-AD5126))</f>
        <v>7174</v>
      </c>
      <c r="AF5127" s="151">
        <f>AD5115</f>
        <v>136314.49407573912</v>
      </c>
      <c r="AG5127" s="135"/>
      <c r="AH5127" s="132">
        <f>IF(AG5120&lt;=0,W_max,ABS(AG$23-AG5126))</f>
        <v>7174</v>
      </c>
      <c r="AI5127" s="151">
        <f>AG5115</f>
        <v>191191.57227198029</v>
      </c>
      <c r="AJ5127" s="135"/>
      <c r="AK5127" s="132">
        <f>IF(AJ5120&lt;=0,W_max,ABS(AJ$23-AJ5126))</f>
        <v>7174</v>
      </c>
      <c r="AL5127" s="151">
        <f>AJ5115</f>
        <v>242762.56382102711</v>
      </c>
      <c r="AM5127" s="135"/>
      <c r="AN5127" s="132">
        <f>IF(AM5120&lt;=0,W_max,ABS(AM$23-AM5126))</f>
        <v>7174</v>
      </c>
      <c r="AO5127" s="151">
        <f>AM5115</f>
        <v>284658.19812346302</v>
      </c>
      <c r="AP5127" s="135"/>
      <c r="AQ5127" s="132">
        <f>IF(AP5120&lt;=0,W_max,ABS(AP$23-AP5126))</f>
        <v>7174</v>
      </c>
      <c r="AR5127" s="151">
        <f>AP5115</f>
        <v>317584.14126513217</v>
      </c>
      <c r="AS5127" s="135"/>
      <c r="AT5127" s="132">
        <f>IF(AS5120&lt;=0,W_max,ABS(AS$23-AS5126))</f>
        <v>7174</v>
      </c>
      <c r="AU5127" s="151">
        <f>AS5115</f>
        <v>354318.57381239434</v>
      </c>
    </row>
    <row r="5128" spans="13:47" ht="13" x14ac:dyDescent="0.25">
      <c r="M5128" s="12"/>
      <c r="N5128" s="12"/>
      <c r="O5128" s="12"/>
      <c r="P5128" s="12"/>
      <c r="Q5128" s="12"/>
      <c r="R5128" s="182"/>
      <c r="S5128" s="22"/>
      <c r="T5128" s="152"/>
      <c r="U5128" s="157"/>
      <c r="V5128" s="1"/>
      <c r="W5128" s="147"/>
      <c r="X5128" s="157"/>
      <c r="Y5128" s="1"/>
      <c r="Z5128" s="147"/>
      <c r="AA5128" s="157"/>
      <c r="AB5128" s="1"/>
      <c r="AC5128" s="147"/>
      <c r="AD5128" s="157"/>
      <c r="AE5128" s="1"/>
      <c r="AF5128" s="147"/>
      <c r="AG5128" s="157"/>
      <c r="AH5128" s="1"/>
      <c r="AI5128" s="147"/>
      <c r="AJ5128" s="157"/>
      <c r="AK5128" s="1"/>
      <c r="AL5128" s="147"/>
      <c r="AM5128" s="157"/>
      <c r="AN5128" s="1"/>
      <c r="AO5128" s="147"/>
      <c r="AP5128" s="157"/>
      <c r="AQ5128" s="1"/>
      <c r="AR5128" s="147"/>
      <c r="AS5128" s="157"/>
      <c r="AT5128" s="1"/>
      <c r="AU5128" s="147"/>
    </row>
    <row r="5129" spans="13:47" ht="14" x14ac:dyDescent="0.3">
      <c r="M5129" s="12"/>
      <c r="N5129" s="12"/>
      <c r="O5129" s="23" t="s">
        <v>238</v>
      </c>
      <c r="P5129" s="20"/>
      <c r="Q5129" s="20"/>
      <c r="R5129" s="18">
        <f>R5115*1.02</f>
        <v>15462.083277462365</v>
      </c>
      <c r="S5129" s="128" t="s">
        <v>185</v>
      </c>
      <c r="T5129" s="153" t="s">
        <v>186</v>
      </c>
      <c r="U5129" s="143">
        <f>U5115*1.01</f>
        <v>17378.715076659988</v>
      </c>
      <c r="V5129" s="128" t="s">
        <v>185</v>
      </c>
      <c r="W5129" s="153" t="s">
        <v>186</v>
      </c>
      <c r="X5129" s="143">
        <f>X5115*1.01</f>
        <v>42979.630475917002</v>
      </c>
      <c r="Y5129" s="128" t="s">
        <v>185</v>
      </c>
      <c r="Z5129" s="153" t="s">
        <v>186</v>
      </c>
      <c r="AA5129" s="143">
        <f>AA5115*1.01</f>
        <v>83713.349813540015</v>
      </c>
      <c r="AB5129" s="128" t="s">
        <v>185</v>
      </c>
      <c r="AC5129" s="153" t="s">
        <v>186</v>
      </c>
      <c r="AD5129" s="143">
        <f>AD5115*1.01</f>
        <v>137677.63901649651</v>
      </c>
      <c r="AE5129" s="128" t="s">
        <v>185</v>
      </c>
      <c r="AF5129" s="153" t="s">
        <v>186</v>
      </c>
      <c r="AG5129" s="143">
        <f>AG5115*1.01</f>
        <v>193103.48799470009</v>
      </c>
      <c r="AH5129" s="128" t="s">
        <v>185</v>
      </c>
      <c r="AI5129" s="153" t="s">
        <v>186</v>
      </c>
      <c r="AJ5129" s="143">
        <f>AJ5115*1.01</f>
        <v>245190.18945923739</v>
      </c>
      <c r="AK5129" s="128" t="s">
        <v>185</v>
      </c>
      <c r="AL5129" s="153" t="s">
        <v>186</v>
      </c>
      <c r="AM5129" s="143">
        <f>AM5115*1.01</f>
        <v>287504.78010469768</v>
      </c>
      <c r="AN5129" s="128" t="s">
        <v>185</v>
      </c>
      <c r="AO5129" s="153" t="s">
        <v>186</v>
      </c>
      <c r="AP5129" s="143">
        <f>AP5115*1.01</f>
        <v>320759.98267778353</v>
      </c>
      <c r="AQ5129" s="128" t="s">
        <v>185</v>
      </c>
      <c r="AR5129" s="153" t="s">
        <v>186</v>
      </c>
      <c r="AS5129" s="143">
        <f>AS5115*1.01</f>
        <v>357861.7595505183</v>
      </c>
      <c r="AT5129" s="128" t="s">
        <v>185</v>
      </c>
      <c r="AU5129" s="153" t="s">
        <v>186</v>
      </c>
    </row>
    <row r="5130" spans="13:47" ht="14" x14ac:dyDescent="0.3">
      <c r="M5130" s="12"/>
      <c r="N5130" s="12"/>
      <c r="O5130" s="20"/>
      <c r="P5130" s="20"/>
      <c r="Q5130" s="23"/>
      <c r="R5130" s="139"/>
      <c r="S5130" s="130" t="s">
        <v>228</v>
      </c>
      <c r="T5130" s="154" t="s">
        <v>187</v>
      </c>
      <c r="U5130" s="144"/>
      <c r="V5130" s="130" t="s">
        <v>228</v>
      </c>
      <c r="W5130" s="154" t="s">
        <v>187</v>
      </c>
      <c r="X5130" s="144"/>
      <c r="Y5130" s="130" t="s">
        <v>228</v>
      </c>
      <c r="Z5130" s="154" t="s">
        <v>187</v>
      </c>
      <c r="AA5130" s="144"/>
      <c r="AB5130" s="130" t="s">
        <v>228</v>
      </c>
      <c r="AC5130" s="154" t="s">
        <v>187</v>
      </c>
      <c r="AD5130" s="144"/>
      <c r="AE5130" s="130" t="s">
        <v>228</v>
      </c>
      <c r="AF5130" s="154" t="s">
        <v>187</v>
      </c>
      <c r="AG5130" s="144"/>
      <c r="AH5130" s="130" t="s">
        <v>228</v>
      </c>
      <c r="AI5130" s="154" t="s">
        <v>187</v>
      </c>
      <c r="AJ5130" s="144"/>
      <c r="AK5130" s="130" t="s">
        <v>228</v>
      </c>
      <c r="AL5130" s="154" t="s">
        <v>187</v>
      </c>
      <c r="AM5130" s="144"/>
      <c r="AN5130" s="130" t="s">
        <v>228</v>
      </c>
      <c r="AO5130" s="154" t="s">
        <v>187</v>
      </c>
      <c r="AP5130" s="144"/>
      <c r="AQ5130" s="130" t="s">
        <v>228</v>
      </c>
      <c r="AR5130" s="154" t="s">
        <v>187</v>
      </c>
      <c r="AS5130" s="144"/>
      <c r="AT5130" s="130" t="s">
        <v>228</v>
      </c>
      <c r="AU5130" s="154" t="s">
        <v>187</v>
      </c>
    </row>
    <row r="5131" spans="13:47" x14ac:dyDescent="0.25">
      <c r="M5131" s="12"/>
      <c r="N5131" s="12"/>
      <c r="O5131" s="7" t="s">
        <v>188</v>
      </c>
      <c r="P5131" s="7"/>
      <c r="Q5131" s="7"/>
      <c r="R5131" s="181">
        <f>P_1_minW-(R5129^2*R_up)+dpup_minQ</f>
        <v>5.1883942205049172</v>
      </c>
      <c r="S5131" s="132"/>
      <c r="T5131" s="145"/>
      <c r="U5131" s="138">
        <f>P_1_minW-(U5129^2*R_up)+dpup_minQ</f>
        <v>-19.91115854079932</v>
      </c>
      <c r="V5131" s="132"/>
      <c r="W5131" s="145"/>
      <c r="X5131" s="138">
        <f>P_1_minW-(X5129^2*R_up)+dpup_minQ</f>
        <v>-636.08947180679991</v>
      </c>
      <c r="Y5131" s="132"/>
      <c r="Z5131" s="145"/>
      <c r="AA5131" s="138">
        <f>P_1_minW-(AA5129^2*R_up)+dpup_minQ</f>
        <v>-2693.9702313538896</v>
      </c>
      <c r="AB5131" s="132"/>
      <c r="AC5131" s="145"/>
      <c r="AD5131" s="138">
        <f>P_1_minW-(AD5129^2*R_up)+dpup_minQ</f>
        <v>-7458.0605748166727</v>
      </c>
      <c r="AE5131" s="132"/>
      <c r="AF5131" s="145"/>
      <c r="AG5131" s="138">
        <f>P_1_minW-(AG5129^2*R_up)+dpup_minQ</f>
        <v>-14768.890218780596</v>
      </c>
      <c r="AH5131" s="132"/>
      <c r="AI5131" s="145"/>
      <c r="AJ5131" s="138">
        <f>P_1_minW-(AJ5129^2*R_up)+dpup_minQ</f>
        <v>-23872.332620589106</v>
      </c>
      <c r="AK5131" s="132"/>
      <c r="AL5131" s="145"/>
      <c r="AM5131" s="138">
        <f>P_1_minW-(AM5129^2*R_up)+dpup_minQ</f>
        <v>-32860.731293339777</v>
      </c>
      <c r="AN5131" s="132"/>
      <c r="AO5131" s="145"/>
      <c r="AP5131" s="138">
        <f>P_1_minW-(AP5129^2*R_up)+dpup_minQ</f>
        <v>-40926.872924014271</v>
      </c>
      <c r="AQ5131" s="132"/>
      <c r="AR5131" s="145"/>
      <c r="AS5131" s="138">
        <f>P_1_minW-(AS5129^2*R_up)+dpup_minQ</f>
        <v>-50966.927338711939</v>
      </c>
      <c r="AT5131" s="132"/>
      <c r="AU5131" s="145"/>
    </row>
    <row r="5132" spans="13:47" x14ac:dyDescent="0.25">
      <c r="M5132" s="12"/>
      <c r="N5132" s="12"/>
      <c r="O5132" s="7" t="s">
        <v>189</v>
      </c>
      <c r="P5132" s="1"/>
      <c r="Q5132" s="7"/>
      <c r="R5132" s="181">
        <f>P_2_minW+(R5129^2*R_dn)-dpdn_minQ</f>
        <v>50</v>
      </c>
      <c r="S5132" s="132"/>
      <c r="T5132" s="146"/>
      <c r="U5132" s="138">
        <f>P_2_minW+(U5129^2*R_dn)-dpdn_minQ</f>
        <v>50</v>
      </c>
      <c r="V5132" s="132"/>
      <c r="W5132" s="146"/>
      <c r="X5132" s="138">
        <f>P_2_minW+(X5129^2*R_dn)-dpdn_minQ</f>
        <v>50</v>
      </c>
      <c r="Y5132" s="132"/>
      <c r="Z5132" s="146"/>
      <c r="AA5132" s="138">
        <f>P_2_minW+(AA5129^2*R_dn)-dpdn_minQ</f>
        <v>50</v>
      </c>
      <c r="AB5132" s="132"/>
      <c r="AC5132" s="146"/>
      <c r="AD5132" s="138">
        <f>P_2_minW+(AD5129^2*R_dn)-dpdn_minQ</f>
        <v>50</v>
      </c>
      <c r="AE5132" s="132"/>
      <c r="AF5132" s="146"/>
      <c r="AG5132" s="138">
        <f>P_2_minW+(AG5129^2*R_dn)-dpdn_minQ</f>
        <v>50</v>
      </c>
      <c r="AH5132" s="132"/>
      <c r="AI5132" s="146"/>
      <c r="AJ5132" s="138">
        <f>P_2_minW+(AJ5129^2*R_dn)-dpdn_minQ</f>
        <v>50</v>
      </c>
      <c r="AK5132" s="132"/>
      <c r="AL5132" s="146"/>
      <c r="AM5132" s="138">
        <f>P_2_minW+(AM5129^2*R_dn)-dpdn_minQ</f>
        <v>50</v>
      </c>
      <c r="AN5132" s="132"/>
      <c r="AO5132" s="146"/>
      <c r="AP5132" s="138">
        <f>P_2_minW+(AP5129^2*R_dn)-dpdn_minQ</f>
        <v>50</v>
      </c>
      <c r="AQ5132" s="132"/>
      <c r="AR5132" s="146"/>
      <c r="AS5132" s="138">
        <f>P_2_minW+(AS5129^2*R_dn)-dpdn_minQ</f>
        <v>50</v>
      </c>
      <c r="AT5132" s="132"/>
      <c r="AU5132" s="146"/>
    </row>
    <row r="5133" spans="13:47" x14ac:dyDescent="0.25">
      <c r="M5133" s="12"/>
      <c r="N5133" s="12"/>
      <c r="O5133" s="7" t="s">
        <v>234</v>
      </c>
      <c r="P5133" s="1"/>
      <c r="Q5133" s="7"/>
      <c r="R5133" s="179">
        <f>'Valve Sizing'!G$8*R5131/P_1_maxW</f>
        <v>2.502788998306027E-2</v>
      </c>
      <c r="S5133" s="132"/>
      <c r="T5133" s="146"/>
      <c r="U5133" s="143">
        <f>'Valve Sizing'!$G$8*U5131/P_1_maxW</f>
        <v>-9.6047883837535403E-2</v>
      </c>
      <c r="V5133" s="132"/>
      <c r="W5133" s="146"/>
      <c r="X5133" s="143">
        <f>'Valve Sizing'!$G$8*X5131/P_1_maxW</f>
        <v>-3.0683823632457576</v>
      </c>
      <c r="Y5133" s="132"/>
      <c r="Z5133" s="146"/>
      <c r="AA5133" s="143">
        <f>'Valve Sizing'!$G$8*AA5131/P_1_maxW</f>
        <v>-12.9952327642141</v>
      </c>
      <c r="AB5133" s="132"/>
      <c r="AC5133" s="146"/>
      <c r="AD5133" s="143">
        <f>'Valve Sizing'!$G$8*AD5131/P_1_maxW</f>
        <v>-35.976356387072272</v>
      </c>
      <c r="AE5133" s="132"/>
      <c r="AF5133" s="146"/>
      <c r="AG5133" s="143">
        <f>'Valve Sizing'!$G$8*AG5131/P_1_maxW</f>
        <v>-71.242496976562464</v>
      </c>
      <c r="AH5133" s="132"/>
      <c r="AI5133" s="146"/>
      <c r="AJ5133" s="143">
        <f>'Valve Sizing'!$G$8*AJ5131/P_1_maxW</f>
        <v>-115.15588235486487</v>
      </c>
      <c r="AK5133" s="132"/>
      <c r="AL5133" s="146"/>
      <c r="AM5133" s="143">
        <f>'Valve Sizing'!$G$8*AM5131/P_1_maxW</f>
        <v>-158.51431726646575</v>
      </c>
      <c r="AN5133" s="132"/>
      <c r="AO5133" s="146"/>
      <c r="AP5133" s="143">
        <f>'Valve Sizing'!$G$8*AP5131/P_1_maxW</f>
        <v>-197.42394840483703</v>
      </c>
      <c r="AQ5133" s="132"/>
      <c r="AR5133" s="146"/>
      <c r="AS5133" s="143">
        <f>'Valve Sizing'!$G$8*AS5131/P_1_maxW</f>
        <v>-245.85538337982589</v>
      </c>
      <c r="AT5133" s="132"/>
      <c r="AU5133" s="146"/>
    </row>
    <row r="5134" spans="13:47" x14ac:dyDescent="0.25">
      <c r="M5134" s="12"/>
      <c r="N5134" s="12"/>
      <c r="O5134" s="7" t="s">
        <v>190</v>
      </c>
      <c r="P5134" s="1"/>
      <c r="Q5134" s="7"/>
      <c r="R5134" s="181">
        <f>R5131-R5132</f>
        <v>-44.811605779495082</v>
      </c>
      <c r="S5134" s="132"/>
      <c r="T5134" s="146"/>
      <c r="U5134" s="138">
        <f>U5131-U5132</f>
        <v>-69.91115854079932</v>
      </c>
      <c r="V5134" s="132"/>
      <c r="W5134" s="146"/>
      <c r="X5134" s="138">
        <f>X5131-X5132</f>
        <v>-686.08947180679991</v>
      </c>
      <c r="Y5134" s="132"/>
      <c r="Z5134" s="146"/>
      <c r="AA5134" s="138">
        <f>AA5131-AA5132</f>
        <v>-2743.9702313538896</v>
      </c>
      <c r="AB5134" s="132"/>
      <c r="AC5134" s="146"/>
      <c r="AD5134" s="138">
        <f>AD5131-AD5132</f>
        <v>-7508.0605748166727</v>
      </c>
      <c r="AE5134" s="132"/>
      <c r="AF5134" s="146"/>
      <c r="AG5134" s="138">
        <f>AG5131-AG5132</f>
        <v>-14818.890218780596</v>
      </c>
      <c r="AH5134" s="132"/>
      <c r="AI5134" s="146"/>
      <c r="AJ5134" s="138">
        <f>AJ5131-AJ5132</f>
        <v>-23922.332620589106</v>
      </c>
      <c r="AK5134" s="132"/>
      <c r="AL5134" s="146"/>
      <c r="AM5134" s="138">
        <f>AM5131-AM5132</f>
        <v>-32910.731293339777</v>
      </c>
      <c r="AN5134" s="132"/>
      <c r="AO5134" s="146"/>
      <c r="AP5134" s="138">
        <f>AP5131-AP5132</f>
        <v>-40976.872924014271</v>
      </c>
      <c r="AQ5134" s="132"/>
      <c r="AR5134" s="146"/>
      <c r="AS5134" s="138">
        <f>AS5131-AS5132</f>
        <v>-51016.927338711939</v>
      </c>
      <c r="AT5134" s="132"/>
      <c r="AU5134" s="146"/>
    </row>
    <row r="5135" spans="13:47" ht="14.5" x14ac:dyDescent="0.35">
      <c r="M5135" s="12"/>
      <c r="N5135" s="12"/>
      <c r="O5135" s="2" t="s">
        <v>191</v>
      </c>
      <c r="P5135" s="10"/>
      <c r="Q5135" s="2"/>
      <c r="R5135" s="181">
        <f>R5134/R5131</f>
        <v>-8.6368930106344468</v>
      </c>
      <c r="S5135" s="132"/>
      <c r="T5135" s="146"/>
      <c r="U5135" s="138">
        <f>U5134/U5131</f>
        <v>3.511154732535859</v>
      </c>
      <c r="V5135" s="132"/>
      <c r="W5135" s="146"/>
      <c r="X5135" s="138">
        <f>X5134/X5131</f>
        <v>1.0786052940916879</v>
      </c>
      <c r="Y5135" s="132"/>
      <c r="Z5135" s="146"/>
      <c r="AA5135" s="138">
        <f>AA5134/AA5131</f>
        <v>1.0185599675223107</v>
      </c>
      <c r="AB5135" s="132"/>
      <c r="AC5135" s="146"/>
      <c r="AD5135" s="138">
        <f>AD5134/AD5131</f>
        <v>1.0067041557920344</v>
      </c>
      <c r="AE5135" s="132"/>
      <c r="AF5135" s="146"/>
      <c r="AG5135" s="138">
        <f>AG5134/AG5131</f>
        <v>1.0033854947297542</v>
      </c>
      <c r="AH5135" s="132"/>
      <c r="AI5135" s="146"/>
      <c r="AJ5135" s="138">
        <f>AJ5134/AJ5131</f>
        <v>1.0020944748380758</v>
      </c>
      <c r="AK5135" s="132"/>
      <c r="AL5135" s="146"/>
      <c r="AM5135" s="138">
        <f>AM5134/AM5131</f>
        <v>1.0015215729544684</v>
      </c>
      <c r="AN5135" s="132"/>
      <c r="AO5135" s="146"/>
      <c r="AP5135" s="138">
        <f>AP5134/AP5131</f>
        <v>1.0012216911879104</v>
      </c>
      <c r="AQ5135" s="132"/>
      <c r="AR5135" s="146"/>
      <c r="AS5135" s="138">
        <f>AS5134/AS5131</f>
        <v>1.0009810283376064</v>
      </c>
      <c r="AT5135" s="132"/>
      <c r="AU5135" s="146"/>
    </row>
    <row r="5136" spans="13:47" x14ac:dyDescent="0.25">
      <c r="M5136" s="12"/>
      <c r="N5136" s="12"/>
      <c r="O5136" s="2" t="s">
        <v>26</v>
      </c>
      <c r="P5136" s="7">
        <v>12</v>
      </c>
      <c r="Q5136" s="2"/>
      <c r="R5136" s="181">
        <f>1-R5135/(3*F_GAMMA*R$29)</f>
        <v>5.4981928512066442</v>
      </c>
      <c r="S5136" s="133"/>
      <c r="T5136" s="146"/>
      <c r="U5136" s="138">
        <f>1-U5135/(3*F_GAMMA*U$29)</f>
        <v>-0.82824699636955801</v>
      </c>
      <c r="V5136" s="133"/>
      <c r="W5136" s="146"/>
      <c r="X5136" s="138">
        <f>1-X5135/(3*F_GAMMA*X$29)</f>
        <v>0.4299483977891666</v>
      </c>
      <c r="Y5136" s="133"/>
      <c r="Z5136" s="146"/>
      <c r="AA5136" s="138">
        <f>1-AA5135/(3*F_GAMMA*AA$29)</f>
        <v>0.45430176000403566</v>
      </c>
      <c r="AB5136" s="133"/>
      <c r="AC5136" s="146"/>
      <c r="AD5136" s="138">
        <f>1-AD5135/(3*F_GAMMA*AD$29)</f>
        <v>0.44586583391937673</v>
      </c>
      <c r="AE5136" s="133"/>
      <c r="AF5136" s="146"/>
      <c r="AG5136" s="138">
        <f>1-AG5135/(3*F_GAMMA*AG$29)</f>
        <v>0.41618808278944397</v>
      </c>
      <c r="AH5136" s="133"/>
      <c r="AI5136" s="146"/>
      <c r="AJ5136" s="138">
        <f>1-AJ5135/(3*F_GAMMA*AJ$29)</f>
        <v>0.37670015662691658</v>
      </c>
      <c r="AK5136" s="133"/>
      <c r="AL5136" s="146"/>
      <c r="AM5136" s="138">
        <f>1-AM5135/(3*F_GAMMA*AM$29)</f>
        <v>0.31937087978630518</v>
      </c>
      <c r="AN5136" s="133"/>
      <c r="AO5136" s="146"/>
      <c r="AP5136" s="138">
        <f>1-AP5135/(3*F_GAMMA*AP$29)</f>
        <v>0.43770208461185955</v>
      </c>
      <c r="AQ5136" s="133"/>
      <c r="AR5136" s="146"/>
      <c r="AS5136" s="138">
        <f>1-AS5135/(3*F_GAMMA*AS$29)</f>
        <v>0.14658808766836362</v>
      </c>
      <c r="AT5136" s="133"/>
      <c r="AU5136" s="146"/>
    </row>
    <row r="5137" spans="13:47" x14ac:dyDescent="0.25">
      <c r="M5137" s="12"/>
      <c r="N5137" s="12"/>
      <c r="O5137" s="2" t="s">
        <v>71</v>
      </c>
      <c r="P5137" s="85">
        <v>5</v>
      </c>
      <c r="Q5137" s="2"/>
      <c r="R5137" s="179" t="e">
        <f>R5129/((N_6*R$27*R5136)*SQRT(R5135*R5131*R5133))</f>
        <v>#NUM!</v>
      </c>
      <c r="S5137" s="133"/>
      <c r="T5137" s="146"/>
      <c r="U5137" s="143">
        <f>U5129/((N_6*U$27*U5136)*SQRT(U5135*U5131*U5133))</f>
        <v>-128.01426182181731</v>
      </c>
      <c r="V5137" s="133"/>
      <c r="W5137" s="146"/>
      <c r="X5137" s="143">
        <f>X5129/((N_6*X$27*X5136)*SQRT(X5135*X5131*X5133))</f>
        <v>34.520761097250386</v>
      </c>
      <c r="Y5137" s="133"/>
      <c r="Z5137" s="146"/>
      <c r="AA5137" s="143">
        <f>AA5129/((N_6*AA$27*AA5136)*SQRT(AA5135*AA5131*AA5133))</f>
        <v>15.55028276537246</v>
      </c>
      <c r="AB5137" s="133"/>
      <c r="AC5137" s="146"/>
      <c r="AD5137" s="143">
        <f>AD5129/((N_6*AD$27*AD5136)*SQRT(AD5135*AD5131*AD5133))</f>
        <v>9.5807860470065993</v>
      </c>
      <c r="AE5137" s="133"/>
      <c r="AF5137" s="146"/>
      <c r="AG5137" s="143">
        <f>AG5129/((N_6*AG$27*AG5136)*SQRT(AG5135*AG5131*AG5133))</f>
        <v>7.4388909435635746</v>
      </c>
      <c r="AH5137" s="133"/>
      <c r="AI5137" s="146"/>
      <c r="AJ5137" s="143">
        <f>AJ5129/((N_6*AJ$27*AJ5136)*SQRT(AJ5135*AJ5131*AJ5133))</f>
        <v>6.6820105763289774</v>
      </c>
      <c r="AK5137" s="133"/>
      <c r="AL5137" s="146"/>
      <c r="AM5137" s="143">
        <f>AM5129/((N_6*AM$27*AM5136)*SQRT(AM5135*AM5131*AM5133))</f>
        <v>7.128131147775953</v>
      </c>
      <c r="AN5137" s="133"/>
      <c r="AO5137" s="146"/>
      <c r="AP5137" s="143">
        <f>AP5129/((N_6*AP$27*AP5136)*SQRT(AP5135*AP5131*AP5133))</f>
        <v>5.2931634626044213</v>
      </c>
      <c r="AQ5137" s="133"/>
      <c r="AR5137" s="146"/>
      <c r="AS5137" s="143">
        <f>AS5129/((N_6*AS$27*AS5136)*SQRT(AS5135*AS5131*AS5133))</f>
        <v>18.607588143285241</v>
      </c>
      <c r="AT5137" s="133"/>
      <c r="AU5137" s="146"/>
    </row>
    <row r="5138" spans="13:47" x14ac:dyDescent="0.25">
      <c r="M5138" s="12"/>
      <c r="N5138" s="12"/>
      <c r="O5138" s="2" t="s">
        <v>73</v>
      </c>
      <c r="P5138" s="85">
        <v>5</v>
      </c>
      <c r="Q5138" s="2"/>
      <c r="R5138" s="179">
        <f>R5129/((N_6*R$27*0.667)*SQRT(R5139*R5131*R5133))</f>
        <v>1270.4635648710034</v>
      </c>
      <c r="S5138" s="133"/>
      <c r="T5138" s="155"/>
      <c r="U5138" s="143">
        <f>U5129/((N_6*U$27*0.667)*SQRT(U5139*U5131*U5133))</f>
        <v>372.28064148599719</v>
      </c>
      <c r="V5138" s="133"/>
      <c r="W5138" s="155"/>
      <c r="X5138" s="143">
        <f>X5129/((N_6*X$27*0.667)*SQRT(X5139*X5131*X5133))</f>
        <v>29.09970430296276</v>
      </c>
      <c r="Y5138" s="133"/>
      <c r="Z5138" s="155"/>
      <c r="AA5138" s="143">
        <f>AA5129/((N_6*AA$27*0.667)*SQRT(AA5139*AA5131*AA5133))</f>
        <v>13.551700030975976</v>
      </c>
      <c r="AB5138" s="133"/>
      <c r="AC5138" s="155"/>
      <c r="AD5138" s="143">
        <f>AD5129/((N_6*AD$27*0.667)*SQRT(AD5139*AD5131*AD5133))</f>
        <v>8.2574812000632551</v>
      </c>
      <c r="AE5138" s="133"/>
      <c r="AF5138" s="155"/>
      <c r="AG5138" s="143">
        <f>AG5129/((N_6*AG$27*0.667)*SQRT(AG5139*AG5131*AG5133))</f>
        <v>6.142838586324773</v>
      </c>
      <c r="AH5138" s="133"/>
      <c r="AI5138" s="155"/>
      <c r="AJ5138" s="143">
        <f>AJ5129/((N_6*AJ$27*0.667)*SQRT(AJ5139*AJ5131*AJ5133))</f>
        <v>5.160434402177259</v>
      </c>
      <c r="AK5138" s="133"/>
      <c r="AL5138" s="155"/>
      <c r="AM5138" s="143">
        <f>AM5129/((N_6*AM$27*0.667)*SQRT(AM5139*AM5131*AM5133))</f>
        <v>4.8770931749435</v>
      </c>
      <c r="AN5138" s="133"/>
      <c r="AO5138" s="155"/>
      <c r="AP5138" s="143">
        <f>AP5129/((N_6*AP$27*0.667)*SQRT(AP5139*AP5131*AP5133))</f>
        <v>4.5114063986112489</v>
      </c>
      <c r="AQ5138" s="133"/>
      <c r="AR5138" s="155"/>
      <c r="AS5138" s="143">
        <f>AS5129/((N_6*AS$27*0.667)*SQRT(AS5139*AS5131*AS5133))</f>
        <v>6.5433915362914812</v>
      </c>
      <c r="AT5138" s="133"/>
      <c r="AU5138" s="155"/>
    </row>
    <row r="5139" spans="13:47" ht="15.5" x14ac:dyDescent="0.4">
      <c r="M5139" s="12"/>
      <c r="N5139" s="12"/>
      <c r="O5139" s="2" t="s">
        <v>192</v>
      </c>
      <c r="P5139" s="85">
        <v>10</v>
      </c>
      <c r="Q5139" s="2"/>
      <c r="R5139" s="181">
        <f>F_GAMMA*R$29</f>
        <v>0.64002688015162901</v>
      </c>
      <c r="S5139" s="133"/>
      <c r="T5139" s="155"/>
      <c r="U5139" s="138">
        <f>F_GAMMA*U$29</f>
        <v>0.64016782916606918</v>
      </c>
      <c r="V5139" s="133"/>
      <c r="W5139" s="155"/>
      <c r="X5139" s="138">
        <f>F_GAMMA*X$29</f>
        <v>0.6307062319203669</v>
      </c>
      <c r="Y5139" s="133"/>
      <c r="Z5139" s="155"/>
      <c r="AA5139" s="138">
        <f>F_GAMMA*AA$29</f>
        <v>0.62217534213893466</v>
      </c>
      <c r="AB5139" s="133"/>
      <c r="AC5139" s="155"/>
      <c r="AD5139" s="138">
        <f>F_GAMMA*AD$29</f>
        <v>0.60557184969146072</v>
      </c>
      <c r="AE5139" s="133"/>
      <c r="AF5139" s="155"/>
      <c r="AG5139" s="138">
        <f>F_GAMMA*AG$29</f>
        <v>0.57289312142622573</v>
      </c>
      <c r="AH5139" s="133"/>
      <c r="AI5139" s="155"/>
      <c r="AJ5139" s="138">
        <f>F_GAMMA*AJ$29</f>
        <v>0.53590819116049981</v>
      </c>
      <c r="AK5139" s="133"/>
      <c r="AL5139" s="155"/>
      <c r="AM5139" s="138">
        <f>F_GAMMA*AM$29</f>
        <v>0.49048815926850342</v>
      </c>
      <c r="AN5139" s="133"/>
      <c r="AO5139" s="155"/>
      <c r="AP5139" s="138">
        <f>F_GAMMA*AP$29</f>
        <v>0.59352979016280105</v>
      </c>
      <c r="AQ5139" s="133"/>
      <c r="AR5139" s="155"/>
      <c r="AS5139" s="138">
        <f>F_GAMMA*AS$29</f>
        <v>0.39097221161068291</v>
      </c>
      <c r="AT5139" s="133"/>
      <c r="AU5139" s="155"/>
    </row>
    <row r="5140" spans="13:47" x14ac:dyDescent="0.25">
      <c r="M5140" s="12"/>
      <c r="N5140" s="12"/>
      <c r="O5140" s="2" t="s">
        <v>193</v>
      </c>
      <c r="P5140" s="134"/>
      <c r="Q5140" s="2"/>
      <c r="R5140" s="181" t="e">
        <f>IF(R5135&lt;R5139,R5137,R5138)</f>
        <v>#NUM!</v>
      </c>
      <c r="S5140" s="133"/>
      <c r="T5140" s="155"/>
      <c r="U5140" s="138">
        <f>IF(U5135&lt;U5139,U5137,U5138)</f>
        <v>372.28064148599719</v>
      </c>
      <c r="V5140" s="133"/>
      <c r="W5140" s="155"/>
      <c r="X5140" s="138">
        <f>IF(X5135&lt;X5139,X5137,X5138)</f>
        <v>29.09970430296276</v>
      </c>
      <c r="Y5140" s="133"/>
      <c r="Z5140" s="155"/>
      <c r="AA5140" s="138">
        <f>IF(AA5135&lt;AA5139,AA5137,AA5138)</f>
        <v>13.551700030975976</v>
      </c>
      <c r="AB5140" s="133"/>
      <c r="AC5140" s="155"/>
      <c r="AD5140" s="138">
        <f>IF(AD5135&lt;AD5139,AD5137,AD5138)</f>
        <v>8.2574812000632551</v>
      </c>
      <c r="AE5140" s="133"/>
      <c r="AF5140" s="155"/>
      <c r="AG5140" s="138">
        <f>IF(AG5135&lt;AG5139,AG5137,AG5138)</f>
        <v>6.142838586324773</v>
      </c>
      <c r="AH5140" s="133"/>
      <c r="AI5140" s="155"/>
      <c r="AJ5140" s="138">
        <f>IF(AJ5135&lt;AJ5139,AJ5137,AJ5138)</f>
        <v>5.160434402177259</v>
      </c>
      <c r="AK5140" s="133"/>
      <c r="AL5140" s="155"/>
      <c r="AM5140" s="138">
        <f>IF(AM5135&lt;AM5139,AM5137,AM5138)</f>
        <v>4.8770931749435</v>
      </c>
      <c r="AN5140" s="133"/>
      <c r="AO5140" s="155"/>
      <c r="AP5140" s="138">
        <f>IF(AP5135&lt;AP5139,AP5137,AP5138)</f>
        <v>4.5114063986112489</v>
      </c>
      <c r="AQ5140" s="133"/>
      <c r="AR5140" s="155"/>
      <c r="AS5140" s="138">
        <f>IF(AS5135&lt;AS5139,AS5137,AS5138)</f>
        <v>6.5433915362914812</v>
      </c>
      <c r="AT5140" s="133"/>
      <c r="AU5140" s="155"/>
    </row>
    <row r="5141" spans="13:47" ht="13" x14ac:dyDescent="0.3">
      <c r="M5141" s="12"/>
      <c r="N5141" s="12"/>
      <c r="O5141" s="9" t="s">
        <v>194</v>
      </c>
      <c r="P5141" s="1"/>
      <c r="Q5141" s="1"/>
      <c r="R5141" s="135"/>
      <c r="S5141" s="132">
        <f>IF(R5134&lt;=0,W_max,ABS(R$23-R5140))</f>
        <v>7174</v>
      </c>
      <c r="T5141" s="151">
        <f>R5129</f>
        <v>15462.083277462365</v>
      </c>
      <c r="U5141" s="135"/>
      <c r="V5141" s="132">
        <f>IF(U5134&lt;=0,W_max,ABS(U$23-U5140))</f>
        <v>7174</v>
      </c>
      <c r="W5141" s="151">
        <f>U5129</f>
        <v>17378.715076659988</v>
      </c>
      <c r="X5141" s="135"/>
      <c r="Y5141" s="132">
        <f>IF(X5134&lt;=0,W_max,ABS(X$23-X5140))</f>
        <v>7174</v>
      </c>
      <c r="Z5141" s="151">
        <f>X5129</f>
        <v>42979.630475917002</v>
      </c>
      <c r="AA5141" s="135"/>
      <c r="AB5141" s="132">
        <f>IF(AA5134&lt;=0,W_max,ABS(AA$23-AA5140))</f>
        <v>7174</v>
      </c>
      <c r="AC5141" s="151">
        <f>AA5129</f>
        <v>83713.349813540015</v>
      </c>
      <c r="AD5141" s="135"/>
      <c r="AE5141" s="132">
        <f>IF(AD5134&lt;=0,W_max,ABS(AD$23-AD5140))</f>
        <v>7174</v>
      </c>
      <c r="AF5141" s="151">
        <f>AD5129</f>
        <v>137677.63901649651</v>
      </c>
      <c r="AG5141" s="135"/>
      <c r="AH5141" s="132">
        <f>IF(AG5134&lt;=0,W_max,ABS(AG$23-AG5140))</f>
        <v>7174</v>
      </c>
      <c r="AI5141" s="151">
        <f>AG5129</f>
        <v>193103.48799470009</v>
      </c>
      <c r="AJ5141" s="135"/>
      <c r="AK5141" s="132">
        <f>IF(AJ5134&lt;=0,W_max,ABS(AJ$23-AJ5140))</f>
        <v>7174</v>
      </c>
      <c r="AL5141" s="151">
        <f>AJ5129</f>
        <v>245190.18945923739</v>
      </c>
      <c r="AM5141" s="135"/>
      <c r="AN5141" s="132">
        <f>IF(AM5134&lt;=0,W_max,ABS(AM$23-AM5140))</f>
        <v>7174</v>
      </c>
      <c r="AO5141" s="151">
        <f>AM5129</f>
        <v>287504.78010469768</v>
      </c>
      <c r="AP5141" s="135"/>
      <c r="AQ5141" s="132">
        <f>IF(AP5134&lt;=0,W_max,ABS(AP$23-AP5140))</f>
        <v>7174</v>
      </c>
      <c r="AR5141" s="151">
        <f>AP5129</f>
        <v>320759.98267778353</v>
      </c>
      <c r="AS5141" s="135"/>
      <c r="AT5141" s="132">
        <f>IF(AS5134&lt;=0,W_max,ABS(AS$23-AS5140))</f>
        <v>7174</v>
      </c>
      <c r="AU5141" s="151">
        <f>AS5129</f>
        <v>357861.7595505183</v>
      </c>
    </row>
    <row r="5142" spans="13:47" ht="13" x14ac:dyDescent="0.25">
      <c r="M5142" s="12"/>
      <c r="N5142" s="12"/>
      <c r="O5142" s="2"/>
      <c r="P5142" s="85"/>
      <c r="Q5142" s="2"/>
      <c r="R5142" s="18"/>
      <c r="S5142" s="150"/>
      <c r="T5142" s="152"/>
      <c r="U5142" s="157"/>
      <c r="V5142" s="1"/>
      <c r="W5142" s="147"/>
      <c r="X5142" s="157"/>
      <c r="Y5142" s="1"/>
      <c r="Z5142" s="147"/>
      <c r="AA5142" s="157"/>
      <c r="AB5142" s="1"/>
      <c r="AC5142" s="147"/>
      <c r="AD5142" s="157"/>
      <c r="AE5142" s="1"/>
      <c r="AF5142" s="147"/>
      <c r="AG5142" s="157"/>
      <c r="AH5142" s="1"/>
      <c r="AI5142" s="147"/>
      <c r="AJ5142" s="157"/>
      <c r="AK5142" s="1"/>
      <c r="AL5142" s="147"/>
      <c r="AM5142" s="157"/>
      <c r="AN5142" s="1"/>
      <c r="AO5142" s="147"/>
      <c r="AP5142" s="157"/>
      <c r="AQ5142" s="1"/>
      <c r="AR5142" s="147"/>
      <c r="AS5142" s="157"/>
      <c r="AT5142" s="1"/>
      <c r="AU5142" s="147"/>
    </row>
    <row r="5143" spans="13:47" ht="14" x14ac:dyDescent="0.3">
      <c r="M5143" s="12"/>
      <c r="N5143" s="12"/>
      <c r="O5143" s="23" t="s">
        <v>238</v>
      </c>
      <c r="P5143" s="20"/>
      <c r="Q5143" s="20"/>
      <c r="R5143" s="181">
        <f>R5129*1.02</f>
        <v>15771.324943011612</v>
      </c>
      <c r="S5143" s="128" t="s">
        <v>185</v>
      </c>
      <c r="T5143" s="153" t="s">
        <v>186</v>
      </c>
      <c r="U5143" s="143">
        <f>U5129*1.01</f>
        <v>17552.502227426587</v>
      </c>
      <c r="V5143" s="128" t="s">
        <v>185</v>
      </c>
      <c r="W5143" s="153" t="s">
        <v>186</v>
      </c>
      <c r="X5143" s="143">
        <f>X5129*1.01</f>
        <v>43409.426780676171</v>
      </c>
      <c r="Y5143" s="128" t="s">
        <v>185</v>
      </c>
      <c r="Z5143" s="153" t="s">
        <v>186</v>
      </c>
      <c r="AA5143" s="143">
        <f>AA5129*1.01</f>
        <v>84550.483311675416</v>
      </c>
      <c r="AB5143" s="128" t="s">
        <v>185</v>
      </c>
      <c r="AC5143" s="153" t="s">
        <v>186</v>
      </c>
      <c r="AD5143" s="143">
        <f>AD5129*1.01</f>
        <v>139054.41540666149</v>
      </c>
      <c r="AE5143" s="128" t="s">
        <v>185</v>
      </c>
      <c r="AF5143" s="153" t="s">
        <v>186</v>
      </c>
      <c r="AG5143" s="143">
        <f>AG5129*1.01</f>
        <v>195034.52287464708</v>
      </c>
      <c r="AH5143" s="128" t="s">
        <v>185</v>
      </c>
      <c r="AI5143" s="153" t="s">
        <v>186</v>
      </c>
      <c r="AJ5143" s="143">
        <f>AJ5129*1.01</f>
        <v>247642.09135382978</v>
      </c>
      <c r="AK5143" s="128" t="s">
        <v>185</v>
      </c>
      <c r="AL5143" s="153" t="s">
        <v>186</v>
      </c>
      <c r="AM5143" s="143">
        <f>AM5129*1.01</f>
        <v>290379.82790574466</v>
      </c>
      <c r="AN5143" s="128" t="s">
        <v>185</v>
      </c>
      <c r="AO5143" s="153" t="s">
        <v>186</v>
      </c>
      <c r="AP5143" s="143">
        <f>AP5129*1.01</f>
        <v>323967.58250456135</v>
      </c>
      <c r="AQ5143" s="128" t="s">
        <v>185</v>
      </c>
      <c r="AR5143" s="153" t="s">
        <v>186</v>
      </c>
      <c r="AS5143" s="143">
        <f>AS5129*1.01</f>
        <v>361440.3771460235</v>
      </c>
      <c r="AT5143" s="128" t="s">
        <v>185</v>
      </c>
      <c r="AU5143" s="153" t="s">
        <v>186</v>
      </c>
    </row>
    <row r="5144" spans="13:47" ht="14" x14ac:dyDescent="0.3">
      <c r="M5144" s="12"/>
      <c r="N5144" s="12"/>
      <c r="O5144" s="20"/>
      <c r="P5144" s="20"/>
      <c r="Q5144" s="23"/>
      <c r="R5144" s="139"/>
      <c r="S5144" s="130" t="s">
        <v>228</v>
      </c>
      <c r="T5144" s="154" t="s">
        <v>187</v>
      </c>
      <c r="U5144" s="144"/>
      <c r="V5144" s="130" t="s">
        <v>228</v>
      </c>
      <c r="W5144" s="154" t="s">
        <v>187</v>
      </c>
      <c r="X5144" s="144"/>
      <c r="Y5144" s="130" t="s">
        <v>228</v>
      </c>
      <c r="Z5144" s="154" t="s">
        <v>187</v>
      </c>
      <c r="AA5144" s="144"/>
      <c r="AB5144" s="130" t="s">
        <v>228</v>
      </c>
      <c r="AC5144" s="154" t="s">
        <v>187</v>
      </c>
      <c r="AD5144" s="144"/>
      <c r="AE5144" s="130" t="s">
        <v>228</v>
      </c>
      <c r="AF5144" s="154" t="s">
        <v>187</v>
      </c>
      <c r="AG5144" s="144"/>
      <c r="AH5144" s="130" t="s">
        <v>228</v>
      </c>
      <c r="AI5144" s="154" t="s">
        <v>187</v>
      </c>
      <c r="AJ5144" s="144"/>
      <c r="AK5144" s="130" t="s">
        <v>228</v>
      </c>
      <c r="AL5144" s="154" t="s">
        <v>187</v>
      </c>
      <c r="AM5144" s="144"/>
      <c r="AN5144" s="130" t="s">
        <v>228</v>
      </c>
      <c r="AO5144" s="154" t="s">
        <v>187</v>
      </c>
      <c r="AP5144" s="144"/>
      <c r="AQ5144" s="130" t="s">
        <v>228</v>
      </c>
      <c r="AR5144" s="154" t="s">
        <v>187</v>
      </c>
      <c r="AS5144" s="144"/>
      <c r="AT5144" s="130" t="s">
        <v>228</v>
      </c>
      <c r="AU5144" s="154" t="s">
        <v>187</v>
      </c>
    </row>
    <row r="5145" spans="13:47" x14ac:dyDescent="0.25">
      <c r="M5145" s="12"/>
      <c r="N5145" s="12"/>
      <c r="O5145" s="7" t="s">
        <v>188</v>
      </c>
      <c r="P5145" s="7"/>
      <c r="Q5145" s="7"/>
      <c r="R5145" s="181">
        <f>P_1_minW-(R5143^2*R_up)+dpup_minQ</f>
        <v>1.3368847628495639</v>
      </c>
      <c r="S5145" s="132"/>
      <c r="T5145" s="145"/>
      <c r="U5145" s="138">
        <f>P_1_minW-(U5143^2*R_up)+dpup_minQ</f>
        <v>-22.331880840877574</v>
      </c>
      <c r="V5145" s="132"/>
      <c r="W5145" s="145"/>
      <c r="X5145" s="138">
        <f>P_1_minW-(X5143^2*R_up)+dpup_minQ</f>
        <v>-650.89537820352473</v>
      </c>
      <c r="Y5145" s="132"/>
      <c r="Z5145" s="145"/>
      <c r="AA5145" s="138">
        <f>P_1_minW-(AA5143^2*R_up)+dpup_minQ</f>
        <v>-2750.139541017511</v>
      </c>
      <c r="AB5145" s="132"/>
      <c r="AC5145" s="145"/>
      <c r="AD5145" s="138">
        <f>P_1_minW-(AD5143^2*R_up)+dpup_minQ</f>
        <v>-7609.9881003838964</v>
      </c>
      <c r="AE5145" s="132"/>
      <c r="AF5145" s="145"/>
      <c r="AG5145" s="138">
        <f>P_1_minW-(AG5143^2*R_up)+dpup_minQ</f>
        <v>-15067.765420191492</v>
      </c>
      <c r="AH5145" s="132"/>
      <c r="AI5145" s="145"/>
      <c r="AJ5145" s="138">
        <f>P_1_minW-(AJ5143^2*R_up)+dpup_minQ</f>
        <v>-24354.187014276358</v>
      </c>
      <c r="AK5145" s="132"/>
      <c r="AL5145" s="145"/>
      <c r="AM5145" s="138">
        <f>P_1_minW-(AM5143^2*R_up)+dpup_minQ</f>
        <v>-33523.252500349321</v>
      </c>
      <c r="AN5145" s="132"/>
      <c r="AO5145" s="145"/>
      <c r="AP5145" s="138">
        <f>P_1_minW-(AP5143^2*R_up)+dpup_minQ</f>
        <v>-41751.523577800363</v>
      </c>
      <c r="AQ5145" s="132"/>
      <c r="AR5145" s="145"/>
      <c r="AS5145" s="138">
        <f>P_1_minW-(AS5143^2*R_up)+dpup_minQ</f>
        <v>-51993.383086233465</v>
      </c>
      <c r="AT5145" s="132"/>
      <c r="AU5145" s="145"/>
    </row>
    <row r="5146" spans="13:47" x14ac:dyDescent="0.25">
      <c r="M5146" s="12"/>
      <c r="N5146" s="12"/>
      <c r="O5146" s="7" t="s">
        <v>189</v>
      </c>
      <c r="P5146" s="1"/>
      <c r="Q5146" s="7"/>
      <c r="R5146" s="181">
        <f>P_2_minW+(R5143^2*R_dn)-dpdn_minQ</f>
        <v>50</v>
      </c>
      <c r="S5146" s="132"/>
      <c r="T5146" s="146"/>
      <c r="U5146" s="138">
        <f>P_2_minW+(U5143^2*R_dn)-dpdn_minQ</f>
        <v>50</v>
      </c>
      <c r="V5146" s="132"/>
      <c r="W5146" s="146"/>
      <c r="X5146" s="138">
        <f>P_2_minW+(X5143^2*R_dn)-dpdn_minQ</f>
        <v>50</v>
      </c>
      <c r="Y5146" s="132"/>
      <c r="Z5146" s="146"/>
      <c r="AA5146" s="138">
        <f>P_2_minW+(AA5143^2*R_dn)-dpdn_minQ</f>
        <v>50</v>
      </c>
      <c r="AB5146" s="132"/>
      <c r="AC5146" s="146"/>
      <c r="AD5146" s="138">
        <f>P_2_minW+(AD5143^2*R_dn)-dpdn_minQ</f>
        <v>50</v>
      </c>
      <c r="AE5146" s="132"/>
      <c r="AF5146" s="146"/>
      <c r="AG5146" s="138">
        <f>P_2_minW+(AG5143^2*R_dn)-dpdn_minQ</f>
        <v>50</v>
      </c>
      <c r="AH5146" s="132"/>
      <c r="AI5146" s="146"/>
      <c r="AJ5146" s="138">
        <f>P_2_minW+(AJ5143^2*R_dn)-dpdn_minQ</f>
        <v>50</v>
      </c>
      <c r="AK5146" s="132"/>
      <c r="AL5146" s="146"/>
      <c r="AM5146" s="138">
        <f>P_2_minW+(AM5143^2*R_dn)-dpdn_minQ</f>
        <v>50</v>
      </c>
      <c r="AN5146" s="132"/>
      <c r="AO5146" s="146"/>
      <c r="AP5146" s="138">
        <f>P_2_minW+(AP5143^2*R_dn)-dpdn_minQ</f>
        <v>50</v>
      </c>
      <c r="AQ5146" s="132"/>
      <c r="AR5146" s="146"/>
      <c r="AS5146" s="138">
        <f>P_2_minW+(AS5143^2*R_dn)-dpdn_minQ</f>
        <v>50</v>
      </c>
      <c r="AT5146" s="132"/>
      <c r="AU5146" s="146"/>
    </row>
    <row r="5147" spans="13:47" x14ac:dyDescent="0.25">
      <c r="M5147" s="12"/>
      <c r="N5147" s="12"/>
      <c r="O5147" s="7" t="s">
        <v>234</v>
      </c>
      <c r="P5147" s="1"/>
      <c r="Q5147" s="7"/>
      <c r="R5147" s="179">
        <f>'Valve Sizing'!G$8*R5145/P_1_maxW</f>
        <v>6.4488940783247479E-3</v>
      </c>
      <c r="S5147" s="132"/>
      <c r="T5147" s="146"/>
      <c r="U5147" s="143">
        <f>'Valve Sizing'!$G$8*U5145/P_1_maxW</f>
        <v>-0.10772501723007147</v>
      </c>
      <c r="V5147" s="132"/>
      <c r="W5147" s="146"/>
      <c r="X5147" s="143">
        <f>'Valve Sizing'!$G$8*X5145/P_1_maxW</f>
        <v>-3.1398034196743985</v>
      </c>
      <c r="Y5147" s="132"/>
      <c r="Z5147" s="146"/>
      <c r="AA5147" s="143">
        <f>'Valve Sizing'!$G$8*AA5145/P_1_maxW</f>
        <v>-13.266183513702206</v>
      </c>
      <c r="AB5147" s="132"/>
      <c r="AC5147" s="146"/>
      <c r="AD5147" s="143">
        <f>'Valve Sizing'!$G$8*AD5145/P_1_maxW</f>
        <v>-36.709227721379833</v>
      </c>
      <c r="AE5147" s="132"/>
      <c r="AF5147" s="146"/>
      <c r="AG5147" s="143">
        <f>'Valve Sizing'!$G$8*AG5145/P_1_maxW</f>
        <v>-72.68421773671875</v>
      </c>
      <c r="AH5147" s="132"/>
      <c r="AI5147" s="146"/>
      <c r="AJ5147" s="143">
        <f>'Valve Sizing'!$G$8*AJ5145/P_1_maxW</f>
        <v>-117.48026216112507</v>
      </c>
      <c r="AK5147" s="132"/>
      <c r="AL5147" s="146"/>
      <c r="AM5147" s="143">
        <f>'Valve Sizing'!$G$8*AM5145/P_1_maxW</f>
        <v>-161.71020161444918</v>
      </c>
      <c r="AN5147" s="132"/>
      <c r="AO5147" s="146"/>
      <c r="AP5147" s="143">
        <f>'Valve Sizing'!$G$8*AP5145/P_1_maxW</f>
        <v>-201.40191633870165</v>
      </c>
      <c r="AQ5147" s="132"/>
      <c r="AR5147" s="146"/>
      <c r="AS5147" s="143">
        <f>'Valve Sizing'!$G$8*AS5145/P_1_maxW</f>
        <v>-250.80682315668781</v>
      </c>
      <c r="AT5147" s="132"/>
      <c r="AU5147" s="146"/>
    </row>
    <row r="5148" spans="13:47" x14ac:dyDescent="0.25">
      <c r="M5148" s="12"/>
      <c r="N5148" s="12"/>
      <c r="O5148" s="7" t="s">
        <v>190</v>
      </c>
      <c r="P5148" s="1"/>
      <c r="Q5148" s="7"/>
      <c r="R5148" s="181">
        <f>R5145-R5146</f>
        <v>-48.663115237150436</v>
      </c>
      <c r="S5148" s="132"/>
      <c r="T5148" s="146"/>
      <c r="U5148" s="138">
        <f>U5145-U5146</f>
        <v>-72.331880840877574</v>
      </c>
      <c r="V5148" s="132"/>
      <c r="W5148" s="146"/>
      <c r="X5148" s="138">
        <f>X5145-X5146</f>
        <v>-700.89537820352473</v>
      </c>
      <c r="Y5148" s="132"/>
      <c r="Z5148" s="146"/>
      <c r="AA5148" s="138">
        <f>AA5145-AA5146</f>
        <v>-2800.139541017511</v>
      </c>
      <c r="AB5148" s="132"/>
      <c r="AC5148" s="146"/>
      <c r="AD5148" s="138">
        <f>AD5145-AD5146</f>
        <v>-7659.9881003838964</v>
      </c>
      <c r="AE5148" s="132"/>
      <c r="AF5148" s="146"/>
      <c r="AG5148" s="138">
        <f>AG5145-AG5146</f>
        <v>-15117.765420191492</v>
      </c>
      <c r="AH5148" s="132"/>
      <c r="AI5148" s="146"/>
      <c r="AJ5148" s="138">
        <f>AJ5145-AJ5146</f>
        <v>-24404.187014276358</v>
      </c>
      <c r="AK5148" s="132"/>
      <c r="AL5148" s="146"/>
      <c r="AM5148" s="138">
        <f>AM5145-AM5146</f>
        <v>-33573.252500349321</v>
      </c>
      <c r="AN5148" s="132"/>
      <c r="AO5148" s="146"/>
      <c r="AP5148" s="138">
        <f>AP5145-AP5146</f>
        <v>-41801.523577800363</v>
      </c>
      <c r="AQ5148" s="132"/>
      <c r="AR5148" s="146"/>
      <c r="AS5148" s="138">
        <f>AS5145-AS5146</f>
        <v>-52043.383086233465</v>
      </c>
      <c r="AT5148" s="132"/>
      <c r="AU5148" s="146"/>
    </row>
    <row r="5149" spans="13:47" ht="14.5" x14ac:dyDescent="0.35">
      <c r="M5149" s="12"/>
      <c r="N5149" s="12"/>
      <c r="O5149" s="2" t="s">
        <v>191</v>
      </c>
      <c r="P5149" s="10"/>
      <c r="Q5149" s="2"/>
      <c r="R5149" s="181">
        <f>R5148/R5145</f>
        <v>-36.400381386220019</v>
      </c>
      <c r="S5149" s="132"/>
      <c r="T5149" s="146"/>
      <c r="U5149" s="138">
        <f>U5148/U5145</f>
        <v>3.2389515847889125</v>
      </c>
      <c r="V5149" s="132"/>
      <c r="W5149" s="146"/>
      <c r="X5149" s="138">
        <f>X5148/X5145</f>
        <v>1.0768172607677755</v>
      </c>
      <c r="Y5149" s="132"/>
      <c r="Z5149" s="146"/>
      <c r="AA5149" s="138">
        <f>AA5148/AA5145</f>
        <v>1.01818089564339</v>
      </c>
      <c r="AB5149" s="132"/>
      <c r="AC5149" s="146"/>
      <c r="AD5149" s="138">
        <f>AD5148/AD5145</f>
        <v>1.0065703125077787</v>
      </c>
      <c r="AE5149" s="132"/>
      <c r="AF5149" s="146"/>
      <c r="AG5149" s="138">
        <f>AG5148/AG5145</f>
        <v>1.0033183420769876</v>
      </c>
      <c r="AH5149" s="132"/>
      <c r="AI5149" s="146"/>
      <c r="AJ5149" s="138">
        <f>AJ5148/AJ5145</f>
        <v>1.0020530350682899</v>
      </c>
      <c r="AK5149" s="132"/>
      <c r="AL5149" s="146"/>
      <c r="AM5149" s="138">
        <f>AM5148/AM5145</f>
        <v>1.0014915020551625</v>
      </c>
      <c r="AN5149" s="132"/>
      <c r="AO5149" s="146"/>
      <c r="AP5149" s="138">
        <f>AP5148/AP5145</f>
        <v>1.0011975610879644</v>
      </c>
      <c r="AQ5149" s="132"/>
      <c r="AR5149" s="146"/>
      <c r="AS5149" s="138">
        <f>AS5148/AS5145</f>
        <v>1.0009616608312846</v>
      </c>
      <c r="AT5149" s="132"/>
      <c r="AU5149" s="146"/>
    </row>
    <row r="5150" spans="13:47" x14ac:dyDescent="0.25">
      <c r="M5150" s="12"/>
      <c r="N5150" s="12"/>
      <c r="O5150" s="2" t="s">
        <v>26</v>
      </c>
      <c r="P5150" s="7">
        <v>12</v>
      </c>
      <c r="Q5150" s="2"/>
      <c r="R5150" s="181">
        <f>1-R5149/(3*F_GAMMA*R$29)</f>
        <v>19.957735742596931</v>
      </c>
      <c r="S5150" s="133"/>
      <c r="T5150" s="146"/>
      <c r="U5150" s="138">
        <f>1-U5149/(3*F_GAMMA*U$29)</f>
        <v>-0.6865116912691549</v>
      </c>
      <c r="V5150" s="133"/>
      <c r="W5150" s="146"/>
      <c r="X5150" s="138">
        <f>1-X5149/(3*F_GAMMA*X$29)</f>
        <v>0.4308933878301815</v>
      </c>
      <c r="Y5150" s="133"/>
      <c r="Z5150" s="146"/>
      <c r="AA5150" s="138">
        <f>1-AA5149/(3*F_GAMMA*AA$29)</f>
        <v>0.45450484952625814</v>
      </c>
      <c r="AB5150" s="133"/>
      <c r="AC5150" s="146"/>
      <c r="AD5150" s="138">
        <f>1-AD5149/(3*F_GAMMA*AD$29)</f>
        <v>0.44593950713933894</v>
      </c>
      <c r="AE5150" s="133"/>
      <c r="AF5150" s="146"/>
      <c r="AG5150" s="138">
        <f>1-AG5149/(3*F_GAMMA*AG$29)</f>
        <v>0.41622715502953855</v>
      </c>
      <c r="AH5150" s="133"/>
      <c r="AI5150" s="146"/>
      <c r="AJ5150" s="138">
        <f>1-AJ5149/(3*F_GAMMA*AJ$29)</f>
        <v>0.37672593204297322</v>
      </c>
      <c r="AK5150" s="133"/>
      <c r="AL5150" s="146"/>
      <c r="AM5150" s="138">
        <f>1-AM5149/(3*F_GAMMA*AM$29)</f>
        <v>0.3193913158211259</v>
      </c>
      <c r="AN5150" s="133"/>
      <c r="AO5150" s="146"/>
      <c r="AP5150" s="138">
        <f>1-AP5149/(3*F_GAMMA*AP$29)</f>
        <v>0.4377156363607051</v>
      </c>
      <c r="AQ5150" s="133"/>
      <c r="AR5150" s="146"/>
      <c r="AS5150" s="138">
        <f>1-AS5149/(3*F_GAMMA*AS$29)</f>
        <v>0.14660459992997421</v>
      </c>
      <c r="AT5150" s="133"/>
      <c r="AU5150" s="146"/>
    </row>
    <row r="5151" spans="13:47" x14ac:dyDescent="0.25">
      <c r="M5151" s="12"/>
      <c r="N5151" s="12"/>
      <c r="O5151" s="2" t="s">
        <v>71</v>
      </c>
      <c r="P5151" s="85">
        <v>5</v>
      </c>
      <c r="Q5151" s="2"/>
      <c r="R5151" s="179" t="e">
        <f>R5143/((N_6*R$27*R5150)*SQRT(R5149*R5145*R5147))</f>
        <v>#NUM!</v>
      </c>
      <c r="S5151" s="133"/>
      <c r="T5151" s="146"/>
      <c r="U5151" s="143">
        <f>U5143/((N_6*U$27*U5150)*SQRT(U5149*U5145*U5147))</f>
        <v>-144.80569645276589</v>
      </c>
      <c r="V5151" s="133"/>
      <c r="W5151" s="146"/>
      <c r="X5151" s="143">
        <f>X5143/((N_6*X$27*X5150)*SQRT(X5149*X5145*X5147))</f>
        <v>34.026362966304788</v>
      </c>
      <c r="Y5151" s="133"/>
      <c r="Z5151" s="146"/>
      <c r="AA5151" s="143">
        <f>AA5143/((N_6*AA$27*AA5150)*SQRT(AA5149*AA5145*AA5147))</f>
        <v>15.380995810937231</v>
      </c>
      <c r="AB5151" s="133"/>
      <c r="AC5151" s="146"/>
      <c r="AD5151" s="143">
        <f>AD5143/((N_6*AD$27*AD5150)*SQRT(AD5149*AD5145*AD5147))</f>
        <v>9.4824718287823124</v>
      </c>
      <c r="AE5151" s="133"/>
      <c r="AF5151" s="146"/>
      <c r="AG5151" s="143">
        <f>AG5143/((N_6*AG$27*AG5150)*SQRT(AG5149*AG5145*AG5147))</f>
        <v>7.3638060378357757</v>
      </c>
      <c r="AH5151" s="133"/>
      <c r="AI5151" s="146"/>
      <c r="AJ5151" s="143">
        <f>AJ5143/((N_6*AJ$27*AJ5150)*SQRT(AJ5149*AJ5145*AJ5147))</f>
        <v>6.614987342385354</v>
      </c>
      <c r="AK5151" s="133"/>
      <c r="AL5151" s="146"/>
      <c r="AM5151" s="143">
        <f>AM5143/((N_6*AM$27*AM5150)*SQRT(AM5149*AM5145*AM5147))</f>
        <v>7.0567846158962206</v>
      </c>
      <c r="AN5151" s="133"/>
      <c r="AO5151" s="146"/>
      <c r="AP5151" s="143">
        <f>AP5143/((N_6*AP$27*AP5150)*SQRT(AP5149*AP5145*AP5147))</f>
        <v>5.2404031864749223</v>
      </c>
      <c r="AQ5151" s="133"/>
      <c r="AR5151" s="146"/>
      <c r="AS5151" s="143">
        <f>AS5143/((N_6*AS$27*AS5150)*SQRT(AS5149*AS5145*AS5147))</f>
        <v>18.420741892604511</v>
      </c>
      <c r="AT5151" s="133"/>
      <c r="AU5151" s="146"/>
    </row>
    <row r="5152" spans="13:47" x14ac:dyDescent="0.25">
      <c r="M5152" s="12"/>
      <c r="N5152" s="12"/>
      <c r="O5152" s="2" t="s">
        <v>73</v>
      </c>
      <c r="P5152" s="85">
        <v>5</v>
      </c>
      <c r="Q5152" s="2"/>
      <c r="R5152" s="179">
        <f>R5143/((N_6*R$27*0.667)*SQRT(R5153*R5145*R5147))</f>
        <v>5029.2286369951989</v>
      </c>
      <c r="S5152" s="133"/>
      <c r="T5152" s="155"/>
      <c r="U5152" s="143">
        <f>U5143/((N_6*U$27*0.667)*SQRT(U5153*U5145*U5147))</f>
        <v>335.24557633036972</v>
      </c>
      <c r="V5152" s="133"/>
      <c r="W5152" s="155"/>
      <c r="X5152" s="143">
        <f>X5143/((N_6*X$27*0.667)*SQRT(X5153*X5145*X5147))</f>
        <v>28.722151548843893</v>
      </c>
      <c r="Y5152" s="133"/>
      <c r="Z5152" s="155"/>
      <c r="AA5152" s="143">
        <f>AA5143/((N_6*AA$27*0.667)*SQRT(AA5153*AA5145*AA5147))</f>
        <v>13.407667022859968</v>
      </c>
      <c r="AB5152" s="133"/>
      <c r="AC5152" s="155"/>
      <c r="AD5152" s="143">
        <f>AD5143/((N_6*AD$27*0.667)*SQRT(AD5153*AD5145*AD5147))</f>
        <v>8.173553245398459</v>
      </c>
      <c r="AE5152" s="133"/>
      <c r="AF5152" s="155"/>
      <c r="AG5152" s="143">
        <f>AG5143/((N_6*AG$27*0.667)*SQRT(AG5153*AG5145*AG5147))</f>
        <v>6.0812028356548877</v>
      </c>
      <c r="AH5152" s="133"/>
      <c r="AI5152" s="155"/>
      <c r="AJ5152" s="143">
        <f>AJ5143/((N_6*AJ$27*0.667)*SQRT(AJ5153*AJ5145*AJ5147))</f>
        <v>5.1089171035651804</v>
      </c>
      <c r="AK5152" s="133"/>
      <c r="AL5152" s="155"/>
      <c r="AM5152" s="143">
        <f>AM5143/((N_6*AM$27*0.667)*SQRT(AM5153*AM5145*AM5147))</f>
        <v>4.8285140827506821</v>
      </c>
      <c r="AN5152" s="133"/>
      <c r="AO5152" s="155"/>
      <c r="AP5152" s="143">
        <f>AP5143/((N_6*AP$27*0.667)*SQRT(AP5153*AP5145*AP5147))</f>
        <v>4.4665228467865568</v>
      </c>
      <c r="AQ5152" s="133"/>
      <c r="AR5152" s="155"/>
      <c r="AS5152" s="143">
        <f>AS5143/((N_6*AS$27*0.667)*SQRT(AS5153*AS5145*AS5147))</f>
        <v>6.4783537172422294</v>
      </c>
      <c r="AT5152" s="133"/>
      <c r="AU5152" s="155"/>
    </row>
    <row r="5153" spans="13:47" ht="15.5" x14ac:dyDescent="0.4">
      <c r="M5153" s="12"/>
      <c r="N5153" s="12"/>
      <c r="O5153" s="2" t="s">
        <v>192</v>
      </c>
      <c r="P5153" s="85">
        <v>10</v>
      </c>
      <c r="Q5153" s="2"/>
      <c r="R5153" s="181">
        <f>F_GAMMA*R$29</f>
        <v>0.64002688015162901</v>
      </c>
      <c r="S5153" s="133"/>
      <c r="T5153" s="155"/>
      <c r="U5153" s="138">
        <f>F_GAMMA*U$29</f>
        <v>0.64016782916606918</v>
      </c>
      <c r="V5153" s="133"/>
      <c r="W5153" s="155"/>
      <c r="X5153" s="138">
        <f>F_GAMMA*X$29</f>
        <v>0.6307062319203669</v>
      </c>
      <c r="Y5153" s="133"/>
      <c r="Z5153" s="155"/>
      <c r="AA5153" s="138">
        <f>F_GAMMA*AA$29</f>
        <v>0.62217534213893466</v>
      </c>
      <c r="AB5153" s="133"/>
      <c r="AC5153" s="155"/>
      <c r="AD5153" s="138">
        <f>F_GAMMA*AD$29</f>
        <v>0.60557184969146072</v>
      </c>
      <c r="AE5153" s="133"/>
      <c r="AF5153" s="155"/>
      <c r="AG5153" s="138">
        <f>F_GAMMA*AG$29</f>
        <v>0.57289312142622573</v>
      </c>
      <c r="AH5153" s="133"/>
      <c r="AI5153" s="155"/>
      <c r="AJ5153" s="138">
        <f>F_GAMMA*AJ$29</f>
        <v>0.53590819116049981</v>
      </c>
      <c r="AK5153" s="133"/>
      <c r="AL5153" s="155"/>
      <c r="AM5153" s="138">
        <f>F_GAMMA*AM$29</f>
        <v>0.49048815926850342</v>
      </c>
      <c r="AN5153" s="133"/>
      <c r="AO5153" s="155"/>
      <c r="AP5153" s="138">
        <f>F_GAMMA*AP$29</f>
        <v>0.59352979016280105</v>
      </c>
      <c r="AQ5153" s="133"/>
      <c r="AR5153" s="155"/>
      <c r="AS5153" s="138">
        <f>F_GAMMA*AS$29</f>
        <v>0.39097221161068291</v>
      </c>
      <c r="AT5153" s="133"/>
      <c r="AU5153" s="155"/>
    </row>
    <row r="5154" spans="13:47" x14ac:dyDescent="0.25">
      <c r="M5154" s="12"/>
      <c r="N5154" s="12"/>
      <c r="O5154" s="2" t="s">
        <v>193</v>
      </c>
      <c r="P5154" s="134"/>
      <c r="Q5154" s="2"/>
      <c r="R5154" s="181" t="e">
        <f>IF(R5149&lt;R5153,R5151,R5152)</f>
        <v>#NUM!</v>
      </c>
      <c r="S5154" s="133"/>
      <c r="T5154" s="155"/>
      <c r="U5154" s="138">
        <f>IF(U5149&lt;U5153,U5151,U5152)</f>
        <v>335.24557633036972</v>
      </c>
      <c r="V5154" s="133"/>
      <c r="W5154" s="155"/>
      <c r="X5154" s="138">
        <f>IF(X5149&lt;X5153,X5151,X5152)</f>
        <v>28.722151548843893</v>
      </c>
      <c r="Y5154" s="133"/>
      <c r="Z5154" s="155"/>
      <c r="AA5154" s="138">
        <f>IF(AA5149&lt;AA5153,AA5151,AA5152)</f>
        <v>13.407667022859968</v>
      </c>
      <c r="AB5154" s="133"/>
      <c r="AC5154" s="155"/>
      <c r="AD5154" s="138">
        <f>IF(AD5149&lt;AD5153,AD5151,AD5152)</f>
        <v>8.173553245398459</v>
      </c>
      <c r="AE5154" s="133"/>
      <c r="AF5154" s="155"/>
      <c r="AG5154" s="138">
        <f>IF(AG5149&lt;AG5153,AG5151,AG5152)</f>
        <v>6.0812028356548877</v>
      </c>
      <c r="AH5154" s="133"/>
      <c r="AI5154" s="155"/>
      <c r="AJ5154" s="138">
        <f>IF(AJ5149&lt;AJ5153,AJ5151,AJ5152)</f>
        <v>5.1089171035651804</v>
      </c>
      <c r="AK5154" s="133"/>
      <c r="AL5154" s="155"/>
      <c r="AM5154" s="138">
        <f>IF(AM5149&lt;AM5153,AM5151,AM5152)</f>
        <v>4.8285140827506821</v>
      </c>
      <c r="AN5154" s="133"/>
      <c r="AO5154" s="155"/>
      <c r="AP5154" s="138">
        <f>IF(AP5149&lt;AP5153,AP5151,AP5152)</f>
        <v>4.4665228467865568</v>
      </c>
      <c r="AQ5154" s="133"/>
      <c r="AR5154" s="155"/>
      <c r="AS5154" s="138">
        <f>IF(AS5149&lt;AS5153,AS5151,AS5152)</f>
        <v>6.4783537172422294</v>
      </c>
      <c r="AT5154" s="133"/>
      <c r="AU5154" s="155"/>
    </row>
    <row r="5155" spans="13:47" ht="13" x14ac:dyDescent="0.3">
      <c r="M5155" s="12"/>
      <c r="N5155" s="12"/>
      <c r="O5155" s="9" t="s">
        <v>194</v>
      </c>
      <c r="P5155" s="1"/>
      <c r="Q5155" s="1"/>
      <c r="R5155" s="135"/>
      <c r="S5155" s="132">
        <f>IF(R5148&lt;=0,W_max,ABS(R$23-R5154))</f>
        <v>7174</v>
      </c>
      <c r="T5155" s="151">
        <f>R5143</f>
        <v>15771.324943011612</v>
      </c>
      <c r="U5155" s="135"/>
      <c r="V5155" s="132">
        <f>IF(U5148&lt;=0,W_max,ABS(U$23-U5154))</f>
        <v>7174</v>
      </c>
      <c r="W5155" s="151">
        <f>U5143</f>
        <v>17552.502227426587</v>
      </c>
      <c r="X5155" s="135"/>
      <c r="Y5155" s="132">
        <f>IF(X5148&lt;=0,W_max,ABS(X$23-X5154))</f>
        <v>7174</v>
      </c>
      <c r="Z5155" s="151">
        <f>X5143</f>
        <v>43409.426780676171</v>
      </c>
      <c r="AA5155" s="135"/>
      <c r="AB5155" s="132">
        <f>IF(AA5148&lt;=0,W_max,ABS(AA$23-AA5154))</f>
        <v>7174</v>
      </c>
      <c r="AC5155" s="151">
        <f>AA5143</f>
        <v>84550.483311675416</v>
      </c>
      <c r="AD5155" s="135"/>
      <c r="AE5155" s="132">
        <f>IF(AD5148&lt;=0,W_max,ABS(AD$23-AD5154))</f>
        <v>7174</v>
      </c>
      <c r="AF5155" s="151">
        <f>AD5143</f>
        <v>139054.41540666149</v>
      </c>
      <c r="AG5155" s="135"/>
      <c r="AH5155" s="132">
        <f>IF(AG5148&lt;=0,W_max,ABS(AG$23-AG5154))</f>
        <v>7174</v>
      </c>
      <c r="AI5155" s="151">
        <f>AG5143</f>
        <v>195034.52287464708</v>
      </c>
      <c r="AJ5155" s="135"/>
      <c r="AK5155" s="132">
        <f>IF(AJ5148&lt;=0,W_max,ABS(AJ$23-AJ5154))</f>
        <v>7174</v>
      </c>
      <c r="AL5155" s="151">
        <f>AJ5143</f>
        <v>247642.09135382978</v>
      </c>
      <c r="AM5155" s="135"/>
      <c r="AN5155" s="132">
        <f>IF(AM5148&lt;=0,W_max,ABS(AM$23-AM5154))</f>
        <v>7174</v>
      </c>
      <c r="AO5155" s="151">
        <f>AM5143</f>
        <v>290379.82790574466</v>
      </c>
      <c r="AP5155" s="135"/>
      <c r="AQ5155" s="132">
        <f>IF(AP5148&lt;=0,W_max,ABS(AP$23-AP5154))</f>
        <v>7174</v>
      </c>
      <c r="AR5155" s="151">
        <f>AP5143</f>
        <v>323967.58250456135</v>
      </c>
      <c r="AS5155" s="135"/>
      <c r="AT5155" s="132">
        <f>IF(AS5148&lt;=0,W_max,ABS(AS$23-AS5154))</f>
        <v>7174</v>
      </c>
      <c r="AU5155" s="151">
        <f>AS5143</f>
        <v>361440.3771460235</v>
      </c>
    </row>
    <row r="5156" spans="13:47" ht="13" x14ac:dyDescent="0.25">
      <c r="M5156" s="12"/>
      <c r="N5156" s="12"/>
      <c r="O5156" s="2"/>
      <c r="P5156" s="85"/>
      <c r="Q5156" s="2"/>
      <c r="R5156" s="18"/>
      <c r="S5156" s="150"/>
      <c r="T5156" s="148"/>
      <c r="U5156" s="157"/>
      <c r="V5156" s="1"/>
      <c r="W5156" s="147"/>
      <c r="X5156" s="157"/>
      <c r="Y5156" s="1"/>
      <c r="Z5156" s="147"/>
      <c r="AA5156" s="157"/>
      <c r="AB5156" s="1"/>
      <c r="AC5156" s="147"/>
      <c r="AD5156" s="157"/>
      <c r="AE5156" s="1"/>
      <c r="AF5156" s="147"/>
      <c r="AG5156" s="157"/>
      <c r="AH5156" s="1"/>
      <c r="AI5156" s="147"/>
      <c r="AJ5156" s="157"/>
      <c r="AK5156" s="1"/>
      <c r="AL5156" s="147"/>
      <c r="AM5156" s="157"/>
      <c r="AN5156" s="1"/>
      <c r="AO5156" s="147"/>
      <c r="AP5156" s="157"/>
      <c r="AQ5156" s="1"/>
      <c r="AR5156" s="147"/>
      <c r="AS5156" s="157"/>
      <c r="AT5156" s="1"/>
      <c r="AU5156" s="147"/>
    </row>
    <row r="5157" spans="13:47" ht="14" x14ac:dyDescent="0.3">
      <c r="M5157" s="12"/>
      <c r="N5157" s="12"/>
      <c r="O5157" s="23" t="s">
        <v>238</v>
      </c>
      <c r="P5157" s="20"/>
      <c r="Q5157" s="20"/>
      <c r="R5157" s="181">
        <f>R5143*1.02</f>
        <v>16086.751441871844</v>
      </c>
      <c r="S5157" s="128" t="s">
        <v>185</v>
      </c>
      <c r="T5157" s="149" t="s">
        <v>186</v>
      </c>
      <c r="U5157" s="143">
        <f>U5143*1.01</f>
        <v>17728.027249700852</v>
      </c>
      <c r="V5157" s="128" t="s">
        <v>185</v>
      </c>
      <c r="W5157" s="153" t="s">
        <v>186</v>
      </c>
      <c r="X5157" s="143">
        <f>X5143*1.01</f>
        <v>43843.521048482929</v>
      </c>
      <c r="Y5157" s="128" t="s">
        <v>185</v>
      </c>
      <c r="Z5157" s="153" t="s">
        <v>186</v>
      </c>
      <c r="AA5157" s="143">
        <f>AA5143*1.01</f>
        <v>85395.988144792165</v>
      </c>
      <c r="AB5157" s="128" t="s">
        <v>185</v>
      </c>
      <c r="AC5157" s="153" t="s">
        <v>186</v>
      </c>
      <c r="AD5157" s="143">
        <f>AD5143*1.01</f>
        <v>140444.95956072811</v>
      </c>
      <c r="AE5157" s="128" t="s">
        <v>185</v>
      </c>
      <c r="AF5157" s="153" t="s">
        <v>186</v>
      </c>
      <c r="AG5157" s="143">
        <f>AG5143*1.01</f>
        <v>196984.86810339356</v>
      </c>
      <c r="AH5157" s="128" t="s">
        <v>185</v>
      </c>
      <c r="AI5157" s="153" t="s">
        <v>186</v>
      </c>
      <c r="AJ5157" s="143">
        <f>AJ5143*1.01</f>
        <v>250118.51226736809</v>
      </c>
      <c r="AK5157" s="128" t="s">
        <v>185</v>
      </c>
      <c r="AL5157" s="153" t="s">
        <v>186</v>
      </c>
      <c r="AM5157" s="143">
        <f>AM5143*1.01</f>
        <v>293283.62618480209</v>
      </c>
      <c r="AN5157" s="128" t="s">
        <v>185</v>
      </c>
      <c r="AO5157" s="153" t="s">
        <v>186</v>
      </c>
      <c r="AP5157" s="143">
        <f>AP5143*1.01</f>
        <v>327207.25832960696</v>
      </c>
      <c r="AQ5157" s="128" t="s">
        <v>185</v>
      </c>
      <c r="AR5157" s="153" t="s">
        <v>186</v>
      </c>
      <c r="AS5157" s="143">
        <f>AS5143*1.01</f>
        <v>365054.78091748373</v>
      </c>
      <c r="AT5157" s="128" t="s">
        <v>185</v>
      </c>
      <c r="AU5157" s="153" t="s">
        <v>186</v>
      </c>
    </row>
    <row r="5158" spans="13:47" ht="14" x14ac:dyDescent="0.3">
      <c r="M5158" s="12"/>
      <c r="N5158" s="12"/>
      <c r="O5158" s="20"/>
      <c r="P5158" s="20"/>
      <c r="Q5158" s="23"/>
      <c r="R5158" s="139"/>
      <c r="S5158" s="130" t="s">
        <v>228</v>
      </c>
      <c r="T5158" s="131" t="s">
        <v>187</v>
      </c>
      <c r="U5158" s="144"/>
      <c r="V5158" s="130" t="s">
        <v>228</v>
      </c>
      <c r="W5158" s="154" t="s">
        <v>187</v>
      </c>
      <c r="X5158" s="144"/>
      <c r="Y5158" s="130" t="s">
        <v>228</v>
      </c>
      <c r="Z5158" s="154" t="s">
        <v>187</v>
      </c>
      <c r="AA5158" s="144"/>
      <c r="AB5158" s="130" t="s">
        <v>228</v>
      </c>
      <c r="AC5158" s="154" t="s">
        <v>187</v>
      </c>
      <c r="AD5158" s="144"/>
      <c r="AE5158" s="130" t="s">
        <v>228</v>
      </c>
      <c r="AF5158" s="154" t="s">
        <v>187</v>
      </c>
      <c r="AG5158" s="144"/>
      <c r="AH5158" s="130" t="s">
        <v>228</v>
      </c>
      <c r="AI5158" s="154" t="s">
        <v>187</v>
      </c>
      <c r="AJ5158" s="144"/>
      <c r="AK5158" s="130" t="s">
        <v>228</v>
      </c>
      <c r="AL5158" s="154" t="s">
        <v>187</v>
      </c>
      <c r="AM5158" s="144"/>
      <c r="AN5158" s="130" t="s">
        <v>228</v>
      </c>
      <c r="AO5158" s="154" t="s">
        <v>187</v>
      </c>
      <c r="AP5158" s="144"/>
      <c r="AQ5158" s="130" t="s">
        <v>228</v>
      </c>
      <c r="AR5158" s="154" t="s">
        <v>187</v>
      </c>
      <c r="AS5158" s="144"/>
      <c r="AT5158" s="130" t="s">
        <v>228</v>
      </c>
      <c r="AU5158" s="154" t="s">
        <v>187</v>
      </c>
    </row>
    <row r="5159" spans="13:47" x14ac:dyDescent="0.25">
      <c r="M5159" s="12"/>
      <c r="N5159" s="12"/>
      <c r="O5159" s="7" t="s">
        <v>188</v>
      </c>
      <c r="P5159" s="7"/>
      <c r="Q5159" s="7"/>
      <c r="R5159" s="181">
        <f>P_1_minW-(R5157^2*R_up)+dpup_minQ</f>
        <v>-2.6702256768950723</v>
      </c>
      <c r="S5159" s="132"/>
      <c r="T5159" s="145"/>
      <c r="U5159" s="138">
        <f>P_1_minW-(U5157^2*R_up)+dpup_minQ</f>
        <v>-24.801259659187423</v>
      </c>
      <c r="V5159" s="132"/>
      <c r="W5159" s="145"/>
      <c r="X5159" s="138">
        <f>P_1_minW-(X5157^2*R_up)+dpup_minQ</f>
        <v>-665.99888331882369</v>
      </c>
      <c r="Y5159" s="132"/>
      <c r="Z5159" s="145"/>
      <c r="AA5159" s="138">
        <f>P_1_minW-(AA5157^2*R_up)+dpup_minQ</f>
        <v>-2807.4378538053711</v>
      </c>
      <c r="AB5159" s="132"/>
      <c r="AC5159" s="145"/>
      <c r="AD5159" s="138">
        <f>P_1_minW-(AD5157^2*R_up)+dpup_minQ</f>
        <v>-7764.9693692150213</v>
      </c>
      <c r="AE5159" s="132"/>
      <c r="AF5159" s="145"/>
      <c r="AG5159" s="138">
        <f>P_1_minW-(AG5157^2*R_up)+dpup_minQ</f>
        <v>-15372.648013150751</v>
      </c>
      <c r="AH5159" s="132"/>
      <c r="AI5159" s="145"/>
      <c r="AJ5159" s="138">
        <f>P_1_minW-(AJ5157^2*R_up)+dpup_minQ</f>
        <v>-24845.726681276727</v>
      </c>
      <c r="AK5159" s="132"/>
      <c r="AL5159" s="145"/>
      <c r="AM5159" s="138">
        <f>P_1_minW-(AM5157^2*R_up)+dpup_minQ</f>
        <v>-34199.090383619747</v>
      </c>
      <c r="AN5159" s="132"/>
      <c r="AO5159" s="145"/>
      <c r="AP5159" s="138">
        <f>P_1_minW-(AP5157^2*R_up)+dpup_minQ</f>
        <v>-42592.749709727555</v>
      </c>
      <c r="AQ5159" s="132"/>
      <c r="AR5159" s="145"/>
      <c r="AS5159" s="138">
        <f>P_1_minW-(AS5157^2*R_up)+dpup_minQ</f>
        <v>-53040.470594280167</v>
      </c>
      <c r="AT5159" s="132"/>
      <c r="AU5159" s="145"/>
    </row>
    <row r="5160" spans="13:47" x14ac:dyDescent="0.25">
      <c r="M5160" s="12"/>
      <c r="N5160" s="12"/>
      <c r="O5160" s="7" t="s">
        <v>189</v>
      </c>
      <c r="P5160" s="1"/>
      <c r="Q5160" s="7"/>
      <c r="R5160" s="181">
        <f>P_2_minW+(R5157^2*R_dn)-dpdn_minQ</f>
        <v>50</v>
      </c>
      <c r="S5160" s="132"/>
      <c r="T5160" s="146"/>
      <c r="U5160" s="138">
        <f>P_2_minW+(U5157^2*R_dn)-dpdn_minQ</f>
        <v>50</v>
      </c>
      <c r="V5160" s="132"/>
      <c r="W5160" s="146"/>
      <c r="X5160" s="138">
        <f>P_2_minW+(X5157^2*R_dn)-dpdn_minQ</f>
        <v>50</v>
      </c>
      <c r="Y5160" s="132"/>
      <c r="Z5160" s="146"/>
      <c r="AA5160" s="138">
        <f>P_2_minW+(AA5157^2*R_dn)-dpdn_minQ</f>
        <v>50</v>
      </c>
      <c r="AB5160" s="132"/>
      <c r="AC5160" s="146"/>
      <c r="AD5160" s="138">
        <f>P_2_minW+(AD5157^2*R_dn)-dpdn_minQ</f>
        <v>50</v>
      </c>
      <c r="AE5160" s="132"/>
      <c r="AF5160" s="146"/>
      <c r="AG5160" s="138">
        <f>P_2_minW+(AG5157^2*R_dn)-dpdn_minQ</f>
        <v>50</v>
      </c>
      <c r="AH5160" s="132"/>
      <c r="AI5160" s="146"/>
      <c r="AJ5160" s="138">
        <f>P_2_minW+(AJ5157^2*R_dn)-dpdn_minQ</f>
        <v>50</v>
      </c>
      <c r="AK5160" s="132"/>
      <c r="AL5160" s="146"/>
      <c r="AM5160" s="138">
        <f>P_2_minW+(AM5157^2*R_dn)-dpdn_minQ</f>
        <v>50</v>
      </c>
      <c r="AN5160" s="132"/>
      <c r="AO5160" s="146"/>
      <c r="AP5160" s="138">
        <f>P_2_minW+(AP5157^2*R_dn)-dpdn_minQ</f>
        <v>50</v>
      </c>
      <c r="AQ5160" s="132"/>
      <c r="AR5160" s="146"/>
      <c r="AS5160" s="138">
        <f>P_2_minW+(AS5157^2*R_dn)-dpdn_minQ</f>
        <v>50</v>
      </c>
      <c r="AT5160" s="132"/>
      <c r="AU5160" s="146"/>
    </row>
    <row r="5161" spans="13:47" x14ac:dyDescent="0.25">
      <c r="M5161" s="12"/>
      <c r="N5161" s="12"/>
      <c r="O5161" s="7" t="s">
        <v>234</v>
      </c>
      <c r="P5161" s="1"/>
      <c r="Q5161" s="7"/>
      <c r="R5161" s="179">
        <f>'Valve Sizing'!G$8*R5159/P_1_maxW</f>
        <v>-1.2880693260962122E-2</v>
      </c>
      <c r="S5161" s="132"/>
      <c r="T5161" s="146"/>
      <c r="U5161" s="143">
        <f>'Valve Sizing'!$G$8*U5159/P_1_maxW</f>
        <v>-0.11963686100379763</v>
      </c>
      <c r="V5161" s="132"/>
      <c r="W5161" s="146"/>
      <c r="X5161" s="143">
        <f>'Valve Sizing'!$G$8*X5159/P_1_maxW</f>
        <v>-3.2126600393372549</v>
      </c>
      <c r="Y5161" s="132"/>
      <c r="Z5161" s="146"/>
      <c r="AA5161" s="143">
        <f>'Valve Sizing'!$G$8*AA5159/P_1_maxW</f>
        <v>-13.542580373255021</v>
      </c>
      <c r="AB5161" s="132"/>
      <c r="AC5161" s="146"/>
      <c r="AD5161" s="143">
        <f>'Valve Sizing'!$G$8*AD5159/P_1_maxW</f>
        <v>-37.456829769506967</v>
      </c>
      <c r="AE5161" s="132"/>
      <c r="AF5161" s="146"/>
      <c r="AG5161" s="143">
        <f>'Valve Sizing'!$G$8*AG5159/P_1_maxW</f>
        <v>-74.154917084154221</v>
      </c>
      <c r="AH5161" s="132"/>
      <c r="AI5161" s="146"/>
      <c r="AJ5161" s="143">
        <f>'Valve Sizing'!$G$8*AJ5159/P_1_maxW</f>
        <v>-119.85136200149111</v>
      </c>
      <c r="AK5161" s="132"/>
      <c r="AL5161" s="146"/>
      <c r="AM5161" s="143">
        <f>'Valve Sizing'!$G$8*AM5159/P_1_maxW</f>
        <v>-164.97032323782699</v>
      </c>
      <c r="AN5161" s="132"/>
      <c r="AO5161" s="146"/>
      <c r="AP5161" s="143">
        <f>'Valve Sizing'!$G$8*AP5159/P_1_maxW</f>
        <v>-205.45984142803695</v>
      </c>
      <c r="AQ5161" s="132"/>
      <c r="AR5161" s="146"/>
      <c r="AS5161" s="143">
        <f>'Valve Sizing'!$G$8*AS5159/P_1_maxW</f>
        <v>-255.85778687306464</v>
      </c>
      <c r="AT5161" s="132"/>
      <c r="AU5161" s="146"/>
    </row>
    <row r="5162" spans="13:47" x14ac:dyDescent="0.25">
      <c r="M5162" s="12"/>
      <c r="N5162" s="12"/>
      <c r="O5162" s="7" t="s">
        <v>190</v>
      </c>
      <c r="P5162" s="1"/>
      <c r="Q5162" s="7"/>
      <c r="R5162" s="181">
        <f>R5159-R5160</f>
        <v>-52.670225676895072</v>
      </c>
      <c r="S5162" s="132"/>
      <c r="T5162" s="146"/>
      <c r="U5162" s="138">
        <f>U5159-U5160</f>
        <v>-74.801259659187423</v>
      </c>
      <c r="V5162" s="132"/>
      <c r="W5162" s="146"/>
      <c r="X5162" s="138">
        <f>X5159-X5160</f>
        <v>-715.99888331882369</v>
      </c>
      <c r="Y5162" s="132"/>
      <c r="Z5162" s="146"/>
      <c r="AA5162" s="138">
        <f>AA5159-AA5160</f>
        <v>-2857.4378538053711</v>
      </c>
      <c r="AB5162" s="132"/>
      <c r="AC5162" s="146"/>
      <c r="AD5162" s="138">
        <f>AD5159-AD5160</f>
        <v>-7814.9693692150213</v>
      </c>
      <c r="AE5162" s="132"/>
      <c r="AF5162" s="146"/>
      <c r="AG5162" s="138">
        <f>AG5159-AG5160</f>
        <v>-15422.648013150751</v>
      </c>
      <c r="AH5162" s="132"/>
      <c r="AI5162" s="146"/>
      <c r="AJ5162" s="138">
        <f>AJ5159-AJ5160</f>
        <v>-24895.726681276727</v>
      </c>
      <c r="AK5162" s="132"/>
      <c r="AL5162" s="146"/>
      <c r="AM5162" s="138">
        <f>AM5159-AM5160</f>
        <v>-34249.090383619747</v>
      </c>
      <c r="AN5162" s="132"/>
      <c r="AO5162" s="146"/>
      <c r="AP5162" s="138">
        <f>AP5159-AP5160</f>
        <v>-42642.749709727555</v>
      </c>
      <c r="AQ5162" s="132"/>
      <c r="AR5162" s="146"/>
      <c r="AS5162" s="138">
        <f>AS5159-AS5160</f>
        <v>-53090.470594280167</v>
      </c>
      <c r="AT5162" s="132"/>
      <c r="AU5162" s="146"/>
    </row>
    <row r="5163" spans="13:47" ht="14.5" x14ac:dyDescent="0.35">
      <c r="M5163" s="12"/>
      <c r="N5163" s="12"/>
      <c r="O5163" s="2" t="s">
        <v>191</v>
      </c>
      <c r="P5163" s="10"/>
      <c r="Q5163" s="2"/>
      <c r="R5163" s="181">
        <f>R5162/R5159</f>
        <v>19.72500906295673</v>
      </c>
      <c r="S5163" s="132"/>
      <c r="T5163" s="146"/>
      <c r="U5163" s="138">
        <f>U5162/U5159</f>
        <v>3.0160266328036252</v>
      </c>
      <c r="V5163" s="132"/>
      <c r="W5163" s="146"/>
      <c r="X5163" s="138">
        <f>X5162/X5159</f>
        <v>1.0750752009535491</v>
      </c>
      <c r="Y5163" s="132"/>
      <c r="Z5163" s="146"/>
      <c r="AA5163" s="138">
        <f>AA5162/AA5159</f>
        <v>1.0178098332371728</v>
      </c>
      <c r="AB5163" s="132"/>
      <c r="AC5163" s="146"/>
      <c r="AD5163" s="138">
        <f>AD5162/AD5159</f>
        <v>1.0064391754329682</v>
      </c>
      <c r="AE5163" s="132"/>
      <c r="AF5163" s="146"/>
      <c r="AG5163" s="138">
        <f>AG5162/AG5159</f>
        <v>1.0032525300753148</v>
      </c>
      <c r="AH5163" s="132"/>
      <c r="AI5163" s="146"/>
      <c r="AJ5163" s="138">
        <f>AJ5162/AJ5159</f>
        <v>1.0020124184992214</v>
      </c>
      <c r="AK5163" s="132"/>
      <c r="AL5163" s="146"/>
      <c r="AM5163" s="138">
        <f>AM5162/AM5159</f>
        <v>1.0014620271895871</v>
      </c>
      <c r="AN5163" s="132"/>
      <c r="AO5163" s="146"/>
      <c r="AP5163" s="138">
        <f>AP5162/AP5159</f>
        <v>1.0011739087131202</v>
      </c>
      <c r="AQ5163" s="132"/>
      <c r="AR5163" s="146"/>
      <c r="AS5163" s="138">
        <f>AS5162/AS5159</f>
        <v>1.0009426764023732</v>
      </c>
      <c r="AT5163" s="132"/>
      <c r="AU5163" s="146"/>
    </row>
    <row r="5164" spans="13:47" x14ac:dyDescent="0.25">
      <c r="M5164" s="12"/>
      <c r="N5164" s="12"/>
      <c r="O5164" s="2" t="s">
        <v>26</v>
      </c>
      <c r="P5164" s="7">
        <v>12</v>
      </c>
      <c r="Q5164" s="2"/>
      <c r="R5164" s="181">
        <f>1-R5163/(3*F_GAMMA*R$29)</f>
        <v>-9.2730107514045201</v>
      </c>
      <c r="S5164" s="133"/>
      <c r="T5164" s="146"/>
      <c r="U5164" s="138">
        <f>1-U5163/(3*F_GAMMA*U$29)</f>
        <v>-0.57043538448999564</v>
      </c>
      <c r="V5164" s="133"/>
      <c r="W5164" s="146"/>
      <c r="X5164" s="138">
        <f>1-X5163/(3*F_GAMMA*X$29)</f>
        <v>0.43181408050032377</v>
      </c>
      <c r="Y5164" s="133"/>
      <c r="Z5164" s="146"/>
      <c r="AA5164" s="138">
        <f>1-AA5163/(3*F_GAMMA*AA$29)</f>
        <v>0.45470364793622697</v>
      </c>
      <c r="AB5164" s="133"/>
      <c r="AC5164" s="146"/>
      <c r="AD5164" s="138">
        <f>1-AD5163/(3*F_GAMMA*AD$29)</f>
        <v>0.446011690742808</v>
      </c>
      <c r="AE5164" s="133"/>
      <c r="AF5164" s="146"/>
      <c r="AG5164" s="138">
        <f>1-AG5163/(3*F_GAMMA*AG$29)</f>
        <v>0.41626544722239345</v>
      </c>
      <c r="AH5164" s="133"/>
      <c r="AI5164" s="146"/>
      <c r="AJ5164" s="138">
        <f>1-AJ5163/(3*F_GAMMA*AJ$29)</f>
        <v>0.37675119543058233</v>
      </c>
      <c r="AK5164" s="133"/>
      <c r="AL5164" s="146"/>
      <c r="AM5164" s="138">
        <f>1-AM5163/(3*F_GAMMA*AM$29)</f>
        <v>0.31941134679436378</v>
      </c>
      <c r="AN5164" s="133"/>
      <c r="AO5164" s="146"/>
      <c r="AP5164" s="138">
        <f>1-AP5163/(3*F_GAMMA*AP$29)</f>
        <v>0.43772891981349682</v>
      </c>
      <c r="AQ5164" s="133"/>
      <c r="AR5164" s="146"/>
      <c r="AS5164" s="138">
        <f>1-AS5163/(3*F_GAMMA*AS$29)</f>
        <v>0.14662078558916569</v>
      </c>
      <c r="AT5164" s="133"/>
      <c r="AU5164" s="146"/>
    </row>
    <row r="5165" spans="13:47" x14ac:dyDescent="0.25">
      <c r="M5165" s="12"/>
      <c r="N5165" s="12"/>
      <c r="O5165" s="2" t="s">
        <v>71</v>
      </c>
      <c r="P5165" s="85">
        <v>5</v>
      </c>
      <c r="Q5165" s="2"/>
      <c r="R5165" s="179">
        <f>R5157/((N_6*R$27*R5164)*SQRT(R5163*R5159*R5161))</f>
        <v>-33.276920500676027</v>
      </c>
      <c r="S5165" s="133"/>
      <c r="T5165" s="146"/>
      <c r="U5165" s="143">
        <f>U5157/((N_6*U$27*U5164)*SQRT(U5163*U5159*U5161))</f>
        <v>-164.24218179009196</v>
      </c>
      <c r="V5165" s="133"/>
      <c r="W5165" s="146"/>
      <c r="X5165" s="143">
        <f>X5157/((N_6*X$27*X5164)*SQRT(X5163*X5159*X5161))</f>
        <v>33.542791554341811</v>
      </c>
      <c r="Y5165" s="133"/>
      <c r="Z5165" s="146"/>
      <c r="AA5165" s="143">
        <f>AA5157/((N_6*AA$27*AA5164)*SQRT(AA5163*AA5159*AA5161))</f>
        <v>15.213867881329625</v>
      </c>
      <c r="AB5165" s="133"/>
      <c r="AC5165" s="146"/>
      <c r="AD5165" s="143">
        <f>AD5157/((N_6*AD$27*AD5164)*SQRT(AD5163*AD5159*AD5161))</f>
        <v>9.3852352861832973</v>
      </c>
      <c r="AE5165" s="133"/>
      <c r="AF5165" s="146"/>
      <c r="AG5165" s="143">
        <f>AG5157/((N_6*AG$27*AG5164)*SQRT(AG5163*AG5159*AG5161))</f>
        <v>7.2895072650006609</v>
      </c>
      <c r="AH5165" s="133"/>
      <c r="AI5165" s="146"/>
      <c r="AJ5165" s="143">
        <f>AJ5157/((N_6*AJ$27*AJ5164)*SQRT(AJ5163*AJ5159*AJ5161))</f>
        <v>6.5486533738116206</v>
      </c>
      <c r="AK5165" s="133"/>
      <c r="AL5165" s="146"/>
      <c r="AM5165" s="143">
        <f>AM5157/((N_6*AM$27*AM5164)*SQRT(AM5163*AM5159*AM5161))</f>
        <v>6.9861673360267584</v>
      </c>
      <c r="AN5165" s="133"/>
      <c r="AO5165" s="146"/>
      <c r="AP5165" s="143">
        <f>AP5157/((N_6*AP$27*AP5164)*SQRT(AP5163*AP5159*AP5161))</f>
        <v>5.1881757127870758</v>
      </c>
      <c r="AQ5165" s="133"/>
      <c r="AR5165" s="146"/>
      <c r="AS5165" s="143">
        <f>AS5157/((N_6*AS$27*AS5164)*SQRT(AS5163*AS5159*AS5161))</f>
        <v>18.235823196344615</v>
      </c>
      <c r="AT5165" s="133"/>
      <c r="AU5165" s="146"/>
    </row>
    <row r="5166" spans="13:47" x14ac:dyDescent="0.25">
      <c r="M5166" s="12"/>
      <c r="N5166" s="12"/>
      <c r="O5166" s="2" t="s">
        <v>73</v>
      </c>
      <c r="P5166" s="85">
        <v>5</v>
      </c>
      <c r="Q5166" s="2"/>
      <c r="R5166" s="179">
        <f>R5157/((N_6*R$27*0.667)*SQRT(R5167*R5159*R5161))</f>
        <v>2568.3106771460953</v>
      </c>
      <c r="S5166" s="133"/>
      <c r="T5166" s="147"/>
      <c r="U5166" s="143">
        <f>U5157/((N_6*U$27*0.667)*SQRT(U5167*U5159*U5161))</f>
        <v>304.88495381203137</v>
      </c>
      <c r="V5166" s="133"/>
      <c r="W5166" s="155"/>
      <c r="X5166" s="143">
        <f>X5157/((N_6*X$27*0.667)*SQRT(X5167*X5159*X5161))</f>
        <v>28.351499266878808</v>
      </c>
      <c r="Y5166" s="133"/>
      <c r="Z5166" s="155"/>
      <c r="AA5166" s="143">
        <f>AA5157/((N_6*AA$27*0.667)*SQRT(AA5167*AA5159*AA5161))</f>
        <v>13.265363909732761</v>
      </c>
      <c r="AB5166" s="133"/>
      <c r="AC5166" s="155"/>
      <c r="AD5166" s="143">
        <f>AD5157/((N_6*AD$27*0.667)*SQRT(AD5167*AD5159*AD5161))</f>
        <v>8.0905212084617286</v>
      </c>
      <c r="AE5166" s="133"/>
      <c r="AF5166" s="155"/>
      <c r="AG5166" s="143">
        <f>AG5157/((N_6*AG$27*0.667)*SQRT(AG5167*AG5159*AG5161))</f>
        <v>6.020201535811105</v>
      </c>
      <c r="AH5166" s="133"/>
      <c r="AI5166" s="155"/>
      <c r="AJ5166" s="143">
        <f>AJ5157/((N_6*AJ$27*0.667)*SQRT(AJ5167*AJ5159*AJ5161))</f>
        <v>5.0579224113082182</v>
      </c>
      <c r="AK5166" s="133"/>
      <c r="AL5166" s="155"/>
      <c r="AM5166" s="143">
        <f>AM5157/((N_6*AM$27*0.667)*SQRT(AM5167*AM5159*AM5161))</f>
        <v>4.780424564854032</v>
      </c>
      <c r="AN5166" s="133"/>
      <c r="AO5166" s="155"/>
      <c r="AP5166" s="143">
        <f>AP5157/((N_6*AP$27*0.667)*SQRT(AP5167*AP5159*AP5161))</f>
        <v>4.4220900639542577</v>
      </c>
      <c r="AQ5166" s="133"/>
      <c r="AR5166" s="155"/>
      <c r="AS5166" s="143">
        <f>AS5157/((N_6*AS$27*0.667)*SQRT(AS5167*AS5159*AS5161))</f>
        <v>6.4139672601485858</v>
      </c>
      <c r="AT5166" s="133"/>
      <c r="AU5166" s="155"/>
    </row>
    <row r="5167" spans="13:47" ht="15.5" x14ac:dyDescent="0.4">
      <c r="M5167" s="12"/>
      <c r="N5167" s="12"/>
      <c r="O5167" s="2" t="s">
        <v>192</v>
      </c>
      <c r="P5167" s="85">
        <v>10</v>
      </c>
      <c r="Q5167" s="2"/>
      <c r="R5167" s="181">
        <f>F_GAMMA*R$29</f>
        <v>0.64002688015162901</v>
      </c>
      <c r="S5167" s="133"/>
      <c r="T5167" s="147"/>
      <c r="U5167" s="138">
        <f>F_GAMMA*U$29</f>
        <v>0.64016782916606918</v>
      </c>
      <c r="V5167" s="133"/>
      <c r="W5167" s="155"/>
      <c r="X5167" s="138">
        <f>F_GAMMA*X$29</f>
        <v>0.6307062319203669</v>
      </c>
      <c r="Y5167" s="133"/>
      <c r="Z5167" s="155"/>
      <c r="AA5167" s="138">
        <f>F_GAMMA*AA$29</f>
        <v>0.62217534213893466</v>
      </c>
      <c r="AB5167" s="133"/>
      <c r="AC5167" s="155"/>
      <c r="AD5167" s="138">
        <f>F_GAMMA*AD$29</f>
        <v>0.60557184969146072</v>
      </c>
      <c r="AE5167" s="133"/>
      <c r="AF5167" s="155"/>
      <c r="AG5167" s="138">
        <f>F_GAMMA*AG$29</f>
        <v>0.57289312142622573</v>
      </c>
      <c r="AH5167" s="133"/>
      <c r="AI5167" s="155"/>
      <c r="AJ5167" s="138">
        <f>F_GAMMA*AJ$29</f>
        <v>0.53590819116049981</v>
      </c>
      <c r="AK5167" s="133"/>
      <c r="AL5167" s="155"/>
      <c r="AM5167" s="138">
        <f>F_GAMMA*AM$29</f>
        <v>0.49048815926850342</v>
      </c>
      <c r="AN5167" s="133"/>
      <c r="AO5167" s="155"/>
      <c r="AP5167" s="138">
        <f>F_GAMMA*AP$29</f>
        <v>0.59352979016280105</v>
      </c>
      <c r="AQ5167" s="133"/>
      <c r="AR5167" s="155"/>
      <c r="AS5167" s="138">
        <f>F_GAMMA*AS$29</f>
        <v>0.39097221161068291</v>
      </c>
      <c r="AT5167" s="133"/>
      <c r="AU5167" s="155"/>
    </row>
    <row r="5168" spans="13:47" x14ac:dyDescent="0.25">
      <c r="M5168" s="12"/>
      <c r="N5168" s="12"/>
      <c r="O5168" s="2" t="s">
        <v>193</v>
      </c>
      <c r="P5168" s="134"/>
      <c r="Q5168" s="2"/>
      <c r="R5168" s="181">
        <f>IF(R5163&lt;R5167,R5165,R5166)</f>
        <v>2568.3106771460953</v>
      </c>
      <c r="S5168" s="133"/>
      <c r="T5168" s="147"/>
      <c r="U5168" s="138">
        <f>IF(U5163&lt;U5167,U5165,U5166)</f>
        <v>304.88495381203137</v>
      </c>
      <c r="V5168" s="133"/>
      <c r="W5168" s="155"/>
      <c r="X5168" s="138">
        <f>IF(X5163&lt;X5167,X5165,X5166)</f>
        <v>28.351499266878808</v>
      </c>
      <c r="Y5168" s="133"/>
      <c r="Z5168" s="155"/>
      <c r="AA5168" s="138">
        <f>IF(AA5163&lt;AA5167,AA5165,AA5166)</f>
        <v>13.265363909732761</v>
      </c>
      <c r="AB5168" s="133"/>
      <c r="AC5168" s="155"/>
      <c r="AD5168" s="138">
        <f>IF(AD5163&lt;AD5167,AD5165,AD5166)</f>
        <v>8.0905212084617286</v>
      </c>
      <c r="AE5168" s="133"/>
      <c r="AF5168" s="155"/>
      <c r="AG5168" s="138">
        <f>IF(AG5163&lt;AG5167,AG5165,AG5166)</f>
        <v>6.020201535811105</v>
      </c>
      <c r="AH5168" s="133"/>
      <c r="AI5168" s="155"/>
      <c r="AJ5168" s="138">
        <f>IF(AJ5163&lt;AJ5167,AJ5165,AJ5166)</f>
        <v>5.0579224113082182</v>
      </c>
      <c r="AK5168" s="133"/>
      <c r="AL5168" s="155"/>
      <c r="AM5168" s="138">
        <f>IF(AM5163&lt;AM5167,AM5165,AM5166)</f>
        <v>4.780424564854032</v>
      </c>
      <c r="AN5168" s="133"/>
      <c r="AO5168" s="155"/>
      <c r="AP5168" s="138">
        <f>IF(AP5163&lt;AP5167,AP5165,AP5166)</f>
        <v>4.4220900639542577</v>
      </c>
      <c r="AQ5168" s="133"/>
      <c r="AR5168" s="155"/>
      <c r="AS5168" s="138">
        <f>IF(AS5163&lt;AS5167,AS5165,AS5166)</f>
        <v>6.4139672601485858</v>
      </c>
      <c r="AT5168" s="133"/>
      <c r="AU5168" s="155"/>
    </row>
    <row r="5169" spans="13:47" ht="13" x14ac:dyDescent="0.3">
      <c r="M5169" s="12"/>
      <c r="N5169" s="12"/>
      <c r="O5169" s="9" t="s">
        <v>194</v>
      </c>
      <c r="P5169" s="1"/>
      <c r="Q5169" s="1"/>
      <c r="R5169" s="135"/>
      <c r="S5169" s="132">
        <f>IF(R5162&lt;=0,W_max,ABS(R$23-R5168))</f>
        <v>7174</v>
      </c>
      <c r="T5169" s="151">
        <f>R5157</f>
        <v>16086.751441871844</v>
      </c>
      <c r="U5169" s="135"/>
      <c r="V5169" s="132">
        <f>IF(U5162&lt;=0,W_max,ABS(U$23-U5168))</f>
        <v>7174</v>
      </c>
      <c r="W5169" s="151">
        <f>U5157</f>
        <v>17728.027249700852</v>
      </c>
      <c r="X5169" s="135"/>
      <c r="Y5169" s="132">
        <f>IF(X5162&lt;=0,W_max,ABS(X$23-X5168))</f>
        <v>7174</v>
      </c>
      <c r="Z5169" s="151">
        <f>X5157</f>
        <v>43843.521048482929</v>
      </c>
      <c r="AA5169" s="135"/>
      <c r="AB5169" s="132">
        <f>IF(AA5162&lt;=0,W_max,ABS(AA$23-AA5168))</f>
        <v>7174</v>
      </c>
      <c r="AC5169" s="151">
        <f>AA5157</f>
        <v>85395.988144792165</v>
      </c>
      <c r="AD5169" s="135"/>
      <c r="AE5169" s="132">
        <f>IF(AD5162&lt;=0,W_max,ABS(AD$23-AD5168))</f>
        <v>7174</v>
      </c>
      <c r="AF5169" s="151">
        <f>AD5157</f>
        <v>140444.95956072811</v>
      </c>
      <c r="AG5169" s="135"/>
      <c r="AH5169" s="132">
        <f>IF(AG5162&lt;=0,W_max,ABS(AG$23-AG5168))</f>
        <v>7174</v>
      </c>
      <c r="AI5169" s="151">
        <f>AG5157</f>
        <v>196984.86810339356</v>
      </c>
      <c r="AJ5169" s="135"/>
      <c r="AK5169" s="132">
        <f>IF(AJ5162&lt;=0,W_max,ABS(AJ$23-AJ5168))</f>
        <v>7174</v>
      </c>
      <c r="AL5169" s="151">
        <f>AJ5157</f>
        <v>250118.51226736809</v>
      </c>
      <c r="AM5169" s="135"/>
      <c r="AN5169" s="132">
        <f>IF(AM5162&lt;=0,W_max,ABS(AM$23-AM5168))</f>
        <v>7174</v>
      </c>
      <c r="AO5169" s="151">
        <f>AM5157</f>
        <v>293283.62618480209</v>
      </c>
      <c r="AP5169" s="135"/>
      <c r="AQ5169" s="132">
        <f>IF(AP5162&lt;=0,W_max,ABS(AP$23-AP5168))</f>
        <v>7174</v>
      </c>
      <c r="AR5169" s="151">
        <f>AP5157</f>
        <v>327207.25832960696</v>
      </c>
      <c r="AS5169" s="135"/>
      <c r="AT5169" s="132">
        <f>IF(AS5162&lt;=0,W_max,ABS(AS$23-AS5168))</f>
        <v>7174</v>
      </c>
      <c r="AU5169" s="151">
        <f>AS5157</f>
        <v>365054.78091748373</v>
      </c>
    </row>
    <row r="5170" spans="13:47" ht="13" x14ac:dyDescent="0.25">
      <c r="M5170" s="12"/>
      <c r="N5170" s="12"/>
      <c r="O5170" s="12"/>
      <c r="P5170" s="12"/>
      <c r="Q5170" s="12"/>
      <c r="R5170" s="182"/>
      <c r="S5170" s="22"/>
      <c r="T5170" s="152"/>
      <c r="U5170" s="157"/>
      <c r="V5170" s="1"/>
      <c r="W5170" s="147"/>
      <c r="X5170" s="157"/>
      <c r="Y5170" s="1"/>
      <c r="Z5170" s="147"/>
      <c r="AA5170" s="157"/>
      <c r="AB5170" s="1"/>
      <c r="AC5170" s="147"/>
      <c r="AD5170" s="157"/>
      <c r="AE5170" s="1"/>
      <c r="AF5170" s="147"/>
      <c r="AG5170" s="157"/>
      <c r="AH5170" s="1"/>
      <c r="AI5170" s="147"/>
      <c r="AJ5170" s="157"/>
      <c r="AK5170" s="1"/>
      <c r="AL5170" s="147"/>
      <c r="AM5170" s="157"/>
      <c r="AN5170" s="1"/>
      <c r="AO5170" s="147"/>
      <c r="AP5170" s="157"/>
      <c r="AQ5170" s="1"/>
      <c r="AR5170" s="147"/>
      <c r="AS5170" s="157"/>
      <c r="AT5170" s="1"/>
      <c r="AU5170" s="147"/>
    </row>
    <row r="5171" spans="13:47" ht="14" x14ac:dyDescent="0.3">
      <c r="M5171" s="12"/>
      <c r="N5171" s="12"/>
      <c r="O5171" s="23" t="s">
        <v>238</v>
      </c>
      <c r="P5171" s="20"/>
      <c r="Q5171" s="20"/>
      <c r="R5171" s="18">
        <f>R5157*1.02</f>
        <v>16408.486470709282</v>
      </c>
      <c r="S5171" s="128" t="s">
        <v>185</v>
      </c>
      <c r="T5171" s="153" t="s">
        <v>186</v>
      </c>
      <c r="U5171" s="143">
        <f>U5157*1.01</f>
        <v>17905.307522197862</v>
      </c>
      <c r="V5171" s="128" t="s">
        <v>185</v>
      </c>
      <c r="W5171" s="153" t="s">
        <v>186</v>
      </c>
      <c r="X5171" s="143">
        <f>X5157*1.01</f>
        <v>44281.956258967759</v>
      </c>
      <c r="Y5171" s="128" t="s">
        <v>185</v>
      </c>
      <c r="Z5171" s="153" t="s">
        <v>186</v>
      </c>
      <c r="AA5171" s="143">
        <f>AA5157*1.01</f>
        <v>86249.94802624009</v>
      </c>
      <c r="AB5171" s="128" t="s">
        <v>185</v>
      </c>
      <c r="AC5171" s="153" t="s">
        <v>186</v>
      </c>
      <c r="AD5171" s="143">
        <f>AD5157*1.01</f>
        <v>141849.4091563354</v>
      </c>
      <c r="AE5171" s="128" t="s">
        <v>185</v>
      </c>
      <c r="AF5171" s="153" t="s">
        <v>186</v>
      </c>
      <c r="AG5171" s="143">
        <f>AG5157*1.01</f>
        <v>198954.7167844275</v>
      </c>
      <c r="AH5171" s="128" t="s">
        <v>185</v>
      </c>
      <c r="AI5171" s="153" t="s">
        <v>186</v>
      </c>
      <c r="AJ5171" s="143">
        <f>AJ5157*1.01</f>
        <v>252619.69739004178</v>
      </c>
      <c r="AK5171" s="128" t="s">
        <v>185</v>
      </c>
      <c r="AL5171" s="153" t="s">
        <v>186</v>
      </c>
      <c r="AM5171" s="143">
        <f>AM5157*1.01</f>
        <v>296216.46244665014</v>
      </c>
      <c r="AN5171" s="128" t="s">
        <v>185</v>
      </c>
      <c r="AO5171" s="153" t="s">
        <v>186</v>
      </c>
      <c r="AP5171" s="143">
        <f>AP5157*1.01</f>
        <v>330479.33091290301</v>
      </c>
      <c r="AQ5171" s="128" t="s">
        <v>185</v>
      </c>
      <c r="AR5171" s="153" t="s">
        <v>186</v>
      </c>
      <c r="AS5171" s="143">
        <f>AS5157*1.01</f>
        <v>368705.3287266586</v>
      </c>
      <c r="AT5171" s="128" t="s">
        <v>185</v>
      </c>
      <c r="AU5171" s="153" t="s">
        <v>186</v>
      </c>
    </row>
    <row r="5172" spans="13:47" ht="14" x14ac:dyDescent="0.3">
      <c r="M5172" s="12"/>
      <c r="N5172" s="12"/>
      <c r="O5172" s="20"/>
      <c r="P5172" s="20"/>
      <c r="Q5172" s="23"/>
      <c r="R5172" s="139"/>
      <c r="S5172" s="130" t="s">
        <v>228</v>
      </c>
      <c r="T5172" s="154" t="s">
        <v>187</v>
      </c>
      <c r="U5172" s="144"/>
      <c r="V5172" s="130" t="s">
        <v>228</v>
      </c>
      <c r="W5172" s="154" t="s">
        <v>187</v>
      </c>
      <c r="X5172" s="144"/>
      <c r="Y5172" s="130" t="s">
        <v>228</v>
      </c>
      <c r="Z5172" s="154" t="s">
        <v>187</v>
      </c>
      <c r="AA5172" s="144"/>
      <c r="AB5172" s="130" t="s">
        <v>228</v>
      </c>
      <c r="AC5172" s="154" t="s">
        <v>187</v>
      </c>
      <c r="AD5172" s="144"/>
      <c r="AE5172" s="130" t="s">
        <v>228</v>
      </c>
      <c r="AF5172" s="154" t="s">
        <v>187</v>
      </c>
      <c r="AG5172" s="144"/>
      <c r="AH5172" s="130" t="s">
        <v>228</v>
      </c>
      <c r="AI5172" s="154" t="s">
        <v>187</v>
      </c>
      <c r="AJ5172" s="144"/>
      <c r="AK5172" s="130" t="s">
        <v>228</v>
      </c>
      <c r="AL5172" s="154" t="s">
        <v>187</v>
      </c>
      <c r="AM5172" s="144"/>
      <c r="AN5172" s="130" t="s">
        <v>228</v>
      </c>
      <c r="AO5172" s="154" t="s">
        <v>187</v>
      </c>
      <c r="AP5172" s="144"/>
      <c r="AQ5172" s="130" t="s">
        <v>228</v>
      </c>
      <c r="AR5172" s="154" t="s">
        <v>187</v>
      </c>
      <c r="AS5172" s="144"/>
      <c r="AT5172" s="130" t="s">
        <v>228</v>
      </c>
      <c r="AU5172" s="154" t="s">
        <v>187</v>
      </c>
    </row>
    <row r="5173" spans="13:47" x14ac:dyDescent="0.25">
      <c r="M5173" s="12"/>
      <c r="N5173" s="12"/>
      <c r="O5173" s="7" t="s">
        <v>188</v>
      </c>
      <c r="P5173" s="7"/>
      <c r="Q5173" s="7"/>
      <c r="R5173" s="181">
        <f>P_1_minW-(R5171^2*R_up)+dpup_minQ</f>
        <v>-6.8392233784054079</v>
      </c>
      <c r="S5173" s="132"/>
      <c r="T5173" s="145"/>
      <c r="U5173" s="138">
        <f>P_1_minW-(U5171^2*R_up)+dpup_minQ</f>
        <v>-27.320272991745313</v>
      </c>
      <c r="V5173" s="132"/>
      <c r="W5173" s="145"/>
      <c r="X5173" s="138">
        <f>P_1_minW-(X5171^2*R_up)+dpup_minQ</f>
        <v>-681.40596888694017</v>
      </c>
      <c r="Y5173" s="132"/>
      <c r="Z5173" s="145"/>
      <c r="AA5173" s="138">
        <f>P_1_minW-(AA5171^2*R_up)+dpup_minQ</f>
        <v>-2865.8878626802675</v>
      </c>
      <c r="AB5173" s="132"/>
      <c r="AC5173" s="145"/>
      <c r="AD5173" s="138">
        <f>P_1_minW-(AD5171^2*R_up)+dpup_minQ</f>
        <v>-7923.065761549653</v>
      </c>
      <c r="AE5173" s="132"/>
      <c r="AF5173" s="145"/>
      <c r="AG5173" s="138">
        <f>P_1_minW-(AG5171^2*R_up)+dpup_minQ</f>
        <v>-15683.65874622849</v>
      </c>
      <c r="AH5173" s="132"/>
      <c r="AI5173" s="145"/>
      <c r="AJ5173" s="138">
        <f>P_1_minW-(AJ5171^2*R_up)+dpup_minQ</f>
        <v>-25347.146295583796</v>
      </c>
      <c r="AK5173" s="132"/>
      <c r="AL5173" s="145"/>
      <c r="AM5173" s="138">
        <f>P_1_minW-(AM5171^2*R_up)+dpup_minQ</f>
        <v>-34888.512608343917</v>
      </c>
      <c r="AN5173" s="132"/>
      <c r="AO5173" s="145"/>
      <c r="AP5173" s="138">
        <f>P_1_minW-(AP5171^2*R_up)+dpup_minQ</f>
        <v>-43450.884486906485</v>
      </c>
      <c r="AQ5173" s="132"/>
      <c r="AR5173" s="145"/>
      <c r="AS5173" s="138">
        <f>P_1_minW-(AS5171^2*R_up)+dpup_minQ</f>
        <v>-54108.604561238615</v>
      </c>
      <c r="AT5173" s="132"/>
      <c r="AU5173" s="145"/>
    </row>
    <row r="5174" spans="13:47" x14ac:dyDescent="0.25">
      <c r="M5174" s="12"/>
      <c r="N5174" s="12"/>
      <c r="O5174" s="7" t="s">
        <v>189</v>
      </c>
      <c r="P5174" s="1"/>
      <c r="Q5174" s="7"/>
      <c r="R5174" s="181">
        <f>P_2_minW+(R5171^2*R_dn)-dpdn_minQ</f>
        <v>50</v>
      </c>
      <c r="S5174" s="132"/>
      <c r="T5174" s="146"/>
      <c r="U5174" s="138">
        <f>P_2_minW+(U5171^2*R_dn)-dpdn_minQ</f>
        <v>50</v>
      </c>
      <c r="V5174" s="132"/>
      <c r="W5174" s="146"/>
      <c r="X5174" s="138">
        <f>P_2_minW+(X5171^2*R_dn)-dpdn_minQ</f>
        <v>50</v>
      </c>
      <c r="Y5174" s="132"/>
      <c r="Z5174" s="146"/>
      <c r="AA5174" s="138">
        <f>P_2_minW+(AA5171^2*R_dn)-dpdn_minQ</f>
        <v>50</v>
      </c>
      <c r="AB5174" s="132"/>
      <c r="AC5174" s="146"/>
      <c r="AD5174" s="138">
        <f>P_2_minW+(AD5171^2*R_dn)-dpdn_minQ</f>
        <v>50</v>
      </c>
      <c r="AE5174" s="132"/>
      <c r="AF5174" s="146"/>
      <c r="AG5174" s="138">
        <f>P_2_minW+(AG5171^2*R_dn)-dpdn_minQ</f>
        <v>50</v>
      </c>
      <c r="AH5174" s="132"/>
      <c r="AI5174" s="146"/>
      <c r="AJ5174" s="138">
        <f>P_2_minW+(AJ5171^2*R_dn)-dpdn_minQ</f>
        <v>50</v>
      </c>
      <c r="AK5174" s="132"/>
      <c r="AL5174" s="146"/>
      <c r="AM5174" s="138">
        <f>P_2_minW+(AM5171^2*R_dn)-dpdn_minQ</f>
        <v>50</v>
      </c>
      <c r="AN5174" s="132"/>
      <c r="AO5174" s="146"/>
      <c r="AP5174" s="138">
        <f>P_2_minW+(AP5171^2*R_dn)-dpdn_minQ</f>
        <v>50</v>
      </c>
      <c r="AQ5174" s="132"/>
      <c r="AR5174" s="146"/>
      <c r="AS5174" s="138">
        <f>P_2_minW+(AS5171^2*R_dn)-dpdn_minQ</f>
        <v>50</v>
      </c>
      <c r="AT5174" s="132"/>
      <c r="AU5174" s="146"/>
    </row>
    <row r="5175" spans="13:47" x14ac:dyDescent="0.25">
      <c r="M5175" s="12"/>
      <c r="N5175" s="12"/>
      <c r="O5175" s="7" t="s">
        <v>234</v>
      </c>
      <c r="P5175" s="1"/>
      <c r="Q5175" s="7"/>
      <c r="R5175" s="179">
        <f>'Valve Sizing'!G$8*R5173/P_1_maxW</f>
        <v>-3.299119592875626E-2</v>
      </c>
      <c r="S5175" s="132"/>
      <c r="T5175" s="146"/>
      <c r="U5175" s="143">
        <f>'Valve Sizing'!$G$8*U5173/P_1_maxW</f>
        <v>-0.13178813283737573</v>
      </c>
      <c r="V5175" s="132"/>
      <c r="W5175" s="146"/>
      <c r="X5175" s="143">
        <f>'Valve Sizing'!$G$8*X5173/P_1_maxW</f>
        <v>-3.2869810770553349</v>
      </c>
      <c r="Y5175" s="132"/>
      <c r="Z5175" s="146"/>
      <c r="AA5175" s="143">
        <f>'Valve Sizing'!$G$8*AA5173/P_1_maxW</f>
        <v>-13.82453280968485</v>
      </c>
      <c r="AB5175" s="132"/>
      <c r="AC5175" s="146"/>
      <c r="AD5175" s="143">
        <f>'Valve Sizing'!$G$8*AD5173/P_1_maxW</f>
        <v>-38.219458618801461</v>
      </c>
      <c r="AE5175" s="132"/>
      <c r="AF5175" s="146"/>
      <c r="AG5175" s="143">
        <f>'Valve Sizing'!$G$8*AG5173/P_1_maxW</f>
        <v>-75.655177488473129</v>
      </c>
      <c r="AH5175" s="132"/>
      <c r="AI5175" s="146"/>
      <c r="AJ5175" s="143">
        <f>'Valve Sizing'!$G$8*AJ5173/P_1_maxW</f>
        <v>-122.27012094864847</v>
      </c>
      <c r="AK5175" s="132"/>
      <c r="AL5175" s="146"/>
      <c r="AM5175" s="143">
        <f>'Valve Sizing'!$G$8*AM5173/P_1_maxW</f>
        <v>-168.29597330583471</v>
      </c>
      <c r="AN5175" s="132"/>
      <c r="AO5175" s="146"/>
      <c r="AP5175" s="143">
        <f>'Valve Sizing'!$G$8*AP5173/P_1_maxW</f>
        <v>-209.59933081166787</v>
      </c>
      <c r="AQ5175" s="132"/>
      <c r="AR5175" s="146"/>
      <c r="AS5175" s="143">
        <f>'Valve Sizing'!$G$8*AS5173/P_1_maxW</f>
        <v>-261.01027496014069</v>
      </c>
      <c r="AT5175" s="132"/>
      <c r="AU5175" s="146"/>
    </row>
    <row r="5176" spans="13:47" x14ac:dyDescent="0.25">
      <c r="M5176" s="12"/>
      <c r="N5176" s="12"/>
      <c r="O5176" s="7" t="s">
        <v>190</v>
      </c>
      <c r="P5176" s="1"/>
      <c r="Q5176" s="7"/>
      <c r="R5176" s="181">
        <f>R5173-R5174</f>
        <v>-56.839223378405407</v>
      </c>
      <c r="S5176" s="132"/>
      <c r="T5176" s="146"/>
      <c r="U5176" s="138">
        <f>U5173-U5174</f>
        <v>-77.320272991745313</v>
      </c>
      <c r="V5176" s="132"/>
      <c r="W5176" s="146"/>
      <c r="X5176" s="138">
        <f>X5173-X5174</f>
        <v>-731.40596888694017</v>
      </c>
      <c r="Y5176" s="132"/>
      <c r="Z5176" s="146"/>
      <c r="AA5176" s="138">
        <f>AA5173-AA5174</f>
        <v>-2915.8878626802675</v>
      </c>
      <c r="AB5176" s="132"/>
      <c r="AC5176" s="146"/>
      <c r="AD5176" s="138">
        <f>AD5173-AD5174</f>
        <v>-7973.065761549653</v>
      </c>
      <c r="AE5176" s="132"/>
      <c r="AF5176" s="146"/>
      <c r="AG5176" s="138">
        <f>AG5173-AG5174</f>
        <v>-15733.65874622849</v>
      </c>
      <c r="AH5176" s="132"/>
      <c r="AI5176" s="146"/>
      <c r="AJ5176" s="138">
        <f>AJ5173-AJ5174</f>
        <v>-25397.146295583796</v>
      </c>
      <c r="AK5176" s="132"/>
      <c r="AL5176" s="146"/>
      <c r="AM5176" s="138">
        <f>AM5173-AM5174</f>
        <v>-34938.512608343917</v>
      </c>
      <c r="AN5176" s="132"/>
      <c r="AO5176" s="146"/>
      <c r="AP5176" s="138">
        <f>AP5173-AP5174</f>
        <v>-43500.884486906485</v>
      </c>
      <c r="AQ5176" s="132"/>
      <c r="AR5176" s="146"/>
      <c r="AS5176" s="138">
        <f>AS5173-AS5174</f>
        <v>-54158.604561238615</v>
      </c>
      <c r="AT5176" s="132"/>
      <c r="AU5176" s="146"/>
    </row>
    <row r="5177" spans="13:47" ht="14.5" x14ac:dyDescent="0.35">
      <c r="M5177" s="12"/>
      <c r="N5177" s="12"/>
      <c r="O5177" s="2" t="s">
        <v>191</v>
      </c>
      <c r="P5177" s="10"/>
      <c r="Q5177" s="2"/>
      <c r="R5177" s="181">
        <f>R5176/R5173</f>
        <v>8.3107715940194513</v>
      </c>
      <c r="S5177" s="132"/>
      <c r="T5177" s="146"/>
      <c r="U5177" s="138">
        <f>U5176/U5173</f>
        <v>2.8301427666958987</v>
      </c>
      <c r="V5177" s="132"/>
      <c r="W5177" s="146"/>
      <c r="X5177" s="138">
        <f>X5176/X5173</f>
        <v>1.073377695944862</v>
      </c>
      <c r="Y5177" s="132"/>
      <c r="Z5177" s="146"/>
      <c r="AA5177" s="138">
        <f>AA5176/AA5173</f>
        <v>1.0174466002843665</v>
      </c>
      <c r="AB5177" s="132"/>
      <c r="AC5177" s="146"/>
      <c r="AD5177" s="138">
        <f>AD5176/AD5173</f>
        <v>1.0063106885017474</v>
      </c>
      <c r="AE5177" s="132"/>
      <c r="AF5177" s="146"/>
      <c r="AG5177" s="138">
        <f>AG5176/AG5173</f>
        <v>1.003188031619983</v>
      </c>
      <c r="AH5177" s="132"/>
      <c r="AI5177" s="146"/>
      <c r="AJ5177" s="138">
        <f>AJ5176/AJ5173</f>
        <v>1.0019726086486</v>
      </c>
      <c r="AK5177" s="132"/>
      <c r="AL5177" s="146"/>
      <c r="AM5177" s="138">
        <f>AM5176/AM5173</f>
        <v>1.0014331364756446</v>
      </c>
      <c r="AN5177" s="132"/>
      <c r="AO5177" s="146"/>
      <c r="AP5177" s="138">
        <f>AP5176/AP5173</f>
        <v>1.0011507245615465</v>
      </c>
      <c r="AQ5177" s="132"/>
      <c r="AR5177" s="146"/>
      <c r="AS5177" s="138">
        <f>AS5176/AS5173</f>
        <v>1.0009240674455653</v>
      </c>
      <c r="AT5177" s="132"/>
      <c r="AU5177" s="146"/>
    </row>
    <row r="5178" spans="13:47" x14ac:dyDescent="0.25">
      <c r="M5178" s="12"/>
      <c r="N5178" s="12"/>
      <c r="O5178" s="2" t="s">
        <v>26</v>
      </c>
      <c r="P5178" s="7">
        <v>12</v>
      </c>
      <c r="Q5178" s="2"/>
      <c r="R5178" s="181">
        <f>1-R5177/(3*F_GAMMA*R$29)</f>
        <v>-3.3283450803662831</v>
      </c>
      <c r="S5178" s="133"/>
      <c r="T5178" s="146"/>
      <c r="U5178" s="138">
        <f>1-U5177/(3*F_GAMMA*U$29)</f>
        <v>-0.47364625220371548</v>
      </c>
      <c r="V5178" s="133"/>
      <c r="W5178" s="146"/>
      <c r="X5178" s="138">
        <f>1-X5177/(3*F_GAMMA*X$29)</f>
        <v>0.4327112255961838</v>
      </c>
      <c r="Y5178" s="133"/>
      <c r="Z5178" s="146"/>
      <c r="AA5178" s="138">
        <f>1-AA5177/(3*F_GAMMA*AA$29)</f>
        <v>0.45489825168011566</v>
      </c>
      <c r="AB5178" s="133"/>
      <c r="AC5178" s="146"/>
      <c r="AD5178" s="138">
        <f>1-AD5177/(3*F_GAMMA*AD$29)</f>
        <v>0.44608241559089234</v>
      </c>
      <c r="AE5178" s="133"/>
      <c r="AF5178" s="146"/>
      <c r="AG5178" s="138">
        <f>1-AG5177/(3*F_GAMMA*AG$29)</f>
        <v>0.41630297513869496</v>
      </c>
      <c r="AH5178" s="133"/>
      <c r="AI5178" s="146"/>
      <c r="AJ5178" s="138">
        <f>1-AJ5177/(3*F_GAMMA*AJ$29)</f>
        <v>0.37677595704166789</v>
      </c>
      <c r="AK5178" s="133"/>
      <c r="AL5178" s="146"/>
      <c r="AM5178" s="138">
        <f>1-AM5177/(3*F_GAMMA*AM$29)</f>
        <v>0.31943098078103371</v>
      </c>
      <c r="AN5178" s="133"/>
      <c r="AO5178" s="146"/>
      <c r="AP5178" s="138">
        <f>1-AP5177/(3*F_GAMMA*AP$29)</f>
        <v>0.43774194030657498</v>
      </c>
      <c r="AQ5178" s="133"/>
      <c r="AR5178" s="146"/>
      <c r="AS5178" s="138">
        <f>1-AS5177/(3*F_GAMMA*AS$29)</f>
        <v>0.14663665113003643</v>
      </c>
      <c r="AT5178" s="133"/>
      <c r="AU5178" s="146"/>
    </row>
    <row r="5179" spans="13:47" x14ac:dyDescent="0.25">
      <c r="M5179" s="12"/>
      <c r="N5179" s="12"/>
      <c r="O5179" s="2" t="s">
        <v>71</v>
      </c>
      <c r="P5179" s="85">
        <v>5</v>
      </c>
      <c r="Q5179" s="2"/>
      <c r="R5179" s="179">
        <f>R5171/((N_6*R$27*R5178)*SQRT(R5177*R5173*R5175))</f>
        <v>-56.880686391089775</v>
      </c>
      <c r="S5179" s="133"/>
      <c r="T5179" s="146"/>
      <c r="U5179" s="143">
        <f>U5171/((N_6*U$27*U5178)*SQRT(U5177*U5173*U5175))</f>
        <v>-187.22358203181713</v>
      </c>
      <c r="V5179" s="133"/>
      <c r="W5179" s="146"/>
      <c r="X5179" s="143">
        <f>X5171/((N_6*X$27*X5178)*SQRT(X5177*X5173*X5175))</f>
        <v>33.069674546207906</v>
      </c>
      <c r="Y5179" s="133"/>
      <c r="Z5179" s="146"/>
      <c r="AA5179" s="143">
        <f>AA5171/((N_6*AA$27*AA5178)*SQRT(AA5177*AA5173*AA5175))</f>
        <v>15.048861729452293</v>
      </c>
      <c r="AB5179" s="133"/>
      <c r="AC5179" s="146"/>
      <c r="AD5179" s="143">
        <f>AD5171/((N_6*AD$27*AD5178)*SQRT(AD5177*AD5173*AD5175))</f>
        <v>9.2890625505559914</v>
      </c>
      <c r="AE5179" s="133"/>
      <c r="AF5179" s="146"/>
      <c r="AG5179" s="143">
        <f>AG5171/((N_6*AG$27*AG5178)*SQRT(AG5177*AG5173*AG5175))</f>
        <v>7.215985556342086</v>
      </c>
      <c r="AH5179" s="133"/>
      <c r="AI5179" s="146"/>
      <c r="AJ5179" s="143">
        <f>AJ5171/((N_6*AJ$27*AJ5178)*SQRT(AJ5177*AJ5173*AJ5175))</f>
        <v>6.4830010796317818</v>
      </c>
      <c r="AK5179" s="133"/>
      <c r="AL5179" s="146"/>
      <c r="AM5179" s="143">
        <f>AM5171/((N_6*AM$27*AM5178)*SQRT(AM5177*AM5173*AM5175))</f>
        <v>6.9162714071921059</v>
      </c>
      <c r="AN5179" s="133"/>
      <c r="AO5179" s="146"/>
      <c r="AP5179" s="143">
        <f>AP5171/((N_6*AP$27*AP5178)*SQRT(AP5177*AP5173*AP5175))</f>
        <v>5.1364754572734945</v>
      </c>
      <c r="AQ5179" s="133"/>
      <c r="AR5179" s="146"/>
      <c r="AS5179" s="143">
        <f>AS5171/((N_6*AS$27*AS5178)*SQRT(AS5177*AS5173*AS5175))</f>
        <v>18.052810651022767</v>
      </c>
      <c r="AT5179" s="133"/>
      <c r="AU5179" s="146"/>
    </row>
    <row r="5180" spans="13:47" x14ac:dyDescent="0.25">
      <c r="M5180" s="12"/>
      <c r="N5180" s="12"/>
      <c r="O5180" s="2" t="s">
        <v>73</v>
      </c>
      <c r="P5180" s="85">
        <v>5</v>
      </c>
      <c r="Q5180" s="2"/>
      <c r="R5180" s="179">
        <f>R5171/((N_6*R$27*0.667)*SQRT(R5181*R5173*R5175))</f>
        <v>1022.7957344942579</v>
      </c>
      <c r="S5180" s="133"/>
      <c r="T5180" s="155"/>
      <c r="U5180" s="143">
        <f>U5171/((N_6*U$27*0.667)*SQRT(U5181*U5173*U5175))</f>
        <v>279.54135806167812</v>
      </c>
      <c r="V5180" s="133"/>
      <c r="W5180" s="155"/>
      <c r="X5180" s="143">
        <f>X5171/((N_6*X$27*0.667)*SQRT(X5181*X5173*X5175))</f>
        <v>27.987555717818442</v>
      </c>
      <c r="Y5180" s="133"/>
      <c r="Z5180" s="155"/>
      <c r="AA5180" s="143">
        <f>AA5171/((N_6*AA$27*0.667)*SQRT(AA5181*AA5173*AA5175))</f>
        <v>13.124763924767233</v>
      </c>
      <c r="AB5180" s="133"/>
      <c r="AC5180" s="155"/>
      <c r="AD5180" s="143">
        <f>AD5171/((N_6*AD$27*0.667)*SQRT(AD5181*AD5173*AD5175))</f>
        <v>8.0083742541001612</v>
      </c>
      <c r="AE5180" s="133"/>
      <c r="AF5180" s="155"/>
      <c r="AG5180" s="143">
        <f>AG5171/((N_6*AG$27*0.667)*SQRT(AG5181*AG5173*AG5175))</f>
        <v>5.9598276832256225</v>
      </c>
      <c r="AH5180" s="133"/>
      <c r="AI5180" s="155"/>
      <c r="AJ5180" s="143">
        <f>AJ5171/((N_6*AJ$27*0.667)*SQRT(AJ5181*AJ5173*AJ5175))</f>
        <v>5.0074447791642207</v>
      </c>
      <c r="AK5180" s="133"/>
      <c r="AL5180" s="155"/>
      <c r="AM5180" s="143">
        <f>AM5171/((N_6*AM$27*0.667)*SQRT(AM5181*AM5173*AM5175))</f>
        <v>4.7328195196170126</v>
      </c>
      <c r="AN5180" s="133"/>
      <c r="AO5180" s="155"/>
      <c r="AP5180" s="143">
        <f>AP5171/((N_6*AP$27*0.667)*SQRT(AP5181*AP5173*AP5175))</f>
        <v>4.3781033985183981</v>
      </c>
      <c r="AQ5180" s="133"/>
      <c r="AR5180" s="155"/>
      <c r="AS5180" s="143">
        <f>AS5171/((N_6*AS$27*0.667)*SQRT(AS5181*AS5173*AS5175))</f>
        <v>6.3502254966537475</v>
      </c>
      <c r="AT5180" s="133"/>
      <c r="AU5180" s="155"/>
    </row>
    <row r="5181" spans="13:47" ht="15.5" x14ac:dyDescent="0.4">
      <c r="M5181" s="12"/>
      <c r="N5181" s="12"/>
      <c r="O5181" s="2" t="s">
        <v>192</v>
      </c>
      <c r="P5181" s="85">
        <v>10</v>
      </c>
      <c r="Q5181" s="2"/>
      <c r="R5181" s="181">
        <f>F_GAMMA*R$29</f>
        <v>0.64002688015162901</v>
      </c>
      <c r="S5181" s="133"/>
      <c r="T5181" s="155"/>
      <c r="U5181" s="138">
        <f>F_GAMMA*U$29</f>
        <v>0.64016782916606918</v>
      </c>
      <c r="V5181" s="133"/>
      <c r="W5181" s="155"/>
      <c r="X5181" s="138">
        <f>F_GAMMA*X$29</f>
        <v>0.6307062319203669</v>
      </c>
      <c r="Y5181" s="133"/>
      <c r="Z5181" s="155"/>
      <c r="AA5181" s="138">
        <f>F_GAMMA*AA$29</f>
        <v>0.62217534213893466</v>
      </c>
      <c r="AB5181" s="133"/>
      <c r="AC5181" s="155"/>
      <c r="AD5181" s="138">
        <f>F_GAMMA*AD$29</f>
        <v>0.60557184969146072</v>
      </c>
      <c r="AE5181" s="133"/>
      <c r="AF5181" s="155"/>
      <c r="AG5181" s="138">
        <f>F_GAMMA*AG$29</f>
        <v>0.57289312142622573</v>
      </c>
      <c r="AH5181" s="133"/>
      <c r="AI5181" s="155"/>
      <c r="AJ5181" s="138">
        <f>F_GAMMA*AJ$29</f>
        <v>0.53590819116049981</v>
      </c>
      <c r="AK5181" s="133"/>
      <c r="AL5181" s="155"/>
      <c r="AM5181" s="138">
        <f>F_GAMMA*AM$29</f>
        <v>0.49048815926850342</v>
      </c>
      <c r="AN5181" s="133"/>
      <c r="AO5181" s="155"/>
      <c r="AP5181" s="138">
        <f>F_GAMMA*AP$29</f>
        <v>0.59352979016280105</v>
      </c>
      <c r="AQ5181" s="133"/>
      <c r="AR5181" s="155"/>
      <c r="AS5181" s="138">
        <f>F_GAMMA*AS$29</f>
        <v>0.39097221161068291</v>
      </c>
      <c r="AT5181" s="133"/>
      <c r="AU5181" s="155"/>
    </row>
    <row r="5182" spans="13:47" x14ac:dyDescent="0.25">
      <c r="M5182" s="12"/>
      <c r="N5182" s="12"/>
      <c r="O5182" s="2" t="s">
        <v>193</v>
      </c>
      <c r="P5182" s="134"/>
      <c r="Q5182" s="2"/>
      <c r="R5182" s="181">
        <f>IF(R5177&lt;R5181,R5179,R5180)</f>
        <v>1022.7957344942579</v>
      </c>
      <c r="S5182" s="133"/>
      <c r="T5182" s="155"/>
      <c r="U5182" s="138">
        <f>IF(U5177&lt;U5181,U5179,U5180)</f>
        <v>279.54135806167812</v>
      </c>
      <c r="V5182" s="133"/>
      <c r="W5182" s="155"/>
      <c r="X5182" s="138">
        <f>IF(X5177&lt;X5181,X5179,X5180)</f>
        <v>27.987555717818442</v>
      </c>
      <c r="Y5182" s="133"/>
      <c r="Z5182" s="155"/>
      <c r="AA5182" s="138">
        <f>IF(AA5177&lt;AA5181,AA5179,AA5180)</f>
        <v>13.124763924767233</v>
      </c>
      <c r="AB5182" s="133"/>
      <c r="AC5182" s="155"/>
      <c r="AD5182" s="138">
        <f>IF(AD5177&lt;AD5181,AD5179,AD5180)</f>
        <v>8.0083742541001612</v>
      </c>
      <c r="AE5182" s="133"/>
      <c r="AF5182" s="155"/>
      <c r="AG5182" s="138">
        <f>IF(AG5177&lt;AG5181,AG5179,AG5180)</f>
        <v>5.9598276832256225</v>
      </c>
      <c r="AH5182" s="133"/>
      <c r="AI5182" s="155"/>
      <c r="AJ5182" s="138">
        <f>IF(AJ5177&lt;AJ5181,AJ5179,AJ5180)</f>
        <v>5.0074447791642207</v>
      </c>
      <c r="AK5182" s="133"/>
      <c r="AL5182" s="155"/>
      <c r="AM5182" s="138">
        <f>IF(AM5177&lt;AM5181,AM5179,AM5180)</f>
        <v>4.7328195196170126</v>
      </c>
      <c r="AN5182" s="133"/>
      <c r="AO5182" s="155"/>
      <c r="AP5182" s="138">
        <f>IF(AP5177&lt;AP5181,AP5179,AP5180)</f>
        <v>4.3781033985183981</v>
      </c>
      <c r="AQ5182" s="133"/>
      <c r="AR5182" s="155"/>
      <c r="AS5182" s="138">
        <f>IF(AS5177&lt;AS5181,AS5179,AS5180)</f>
        <v>6.3502254966537475</v>
      </c>
      <c r="AT5182" s="133"/>
      <c r="AU5182" s="155"/>
    </row>
    <row r="5183" spans="13:47" ht="13" x14ac:dyDescent="0.3">
      <c r="M5183" s="12"/>
      <c r="N5183" s="12"/>
      <c r="O5183" s="9" t="s">
        <v>194</v>
      </c>
      <c r="P5183" s="1"/>
      <c r="Q5183" s="1"/>
      <c r="R5183" s="135"/>
      <c r="S5183" s="132">
        <f>IF(R5176&lt;=0,W_max,ABS(R$23-R5182))</f>
        <v>7174</v>
      </c>
      <c r="T5183" s="151">
        <f>R5171</f>
        <v>16408.486470709282</v>
      </c>
      <c r="U5183" s="135"/>
      <c r="V5183" s="132">
        <f>IF(U5176&lt;=0,W_max,ABS(U$23-U5182))</f>
        <v>7174</v>
      </c>
      <c r="W5183" s="151">
        <f>U5171</f>
        <v>17905.307522197862</v>
      </c>
      <c r="X5183" s="135"/>
      <c r="Y5183" s="132">
        <f>IF(X5176&lt;=0,W_max,ABS(X$23-X5182))</f>
        <v>7174</v>
      </c>
      <c r="Z5183" s="151">
        <f>X5171</f>
        <v>44281.956258967759</v>
      </c>
      <c r="AA5183" s="135"/>
      <c r="AB5183" s="132">
        <f>IF(AA5176&lt;=0,W_max,ABS(AA$23-AA5182))</f>
        <v>7174</v>
      </c>
      <c r="AC5183" s="151">
        <f>AA5171</f>
        <v>86249.94802624009</v>
      </c>
      <c r="AD5183" s="135"/>
      <c r="AE5183" s="132">
        <f>IF(AD5176&lt;=0,W_max,ABS(AD$23-AD5182))</f>
        <v>7174</v>
      </c>
      <c r="AF5183" s="151">
        <f>AD5171</f>
        <v>141849.4091563354</v>
      </c>
      <c r="AG5183" s="135"/>
      <c r="AH5183" s="132">
        <f>IF(AG5176&lt;=0,W_max,ABS(AG$23-AG5182))</f>
        <v>7174</v>
      </c>
      <c r="AI5183" s="151">
        <f>AG5171</f>
        <v>198954.7167844275</v>
      </c>
      <c r="AJ5183" s="135"/>
      <c r="AK5183" s="132">
        <f>IF(AJ5176&lt;=0,W_max,ABS(AJ$23-AJ5182))</f>
        <v>7174</v>
      </c>
      <c r="AL5183" s="151">
        <f>AJ5171</f>
        <v>252619.69739004178</v>
      </c>
      <c r="AM5183" s="135"/>
      <c r="AN5183" s="132">
        <f>IF(AM5176&lt;=0,W_max,ABS(AM$23-AM5182))</f>
        <v>7174</v>
      </c>
      <c r="AO5183" s="151">
        <f>AM5171</f>
        <v>296216.46244665014</v>
      </c>
      <c r="AP5183" s="135"/>
      <c r="AQ5183" s="132">
        <f>IF(AP5176&lt;=0,W_max,ABS(AP$23-AP5182))</f>
        <v>7174</v>
      </c>
      <c r="AR5183" s="151">
        <f>AP5171</f>
        <v>330479.33091290301</v>
      </c>
      <c r="AS5183" s="135"/>
      <c r="AT5183" s="132">
        <f>IF(AS5176&lt;=0,W_max,ABS(AS$23-AS5182))</f>
        <v>7174</v>
      </c>
      <c r="AU5183" s="151">
        <f>AS5171</f>
        <v>368705.3287266586</v>
      </c>
    </row>
    <row r="5184" spans="13:47" ht="13" x14ac:dyDescent="0.25">
      <c r="M5184" s="12"/>
      <c r="N5184" s="12"/>
      <c r="O5184" s="2"/>
      <c r="P5184" s="85"/>
      <c r="Q5184" s="2"/>
      <c r="R5184" s="18"/>
      <c r="S5184" s="150"/>
      <c r="T5184" s="152"/>
      <c r="U5184" s="157"/>
      <c r="V5184" s="1"/>
      <c r="W5184" s="147"/>
      <c r="X5184" s="157"/>
      <c r="Y5184" s="1"/>
      <c r="Z5184" s="147"/>
      <c r="AA5184" s="157"/>
      <c r="AB5184" s="1"/>
      <c r="AC5184" s="147"/>
      <c r="AD5184" s="157"/>
      <c r="AE5184" s="1"/>
      <c r="AF5184" s="147"/>
      <c r="AG5184" s="157"/>
      <c r="AH5184" s="1"/>
      <c r="AI5184" s="147"/>
      <c r="AJ5184" s="157"/>
      <c r="AK5184" s="1"/>
      <c r="AL5184" s="147"/>
      <c r="AM5184" s="157"/>
      <c r="AN5184" s="1"/>
      <c r="AO5184" s="147"/>
      <c r="AP5184" s="157"/>
      <c r="AQ5184" s="1"/>
      <c r="AR5184" s="147"/>
      <c r="AS5184" s="157"/>
      <c r="AT5184" s="1"/>
      <c r="AU5184" s="147"/>
    </row>
    <row r="5185" spans="13:47" ht="14" x14ac:dyDescent="0.3">
      <c r="M5185" s="12"/>
      <c r="N5185" s="12"/>
      <c r="O5185" s="23" t="s">
        <v>238</v>
      </c>
      <c r="P5185" s="20"/>
      <c r="Q5185" s="20"/>
      <c r="R5185" s="181">
        <f>R5171*1.02</f>
        <v>16736.656200123467</v>
      </c>
      <c r="S5185" s="128" t="s">
        <v>185</v>
      </c>
      <c r="T5185" s="153" t="s">
        <v>186</v>
      </c>
      <c r="U5185" s="143">
        <f>U5171*1.01</f>
        <v>18084.36059741984</v>
      </c>
      <c r="V5185" s="128" t="s">
        <v>185</v>
      </c>
      <c r="W5185" s="153" t="s">
        <v>186</v>
      </c>
      <c r="X5185" s="143">
        <f>X5171*1.01</f>
        <v>44724.775821557436</v>
      </c>
      <c r="Y5185" s="128" t="s">
        <v>185</v>
      </c>
      <c r="Z5185" s="153" t="s">
        <v>186</v>
      </c>
      <c r="AA5185" s="143">
        <f>AA5171*1.01</f>
        <v>87112.447506502489</v>
      </c>
      <c r="AB5185" s="128" t="s">
        <v>185</v>
      </c>
      <c r="AC5185" s="153" t="s">
        <v>186</v>
      </c>
      <c r="AD5185" s="143">
        <f>AD5171*1.01</f>
        <v>143267.90324789876</v>
      </c>
      <c r="AE5185" s="128" t="s">
        <v>185</v>
      </c>
      <c r="AF5185" s="153" t="s">
        <v>186</v>
      </c>
      <c r="AG5185" s="143">
        <f>AG5171*1.01</f>
        <v>200944.26395227178</v>
      </c>
      <c r="AH5185" s="128" t="s">
        <v>185</v>
      </c>
      <c r="AI5185" s="153" t="s">
        <v>186</v>
      </c>
      <c r="AJ5185" s="143">
        <f>AJ5171*1.01</f>
        <v>255145.89436394221</v>
      </c>
      <c r="AK5185" s="128" t="s">
        <v>185</v>
      </c>
      <c r="AL5185" s="153" t="s">
        <v>186</v>
      </c>
      <c r="AM5185" s="143">
        <f>AM5171*1.01</f>
        <v>299178.62707111664</v>
      </c>
      <c r="AN5185" s="128" t="s">
        <v>185</v>
      </c>
      <c r="AO5185" s="153" t="s">
        <v>186</v>
      </c>
      <c r="AP5185" s="143">
        <f>AP5171*1.01</f>
        <v>333784.12422203203</v>
      </c>
      <c r="AQ5185" s="128" t="s">
        <v>185</v>
      </c>
      <c r="AR5185" s="153" t="s">
        <v>186</v>
      </c>
      <c r="AS5185" s="143">
        <f>AS5171*1.01</f>
        <v>372392.38201392518</v>
      </c>
      <c r="AT5185" s="128" t="s">
        <v>185</v>
      </c>
      <c r="AU5185" s="153" t="s">
        <v>186</v>
      </c>
    </row>
    <row r="5186" spans="13:47" ht="14" x14ac:dyDescent="0.3">
      <c r="M5186" s="12"/>
      <c r="N5186" s="12"/>
      <c r="O5186" s="20"/>
      <c r="P5186" s="20"/>
      <c r="Q5186" s="23"/>
      <c r="R5186" s="139"/>
      <c r="S5186" s="130" t="s">
        <v>228</v>
      </c>
      <c r="T5186" s="154" t="s">
        <v>187</v>
      </c>
      <c r="U5186" s="144"/>
      <c r="V5186" s="130" t="s">
        <v>228</v>
      </c>
      <c r="W5186" s="154" t="s">
        <v>187</v>
      </c>
      <c r="X5186" s="144"/>
      <c r="Y5186" s="130" t="s">
        <v>228</v>
      </c>
      <c r="Z5186" s="154" t="s">
        <v>187</v>
      </c>
      <c r="AA5186" s="144"/>
      <c r="AB5186" s="130" t="s">
        <v>228</v>
      </c>
      <c r="AC5186" s="154" t="s">
        <v>187</v>
      </c>
      <c r="AD5186" s="144"/>
      <c r="AE5186" s="130" t="s">
        <v>228</v>
      </c>
      <c r="AF5186" s="154" t="s">
        <v>187</v>
      </c>
      <c r="AG5186" s="144"/>
      <c r="AH5186" s="130" t="s">
        <v>228</v>
      </c>
      <c r="AI5186" s="154" t="s">
        <v>187</v>
      </c>
      <c r="AJ5186" s="144"/>
      <c r="AK5186" s="130" t="s">
        <v>228</v>
      </c>
      <c r="AL5186" s="154" t="s">
        <v>187</v>
      </c>
      <c r="AM5186" s="144"/>
      <c r="AN5186" s="130" t="s">
        <v>228</v>
      </c>
      <c r="AO5186" s="154" t="s">
        <v>187</v>
      </c>
      <c r="AP5186" s="144"/>
      <c r="AQ5186" s="130" t="s">
        <v>228</v>
      </c>
      <c r="AR5186" s="154" t="s">
        <v>187</v>
      </c>
      <c r="AS5186" s="144"/>
      <c r="AT5186" s="130" t="s">
        <v>228</v>
      </c>
      <c r="AU5186" s="154" t="s">
        <v>187</v>
      </c>
    </row>
    <row r="5187" spans="13:47" x14ac:dyDescent="0.25">
      <c r="M5187" s="12"/>
      <c r="N5187" s="12"/>
      <c r="O5187" s="7" t="s">
        <v>188</v>
      </c>
      <c r="P5187" s="7"/>
      <c r="Q5187" s="7"/>
      <c r="R5187" s="181">
        <f>P_1_minW-(R5185^2*R_up)+dpup_minQ</f>
        <v>-11.176648587056732</v>
      </c>
      <c r="S5187" s="132"/>
      <c r="T5187" s="145"/>
      <c r="U5187" s="138">
        <f>P_1_minW-(U5185^2*R_up)+dpup_minQ</f>
        <v>-29.889918492287606</v>
      </c>
      <c r="V5187" s="132"/>
      <c r="W5187" s="145"/>
      <c r="X5187" s="138">
        <f>P_1_minW-(X5185^2*R_up)+dpup_minQ</f>
        <v>-697.12273687497589</v>
      </c>
      <c r="Y5187" s="132"/>
      <c r="Z5187" s="145"/>
      <c r="AA5187" s="138">
        <f>P_1_minW-(AA5185^2*R_up)+dpup_minQ</f>
        <v>-2925.512716733549</v>
      </c>
      <c r="AB5187" s="132"/>
      <c r="AC5187" s="145"/>
      <c r="AD5187" s="138">
        <f>P_1_minW-(AD5185^2*R_up)+dpup_minQ</f>
        <v>-8084.3398913702113</v>
      </c>
      <c r="AE5187" s="132"/>
      <c r="AF5187" s="145"/>
      <c r="AG5187" s="138">
        <f>P_1_minW-(AG5185^2*R_up)+dpup_minQ</f>
        <v>-16000.920795041091</v>
      </c>
      <c r="AH5187" s="132"/>
      <c r="AI5187" s="145"/>
      <c r="AJ5187" s="138">
        <f>P_1_minW-(AJ5185^2*R_up)+dpup_minQ</f>
        <v>-25858.644444138441</v>
      </c>
      <c r="AK5187" s="132"/>
      <c r="AL5187" s="145"/>
      <c r="AM5187" s="138">
        <f>P_1_minW-(AM5185^2*R_up)+dpup_minQ</f>
        <v>-35591.792219785042</v>
      </c>
      <c r="AN5187" s="132"/>
      <c r="AO5187" s="145"/>
      <c r="AP5187" s="138">
        <f>P_1_minW-(AP5185^2*R_up)+dpup_minQ</f>
        <v>-44326.267773106716</v>
      </c>
      <c r="AQ5187" s="132"/>
      <c r="AR5187" s="145"/>
      <c r="AS5187" s="138">
        <f>P_1_minW-(AS5185^2*R_up)+dpup_minQ</f>
        <v>-55198.208020932921</v>
      </c>
      <c r="AT5187" s="132"/>
      <c r="AU5187" s="145"/>
    </row>
    <row r="5188" spans="13:47" x14ac:dyDescent="0.25">
      <c r="M5188" s="12"/>
      <c r="N5188" s="12"/>
      <c r="O5188" s="7" t="s">
        <v>189</v>
      </c>
      <c r="P5188" s="1"/>
      <c r="Q5188" s="7"/>
      <c r="R5188" s="181">
        <f>P_2_minW+(R5185^2*R_dn)-dpdn_minQ</f>
        <v>50</v>
      </c>
      <c r="S5188" s="132"/>
      <c r="T5188" s="146"/>
      <c r="U5188" s="138">
        <f>P_2_minW+(U5185^2*R_dn)-dpdn_minQ</f>
        <v>50</v>
      </c>
      <c r="V5188" s="132"/>
      <c r="W5188" s="146"/>
      <c r="X5188" s="138">
        <f>P_2_minW+(X5185^2*R_dn)-dpdn_minQ</f>
        <v>50</v>
      </c>
      <c r="Y5188" s="132"/>
      <c r="Z5188" s="146"/>
      <c r="AA5188" s="138">
        <f>P_2_minW+(AA5185^2*R_dn)-dpdn_minQ</f>
        <v>50</v>
      </c>
      <c r="AB5188" s="132"/>
      <c r="AC5188" s="146"/>
      <c r="AD5188" s="138">
        <f>P_2_minW+(AD5185^2*R_dn)-dpdn_minQ</f>
        <v>50</v>
      </c>
      <c r="AE5188" s="132"/>
      <c r="AF5188" s="146"/>
      <c r="AG5188" s="138">
        <f>P_2_minW+(AG5185^2*R_dn)-dpdn_minQ</f>
        <v>50</v>
      </c>
      <c r="AH5188" s="132"/>
      <c r="AI5188" s="146"/>
      <c r="AJ5188" s="138">
        <f>P_2_minW+(AJ5185^2*R_dn)-dpdn_minQ</f>
        <v>50</v>
      </c>
      <c r="AK5188" s="132"/>
      <c r="AL5188" s="146"/>
      <c r="AM5188" s="138">
        <f>P_2_minW+(AM5185^2*R_dn)-dpdn_minQ</f>
        <v>50</v>
      </c>
      <c r="AN5188" s="132"/>
      <c r="AO5188" s="146"/>
      <c r="AP5188" s="138">
        <f>P_2_minW+(AP5185^2*R_dn)-dpdn_minQ</f>
        <v>50</v>
      </c>
      <c r="AQ5188" s="132"/>
      <c r="AR5188" s="146"/>
      <c r="AS5188" s="138">
        <f>P_2_minW+(AS5185^2*R_dn)-dpdn_minQ</f>
        <v>50</v>
      </c>
      <c r="AT5188" s="132"/>
      <c r="AU5188" s="146"/>
    </row>
    <row r="5189" spans="13:47" x14ac:dyDescent="0.25">
      <c r="M5189" s="12"/>
      <c r="N5189" s="12"/>
      <c r="O5189" s="7" t="s">
        <v>234</v>
      </c>
      <c r="P5189" s="1"/>
      <c r="Q5189" s="7"/>
      <c r="R5189" s="179">
        <f>'Valve Sizing'!G$8*R5187/P_1_maxW</f>
        <v>-5.3914162904329141E-2</v>
      </c>
      <c r="S5189" s="132"/>
      <c r="T5189" s="146"/>
      <c r="U5189" s="143">
        <f>'Valve Sizing'!$G$8*U5187/P_1_maxW</f>
        <v>-0.14418364523480873</v>
      </c>
      <c r="V5189" s="132"/>
      <c r="W5189" s="146"/>
      <c r="X5189" s="143">
        <f>'Valve Sizing'!$G$8*X5187/P_1_maxW</f>
        <v>-3.3627959676315493</v>
      </c>
      <c r="Y5189" s="132"/>
      <c r="Z5189" s="146"/>
      <c r="AA5189" s="143">
        <f>'Valve Sizing'!$G$8*AA5187/P_1_maxW</f>
        <v>-14.112152490086917</v>
      </c>
      <c r="AB5189" s="132"/>
      <c r="AC5189" s="146"/>
      <c r="AD5189" s="143">
        <f>'Valve Sizing'!$G$8*AD5187/P_1_maxW</f>
        <v>-38.997416307966787</v>
      </c>
      <c r="AE5189" s="132"/>
      <c r="AF5189" s="146"/>
      <c r="AG5189" s="143">
        <f>'Valve Sizing'!$G$8*AG5187/P_1_maxW</f>
        <v>-77.185593126918832</v>
      </c>
      <c r="AH5189" s="132"/>
      <c r="AI5189" s="146"/>
      <c r="AJ5189" s="143">
        <f>'Valve Sizing'!$G$8*AJ5187/P_1_maxW</f>
        <v>-124.73749695064373</v>
      </c>
      <c r="AK5189" s="132"/>
      <c r="AL5189" s="146"/>
      <c r="AM5189" s="143">
        <f>'Valve Sizing'!$G$8*AM5187/P_1_maxW</f>
        <v>-171.68846894020942</v>
      </c>
      <c r="AN5189" s="132"/>
      <c r="AO5189" s="146"/>
      <c r="AP5189" s="143">
        <f>'Valve Sizing'!$G$8*AP5187/P_1_maxW</f>
        <v>-213.82202393190983</v>
      </c>
      <c r="AQ5189" s="132"/>
      <c r="AR5189" s="146"/>
      <c r="AS5189" s="143">
        <f>'Valve Sizing'!$G$8*AS5187/P_1_maxW</f>
        <v>-266.26632805776694</v>
      </c>
      <c r="AT5189" s="132"/>
      <c r="AU5189" s="146"/>
    </row>
    <row r="5190" spans="13:47" x14ac:dyDescent="0.25">
      <c r="M5190" s="12"/>
      <c r="N5190" s="12"/>
      <c r="O5190" s="7" t="s">
        <v>190</v>
      </c>
      <c r="P5190" s="1"/>
      <c r="Q5190" s="7"/>
      <c r="R5190" s="181">
        <f>R5187-R5188</f>
        <v>-61.176648587056732</v>
      </c>
      <c r="S5190" s="132"/>
      <c r="T5190" s="146"/>
      <c r="U5190" s="138">
        <f>U5187-U5188</f>
        <v>-79.889918492287606</v>
      </c>
      <c r="V5190" s="132"/>
      <c r="W5190" s="146"/>
      <c r="X5190" s="138">
        <f>X5187-X5188</f>
        <v>-747.12273687497589</v>
      </c>
      <c r="Y5190" s="132"/>
      <c r="Z5190" s="146"/>
      <c r="AA5190" s="138">
        <f>AA5187-AA5188</f>
        <v>-2975.512716733549</v>
      </c>
      <c r="AB5190" s="132"/>
      <c r="AC5190" s="146"/>
      <c r="AD5190" s="138">
        <f>AD5187-AD5188</f>
        <v>-8134.3398913702113</v>
      </c>
      <c r="AE5190" s="132"/>
      <c r="AF5190" s="146"/>
      <c r="AG5190" s="138">
        <f>AG5187-AG5188</f>
        <v>-16050.920795041091</v>
      </c>
      <c r="AH5190" s="132"/>
      <c r="AI5190" s="146"/>
      <c r="AJ5190" s="138">
        <f>AJ5187-AJ5188</f>
        <v>-25908.644444138441</v>
      </c>
      <c r="AK5190" s="132"/>
      <c r="AL5190" s="146"/>
      <c r="AM5190" s="138">
        <f>AM5187-AM5188</f>
        <v>-35641.792219785042</v>
      </c>
      <c r="AN5190" s="132"/>
      <c r="AO5190" s="146"/>
      <c r="AP5190" s="138">
        <f>AP5187-AP5188</f>
        <v>-44376.267773106716</v>
      </c>
      <c r="AQ5190" s="132"/>
      <c r="AR5190" s="146"/>
      <c r="AS5190" s="138">
        <f>AS5187-AS5188</f>
        <v>-55248.208020932921</v>
      </c>
      <c r="AT5190" s="132"/>
      <c r="AU5190" s="146"/>
    </row>
    <row r="5191" spans="13:47" ht="14.5" x14ac:dyDescent="0.35">
      <c r="M5191" s="12"/>
      <c r="N5191" s="12"/>
      <c r="O5191" s="2" t="s">
        <v>191</v>
      </c>
      <c r="P5191" s="10"/>
      <c r="Q5191" s="2"/>
      <c r="R5191" s="181">
        <f>R5190/R5187</f>
        <v>5.4736129628252934</v>
      </c>
      <c r="S5191" s="132"/>
      <c r="T5191" s="146"/>
      <c r="U5191" s="138">
        <f>U5190/U5187</f>
        <v>2.6728048292571067</v>
      </c>
      <c r="V5191" s="132"/>
      <c r="W5191" s="146"/>
      <c r="X5191" s="138">
        <f>X5190/X5187</f>
        <v>1.0717233814867915</v>
      </c>
      <c r="Y5191" s="132"/>
      <c r="Z5191" s="146"/>
      <c r="AA5191" s="138">
        <f>AA5190/AA5187</f>
        <v>1.0170910212469788</v>
      </c>
      <c r="AB5191" s="132"/>
      <c r="AC5191" s="146"/>
      <c r="AD5191" s="138">
        <f>AD5190/AD5187</f>
        <v>1.0061847968630528</v>
      </c>
      <c r="AE5191" s="132"/>
      <c r="AF5191" s="146"/>
      <c r="AG5191" s="138">
        <f>AG5190/AG5187</f>
        <v>1.0031248201675678</v>
      </c>
      <c r="AH5191" s="132"/>
      <c r="AI5191" s="146"/>
      <c r="AJ5191" s="138">
        <f>AJ5190/AJ5187</f>
        <v>1.0019335893692345</v>
      </c>
      <c r="AK5191" s="132"/>
      <c r="AL5191" s="146"/>
      <c r="AM5191" s="138">
        <f>AM5190/AM5187</f>
        <v>1.0014048182707755</v>
      </c>
      <c r="AN5191" s="132"/>
      <c r="AO5191" s="146"/>
      <c r="AP5191" s="138">
        <f>AP5190/AP5187</f>
        <v>1.001127999322116</v>
      </c>
      <c r="AQ5191" s="132"/>
      <c r="AR5191" s="146"/>
      <c r="AS5191" s="138">
        <f>AS5190/AS5187</f>
        <v>1.0009058265076474</v>
      </c>
      <c r="AT5191" s="132"/>
      <c r="AU5191" s="146"/>
    </row>
    <row r="5192" spans="13:47" x14ac:dyDescent="0.25">
      <c r="M5192" s="12"/>
      <c r="N5192" s="12"/>
      <c r="O5192" s="2" t="s">
        <v>26</v>
      </c>
      <c r="P5192" s="7">
        <v>12</v>
      </c>
      <c r="Q5192" s="2"/>
      <c r="R5192" s="181">
        <f>1-R5191/(3*F_GAMMA*R$29)</f>
        <v>-1.8507203538745842</v>
      </c>
      <c r="S5192" s="133"/>
      <c r="T5192" s="146"/>
      <c r="U5192" s="138">
        <f>1-U5191/(3*F_GAMMA*U$29)</f>
        <v>-0.39172089332620974</v>
      </c>
      <c r="V5192" s="133"/>
      <c r="W5192" s="146"/>
      <c r="X5192" s="138">
        <f>1-X5191/(3*F_GAMMA*X$29)</f>
        <v>0.43358554413749761</v>
      </c>
      <c r="Y5192" s="133"/>
      <c r="Z5192" s="146"/>
      <c r="AA5192" s="138">
        <f>1-AA5191/(3*F_GAMMA*AA$29)</f>
        <v>0.45508875480321986</v>
      </c>
      <c r="AB5192" s="133"/>
      <c r="AC5192" s="146"/>
      <c r="AD5192" s="138">
        <f>1-AD5191/(3*F_GAMMA*AD$29)</f>
        <v>0.44615171187602554</v>
      </c>
      <c r="AE5192" s="133"/>
      <c r="AF5192" s="146"/>
      <c r="AG5192" s="138">
        <f>1-AG5191/(3*F_GAMMA*AG$29)</f>
        <v>0.41633975422252467</v>
      </c>
      <c r="AH5192" s="133"/>
      <c r="AI5192" s="146"/>
      <c r="AJ5192" s="138">
        <f>1-AJ5191/(3*F_GAMMA*AJ$29)</f>
        <v>0.37680022691973603</v>
      </c>
      <c r="AK5192" s="133"/>
      <c r="AL5192" s="146"/>
      <c r="AM5192" s="138">
        <f>1-AM5191/(3*F_GAMMA*AM$29)</f>
        <v>0.31945022569336168</v>
      </c>
      <c r="AN5192" s="133"/>
      <c r="AO5192" s="146"/>
      <c r="AP5192" s="138">
        <f>1-AP5191/(3*F_GAMMA*AP$29)</f>
        <v>0.43775470306917885</v>
      </c>
      <c r="AQ5192" s="133"/>
      <c r="AR5192" s="146"/>
      <c r="AS5192" s="138">
        <f>1-AS5191/(3*F_GAMMA*AS$29)</f>
        <v>0.14665220290701375</v>
      </c>
      <c r="AT5192" s="133"/>
      <c r="AU5192" s="146"/>
    </row>
    <row r="5193" spans="13:47" x14ac:dyDescent="0.25">
      <c r="M5193" s="12"/>
      <c r="N5193" s="12"/>
      <c r="O5193" s="2" t="s">
        <v>71</v>
      </c>
      <c r="P5193" s="85">
        <v>5</v>
      </c>
      <c r="Q5193" s="2"/>
      <c r="R5193" s="179">
        <f>R5185/((N_6*R$27*R5192)*SQRT(R5191*R5187*R5189))</f>
        <v>-78.674024982556205</v>
      </c>
      <c r="S5193" s="133"/>
      <c r="T5193" s="146"/>
      <c r="U5193" s="143">
        <f>U5185/((N_6*U$27*U5192)*SQRT(U5191*U5187*U5189))</f>
        <v>-215.05034572959869</v>
      </c>
      <c r="V5193" s="133"/>
      <c r="W5193" s="146"/>
      <c r="X5193" s="143">
        <f>X5185/((N_6*X$27*X5192)*SQRT(X5191*X5187*X5189))</f>
        <v>32.606657282513027</v>
      </c>
      <c r="Y5193" s="133"/>
      <c r="Z5193" s="146"/>
      <c r="AA5193" s="143">
        <f>AA5185/((N_6*AA$27*AA5192)*SQRT(AA5191*AA5187*AA5189))</f>
        <v>14.885941032069985</v>
      </c>
      <c r="AB5193" s="133"/>
      <c r="AC5193" s="146"/>
      <c r="AD5193" s="143">
        <f>AD5185/((N_6*AD$27*AD5192)*SQRT(AD5191*AD5187*AD5189))</f>
        <v>9.1939399912557906</v>
      </c>
      <c r="AE5193" s="133"/>
      <c r="AF5193" s="146"/>
      <c r="AG5193" s="143">
        <f>AG5185/((N_6*AG$27*AG5192)*SQRT(AG5191*AG5187*AG5189))</f>
        <v>7.1432319721585253</v>
      </c>
      <c r="AH5193" s="133"/>
      <c r="AI5193" s="146"/>
      <c r="AJ5193" s="143">
        <f>AJ5185/((N_6*AJ$27*AJ5192)*SQRT(AJ5191*AJ5187*AJ5189))</f>
        <v>6.4180229671444957</v>
      </c>
      <c r="AK5193" s="133"/>
      <c r="AL5193" s="146"/>
      <c r="AM5193" s="143">
        <f>AM5185/((N_6*AM$27*AM5192)*SQRT(AM5191*AM5187*AM5189))</f>
        <v>6.8470890270849241</v>
      </c>
      <c r="AN5193" s="133"/>
      <c r="AO5193" s="146"/>
      <c r="AP5193" s="143">
        <f>AP5185/((N_6*AP$27*AP5192)*SQRT(AP5191*AP5187*AP5189))</f>
        <v>5.0852969001633745</v>
      </c>
      <c r="AQ5193" s="133"/>
      <c r="AR5193" s="146"/>
      <c r="AS5193" s="143">
        <f>AS5185/((N_6*AS$27*AS5192)*SQRT(AS5191*AS5187*AS5189))</f>
        <v>17.871683135075955</v>
      </c>
      <c r="AT5193" s="133"/>
      <c r="AU5193" s="146"/>
    </row>
    <row r="5194" spans="13:47" x14ac:dyDescent="0.25">
      <c r="M5194" s="12"/>
      <c r="N5194" s="12"/>
      <c r="O5194" s="2" t="s">
        <v>73</v>
      </c>
      <c r="P5194" s="85">
        <v>5</v>
      </c>
      <c r="Q5194" s="2"/>
      <c r="R5194" s="179">
        <f>R5185/((N_6*R$27*0.667)*SQRT(R5195*R5187*R5189))</f>
        <v>638.38734957838858</v>
      </c>
      <c r="S5194" s="133"/>
      <c r="T5194" s="155"/>
      <c r="U5194" s="143">
        <f>U5185/((N_6*U$27*0.667)*SQRT(U5195*U5187*U5189))</f>
        <v>258.0641924087497</v>
      </c>
      <c r="V5194" s="133"/>
      <c r="W5194" s="155"/>
      <c r="X5194" s="143">
        <f>X5185/((N_6*X$27*0.667)*SQRT(X5195*X5187*X5189))</f>
        <v>27.630136526931985</v>
      </c>
      <c r="Y5194" s="133"/>
      <c r="Z5194" s="155"/>
      <c r="AA5194" s="143">
        <f>AA5185/((N_6*AA$27*0.667)*SQRT(AA5195*AA5187*AA5189))</f>
        <v>12.985840885790848</v>
      </c>
      <c r="AB5194" s="133"/>
      <c r="AC5194" s="155"/>
      <c r="AD5194" s="143">
        <f>AD5185/((N_6*AD$27*0.667)*SQRT(AD5195*AD5187*AD5189))</f>
        <v>7.9271017149253353</v>
      </c>
      <c r="AE5194" s="133"/>
      <c r="AF5194" s="155"/>
      <c r="AG5194" s="143">
        <f>AG5185/((N_6*AG$27*0.667)*SQRT(AG5195*AG5187*AG5189))</f>
        <v>5.9000743654074279</v>
      </c>
      <c r="AH5194" s="133"/>
      <c r="AI5194" s="155"/>
      <c r="AJ5194" s="143">
        <f>AJ5185/((N_6*AJ$27*0.667)*SQRT(AJ5195*AJ5187*AJ5189))</f>
        <v>4.9574787269035161</v>
      </c>
      <c r="AK5194" s="133"/>
      <c r="AL5194" s="155"/>
      <c r="AM5194" s="143">
        <f>AM5185/((N_6*AM$27*0.667)*SQRT(AM5195*AM5187*AM5189))</f>
        <v>4.6856939034752916</v>
      </c>
      <c r="AN5194" s="133"/>
      <c r="AO5194" s="155"/>
      <c r="AP5194" s="143">
        <f>AP5185/((N_6*AP$27*0.667)*SQRT(AP5195*AP5187*AP5189))</f>
        <v>4.3345582505309341</v>
      </c>
      <c r="AQ5194" s="133"/>
      <c r="AR5194" s="155"/>
      <c r="AS5194" s="143">
        <f>AS5185/((N_6*AS$27*0.667)*SQRT(AS5195*AS5187*AS5189))</f>
        <v>6.2871218309162531</v>
      </c>
      <c r="AT5194" s="133"/>
      <c r="AU5194" s="155"/>
    </row>
    <row r="5195" spans="13:47" ht="15.5" x14ac:dyDescent="0.4">
      <c r="M5195" s="12"/>
      <c r="N5195" s="12"/>
      <c r="O5195" s="2" t="s">
        <v>192</v>
      </c>
      <c r="P5195" s="85">
        <v>10</v>
      </c>
      <c r="Q5195" s="2"/>
      <c r="R5195" s="181">
        <f>F_GAMMA*R$29</f>
        <v>0.64002688015162901</v>
      </c>
      <c r="S5195" s="133"/>
      <c r="T5195" s="155"/>
      <c r="U5195" s="138">
        <f>F_GAMMA*U$29</f>
        <v>0.64016782916606918</v>
      </c>
      <c r="V5195" s="133"/>
      <c r="W5195" s="155"/>
      <c r="X5195" s="138">
        <f>F_GAMMA*X$29</f>
        <v>0.6307062319203669</v>
      </c>
      <c r="Y5195" s="133"/>
      <c r="Z5195" s="155"/>
      <c r="AA5195" s="138">
        <f>F_GAMMA*AA$29</f>
        <v>0.62217534213893466</v>
      </c>
      <c r="AB5195" s="133"/>
      <c r="AC5195" s="155"/>
      <c r="AD5195" s="138">
        <f>F_GAMMA*AD$29</f>
        <v>0.60557184969146072</v>
      </c>
      <c r="AE5195" s="133"/>
      <c r="AF5195" s="155"/>
      <c r="AG5195" s="138">
        <f>F_GAMMA*AG$29</f>
        <v>0.57289312142622573</v>
      </c>
      <c r="AH5195" s="133"/>
      <c r="AI5195" s="155"/>
      <c r="AJ5195" s="138">
        <f>F_GAMMA*AJ$29</f>
        <v>0.53590819116049981</v>
      </c>
      <c r="AK5195" s="133"/>
      <c r="AL5195" s="155"/>
      <c r="AM5195" s="138">
        <f>F_GAMMA*AM$29</f>
        <v>0.49048815926850342</v>
      </c>
      <c r="AN5195" s="133"/>
      <c r="AO5195" s="155"/>
      <c r="AP5195" s="138">
        <f>F_GAMMA*AP$29</f>
        <v>0.59352979016280105</v>
      </c>
      <c r="AQ5195" s="133"/>
      <c r="AR5195" s="155"/>
      <c r="AS5195" s="138">
        <f>F_GAMMA*AS$29</f>
        <v>0.39097221161068291</v>
      </c>
      <c r="AT5195" s="133"/>
      <c r="AU5195" s="155"/>
    </row>
    <row r="5196" spans="13:47" x14ac:dyDescent="0.25">
      <c r="M5196" s="12"/>
      <c r="N5196" s="12"/>
      <c r="O5196" s="2" t="s">
        <v>193</v>
      </c>
      <c r="P5196" s="134"/>
      <c r="Q5196" s="2"/>
      <c r="R5196" s="181">
        <f>IF(R5191&lt;R5195,R5193,R5194)</f>
        <v>638.38734957838858</v>
      </c>
      <c r="S5196" s="133"/>
      <c r="T5196" s="155"/>
      <c r="U5196" s="138">
        <f>IF(U5191&lt;U5195,U5193,U5194)</f>
        <v>258.0641924087497</v>
      </c>
      <c r="V5196" s="133"/>
      <c r="W5196" s="155"/>
      <c r="X5196" s="138">
        <f>IF(X5191&lt;X5195,X5193,X5194)</f>
        <v>27.630136526931985</v>
      </c>
      <c r="Y5196" s="133"/>
      <c r="Z5196" s="155"/>
      <c r="AA5196" s="138">
        <f>IF(AA5191&lt;AA5195,AA5193,AA5194)</f>
        <v>12.985840885790848</v>
      </c>
      <c r="AB5196" s="133"/>
      <c r="AC5196" s="155"/>
      <c r="AD5196" s="138">
        <f>IF(AD5191&lt;AD5195,AD5193,AD5194)</f>
        <v>7.9271017149253353</v>
      </c>
      <c r="AE5196" s="133"/>
      <c r="AF5196" s="155"/>
      <c r="AG5196" s="138">
        <f>IF(AG5191&lt;AG5195,AG5193,AG5194)</f>
        <v>5.9000743654074279</v>
      </c>
      <c r="AH5196" s="133"/>
      <c r="AI5196" s="155"/>
      <c r="AJ5196" s="138">
        <f>IF(AJ5191&lt;AJ5195,AJ5193,AJ5194)</f>
        <v>4.9574787269035161</v>
      </c>
      <c r="AK5196" s="133"/>
      <c r="AL5196" s="155"/>
      <c r="AM5196" s="138">
        <f>IF(AM5191&lt;AM5195,AM5193,AM5194)</f>
        <v>4.6856939034752916</v>
      </c>
      <c r="AN5196" s="133"/>
      <c r="AO5196" s="155"/>
      <c r="AP5196" s="138">
        <f>IF(AP5191&lt;AP5195,AP5193,AP5194)</f>
        <v>4.3345582505309341</v>
      </c>
      <c r="AQ5196" s="133"/>
      <c r="AR5196" s="155"/>
      <c r="AS5196" s="138">
        <f>IF(AS5191&lt;AS5195,AS5193,AS5194)</f>
        <v>6.2871218309162531</v>
      </c>
      <c r="AT5196" s="133"/>
      <c r="AU5196" s="155"/>
    </row>
    <row r="5197" spans="13:47" ht="13" x14ac:dyDescent="0.3">
      <c r="M5197" s="12"/>
      <c r="N5197" s="12"/>
      <c r="O5197" s="9" t="s">
        <v>194</v>
      </c>
      <c r="P5197" s="1"/>
      <c r="Q5197" s="1"/>
      <c r="R5197" s="135"/>
      <c r="S5197" s="132">
        <f>IF(R5190&lt;=0,W_max,ABS(R$23-R5196))</f>
        <v>7174</v>
      </c>
      <c r="T5197" s="151">
        <f>R5185</f>
        <v>16736.656200123467</v>
      </c>
      <c r="U5197" s="135"/>
      <c r="V5197" s="132">
        <f>IF(U5190&lt;=0,W_max,ABS(U$23-U5196))</f>
        <v>7174</v>
      </c>
      <c r="W5197" s="151">
        <f>U5185</f>
        <v>18084.36059741984</v>
      </c>
      <c r="X5197" s="135"/>
      <c r="Y5197" s="132">
        <f>IF(X5190&lt;=0,W_max,ABS(X$23-X5196))</f>
        <v>7174</v>
      </c>
      <c r="Z5197" s="151">
        <f>X5185</f>
        <v>44724.775821557436</v>
      </c>
      <c r="AA5197" s="135"/>
      <c r="AB5197" s="132">
        <f>IF(AA5190&lt;=0,W_max,ABS(AA$23-AA5196))</f>
        <v>7174</v>
      </c>
      <c r="AC5197" s="151">
        <f>AA5185</f>
        <v>87112.447506502489</v>
      </c>
      <c r="AD5197" s="135"/>
      <c r="AE5197" s="132">
        <f>IF(AD5190&lt;=0,W_max,ABS(AD$23-AD5196))</f>
        <v>7174</v>
      </c>
      <c r="AF5197" s="151">
        <f>AD5185</f>
        <v>143267.90324789876</v>
      </c>
      <c r="AG5197" s="135"/>
      <c r="AH5197" s="132">
        <f>IF(AG5190&lt;=0,W_max,ABS(AG$23-AG5196))</f>
        <v>7174</v>
      </c>
      <c r="AI5197" s="151">
        <f>AG5185</f>
        <v>200944.26395227178</v>
      </c>
      <c r="AJ5197" s="135"/>
      <c r="AK5197" s="132">
        <f>IF(AJ5190&lt;=0,W_max,ABS(AJ$23-AJ5196))</f>
        <v>7174</v>
      </c>
      <c r="AL5197" s="151">
        <f>AJ5185</f>
        <v>255145.89436394221</v>
      </c>
      <c r="AM5197" s="135"/>
      <c r="AN5197" s="132">
        <f>IF(AM5190&lt;=0,W_max,ABS(AM$23-AM5196))</f>
        <v>7174</v>
      </c>
      <c r="AO5197" s="151">
        <f>AM5185</f>
        <v>299178.62707111664</v>
      </c>
      <c r="AP5197" s="135"/>
      <c r="AQ5197" s="132">
        <f>IF(AP5190&lt;=0,W_max,ABS(AP$23-AP5196))</f>
        <v>7174</v>
      </c>
      <c r="AR5197" s="151">
        <f>AP5185</f>
        <v>333784.12422203203</v>
      </c>
      <c r="AS5197" s="135"/>
      <c r="AT5197" s="132">
        <f>IF(AS5190&lt;=0,W_max,ABS(AS$23-AS5196))</f>
        <v>7174</v>
      </c>
      <c r="AU5197" s="151">
        <f>AS5185</f>
        <v>372392.38201392518</v>
      </c>
    </row>
    <row r="5198" spans="13:47" ht="13" x14ac:dyDescent="0.25">
      <c r="M5198" s="12"/>
      <c r="N5198" s="12"/>
      <c r="O5198" s="2"/>
      <c r="P5198" s="85"/>
      <c r="Q5198" s="2"/>
      <c r="R5198" s="18"/>
      <c r="S5198" s="150"/>
      <c r="T5198" s="148"/>
      <c r="U5198" s="157"/>
      <c r="V5198" s="1"/>
      <c r="W5198" s="147"/>
      <c r="X5198" s="157"/>
      <c r="Y5198" s="1"/>
      <c r="Z5198" s="147"/>
      <c r="AA5198" s="157"/>
      <c r="AB5198" s="1"/>
      <c r="AC5198" s="147"/>
      <c r="AD5198" s="157"/>
      <c r="AE5198" s="1"/>
      <c r="AF5198" s="147"/>
      <c r="AG5198" s="157"/>
      <c r="AH5198" s="1"/>
      <c r="AI5198" s="147"/>
      <c r="AJ5198" s="157"/>
      <c r="AK5198" s="1"/>
      <c r="AL5198" s="147"/>
      <c r="AM5198" s="157"/>
      <c r="AN5198" s="1"/>
      <c r="AO5198" s="147"/>
      <c r="AP5198" s="157"/>
      <c r="AQ5198" s="1"/>
      <c r="AR5198" s="147"/>
      <c r="AS5198" s="157"/>
      <c r="AT5198" s="1"/>
      <c r="AU5198" s="147"/>
    </row>
    <row r="5199" spans="13:47" ht="14" x14ac:dyDescent="0.3">
      <c r="M5199" s="12"/>
      <c r="N5199" s="12"/>
      <c r="O5199" s="23" t="s">
        <v>238</v>
      </c>
      <c r="P5199" s="20"/>
      <c r="Q5199" s="20"/>
      <c r="R5199" s="181">
        <f>R5185*1.02</f>
        <v>17071.389324125936</v>
      </c>
      <c r="S5199" s="128" t="s">
        <v>185</v>
      </c>
      <c r="T5199" s="149" t="s">
        <v>186</v>
      </c>
      <c r="U5199" s="143">
        <f>U5185*1.01</f>
        <v>18265.204203394038</v>
      </c>
      <c r="V5199" s="128" t="s">
        <v>185</v>
      </c>
      <c r="W5199" s="153" t="s">
        <v>186</v>
      </c>
      <c r="X5199" s="143">
        <f>X5185*1.01</f>
        <v>45172.023579773013</v>
      </c>
      <c r="Y5199" s="128" t="s">
        <v>185</v>
      </c>
      <c r="Z5199" s="153" t="s">
        <v>186</v>
      </c>
      <c r="AA5199" s="143">
        <f>AA5185*1.01</f>
        <v>87983.571981567511</v>
      </c>
      <c r="AB5199" s="128" t="s">
        <v>185</v>
      </c>
      <c r="AC5199" s="153" t="s">
        <v>186</v>
      </c>
      <c r="AD5199" s="143">
        <f>AD5185*1.01</f>
        <v>144700.58228037774</v>
      </c>
      <c r="AE5199" s="128" t="s">
        <v>185</v>
      </c>
      <c r="AF5199" s="153" t="s">
        <v>186</v>
      </c>
      <c r="AG5199" s="143">
        <f>AG5185*1.01</f>
        <v>202953.7065917945</v>
      </c>
      <c r="AH5199" s="128" t="s">
        <v>185</v>
      </c>
      <c r="AI5199" s="153" t="s">
        <v>186</v>
      </c>
      <c r="AJ5199" s="143">
        <f>AJ5185*1.01</f>
        <v>257697.35330758162</v>
      </c>
      <c r="AK5199" s="128" t="s">
        <v>185</v>
      </c>
      <c r="AL5199" s="153" t="s">
        <v>186</v>
      </c>
      <c r="AM5199" s="143">
        <f>AM5185*1.01</f>
        <v>302170.41334182781</v>
      </c>
      <c r="AN5199" s="128" t="s">
        <v>185</v>
      </c>
      <c r="AO5199" s="153" t="s">
        <v>186</v>
      </c>
      <c r="AP5199" s="143">
        <f>AP5185*1.01</f>
        <v>337121.96546425234</v>
      </c>
      <c r="AQ5199" s="128" t="s">
        <v>185</v>
      </c>
      <c r="AR5199" s="153" t="s">
        <v>186</v>
      </c>
      <c r="AS5199" s="143">
        <f>AS5185*1.01</f>
        <v>376116.30583406443</v>
      </c>
      <c r="AT5199" s="128" t="s">
        <v>185</v>
      </c>
      <c r="AU5199" s="153" t="s">
        <v>186</v>
      </c>
    </row>
    <row r="5200" spans="13:47" ht="14" x14ac:dyDescent="0.3">
      <c r="M5200" s="12"/>
      <c r="N5200" s="12"/>
      <c r="O5200" s="20"/>
      <c r="P5200" s="20"/>
      <c r="Q5200" s="23"/>
      <c r="R5200" s="139"/>
      <c r="S5200" s="130" t="s">
        <v>228</v>
      </c>
      <c r="T5200" s="131" t="s">
        <v>187</v>
      </c>
      <c r="U5200" s="144"/>
      <c r="V5200" s="130" t="s">
        <v>228</v>
      </c>
      <c r="W5200" s="154" t="s">
        <v>187</v>
      </c>
      <c r="X5200" s="144"/>
      <c r="Y5200" s="130" t="s">
        <v>228</v>
      </c>
      <c r="Z5200" s="154" t="s">
        <v>187</v>
      </c>
      <c r="AA5200" s="144"/>
      <c r="AB5200" s="130" t="s">
        <v>228</v>
      </c>
      <c r="AC5200" s="154" t="s">
        <v>187</v>
      </c>
      <c r="AD5200" s="144"/>
      <c r="AE5200" s="130" t="s">
        <v>228</v>
      </c>
      <c r="AF5200" s="154" t="s">
        <v>187</v>
      </c>
      <c r="AG5200" s="144"/>
      <c r="AH5200" s="130" t="s">
        <v>228</v>
      </c>
      <c r="AI5200" s="154" t="s">
        <v>187</v>
      </c>
      <c r="AJ5200" s="144"/>
      <c r="AK5200" s="130" t="s">
        <v>228</v>
      </c>
      <c r="AL5200" s="154" t="s">
        <v>187</v>
      </c>
      <c r="AM5200" s="144"/>
      <c r="AN5200" s="130" t="s">
        <v>228</v>
      </c>
      <c r="AO5200" s="154" t="s">
        <v>187</v>
      </c>
      <c r="AP5200" s="144"/>
      <c r="AQ5200" s="130" t="s">
        <v>228</v>
      </c>
      <c r="AR5200" s="154" t="s">
        <v>187</v>
      </c>
      <c r="AS5200" s="144"/>
      <c r="AT5200" s="130" t="s">
        <v>228</v>
      </c>
      <c r="AU5200" s="154" t="s">
        <v>187</v>
      </c>
    </row>
    <row r="5201" spans="13:47" x14ac:dyDescent="0.25">
      <c r="M5201" s="12"/>
      <c r="N5201" s="12"/>
      <c r="O5201" s="7" t="s">
        <v>188</v>
      </c>
      <c r="P5201" s="7"/>
      <c r="Q5201" s="7"/>
      <c r="R5201" s="181">
        <f>P_1_minW-(R5199^2*R_up)+dpup_minQ</f>
        <v>-15.689305774137594</v>
      </c>
      <c r="S5201" s="132"/>
      <c r="T5201" s="145"/>
      <c r="U5201" s="138">
        <f>P_1_minW-(U5199^2*R_up)+dpup_minQ</f>
        <v>-32.511213867390765</v>
      </c>
      <c r="V5201" s="132"/>
      <c r="W5201" s="145"/>
      <c r="X5201" s="138">
        <f>P_1_minW-(X5199^2*R_up)+dpup_minQ</f>
        <v>-713.15541189957116</v>
      </c>
      <c r="Y5201" s="132"/>
      <c r="Z5201" s="145"/>
      <c r="AA5201" s="138">
        <f>P_1_minW-(AA5199^2*R_up)+dpup_minQ</f>
        <v>-2986.3360303533013</v>
      </c>
      <c r="AB5201" s="132"/>
      <c r="AC5201" s="145"/>
      <c r="AD5201" s="138">
        <f>P_1_minW-(AD5199^2*R_up)+dpup_minQ</f>
        <v>-8248.8556312001583</v>
      </c>
      <c r="AE5201" s="132"/>
      <c r="AF5201" s="145"/>
      <c r="AG5201" s="138">
        <f>P_1_minW-(AG5199^2*R_up)+dpup_minQ</f>
        <v>-16324.559811034827</v>
      </c>
      <c r="AH5201" s="132"/>
      <c r="AI5201" s="145"/>
      <c r="AJ5201" s="138">
        <f>P_1_minW-(AJ5199^2*R_up)+dpup_minQ</f>
        <v>-26380.423705479032</v>
      </c>
      <c r="AK5201" s="132"/>
      <c r="AL5201" s="145"/>
      <c r="AM5201" s="138">
        <f>P_1_minW-(AM5199^2*R_up)+dpup_minQ</f>
        <v>-36309.207751416121</v>
      </c>
      <c r="AN5201" s="132"/>
      <c r="AO5201" s="145"/>
      <c r="AP5201" s="138">
        <f>P_1_minW-(AP5199^2*R_up)+dpup_minQ</f>
        <v>-45219.246263359564</v>
      </c>
      <c r="AQ5201" s="132"/>
      <c r="AR5201" s="145"/>
      <c r="AS5201" s="138">
        <f>P_1_minW-(AS5199^2*R_up)+dpup_minQ</f>
        <v>-56309.712510167075</v>
      </c>
      <c r="AT5201" s="132"/>
      <c r="AU5201" s="145"/>
    </row>
    <row r="5202" spans="13:47" x14ac:dyDescent="0.25">
      <c r="M5202" s="12"/>
      <c r="N5202" s="12"/>
      <c r="O5202" s="7" t="s">
        <v>189</v>
      </c>
      <c r="P5202" s="1"/>
      <c r="Q5202" s="7"/>
      <c r="R5202" s="181">
        <f>P_2_minW+(R5199^2*R_dn)-dpdn_minQ</f>
        <v>50</v>
      </c>
      <c r="S5202" s="132"/>
      <c r="T5202" s="146"/>
      <c r="U5202" s="138">
        <f>P_2_minW+(U5199^2*R_dn)-dpdn_minQ</f>
        <v>50</v>
      </c>
      <c r="V5202" s="132"/>
      <c r="W5202" s="146"/>
      <c r="X5202" s="138">
        <f>P_2_minW+(X5199^2*R_dn)-dpdn_minQ</f>
        <v>50</v>
      </c>
      <c r="Y5202" s="132"/>
      <c r="Z5202" s="146"/>
      <c r="AA5202" s="138">
        <f>P_2_minW+(AA5199^2*R_dn)-dpdn_minQ</f>
        <v>50</v>
      </c>
      <c r="AB5202" s="132"/>
      <c r="AC5202" s="146"/>
      <c r="AD5202" s="138">
        <f>P_2_minW+(AD5199^2*R_dn)-dpdn_minQ</f>
        <v>50</v>
      </c>
      <c r="AE5202" s="132"/>
      <c r="AF5202" s="146"/>
      <c r="AG5202" s="138">
        <f>P_2_minW+(AG5199^2*R_dn)-dpdn_minQ</f>
        <v>50</v>
      </c>
      <c r="AH5202" s="132"/>
      <c r="AI5202" s="146"/>
      <c r="AJ5202" s="138">
        <f>P_2_minW+(AJ5199^2*R_dn)-dpdn_minQ</f>
        <v>50</v>
      </c>
      <c r="AK5202" s="132"/>
      <c r="AL5202" s="146"/>
      <c r="AM5202" s="138">
        <f>P_2_minW+(AM5199^2*R_dn)-dpdn_minQ</f>
        <v>50</v>
      </c>
      <c r="AN5202" s="132"/>
      <c r="AO5202" s="146"/>
      <c r="AP5202" s="138">
        <f>P_2_minW+(AP5199^2*R_dn)-dpdn_minQ</f>
        <v>50</v>
      </c>
      <c r="AQ5202" s="132"/>
      <c r="AR5202" s="146"/>
      <c r="AS5202" s="138">
        <f>P_2_minW+(AS5199^2*R_dn)-dpdn_minQ</f>
        <v>50</v>
      </c>
      <c r="AT5202" s="132"/>
      <c r="AU5202" s="146"/>
    </row>
    <row r="5203" spans="13:47" x14ac:dyDescent="0.25">
      <c r="M5203" s="12"/>
      <c r="N5203" s="12"/>
      <c r="O5203" s="7" t="s">
        <v>234</v>
      </c>
      <c r="P5203" s="1"/>
      <c r="Q5203" s="7"/>
      <c r="R5203" s="179">
        <f>'Valve Sizing'!G$8*R5201/P_1_maxW</f>
        <v>-7.5682417745715297E-2</v>
      </c>
      <c r="S5203" s="132"/>
      <c r="T5203" s="146"/>
      <c r="U5203" s="143">
        <f>'Valve Sizing'!$G$8*U5201/P_1_maxW</f>
        <v>-0.15682830743142995</v>
      </c>
      <c r="V5203" s="132"/>
      <c r="W5203" s="146"/>
      <c r="X5203" s="143">
        <f>'Valve Sizing'!$G$8*X5201/P_1_maxW</f>
        <v>-3.4401347375083455</v>
      </c>
      <c r="Y5203" s="132"/>
      <c r="Z5203" s="146"/>
      <c r="AA5203" s="143">
        <f>'Valve Sizing'!$G$8*AA5201/P_1_maxW</f>
        <v>-14.405553326065064</v>
      </c>
      <c r="AB5203" s="132"/>
      <c r="AC5203" s="146"/>
      <c r="AD5203" s="143">
        <f>'Valve Sizing'!$G$8*AD5201/P_1_maxW</f>
        <v>-39.79101094668431</v>
      </c>
      <c r="AE5203" s="132"/>
      <c r="AF5203" s="146"/>
      <c r="AG5203" s="143">
        <f>'Valve Sizing'!$G$8*AG5201/P_1_maxW</f>
        <v>-78.746770119697317</v>
      </c>
      <c r="AH5203" s="132"/>
      <c r="AI5203" s="146"/>
      <c r="AJ5203" s="143">
        <f>'Valve Sizing'!$G$8*AJ5201/P_1_maxW</f>
        <v>-127.25446721027906</v>
      </c>
      <c r="AK5203" s="132"/>
      <c r="AL5203" s="146"/>
      <c r="AM5203" s="143">
        <f>'Valve Sizing'!$G$8*AM5201/P_1_maxW</f>
        <v>-175.14915373683499</v>
      </c>
      <c r="AN5203" s="132"/>
      <c r="AO5203" s="146"/>
      <c r="AP5203" s="143">
        <f>'Valve Sizing'!$G$8*AP5201/P_1_maxW</f>
        <v>-218.12959318386856</v>
      </c>
      <c r="AQ5203" s="132"/>
      <c r="AR5203" s="146"/>
      <c r="AS5203" s="143">
        <f>'Valve Sizing'!$G$8*AS5201/P_1_maxW</f>
        <v>-271.62802782265544</v>
      </c>
      <c r="AT5203" s="132"/>
      <c r="AU5203" s="146"/>
    </row>
    <row r="5204" spans="13:47" x14ac:dyDescent="0.25">
      <c r="M5204" s="12"/>
      <c r="N5204" s="12"/>
      <c r="O5204" s="7" t="s">
        <v>190</v>
      </c>
      <c r="P5204" s="1"/>
      <c r="Q5204" s="7"/>
      <c r="R5204" s="181">
        <f>R5201-R5202</f>
        <v>-65.689305774137594</v>
      </c>
      <c r="S5204" s="132"/>
      <c r="T5204" s="146"/>
      <c r="U5204" s="138">
        <f>U5201-U5202</f>
        <v>-82.511213867390765</v>
      </c>
      <c r="V5204" s="132"/>
      <c r="W5204" s="146"/>
      <c r="X5204" s="138">
        <f>X5201-X5202</f>
        <v>-763.15541189957116</v>
      </c>
      <c r="Y5204" s="132"/>
      <c r="Z5204" s="146"/>
      <c r="AA5204" s="138">
        <f>AA5201-AA5202</f>
        <v>-3036.3360303533013</v>
      </c>
      <c r="AB5204" s="132"/>
      <c r="AC5204" s="146"/>
      <c r="AD5204" s="138">
        <f>AD5201-AD5202</f>
        <v>-8298.8556312001583</v>
      </c>
      <c r="AE5204" s="132"/>
      <c r="AF5204" s="146"/>
      <c r="AG5204" s="138">
        <f>AG5201-AG5202</f>
        <v>-16374.559811034827</v>
      </c>
      <c r="AH5204" s="132"/>
      <c r="AI5204" s="146"/>
      <c r="AJ5204" s="138">
        <f>AJ5201-AJ5202</f>
        <v>-26430.423705479032</v>
      </c>
      <c r="AK5204" s="132"/>
      <c r="AL5204" s="146"/>
      <c r="AM5204" s="138">
        <f>AM5201-AM5202</f>
        <v>-36359.207751416121</v>
      </c>
      <c r="AN5204" s="132"/>
      <c r="AO5204" s="146"/>
      <c r="AP5204" s="138">
        <f>AP5201-AP5202</f>
        <v>-45269.246263359564</v>
      </c>
      <c r="AQ5204" s="132"/>
      <c r="AR5204" s="146"/>
      <c r="AS5204" s="138">
        <f>AS5201-AS5202</f>
        <v>-56359.712510167075</v>
      </c>
      <c r="AT5204" s="132"/>
      <c r="AU5204" s="146"/>
    </row>
    <row r="5205" spans="13:47" ht="14.5" x14ac:dyDescent="0.35">
      <c r="M5205" s="12"/>
      <c r="N5205" s="12"/>
      <c r="O5205" s="2" t="s">
        <v>191</v>
      </c>
      <c r="P5205" s="10"/>
      <c r="Q5205" s="2"/>
      <c r="R5205" s="181">
        <f>R5204/R5201</f>
        <v>4.1868841566221811</v>
      </c>
      <c r="S5205" s="132"/>
      <c r="T5205" s="146"/>
      <c r="U5205" s="138">
        <f>U5204/U5201</f>
        <v>2.537930887599086</v>
      </c>
      <c r="V5205" s="132"/>
      <c r="W5205" s="146"/>
      <c r="X5205" s="138">
        <f>X5204/X5201</f>
        <v>1.0701109451961099</v>
      </c>
      <c r="Y5205" s="132"/>
      <c r="Z5205" s="146"/>
      <c r="AA5205" s="138">
        <f>AA5204/AA5201</f>
        <v>1.0167429249393896</v>
      </c>
      <c r="AB5205" s="132"/>
      <c r="AC5205" s="146"/>
      <c r="AD5205" s="138">
        <f>AD5204/AD5201</f>
        <v>1.0060614468522011</v>
      </c>
      <c r="AE5205" s="132"/>
      <c r="AF5205" s="146"/>
      <c r="AG5205" s="138">
        <f>AG5204/AG5201</f>
        <v>1.0030628697238257</v>
      </c>
      <c r="AH5205" s="132"/>
      <c r="AI5205" s="146"/>
      <c r="AJ5205" s="138">
        <f>AJ5204/AJ5201</f>
        <v>1.0018953448420018</v>
      </c>
      <c r="AK5205" s="132"/>
      <c r="AL5205" s="146"/>
      <c r="AM5205" s="138">
        <f>AM5204/AM5201</f>
        <v>1.0013770611670272</v>
      </c>
      <c r="AN5205" s="132"/>
      <c r="AO5205" s="146"/>
      <c r="AP5205" s="138">
        <f>AP5204/AP5201</f>
        <v>1.001105723870513</v>
      </c>
      <c r="AQ5205" s="132"/>
      <c r="AR5205" s="146"/>
      <c r="AS5205" s="138">
        <f>AS5204/AS5201</f>
        <v>1.0008879462844171</v>
      </c>
      <c r="AT5205" s="132"/>
      <c r="AU5205" s="146"/>
    </row>
    <row r="5206" spans="13:47" x14ac:dyDescent="0.25">
      <c r="M5206" s="12"/>
      <c r="N5206" s="12"/>
      <c r="O5206" s="2" t="s">
        <v>26</v>
      </c>
      <c r="P5206" s="7">
        <v>12</v>
      </c>
      <c r="Q5206" s="2"/>
      <c r="R5206" s="181">
        <f>1-R5205/(3*F_GAMMA*R$29)</f>
        <v>-1.1805772468130638</v>
      </c>
      <c r="S5206" s="133"/>
      <c r="T5206" s="146"/>
      <c r="U5206" s="138">
        <f>1-U5205/(3*F_GAMMA*U$29)</f>
        <v>-0.32149246492917638</v>
      </c>
      <c r="V5206" s="133"/>
      <c r="W5206" s="146"/>
      <c r="X5206" s="138">
        <f>1-X5205/(3*F_GAMMA*X$29)</f>
        <v>0.43443772972939199</v>
      </c>
      <c r="Y5206" s="133"/>
      <c r="Z5206" s="146"/>
      <c r="AA5206" s="138">
        <f>1-AA5205/(3*F_GAMMA*AA$29)</f>
        <v>0.45527524901903182</v>
      </c>
      <c r="AB5206" s="133"/>
      <c r="AC5206" s="146"/>
      <c r="AD5206" s="138">
        <f>1-AD5205/(3*F_GAMMA*AD$29)</f>
        <v>0.4462196091376055</v>
      </c>
      <c r="AE5206" s="133"/>
      <c r="AF5206" s="146"/>
      <c r="AG5206" s="138">
        <f>1-AG5205/(3*F_GAMMA*AG$29)</f>
        <v>0.41637579959842763</v>
      </c>
      <c r="AH5206" s="133"/>
      <c r="AI5206" s="146"/>
      <c r="AJ5206" s="138">
        <f>1-AJ5205/(3*F_GAMMA*AJ$29)</f>
        <v>0.37682401490423512</v>
      </c>
      <c r="AK5206" s="133"/>
      <c r="AL5206" s="146"/>
      <c r="AM5206" s="138">
        <f>1-AM5205/(3*F_GAMMA*AM$29)</f>
        <v>0.31946908928413598</v>
      </c>
      <c r="AN5206" s="133"/>
      <c r="AO5206" s="146"/>
      <c r="AP5206" s="138">
        <f>1-AP5205/(3*F_GAMMA*AP$29)</f>
        <v>0.43776721322563172</v>
      </c>
      <c r="AQ5206" s="133"/>
      <c r="AR5206" s="146"/>
      <c r="AS5206" s="138">
        <f>1-AS5205/(3*F_GAMMA*AS$29)</f>
        <v>0.1466674471474817</v>
      </c>
      <c r="AT5206" s="133"/>
      <c r="AU5206" s="146"/>
    </row>
    <row r="5207" spans="13:47" x14ac:dyDescent="0.25">
      <c r="M5207" s="12"/>
      <c r="N5207" s="12"/>
      <c r="O5207" s="2" t="s">
        <v>71</v>
      </c>
      <c r="P5207" s="85">
        <v>5</v>
      </c>
      <c r="Q5207" s="2"/>
      <c r="R5207" s="179">
        <f>R5199/((N_6*R$27*R5206)*SQRT(R5205*R5201*R5203))</f>
        <v>-102.46543137467818</v>
      </c>
      <c r="S5207" s="133"/>
      <c r="T5207" s="146"/>
      <c r="U5207" s="143">
        <f>U5199/((N_6*U$27*U5206)*SQRT(U5205*U5201*U5203))</f>
        <v>-249.69090899919235</v>
      </c>
      <c r="V5207" s="133"/>
      <c r="W5207" s="146"/>
      <c r="X5207" s="143">
        <f>X5199/((N_6*X$27*X5206)*SQRT(X5205*X5201*X5203))</f>
        <v>32.15340171348678</v>
      </c>
      <c r="Y5207" s="133"/>
      <c r="Z5207" s="146"/>
      <c r="AA5207" s="143">
        <f>AA5199/((N_6*AA$27*AA5206)*SQRT(AA5205*AA5201*AA5203))</f>
        <v>14.725070359515797</v>
      </c>
      <c r="AB5207" s="133"/>
      <c r="AC5207" s="146"/>
      <c r="AD5207" s="143">
        <f>AD5199/((N_6*AD$27*AD5206)*SQRT(AD5205*AD5201*AD5203))</f>
        <v>9.0998542099927384</v>
      </c>
      <c r="AE5207" s="133"/>
      <c r="AF5207" s="146"/>
      <c r="AG5207" s="143">
        <f>AG5199/((N_6*AG$27*AG5206)*SQRT(AG5205*AG5201*AG5203))</f>
        <v>7.071237699261097</v>
      </c>
      <c r="AH5207" s="133"/>
      <c r="AI5207" s="146"/>
      <c r="AJ5207" s="143">
        <f>AJ5199/((N_6*AJ$27*AJ5206)*SQRT(AJ5205*AJ5201*AJ5203))</f>
        <v>6.3537116402420084</v>
      </c>
      <c r="AK5207" s="133"/>
      <c r="AL5207" s="146"/>
      <c r="AM5207" s="143">
        <f>AM5199/((N_6*AM$27*AM5206)*SQRT(AM5205*AM5201*AM5203))</f>
        <v>6.7786124904671832</v>
      </c>
      <c r="AN5207" s="133"/>
      <c r="AO5207" s="146"/>
      <c r="AP5207" s="143">
        <f>AP5199/((N_6*AP$27*AP5206)*SQRT(AP5205*AP5201*AP5203))</f>
        <v>5.0346345852673213</v>
      </c>
      <c r="AQ5207" s="133"/>
      <c r="AR5207" s="146"/>
      <c r="AS5207" s="143">
        <f>AS5199/((N_6*AS$27*AS5206)*SQRT(AS5205*AS5201*AS5203))</f>
        <v>17.69241980392183</v>
      </c>
      <c r="AT5207" s="133"/>
      <c r="AU5207" s="146"/>
    </row>
    <row r="5208" spans="13:47" x14ac:dyDescent="0.25">
      <c r="M5208" s="12"/>
      <c r="N5208" s="12"/>
      <c r="O5208" s="2" t="s">
        <v>73</v>
      </c>
      <c r="P5208" s="85">
        <v>5</v>
      </c>
      <c r="Q5208" s="2"/>
      <c r="R5208" s="179">
        <f>R5199/((N_6*R$27*0.667)*SQRT(R5209*R5201*R5203))</f>
        <v>463.86575638229169</v>
      </c>
      <c r="S5208" s="133"/>
      <c r="T5208" s="147"/>
      <c r="U5208" s="143">
        <f>U5199/((N_6*U$27*0.667)*SQRT(U5209*U5201*U5203))</f>
        <v>239.62971316363092</v>
      </c>
      <c r="V5208" s="133"/>
      <c r="W5208" s="155"/>
      <c r="X5208" s="143">
        <f>X5199/((N_6*X$27*0.667)*SQRT(X5209*X5201*X5203))</f>
        <v>27.279064331888591</v>
      </c>
      <c r="Y5208" s="133"/>
      <c r="Z5208" s="155"/>
      <c r="AA5208" s="143">
        <f>AA5199/((N_6*AA$27*0.667)*SQRT(AA5209*AA5201*AA5203))</f>
        <v>12.848569178200876</v>
      </c>
      <c r="AB5208" s="133"/>
      <c r="AC5208" s="155"/>
      <c r="AD5208" s="143">
        <f>AD5199/((N_6*AD$27*0.667)*SQRT(AD5209*AD5201*AD5203))</f>
        <v>7.8466930877382834</v>
      </c>
      <c r="AE5208" s="133"/>
      <c r="AF5208" s="155"/>
      <c r="AG5208" s="143">
        <f>AG5199/((N_6*AG$27*0.667)*SQRT(AG5209*AG5201*AG5203))</f>
        <v>5.8409347593764975</v>
      </c>
      <c r="AH5208" s="133"/>
      <c r="AI5208" s="155"/>
      <c r="AJ5208" s="143">
        <f>AJ5199/((N_6*AJ$27*0.667)*SQRT(AJ5209*AJ5201*AJ5203))</f>
        <v>4.90801883932102</v>
      </c>
      <c r="AK5208" s="133"/>
      <c r="AL5208" s="155"/>
      <c r="AM5208" s="143">
        <f>AM5199/((N_6*AM$27*0.667)*SQRT(AM5209*AM5201*AM5203))</f>
        <v>4.6390427301354906</v>
      </c>
      <c r="AN5208" s="133"/>
      <c r="AO5208" s="155"/>
      <c r="AP5208" s="143">
        <f>AP5199/((N_6*AP$27*0.667)*SQRT(AP5209*AP5201*AP5203))</f>
        <v>4.2914500710135766</v>
      </c>
      <c r="AQ5208" s="133"/>
      <c r="AR5208" s="155"/>
      <c r="AS5208" s="143">
        <f>AS5199/((N_6*AS$27*0.667)*SQRT(AS5209*AS5201*AS5203))</f>
        <v>6.2246497386989175</v>
      </c>
      <c r="AT5208" s="133"/>
      <c r="AU5208" s="155"/>
    </row>
    <row r="5209" spans="13:47" ht="15.5" x14ac:dyDescent="0.4">
      <c r="M5209" s="12"/>
      <c r="N5209" s="12"/>
      <c r="O5209" s="2" t="s">
        <v>192</v>
      </c>
      <c r="P5209" s="85">
        <v>10</v>
      </c>
      <c r="Q5209" s="2"/>
      <c r="R5209" s="181">
        <f>F_GAMMA*R$29</f>
        <v>0.64002688015162901</v>
      </c>
      <c r="S5209" s="133"/>
      <c r="T5209" s="147"/>
      <c r="U5209" s="138">
        <f>F_GAMMA*U$29</f>
        <v>0.64016782916606918</v>
      </c>
      <c r="V5209" s="133"/>
      <c r="W5209" s="155"/>
      <c r="X5209" s="138">
        <f>F_GAMMA*X$29</f>
        <v>0.6307062319203669</v>
      </c>
      <c r="Y5209" s="133"/>
      <c r="Z5209" s="155"/>
      <c r="AA5209" s="138">
        <f>F_GAMMA*AA$29</f>
        <v>0.62217534213893466</v>
      </c>
      <c r="AB5209" s="133"/>
      <c r="AC5209" s="155"/>
      <c r="AD5209" s="138">
        <f>F_GAMMA*AD$29</f>
        <v>0.60557184969146072</v>
      </c>
      <c r="AE5209" s="133"/>
      <c r="AF5209" s="155"/>
      <c r="AG5209" s="138">
        <f>F_GAMMA*AG$29</f>
        <v>0.57289312142622573</v>
      </c>
      <c r="AH5209" s="133"/>
      <c r="AI5209" s="155"/>
      <c r="AJ5209" s="138">
        <f>F_GAMMA*AJ$29</f>
        <v>0.53590819116049981</v>
      </c>
      <c r="AK5209" s="133"/>
      <c r="AL5209" s="155"/>
      <c r="AM5209" s="138">
        <f>F_GAMMA*AM$29</f>
        <v>0.49048815926850342</v>
      </c>
      <c r="AN5209" s="133"/>
      <c r="AO5209" s="155"/>
      <c r="AP5209" s="138">
        <f>F_GAMMA*AP$29</f>
        <v>0.59352979016280105</v>
      </c>
      <c r="AQ5209" s="133"/>
      <c r="AR5209" s="155"/>
      <c r="AS5209" s="138">
        <f>F_GAMMA*AS$29</f>
        <v>0.39097221161068291</v>
      </c>
      <c r="AT5209" s="133"/>
      <c r="AU5209" s="155"/>
    </row>
    <row r="5210" spans="13:47" x14ac:dyDescent="0.25">
      <c r="M5210" s="12"/>
      <c r="N5210" s="12"/>
      <c r="O5210" s="2" t="s">
        <v>193</v>
      </c>
      <c r="P5210" s="134"/>
      <c r="Q5210" s="2"/>
      <c r="R5210" s="181">
        <f>IF(R5205&lt;R5209,R5207,R5208)</f>
        <v>463.86575638229169</v>
      </c>
      <c r="S5210" s="133"/>
      <c r="T5210" s="147"/>
      <c r="U5210" s="138">
        <f>IF(U5205&lt;U5209,U5207,U5208)</f>
        <v>239.62971316363092</v>
      </c>
      <c r="V5210" s="133"/>
      <c r="W5210" s="155"/>
      <c r="X5210" s="138">
        <f>IF(X5205&lt;X5209,X5207,X5208)</f>
        <v>27.279064331888591</v>
      </c>
      <c r="Y5210" s="133"/>
      <c r="Z5210" s="155"/>
      <c r="AA5210" s="138">
        <f>IF(AA5205&lt;AA5209,AA5207,AA5208)</f>
        <v>12.848569178200876</v>
      </c>
      <c r="AB5210" s="133"/>
      <c r="AC5210" s="155"/>
      <c r="AD5210" s="138">
        <f>IF(AD5205&lt;AD5209,AD5207,AD5208)</f>
        <v>7.8466930877382834</v>
      </c>
      <c r="AE5210" s="133"/>
      <c r="AF5210" s="155"/>
      <c r="AG5210" s="138">
        <f>IF(AG5205&lt;AG5209,AG5207,AG5208)</f>
        <v>5.8409347593764975</v>
      </c>
      <c r="AH5210" s="133"/>
      <c r="AI5210" s="155"/>
      <c r="AJ5210" s="138">
        <f>IF(AJ5205&lt;AJ5209,AJ5207,AJ5208)</f>
        <v>4.90801883932102</v>
      </c>
      <c r="AK5210" s="133"/>
      <c r="AL5210" s="155"/>
      <c r="AM5210" s="138">
        <f>IF(AM5205&lt;AM5209,AM5207,AM5208)</f>
        <v>4.6390427301354906</v>
      </c>
      <c r="AN5210" s="133"/>
      <c r="AO5210" s="155"/>
      <c r="AP5210" s="138">
        <f>IF(AP5205&lt;AP5209,AP5207,AP5208)</f>
        <v>4.2914500710135766</v>
      </c>
      <c r="AQ5210" s="133"/>
      <c r="AR5210" s="155"/>
      <c r="AS5210" s="138">
        <f>IF(AS5205&lt;AS5209,AS5207,AS5208)</f>
        <v>6.2246497386989175</v>
      </c>
      <c r="AT5210" s="133"/>
      <c r="AU5210" s="155"/>
    </row>
    <row r="5211" spans="13:47" ht="13" x14ac:dyDescent="0.3">
      <c r="M5211" s="12"/>
      <c r="N5211" s="12"/>
      <c r="O5211" s="9" t="s">
        <v>194</v>
      </c>
      <c r="P5211" s="1"/>
      <c r="Q5211" s="1"/>
      <c r="R5211" s="135"/>
      <c r="S5211" s="132">
        <f>IF(R5204&lt;=0,W_max,ABS(R$23-R5210))</f>
        <v>7174</v>
      </c>
      <c r="T5211" s="151">
        <f>R5199</f>
        <v>17071.389324125936</v>
      </c>
      <c r="U5211" s="135"/>
      <c r="V5211" s="132">
        <f>IF(U5204&lt;=0,W_max,ABS(U$23-U5210))</f>
        <v>7174</v>
      </c>
      <c r="W5211" s="151">
        <f>U5199</f>
        <v>18265.204203394038</v>
      </c>
      <c r="X5211" s="135"/>
      <c r="Y5211" s="132">
        <f>IF(X5204&lt;=0,W_max,ABS(X$23-X5210))</f>
        <v>7174</v>
      </c>
      <c r="Z5211" s="151">
        <f>X5199</f>
        <v>45172.023579773013</v>
      </c>
      <c r="AA5211" s="135"/>
      <c r="AB5211" s="132">
        <f>IF(AA5204&lt;=0,W_max,ABS(AA$23-AA5210))</f>
        <v>7174</v>
      </c>
      <c r="AC5211" s="151">
        <f>AA5199</f>
        <v>87983.571981567511</v>
      </c>
      <c r="AD5211" s="135"/>
      <c r="AE5211" s="132">
        <f>IF(AD5204&lt;=0,W_max,ABS(AD$23-AD5210))</f>
        <v>7174</v>
      </c>
      <c r="AF5211" s="151">
        <f>AD5199</f>
        <v>144700.58228037774</v>
      </c>
      <c r="AG5211" s="135"/>
      <c r="AH5211" s="132">
        <f>IF(AG5204&lt;=0,W_max,ABS(AG$23-AG5210))</f>
        <v>7174</v>
      </c>
      <c r="AI5211" s="151">
        <f>AG5199</f>
        <v>202953.7065917945</v>
      </c>
      <c r="AJ5211" s="135"/>
      <c r="AK5211" s="132">
        <f>IF(AJ5204&lt;=0,W_max,ABS(AJ$23-AJ5210))</f>
        <v>7174</v>
      </c>
      <c r="AL5211" s="151">
        <f>AJ5199</f>
        <v>257697.35330758162</v>
      </c>
      <c r="AM5211" s="135"/>
      <c r="AN5211" s="132">
        <f>IF(AM5204&lt;=0,W_max,ABS(AM$23-AM5210))</f>
        <v>7174</v>
      </c>
      <c r="AO5211" s="151">
        <f>AM5199</f>
        <v>302170.41334182781</v>
      </c>
      <c r="AP5211" s="135"/>
      <c r="AQ5211" s="132">
        <f>IF(AP5204&lt;=0,W_max,ABS(AP$23-AP5210))</f>
        <v>7174</v>
      </c>
      <c r="AR5211" s="151">
        <f>AP5199</f>
        <v>337121.96546425234</v>
      </c>
      <c r="AS5211" s="135"/>
      <c r="AT5211" s="132">
        <f>IF(AS5204&lt;=0,W_max,ABS(AS$23-AS5210))</f>
        <v>7174</v>
      </c>
      <c r="AU5211" s="151">
        <f>AS5199</f>
        <v>376116.30583406443</v>
      </c>
    </row>
    <row r="5212" spans="13:47" ht="13" x14ac:dyDescent="0.25">
      <c r="M5212" s="12"/>
      <c r="N5212" s="12"/>
      <c r="O5212" s="12"/>
      <c r="P5212" s="12"/>
      <c r="Q5212" s="12"/>
      <c r="R5212" s="182"/>
      <c r="S5212" s="22"/>
      <c r="T5212" s="152"/>
      <c r="U5212" s="157"/>
      <c r="V5212" s="1"/>
      <c r="W5212" s="147"/>
      <c r="X5212" s="157"/>
      <c r="Y5212" s="1"/>
      <c r="Z5212" s="147"/>
      <c r="AA5212" s="157"/>
      <c r="AB5212" s="1"/>
      <c r="AC5212" s="147"/>
      <c r="AD5212" s="157"/>
      <c r="AE5212" s="1"/>
      <c r="AF5212" s="147"/>
      <c r="AG5212" s="157"/>
      <c r="AH5212" s="1"/>
      <c r="AI5212" s="147"/>
      <c r="AJ5212" s="157"/>
      <c r="AK5212" s="1"/>
      <c r="AL5212" s="147"/>
      <c r="AM5212" s="157"/>
      <c r="AN5212" s="1"/>
      <c r="AO5212" s="147"/>
      <c r="AP5212" s="157"/>
      <c r="AQ5212" s="1"/>
      <c r="AR5212" s="147"/>
      <c r="AS5212" s="157"/>
      <c r="AT5212" s="1"/>
      <c r="AU5212" s="147"/>
    </row>
    <row r="5213" spans="13:47" ht="14" x14ac:dyDescent="0.3">
      <c r="M5213" s="12"/>
      <c r="N5213" s="12"/>
      <c r="O5213" s="23" t="s">
        <v>238</v>
      </c>
      <c r="P5213" s="20"/>
      <c r="Q5213" s="20"/>
      <c r="R5213" s="18">
        <f>R5199*1.02</f>
        <v>17412.817110608456</v>
      </c>
      <c r="S5213" s="128" t="s">
        <v>185</v>
      </c>
      <c r="T5213" s="153" t="s">
        <v>186</v>
      </c>
      <c r="U5213" s="143">
        <f>U5199*1.01</f>
        <v>18447.856245427978</v>
      </c>
      <c r="V5213" s="128" t="s">
        <v>185</v>
      </c>
      <c r="W5213" s="153" t="s">
        <v>186</v>
      </c>
      <c r="X5213" s="143">
        <f>X5199*1.01</f>
        <v>45623.743815570742</v>
      </c>
      <c r="Y5213" s="128" t="s">
        <v>185</v>
      </c>
      <c r="Z5213" s="153" t="s">
        <v>186</v>
      </c>
      <c r="AA5213" s="143">
        <f>AA5199*1.01</f>
        <v>88863.407701383185</v>
      </c>
      <c r="AB5213" s="128" t="s">
        <v>185</v>
      </c>
      <c r="AC5213" s="153" t="s">
        <v>186</v>
      </c>
      <c r="AD5213" s="143">
        <f>AD5199*1.01</f>
        <v>146147.58810318151</v>
      </c>
      <c r="AE5213" s="128" t="s">
        <v>185</v>
      </c>
      <c r="AF5213" s="153" t="s">
        <v>186</v>
      </c>
      <c r="AG5213" s="143">
        <f>AG5199*1.01</f>
        <v>204983.24365771245</v>
      </c>
      <c r="AH5213" s="128" t="s">
        <v>185</v>
      </c>
      <c r="AI5213" s="153" t="s">
        <v>186</v>
      </c>
      <c r="AJ5213" s="143">
        <f>AJ5199*1.01</f>
        <v>260274.32684065745</v>
      </c>
      <c r="AK5213" s="128" t="s">
        <v>185</v>
      </c>
      <c r="AL5213" s="153" t="s">
        <v>186</v>
      </c>
      <c r="AM5213" s="143">
        <f>AM5199*1.01</f>
        <v>305192.11747524608</v>
      </c>
      <c r="AN5213" s="128" t="s">
        <v>185</v>
      </c>
      <c r="AO5213" s="153" t="s">
        <v>186</v>
      </c>
      <c r="AP5213" s="143">
        <f>AP5199*1.01</f>
        <v>340493.18511889485</v>
      </c>
      <c r="AQ5213" s="128" t="s">
        <v>185</v>
      </c>
      <c r="AR5213" s="153" t="s">
        <v>186</v>
      </c>
      <c r="AS5213" s="143">
        <f>AS5199*1.01</f>
        <v>379877.4688924051</v>
      </c>
      <c r="AT5213" s="128" t="s">
        <v>185</v>
      </c>
      <c r="AU5213" s="153" t="s">
        <v>186</v>
      </c>
    </row>
    <row r="5214" spans="13:47" ht="14" x14ac:dyDescent="0.3">
      <c r="M5214" s="12"/>
      <c r="N5214" s="12"/>
      <c r="O5214" s="20"/>
      <c r="P5214" s="20"/>
      <c r="Q5214" s="23"/>
      <c r="R5214" s="139"/>
      <c r="S5214" s="130" t="s">
        <v>228</v>
      </c>
      <c r="T5214" s="154" t="s">
        <v>187</v>
      </c>
      <c r="U5214" s="144"/>
      <c r="V5214" s="130" t="s">
        <v>228</v>
      </c>
      <c r="W5214" s="154" t="s">
        <v>187</v>
      </c>
      <c r="X5214" s="144"/>
      <c r="Y5214" s="130" t="s">
        <v>228</v>
      </c>
      <c r="Z5214" s="154" t="s">
        <v>187</v>
      </c>
      <c r="AA5214" s="144"/>
      <c r="AB5214" s="130" t="s">
        <v>228</v>
      </c>
      <c r="AC5214" s="154" t="s">
        <v>187</v>
      </c>
      <c r="AD5214" s="144"/>
      <c r="AE5214" s="130" t="s">
        <v>228</v>
      </c>
      <c r="AF5214" s="154" t="s">
        <v>187</v>
      </c>
      <c r="AG5214" s="144"/>
      <c r="AH5214" s="130" t="s">
        <v>228</v>
      </c>
      <c r="AI5214" s="154" t="s">
        <v>187</v>
      </c>
      <c r="AJ5214" s="144"/>
      <c r="AK5214" s="130" t="s">
        <v>228</v>
      </c>
      <c r="AL5214" s="154" t="s">
        <v>187</v>
      </c>
      <c r="AM5214" s="144"/>
      <c r="AN5214" s="130" t="s">
        <v>228</v>
      </c>
      <c r="AO5214" s="154" t="s">
        <v>187</v>
      </c>
      <c r="AP5214" s="144"/>
      <c r="AQ5214" s="130" t="s">
        <v>228</v>
      </c>
      <c r="AR5214" s="154" t="s">
        <v>187</v>
      </c>
      <c r="AS5214" s="144"/>
      <c r="AT5214" s="130" t="s">
        <v>228</v>
      </c>
      <c r="AU5214" s="154" t="s">
        <v>187</v>
      </c>
    </row>
    <row r="5215" spans="13:47" x14ac:dyDescent="0.25">
      <c r="M5215" s="12"/>
      <c r="N5215" s="12"/>
      <c r="O5215" s="7" t="s">
        <v>188</v>
      </c>
      <c r="P5215" s="7"/>
      <c r="Q5215" s="7"/>
      <c r="R5215" s="181">
        <f>P_1_minW-(R5213^2*R_up)+dpup_minQ</f>
        <v>-20.384274311576505</v>
      </c>
      <c r="S5215" s="132"/>
      <c r="T5215" s="145"/>
      <c r="U5215" s="138">
        <f>P_1_minW-(U5213^2*R_up)+dpup_minQ</f>
        <v>-35.18519727953354</v>
      </c>
      <c r="V5215" s="132"/>
      <c r="W5215" s="145"/>
      <c r="X5215" s="138">
        <f>P_1_minW-(X5213^2*R_up)+dpup_minQ</f>
        <v>-729.51034369216086</v>
      </c>
      <c r="Y5215" s="132"/>
      <c r="Z5215" s="145"/>
      <c r="AA5215" s="138">
        <f>P_1_minW-(AA5213^2*R_up)+dpup_minQ</f>
        <v>-3048.3818925768105</v>
      </c>
      <c r="AB5215" s="132"/>
      <c r="AC5215" s="145"/>
      <c r="AD5215" s="138">
        <f>P_1_minW-(AD5213^2*R_up)+dpup_minQ</f>
        <v>-8416.6781374006896</v>
      </c>
      <c r="AE5215" s="132"/>
      <c r="AF5215" s="145"/>
      <c r="AG5215" s="138">
        <f>P_1_minW-(AG5213^2*R_up)+dpup_minQ</f>
        <v>-16654.703971250034</v>
      </c>
      <c r="AH5215" s="132"/>
      <c r="AI5215" s="145"/>
      <c r="AJ5215" s="138">
        <f>P_1_minW-(AJ5213^2*R_up)+dpup_minQ</f>
        <v>-26912.690729972572</v>
      </c>
      <c r="AK5215" s="132"/>
      <c r="AL5215" s="145"/>
      <c r="AM5215" s="138">
        <f>P_1_minW-(AM5213^2*R_up)+dpup_minQ</f>
        <v>-37041.043335232993</v>
      </c>
      <c r="AN5215" s="132"/>
      <c r="AO5215" s="145"/>
      <c r="AP5215" s="138">
        <f>P_1_minW-(AP5213^2*R_up)+dpup_minQ</f>
        <v>-46130.173621266498</v>
      </c>
      <c r="AQ5215" s="132"/>
      <c r="AR5215" s="145"/>
      <c r="AS5215" s="138">
        <f>P_1_minW-(AS5213^2*R_up)+dpup_minQ</f>
        <v>-57443.558239634855</v>
      </c>
      <c r="AT5215" s="132"/>
      <c r="AU5215" s="145"/>
    </row>
    <row r="5216" spans="13:47" x14ac:dyDescent="0.25">
      <c r="M5216" s="12"/>
      <c r="N5216" s="12"/>
      <c r="O5216" s="7" t="s">
        <v>189</v>
      </c>
      <c r="P5216" s="1"/>
      <c r="Q5216" s="7"/>
      <c r="R5216" s="181">
        <f>P_2_minW+(R5213^2*R_dn)-dpdn_minQ</f>
        <v>50</v>
      </c>
      <c r="S5216" s="132"/>
      <c r="T5216" s="146"/>
      <c r="U5216" s="138">
        <f>P_2_minW+(U5213^2*R_dn)-dpdn_minQ</f>
        <v>50</v>
      </c>
      <c r="V5216" s="132"/>
      <c r="W5216" s="146"/>
      <c r="X5216" s="138">
        <f>P_2_minW+(X5213^2*R_dn)-dpdn_minQ</f>
        <v>50</v>
      </c>
      <c r="Y5216" s="132"/>
      <c r="Z5216" s="146"/>
      <c r="AA5216" s="138">
        <f>P_2_minW+(AA5213^2*R_dn)-dpdn_minQ</f>
        <v>50</v>
      </c>
      <c r="AB5216" s="132"/>
      <c r="AC5216" s="146"/>
      <c r="AD5216" s="138">
        <f>P_2_minW+(AD5213^2*R_dn)-dpdn_minQ</f>
        <v>50</v>
      </c>
      <c r="AE5216" s="132"/>
      <c r="AF5216" s="146"/>
      <c r="AG5216" s="138">
        <f>P_2_minW+(AG5213^2*R_dn)-dpdn_minQ</f>
        <v>50</v>
      </c>
      <c r="AH5216" s="132"/>
      <c r="AI5216" s="146"/>
      <c r="AJ5216" s="138">
        <f>P_2_minW+(AJ5213^2*R_dn)-dpdn_minQ</f>
        <v>50</v>
      </c>
      <c r="AK5216" s="132"/>
      <c r="AL5216" s="146"/>
      <c r="AM5216" s="138">
        <f>P_2_minW+(AM5213^2*R_dn)-dpdn_minQ</f>
        <v>50</v>
      </c>
      <c r="AN5216" s="132"/>
      <c r="AO5216" s="146"/>
      <c r="AP5216" s="138">
        <f>P_2_minW+(AP5213^2*R_dn)-dpdn_minQ</f>
        <v>50</v>
      </c>
      <c r="AQ5216" s="132"/>
      <c r="AR5216" s="146"/>
      <c r="AS5216" s="138">
        <f>P_2_minW+(AS5213^2*R_dn)-dpdn_minQ</f>
        <v>50</v>
      </c>
      <c r="AT5216" s="132"/>
      <c r="AU5216" s="146"/>
    </row>
    <row r="5217" spans="13:47" x14ac:dyDescent="0.25">
      <c r="M5217" s="12"/>
      <c r="N5217" s="12"/>
      <c r="O5217" s="7" t="s">
        <v>234</v>
      </c>
      <c r="P5217" s="1"/>
      <c r="Q5217" s="7"/>
      <c r="R5217" s="179">
        <f>'Valve Sizing'!G$8*R5215/P_1_maxW</f>
        <v>-9.8330110082693351E-2</v>
      </c>
      <c r="S5217" s="132"/>
      <c r="T5217" s="146"/>
      <c r="U5217" s="143">
        <f>'Valve Sizing'!$G$8*U5215/P_1_maxW</f>
        <v>-0.16972712733820347</v>
      </c>
      <c r="V5217" s="132"/>
      <c r="W5217" s="146"/>
      <c r="X5217" s="143">
        <f>'Valve Sizing'!$G$8*X5215/P_1_maxW</f>
        <v>-3.5190280166596652</v>
      </c>
      <c r="Y5217" s="132"/>
      <c r="Z5217" s="146"/>
      <c r="AA5217" s="143">
        <f>'Valve Sizing'!$G$8*AA5215/P_1_maxW</f>
        <v>-14.704851518846372</v>
      </c>
      <c r="AB5217" s="132"/>
      <c r="AC5217" s="146"/>
      <c r="AD5217" s="143">
        <f>'Valve Sizing'!$G$8*AD5215/P_1_maxW</f>
        <v>-40.600556837640063</v>
      </c>
      <c r="AE5217" s="132"/>
      <c r="AF5217" s="146"/>
      <c r="AG5217" s="143">
        <f>'Valve Sizing'!$G$8*AG5215/P_1_maxW</f>
        <v>-80.339326770030624</v>
      </c>
      <c r="AH5217" s="132"/>
      <c r="AI5217" s="146"/>
      <c r="AJ5217" s="143">
        <f>'Valve Sizing'!$G$8*AJ5215/P_1_maxW</f>
        <v>-129.82202857213309</v>
      </c>
      <c r="AK5217" s="132"/>
      <c r="AL5217" s="146"/>
      <c r="AM5217" s="143">
        <f>'Valve Sizing'!$G$8*AM5215/P_1_maxW</f>
        <v>-178.67939829787278</v>
      </c>
      <c r="AN5217" s="132"/>
      <c r="AO5217" s="146"/>
      <c r="AP5217" s="143">
        <f>'Valve Sizing'!$G$8*AP5215/P_1_maxW</f>
        <v>-222.52374457779175</v>
      </c>
      <c r="AQ5217" s="132"/>
      <c r="AR5217" s="146"/>
      <c r="AS5217" s="143">
        <f>'Valve Sizing'!$G$8*AS5215/P_1_maxW</f>
        <v>-277.09749775281824</v>
      </c>
      <c r="AT5217" s="132"/>
      <c r="AU5217" s="146"/>
    </row>
    <row r="5218" spans="13:47" x14ac:dyDescent="0.25">
      <c r="M5218" s="12"/>
      <c r="N5218" s="12"/>
      <c r="O5218" s="7" t="s">
        <v>190</v>
      </c>
      <c r="P5218" s="1"/>
      <c r="Q5218" s="7"/>
      <c r="R5218" s="181">
        <f>R5215-R5216</f>
        <v>-70.384274311576505</v>
      </c>
      <c r="S5218" s="132"/>
      <c r="T5218" s="146"/>
      <c r="U5218" s="138">
        <f>U5215-U5216</f>
        <v>-85.18519727953354</v>
      </c>
      <c r="V5218" s="132"/>
      <c r="W5218" s="146"/>
      <c r="X5218" s="138">
        <f>X5215-X5216</f>
        <v>-779.51034369216086</v>
      </c>
      <c r="Y5218" s="132"/>
      <c r="Z5218" s="146"/>
      <c r="AA5218" s="138">
        <f>AA5215-AA5216</f>
        <v>-3098.3818925768105</v>
      </c>
      <c r="AB5218" s="132"/>
      <c r="AC5218" s="146"/>
      <c r="AD5218" s="138">
        <f>AD5215-AD5216</f>
        <v>-8466.6781374006896</v>
      </c>
      <c r="AE5218" s="132"/>
      <c r="AF5218" s="146"/>
      <c r="AG5218" s="138">
        <f>AG5215-AG5216</f>
        <v>-16704.703971250034</v>
      </c>
      <c r="AH5218" s="132"/>
      <c r="AI5218" s="146"/>
      <c r="AJ5218" s="138">
        <f>AJ5215-AJ5216</f>
        <v>-26962.690729972572</v>
      </c>
      <c r="AK5218" s="132"/>
      <c r="AL5218" s="146"/>
      <c r="AM5218" s="138">
        <f>AM5215-AM5216</f>
        <v>-37091.043335232993</v>
      </c>
      <c r="AN5218" s="132"/>
      <c r="AO5218" s="146"/>
      <c r="AP5218" s="138">
        <f>AP5215-AP5216</f>
        <v>-46180.173621266498</v>
      </c>
      <c r="AQ5218" s="132"/>
      <c r="AR5218" s="146"/>
      <c r="AS5218" s="138">
        <f>AS5215-AS5216</f>
        <v>-57493.558239634855</v>
      </c>
      <c r="AT5218" s="132"/>
      <c r="AU5218" s="146"/>
    </row>
    <row r="5219" spans="13:47" ht="14.5" x14ac:dyDescent="0.35">
      <c r="M5219" s="12"/>
      <c r="N5219" s="12"/>
      <c r="O5219" s="2" t="s">
        <v>191</v>
      </c>
      <c r="P5219" s="10"/>
      <c r="Q5219" s="2"/>
      <c r="R5219" s="181">
        <f>R5218/R5215</f>
        <v>3.4528712298384017</v>
      </c>
      <c r="S5219" s="132"/>
      <c r="T5219" s="146"/>
      <c r="U5219" s="138">
        <f>U5218/U5215</f>
        <v>2.421052143114852</v>
      </c>
      <c r="V5219" s="132"/>
      <c r="W5219" s="146"/>
      <c r="X5219" s="138">
        <f>X5218/X5215</f>
        <v>1.0685391241294024</v>
      </c>
      <c r="Y5219" s="132"/>
      <c r="Z5219" s="146"/>
      <c r="AA5219" s="138">
        <f>AA5218/AA5215</f>
        <v>1.0164021444038085</v>
      </c>
      <c r="AB5219" s="132"/>
      <c r="AC5219" s="146"/>
      <c r="AD5219" s="138">
        <f>AD5218/AD5215</f>
        <v>1.005940585963222</v>
      </c>
      <c r="AE5219" s="132"/>
      <c r="AF5219" s="146"/>
      <c r="AG5219" s="138">
        <f>AG5218/AG5215</f>
        <v>1.0030021548318309</v>
      </c>
      <c r="AH5219" s="132"/>
      <c r="AI5219" s="146"/>
      <c r="AJ5219" s="138">
        <f>AJ5218/AJ5215</f>
        <v>1.001857859568992</v>
      </c>
      <c r="AK5219" s="132"/>
      <c r="AL5219" s="146"/>
      <c r="AM5219" s="138">
        <f>AM5218/AM5215</f>
        <v>1.0013498539862251</v>
      </c>
      <c r="AN5219" s="132"/>
      <c r="AO5219" s="146"/>
      <c r="AP5219" s="138">
        <f>AP5218/AP5215</f>
        <v>1.0010838892654188</v>
      </c>
      <c r="AQ5219" s="132"/>
      <c r="AR5219" s="146"/>
      <c r="AS5219" s="138">
        <f>AS5218/AS5215</f>
        <v>1.0008704196176605</v>
      </c>
      <c r="AT5219" s="132"/>
      <c r="AU5219" s="146"/>
    </row>
    <row r="5220" spans="13:47" x14ac:dyDescent="0.25">
      <c r="M5220" s="12"/>
      <c r="N5220" s="12"/>
      <c r="O5220" s="2" t="s">
        <v>26</v>
      </c>
      <c r="P5220" s="7">
        <v>12</v>
      </c>
      <c r="Q5220" s="2"/>
      <c r="R5220" s="181">
        <f>1-R5219/(3*F_GAMMA*R$29)</f>
        <v>-0.79829490339550579</v>
      </c>
      <c r="S5220" s="133"/>
      <c r="T5220" s="146"/>
      <c r="U5220" s="138">
        <f>1-U5219/(3*F_GAMMA*U$29)</f>
        <v>-0.26063407792541771</v>
      </c>
      <c r="V5220" s="133"/>
      <c r="W5220" s="146"/>
      <c r="X5220" s="138">
        <f>1-X5219/(3*F_GAMMA*X$29)</f>
        <v>0.43526844984765356</v>
      </c>
      <c r="Y5220" s="133"/>
      <c r="Z5220" s="146"/>
      <c r="AA5220" s="138">
        <f>1-AA5219/(3*F_GAMMA*AA$29)</f>
        <v>0.45545782377596422</v>
      </c>
      <c r="AB5220" s="133"/>
      <c r="AC5220" s="146"/>
      <c r="AD5220" s="138">
        <f>1-AD5219/(3*F_GAMMA*AD$29)</f>
        <v>0.44628613627722324</v>
      </c>
      <c r="AE5220" s="133"/>
      <c r="AF5220" s="146"/>
      <c r="AG5220" s="138">
        <f>1-AG5219/(3*F_GAMMA*AG$29)</f>
        <v>0.41641112607831487</v>
      </c>
      <c r="AH5220" s="133"/>
      <c r="AI5220" s="146"/>
      <c r="AJ5220" s="138">
        <f>1-AJ5219/(3*F_GAMMA*AJ$29)</f>
        <v>0.3768473306348199</v>
      </c>
      <c r="AK5220" s="133"/>
      <c r="AL5220" s="146"/>
      <c r="AM5220" s="138">
        <f>1-AM5219/(3*F_GAMMA*AM$29)</f>
        <v>0.31948757914998904</v>
      </c>
      <c r="AN5220" s="133"/>
      <c r="AO5220" s="146"/>
      <c r="AP5220" s="138">
        <f>1-AP5219/(3*F_GAMMA*AP$29)</f>
        <v>0.43777947579748355</v>
      </c>
      <c r="AQ5220" s="133"/>
      <c r="AR5220" s="146"/>
      <c r="AS5220" s="138">
        <f>1-AS5219/(3*F_GAMMA*AS$29)</f>
        <v>0.14668238995435823</v>
      </c>
      <c r="AT5220" s="133"/>
      <c r="AU5220" s="146"/>
    </row>
    <row r="5221" spans="13:47" x14ac:dyDescent="0.25">
      <c r="M5221" s="12"/>
      <c r="N5221" s="12"/>
      <c r="O5221" s="2" t="s">
        <v>71</v>
      </c>
      <c r="P5221" s="85">
        <v>5</v>
      </c>
      <c r="Q5221" s="2"/>
      <c r="R5221" s="179">
        <f>R5213/((N_6*R$27*R5220)*SQRT(R5219*R5215*R5217))</f>
        <v>-131.00031812562796</v>
      </c>
      <c r="S5221" s="133"/>
      <c r="T5221" s="146"/>
      <c r="U5221" s="143">
        <f>U5213/((N_6*U$27*U5220)*SQRT(U5219*U5215*U5217))</f>
        <v>-294.28946958206831</v>
      </c>
      <c r="V5221" s="133"/>
      <c r="W5221" s="146"/>
      <c r="X5221" s="143">
        <f>X5213/((N_6*X$27*X5220)*SQRT(X5219*X5215*X5217))</f>
        <v>31.709585426705456</v>
      </c>
      <c r="Y5221" s="133"/>
      <c r="Z5221" s="146"/>
      <c r="AA5221" s="143">
        <f>AA5213/((N_6*AA$27*AA5220)*SQRT(AA5219*AA5215*AA5217))</f>
        <v>14.566215146592922</v>
      </c>
      <c r="AB5221" s="133"/>
      <c r="AC5221" s="146"/>
      <c r="AD5221" s="143">
        <f>AD5213/((N_6*AD$27*AD5220)*SQRT(AD5219*AD5215*AD5217))</f>
        <v>9.0067920353475301</v>
      </c>
      <c r="AE5221" s="133"/>
      <c r="AF5221" s="146"/>
      <c r="AG5221" s="143">
        <f>AG5213/((N_6*AG$27*AG5220)*SQRT(AG5219*AG5215*AG5217))</f>
        <v>6.9999940485359895</v>
      </c>
      <c r="AH5221" s="133"/>
      <c r="AI5221" s="146"/>
      <c r="AJ5221" s="143">
        <f>AJ5213/((N_6*AJ$27*AJ5220)*SQRT(AJ5219*AJ5215*AJ5217))</f>
        <v>6.2900597977679373</v>
      </c>
      <c r="AK5221" s="133"/>
      <c r="AL5221" s="146"/>
      <c r="AM5221" s="143">
        <f>AM5213/((N_6*AM$27*AM5220)*SQRT(AM5219*AM5215*AM5217))</f>
        <v>6.7108341876064026</v>
      </c>
      <c r="AN5221" s="133"/>
      <c r="AO5221" s="146"/>
      <c r="AP5221" s="143">
        <f>AP5213/((N_6*AP$27*AP5220)*SQRT(AP5219*AP5215*AP5217))</f>
        <v>4.9844831190796279</v>
      </c>
      <c r="AQ5221" s="133"/>
      <c r="AR5221" s="146"/>
      <c r="AS5221" s="143">
        <f>AS5213/((N_6*AS$27*AS5220)*SQRT(AS5219*AS5215*AS5217))</f>
        <v>17.515000085135647</v>
      </c>
      <c r="AT5221" s="133"/>
      <c r="AU5221" s="146"/>
    </row>
    <row r="5222" spans="13:47" x14ac:dyDescent="0.25">
      <c r="M5222" s="12"/>
      <c r="N5222" s="12"/>
      <c r="O5222" s="2" t="s">
        <v>73</v>
      </c>
      <c r="P5222" s="85">
        <v>5</v>
      </c>
      <c r="Q5222" s="2"/>
      <c r="R5222" s="179">
        <f>R5213/((N_6*R$27*0.667)*SQRT(R5223*R5215*R5217))</f>
        <v>364.16730909170877</v>
      </c>
      <c r="S5222" s="133"/>
      <c r="T5222" s="155"/>
      <c r="U5222" s="143">
        <f>U5213/((N_6*U$27*0.667)*SQRT(U5223*U5215*U5217))</f>
        <v>223.63266346548866</v>
      </c>
      <c r="V5222" s="133"/>
      <c r="W5222" s="155"/>
      <c r="X5222" s="143">
        <f>X5213/((N_6*X$27*0.667)*SQRT(X5223*X5215*X5217))</f>
        <v>26.934168450574742</v>
      </c>
      <c r="Y5222" s="133"/>
      <c r="Z5222" s="155"/>
      <c r="AA5222" s="143">
        <f>AA5213/((N_6*AA$27*0.667)*SQRT(AA5223*AA5215*AA5217))</f>
        <v>12.712923738483063</v>
      </c>
      <c r="AB5222" s="133"/>
      <c r="AC5222" s="155"/>
      <c r="AD5222" s="143">
        <f>AD5213/((N_6*AD$27*0.667)*SQRT(AD5223*AD5215*AD5217))</f>
        <v>7.7671380300529576</v>
      </c>
      <c r="AE5222" s="133"/>
      <c r="AF5222" s="155"/>
      <c r="AG5222" s="143">
        <f>AG5213/((N_6*AG$27*0.667)*SQRT(AG5223*AG5215*AG5217))</f>
        <v>5.7824021301342707</v>
      </c>
      <c r="AH5222" s="133"/>
      <c r="AI5222" s="155"/>
      <c r="AJ5222" s="143">
        <f>AJ5213/((N_6*AJ$27*0.667)*SQRT(AJ5223*AJ5215*AJ5217))</f>
        <v>4.8590597652683245</v>
      </c>
      <c r="AK5222" s="133"/>
      <c r="AL5222" s="155"/>
      <c r="AM5222" s="143">
        <f>AM5213/((N_6*AM$27*0.667)*SQRT(AM5223*AM5215*AM5217))</f>
        <v>4.5928610697887056</v>
      </c>
      <c r="AN5222" s="133"/>
      <c r="AO5222" s="155"/>
      <c r="AP5222" s="143">
        <f>AP5213/((N_6*AP$27*0.667)*SQRT(AP5223*AP5215*AP5217))</f>
        <v>4.2487743612913471</v>
      </c>
      <c r="AQ5222" s="133"/>
      <c r="AR5222" s="155"/>
      <c r="AS5222" s="143">
        <f>AS5213/((N_6*AS$27*0.667)*SQRT(AS5223*AS5215*AS5217))</f>
        <v>6.1628027664725522</v>
      </c>
      <c r="AT5222" s="133"/>
      <c r="AU5222" s="155"/>
    </row>
    <row r="5223" spans="13:47" ht="15.5" x14ac:dyDescent="0.4">
      <c r="M5223" s="12"/>
      <c r="N5223" s="12"/>
      <c r="O5223" s="2" t="s">
        <v>192</v>
      </c>
      <c r="P5223" s="85">
        <v>10</v>
      </c>
      <c r="Q5223" s="2"/>
      <c r="R5223" s="181">
        <f>F_GAMMA*R$29</f>
        <v>0.64002688015162901</v>
      </c>
      <c r="S5223" s="133"/>
      <c r="T5223" s="155"/>
      <c r="U5223" s="138">
        <f>F_GAMMA*U$29</f>
        <v>0.64016782916606918</v>
      </c>
      <c r="V5223" s="133"/>
      <c r="W5223" s="155"/>
      <c r="X5223" s="138">
        <f>F_GAMMA*X$29</f>
        <v>0.6307062319203669</v>
      </c>
      <c r="Y5223" s="133"/>
      <c r="Z5223" s="155"/>
      <c r="AA5223" s="138">
        <f>F_GAMMA*AA$29</f>
        <v>0.62217534213893466</v>
      </c>
      <c r="AB5223" s="133"/>
      <c r="AC5223" s="155"/>
      <c r="AD5223" s="138">
        <f>F_GAMMA*AD$29</f>
        <v>0.60557184969146072</v>
      </c>
      <c r="AE5223" s="133"/>
      <c r="AF5223" s="155"/>
      <c r="AG5223" s="138">
        <f>F_GAMMA*AG$29</f>
        <v>0.57289312142622573</v>
      </c>
      <c r="AH5223" s="133"/>
      <c r="AI5223" s="155"/>
      <c r="AJ5223" s="138">
        <f>F_GAMMA*AJ$29</f>
        <v>0.53590819116049981</v>
      </c>
      <c r="AK5223" s="133"/>
      <c r="AL5223" s="155"/>
      <c r="AM5223" s="138">
        <f>F_GAMMA*AM$29</f>
        <v>0.49048815926850342</v>
      </c>
      <c r="AN5223" s="133"/>
      <c r="AO5223" s="155"/>
      <c r="AP5223" s="138">
        <f>F_GAMMA*AP$29</f>
        <v>0.59352979016280105</v>
      </c>
      <c r="AQ5223" s="133"/>
      <c r="AR5223" s="155"/>
      <c r="AS5223" s="138">
        <f>F_GAMMA*AS$29</f>
        <v>0.39097221161068291</v>
      </c>
      <c r="AT5223" s="133"/>
      <c r="AU5223" s="155"/>
    </row>
    <row r="5224" spans="13:47" x14ac:dyDescent="0.25">
      <c r="M5224" s="12"/>
      <c r="N5224" s="12"/>
      <c r="O5224" s="2" t="s">
        <v>193</v>
      </c>
      <c r="P5224" s="134"/>
      <c r="Q5224" s="2"/>
      <c r="R5224" s="181">
        <f>IF(R5219&lt;R5223,R5221,R5222)</f>
        <v>364.16730909170877</v>
      </c>
      <c r="S5224" s="133"/>
      <c r="T5224" s="155"/>
      <c r="U5224" s="138">
        <f>IF(U5219&lt;U5223,U5221,U5222)</f>
        <v>223.63266346548866</v>
      </c>
      <c r="V5224" s="133"/>
      <c r="W5224" s="155"/>
      <c r="X5224" s="138">
        <f>IF(X5219&lt;X5223,X5221,X5222)</f>
        <v>26.934168450574742</v>
      </c>
      <c r="Y5224" s="133"/>
      <c r="Z5224" s="155"/>
      <c r="AA5224" s="138">
        <f>IF(AA5219&lt;AA5223,AA5221,AA5222)</f>
        <v>12.712923738483063</v>
      </c>
      <c r="AB5224" s="133"/>
      <c r="AC5224" s="155"/>
      <c r="AD5224" s="138">
        <f>IF(AD5219&lt;AD5223,AD5221,AD5222)</f>
        <v>7.7671380300529576</v>
      </c>
      <c r="AE5224" s="133"/>
      <c r="AF5224" s="155"/>
      <c r="AG5224" s="138">
        <f>IF(AG5219&lt;AG5223,AG5221,AG5222)</f>
        <v>5.7824021301342707</v>
      </c>
      <c r="AH5224" s="133"/>
      <c r="AI5224" s="155"/>
      <c r="AJ5224" s="138">
        <f>IF(AJ5219&lt;AJ5223,AJ5221,AJ5222)</f>
        <v>4.8590597652683245</v>
      </c>
      <c r="AK5224" s="133"/>
      <c r="AL5224" s="155"/>
      <c r="AM5224" s="138">
        <f>IF(AM5219&lt;AM5223,AM5221,AM5222)</f>
        <v>4.5928610697887056</v>
      </c>
      <c r="AN5224" s="133"/>
      <c r="AO5224" s="155"/>
      <c r="AP5224" s="138">
        <f>IF(AP5219&lt;AP5223,AP5221,AP5222)</f>
        <v>4.2487743612913471</v>
      </c>
      <c r="AQ5224" s="133"/>
      <c r="AR5224" s="155"/>
      <c r="AS5224" s="138">
        <f>IF(AS5219&lt;AS5223,AS5221,AS5222)</f>
        <v>6.1628027664725522</v>
      </c>
      <c r="AT5224" s="133"/>
      <c r="AU5224" s="155"/>
    </row>
    <row r="5225" spans="13:47" ht="13" x14ac:dyDescent="0.3">
      <c r="M5225" s="12"/>
      <c r="N5225" s="12"/>
      <c r="O5225" s="9" t="s">
        <v>194</v>
      </c>
      <c r="P5225" s="1"/>
      <c r="Q5225" s="1"/>
      <c r="R5225" s="135"/>
      <c r="S5225" s="132">
        <f>IF(R5218&lt;=0,W_max,ABS(R$23-R5224))</f>
        <v>7174</v>
      </c>
      <c r="T5225" s="151">
        <f>R5213</f>
        <v>17412.817110608456</v>
      </c>
      <c r="U5225" s="135"/>
      <c r="V5225" s="132">
        <f>IF(U5218&lt;=0,W_max,ABS(U$23-U5224))</f>
        <v>7174</v>
      </c>
      <c r="W5225" s="151">
        <f>U5213</f>
        <v>18447.856245427978</v>
      </c>
      <c r="X5225" s="135"/>
      <c r="Y5225" s="132">
        <f>IF(X5218&lt;=0,W_max,ABS(X$23-X5224))</f>
        <v>7174</v>
      </c>
      <c r="Z5225" s="151">
        <f>X5213</f>
        <v>45623.743815570742</v>
      </c>
      <c r="AA5225" s="135"/>
      <c r="AB5225" s="132">
        <f>IF(AA5218&lt;=0,W_max,ABS(AA$23-AA5224))</f>
        <v>7174</v>
      </c>
      <c r="AC5225" s="151">
        <f>AA5213</f>
        <v>88863.407701383185</v>
      </c>
      <c r="AD5225" s="135"/>
      <c r="AE5225" s="132">
        <f>IF(AD5218&lt;=0,W_max,ABS(AD$23-AD5224))</f>
        <v>7174</v>
      </c>
      <c r="AF5225" s="151">
        <f>AD5213</f>
        <v>146147.58810318151</v>
      </c>
      <c r="AG5225" s="135"/>
      <c r="AH5225" s="132">
        <f>IF(AG5218&lt;=0,W_max,ABS(AG$23-AG5224))</f>
        <v>7174</v>
      </c>
      <c r="AI5225" s="151">
        <f>AG5213</f>
        <v>204983.24365771245</v>
      </c>
      <c r="AJ5225" s="135"/>
      <c r="AK5225" s="132">
        <f>IF(AJ5218&lt;=0,W_max,ABS(AJ$23-AJ5224))</f>
        <v>7174</v>
      </c>
      <c r="AL5225" s="151">
        <f>AJ5213</f>
        <v>260274.32684065745</v>
      </c>
      <c r="AM5225" s="135"/>
      <c r="AN5225" s="132">
        <f>IF(AM5218&lt;=0,W_max,ABS(AM$23-AM5224))</f>
        <v>7174</v>
      </c>
      <c r="AO5225" s="151">
        <f>AM5213</f>
        <v>305192.11747524608</v>
      </c>
      <c r="AP5225" s="135"/>
      <c r="AQ5225" s="132">
        <f>IF(AP5218&lt;=0,W_max,ABS(AP$23-AP5224))</f>
        <v>7174</v>
      </c>
      <c r="AR5225" s="151">
        <f>AP5213</f>
        <v>340493.18511889485</v>
      </c>
      <c r="AS5225" s="135"/>
      <c r="AT5225" s="132">
        <f>IF(AS5218&lt;=0,W_max,ABS(AS$23-AS5224))</f>
        <v>7174</v>
      </c>
      <c r="AU5225" s="151">
        <f>AS5213</f>
        <v>379877.4688924051</v>
      </c>
    </row>
    <row r="5226" spans="13:47" ht="13" x14ac:dyDescent="0.25">
      <c r="M5226" s="12"/>
      <c r="N5226" s="12"/>
      <c r="O5226" s="2"/>
      <c r="P5226" s="85"/>
      <c r="Q5226" s="2"/>
      <c r="R5226" s="18"/>
      <c r="S5226" s="150"/>
      <c r="T5226" s="152"/>
      <c r="U5226" s="157"/>
      <c r="V5226" s="1"/>
      <c r="W5226" s="147"/>
      <c r="X5226" s="157"/>
      <c r="Y5226" s="1"/>
      <c r="Z5226" s="147"/>
      <c r="AA5226" s="157"/>
      <c r="AB5226" s="1"/>
      <c r="AC5226" s="147"/>
      <c r="AD5226" s="157"/>
      <c r="AE5226" s="1"/>
      <c r="AF5226" s="147"/>
      <c r="AG5226" s="157"/>
      <c r="AH5226" s="1"/>
      <c r="AI5226" s="147"/>
      <c r="AJ5226" s="157"/>
      <c r="AK5226" s="1"/>
      <c r="AL5226" s="147"/>
      <c r="AM5226" s="157"/>
      <c r="AN5226" s="1"/>
      <c r="AO5226" s="147"/>
      <c r="AP5226" s="157"/>
      <c r="AQ5226" s="1"/>
      <c r="AR5226" s="147"/>
      <c r="AS5226" s="157"/>
      <c r="AT5226" s="1"/>
      <c r="AU5226" s="147"/>
    </row>
    <row r="5227" spans="13:47" ht="14" x14ac:dyDescent="0.3">
      <c r="M5227" s="12"/>
      <c r="N5227" s="12"/>
      <c r="O5227" s="23" t="s">
        <v>238</v>
      </c>
      <c r="P5227" s="20"/>
      <c r="Q5227" s="20"/>
      <c r="R5227" s="181">
        <f>R5213*1.02</f>
        <v>17761.073452820627</v>
      </c>
      <c r="S5227" s="128" t="s">
        <v>185</v>
      </c>
      <c r="T5227" s="153" t="s">
        <v>186</v>
      </c>
      <c r="U5227" s="143">
        <f>U5213*1.01</f>
        <v>18632.334807882256</v>
      </c>
      <c r="V5227" s="128" t="s">
        <v>185</v>
      </c>
      <c r="W5227" s="153" t="s">
        <v>186</v>
      </c>
      <c r="X5227" s="143">
        <f>X5213*1.01</f>
        <v>46079.981253726452</v>
      </c>
      <c r="Y5227" s="128" t="s">
        <v>185</v>
      </c>
      <c r="Z5227" s="153" t="s">
        <v>186</v>
      </c>
      <c r="AA5227" s="143">
        <f>AA5213*1.01</f>
        <v>89752.041778397019</v>
      </c>
      <c r="AB5227" s="128" t="s">
        <v>185</v>
      </c>
      <c r="AC5227" s="153" t="s">
        <v>186</v>
      </c>
      <c r="AD5227" s="143">
        <f>AD5213*1.01</f>
        <v>147609.06398421334</v>
      </c>
      <c r="AE5227" s="128" t="s">
        <v>185</v>
      </c>
      <c r="AF5227" s="153" t="s">
        <v>186</v>
      </c>
      <c r="AG5227" s="143">
        <f>AG5213*1.01</f>
        <v>207033.07609428957</v>
      </c>
      <c r="AH5227" s="128" t="s">
        <v>185</v>
      </c>
      <c r="AI5227" s="153" t="s">
        <v>186</v>
      </c>
      <c r="AJ5227" s="143">
        <f>AJ5213*1.01</f>
        <v>262877.07010906405</v>
      </c>
      <c r="AK5227" s="128" t="s">
        <v>185</v>
      </c>
      <c r="AL5227" s="153" t="s">
        <v>186</v>
      </c>
      <c r="AM5227" s="143">
        <f>AM5213*1.01</f>
        <v>308244.03864999855</v>
      </c>
      <c r="AN5227" s="128" t="s">
        <v>185</v>
      </c>
      <c r="AO5227" s="153" t="s">
        <v>186</v>
      </c>
      <c r="AP5227" s="143">
        <f>AP5213*1.01</f>
        <v>343898.11697008379</v>
      </c>
      <c r="AQ5227" s="128" t="s">
        <v>185</v>
      </c>
      <c r="AR5227" s="153" t="s">
        <v>186</v>
      </c>
      <c r="AS5227" s="143">
        <f>AS5213*1.01</f>
        <v>383676.24358132918</v>
      </c>
      <c r="AT5227" s="128" t="s">
        <v>185</v>
      </c>
      <c r="AU5227" s="153" t="s">
        <v>186</v>
      </c>
    </row>
    <row r="5228" spans="13:47" ht="14" x14ac:dyDescent="0.3">
      <c r="M5228" s="12"/>
      <c r="N5228" s="12"/>
      <c r="O5228" s="20"/>
      <c r="P5228" s="20"/>
      <c r="Q5228" s="23"/>
      <c r="R5228" s="139"/>
      <c r="S5228" s="130" t="s">
        <v>228</v>
      </c>
      <c r="T5228" s="154" t="s">
        <v>187</v>
      </c>
      <c r="U5228" s="144"/>
      <c r="V5228" s="130" t="s">
        <v>228</v>
      </c>
      <c r="W5228" s="154" t="s">
        <v>187</v>
      </c>
      <c r="X5228" s="144"/>
      <c r="Y5228" s="130" t="s">
        <v>228</v>
      </c>
      <c r="Z5228" s="154" t="s">
        <v>187</v>
      </c>
      <c r="AA5228" s="144"/>
      <c r="AB5228" s="130" t="s">
        <v>228</v>
      </c>
      <c r="AC5228" s="154" t="s">
        <v>187</v>
      </c>
      <c r="AD5228" s="144"/>
      <c r="AE5228" s="130" t="s">
        <v>228</v>
      </c>
      <c r="AF5228" s="154" t="s">
        <v>187</v>
      </c>
      <c r="AG5228" s="144"/>
      <c r="AH5228" s="130" t="s">
        <v>228</v>
      </c>
      <c r="AI5228" s="154" t="s">
        <v>187</v>
      </c>
      <c r="AJ5228" s="144"/>
      <c r="AK5228" s="130" t="s">
        <v>228</v>
      </c>
      <c r="AL5228" s="154" t="s">
        <v>187</v>
      </c>
      <c r="AM5228" s="144"/>
      <c r="AN5228" s="130" t="s">
        <v>228</v>
      </c>
      <c r="AO5228" s="154" t="s">
        <v>187</v>
      </c>
      <c r="AP5228" s="144"/>
      <c r="AQ5228" s="130" t="s">
        <v>228</v>
      </c>
      <c r="AR5228" s="154" t="s">
        <v>187</v>
      </c>
      <c r="AS5228" s="144"/>
      <c r="AT5228" s="130" t="s">
        <v>228</v>
      </c>
      <c r="AU5228" s="154" t="s">
        <v>187</v>
      </c>
    </row>
    <row r="5229" spans="13:47" x14ac:dyDescent="0.25">
      <c r="M5229" s="12"/>
      <c r="N5229" s="12"/>
      <c r="O5229" s="7" t="s">
        <v>188</v>
      </c>
      <c r="P5229" s="7"/>
      <c r="Q5229" s="7"/>
      <c r="R5229" s="181">
        <f>P_1_minW-(R5227^2*R_up)+dpup_minQ</f>
        <v>-25.268919577928003</v>
      </c>
      <c r="S5229" s="132"/>
      <c r="T5229" s="145"/>
      <c r="U5229" s="138">
        <f>P_1_minW-(U5227^2*R_up)+dpup_minQ</f>
        <v>-37.912927758260352</v>
      </c>
      <c r="V5229" s="132"/>
      <c r="W5229" s="145"/>
      <c r="X5229" s="138">
        <f>P_1_minW-(X5227^2*R_up)+dpup_minQ</f>
        <v>-746.19400961378153</v>
      </c>
      <c r="Y5229" s="132"/>
      <c r="Z5229" s="145"/>
      <c r="AA5229" s="138">
        <f>P_1_minW-(AA5227^2*R_up)+dpup_minQ</f>
        <v>-3111.6748766310129</v>
      </c>
      <c r="AB5229" s="132"/>
      <c r="AC5229" s="145"/>
      <c r="AD5229" s="138">
        <f>P_1_minW-(AD5227^2*R_up)+dpup_minQ</f>
        <v>-8587.8738759758526</v>
      </c>
      <c r="AE5229" s="132"/>
      <c r="AF5229" s="145"/>
      <c r="AG5229" s="138">
        <f>P_1_minW-(AG5227^2*R_up)+dpup_minQ</f>
        <v>-16991.484029085565</v>
      </c>
      <c r="AH5229" s="132"/>
      <c r="AI5229" s="145"/>
      <c r="AJ5229" s="138">
        <f>P_1_minW-(AJ5227^2*R_up)+dpup_minQ</f>
        <v>-27455.656321658433</v>
      </c>
      <c r="AK5229" s="132"/>
      <c r="AL5229" s="145"/>
      <c r="AM5229" s="138">
        <f>P_1_minW-(AM5227^2*R_up)+dpup_minQ</f>
        <v>-37787.588814284587</v>
      </c>
      <c r="AN5229" s="132"/>
      <c r="AO5229" s="145"/>
      <c r="AP5229" s="138">
        <f>P_1_minW-(AP5227^2*R_up)+dpup_minQ</f>
        <v>-47059.410619067356</v>
      </c>
      <c r="AQ5229" s="132"/>
      <c r="AR5229" s="145"/>
      <c r="AS5229" s="138">
        <f>P_1_minW-(AS5227^2*R_up)+dpup_minQ</f>
        <v>-58600.194268264931</v>
      </c>
      <c r="AT5229" s="132"/>
      <c r="AU5229" s="145"/>
    </row>
    <row r="5230" spans="13:47" x14ac:dyDescent="0.25">
      <c r="M5230" s="12"/>
      <c r="N5230" s="12"/>
      <c r="O5230" s="7" t="s">
        <v>189</v>
      </c>
      <c r="P5230" s="1"/>
      <c r="Q5230" s="7"/>
      <c r="R5230" s="181">
        <f>P_2_minW+(R5227^2*R_dn)-dpdn_minQ</f>
        <v>50</v>
      </c>
      <c r="S5230" s="132"/>
      <c r="T5230" s="146"/>
      <c r="U5230" s="138">
        <f>P_2_minW+(U5227^2*R_dn)-dpdn_minQ</f>
        <v>50</v>
      </c>
      <c r="V5230" s="132"/>
      <c r="W5230" s="146"/>
      <c r="X5230" s="138">
        <f>P_2_minW+(X5227^2*R_dn)-dpdn_minQ</f>
        <v>50</v>
      </c>
      <c r="Y5230" s="132"/>
      <c r="Z5230" s="146"/>
      <c r="AA5230" s="138">
        <f>P_2_minW+(AA5227^2*R_dn)-dpdn_minQ</f>
        <v>50</v>
      </c>
      <c r="AB5230" s="132"/>
      <c r="AC5230" s="146"/>
      <c r="AD5230" s="138">
        <f>P_2_minW+(AD5227^2*R_dn)-dpdn_minQ</f>
        <v>50</v>
      </c>
      <c r="AE5230" s="132"/>
      <c r="AF5230" s="146"/>
      <c r="AG5230" s="138">
        <f>P_2_minW+(AG5227^2*R_dn)-dpdn_minQ</f>
        <v>50</v>
      </c>
      <c r="AH5230" s="132"/>
      <c r="AI5230" s="146"/>
      <c r="AJ5230" s="138">
        <f>P_2_minW+(AJ5227^2*R_dn)-dpdn_minQ</f>
        <v>50</v>
      </c>
      <c r="AK5230" s="132"/>
      <c r="AL5230" s="146"/>
      <c r="AM5230" s="138">
        <f>P_2_minW+(AM5227^2*R_dn)-dpdn_minQ</f>
        <v>50</v>
      </c>
      <c r="AN5230" s="132"/>
      <c r="AO5230" s="146"/>
      <c r="AP5230" s="138">
        <f>P_2_minW+(AP5227^2*R_dn)-dpdn_minQ</f>
        <v>50</v>
      </c>
      <c r="AQ5230" s="132"/>
      <c r="AR5230" s="146"/>
      <c r="AS5230" s="138">
        <f>P_2_minW+(AS5227^2*R_dn)-dpdn_minQ</f>
        <v>50</v>
      </c>
      <c r="AT5230" s="132"/>
      <c r="AU5230" s="146"/>
    </row>
    <row r="5231" spans="13:47" x14ac:dyDescent="0.25">
      <c r="M5231" s="12"/>
      <c r="N5231" s="12"/>
      <c r="O5231" s="7" t="s">
        <v>234</v>
      </c>
      <c r="P5231" s="1"/>
      <c r="Q5231" s="7"/>
      <c r="R5231" s="179">
        <f>'Valve Sizing'!G$8*R5229/P_1_maxW</f>
        <v>-0.12189276919008558</v>
      </c>
      <c r="S5231" s="132"/>
      <c r="T5231" s="146"/>
      <c r="U5231" s="143">
        <f>'Valve Sizing'!$G$8*U5229/P_1_maxW</f>
        <v>-0.18288521352510298</v>
      </c>
      <c r="V5231" s="132"/>
      <c r="W5231" s="146"/>
      <c r="X5231" s="143">
        <f>'Valve Sizing'!$G$8*X5229/P_1_maxW</f>
        <v>-3.5995070507219267</v>
      </c>
      <c r="Y5231" s="132"/>
      <c r="Z5231" s="146"/>
      <c r="AA5231" s="143">
        <f>'Valve Sizing'!$G$8*AA5229/P_1_maxW</f>
        <v>-15.010165605302586</v>
      </c>
      <c r="AB5231" s="132"/>
      <c r="AC5231" s="146"/>
      <c r="AD5231" s="143">
        <f>'Valve Sizing'!$G$8*AD5229/P_1_maxW</f>
        <v>-41.426374601004035</v>
      </c>
      <c r="AE5231" s="132"/>
      <c r="AF5231" s="146"/>
      <c r="AG5231" s="143">
        <f>'Valve Sizing'!$G$8*AG5229/P_1_maxW</f>
        <v>-81.963893809035625</v>
      </c>
      <c r="AH5231" s="132"/>
      <c r="AI5231" s="146"/>
      <c r="AJ5231" s="143">
        <f>'Valve Sizing'!$G$8*AJ5229/P_1_maxW</f>
        <v>-132.4411979173604</v>
      </c>
      <c r="AK5231" s="132"/>
      <c r="AL5231" s="146"/>
      <c r="AM5231" s="143">
        <f>'Valve Sizing'!$G$8*AM5229/P_1_maxW</f>
        <v>-182.28060077458744</v>
      </c>
      <c r="AN5231" s="132"/>
      <c r="AO5231" s="146"/>
      <c r="AP5231" s="143">
        <f>'Valve Sizing'!$G$8*AP5229/P_1_maxW</f>
        <v>-227.0062184147327</v>
      </c>
      <c r="AQ5231" s="132"/>
      <c r="AR5231" s="146"/>
      <c r="AS5231" s="143">
        <f>'Valve Sizing'!$G$8*AS5229/P_1_maxW</f>
        <v>-282.67690402857733</v>
      </c>
      <c r="AT5231" s="132"/>
      <c r="AU5231" s="146"/>
    </row>
    <row r="5232" spans="13:47" x14ac:dyDescent="0.25">
      <c r="M5232" s="12"/>
      <c r="N5232" s="12"/>
      <c r="O5232" s="7" t="s">
        <v>190</v>
      </c>
      <c r="P5232" s="1"/>
      <c r="Q5232" s="7"/>
      <c r="R5232" s="181">
        <f>R5229-R5230</f>
        <v>-75.268919577928003</v>
      </c>
      <c r="S5232" s="132"/>
      <c r="T5232" s="146"/>
      <c r="U5232" s="138">
        <f>U5229-U5230</f>
        <v>-87.912927758260352</v>
      </c>
      <c r="V5232" s="132"/>
      <c r="W5232" s="146"/>
      <c r="X5232" s="138">
        <f>X5229-X5230</f>
        <v>-796.19400961378153</v>
      </c>
      <c r="Y5232" s="132"/>
      <c r="Z5232" s="146"/>
      <c r="AA5232" s="138">
        <f>AA5229-AA5230</f>
        <v>-3161.6748766310129</v>
      </c>
      <c r="AB5232" s="132"/>
      <c r="AC5232" s="146"/>
      <c r="AD5232" s="138">
        <f>AD5229-AD5230</f>
        <v>-8637.8738759758526</v>
      </c>
      <c r="AE5232" s="132"/>
      <c r="AF5232" s="146"/>
      <c r="AG5232" s="138">
        <f>AG5229-AG5230</f>
        <v>-17041.484029085565</v>
      </c>
      <c r="AH5232" s="132"/>
      <c r="AI5232" s="146"/>
      <c r="AJ5232" s="138">
        <f>AJ5229-AJ5230</f>
        <v>-27505.656321658433</v>
      </c>
      <c r="AK5232" s="132"/>
      <c r="AL5232" s="146"/>
      <c r="AM5232" s="138">
        <f>AM5229-AM5230</f>
        <v>-37837.588814284587</v>
      </c>
      <c r="AN5232" s="132"/>
      <c r="AO5232" s="146"/>
      <c r="AP5232" s="138">
        <f>AP5229-AP5230</f>
        <v>-47109.410619067356</v>
      </c>
      <c r="AQ5232" s="132"/>
      <c r="AR5232" s="146"/>
      <c r="AS5232" s="138">
        <f>AS5229-AS5230</f>
        <v>-58650.194268264931</v>
      </c>
      <c r="AT5232" s="132"/>
      <c r="AU5232" s="146"/>
    </row>
    <row r="5233" spans="13:47" ht="14.5" x14ac:dyDescent="0.35">
      <c r="M5233" s="12"/>
      <c r="N5233" s="12"/>
      <c r="O5233" s="2" t="s">
        <v>191</v>
      </c>
      <c r="P5233" s="10"/>
      <c r="Q5233" s="2"/>
      <c r="R5233" s="181">
        <f>R5232/R5229</f>
        <v>2.9787153877237476</v>
      </c>
      <c r="S5233" s="132"/>
      <c r="T5233" s="146"/>
      <c r="U5233" s="138">
        <f>U5232/U5229</f>
        <v>2.3188113647885227</v>
      </c>
      <c r="V5233" s="132"/>
      <c r="W5233" s="146"/>
      <c r="X5233" s="138">
        <f>X5232/X5229</f>
        <v>1.0670067024873051</v>
      </c>
      <c r="Y5233" s="132"/>
      <c r="Z5233" s="146"/>
      <c r="AA5233" s="138">
        <f>AA5232/AA5229</f>
        <v>1.0160685167899464</v>
      </c>
      <c r="AB5233" s="132"/>
      <c r="AC5233" s="146"/>
      <c r="AD5233" s="138">
        <f>AD5232/AD5229</f>
        <v>1.0058221628219148</v>
      </c>
      <c r="AE5233" s="132"/>
      <c r="AF5233" s="146"/>
      <c r="AG5233" s="138">
        <f>AG5232/AG5229</f>
        <v>1.0029426505603873</v>
      </c>
      <c r="AH5233" s="132"/>
      <c r="AI5233" s="146"/>
      <c r="AJ5233" s="138">
        <f>AJ5232/AJ5229</f>
        <v>1.0018211183668029</v>
      </c>
      <c r="AK5233" s="132"/>
      <c r="AL5233" s="146"/>
      <c r="AM5233" s="138">
        <f>AM5232/AM5229</f>
        <v>1.0013231857752485</v>
      </c>
      <c r="AN5233" s="132"/>
      <c r="AO5233" s="146"/>
      <c r="AP5233" s="138">
        <f>AP5232/AP5229</f>
        <v>1.0010624867447817</v>
      </c>
      <c r="AQ5233" s="132"/>
      <c r="AR5233" s="146"/>
      <c r="AS5233" s="138">
        <f>AS5232/AS5229</f>
        <v>1.0008532394921954</v>
      </c>
      <c r="AT5233" s="132"/>
      <c r="AU5233" s="146"/>
    </row>
    <row r="5234" spans="13:47" x14ac:dyDescent="0.25">
      <c r="M5234" s="12"/>
      <c r="N5234" s="12"/>
      <c r="O5234" s="2" t="s">
        <v>26</v>
      </c>
      <c r="P5234" s="7">
        <v>12</v>
      </c>
      <c r="Q5234" s="2"/>
      <c r="R5234" s="181">
        <f>1-R5233/(3*F_GAMMA*R$29)</f>
        <v>-0.55134910740939458</v>
      </c>
      <c r="S5234" s="133"/>
      <c r="T5234" s="146"/>
      <c r="U5234" s="138">
        <f>1-U5233/(3*F_GAMMA*U$29)</f>
        <v>-0.20739763290364066</v>
      </c>
      <c r="V5234" s="133"/>
      <c r="W5234" s="146"/>
      <c r="X5234" s="138">
        <f>1-X5233/(3*F_GAMMA*X$29)</f>
        <v>0.4360783470520575</v>
      </c>
      <c r="Y5234" s="133"/>
      <c r="Z5234" s="146"/>
      <c r="AA5234" s="138">
        <f>1-AA5233/(3*F_GAMMA*AA$29)</f>
        <v>0.45563656632181693</v>
      </c>
      <c r="AB5234" s="133"/>
      <c r="AC5234" s="146"/>
      <c r="AD5234" s="138">
        <f>1-AD5233/(3*F_GAMMA*AD$29)</f>
        <v>0.44635132157349466</v>
      </c>
      <c r="AE5234" s="133"/>
      <c r="AF5234" s="146"/>
      <c r="AG5234" s="138">
        <f>1-AG5233/(3*F_GAMMA*AG$29)</f>
        <v>0.41644574816820568</v>
      </c>
      <c r="AH5234" s="133"/>
      <c r="AI5234" s="146"/>
      <c r="AJ5234" s="138">
        <f>1-AJ5233/(3*F_GAMMA*AJ$29)</f>
        <v>0.37687018355552226</v>
      </c>
      <c r="AK5234" s="133"/>
      <c r="AL5234" s="146"/>
      <c r="AM5234" s="138">
        <f>1-AM5233/(3*F_GAMMA*AM$29)</f>
        <v>0.31950570273460754</v>
      </c>
      <c r="AN5234" s="133"/>
      <c r="AO5234" s="146"/>
      <c r="AP5234" s="138">
        <f>1-AP5233/(3*F_GAMMA*AP$29)</f>
        <v>0.43779149570560594</v>
      </c>
      <c r="AQ5234" s="133"/>
      <c r="AR5234" s="146"/>
      <c r="AS5234" s="138">
        <f>1-AS5233/(3*F_GAMMA*AS$29)</f>
        <v>0.14669703730861594</v>
      </c>
      <c r="AT5234" s="133"/>
      <c r="AU5234" s="146"/>
    </row>
    <row r="5235" spans="13:47" x14ac:dyDescent="0.25">
      <c r="M5235" s="12"/>
      <c r="N5235" s="12"/>
      <c r="O5235" s="2" t="s">
        <v>71</v>
      </c>
      <c r="P5235" s="85">
        <v>5</v>
      </c>
      <c r="Q5235" s="2"/>
      <c r="R5235" s="179">
        <f>R5227/((N_6*R$27*R5234)*SQRT(R5233*R5229*R5231))</f>
        <v>-168.03257056308843</v>
      </c>
      <c r="S5235" s="133"/>
      <c r="T5235" s="146"/>
      <c r="U5235" s="143">
        <f>U5227/((N_6*U$27*U5234)*SQRT(U5233*U5229*U5231))</f>
        <v>-354.21384177385499</v>
      </c>
      <c r="V5235" s="133"/>
      <c r="W5235" s="146"/>
      <c r="X5235" s="143">
        <f>X5227/((N_6*X$27*X5234)*SQRT(X5233*X5229*X5231))</f>
        <v>31.274900742649947</v>
      </c>
      <c r="Y5235" s="133"/>
      <c r="Z5235" s="146"/>
      <c r="AA5235" s="143">
        <f>AA5227/((N_6*AA$27*AA5234)*SQRT(AA5233*AA5229*AA5231))</f>
        <v>14.409341664617431</v>
      </c>
      <c r="AB5235" s="133"/>
      <c r="AC5235" s="146"/>
      <c r="AD5235" s="143">
        <f>AD5227/((N_6*AD$27*AD5234)*SQRT(AD5233*AD5229*AD5231))</f>
        <v>8.9147405174519054</v>
      </c>
      <c r="AE5235" s="133"/>
      <c r="AF5235" s="146"/>
      <c r="AG5235" s="143">
        <f>AG5227/((N_6*AG$27*AG5234)*SQRT(AG5233*AG5229*AG5231))</f>
        <v>6.9294924525691979</v>
      </c>
      <c r="AH5235" s="133"/>
      <c r="AI5235" s="146"/>
      <c r="AJ5235" s="143">
        <f>AJ5227/((N_6*AJ$27*AJ5234)*SQRT(AJ5233*AJ5229*AJ5231))</f>
        <v>6.2270602319128221</v>
      </c>
      <c r="AK5235" s="133"/>
      <c r="AL5235" s="146"/>
      <c r="AM5235" s="143">
        <f>AM5227/((N_6*AM$27*AM5234)*SQRT(AM5233*AM5229*AM5231))</f>
        <v>6.6437466027461669</v>
      </c>
      <c r="AN5235" s="133"/>
      <c r="AO5235" s="146"/>
      <c r="AP5235" s="143">
        <f>AP5227/((N_6*AP$27*AP5234)*SQRT(AP5233*AP5229*AP5231))</f>
        <v>4.9348371698976274</v>
      </c>
      <c r="AQ5235" s="133"/>
      <c r="AR5235" s="146"/>
      <c r="AS5235" s="143">
        <f>AS5227/((N_6*AS$27*AS5234)*SQRT(AS5233*AS5229*AS5231))</f>
        <v>17.339403673740634</v>
      </c>
      <c r="AT5235" s="133"/>
      <c r="AU5235" s="146"/>
    </row>
    <row r="5236" spans="13:47" x14ac:dyDescent="0.25">
      <c r="M5236" s="12"/>
      <c r="N5236" s="12"/>
      <c r="O5236" s="2" t="s">
        <v>73</v>
      </c>
      <c r="P5236" s="85">
        <v>5</v>
      </c>
      <c r="Q5236" s="2"/>
      <c r="R5236" s="179">
        <f>R5227/((N_6*R$27*0.667)*SQRT(R5237*R5229*R5231))</f>
        <v>299.64684587957396</v>
      </c>
      <c r="S5236" s="133"/>
      <c r="T5236" s="155"/>
      <c r="U5236" s="143">
        <f>U5227/((N_6*U$27*0.667)*SQRT(U5237*U5229*U5231))</f>
        <v>209.61833986221325</v>
      </c>
      <c r="V5236" s="133"/>
      <c r="W5236" s="155"/>
      <c r="X5236" s="143">
        <f>X5227/((N_6*X$27*0.667)*SQRT(X5237*X5229*X5231))</f>
        <v>26.595284567544763</v>
      </c>
      <c r="Y5236" s="133"/>
      <c r="Z5236" s="155"/>
      <c r="AA5236" s="143">
        <f>AA5227/((N_6*AA$27*0.667)*SQRT(AA5237*AA5229*AA5231))</f>
        <v>12.578880038309389</v>
      </c>
      <c r="AB5236" s="133"/>
      <c r="AC5236" s="155"/>
      <c r="AD5236" s="143">
        <f>AD5227/((N_6*AD$27*0.667)*SQRT(AD5237*AD5229*AD5231))</f>
        <v>7.6884263567150501</v>
      </c>
      <c r="AE5236" s="133"/>
      <c r="AF5236" s="155"/>
      <c r="AG5236" s="143">
        <f>AG5227/((N_6*AG$27*0.667)*SQRT(AG5237*AG5229*AG5231))</f>
        <v>5.7244698291693394</v>
      </c>
      <c r="AH5236" s="133"/>
      <c r="AI5236" s="155"/>
      <c r="AJ5236" s="143">
        <f>AJ5227/((N_6*AJ$27*0.667)*SQRT(AJ5237*AJ5229*AJ5231))</f>
        <v>4.8105962167052905</v>
      </c>
      <c r="AK5236" s="133"/>
      <c r="AL5236" s="155"/>
      <c r="AM5236" s="143">
        <f>AM5227/((N_6*AM$27*0.667)*SQRT(AM5237*AM5229*AM5231))</f>
        <v>4.5471440483384695</v>
      </c>
      <c r="AN5236" s="133"/>
      <c r="AO5236" s="155"/>
      <c r="AP5236" s="143">
        <f>AP5227/((N_6*AP$27*0.667)*SQRT(AP5237*AP5229*AP5231))</f>
        <v>4.2065266723376205</v>
      </c>
      <c r="AQ5236" s="133"/>
      <c r="AR5236" s="155"/>
      <c r="AS5236" s="143">
        <f>AS5227/((N_6*AS$27*0.667)*SQRT(AS5237*AS5229*AS5231))</f>
        <v>6.1015745305341973</v>
      </c>
      <c r="AT5236" s="133"/>
      <c r="AU5236" s="155"/>
    </row>
    <row r="5237" spans="13:47" ht="15.5" x14ac:dyDescent="0.4">
      <c r="M5237" s="12"/>
      <c r="N5237" s="12"/>
      <c r="O5237" s="2" t="s">
        <v>192</v>
      </c>
      <c r="P5237" s="85">
        <v>10</v>
      </c>
      <c r="Q5237" s="2"/>
      <c r="R5237" s="181">
        <f>F_GAMMA*R$29</f>
        <v>0.64002688015162901</v>
      </c>
      <c r="S5237" s="133"/>
      <c r="T5237" s="155"/>
      <c r="U5237" s="138">
        <f>F_GAMMA*U$29</f>
        <v>0.64016782916606918</v>
      </c>
      <c r="V5237" s="133"/>
      <c r="W5237" s="155"/>
      <c r="X5237" s="138">
        <f>F_GAMMA*X$29</f>
        <v>0.6307062319203669</v>
      </c>
      <c r="Y5237" s="133"/>
      <c r="Z5237" s="155"/>
      <c r="AA5237" s="138">
        <f>F_GAMMA*AA$29</f>
        <v>0.62217534213893466</v>
      </c>
      <c r="AB5237" s="133"/>
      <c r="AC5237" s="155"/>
      <c r="AD5237" s="138">
        <f>F_GAMMA*AD$29</f>
        <v>0.60557184969146072</v>
      </c>
      <c r="AE5237" s="133"/>
      <c r="AF5237" s="155"/>
      <c r="AG5237" s="138">
        <f>F_GAMMA*AG$29</f>
        <v>0.57289312142622573</v>
      </c>
      <c r="AH5237" s="133"/>
      <c r="AI5237" s="155"/>
      <c r="AJ5237" s="138">
        <f>F_GAMMA*AJ$29</f>
        <v>0.53590819116049981</v>
      </c>
      <c r="AK5237" s="133"/>
      <c r="AL5237" s="155"/>
      <c r="AM5237" s="138">
        <f>F_GAMMA*AM$29</f>
        <v>0.49048815926850342</v>
      </c>
      <c r="AN5237" s="133"/>
      <c r="AO5237" s="155"/>
      <c r="AP5237" s="138">
        <f>F_GAMMA*AP$29</f>
        <v>0.59352979016280105</v>
      </c>
      <c r="AQ5237" s="133"/>
      <c r="AR5237" s="155"/>
      <c r="AS5237" s="138">
        <f>F_GAMMA*AS$29</f>
        <v>0.39097221161068291</v>
      </c>
      <c r="AT5237" s="133"/>
      <c r="AU5237" s="155"/>
    </row>
    <row r="5238" spans="13:47" x14ac:dyDescent="0.25">
      <c r="M5238" s="12"/>
      <c r="N5238" s="12"/>
      <c r="O5238" s="2" t="s">
        <v>193</v>
      </c>
      <c r="P5238" s="134"/>
      <c r="Q5238" s="2"/>
      <c r="R5238" s="181">
        <f>IF(R5233&lt;R5237,R5235,R5236)</f>
        <v>299.64684587957396</v>
      </c>
      <c r="S5238" s="133"/>
      <c r="T5238" s="155"/>
      <c r="U5238" s="138">
        <f>IF(U5233&lt;U5237,U5235,U5236)</f>
        <v>209.61833986221325</v>
      </c>
      <c r="V5238" s="133"/>
      <c r="W5238" s="155"/>
      <c r="X5238" s="138">
        <f>IF(X5233&lt;X5237,X5235,X5236)</f>
        <v>26.595284567544763</v>
      </c>
      <c r="Y5238" s="133"/>
      <c r="Z5238" s="155"/>
      <c r="AA5238" s="138">
        <f>IF(AA5233&lt;AA5237,AA5235,AA5236)</f>
        <v>12.578880038309389</v>
      </c>
      <c r="AB5238" s="133"/>
      <c r="AC5238" s="155"/>
      <c r="AD5238" s="138">
        <f>IF(AD5233&lt;AD5237,AD5235,AD5236)</f>
        <v>7.6884263567150501</v>
      </c>
      <c r="AE5238" s="133"/>
      <c r="AF5238" s="155"/>
      <c r="AG5238" s="138">
        <f>IF(AG5233&lt;AG5237,AG5235,AG5236)</f>
        <v>5.7244698291693394</v>
      </c>
      <c r="AH5238" s="133"/>
      <c r="AI5238" s="155"/>
      <c r="AJ5238" s="138">
        <f>IF(AJ5233&lt;AJ5237,AJ5235,AJ5236)</f>
        <v>4.8105962167052905</v>
      </c>
      <c r="AK5238" s="133"/>
      <c r="AL5238" s="155"/>
      <c r="AM5238" s="138">
        <f>IF(AM5233&lt;AM5237,AM5235,AM5236)</f>
        <v>4.5471440483384695</v>
      </c>
      <c r="AN5238" s="133"/>
      <c r="AO5238" s="155"/>
      <c r="AP5238" s="138">
        <f>IF(AP5233&lt;AP5237,AP5235,AP5236)</f>
        <v>4.2065266723376205</v>
      </c>
      <c r="AQ5238" s="133"/>
      <c r="AR5238" s="155"/>
      <c r="AS5238" s="138">
        <f>IF(AS5233&lt;AS5237,AS5235,AS5236)</f>
        <v>6.1015745305341973</v>
      </c>
      <c r="AT5238" s="133"/>
      <c r="AU5238" s="155"/>
    </row>
    <row r="5239" spans="13:47" ht="13" x14ac:dyDescent="0.3">
      <c r="M5239" s="12"/>
      <c r="N5239" s="12"/>
      <c r="O5239" s="9" t="s">
        <v>194</v>
      </c>
      <c r="P5239" s="1"/>
      <c r="Q5239" s="1"/>
      <c r="R5239" s="135"/>
      <c r="S5239" s="132">
        <f>IF(R5232&lt;=0,W_max,ABS(R$23-R5238))</f>
        <v>7174</v>
      </c>
      <c r="T5239" s="151">
        <f>R5227</f>
        <v>17761.073452820627</v>
      </c>
      <c r="U5239" s="135"/>
      <c r="V5239" s="132">
        <f>IF(U5232&lt;=0,W_max,ABS(U$23-U5238))</f>
        <v>7174</v>
      </c>
      <c r="W5239" s="151">
        <f>U5227</f>
        <v>18632.334807882256</v>
      </c>
      <c r="X5239" s="135"/>
      <c r="Y5239" s="132">
        <f>IF(X5232&lt;=0,W_max,ABS(X$23-X5238))</f>
        <v>7174</v>
      </c>
      <c r="Z5239" s="151">
        <f>X5227</f>
        <v>46079.981253726452</v>
      </c>
      <c r="AA5239" s="135"/>
      <c r="AB5239" s="132">
        <f>IF(AA5232&lt;=0,W_max,ABS(AA$23-AA5238))</f>
        <v>7174</v>
      </c>
      <c r="AC5239" s="151">
        <f>AA5227</f>
        <v>89752.041778397019</v>
      </c>
      <c r="AD5239" s="135"/>
      <c r="AE5239" s="132">
        <f>IF(AD5232&lt;=0,W_max,ABS(AD$23-AD5238))</f>
        <v>7174</v>
      </c>
      <c r="AF5239" s="151">
        <f>AD5227</f>
        <v>147609.06398421334</v>
      </c>
      <c r="AG5239" s="135"/>
      <c r="AH5239" s="132">
        <f>IF(AG5232&lt;=0,W_max,ABS(AG$23-AG5238))</f>
        <v>7174</v>
      </c>
      <c r="AI5239" s="151">
        <f>AG5227</f>
        <v>207033.07609428957</v>
      </c>
      <c r="AJ5239" s="135"/>
      <c r="AK5239" s="132">
        <f>IF(AJ5232&lt;=0,W_max,ABS(AJ$23-AJ5238))</f>
        <v>7174</v>
      </c>
      <c r="AL5239" s="151">
        <f>AJ5227</f>
        <v>262877.07010906405</v>
      </c>
      <c r="AM5239" s="135"/>
      <c r="AN5239" s="132">
        <f>IF(AM5232&lt;=0,W_max,ABS(AM$23-AM5238))</f>
        <v>7174</v>
      </c>
      <c r="AO5239" s="151">
        <f>AM5227</f>
        <v>308244.03864999855</v>
      </c>
      <c r="AP5239" s="135"/>
      <c r="AQ5239" s="132">
        <f>IF(AP5232&lt;=0,W_max,ABS(AP$23-AP5238))</f>
        <v>7174</v>
      </c>
      <c r="AR5239" s="151">
        <f>AP5227</f>
        <v>343898.11697008379</v>
      </c>
      <c r="AS5239" s="135"/>
      <c r="AT5239" s="132">
        <f>IF(AS5232&lt;=0,W_max,ABS(AS$23-AS5238))</f>
        <v>7174</v>
      </c>
      <c r="AU5239" s="151">
        <f>AS5227</f>
        <v>383676.24358132918</v>
      </c>
    </row>
    <row r="5240" spans="13:47" ht="13" x14ac:dyDescent="0.25">
      <c r="M5240" s="12"/>
      <c r="N5240" s="12"/>
      <c r="O5240" s="2"/>
      <c r="P5240" s="85"/>
      <c r="Q5240" s="2"/>
      <c r="R5240" s="18"/>
      <c r="S5240" s="150"/>
      <c r="T5240" s="148"/>
      <c r="U5240" s="157"/>
      <c r="V5240" s="1"/>
      <c r="W5240" s="147"/>
      <c r="X5240" s="157"/>
      <c r="Y5240" s="1"/>
      <c r="Z5240" s="147"/>
      <c r="AA5240" s="157"/>
      <c r="AB5240" s="1"/>
      <c r="AC5240" s="147"/>
      <c r="AD5240" s="157"/>
      <c r="AE5240" s="1"/>
      <c r="AF5240" s="147"/>
      <c r="AG5240" s="157"/>
      <c r="AH5240" s="1"/>
      <c r="AI5240" s="147"/>
      <c r="AJ5240" s="157"/>
      <c r="AK5240" s="1"/>
      <c r="AL5240" s="147"/>
      <c r="AM5240" s="157"/>
      <c r="AN5240" s="1"/>
      <c r="AO5240" s="147"/>
      <c r="AP5240" s="157"/>
      <c r="AQ5240" s="1"/>
      <c r="AR5240" s="147"/>
      <c r="AS5240" s="157"/>
      <c r="AT5240" s="1"/>
      <c r="AU5240" s="147"/>
    </row>
    <row r="5241" spans="13:47" ht="14" x14ac:dyDescent="0.3">
      <c r="M5241" s="12"/>
      <c r="N5241" s="12"/>
      <c r="O5241" s="23" t="s">
        <v>238</v>
      </c>
      <c r="P5241" s="20"/>
      <c r="Q5241" s="20"/>
      <c r="R5241" s="181">
        <f>R5227*1.02</f>
        <v>18116.294921877041</v>
      </c>
      <c r="S5241" s="128" t="s">
        <v>185</v>
      </c>
      <c r="T5241" s="149" t="s">
        <v>186</v>
      </c>
      <c r="U5241" s="143">
        <f>U5227*1.01</f>
        <v>18818.658155961079</v>
      </c>
      <c r="V5241" s="128" t="s">
        <v>185</v>
      </c>
      <c r="W5241" s="153" t="s">
        <v>186</v>
      </c>
      <c r="X5241" s="143">
        <f>X5227*1.01</f>
        <v>46540.781066263713</v>
      </c>
      <c r="Y5241" s="128" t="s">
        <v>185</v>
      </c>
      <c r="Z5241" s="153" t="s">
        <v>186</v>
      </c>
      <c r="AA5241" s="143">
        <f>AA5227*1.01</f>
        <v>90649.562196180996</v>
      </c>
      <c r="AB5241" s="128" t="s">
        <v>185</v>
      </c>
      <c r="AC5241" s="153" t="s">
        <v>186</v>
      </c>
      <c r="AD5241" s="143">
        <f>AD5227*1.01</f>
        <v>149085.15462405546</v>
      </c>
      <c r="AE5241" s="128" t="s">
        <v>185</v>
      </c>
      <c r="AF5241" s="153" t="s">
        <v>186</v>
      </c>
      <c r="AG5241" s="143">
        <f>AG5227*1.01</f>
        <v>209103.40685523246</v>
      </c>
      <c r="AH5241" s="128" t="s">
        <v>185</v>
      </c>
      <c r="AI5241" s="153" t="s">
        <v>186</v>
      </c>
      <c r="AJ5241" s="143">
        <f>AJ5227*1.01</f>
        <v>265505.84081015468</v>
      </c>
      <c r="AK5241" s="128" t="s">
        <v>185</v>
      </c>
      <c r="AL5241" s="153" t="s">
        <v>186</v>
      </c>
      <c r="AM5241" s="143">
        <f>AM5227*1.01</f>
        <v>311326.47903649852</v>
      </c>
      <c r="AN5241" s="128" t="s">
        <v>185</v>
      </c>
      <c r="AO5241" s="153" t="s">
        <v>186</v>
      </c>
      <c r="AP5241" s="143">
        <f>AP5227*1.01</f>
        <v>347337.09813978465</v>
      </c>
      <c r="AQ5241" s="128" t="s">
        <v>185</v>
      </c>
      <c r="AR5241" s="153" t="s">
        <v>186</v>
      </c>
      <c r="AS5241" s="143">
        <f>AS5227*1.01</f>
        <v>387513.0060171425</v>
      </c>
      <c r="AT5241" s="128" t="s">
        <v>185</v>
      </c>
      <c r="AU5241" s="153" t="s">
        <v>186</v>
      </c>
    </row>
    <row r="5242" spans="13:47" ht="14" x14ac:dyDescent="0.3">
      <c r="M5242" s="12"/>
      <c r="N5242" s="12"/>
      <c r="O5242" s="20"/>
      <c r="P5242" s="20"/>
      <c r="Q5242" s="23"/>
      <c r="R5242" s="139"/>
      <c r="S5242" s="130" t="s">
        <v>228</v>
      </c>
      <c r="T5242" s="131" t="s">
        <v>187</v>
      </c>
      <c r="U5242" s="144"/>
      <c r="V5242" s="130" t="s">
        <v>228</v>
      </c>
      <c r="W5242" s="154" t="s">
        <v>187</v>
      </c>
      <c r="X5242" s="144"/>
      <c r="Y5242" s="130" t="s">
        <v>228</v>
      </c>
      <c r="Z5242" s="154" t="s">
        <v>187</v>
      </c>
      <c r="AA5242" s="144"/>
      <c r="AB5242" s="130" t="s">
        <v>228</v>
      </c>
      <c r="AC5242" s="154" t="s">
        <v>187</v>
      </c>
      <c r="AD5242" s="144"/>
      <c r="AE5242" s="130" t="s">
        <v>228</v>
      </c>
      <c r="AF5242" s="154" t="s">
        <v>187</v>
      </c>
      <c r="AG5242" s="144"/>
      <c r="AH5242" s="130" t="s">
        <v>228</v>
      </c>
      <c r="AI5242" s="154" t="s">
        <v>187</v>
      </c>
      <c r="AJ5242" s="144"/>
      <c r="AK5242" s="130" t="s">
        <v>228</v>
      </c>
      <c r="AL5242" s="154" t="s">
        <v>187</v>
      </c>
      <c r="AM5242" s="144"/>
      <c r="AN5242" s="130" t="s">
        <v>228</v>
      </c>
      <c r="AO5242" s="154" t="s">
        <v>187</v>
      </c>
      <c r="AP5242" s="144"/>
      <c r="AQ5242" s="130" t="s">
        <v>228</v>
      </c>
      <c r="AR5242" s="154" t="s">
        <v>187</v>
      </c>
      <c r="AS5242" s="144"/>
      <c r="AT5242" s="130" t="s">
        <v>228</v>
      </c>
      <c r="AU5242" s="154" t="s">
        <v>187</v>
      </c>
    </row>
    <row r="5243" spans="13:47" x14ac:dyDescent="0.25">
      <c r="M5243" s="12"/>
      <c r="N5243" s="12"/>
      <c r="O5243" s="7" t="s">
        <v>188</v>
      </c>
      <c r="P5243" s="7"/>
      <c r="Q5243" s="7"/>
      <c r="R5243" s="181">
        <f>P_1_minW-(R5241^2*R_up)+dpup_minQ</f>
        <v>-30.350904513040078</v>
      </c>
      <c r="S5243" s="132"/>
      <c r="T5243" s="145"/>
      <c r="U5243" s="138">
        <f>P_1_minW-(U5241^2*R_up)+dpup_minQ</f>
        <v>-40.695485619609585</v>
      </c>
      <c r="V5243" s="132"/>
      <c r="W5243" s="145"/>
      <c r="X5243" s="138">
        <f>P_1_minW-(X5241^2*R_up)+dpup_minQ</f>
        <v>-763.21301722042654</v>
      </c>
      <c r="Y5243" s="132"/>
      <c r="Z5243" s="145"/>
      <c r="AA5243" s="138">
        <f>P_1_minW-(AA5241^2*R_up)+dpup_minQ</f>
        <v>-3176.2400496647047</v>
      </c>
      <c r="AB5243" s="132"/>
      <c r="AC5243" s="145"/>
      <c r="AD5243" s="138">
        <f>P_1_minW-(AD5241^2*R_up)+dpup_minQ</f>
        <v>-8762.5106488963738</v>
      </c>
      <c r="AE5243" s="132"/>
      <c r="AF5243" s="145"/>
      <c r="AG5243" s="138">
        <f>P_1_minW-(AG5241^2*R_up)+dpup_minQ</f>
        <v>-17335.033366083593</v>
      </c>
      <c r="AH5243" s="132"/>
      <c r="AI5243" s="145"/>
      <c r="AJ5243" s="138">
        <f>P_1_minW-(AJ5241^2*R_up)+dpup_minQ</f>
        <v>-28009.535521737176</v>
      </c>
      <c r="AK5243" s="132"/>
      <c r="AL5243" s="145"/>
      <c r="AM5243" s="138">
        <f>P_1_minW-(AM5241^2*R_up)+dpup_minQ</f>
        <v>-38549.13985746511</v>
      </c>
      <c r="AN5243" s="132"/>
      <c r="AO5243" s="145"/>
      <c r="AP5243" s="138">
        <f>P_1_minW-(AP5241^2*R_up)+dpup_minQ</f>
        <v>-48007.325280524026</v>
      </c>
      <c r="AQ5243" s="132"/>
      <c r="AR5243" s="145"/>
      <c r="AS5243" s="138">
        <f>P_1_minW-(AS5241^2*R_up)+dpup_minQ</f>
        <v>-59780.078681070474</v>
      </c>
      <c r="AT5243" s="132"/>
      <c r="AU5243" s="145"/>
    </row>
    <row r="5244" spans="13:47" x14ac:dyDescent="0.25">
      <c r="M5244" s="12"/>
      <c r="N5244" s="12"/>
      <c r="O5244" s="7" t="s">
        <v>189</v>
      </c>
      <c r="P5244" s="1"/>
      <c r="Q5244" s="7"/>
      <c r="R5244" s="181">
        <f>P_2_minW+(R5241^2*R_dn)-dpdn_minQ</f>
        <v>50</v>
      </c>
      <c r="S5244" s="132"/>
      <c r="T5244" s="146"/>
      <c r="U5244" s="138">
        <f>P_2_minW+(U5241^2*R_dn)-dpdn_minQ</f>
        <v>50</v>
      </c>
      <c r="V5244" s="132"/>
      <c r="W5244" s="146"/>
      <c r="X5244" s="138">
        <f>P_2_minW+(X5241^2*R_dn)-dpdn_minQ</f>
        <v>50</v>
      </c>
      <c r="Y5244" s="132"/>
      <c r="Z5244" s="146"/>
      <c r="AA5244" s="138">
        <f>P_2_minW+(AA5241^2*R_dn)-dpdn_minQ</f>
        <v>50</v>
      </c>
      <c r="AB5244" s="132"/>
      <c r="AC5244" s="146"/>
      <c r="AD5244" s="138">
        <f>P_2_minW+(AD5241^2*R_dn)-dpdn_minQ</f>
        <v>50</v>
      </c>
      <c r="AE5244" s="132"/>
      <c r="AF5244" s="146"/>
      <c r="AG5244" s="138">
        <f>P_2_minW+(AG5241^2*R_dn)-dpdn_minQ</f>
        <v>50</v>
      </c>
      <c r="AH5244" s="132"/>
      <c r="AI5244" s="146"/>
      <c r="AJ5244" s="138">
        <f>P_2_minW+(AJ5241^2*R_dn)-dpdn_minQ</f>
        <v>50</v>
      </c>
      <c r="AK5244" s="132"/>
      <c r="AL5244" s="146"/>
      <c r="AM5244" s="138">
        <f>P_2_minW+(AM5241^2*R_dn)-dpdn_minQ</f>
        <v>50</v>
      </c>
      <c r="AN5244" s="132"/>
      <c r="AO5244" s="146"/>
      <c r="AP5244" s="138">
        <f>P_2_minW+(AP5241^2*R_dn)-dpdn_minQ</f>
        <v>50</v>
      </c>
      <c r="AQ5244" s="132"/>
      <c r="AR5244" s="146"/>
      <c r="AS5244" s="138">
        <f>P_2_minW+(AS5241^2*R_dn)-dpdn_minQ</f>
        <v>50</v>
      </c>
      <c r="AT5244" s="132"/>
      <c r="AU5244" s="146"/>
    </row>
    <row r="5245" spans="13:47" x14ac:dyDescent="0.25">
      <c r="M5245" s="12"/>
      <c r="N5245" s="12"/>
      <c r="O5245" s="7" t="s">
        <v>234</v>
      </c>
      <c r="P5245" s="1"/>
      <c r="Q5245" s="7"/>
      <c r="R5245" s="179">
        <f>'Valve Sizing'!G$8*R5243/P_1_maxW</f>
        <v>-0.14640735972541635</v>
      </c>
      <c r="S5245" s="132"/>
      <c r="T5245" s="146"/>
      <c r="U5245" s="143">
        <f>'Valve Sizing'!$G$8*U5243/P_1_maxW</f>
        <v>-0.19630777724435922</v>
      </c>
      <c r="V5245" s="132"/>
      <c r="W5245" s="146"/>
      <c r="X5245" s="143">
        <f>'Valve Sizing'!$G$8*X5243/P_1_maxW</f>
        <v>-3.6816037133688377</v>
      </c>
      <c r="Y5245" s="132"/>
      <c r="Z5245" s="146"/>
      <c r="AA5245" s="143">
        <f>'Valve Sizing'!$G$8*AA5243/P_1_maxW</f>
        <v>-15.321616504896571</v>
      </c>
      <c r="AB5245" s="132"/>
      <c r="AC5245" s="146"/>
      <c r="AD5245" s="143">
        <f>'Valve Sizing'!$G$8*AD5243/P_1_maxW</f>
        <v>-42.268791301411611</v>
      </c>
      <c r="AE5245" s="132"/>
      <c r="AF5245" s="146"/>
      <c r="AG5245" s="143">
        <f>'Valve Sizing'!$G$8*AG5243/P_1_maxW</f>
        <v>-83.621114645524642</v>
      </c>
      <c r="AH5245" s="132"/>
      <c r="AI5245" s="146"/>
      <c r="AJ5245" s="143">
        <f>'Valve Sizing'!$G$8*AJ5243/P_1_maxW</f>
        <v>-135.11301256642673</v>
      </c>
      <c r="AK5245" s="132"/>
      <c r="AL5245" s="146"/>
      <c r="AM5245" s="143">
        <f>'Valve Sizing'!$G$8*AM5243/P_1_maxW</f>
        <v>-185.95418742108401</v>
      </c>
      <c r="AN5245" s="132"/>
      <c r="AO5245" s="146"/>
      <c r="AP5245" s="143">
        <f>'Valve Sizing'!$G$8*AP5243/P_1_maxW</f>
        <v>-231.57878997579627</v>
      </c>
      <c r="AQ5245" s="132"/>
      <c r="AR5245" s="146"/>
      <c r="AS5245" s="143">
        <f>'Valve Sizing'!$G$8*AS5243/P_1_maxW</f>
        <v>-288.36845637047918</v>
      </c>
      <c r="AT5245" s="132"/>
      <c r="AU5245" s="146"/>
    </row>
    <row r="5246" spans="13:47" x14ac:dyDescent="0.25">
      <c r="M5246" s="12"/>
      <c r="N5246" s="12"/>
      <c r="O5246" s="7" t="s">
        <v>190</v>
      </c>
      <c r="P5246" s="1"/>
      <c r="Q5246" s="7"/>
      <c r="R5246" s="181">
        <f>R5243-R5244</f>
        <v>-80.350904513040078</v>
      </c>
      <c r="S5246" s="132"/>
      <c r="T5246" s="146"/>
      <c r="U5246" s="138">
        <f>U5243-U5244</f>
        <v>-90.695485619609585</v>
      </c>
      <c r="V5246" s="132"/>
      <c r="W5246" s="146"/>
      <c r="X5246" s="138">
        <f>X5243-X5244</f>
        <v>-813.21301722042654</v>
      </c>
      <c r="Y5246" s="132"/>
      <c r="Z5246" s="146"/>
      <c r="AA5246" s="138">
        <f>AA5243-AA5244</f>
        <v>-3226.2400496647047</v>
      </c>
      <c r="AB5246" s="132"/>
      <c r="AC5246" s="146"/>
      <c r="AD5246" s="138">
        <f>AD5243-AD5244</f>
        <v>-8812.5106488963738</v>
      </c>
      <c r="AE5246" s="132"/>
      <c r="AF5246" s="146"/>
      <c r="AG5246" s="138">
        <f>AG5243-AG5244</f>
        <v>-17385.033366083593</v>
      </c>
      <c r="AH5246" s="132"/>
      <c r="AI5246" s="146"/>
      <c r="AJ5246" s="138">
        <f>AJ5243-AJ5244</f>
        <v>-28059.535521737176</v>
      </c>
      <c r="AK5246" s="132"/>
      <c r="AL5246" s="146"/>
      <c r="AM5246" s="138">
        <f>AM5243-AM5244</f>
        <v>-38599.13985746511</v>
      </c>
      <c r="AN5246" s="132"/>
      <c r="AO5246" s="146"/>
      <c r="AP5246" s="138">
        <f>AP5243-AP5244</f>
        <v>-48057.325280524026</v>
      </c>
      <c r="AQ5246" s="132"/>
      <c r="AR5246" s="146"/>
      <c r="AS5246" s="138">
        <f>AS5243-AS5244</f>
        <v>-59830.078681070474</v>
      </c>
      <c r="AT5246" s="132"/>
      <c r="AU5246" s="146"/>
    </row>
    <row r="5247" spans="13:47" ht="14.5" x14ac:dyDescent="0.35">
      <c r="M5247" s="12"/>
      <c r="N5247" s="12"/>
      <c r="O5247" s="2" t="s">
        <v>191</v>
      </c>
      <c r="P5247" s="10"/>
      <c r="Q5247" s="2"/>
      <c r="R5247" s="181">
        <f>R5246/R5243</f>
        <v>2.6473973610413428</v>
      </c>
      <c r="S5247" s="132"/>
      <c r="T5247" s="146"/>
      <c r="U5247" s="138">
        <f>U5246/U5243</f>
        <v>2.2286375070532869</v>
      </c>
      <c r="V5247" s="132"/>
      <c r="W5247" s="146"/>
      <c r="X5247" s="138">
        <f>X5246/X5243</f>
        <v>1.065512509446048</v>
      </c>
      <c r="Y5247" s="132"/>
      <c r="Z5247" s="146"/>
      <c r="AA5247" s="138">
        <f>AA5246/AA5243</f>
        <v>1.0157418832387302</v>
      </c>
      <c r="AB5247" s="132"/>
      <c r="AC5247" s="146"/>
      <c r="AD5247" s="138">
        <f>AD5246/AD5243</f>
        <v>1.0057061271596055</v>
      </c>
      <c r="AE5247" s="132"/>
      <c r="AF5247" s="146"/>
      <c r="AG5247" s="138">
        <f>AG5246/AG5243</f>
        <v>1.0028843324927097</v>
      </c>
      <c r="AH5247" s="132"/>
      <c r="AI5247" s="146"/>
      <c r="AJ5247" s="138">
        <f>AJ5246/AJ5243</f>
        <v>1.0017851063599821</v>
      </c>
      <c r="AK5247" s="132"/>
      <c r="AL5247" s="146"/>
      <c r="AM5247" s="138">
        <f>AM5246/AM5243</f>
        <v>1.0012970458014077</v>
      </c>
      <c r="AN5247" s="132"/>
      <c r="AO5247" s="146"/>
      <c r="AP5247" s="138">
        <f>AP5246/AP5243</f>
        <v>1.0010415077221617</v>
      </c>
      <c r="AQ5247" s="132"/>
      <c r="AR5247" s="146"/>
      <c r="AS5247" s="138">
        <f>AS5246/AS5243</f>
        <v>1.0008363990329747</v>
      </c>
      <c r="AT5247" s="132"/>
      <c r="AU5247" s="146"/>
    </row>
    <row r="5248" spans="13:47" x14ac:dyDescent="0.25">
      <c r="M5248" s="12"/>
      <c r="N5248" s="12"/>
      <c r="O5248" s="2" t="s">
        <v>26</v>
      </c>
      <c r="P5248" s="7">
        <v>12</v>
      </c>
      <c r="Q5248" s="2"/>
      <c r="R5248" s="181">
        <f>1-R5247/(3*F_GAMMA*R$29)</f>
        <v>-0.37879488249730331</v>
      </c>
      <c r="S5248" s="133"/>
      <c r="T5248" s="146"/>
      <c r="U5248" s="138">
        <f>1-U5247/(3*F_GAMMA*U$29)</f>
        <v>-0.16044439469176797</v>
      </c>
      <c r="V5248" s="133"/>
      <c r="W5248" s="146"/>
      <c r="X5248" s="138">
        <f>1-X5247/(3*F_GAMMA*X$29)</f>
        <v>0.43686804013241465</v>
      </c>
      <c r="Y5248" s="133"/>
      <c r="Z5248" s="146"/>
      <c r="AA5248" s="138">
        <f>1-AA5247/(3*F_GAMMA*AA$29)</f>
        <v>0.45581156176607729</v>
      </c>
      <c r="AB5248" s="133"/>
      <c r="AC5248" s="146"/>
      <c r="AD5248" s="138">
        <f>1-AD5247/(3*F_GAMMA*AD$29)</f>
        <v>0.44641519269650476</v>
      </c>
      <c r="AE5248" s="133"/>
      <c r="AF5248" s="146"/>
      <c r="AG5248" s="138">
        <f>1-AG5247/(3*F_GAMMA*AG$29)</f>
        <v>0.41647968007481362</v>
      </c>
      <c r="AH5248" s="133"/>
      <c r="AI5248" s="146"/>
      <c r="AJ5248" s="138">
        <f>1-AJ5247/(3*F_GAMMA*AJ$29)</f>
        <v>0.37689258291883043</v>
      </c>
      <c r="AK5248" s="133"/>
      <c r="AL5248" s="146"/>
      <c r="AM5248" s="138">
        <f>1-AM5247/(3*F_GAMMA*AM$29)</f>
        <v>0.31952346733187442</v>
      </c>
      <c r="AN5248" s="133"/>
      <c r="AO5248" s="146"/>
      <c r="AP5248" s="138">
        <f>1-AP5247/(3*F_GAMMA*AP$29)</f>
        <v>0.43780327777224504</v>
      </c>
      <c r="AQ5248" s="133"/>
      <c r="AR5248" s="146"/>
      <c r="AS5248" s="138">
        <f>1-AS5247/(3*F_GAMMA*AS$29)</f>
        <v>0.14671139507175157</v>
      </c>
      <c r="AT5248" s="133"/>
      <c r="AU5248" s="146"/>
    </row>
    <row r="5249" spans="13:47" x14ac:dyDescent="0.25">
      <c r="M5249" s="12"/>
      <c r="N5249" s="12"/>
      <c r="O5249" s="2" t="s">
        <v>71</v>
      </c>
      <c r="P5249" s="85">
        <v>5</v>
      </c>
      <c r="Q5249" s="2"/>
      <c r="R5249" s="179">
        <f>R5241/((N_6*R$27*R5248)*SQRT(R5247*R5243*R5245))</f>
        <v>-220.31100381323333</v>
      </c>
      <c r="S5249" s="133"/>
      <c r="T5249" s="146"/>
      <c r="U5249" s="143">
        <f>U5241/((N_6*U$27*U5248)*SQRT(U5247*U5243*U5245))</f>
        <v>-439.4608879114258</v>
      </c>
      <c r="V5249" s="133"/>
      <c r="W5249" s="146"/>
      <c r="X5249" s="143">
        <f>X5241/((N_6*X$27*X5248)*SQRT(X5247*X5243*X5245))</f>
        <v>30.849053872614764</v>
      </c>
      <c r="Y5249" s="133"/>
      <c r="Z5249" s="146"/>
      <c r="AA5249" s="143">
        <f>AA5241/((N_6*AA$27*AA5248)*SQRT(AA5247*AA5243*AA5245))</f>
        <v>14.254416994550443</v>
      </c>
      <c r="AB5249" s="133"/>
      <c r="AC5249" s="146"/>
      <c r="AD5249" s="143">
        <f>AD5241/((N_6*AD$27*AD5248)*SQRT(AD5247*AD5243*AD5245))</f>
        <v>8.82368692282766</v>
      </c>
      <c r="AE5249" s="133"/>
      <c r="AF5249" s="146"/>
      <c r="AG5249" s="143">
        <f>AG5241/((N_6*AG$27*AG5248)*SQRT(AG5247*AG5243*AG5245))</f>
        <v>6.8597244633317631</v>
      </c>
      <c r="AH5249" s="133"/>
      <c r="AI5249" s="146"/>
      <c r="AJ5249" s="143">
        <f>AJ5241/((N_6*AJ$27*AJ5248)*SQRT(AJ5247*AJ5243*AJ5245))</f>
        <v>6.1647058266463528</v>
      </c>
      <c r="AK5249" s="133"/>
      <c r="AL5249" s="146"/>
      <c r="AM5249" s="143">
        <f>AM5241/((N_6*AM$27*AM5248)*SQRT(AM5247*AM5243*AM5245))</f>
        <v>6.5773423126098258</v>
      </c>
      <c r="AN5249" s="133"/>
      <c r="AO5249" s="146"/>
      <c r="AP5249" s="143">
        <f>AP5241/((N_6*AP$27*AP5248)*SQRT(AP5247*AP5243*AP5245))</f>
        <v>4.8856914669576446</v>
      </c>
      <c r="AQ5249" s="133"/>
      <c r="AR5249" s="146"/>
      <c r="AS5249" s="143">
        <f>AS5241/((N_6*AS$27*AS5248)*SQRT(AS5247*AS5243*AS5245))</f>
        <v>17.16561052760818</v>
      </c>
      <c r="AT5249" s="133"/>
      <c r="AU5249" s="146"/>
    </row>
    <row r="5250" spans="13:47" x14ac:dyDescent="0.25">
      <c r="M5250" s="12"/>
      <c r="N5250" s="12"/>
      <c r="O5250" s="2" t="s">
        <v>73</v>
      </c>
      <c r="P5250" s="85">
        <v>5</v>
      </c>
      <c r="Q5250" s="2"/>
      <c r="R5250" s="179">
        <f>R5241/((N_6*R$27*0.667)*SQRT(R5251*R5243*R5245))</f>
        <v>254.46316066128236</v>
      </c>
      <c r="S5250" s="133"/>
      <c r="T5250" s="147"/>
      <c r="U5250" s="143">
        <f>U5241/((N_6*U$27*0.667)*SQRT(U5251*U5243*U5245))</f>
        <v>197.23852175620232</v>
      </c>
      <c r="V5250" s="133"/>
      <c r="W5250" s="155"/>
      <c r="X5250" s="143">
        <f>X5241/((N_6*X$27*0.667)*SQRT(X5251*X5243*X5245))</f>
        <v>26.262254437897788</v>
      </c>
      <c r="Y5250" s="133"/>
      <c r="Z5250" s="155"/>
      <c r="AA5250" s="143">
        <f>AA5241/((N_6*AA$27*0.667)*SQRT(AA5251*AA5243*AA5245))</f>
        <v>12.446414069191507</v>
      </c>
      <c r="AB5250" s="133"/>
      <c r="AC5250" s="155"/>
      <c r="AD5250" s="143">
        <f>AD5241/((N_6*AD$27*0.667)*SQRT(AD5251*AD5243*AD5245))</f>
        <v>7.6105480366130625</v>
      </c>
      <c r="AE5250" s="133"/>
      <c r="AF5250" s="155"/>
      <c r="AG5250" s="143">
        <f>AG5241/((N_6*AG$27*0.667)*SQRT(AG5251*AG5243*AG5245))</f>
        <v>5.6671312929973849</v>
      </c>
      <c r="AH5250" s="133"/>
      <c r="AI5250" s="155"/>
      <c r="AJ5250" s="143">
        <f>AJ5241/((N_6*AJ$27*0.667)*SQRT(AJ5251*AJ5243*AJ5245))</f>
        <v>4.7626229677706036</v>
      </c>
      <c r="AK5250" s="133"/>
      <c r="AL5250" s="155"/>
      <c r="AM5250" s="143">
        <f>AM5241/((N_6*AM$27*0.667)*SQRT(AM5251*AM5243*AM5245))</f>
        <v>4.5018868466427726</v>
      </c>
      <c r="AN5250" s="133"/>
      <c r="AO5250" s="155"/>
      <c r="AP5250" s="143">
        <f>AP5241/((N_6*AP$27*0.667)*SQRT(AP5251*AP5243*AP5245))</f>
        <v>4.1647026041303468</v>
      </c>
      <c r="AQ5250" s="133"/>
      <c r="AR5250" s="155"/>
      <c r="AS5250" s="143">
        <f>AS5241/((N_6*AS$27*0.667)*SQRT(AS5251*AS5243*AS5245))</f>
        <v>6.0409587161394951</v>
      </c>
      <c r="AT5250" s="133"/>
      <c r="AU5250" s="155"/>
    </row>
    <row r="5251" spans="13:47" ht="15.5" x14ac:dyDescent="0.4">
      <c r="M5251" s="12"/>
      <c r="N5251" s="12"/>
      <c r="O5251" s="2" t="s">
        <v>192</v>
      </c>
      <c r="P5251" s="85">
        <v>10</v>
      </c>
      <c r="Q5251" s="2"/>
      <c r="R5251" s="181">
        <f>F_GAMMA*R$29</f>
        <v>0.64002688015162901</v>
      </c>
      <c r="S5251" s="133"/>
      <c r="T5251" s="147"/>
      <c r="U5251" s="138">
        <f>F_GAMMA*U$29</f>
        <v>0.64016782916606918</v>
      </c>
      <c r="V5251" s="133"/>
      <c r="W5251" s="155"/>
      <c r="X5251" s="138">
        <f>F_GAMMA*X$29</f>
        <v>0.6307062319203669</v>
      </c>
      <c r="Y5251" s="133"/>
      <c r="Z5251" s="155"/>
      <c r="AA5251" s="138">
        <f>F_GAMMA*AA$29</f>
        <v>0.62217534213893466</v>
      </c>
      <c r="AB5251" s="133"/>
      <c r="AC5251" s="155"/>
      <c r="AD5251" s="138">
        <f>F_GAMMA*AD$29</f>
        <v>0.60557184969146072</v>
      </c>
      <c r="AE5251" s="133"/>
      <c r="AF5251" s="155"/>
      <c r="AG5251" s="138">
        <f>F_GAMMA*AG$29</f>
        <v>0.57289312142622573</v>
      </c>
      <c r="AH5251" s="133"/>
      <c r="AI5251" s="155"/>
      <c r="AJ5251" s="138">
        <f>F_GAMMA*AJ$29</f>
        <v>0.53590819116049981</v>
      </c>
      <c r="AK5251" s="133"/>
      <c r="AL5251" s="155"/>
      <c r="AM5251" s="138">
        <f>F_GAMMA*AM$29</f>
        <v>0.49048815926850342</v>
      </c>
      <c r="AN5251" s="133"/>
      <c r="AO5251" s="155"/>
      <c r="AP5251" s="138">
        <f>F_GAMMA*AP$29</f>
        <v>0.59352979016280105</v>
      </c>
      <c r="AQ5251" s="133"/>
      <c r="AR5251" s="155"/>
      <c r="AS5251" s="138">
        <f>F_GAMMA*AS$29</f>
        <v>0.39097221161068291</v>
      </c>
      <c r="AT5251" s="133"/>
      <c r="AU5251" s="155"/>
    </row>
    <row r="5252" spans="13:47" x14ac:dyDescent="0.25">
      <c r="M5252" s="12"/>
      <c r="N5252" s="12"/>
      <c r="O5252" s="2" t="s">
        <v>193</v>
      </c>
      <c r="P5252" s="134"/>
      <c r="Q5252" s="2"/>
      <c r="R5252" s="181">
        <f>IF(R5247&lt;R5251,R5249,R5250)</f>
        <v>254.46316066128236</v>
      </c>
      <c r="S5252" s="133"/>
      <c r="T5252" s="147"/>
      <c r="U5252" s="138">
        <f>IF(U5247&lt;U5251,U5249,U5250)</f>
        <v>197.23852175620232</v>
      </c>
      <c r="V5252" s="133"/>
      <c r="W5252" s="155"/>
      <c r="X5252" s="138">
        <f>IF(X5247&lt;X5251,X5249,X5250)</f>
        <v>26.262254437897788</v>
      </c>
      <c r="Y5252" s="133"/>
      <c r="Z5252" s="155"/>
      <c r="AA5252" s="138">
        <f>IF(AA5247&lt;AA5251,AA5249,AA5250)</f>
        <v>12.446414069191507</v>
      </c>
      <c r="AB5252" s="133"/>
      <c r="AC5252" s="155"/>
      <c r="AD5252" s="138">
        <f>IF(AD5247&lt;AD5251,AD5249,AD5250)</f>
        <v>7.6105480366130625</v>
      </c>
      <c r="AE5252" s="133"/>
      <c r="AF5252" s="155"/>
      <c r="AG5252" s="138">
        <f>IF(AG5247&lt;AG5251,AG5249,AG5250)</f>
        <v>5.6671312929973849</v>
      </c>
      <c r="AH5252" s="133"/>
      <c r="AI5252" s="155"/>
      <c r="AJ5252" s="138">
        <f>IF(AJ5247&lt;AJ5251,AJ5249,AJ5250)</f>
        <v>4.7626229677706036</v>
      </c>
      <c r="AK5252" s="133"/>
      <c r="AL5252" s="155"/>
      <c r="AM5252" s="138">
        <f>IF(AM5247&lt;AM5251,AM5249,AM5250)</f>
        <v>4.5018868466427726</v>
      </c>
      <c r="AN5252" s="133"/>
      <c r="AO5252" s="155"/>
      <c r="AP5252" s="138">
        <f>IF(AP5247&lt;AP5251,AP5249,AP5250)</f>
        <v>4.1647026041303468</v>
      </c>
      <c r="AQ5252" s="133"/>
      <c r="AR5252" s="155"/>
      <c r="AS5252" s="138">
        <f>IF(AS5247&lt;AS5251,AS5249,AS5250)</f>
        <v>6.0409587161394951</v>
      </c>
      <c r="AT5252" s="133"/>
      <c r="AU5252" s="155"/>
    </row>
    <row r="5253" spans="13:47" ht="13" x14ac:dyDescent="0.3">
      <c r="M5253" s="12"/>
      <c r="N5253" s="12"/>
      <c r="O5253" s="9" t="s">
        <v>194</v>
      </c>
      <c r="P5253" s="1"/>
      <c r="Q5253" s="1"/>
      <c r="R5253" s="135"/>
      <c r="S5253" s="132">
        <f>IF(R5246&lt;=0,W_max,ABS(R$23-R5252))</f>
        <v>7174</v>
      </c>
      <c r="T5253" s="151">
        <f>R5241</f>
        <v>18116.294921877041</v>
      </c>
      <c r="U5253" s="135"/>
      <c r="V5253" s="132">
        <f>IF(U5246&lt;=0,W_max,ABS(U$23-U5252))</f>
        <v>7174</v>
      </c>
      <c r="W5253" s="151">
        <f>U5241</f>
        <v>18818.658155961079</v>
      </c>
      <c r="X5253" s="135"/>
      <c r="Y5253" s="132">
        <f>IF(X5246&lt;=0,W_max,ABS(X$23-X5252))</f>
        <v>7174</v>
      </c>
      <c r="Z5253" s="151">
        <f>X5241</f>
        <v>46540.781066263713</v>
      </c>
      <c r="AA5253" s="135"/>
      <c r="AB5253" s="132">
        <f>IF(AA5246&lt;=0,W_max,ABS(AA$23-AA5252))</f>
        <v>7174</v>
      </c>
      <c r="AC5253" s="151">
        <f>AA5241</f>
        <v>90649.562196180996</v>
      </c>
      <c r="AD5253" s="135"/>
      <c r="AE5253" s="132">
        <f>IF(AD5246&lt;=0,W_max,ABS(AD$23-AD5252))</f>
        <v>7174</v>
      </c>
      <c r="AF5253" s="151">
        <f>AD5241</f>
        <v>149085.15462405546</v>
      </c>
      <c r="AG5253" s="135"/>
      <c r="AH5253" s="132">
        <f>IF(AG5246&lt;=0,W_max,ABS(AG$23-AG5252))</f>
        <v>7174</v>
      </c>
      <c r="AI5253" s="151">
        <f>AG5241</f>
        <v>209103.40685523246</v>
      </c>
      <c r="AJ5253" s="135"/>
      <c r="AK5253" s="132">
        <f>IF(AJ5246&lt;=0,W_max,ABS(AJ$23-AJ5252))</f>
        <v>7174</v>
      </c>
      <c r="AL5253" s="151">
        <f>AJ5241</f>
        <v>265505.84081015468</v>
      </c>
      <c r="AM5253" s="135"/>
      <c r="AN5253" s="132">
        <f>IF(AM5246&lt;=0,W_max,ABS(AM$23-AM5252))</f>
        <v>7174</v>
      </c>
      <c r="AO5253" s="151">
        <f>AM5241</f>
        <v>311326.47903649852</v>
      </c>
      <c r="AP5253" s="135"/>
      <c r="AQ5253" s="132">
        <f>IF(AP5246&lt;=0,W_max,ABS(AP$23-AP5252))</f>
        <v>7174</v>
      </c>
      <c r="AR5253" s="151">
        <f>AP5241</f>
        <v>347337.09813978465</v>
      </c>
      <c r="AS5253" s="135"/>
      <c r="AT5253" s="132">
        <f>IF(AS5246&lt;=0,W_max,ABS(AS$23-AS5252))</f>
        <v>7174</v>
      </c>
      <c r="AU5253" s="151">
        <f>AS5241</f>
        <v>387513.0060171425</v>
      </c>
    </row>
    <row r="5254" spans="13:47" ht="13" x14ac:dyDescent="0.25">
      <c r="M5254" s="12"/>
      <c r="N5254" s="12"/>
      <c r="O5254" s="12"/>
      <c r="P5254" s="12"/>
      <c r="Q5254" s="12"/>
      <c r="R5254" s="182"/>
      <c r="S5254" s="22"/>
      <c r="T5254" s="152"/>
      <c r="U5254" s="157"/>
      <c r="V5254" s="1"/>
      <c r="W5254" s="147"/>
      <c r="X5254" s="157"/>
      <c r="Y5254" s="1"/>
      <c r="Z5254" s="147"/>
      <c r="AA5254" s="157"/>
      <c r="AB5254" s="1"/>
      <c r="AC5254" s="147"/>
      <c r="AD5254" s="157"/>
      <c r="AE5254" s="1"/>
      <c r="AF5254" s="147"/>
      <c r="AG5254" s="157"/>
      <c r="AH5254" s="1"/>
      <c r="AI5254" s="147"/>
      <c r="AJ5254" s="157"/>
      <c r="AK5254" s="1"/>
      <c r="AL5254" s="147"/>
      <c r="AM5254" s="157"/>
      <c r="AN5254" s="1"/>
      <c r="AO5254" s="147"/>
      <c r="AP5254" s="157"/>
      <c r="AQ5254" s="1"/>
      <c r="AR5254" s="147"/>
      <c r="AS5254" s="157"/>
      <c r="AT5254" s="1"/>
      <c r="AU5254" s="147"/>
    </row>
    <row r="5255" spans="13:47" ht="14" x14ac:dyDescent="0.3">
      <c r="M5255" s="12"/>
      <c r="N5255" s="12"/>
      <c r="O5255" s="23" t="s">
        <v>238</v>
      </c>
      <c r="P5255" s="20"/>
      <c r="Q5255" s="20"/>
      <c r="R5255" s="18">
        <f>R5241*1.02</f>
        <v>18478.620820314583</v>
      </c>
      <c r="S5255" s="128" t="s">
        <v>185</v>
      </c>
      <c r="T5255" s="153" t="s">
        <v>186</v>
      </c>
      <c r="U5255" s="143">
        <f>U5241*1.01</f>
        <v>19006.844737520689</v>
      </c>
      <c r="V5255" s="128" t="s">
        <v>185</v>
      </c>
      <c r="W5255" s="153" t="s">
        <v>186</v>
      </c>
      <c r="X5255" s="143">
        <f>X5241*1.01</f>
        <v>47006.188876926353</v>
      </c>
      <c r="Y5255" s="128" t="s">
        <v>185</v>
      </c>
      <c r="Z5255" s="153" t="s">
        <v>186</v>
      </c>
      <c r="AA5255" s="143">
        <f>AA5241*1.01</f>
        <v>91556.057818142814</v>
      </c>
      <c r="AB5255" s="128" t="s">
        <v>185</v>
      </c>
      <c r="AC5255" s="153" t="s">
        <v>186</v>
      </c>
      <c r="AD5255" s="143">
        <f>AD5241*1.01</f>
        <v>150576.00617029602</v>
      </c>
      <c r="AE5255" s="128" t="s">
        <v>185</v>
      </c>
      <c r="AF5255" s="153" t="s">
        <v>186</v>
      </c>
      <c r="AG5255" s="143">
        <f>AG5241*1.01</f>
        <v>211194.4409237848</v>
      </c>
      <c r="AH5255" s="128" t="s">
        <v>185</v>
      </c>
      <c r="AI5255" s="153" t="s">
        <v>186</v>
      </c>
      <c r="AJ5255" s="143">
        <f>AJ5241*1.01</f>
        <v>268160.89921825624</v>
      </c>
      <c r="AK5255" s="128" t="s">
        <v>185</v>
      </c>
      <c r="AL5255" s="153" t="s">
        <v>186</v>
      </c>
      <c r="AM5255" s="143">
        <f>AM5241*1.01</f>
        <v>314439.74382686353</v>
      </c>
      <c r="AN5255" s="128" t="s">
        <v>185</v>
      </c>
      <c r="AO5255" s="153" t="s">
        <v>186</v>
      </c>
      <c r="AP5255" s="143">
        <f>AP5241*1.01</f>
        <v>350810.46912118251</v>
      </c>
      <c r="AQ5255" s="128" t="s">
        <v>185</v>
      </c>
      <c r="AR5255" s="153" t="s">
        <v>186</v>
      </c>
      <c r="AS5255" s="143">
        <f>AS5241*1.01</f>
        <v>391388.13607731392</v>
      </c>
      <c r="AT5255" s="128" t="s">
        <v>185</v>
      </c>
      <c r="AU5255" s="153" t="s">
        <v>186</v>
      </c>
    </row>
    <row r="5256" spans="13:47" ht="14" x14ac:dyDescent="0.3">
      <c r="M5256" s="12"/>
      <c r="N5256" s="12"/>
      <c r="O5256" s="20"/>
      <c r="P5256" s="20"/>
      <c r="Q5256" s="23"/>
      <c r="R5256" s="139"/>
      <c r="S5256" s="130" t="s">
        <v>228</v>
      </c>
      <c r="T5256" s="154" t="s">
        <v>187</v>
      </c>
      <c r="U5256" s="144"/>
      <c r="V5256" s="130" t="s">
        <v>228</v>
      </c>
      <c r="W5256" s="154" t="s">
        <v>187</v>
      </c>
      <c r="X5256" s="144"/>
      <c r="Y5256" s="130" t="s">
        <v>228</v>
      </c>
      <c r="Z5256" s="154" t="s">
        <v>187</v>
      </c>
      <c r="AA5256" s="144"/>
      <c r="AB5256" s="130" t="s">
        <v>228</v>
      </c>
      <c r="AC5256" s="154" t="s">
        <v>187</v>
      </c>
      <c r="AD5256" s="144"/>
      <c r="AE5256" s="130" t="s">
        <v>228</v>
      </c>
      <c r="AF5256" s="154" t="s">
        <v>187</v>
      </c>
      <c r="AG5256" s="144"/>
      <c r="AH5256" s="130" t="s">
        <v>228</v>
      </c>
      <c r="AI5256" s="154" t="s">
        <v>187</v>
      </c>
      <c r="AJ5256" s="144"/>
      <c r="AK5256" s="130" t="s">
        <v>228</v>
      </c>
      <c r="AL5256" s="154" t="s">
        <v>187</v>
      </c>
      <c r="AM5256" s="144"/>
      <c r="AN5256" s="130" t="s">
        <v>228</v>
      </c>
      <c r="AO5256" s="154" t="s">
        <v>187</v>
      </c>
      <c r="AP5256" s="144"/>
      <c r="AQ5256" s="130" t="s">
        <v>228</v>
      </c>
      <c r="AR5256" s="154" t="s">
        <v>187</v>
      </c>
      <c r="AS5256" s="144"/>
      <c r="AT5256" s="130" t="s">
        <v>228</v>
      </c>
      <c r="AU5256" s="154" t="s">
        <v>187</v>
      </c>
    </row>
    <row r="5257" spans="13:47" x14ac:dyDescent="0.25">
      <c r="M5257" s="12"/>
      <c r="N5257" s="12"/>
      <c r="O5257" s="7" t="s">
        <v>188</v>
      </c>
      <c r="P5257" s="7"/>
      <c r="Q5257" s="7"/>
      <c r="R5257" s="181">
        <f>P_1_minW-(R5255^2*R_up)+dpup_minQ</f>
        <v>-35.638201639530664</v>
      </c>
      <c r="S5257" s="132"/>
      <c r="T5257" s="145"/>
      <c r="U5257" s="138">
        <f>P_1_minW-(U5255^2*R_up)+dpup_minQ</f>
        <v>-43.533972893971921</v>
      </c>
      <c r="V5257" s="132"/>
      <c r="W5257" s="145"/>
      <c r="X5257" s="138">
        <f>P_1_minW-(X5255^2*R_up)+dpup_minQ</f>
        <v>-780.5741068799656</v>
      </c>
      <c r="Y5257" s="132"/>
      <c r="Z5257" s="145"/>
      <c r="AA5257" s="138">
        <f>P_1_minW-(AA5255^2*R_up)+dpup_minQ</f>
        <v>-3242.1029826763743</v>
      </c>
      <c r="AB5257" s="132"/>
      <c r="AC5257" s="145"/>
      <c r="AD5257" s="138">
        <f>P_1_minW-(AD5255^2*R_up)+dpup_minQ</f>
        <v>-8940.6576209526011</v>
      </c>
      <c r="AE5257" s="132"/>
      <c r="AF5257" s="145"/>
      <c r="AG5257" s="138">
        <f>P_1_minW-(AG5255^2*R_up)+dpup_minQ</f>
        <v>-17685.488044755286</v>
      </c>
      <c r="AH5257" s="132"/>
      <c r="AI5257" s="145"/>
      <c r="AJ5257" s="138">
        <f>P_1_minW-(AJ5255^2*R_up)+dpup_minQ</f>
        <v>-28574.547693737502</v>
      </c>
      <c r="AK5257" s="132"/>
      <c r="AL5257" s="145"/>
      <c r="AM5257" s="138">
        <f>P_1_minW-(AM5255^2*R_up)+dpup_minQ</f>
        <v>-39325.998076613578</v>
      </c>
      <c r="AN5257" s="132"/>
      <c r="AO5257" s="145"/>
      <c r="AP5257" s="138">
        <f>P_1_minW-(AP5255^2*R_up)+dpup_minQ</f>
        <v>-48974.293026675972</v>
      </c>
      <c r="AQ5257" s="132"/>
      <c r="AR5257" s="145"/>
      <c r="AS5257" s="138">
        <f>P_1_minW-(AS5255^2*R_up)+dpup_minQ</f>
        <v>-60983.678770573395</v>
      </c>
      <c r="AT5257" s="132"/>
      <c r="AU5257" s="145"/>
    </row>
    <row r="5258" spans="13:47" x14ac:dyDescent="0.25">
      <c r="M5258" s="12"/>
      <c r="N5258" s="12"/>
      <c r="O5258" s="7" t="s">
        <v>189</v>
      </c>
      <c r="P5258" s="1"/>
      <c r="Q5258" s="7"/>
      <c r="R5258" s="181">
        <f>P_2_minW+(R5255^2*R_dn)-dpdn_minQ</f>
        <v>50</v>
      </c>
      <c r="S5258" s="132"/>
      <c r="T5258" s="146"/>
      <c r="U5258" s="138">
        <f>P_2_minW+(U5255^2*R_dn)-dpdn_minQ</f>
        <v>50</v>
      </c>
      <c r="V5258" s="132"/>
      <c r="W5258" s="146"/>
      <c r="X5258" s="138">
        <f>P_2_minW+(X5255^2*R_dn)-dpdn_minQ</f>
        <v>50</v>
      </c>
      <c r="Y5258" s="132"/>
      <c r="Z5258" s="146"/>
      <c r="AA5258" s="138">
        <f>P_2_minW+(AA5255^2*R_dn)-dpdn_minQ</f>
        <v>50</v>
      </c>
      <c r="AB5258" s="132"/>
      <c r="AC5258" s="146"/>
      <c r="AD5258" s="138">
        <f>P_2_minW+(AD5255^2*R_dn)-dpdn_minQ</f>
        <v>50</v>
      </c>
      <c r="AE5258" s="132"/>
      <c r="AF5258" s="146"/>
      <c r="AG5258" s="138">
        <f>P_2_minW+(AG5255^2*R_dn)-dpdn_minQ</f>
        <v>50</v>
      </c>
      <c r="AH5258" s="132"/>
      <c r="AI5258" s="146"/>
      <c r="AJ5258" s="138">
        <f>P_2_minW+(AJ5255^2*R_dn)-dpdn_minQ</f>
        <v>50</v>
      </c>
      <c r="AK5258" s="132"/>
      <c r="AL5258" s="146"/>
      <c r="AM5258" s="138">
        <f>P_2_minW+(AM5255^2*R_dn)-dpdn_minQ</f>
        <v>50</v>
      </c>
      <c r="AN5258" s="132"/>
      <c r="AO5258" s="146"/>
      <c r="AP5258" s="138">
        <f>P_2_minW+(AP5255^2*R_dn)-dpdn_minQ</f>
        <v>50</v>
      </c>
      <c r="AQ5258" s="132"/>
      <c r="AR5258" s="146"/>
      <c r="AS5258" s="138">
        <f>P_2_minW+(AS5255^2*R_dn)-dpdn_minQ</f>
        <v>50</v>
      </c>
      <c r="AT5258" s="132"/>
      <c r="AU5258" s="146"/>
    </row>
    <row r="5259" spans="13:47" x14ac:dyDescent="0.25">
      <c r="M5259" s="12"/>
      <c r="N5259" s="12"/>
      <c r="O5259" s="7" t="s">
        <v>234</v>
      </c>
      <c r="P5259" s="1"/>
      <c r="Q5259" s="7"/>
      <c r="R5259" s="179">
        <f>'Valve Sizing'!G$8*R5257/P_1_maxW</f>
        <v>-0.17191233971837441</v>
      </c>
      <c r="S5259" s="132"/>
      <c r="T5259" s="146"/>
      <c r="U5259" s="143">
        <f>'Valve Sizing'!$G$8*U5257/P_1_maxW</f>
        <v>-0.21000013449437244</v>
      </c>
      <c r="V5259" s="132"/>
      <c r="W5259" s="146"/>
      <c r="X5259" s="143">
        <f>'Valve Sizing'!$G$8*X5257/P_1_maxW</f>
        <v>-3.7653505189349543</v>
      </c>
      <c r="Y5259" s="132"/>
      <c r="Z5259" s="146"/>
      <c r="AA5259" s="143">
        <f>'Valve Sizing'!$G$8*AA5257/P_1_maxW</f>
        <v>-15.6393275675724</v>
      </c>
      <c r="AB5259" s="132"/>
      <c r="AC5259" s="146"/>
      <c r="AD5259" s="143">
        <f>'Valve Sizing'!$G$8*AD5257/P_1_maxW</f>
        <v>-43.128140577497398</v>
      </c>
      <c r="AE5259" s="132"/>
      <c r="AF5259" s="146"/>
      <c r="AG5259" s="143">
        <f>'Valve Sizing'!$G$8*AG5257/P_1_maxW</f>
        <v>-85.311645620827107</v>
      </c>
      <c r="AH5259" s="132"/>
      <c r="AI5259" s="146"/>
      <c r="AJ5259" s="143">
        <f>'Valve Sizing'!$G$8*AJ5257/P_1_maxW</f>
        <v>-137.83853068993932</v>
      </c>
      <c r="AK5259" s="132"/>
      <c r="AL5259" s="146"/>
      <c r="AM5259" s="143">
        <f>'Valve Sizing'!$G$8*AM5257/P_1_maxW</f>
        <v>-189.70161315917525</v>
      </c>
      <c r="AN5259" s="132"/>
      <c r="AO5259" s="146"/>
      <c r="AP5259" s="143">
        <f>'Valve Sizing'!$G$8*AP5257/P_1_maxW</f>
        <v>-236.24327022523721</v>
      </c>
      <c r="AQ5259" s="132"/>
      <c r="AR5259" s="146"/>
      <c r="AS5259" s="143">
        <f>'Valve Sizing'!$G$8*AS5257/P_1_maxW</f>
        <v>-294.17440891445324</v>
      </c>
      <c r="AT5259" s="132"/>
      <c r="AU5259" s="146"/>
    </row>
    <row r="5260" spans="13:47" x14ac:dyDescent="0.25">
      <c r="M5260" s="12"/>
      <c r="N5260" s="12"/>
      <c r="O5260" s="7" t="s">
        <v>190</v>
      </c>
      <c r="P5260" s="1"/>
      <c r="Q5260" s="7"/>
      <c r="R5260" s="181">
        <f>R5257-R5258</f>
        <v>-85.638201639530664</v>
      </c>
      <c r="S5260" s="132"/>
      <c r="T5260" s="146"/>
      <c r="U5260" s="138">
        <f>U5257-U5258</f>
        <v>-93.533972893971921</v>
      </c>
      <c r="V5260" s="132"/>
      <c r="W5260" s="146"/>
      <c r="X5260" s="138">
        <f>X5257-X5258</f>
        <v>-830.5741068799656</v>
      </c>
      <c r="Y5260" s="132"/>
      <c r="Z5260" s="146"/>
      <c r="AA5260" s="138">
        <f>AA5257-AA5258</f>
        <v>-3292.1029826763743</v>
      </c>
      <c r="AB5260" s="132"/>
      <c r="AC5260" s="146"/>
      <c r="AD5260" s="138">
        <f>AD5257-AD5258</f>
        <v>-8990.6576209526011</v>
      </c>
      <c r="AE5260" s="132"/>
      <c r="AF5260" s="146"/>
      <c r="AG5260" s="138">
        <f>AG5257-AG5258</f>
        <v>-17735.488044755286</v>
      </c>
      <c r="AH5260" s="132"/>
      <c r="AI5260" s="146"/>
      <c r="AJ5260" s="138">
        <f>AJ5257-AJ5258</f>
        <v>-28624.547693737502</v>
      </c>
      <c r="AK5260" s="132"/>
      <c r="AL5260" s="146"/>
      <c r="AM5260" s="138">
        <f>AM5257-AM5258</f>
        <v>-39375.998076613578</v>
      </c>
      <c r="AN5260" s="132"/>
      <c r="AO5260" s="146"/>
      <c r="AP5260" s="138">
        <f>AP5257-AP5258</f>
        <v>-49024.293026675972</v>
      </c>
      <c r="AQ5260" s="132"/>
      <c r="AR5260" s="146"/>
      <c r="AS5260" s="138">
        <f>AS5257-AS5258</f>
        <v>-61033.678770573395</v>
      </c>
      <c r="AT5260" s="132"/>
      <c r="AU5260" s="146"/>
    </row>
    <row r="5261" spans="13:47" ht="14.5" x14ac:dyDescent="0.35">
      <c r="M5261" s="12"/>
      <c r="N5261" s="12"/>
      <c r="O5261" s="2" t="s">
        <v>191</v>
      </c>
      <c r="P5261" s="10"/>
      <c r="Q5261" s="2"/>
      <c r="R5261" s="181">
        <f>R5260/R5257</f>
        <v>2.4029888630670668</v>
      </c>
      <c r="S5261" s="132"/>
      <c r="T5261" s="146"/>
      <c r="U5261" s="138">
        <f>U5260/U5257</f>
        <v>2.1485283027528008</v>
      </c>
      <c r="V5261" s="132"/>
      <c r="W5261" s="146"/>
      <c r="X5261" s="138">
        <f>X5260/X5257</f>
        <v>1.0640554171081271</v>
      </c>
      <c r="Y5261" s="132"/>
      <c r="Z5261" s="146"/>
      <c r="AA5261" s="138">
        <f>AA5260/AA5257</f>
        <v>1.0154220887699024</v>
      </c>
      <c r="AB5261" s="132"/>
      <c r="AC5261" s="146"/>
      <c r="AD5261" s="138">
        <f>AD5260/AD5257</f>
        <v>1.0055924297875833</v>
      </c>
      <c r="AE5261" s="132"/>
      <c r="AF5261" s="146"/>
      <c r="AG5261" s="138">
        <f>AG5260/AG5257</f>
        <v>1.0028271767153651</v>
      </c>
      <c r="AH5261" s="132"/>
      <c r="AI5261" s="146"/>
      <c r="AJ5261" s="138">
        <f>AJ5260/AJ5257</f>
        <v>1.0017498089746126</v>
      </c>
      <c r="AK5261" s="132"/>
      <c r="AL5261" s="146"/>
      <c r="AM5261" s="138">
        <f>AM5260/AM5257</f>
        <v>1.0012714235479183</v>
      </c>
      <c r="AN5261" s="132"/>
      <c r="AO5261" s="146"/>
      <c r="AP5261" s="138">
        <f>AP5260/AP5257</f>
        <v>1.001020943783155</v>
      </c>
      <c r="AQ5261" s="132"/>
      <c r="AR5261" s="146"/>
      <c r="AS5261" s="138">
        <f>AS5260/AS5257</f>
        <v>1.000819891502251</v>
      </c>
      <c r="AT5261" s="132"/>
      <c r="AU5261" s="146"/>
    </row>
    <row r="5262" spans="13:47" x14ac:dyDescent="0.25">
      <c r="M5262" s="12"/>
      <c r="N5262" s="12"/>
      <c r="O5262" s="2" t="s">
        <v>26</v>
      </c>
      <c r="P5262" s="7">
        <v>12</v>
      </c>
      <c r="Q5262" s="2"/>
      <c r="R5262" s="181">
        <f>1-R5261/(3*F_GAMMA*R$29)</f>
        <v>-0.25150413604387678</v>
      </c>
      <c r="S5262" s="133"/>
      <c r="T5262" s="146"/>
      <c r="U5262" s="138">
        <f>1-U5261/(3*F_GAMMA*U$29)</f>
        <v>-0.11873178920994065</v>
      </c>
      <c r="V5262" s="133"/>
      <c r="W5262" s="146"/>
      <c r="X5262" s="138">
        <f>1-X5261/(3*F_GAMMA*X$29)</f>
        <v>0.43763812519165812</v>
      </c>
      <c r="Y5262" s="133"/>
      <c r="Z5262" s="146"/>
      <c r="AA5262" s="138">
        <f>1-AA5261/(3*F_GAMMA*AA$29)</f>
        <v>0.45598289314013896</v>
      </c>
      <c r="AB5262" s="133"/>
      <c r="AC5262" s="146"/>
      <c r="AD5262" s="138">
        <f>1-AD5261/(3*F_GAMMA*AD$29)</f>
        <v>0.4464777767218796</v>
      </c>
      <c r="AE5262" s="133"/>
      <c r="AF5262" s="146"/>
      <c r="AG5262" s="138">
        <f>1-AG5261/(3*F_GAMMA*AG$29)</f>
        <v>0.41651293571198045</v>
      </c>
      <c r="AH5262" s="133"/>
      <c r="AI5262" s="146"/>
      <c r="AJ5262" s="138">
        <f>1-AJ5261/(3*F_GAMMA*AJ$29)</f>
        <v>0.37691453778967809</v>
      </c>
      <c r="AK5262" s="133"/>
      <c r="AL5262" s="146"/>
      <c r="AM5262" s="138">
        <f>1-AM5261/(3*F_GAMMA*AM$29)</f>
        <v>0.31954088008894455</v>
      </c>
      <c r="AN5262" s="133"/>
      <c r="AO5262" s="146"/>
      <c r="AP5262" s="138">
        <f>1-AP5261/(3*F_GAMMA*AP$29)</f>
        <v>0.43781482672302929</v>
      </c>
      <c r="AQ5262" s="133"/>
      <c r="AR5262" s="146"/>
      <c r="AS5262" s="138">
        <f>1-AS5261/(3*F_GAMMA*AS$29)</f>
        <v>0.14672546898820349</v>
      </c>
      <c r="AT5262" s="133"/>
      <c r="AU5262" s="146"/>
    </row>
    <row r="5263" spans="13:47" x14ac:dyDescent="0.25">
      <c r="M5263" s="12"/>
      <c r="N5263" s="12"/>
      <c r="O5263" s="2" t="s">
        <v>71</v>
      </c>
      <c r="P5263" s="85">
        <v>5</v>
      </c>
      <c r="Q5263" s="2"/>
      <c r="R5263" s="179">
        <f>R5255/((N_6*R$27*R5262)*SQRT(R5261*R5257*R5259))</f>
        <v>-302.54144513622163</v>
      </c>
      <c r="S5263" s="133"/>
      <c r="T5263" s="146"/>
      <c r="U5263" s="143">
        <f>U5255/((N_6*U$27*U5262)*SQRT(U5261*U5257*U5259))</f>
        <v>-571.03963134425271</v>
      </c>
      <c r="V5263" s="133"/>
      <c r="W5263" s="146"/>
      <c r="X5263" s="143">
        <f>X5255/((N_6*X$27*X5262)*SQRT(X5261*X5257*X5259))</f>
        <v>30.4317641339895</v>
      </c>
      <c r="Y5263" s="133"/>
      <c r="Z5263" s="146"/>
      <c r="AA5263" s="143">
        <f>AA5255/((N_6*AA$27*AA5262)*SQRT(AA5261*AA5257*AA5259))</f>
        <v>14.10140900117068</v>
      </c>
      <c r="AB5263" s="133"/>
      <c r="AC5263" s="146"/>
      <c r="AD5263" s="143">
        <f>AD5255/((N_6*AD$27*AD5262)*SQRT(AD5261*AD5257*AD5259))</f>
        <v>8.7336187293787777</v>
      </c>
      <c r="AE5263" s="133"/>
      <c r="AF5263" s="146"/>
      <c r="AG5263" s="143">
        <f>AG5255/((N_6*AG$27*AG5262)*SQRT(AG5261*AG5257*AG5259))</f>
        <v>6.7906817499235821</v>
      </c>
      <c r="AH5263" s="133"/>
      <c r="AI5263" s="146"/>
      <c r="AJ5263" s="143">
        <f>AJ5255/((N_6*AJ$27*AJ5262)*SQRT(AJ5261*AJ5257*AJ5259))</f>
        <v>6.1029895561852703</v>
      </c>
      <c r="AK5263" s="133"/>
      <c r="AL5263" s="146"/>
      <c r="AM5263" s="143">
        <f>AM5255/((N_6*AM$27*AM5262)*SQRT(AM5261*AM5257*AM5259))</f>
        <v>6.5116139849365409</v>
      </c>
      <c r="AN5263" s="133"/>
      <c r="AO5263" s="146"/>
      <c r="AP5263" s="143">
        <f>AP5255/((N_6*AP$27*AP5262)*SQRT(AP5261*AP5257*AP5259))</f>
        <v>4.8370407995871982</v>
      </c>
      <c r="AQ5263" s="133"/>
      <c r="AR5263" s="146"/>
      <c r="AS5263" s="143">
        <f>AS5255/((N_6*AS$27*AS5262)*SQRT(AS5261*AS5257*AS5259))</f>
        <v>16.993600862964797</v>
      </c>
      <c r="AT5263" s="133"/>
      <c r="AU5263" s="146"/>
    </row>
    <row r="5264" spans="13:47" x14ac:dyDescent="0.25">
      <c r="M5264" s="12"/>
      <c r="N5264" s="12"/>
      <c r="O5264" s="2" t="s">
        <v>73</v>
      </c>
      <c r="P5264" s="85">
        <v>5</v>
      </c>
      <c r="Q5264" s="2"/>
      <c r="R5264" s="179">
        <f>R5255/((N_6*R$27*0.667)*SQRT(R5265*R5257*R5259))</f>
        <v>221.04512772062094</v>
      </c>
      <c r="S5264" s="133"/>
      <c r="T5264" s="155"/>
      <c r="U5264" s="143">
        <f>U5255/((N_6*U$27*0.667)*SQRT(U5265*U5257*U5259))</f>
        <v>186.22202526208608</v>
      </c>
      <c r="V5264" s="133"/>
      <c r="W5264" s="155"/>
      <c r="X5264" s="143">
        <f>X5255/((N_6*X$27*0.667)*SQRT(X5265*X5257*X5259))</f>
        <v>25.934925607463402</v>
      </c>
      <c r="Y5264" s="133"/>
      <c r="Z5264" s="155"/>
      <c r="AA5264" s="143">
        <f>AA5255/((N_6*AA$27*0.667)*SQRT(AA5265*AA5257*AA5259))</f>
        <v>12.315502327667636</v>
      </c>
      <c r="AB5264" s="133"/>
      <c r="AC5264" s="155"/>
      <c r="AD5264" s="143">
        <f>AD5255/((N_6*AD$27*0.667)*SQRT(AD5265*AD5257*AD5259))</f>
        <v>7.5334931894786665</v>
      </c>
      <c r="AE5264" s="133"/>
      <c r="AF5264" s="155"/>
      <c r="AG5264" s="143">
        <f>AG5255/((N_6*AG$27*0.667)*SQRT(AG5265*AG5257*AG5259))</f>
        <v>5.6103800417343788</v>
      </c>
      <c r="AH5264" s="133"/>
      <c r="AI5264" s="155"/>
      <c r="AJ5264" s="143">
        <f>AJ5255/((N_6*AJ$27*0.667)*SQRT(AJ5265*AJ5257*AJ5259))</f>
        <v>4.7151348538708353</v>
      </c>
      <c r="AK5264" s="133"/>
      <c r="AL5264" s="155"/>
      <c r="AM5264" s="143">
        <f>AM5255/((N_6*AM$27*0.667)*SQRT(AM5265*AM5257*AM5259))</f>
        <v>4.4570846997698261</v>
      </c>
      <c r="AN5264" s="133"/>
      <c r="AO5264" s="155"/>
      <c r="AP5264" s="143">
        <f>AP5255/((N_6*AP$27*0.667)*SQRT(AP5265*AP5257*AP5259))</f>
        <v>4.123297805019245</v>
      </c>
      <c r="AQ5264" s="133"/>
      <c r="AR5264" s="155"/>
      <c r="AS5264" s="143">
        <f>AS5255/((N_6*AS$27*0.667)*SQRT(AS5265*AS5257*AS5259))</f>
        <v>5.9809490766489422</v>
      </c>
      <c r="AT5264" s="133"/>
      <c r="AU5264" s="155"/>
    </row>
    <row r="5265" spans="13:47" ht="15.5" x14ac:dyDescent="0.4">
      <c r="M5265" s="12"/>
      <c r="N5265" s="12"/>
      <c r="O5265" s="2" t="s">
        <v>192</v>
      </c>
      <c r="P5265" s="85">
        <v>10</v>
      </c>
      <c r="Q5265" s="2"/>
      <c r="R5265" s="181">
        <f>F_GAMMA*R$29</f>
        <v>0.64002688015162901</v>
      </c>
      <c r="S5265" s="133"/>
      <c r="T5265" s="155"/>
      <c r="U5265" s="138">
        <f>F_GAMMA*U$29</f>
        <v>0.64016782916606918</v>
      </c>
      <c r="V5265" s="133"/>
      <c r="W5265" s="155"/>
      <c r="X5265" s="138">
        <f>F_GAMMA*X$29</f>
        <v>0.6307062319203669</v>
      </c>
      <c r="Y5265" s="133"/>
      <c r="Z5265" s="155"/>
      <c r="AA5265" s="138">
        <f>F_GAMMA*AA$29</f>
        <v>0.62217534213893466</v>
      </c>
      <c r="AB5265" s="133"/>
      <c r="AC5265" s="155"/>
      <c r="AD5265" s="138">
        <f>F_GAMMA*AD$29</f>
        <v>0.60557184969146072</v>
      </c>
      <c r="AE5265" s="133"/>
      <c r="AF5265" s="155"/>
      <c r="AG5265" s="138">
        <f>F_GAMMA*AG$29</f>
        <v>0.57289312142622573</v>
      </c>
      <c r="AH5265" s="133"/>
      <c r="AI5265" s="155"/>
      <c r="AJ5265" s="138">
        <f>F_GAMMA*AJ$29</f>
        <v>0.53590819116049981</v>
      </c>
      <c r="AK5265" s="133"/>
      <c r="AL5265" s="155"/>
      <c r="AM5265" s="138">
        <f>F_GAMMA*AM$29</f>
        <v>0.49048815926850342</v>
      </c>
      <c r="AN5265" s="133"/>
      <c r="AO5265" s="155"/>
      <c r="AP5265" s="138">
        <f>F_GAMMA*AP$29</f>
        <v>0.59352979016280105</v>
      </c>
      <c r="AQ5265" s="133"/>
      <c r="AR5265" s="155"/>
      <c r="AS5265" s="138">
        <f>F_GAMMA*AS$29</f>
        <v>0.39097221161068291</v>
      </c>
      <c r="AT5265" s="133"/>
      <c r="AU5265" s="155"/>
    </row>
    <row r="5266" spans="13:47" x14ac:dyDescent="0.25">
      <c r="M5266" s="12"/>
      <c r="N5266" s="12"/>
      <c r="O5266" s="2" t="s">
        <v>193</v>
      </c>
      <c r="P5266" s="134"/>
      <c r="Q5266" s="2"/>
      <c r="R5266" s="181">
        <f>IF(R5261&lt;R5265,R5263,R5264)</f>
        <v>221.04512772062094</v>
      </c>
      <c r="S5266" s="133"/>
      <c r="T5266" s="155"/>
      <c r="U5266" s="138">
        <f>IF(U5261&lt;U5265,U5263,U5264)</f>
        <v>186.22202526208608</v>
      </c>
      <c r="V5266" s="133"/>
      <c r="W5266" s="155"/>
      <c r="X5266" s="138">
        <f>IF(X5261&lt;X5265,X5263,X5264)</f>
        <v>25.934925607463402</v>
      </c>
      <c r="Y5266" s="133"/>
      <c r="Z5266" s="155"/>
      <c r="AA5266" s="138">
        <f>IF(AA5261&lt;AA5265,AA5263,AA5264)</f>
        <v>12.315502327667636</v>
      </c>
      <c r="AB5266" s="133"/>
      <c r="AC5266" s="155"/>
      <c r="AD5266" s="138">
        <f>IF(AD5261&lt;AD5265,AD5263,AD5264)</f>
        <v>7.5334931894786665</v>
      </c>
      <c r="AE5266" s="133"/>
      <c r="AF5266" s="155"/>
      <c r="AG5266" s="138">
        <f>IF(AG5261&lt;AG5265,AG5263,AG5264)</f>
        <v>5.6103800417343788</v>
      </c>
      <c r="AH5266" s="133"/>
      <c r="AI5266" s="155"/>
      <c r="AJ5266" s="138">
        <f>IF(AJ5261&lt;AJ5265,AJ5263,AJ5264)</f>
        <v>4.7151348538708353</v>
      </c>
      <c r="AK5266" s="133"/>
      <c r="AL5266" s="155"/>
      <c r="AM5266" s="138">
        <f>IF(AM5261&lt;AM5265,AM5263,AM5264)</f>
        <v>4.4570846997698261</v>
      </c>
      <c r="AN5266" s="133"/>
      <c r="AO5266" s="155"/>
      <c r="AP5266" s="138">
        <f>IF(AP5261&lt;AP5265,AP5263,AP5264)</f>
        <v>4.123297805019245</v>
      </c>
      <c r="AQ5266" s="133"/>
      <c r="AR5266" s="155"/>
      <c r="AS5266" s="138">
        <f>IF(AS5261&lt;AS5265,AS5263,AS5264)</f>
        <v>5.9809490766489422</v>
      </c>
      <c r="AT5266" s="133"/>
      <c r="AU5266" s="155"/>
    </row>
    <row r="5267" spans="13:47" ht="13" x14ac:dyDescent="0.3">
      <c r="M5267" s="12"/>
      <c r="N5267" s="12"/>
      <c r="O5267" s="9" t="s">
        <v>194</v>
      </c>
      <c r="P5267" s="1"/>
      <c r="Q5267" s="1"/>
      <c r="R5267" s="135"/>
      <c r="S5267" s="132">
        <f>IF(R5260&lt;=0,W_max,ABS(R$23-R5266))</f>
        <v>7174</v>
      </c>
      <c r="T5267" s="151">
        <f>R5255</f>
        <v>18478.620820314583</v>
      </c>
      <c r="U5267" s="135"/>
      <c r="V5267" s="132">
        <f>IF(U5260&lt;=0,W_max,ABS(U$23-U5266))</f>
        <v>7174</v>
      </c>
      <c r="W5267" s="151">
        <f>U5255</f>
        <v>19006.844737520689</v>
      </c>
      <c r="X5267" s="135"/>
      <c r="Y5267" s="132">
        <f>IF(X5260&lt;=0,W_max,ABS(X$23-X5266))</f>
        <v>7174</v>
      </c>
      <c r="Z5267" s="151">
        <f>X5255</f>
        <v>47006.188876926353</v>
      </c>
      <c r="AA5267" s="135"/>
      <c r="AB5267" s="132">
        <f>IF(AA5260&lt;=0,W_max,ABS(AA$23-AA5266))</f>
        <v>7174</v>
      </c>
      <c r="AC5267" s="151">
        <f>AA5255</f>
        <v>91556.057818142814</v>
      </c>
      <c r="AD5267" s="135"/>
      <c r="AE5267" s="132">
        <f>IF(AD5260&lt;=0,W_max,ABS(AD$23-AD5266))</f>
        <v>7174</v>
      </c>
      <c r="AF5267" s="151">
        <f>AD5255</f>
        <v>150576.00617029602</v>
      </c>
      <c r="AG5267" s="135"/>
      <c r="AH5267" s="132">
        <f>IF(AG5260&lt;=0,W_max,ABS(AG$23-AG5266))</f>
        <v>7174</v>
      </c>
      <c r="AI5267" s="151">
        <f>AG5255</f>
        <v>211194.4409237848</v>
      </c>
      <c r="AJ5267" s="135"/>
      <c r="AK5267" s="132">
        <f>IF(AJ5260&lt;=0,W_max,ABS(AJ$23-AJ5266))</f>
        <v>7174</v>
      </c>
      <c r="AL5267" s="151">
        <f>AJ5255</f>
        <v>268160.89921825624</v>
      </c>
      <c r="AM5267" s="135"/>
      <c r="AN5267" s="132">
        <f>IF(AM5260&lt;=0,W_max,ABS(AM$23-AM5266))</f>
        <v>7174</v>
      </c>
      <c r="AO5267" s="151">
        <f>AM5255</f>
        <v>314439.74382686353</v>
      </c>
      <c r="AP5267" s="135"/>
      <c r="AQ5267" s="132">
        <f>IF(AP5260&lt;=0,W_max,ABS(AP$23-AP5266))</f>
        <v>7174</v>
      </c>
      <c r="AR5267" s="151">
        <f>AP5255</f>
        <v>350810.46912118251</v>
      </c>
      <c r="AS5267" s="135"/>
      <c r="AT5267" s="132">
        <f>IF(AS5260&lt;=0,W_max,ABS(AS$23-AS5266))</f>
        <v>7174</v>
      </c>
      <c r="AU5267" s="151">
        <f>AS5255</f>
        <v>391388.13607731392</v>
      </c>
    </row>
    <row r="5268" spans="13:47" ht="13" x14ac:dyDescent="0.25">
      <c r="M5268" s="12"/>
      <c r="N5268" s="12"/>
      <c r="O5268" s="2"/>
      <c r="P5268" s="85"/>
      <c r="Q5268" s="2"/>
      <c r="R5268" s="18"/>
      <c r="S5268" s="150"/>
      <c r="T5268" s="152"/>
      <c r="U5268" s="157"/>
      <c r="V5268" s="1"/>
      <c r="W5268" s="147"/>
      <c r="X5268" s="157"/>
      <c r="Y5268" s="1"/>
      <c r="Z5268" s="147"/>
      <c r="AA5268" s="157"/>
      <c r="AB5268" s="1"/>
      <c r="AC5268" s="147"/>
      <c r="AD5268" s="157"/>
      <c r="AE5268" s="1"/>
      <c r="AF5268" s="147"/>
      <c r="AG5268" s="157"/>
      <c r="AH5268" s="1"/>
      <c r="AI5268" s="147"/>
      <c r="AJ5268" s="157"/>
      <c r="AK5268" s="1"/>
      <c r="AL5268" s="147"/>
      <c r="AM5268" s="157"/>
      <c r="AN5268" s="1"/>
      <c r="AO5268" s="147"/>
      <c r="AP5268" s="157"/>
      <c r="AQ5268" s="1"/>
      <c r="AR5268" s="147"/>
      <c r="AS5268" s="157"/>
      <c r="AT5268" s="1"/>
      <c r="AU5268" s="147"/>
    </row>
    <row r="5269" spans="13:47" ht="14" x14ac:dyDescent="0.3">
      <c r="M5269" s="12"/>
      <c r="N5269" s="12"/>
      <c r="O5269" s="23" t="s">
        <v>238</v>
      </c>
      <c r="P5269" s="20"/>
      <c r="Q5269" s="20"/>
      <c r="R5269" s="181">
        <f>R5255*1.02</f>
        <v>18848.193236720876</v>
      </c>
      <c r="S5269" s="128" t="s">
        <v>185</v>
      </c>
      <c r="T5269" s="153" t="s">
        <v>186</v>
      </c>
      <c r="U5269" s="143">
        <f>U5255*1.01</f>
        <v>19196.913184895897</v>
      </c>
      <c r="V5269" s="128" t="s">
        <v>185</v>
      </c>
      <c r="W5269" s="153" t="s">
        <v>186</v>
      </c>
      <c r="X5269" s="143">
        <f>X5255*1.01</f>
        <v>47476.250765695615</v>
      </c>
      <c r="Y5269" s="128" t="s">
        <v>185</v>
      </c>
      <c r="Z5269" s="153" t="s">
        <v>186</v>
      </c>
      <c r="AA5269" s="143">
        <f>AA5255*1.01</f>
        <v>92471.618396324237</v>
      </c>
      <c r="AB5269" s="128" t="s">
        <v>185</v>
      </c>
      <c r="AC5269" s="153" t="s">
        <v>186</v>
      </c>
      <c r="AD5269" s="143">
        <f>AD5255*1.01</f>
        <v>152081.76623199898</v>
      </c>
      <c r="AE5269" s="128" t="s">
        <v>185</v>
      </c>
      <c r="AF5269" s="153" t="s">
        <v>186</v>
      </c>
      <c r="AG5269" s="143">
        <f>AG5255*1.01</f>
        <v>213306.38533302266</v>
      </c>
      <c r="AH5269" s="128" t="s">
        <v>185</v>
      </c>
      <c r="AI5269" s="153" t="s">
        <v>186</v>
      </c>
      <c r="AJ5269" s="143">
        <f>AJ5255*1.01</f>
        <v>270842.50821043883</v>
      </c>
      <c r="AK5269" s="128" t="s">
        <v>185</v>
      </c>
      <c r="AL5269" s="153" t="s">
        <v>186</v>
      </c>
      <c r="AM5269" s="143">
        <f>AM5255*1.01</f>
        <v>317584.14126513217</v>
      </c>
      <c r="AN5269" s="128" t="s">
        <v>185</v>
      </c>
      <c r="AO5269" s="153" t="s">
        <v>186</v>
      </c>
      <c r="AP5269" s="143">
        <f>AP5255*1.01</f>
        <v>354318.57381239434</v>
      </c>
      <c r="AQ5269" s="128" t="s">
        <v>185</v>
      </c>
      <c r="AR5269" s="153" t="s">
        <v>186</v>
      </c>
      <c r="AS5269" s="143">
        <f>AS5255*1.01</f>
        <v>395302.01743808703</v>
      </c>
      <c r="AT5269" s="128" t="s">
        <v>185</v>
      </c>
      <c r="AU5269" s="153" t="s">
        <v>186</v>
      </c>
    </row>
    <row r="5270" spans="13:47" ht="14" x14ac:dyDescent="0.3">
      <c r="M5270" s="12"/>
      <c r="N5270" s="12"/>
      <c r="O5270" s="20"/>
      <c r="P5270" s="20"/>
      <c r="Q5270" s="23"/>
      <c r="R5270" s="139"/>
      <c r="S5270" s="130" t="s">
        <v>228</v>
      </c>
      <c r="T5270" s="154" t="s">
        <v>187</v>
      </c>
      <c r="U5270" s="144"/>
      <c r="V5270" s="130" t="s">
        <v>228</v>
      </c>
      <c r="W5270" s="154" t="s">
        <v>187</v>
      </c>
      <c r="X5270" s="144"/>
      <c r="Y5270" s="130" t="s">
        <v>228</v>
      </c>
      <c r="Z5270" s="154" t="s">
        <v>187</v>
      </c>
      <c r="AA5270" s="144"/>
      <c r="AB5270" s="130" t="s">
        <v>228</v>
      </c>
      <c r="AC5270" s="154" t="s">
        <v>187</v>
      </c>
      <c r="AD5270" s="144"/>
      <c r="AE5270" s="130" t="s">
        <v>228</v>
      </c>
      <c r="AF5270" s="154" t="s">
        <v>187</v>
      </c>
      <c r="AG5270" s="144"/>
      <c r="AH5270" s="130" t="s">
        <v>228</v>
      </c>
      <c r="AI5270" s="154" t="s">
        <v>187</v>
      </c>
      <c r="AJ5270" s="144"/>
      <c r="AK5270" s="130" t="s">
        <v>228</v>
      </c>
      <c r="AL5270" s="154" t="s">
        <v>187</v>
      </c>
      <c r="AM5270" s="144"/>
      <c r="AN5270" s="130" t="s">
        <v>228</v>
      </c>
      <c r="AO5270" s="154" t="s">
        <v>187</v>
      </c>
      <c r="AP5270" s="144"/>
      <c r="AQ5270" s="130" t="s">
        <v>228</v>
      </c>
      <c r="AR5270" s="154" t="s">
        <v>187</v>
      </c>
      <c r="AS5270" s="144"/>
      <c r="AT5270" s="130" t="s">
        <v>228</v>
      </c>
      <c r="AU5270" s="154" t="s">
        <v>187</v>
      </c>
    </row>
    <row r="5271" spans="13:47" x14ac:dyDescent="0.25">
      <c r="M5271" s="12"/>
      <c r="N5271" s="12"/>
      <c r="O5271" s="7" t="s">
        <v>188</v>
      </c>
      <c r="P5271" s="7"/>
      <c r="Q5271" s="7"/>
      <c r="R5271" s="181">
        <f>P_1_minW-(R5269^2*R_up)+dpup_minQ</f>
        <v>-41.139105569931488</v>
      </c>
      <c r="S5271" s="132"/>
      <c r="T5271" s="145"/>
      <c r="U5271" s="138">
        <f>P_1_minW-(U5269^2*R_up)+dpup_minQ</f>
        <v>-46.429513762548979</v>
      </c>
      <c r="V5271" s="132"/>
      <c r="W5271" s="145"/>
      <c r="X5271" s="138">
        <f>P_1_minW-(X5269^2*R_up)+dpup_minQ</f>
        <v>-798.28415444166092</v>
      </c>
      <c r="Y5271" s="132"/>
      <c r="Z5271" s="145"/>
      <c r="AA5271" s="138">
        <f>P_1_minW-(AA5269^2*R_up)+dpup_minQ</f>
        <v>-3309.2897606415772</v>
      </c>
      <c r="AB5271" s="132"/>
      <c r="AC5271" s="145"/>
      <c r="AD5271" s="138">
        <f>P_1_minW-(AD5269^2*R_up)+dpup_minQ</f>
        <v>-9122.3853471471557</v>
      </c>
      <c r="AE5271" s="132"/>
      <c r="AF5271" s="145"/>
      <c r="AG5271" s="138">
        <f>P_1_minW-(AG5269^2*R_up)+dpup_minQ</f>
        <v>-18042.986862468275</v>
      </c>
      <c r="AH5271" s="132"/>
      <c r="AI5271" s="145"/>
      <c r="AJ5271" s="138">
        <f>P_1_minW-(AJ5269^2*R_up)+dpup_minQ</f>
        <v>-29150.916610395037</v>
      </c>
      <c r="AK5271" s="132"/>
      <c r="AL5271" s="145"/>
      <c r="AM5271" s="138">
        <f>P_1_minW-(AM5269^2*R_up)+dpup_minQ</f>
        <v>-40118.47114596692</v>
      </c>
      <c r="AN5271" s="132"/>
      <c r="AO5271" s="145"/>
      <c r="AP5271" s="138">
        <f>P_1_minW-(AP5269^2*R_up)+dpup_minQ</f>
        <v>-49960.69682452557</v>
      </c>
      <c r="AQ5271" s="132"/>
      <c r="AR5271" s="145"/>
      <c r="AS5271" s="138">
        <f>P_1_minW-(AS5269^2*R_up)+dpup_minQ</f>
        <v>-62211.471221875319</v>
      </c>
      <c r="AT5271" s="132"/>
      <c r="AU5271" s="145"/>
    </row>
    <row r="5272" spans="13:47" x14ac:dyDescent="0.25">
      <c r="M5272" s="12"/>
      <c r="N5272" s="12"/>
      <c r="O5272" s="7" t="s">
        <v>189</v>
      </c>
      <c r="P5272" s="1"/>
      <c r="Q5272" s="7"/>
      <c r="R5272" s="181">
        <f>P_2_minW+(R5269^2*R_dn)-dpdn_minQ</f>
        <v>50</v>
      </c>
      <c r="S5272" s="132"/>
      <c r="T5272" s="146"/>
      <c r="U5272" s="138">
        <f>P_2_minW+(U5269^2*R_dn)-dpdn_minQ</f>
        <v>50</v>
      </c>
      <c r="V5272" s="132"/>
      <c r="W5272" s="146"/>
      <c r="X5272" s="138">
        <f>P_2_minW+(X5269^2*R_dn)-dpdn_minQ</f>
        <v>50</v>
      </c>
      <c r="Y5272" s="132"/>
      <c r="Z5272" s="146"/>
      <c r="AA5272" s="138">
        <f>P_2_minW+(AA5269^2*R_dn)-dpdn_minQ</f>
        <v>50</v>
      </c>
      <c r="AB5272" s="132"/>
      <c r="AC5272" s="146"/>
      <c r="AD5272" s="138">
        <f>P_2_minW+(AD5269^2*R_dn)-dpdn_minQ</f>
        <v>50</v>
      </c>
      <c r="AE5272" s="132"/>
      <c r="AF5272" s="146"/>
      <c r="AG5272" s="138">
        <f>P_2_minW+(AG5269^2*R_dn)-dpdn_minQ</f>
        <v>50</v>
      </c>
      <c r="AH5272" s="132"/>
      <c r="AI5272" s="146"/>
      <c r="AJ5272" s="138">
        <f>P_2_minW+(AJ5269^2*R_dn)-dpdn_minQ</f>
        <v>50</v>
      </c>
      <c r="AK5272" s="132"/>
      <c r="AL5272" s="146"/>
      <c r="AM5272" s="138">
        <f>P_2_minW+(AM5269^2*R_dn)-dpdn_minQ</f>
        <v>50</v>
      </c>
      <c r="AN5272" s="132"/>
      <c r="AO5272" s="146"/>
      <c r="AP5272" s="138">
        <f>P_2_minW+(AP5269^2*R_dn)-dpdn_minQ</f>
        <v>50</v>
      </c>
      <c r="AQ5272" s="132"/>
      <c r="AR5272" s="146"/>
      <c r="AS5272" s="138">
        <f>P_2_minW+(AS5269^2*R_dn)-dpdn_minQ</f>
        <v>50</v>
      </c>
      <c r="AT5272" s="132"/>
      <c r="AU5272" s="146"/>
    </row>
    <row r="5273" spans="13:47" x14ac:dyDescent="0.25">
      <c r="M5273" s="12"/>
      <c r="N5273" s="12"/>
      <c r="O5273" s="7" t="s">
        <v>234</v>
      </c>
      <c r="P5273" s="1"/>
      <c r="Q5273" s="7"/>
      <c r="R5273" s="179">
        <f>'Valve Sizing'!G$8*R5271/P_1_maxW</f>
        <v>-0.19844772090304805</v>
      </c>
      <c r="S5273" s="132"/>
      <c r="T5273" s="146"/>
      <c r="U5273" s="143">
        <f>'Valve Sizing'!$G$8*U5271/P_1_maxW</f>
        <v>-0.2239677081251111</v>
      </c>
      <c r="V5273" s="132"/>
      <c r="W5273" s="146"/>
      <c r="X5273" s="143">
        <f>'Valve Sizing'!$G$8*X5271/P_1_maxW</f>
        <v>-3.8507806352929479</v>
      </c>
      <c r="Y5273" s="132"/>
      <c r="Z5273" s="146"/>
      <c r="AA5273" s="143">
        <f>'Valve Sizing'!$G$8*AA5271/P_1_maxW</f>
        <v>-15.963424622608006</v>
      </c>
      <c r="AB5273" s="132"/>
      <c r="AC5273" s="146"/>
      <c r="AD5273" s="143">
        <f>'Valve Sizing'!$G$8*AD5271/P_1_maxW</f>
        <v>-44.004762774032493</v>
      </c>
      <c r="AE5273" s="132"/>
      <c r="AF5273" s="146"/>
      <c r="AG5273" s="143">
        <f>'Valve Sizing'!$G$8*AG5271/P_1_maxW</f>
        <v>-87.036156268733137</v>
      </c>
      <c r="AH5273" s="132"/>
      <c r="AI5273" s="146"/>
      <c r="AJ5273" s="143">
        <f>'Valve Sizing'!$G$8*AJ5271/P_1_maxW</f>
        <v>-140.61883172773452</v>
      </c>
      <c r="AK5273" s="132"/>
      <c r="AL5273" s="146"/>
      <c r="AM5273" s="143">
        <f>'Valve Sizing'!$G$8*AM5271/P_1_maxW</f>
        <v>-193.5243621546021</v>
      </c>
      <c r="AN5273" s="132"/>
      <c r="AO5273" s="146"/>
      <c r="AP5273" s="143">
        <f>'Valve Sizing'!$G$8*AP5271/P_1_maxW</f>
        <v>-241.0015065276919</v>
      </c>
      <c r="AQ5273" s="132"/>
      <c r="AR5273" s="146"/>
      <c r="AS5273" s="143">
        <f>'Valve Sizing'!$G$8*AS5271/P_1_maxW</f>
        <v>-300.09706110456108</v>
      </c>
      <c r="AT5273" s="132"/>
      <c r="AU5273" s="146"/>
    </row>
    <row r="5274" spans="13:47" x14ac:dyDescent="0.25">
      <c r="M5274" s="12"/>
      <c r="N5274" s="12"/>
      <c r="O5274" s="7" t="s">
        <v>190</v>
      </c>
      <c r="P5274" s="1"/>
      <c r="Q5274" s="7"/>
      <c r="R5274" s="181">
        <f>R5271-R5272</f>
        <v>-91.139105569931488</v>
      </c>
      <c r="S5274" s="132"/>
      <c r="T5274" s="146"/>
      <c r="U5274" s="138">
        <f>U5271-U5272</f>
        <v>-96.429513762548979</v>
      </c>
      <c r="V5274" s="132"/>
      <c r="W5274" s="146"/>
      <c r="X5274" s="138">
        <f>X5271-X5272</f>
        <v>-848.28415444166092</v>
      </c>
      <c r="Y5274" s="132"/>
      <c r="Z5274" s="146"/>
      <c r="AA5274" s="138">
        <f>AA5271-AA5272</f>
        <v>-3359.2897606415772</v>
      </c>
      <c r="AB5274" s="132"/>
      <c r="AC5274" s="146"/>
      <c r="AD5274" s="138">
        <f>AD5271-AD5272</f>
        <v>-9172.3853471471557</v>
      </c>
      <c r="AE5274" s="132"/>
      <c r="AF5274" s="146"/>
      <c r="AG5274" s="138">
        <f>AG5271-AG5272</f>
        <v>-18092.986862468275</v>
      </c>
      <c r="AH5274" s="132"/>
      <c r="AI5274" s="146"/>
      <c r="AJ5274" s="138">
        <f>AJ5271-AJ5272</f>
        <v>-29200.916610395037</v>
      </c>
      <c r="AK5274" s="132"/>
      <c r="AL5274" s="146"/>
      <c r="AM5274" s="138">
        <f>AM5271-AM5272</f>
        <v>-40168.47114596692</v>
      </c>
      <c r="AN5274" s="132"/>
      <c r="AO5274" s="146"/>
      <c r="AP5274" s="138">
        <f>AP5271-AP5272</f>
        <v>-50010.69682452557</v>
      </c>
      <c r="AQ5274" s="132"/>
      <c r="AR5274" s="146"/>
      <c r="AS5274" s="138">
        <f>AS5271-AS5272</f>
        <v>-62261.471221875319</v>
      </c>
      <c r="AT5274" s="132"/>
      <c r="AU5274" s="146"/>
    </row>
    <row r="5275" spans="13:47" ht="14.5" x14ac:dyDescent="0.35">
      <c r="M5275" s="12"/>
      <c r="N5275" s="12"/>
      <c r="O5275" s="2" t="s">
        <v>191</v>
      </c>
      <c r="P5275" s="10"/>
      <c r="Q5275" s="2"/>
      <c r="R5275" s="181">
        <f>R5274/R5271</f>
        <v>2.2153886018500346</v>
      </c>
      <c r="S5275" s="132"/>
      <c r="T5275" s="146"/>
      <c r="U5275" s="138">
        <f>U5274/U5271</f>
        <v>2.0769012196791743</v>
      </c>
      <c r="V5275" s="132"/>
      <c r="W5275" s="146"/>
      <c r="X5275" s="138">
        <f>X5274/X5271</f>
        <v>1.0626343385645318</v>
      </c>
      <c r="Y5275" s="132"/>
      <c r="Z5275" s="146"/>
      <c r="AA5275" s="138">
        <f>AA5274/AA5271</f>
        <v>1.015108982173355</v>
      </c>
      <c r="AB5275" s="132"/>
      <c r="AC5275" s="146"/>
      <c r="AD5275" s="138">
        <f>AD5274/AD5271</f>
        <v>1.0054810225721977</v>
      </c>
      <c r="AE5275" s="132"/>
      <c r="AF5275" s="146"/>
      <c r="AG5275" s="138">
        <f>AG5274/AG5271</f>
        <v>1.0027711598074711</v>
      </c>
      <c r="AH5275" s="132"/>
      <c r="AI5275" s="146"/>
      <c r="AJ5275" s="138">
        <f>AJ5274/AJ5271</f>
        <v>1.0017152119320383</v>
      </c>
      <c r="AK5275" s="132"/>
      <c r="AL5275" s="146"/>
      <c r="AM5275" s="138">
        <f>AM5274/AM5271</f>
        <v>1.0012463087094741</v>
      </c>
      <c r="AN5275" s="132"/>
      <c r="AO5275" s="146"/>
      <c r="AP5275" s="138">
        <f>AP5274/AP5271</f>
        <v>1.0010007866818915</v>
      </c>
      <c r="AQ5275" s="132"/>
      <c r="AR5275" s="146"/>
      <c r="AS5275" s="138">
        <f>AS5274/AS5271</f>
        <v>1.0008037102967984</v>
      </c>
      <c r="AT5275" s="132"/>
      <c r="AU5275" s="146"/>
    </row>
    <row r="5276" spans="13:47" x14ac:dyDescent="0.25">
      <c r="M5276" s="12"/>
      <c r="N5276" s="12"/>
      <c r="O5276" s="2" t="s">
        <v>26</v>
      </c>
      <c r="P5276" s="7">
        <v>12</v>
      </c>
      <c r="Q5276" s="2"/>
      <c r="R5276" s="181">
        <f>1-R5275/(3*F_GAMMA*R$29)</f>
        <v>-0.15379977026651659</v>
      </c>
      <c r="S5276" s="133"/>
      <c r="T5276" s="146"/>
      <c r="U5276" s="138">
        <f>1-U5275/(3*F_GAMMA*U$29)</f>
        <v>-8.143579701836523E-2</v>
      </c>
      <c r="V5276" s="133"/>
      <c r="W5276" s="146"/>
      <c r="X5276" s="138">
        <f>1-X5275/(3*F_GAMMA*X$29)</f>
        <v>0.43838917666997135</v>
      </c>
      <c r="Y5276" s="133"/>
      <c r="Z5276" s="146"/>
      <c r="AA5276" s="138">
        <f>1-AA5275/(3*F_GAMMA*AA$29)</f>
        <v>0.45615064145552053</v>
      </c>
      <c r="AB5276" s="133"/>
      <c r="AC5276" s="146"/>
      <c r="AD5276" s="138">
        <f>1-AD5275/(3*F_GAMMA*AD$29)</f>
        <v>0.44653910014449372</v>
      </c>
      <c r="AE5276" s="133"/>
      <c r="AF5276" s="146"/>
      <c r="AG5276" s="138">
        <f>1-AG5275/(3*F_GAMMA*AG$29)</f>
        <v>0.41654552870696149</v>
      </c>
      <c r="AH5276" s="133"/>
      <c r="AI5276" s="146"/>
      <c r="AJ5276" s="138">
        <f>1-AJ5275/(3*F_GAMMA*AJ$29)</f>
        <v>0.37693605704934796</v>
      </c>
      <c r="AK5276" s="133"/>
      <c r="AL5276" s="146"/>
      <c r="AM5276" s="138">
        <f>1-AM5275/(3*F_GAMMA*AM$29)</f>
        <v>0.3195579480092533</v>
      </c>
      <c r="AN5276" s="133"/>
      <c r="AO5276" s="146"/>
      <c r="AP5276" s="138">
        <f>1-AP5275/(3*F_GAMMA*AP$29)</f>
        <v>0.43782614718893664</v>
      </c>
      <c r="AQ5276" s="133"/>
      <c r="AR5276" s="146"/>
      <c r="AS5276" s="138">
        <f>1-AS5275/(3*F_GAMMA*AS$29)</f>
        <v>0.14673926468772047</v>
      </c>
      <c r="AT5276" s="133"/>
      <c r="AU5276" s="146"/>
    </row>
    <row r="5277" spans="13:47" x14ac:dyDescent="0.25">
      <c r="M5277" s="12"/>
      <c r="N5277" s="12"/>
      <c r="O5277" s="2" t="s">
        <v>71</v>
      </c>
      <c r="P5277" s="85">
        <v>5</v>
      </c>
      <c r="Q5277" s="2"/>
      <c r="R5277" s="179">
        <f>R5269/((N_6*R$27*R5276)*SQRT(R5275*R5271*R5273))</f>
        <v>-455.28815290340998</v>
      </c>
      <c r="S5277" s="133"/>
      <c r="T5277" s="146"/>
      <c r="U5277" s="143">
        <f>U5269/((N_6*U$27*U5276)*SQRT(U5275*U5271*U5273))</f>
        <v>-801.92928065207707</v>
      </c>
      <c r="V5277" s="133"/>
      <c r="W5277" s="146"/>
      <c r="X5277" s="143">
        <f>X5269/((N_6*X$27*X5276)*SQRT(X5275*X5271*X5273))</f>
        <v>30.022763218385428</v>
      </c>
      <c r="Y5277" s="133"/>
      <c r="Z5277" s="146"/>
      <c r="AA5277" s="143">
        <f>AA5269/((N_6*AA$27*AA5276)*SQRT(AA5275*AA5271*AA5273))</f>
        <v>13.950286308240969</v>
      </c>
      <c r="AB5277" s="133"/>
      <c r="AC5277" s="146"/>
      <c r="AD5277" s="143">
        <f>AD5269/((N_6*AD$27*AD5276)*SQRT(AD5275*AD5271*AD5273))</f>
        <v>8.6445236215314356</v>
      </c>
      <c r="AE5277" s="133"/>
      <c r="AF5277" s="146"/>
      <c r="AG5277" s="143">
        <f>AG5269/((N_6*AG$27*AG5276)*SQRT(AG5275*AG5271*AG5273))</f>
        <v>6.722356096374055</v>
      </c>
      <c r="AH5277" s="133"/>
      <c r="AI5277" s="146"/>
      <c r="AJ5277" s="143">
        <f>AJ5269/((N_6*AJ$27*AJ5276)*SQRT(AJ5275*AJ5271*AJ5273))</f>
        <v>6.0419044834958777</v>
      </c>
      <c r="AK5277" s="133"/>
      <c r="AL5277" s="146"/>
      <c r="AM5277" s="143">
        <f>AM5269/((N_6*AM$27*AM5276)*SQRT(AM5275*AM5271*AM5273))</f>
        <v>6.4465543770488347</v>
      </c>
      <c r="AN5277" s="133"/>
      <c r="AO5277" s="146"/>
      <c r="AP5277" s="143">
        <f>AP5269/((N_6*AP$27*AP5276)*SQRT(AP5275*AP5271*AP5273))</f>
        <v>4.7888800163729872</v>
      </c>
      <c r="AQ5277" s="133"/>
      <c r="AR5277" s="146"/>
      <c r="AS5277" s="143">
        <f>AS5269/((N_6*AS$27*AS5276)*SQRT(AS5275*AS5271*AS5273))</f>
        <v>16.823355150002669</v>
      </c>
      <c r="AT5277" s="133"/>
      <c r="AU5277" s="146"/>
    </row>
    <row r="5278" spans="13:47" x14ac:dyDescent="0.25">
      <c r="M5278" s="12"/>
      <c r="N5278" s="12"/>
      <c r="O5278" s="2" t="s">
        <v>73</v>
      </c>
      <c r="P5278" s="85">
        <v>5</v>
      </c>
      <c r="Q5278" s="2"/>
      <c r="R5278" s="179">
        <f>R5269/((N_6*R$27*0.667)*SQRT(R5279*R5271*R5273))</f>
        <v>195.31790345191854</v>
      </c>
      <c r="S5278" s="133"/>
      <c r="T5278" s="155"/>
      <c r="U5278" s="143">
        <f>U5269/((N_6*U$27*0.667)*SQRT(U5279*U5271*U5273))</f>
        <v>176.35451639437733</v>
      </c>
      <c r="V5278" s="133"/>
      <c r="W5278" s="155"/>
      <c r="X5278" s="143">
        <f>X5269/((N_6*X$27*0.667)*SQRT(X5279*X5271*X5273))</f>
        <v>25.613151148259178</v>
      </c>
      <c r="Y5278" s="133"/>
      <c r="Z5278" s="155"/>
      <c r="AA5278" s="143">
        <f>AA5269/((N_6*AA$27*0.667)*SQRT(AA5279*AA5271*AA5273))</f>
        <v>12.186121801001681</v>
      </c>
      <c r="AB5278" s="133"/>
      <c r="AC5278" s="155"/>
      <c r="AD5278" s="143">
        <f>AD5269/((N_6*AD$27*0.667)*SQRT(AD5279*AD5271*AD5273))</f>
        <v>7.4572520827735476</v>
      </c>
      <c r="AE5278" s="133"/>
      <c r="AF5278" s="155"/>
      <c r="AG5278" s="143">
        <f>AG5269/((N_6*AG$27*0.667)*SQRT(AG5279*AG5271*AG5273))</f>
        <v>5.5542096777021079</v>
      </c>
      <c r="AH5278" s="133"/>
      <c r="AI5278" s="155"/>
      <c r="AJ5278" s="143">
        <f>AJ5269/((N_6*AJ$27*0.667)*SQRT(AJ5279*AJ5271*AJ5273))</f>
        <v>4.6681267707875156</v>
      </c>
      <c r="AK5278" s="133"/>
      <c r="AL5278" s="155"/>
      <c r="AM5278" s="143">
        <f>AM5269/((N_6*AM$27*0.667)*SQRT(AM5279*AM5271*AM5273))</f>
        <v>4.4127328962672445</v>
      </c>
      <c r="AN5278" s="133"/>
      <c r="AO5278" s="155"/>
      <c r="AP5278" s="143">
        <f>AP5269/((N_6*AP$27*0.667)*SQRT(AP5279*AP5271*AP5273))</f>
        <v>4.0823079711036794</v>
      </c>
      <c r="AQ5278" s="133"/>
      <c r="AR5278" s="155"/>
      <c r="AS5278" s="143">
        <f>AS5269/((N_6*AS$27*0.667)*SQRT(AS5279*AS5271*AS5273))</f>
        <v>5.921539432687716</v>
      </c>
      <c r="AT5278" s="133"/>
      <c r="AU5278" s="155"/>
    </row>
    <row r="5279" spans="13:47" ht="15.5" x14ac:dyDescent="0.4">
      <c r="M5279" s="12"/>
      <c r="N5279" s="12"/>
      <c r="O5279" s="2" t="s">
        <v>192</v>
      </c>
      <c r="P5279" s="85">
        <v>10</v>
      </c>
      <c r="Q5279" s="2"/>
      <c r="R5279" s="181">
        <f>F_GAMMA*R$29</f>
        <v>0.64002688015162901</v>
      </c>
      <c r="S5279" s="133"/>
      <c r="T5279" s="155"/>
      <c r="U5279" s="138">
        <f>F_GAMMA*U$29</f>
        <v>0.64016782916606918</v>
      </c>
      <c r="V5279" s="133"/>
      <c r="W5279" s="155"/>
      <c r="X5279" s="138">
        <f>F_GAMMA*X$29</f>
        <v>0.6307062319203669</v>
      </c>
      <c r="Y5279" s="133"/>
      <c r="Z5279" s="155"/>
      <c r="AA5279" s="138">
        <f>F_GAMMA*AA$29</f>
        <v>0.62217534213893466</v>
      </c>
      <c r="AB5279" s="133"/>
      <c r="AC5279" s="155"/>
      <c r="AD5279" s="138">
        <f>F_GAMMA*AD$29</f>
        <v>0.60557184969146072</v>
      </c>
      <c r="AE5279" s="133"/>
      <c r="AF5279" s="155"/>
      <c r="AG5279" s="138">
        <f>F_GAMMA*AG$29</f>
        <v>0.57289312142622573</v>
      </c>
      <c r="AH5279" s="133"/>
      <c r="AI5279" s="155"/>
      <c r="AJ5279" s="138">
        <f>F_GAMMA*AJ$29</f>
        <v>0.53590819116049981</v>
      </c>
      <c r="AK5279" s="133"/>
      <c r="AL5279" s="155"/>
      <c r="AM5279" s="138">
        <f>F_GAMMA*AM$29</f>
        <v>0.49048815926850342</v>
      </c>
      <c r="AN5279" s="133"/>
      <c r="AO5279" s="155"/>
      <c r="AP5279" s="138">
        <f>F_GAMMA*AP$29</f>
        <v>0.59352979016280105</v>
      </c>
      <c r="AQ5279" s="133"/>
      <c r="AR5279" s="155"/>
      <c r="AS5279" s="138">
        <f>F_GAMMA*AS$29</f>
        <v>0.39097221161068291</v>
      </c>
      <c r="AT5279" s="133"/>
      <c r="AU5279" s="155"/>
    </row>
    <row r="5280" spans="13:47" x14ac:dyDescent="0.25">
      <c r="M5280" s="12"/>
      <c r="N5280" s="12"/>
      <c r="O5280" s="2" t="s">
        <v>193</v>
      </c>
      <c r="P5280" s="134"/>
      <c r="Q5280" s="2"/>
      <c r="R5280" s="181">
        <f>IF(R5275&lt;R5279,R5277,R5278)</f>
        <v>195.31790345191854</v>
      </c>
      <c r="S5280" s="133"/>
      <c r="T5280" s="155"/>
      <c r="U5280" s="138">
        <f>IF(U5275&lt;U5279,U5277,U5278)</f>
        <v>176.35451639437733</v>
      </c>
      <c r="V5280" s="133"/>
      <c r="W5280" s="155"/>
      <c r="X5280" s="138">
        <f>IF(X5275&lt;X5279,X5277,X5278)</f>
        <v>25.613151148259178</v>
      </c>
      <c r="Y5280" s="133"/>
      <c r="Z5280" s="155"/>
      <c r="AA5280" s="138">
        <f>IF(AA5275&lt;AA5279,AA5277,AA5278)</f>
        <v>12.186121801001681</v>
      </c>
      <c r="AB5280" s="133"/>
      <c r="AC5280" s="155"/>
      <c r="AD5280" s="138">
        <f>IF(AD5275&lt;AD5279,AD5277,AD5278)</f>
        <v>7.4572520827735476</v>
      </c>
      <c r="AE5280" s="133"/>
      <c r="AF5280" s="155"/>
      <c r="AG5280" s="138">
        <f>IF(AG5275&lt;AG5279,AG5277,AG5278)</f>
        <v>5.5542096777021079</v>
      </c>
      <c r="AH5280" s="133"/>
      <c r="AI5280" s="155"/>
      <c r="AJ5280" s="138">
        <f>IF(AJ5275&lt;AJ5279,AJ5277,AJ5278)</f>
        <v>4.6681267707875156</v>
      </c>
      <c r="AK5280" s="133"/>
      <c r="AL5280" s="155"/>
      <c r="AM5280" s="138">
        <f>IF(AM5275&lt;AM5279,AM5277,AM5278)</f>
        <v>4.4127328962672445</v>
      </c>
      <c r="AN5280" s="133"/>
      <c r="AO5280" s="155"/>
      <c r="AP5280" s="138">
        <f>IF(AP5275&lt;AP5279,AP5277,AP5278)</f>
        <v>4.0823079711036794</v>
      </c>
      <c r="AQ5280" s="133"/>
      <c r="AR5280" s="155"/>
      <c r="AS5280" s="138">
        <f>IF(AS5275&lt;AS5279,AS5277,AS5278)</f>
        <v>5.921539432687716</v>
      </c>
      <c r="AT5280" s="133"/>
      <c r="AU5280" s="155"/>
    </row>
    <row r="5281" spans="13:47" ht="13" x14ac:dyDescent="0.3">
      <c r="M5281" s="12"/>
      <c r="N5281" s="12"/>
      <c r="O5281" s="9" t="s">
        <v>194</v>
      </c>
      <c r="P5281" s="1"/>
      <c r="Q5281" s="1"/>
      <c r="R5281" s="135"/>
      <c r="S5281" s="132">
        <f>IF(R5274&lt;=0,W_max,ABS(R$23-R5280))</f>
        <v>7174</v>
      </c>
      <c r="T5281" s="151">
        <f>R5269</f>
        <v>18848.193236720876</v>
      </c>
      <c r="U5281" s="135"/>
      <c r="V5281" s="132">
        <f>IF(U5274&lt;=0,W_max,ABS(U$23-U5280))</f>
        <v>7174</v>
      </c>
      <c r="W5281" s="151">
        <f>U5269</f>
        <v>19196.913184895897</v>
      </c>
      <c r="X5281" s="135"/>
      <c r="Y5281" s="132">
        <f>IF(X5274&lt;=0,W_max,ABS(X$23-X5280))</f>
        <v>7174</v>
      </c>
      <c r="Z5281" s="151">
        <f>X5269</f>
        <v>47476.250765695615</v>
      </c>
      <c r="AA5281" s="135"/>
      <c r="AB5281" s="132">
        <f>IF(AA5274&lt;=0,W_max,ABS(AA$23-AA5280))</f>
        <v>7174</v>
      </c>
      <c r="AC5281" s="151">
        <f>AA5269</f>
        <v>92471.618396324237</v>
      </c>
      <c r="AD5281" s="135"/>
      <c r="AE5281" s="132">
        <f>IF(AD5274&lt;=0,W_max,ABS(AD$23-AD5280))</f>
        <v>7174</v>
      </c>
      <c r="AF5281" s="151">
        <f>AD5269</f>
        <v>152081.76623199898</v>
      </c>
      <c r="AG5281" s="135"/>
      <c r="AH5281" s="132">
        <f>IF(AG5274&lt;=0,W_max,ABS(AG$23-AG5280))</f>
        <v>7174</v>
      </c>
      <c r="AI5281" s="151">
        <f>AG5269</f>
        <v>213306.38533302266</v>
      </c>
      <c r="AJ5281" s="135"/>
      <c r="AK5281" s="132">
        <f>IF(AJ5274&lt;=0,W_max,ABS(AJ$23-AJ5280))</f>
        <v>7174</v>
      </c>
      <c r="AL5281" s="151">
        <f>AJ5269</f>
        <v>270842.50821043883</v>
      </c>
      <c r="AM5281" s="135"/>
      <c r="AN5281" s="132">
        <f>IF(AM5274&lt;=0,W_max,ABS(AM$23-AM5280))</f>
        <v>7174</v>
      </c>
      <c r="AO5281" s="151">
        <f>AM5269</f>
        <v>317584.14126513217</v>
      </c>
      <c r="AP5281" s="135"/>
      <c r="AQ5281" s="132">
        <f>IF(AP5274&lt;=0,W_max,ABS(AP$23-AP5280))</f>
        <v>7174</v>
      </c>
      <c r="AR5281" s="151">
        <f>AP5269</f>
        <v>354318.57381239434</v>
      </c>
      <c r="AS5281" s="135"/>
      <c r="AT5281" s="132">
        <f>IF(AS5274&lt;=0,W_max,ABS(AS$23-AS5280))</f>
        <v>7174</v>
      </c>
      <c r="AU5281" s="151">
        <f>AS5269</f>
        <v>395302.01743808703</v>
      </c>
    </row>
    <row r="5282" spans="13:47" ht="13" x14ac:dyDescent="0.25">
      <c r="M5282" s="12"/>
      <c r="N5282" s="12"/>
      <c r="O5282" s="2"/>
      <c r="P5282" s="85"/>
      <c r="Q5282" s="2"/>
      <c r="R5282" s="18"/>
      <c r="S5282" s="150"/>
      <c r="T5282" s="148"/>
      <c r="U5282" s="157"/>
      <c r="V5282" s="1"/>
      <c r="W5282" s="147"/>
      <c r="X5282" s="157"/>
      <c r="Y5282" s="1"/>
      <c r="Z5282" s="147"/>
      <c r="AA5282" s="157"/>
      <c r="AB5282" s="1"/>
      <c r="AC5282" s="147"/>
      <c r="AD5282" s="157"/>
      <c r="AE5282" s="1"/>
      <c r="AF5282" s="147"/>
      <c r="AG5282" s="157"/>
      <c r="AH5282" s="1"/>
      <c r="AI5282" s="147"/>
      <c r="AJ5282" s="157"/>
      <c r="AK5282" s="1"/>
      <c r="AL5282" s="147"/>
      <c r="AM5282" s="157"/>
      <c r="AN5282" s="1"/>
      <c r="AO5282" s="147"/>
      <c r="AP5282" s="157"/>
      <c r="AQ5282" s="1"/>
      <c r="AR5282" s="147"/>
      <c r="AS5282" s="157"/>
      <c r="AT5282" s="1"/>
      <c r="AU5282" s="147"/>
    </row>
    <row r="5283" spans="13:47" ht="14" x14ac:dyDescent="0.3">
      <c r="M5283" s="12"/>
      <c r="N5283" s="12"/>
      <c r="O5283" s="23" t="s">
        <v>238</v>
      </c>
      <c r="P5283" s="20"/>
      <c r="Q5283" s="20"/>
      <c r="R5283" s="181">
        <f>R5269*1.02</f>
        <v>19225.157101455294</v>
      </c>
      <c r="S5283" s="128" t="s">
        <v>185</v>
      </c>
      <c r="T5283" s="149" t="s">
        <v>186</v>
      </c>
      <c r="U5283" s="143">
        <f>U5269*1.01</f>
        <v>19388.882316744857</v>
      </c>
      <c r="V5283" s="128" t="s">
        <v>185</v>
      </c>
      <c r="W5283" s="153" t="s">
        <v>186</v>
      </c>
      <c r="X5283" s="143">
        <f>X5269*1.01</f>
        <v>47951.013273352568</v>
      </c>
      <c r="Y5283" s="128" t="s">
        <v>185</v>
      </c>
      <c r="Z5283" s="153" t="s">
        <v>186</v>
      </c>
      <c r="AA5283" s="143">
        <f>AA5269*1.01</f>
        <v>93396.334580287483</v>
      </c>
      <c r="AB5283" s="128" t="s">
        <v>185</v>
      </c>
      <c r="AC5283" s="153" t="s">
        <v>186</v>
      </c>
      <c r="AD5283" s="143">
        <f>AD5269*1.01</f>
        <v>153602.58389431896</v>
      </c>
      <c r="AE5283" s="128" t="s">
        <v>185</v>
      </c>
      <c r="AF5283" s="153" t="s">
        <v>186</v>
      </c>
      <c r="AG5283" s="143">
        <f>AG5269*1.01</f>
        <v>215439.4491863529</v>
      </c>
      <c r="AH5283" s="128" t="s">
        <v>185</v>
      </c>
      <c r="AI5283" s="153" t="s">
        <v>186</v>
      </c>
      <c r="AJ5283" s="143">
        <f>AJ5269*1.01</f>
        <v>273550.93329254322</v>
      </c>
      <c r="AK5283" s="128" t="s">
        <v>185</v>
      </c>
      <c r="AL5283" s="153" t="s">
        <v>186</v>
      </c>
      <c r="AM5283" s="143">
        <f>AM5269*1.01</f>
        <v>320759.98267778353</v>
      </c>
      <c r="AN5283" s="128" t="s">
        <v>185</v>
      </c>
      <c r="AO5283" s="153" t="s">
        <v>186</v>
      </c>
      <c r="AP5283" s="143">
        <f>AP5269*1.01</f>
        <v>357861.7595505183</v>
      </c>
      <c r="AQ5283" s="128" t="s">
        <v>185</v>
      </c>
      <c r="AR5283" s="153" t="s">
        <v>186</v>
      </c>
      <c r="AS5283" s="143">
        <f>AS5269*1.01</f>
        <v>399255.03761246789</v>
      </c>
      <c r="AT5283" s="128" t="s">
        <v>185</v>
      </c>
      <c r="AU5283" s="153" t="s">
        <v>186</v>
      </c>
    </row>
    <row r="5284" spans="13:47" ht="14" x14ac:dyDescent="0.3">
      <c r="M5284" s="12"/>
      <c r="N5284" s="12"/>
      <c r="O5284" s="20"/>
      <c r="P5284" s="20"/>
      <c r="Q5284" s="23"/>
      <c r="R5284" s="139"/>
      <c r="S5284" s="130" t="s">
        <v>228</v>
      </c>
      <c r="T5284" s="131" t="s">
        <v>187</v>
      </c>
      <c r="U5284" s="144"/>
      <c r="V5284" s="130" t="s">
        <v>228</v>
      </c>
      <c r="W5284" s="154" t="s">
        <v>187</v>
      </c>
      <c r="X5284" s="144"/>
      <c r="Y5284" s="130" t="s">
        <v>228</v>
      </c>
      <c r="Z5284" s="154" t="s">
        <v>187</v>
      </c>
      <c r="AA5284" s="144"/>
      <c r="AB5284" s="130" t="s">
        <v>228</v>
      </c>
      <c r="AC5284" s="154" t="s">
        <v>187</v>
      </c>
      <c r="AD5284" s="144"/>
      <c r="AE5284" s="130" t="s">
        <v>228</v>
      </c>
      <c r="AF5284" s="154" t="s">
        <v>187</v>
      </c>
      <c r="AG5284" s="144"/>
      <c r="AH5284" s="130" t="s">
        <v>228</v>
      </c>
      <c r="AI5284" s="154" t="s">
        <v>187</v>
      </c>
      <c r="AJ5284" s="144"/>
      <c r="AK5284" s="130" t="s">
        <v>228</v>
      </c>
      <c r="AL5284" s="154" t="s">
        <v>187</v>
      </c>
      <c r="AM5284" s="144"/>
      <c r="AN5284" s="130" t="s">
        <v>228</v>
      </c>
      <c r="AO5284" s="154" t="s">
        <v>187</v>
      </c>
      <c r="AP5284" s="144"/>
      <c r="AQ5284" s="130" t="s">
        <v>228</v>
      </c>
      <c r="AR5284" s="154" t="s">
        <v>187</v>
      </c>
      <c r="AS5284" s="144"/>
      <c r="AT5284" s="130" t="s">
        <v>228</v>
      </c>
      <c r="AU5284" s="154" t="s">
        <v>187</v>
      </c>
    </row>
    <row r="5285" spans="13:47" x14ac:dyDescent="0.25">
      <c r="M5285" s="12"/>
      <c r="N5285" s="12"/>
      <c r="O5285" s="7" t="s">
        <v>188</v>
      </c>
      <c r="P5285" s="7"/>
      <c r="Q5285" s="7"/>
      <c r="R5285" s="181">
        <f>P_1_minW-(R5283^2*R_up)+dpup_minQ</f>
        <v>-46.862246019120491</v>
      </c>
      <c r="S5285" s="132"/>
      <c r="T5285" s="145"/>
      <c r="U5285" s="138">
        <f>P_1_minW-(U5283^2*R_up)+dpup_minQ</f>
        <v>-49.383255002584448</v>
      </c>
      <c r="V5285" s="132"/>
      <c r="W5285" s="145"/>
      <c r="X5285" s="138">
        <f>P_1_minW-(X5283^2*R_up)+dpup_minQ</f>
        <v>-816.35017395934642</v>
      </c>
      <c r="Y5285" s="132"/>
      <c r="Z5285" s="145"/>
      <c r="AA5285" s="138">
        <f>P_1_minW-(AA5283^2*R_up)+dpup_minQ</f>
        <v>-3377.8269928438813</v>
      </c>
      <c r="AB5285" s="132"/>
      <c r="AC5285" s="145"/>
      <c r="AD5285" s="138">
        <f>P_1_minW-(AD5283^2*R_up)+dpup_minQ</f>
        <v>-9307.7658006382208</v>
      </c>
      <c r="AE5285" s="132"/>
      <c r="AF5285" s="145"/>
      <c r="AG5285" s="138">
        <f>P_1_minW-(AG5283^2*R_up)+dpup_minQ</f>
        <v>-18407.671406417299</v>
      </c>
      <c r="AH5285" s="132"/>
      <c r="AI5285" s="145"/>
      <c r="AJ5285" s="138">
        <f>P_1_minW-(AJ5283^2*R_up)+dpup_minQ</f>
        <v>-29738.870542277393</v>
      </c>
      <c r="AK5285" s="132"/>
      <c r="AL5285" s="145"/>
      <c r="AM5285" s="138">
        <f>P_1_minW-(AM5283^2*R_up)+dpup_minQ</f>
        <v>-40926.872924014271</v>
      </c>
      <c r="AN5285" s="132"/>
      <c r="AO5285" s="145"/>
      <c r="AP5285" s="138">
        <f>P_1_minW-(AP5283^2*R_up)+dpup_minQ</f>
        <v>-50966.927338711939</v>
      </c>
      <c r="AQ5285" s="132"/>
      <c r="AR5285" s="145"/>
      <c r="AS5285" s="138">
        <f>P_1_minW-(AS5283^2*R_up)+dpup_minQ</f>
        <v>-63463.942301448413</v>
      </c>
      <c r="AT5285" s="132"/>
      <c r="AU5285" s="145"/>
    </row>
    <row r="5286" spans="13:47" x14ac:dyDescent="0.25">
      <c r="M5286" s="12"/>
      <c r="N5286" s="12"/>
      <c r="O5286" s="7" t="s">
        <v>189</v>
      </c>
      <c r="P5286" s="1"/>
      <c r="Q5286" s="7"/>
      <c r="R5286" s="181">
        <f>P_2_minW+(R5283^2*R_dn)-dpdn_minQ</f>
        <v>50</v>
      </c>
      <c r="S5286" s="132"/>
      <c r="T5286" s="146"/>
      <c r="U5286" s="138">
        <f>P_2_minW+(U5283^2*R_dn)-dpdn_minQ</f>
        <v>50</v>
      </c>
      <c r="V5286" s="132"/>
      <c r="W5286" s="146"/>
      <c r="X5286" s="138">
        <f>P_2_minW+(X5283^2*R_dn)-dpdn_minQ</f>
        <v>50</v>
      </c>
      <c r="Y5286" s="132"/>
      <c r="Z5286" s="146"/>
      <c r="AA5286" s="138">
        <f>P_2_minW+(AA5283^2*R_dn)-dpdn_minQ</f>
        <v>50</v>
      </c>
      <c r="AB5286" s="132"/>
      <c r="AC5286" s="146"/>
      <c r="AD5286" s="138">
        <f>P_2_minW+(AD5283^2*R_dn)-dpdn_minQ</f>
        <v>50</v>
      </c>
      <c r="AE5286" s="132"/>
      <c r="AF5286" s="146"/>
      <c r="AG5286" s="138">
        <f>P_2_minW+(AG5283^2*R_dn)-dpdn_minQ</f>
        <v>50</v>
      </c>
      <c r="AH5286" s="132"/>
      <c r="AI5286" s="146"/>
      <c r="AJ5286" s="138">
        <f>P_2_minW+(AJ5283^2*R_dn)-dpdn_minQ</f>
        <v>50</v>
      </c>
      <c r="AK5286" s="132"/>
      <c r="AL5286" s="146"/>
      <c r="AM5286" s="138">
        <f>P_2_minW+(AM5283^2*R_dn)-dpdn_minQ</f>
        <v>50</v>
      </c>
      <c r="AN5286" s="132"/>
      <c r="AO5286" s="146"/>
      <c r="AP5286" s="138">
        <f>P_2_minW+(AP5283^2*R_dn)-dpdn_minQ</f>
        <v>50</v>
      </c>
      <c r="AQ5286" s="132"/>
      <c r="AR5286" s="146"/>
      <c r="AS5286" s="138">
        <f>P_2_minW+(AS5283^2*R_dn)-dpdn_minQ</f>
        <v>50</v>
      </c>
      <c r="AT5286" s="132"/>
      <c r="AU5286" s="146"/>
    </row>
    <row r="5287" spans="13:47" x14ac:dyDescent="0.25">
      <c r="M5287" s="12"/>
      <c r="N5287" s="12"/>
      <c r="O5287" s="7" t="s">
        <v>234</v>
      </c>
      <c r="P5287" s="1"/>
      <c r="Q5287" s="7"/>
      <c r="R5287" s="179">
        <f>'Valve Sizing'!G$8*R5285/P_1_maxW</f>
        <v>-0.22605513148758244</v>
      </c>
      <c r="S5287" s="132"/>
      <c r="T5287" s="146"/>
      <c r="U5287" s="143">
        <f>'Valve Sizing'!$G$8*U5285/P_1_maxW</f>
        <v>-0.23821602998582767</v>
      </c>
      <c r="V5287" s="132"/>
      <c r="W5287" s="146"/>
      <c r="X5287" s="143">
        <f>'Valve Sizing'!$G$8*X5285/P_1_maxW</f>
        <v>-3.9379278969897378</v>
      </c>
      <c r="Y5287" s="132"/>
      <c r="Z5287" s="146"/>
      <c r="AA5287" s="143">
        <f>'Valve Sizing'!$G$8*AA5285/P_1_maxW</f>
        <v>-16.294036028449828</v>
      </c>
      <c r="AB5287" s="132"/>
      <c r="AC5287" s="146"/>
      <c r="AD5287" s="143">
        <f>'Valve Sizing'!$G$8*AD5285/P_1_maxW</f>
        <v>-44.899005076717941</v>
      </c>
      <c r="AE5287" s="132"/>
      <c r="AF5287" s="146"/>
      <c r="AG5287" s="143">
        <f>'Valve Sizing'!$G$8*AG5285/P_1_maxW</f>
        <v>-88.795329580662084</v>
      </c>
      <c r="AH5287" s="132"/>
      <c r="AI5287" s="146"/>
      <c r="AJ5287" s="143">
        <f>'Valve Sizing'!$G$8*AJ5285/P_1_maxW</f>
        <v>-143.45501681638942</v>
      </c>
      <c r="AK5287" s="132"/>
      <c r="AL5287" s="146"/>
      <c r="AM5287" s="143">
        <f>'Valve Sizing'!$G$8*AM5285/P_1_maxW</f>
        <v>-197.42394840483703</v>
      </c>
      <c r="AN5287" s="132"/>
      <c r="AO5287" s="146"/>
      <c r="AP5287" s="143">
        <f>'Valve Sizing'!$G$8*AP5285/P_1_maxW</f>
        <v>-245.85538337982589</v>
      </c>
      <c r="AQ5287" s="132"/>
      <c r="AR5287" s="146"/>
      <c r="AS5287" s="143">
        <f>'Valve Sizing'!$G$8*AS5285/P_1_maxW</f>
        <v>-306.13875860369012</v>
      </c>
      <c r="AT5287" s="132"/>
      <c r="AU5287" s="146"/>
    </row>
    <row r="5288" spans="13:47" x14ac:dyDescent="0.25">
      <c r="M5288" s="12"/>
      <c r="N5288" s="12"/>
      <c r="O5288" s="7" t="s">
        <v>190</v>
      </c>
      <c r="P5288" s="1"/>
      <c r="Q5288" s="7"/>
      <c r="R5288" s="181">
        <f>R5285-R5286</f>
        <v>-96.862246019120491</v>
      </c>
      <c r="S5288" s="132"/>
      <c r="T5288" s="146"/>
      <c r="U5288" s="138">
        <f>U5285-U5286</f>
        <v>-99.383255002584448</v>
      </c>
      <c r="V5288" s="132"/>
      <c r="W5288" s="146"/>
      <c r="X5288" s="138">
        <f>X5285-X5286</f>
        <v>-866.35017395934642</v>
      </c>
      <c r="Y5288" s="132"/>
      <c r="Z5288" s="146"/>
      <c r="AA5288" s="138">
        <f>AA5285-AA5286</f>
        <v>-3427.8269928438813</v>
      </c>
      <c r="AB5288" s="132"/>
      <c r="AC5288" s="146"/>
      <c r="AD5288" s="138">
        <f>AD5285-AD5286</f>
        <v>-9357.7658006382208</v>
      </c>
      <c r="AE5288" s="132"/>
      <c r="AF5288" s="146"/>
      <c r="AG5288" s="138">
        <f>AG5285-AG5286</f>
        <v>-18457.671406417299</v>
      </c>
      <c r="AH5288" s="132"/>
      <c r="AI5288" s="146"/>
      <c r="AJ5288" s="138">
        <f>AJ5285-AJ5286</f>
        <v>-29788.870542277393</v>
      </c>
      <c r="AK5288" s="132"/>
      <c r="AL5288" s="146"/>
      <c r="AM5288" s="138">
        <f>AM5285-AM5286</f>
        <v>-40976.872924014271</v>
      </c>
      <c r="AN5288" s="132"/>
      <c r="AO5288" s="146"/>
      <c r="AP5288" s="138">
        <f>AP5285-AP5286</f>
        <v>-51016.927338711939</v>
      </c>
      <c r="AQ5288" s="132"/>
      <c r="AR5288" s="146"/>
      <c r="AS5288" s="138">
        <f>AS5285-AS5286</f>
        <v>-63513.942301448413</v>
      </c>
      <c r="AT5288" s="132"/>
      <c r="AU5288" s="146"/>
    </row>
    <row r="5289" spans="13:47" ht="14.5" x14ac:dyDescent="0.35">
      <c r="M5289" s="12"/>
      <c r="N5289" s="12"/>
      <c r="O5289" s="2" t="s">
        <v>191</v>
      </c>
      <c r="P5289" s="10"/>
      <c r="Q5289" s="2"/>
      <c r="R5289" s="181">
        <f>R5288/R5285</f>
        <v>2.0669569695741696</v>
      </c>
      <c r="S5289" s="132"/>
      <c r="T5289" s="146"/>
      <c r="U5289" s="138">
        <f>U5288/U5285</f>
        <v>2.0124889498957343</v>
      </c>
      <c r="V5289" s="132"/>
      <c r="W5289" s="146"/>
      <c r="X5289" s="138">
        <f>X5288/X5285</f>
        <v>1.0612482260614915</v>
      </c>
      <c r="Y5289" s="132"/>
      <c r="Z5289" s="146"/>
      <c r="AA5289" s="138">
        <f>AA5288/AA5285</f>
        <v>1.0148024159040494</v>
      </c>
      <c r="AB5289" s="132"/>
      <c r="AC5289" s="146"/>
      <c r="AD5289" s="138">
        <f>AD5288/AD5285</f>
        <v>1.0053718584105942</v>
      </c>
      <c r="AE5289" s="132"/>
      <c r="AF5289" s="146"/>
      <c r="AG5289" s="138">
        <f>AG5288/AG5285</f>
        <v>1.0027162588301402</v>
      </c>
      <c r="AH5289" s="132"/>
      <c r="AI5289" s="146"/>
      <c r="AJ5289" s="138">
        <f>AJ5288/AJ5285</f>
        <v>1.0016813012427261</v>
      </c>
      <c r="AK5289" s="132"/>
      <c r="AL5289" s="146"/>
      <c r="AM5289" s="138">
        <f>AM5288/AM5285</f>
        <v>1.0012216911879104</v>
      </c>
      <c r="AN5289" s="132"/>
      <c r="AO5289" s="146"/>
      <c r="AP5289" s="138">
        <f>AP5288/AP5285</f>
        <v>1.0009810283376064</v>
      </c>
      <c r="AQ5289" s="132"/>
      <c r="AR5289" s="146"/>
      <c r="AS5289" s="138">
        <f>AS5288/AS5285</f>
        <v>1.0007878489451931</v>
      </c>
      <c r="AT5289" s="132"/>
      <c r="AU5289" s="146"/>
    </row>
    <row r="5290" spans="13:47" x14ac:dyDescent="0.25">
      <c r="M5290" s="12"/>
      <c r="N5290" s="12"/>
      <c r="O5290" s="2" t="s">
        <v>26</v>
      </c>
      <c r="P5290" s="7">
        <v>12</v>
      </c>
      <c r="Q5290" s="2"/>
      <c r="R5290" s="181">
        <f>1-R5289/(3*F_GAMMA*R$29)</f>
        <v>-7.6494875280074703E-2</v>
      </c>
      <c r="S5290" s="133"/>
      <c r="T5290" s="146"/>
      <c r="U5290" s="138">
        <f>1-U5289/(3*F_GAMMA*U$29)</f>
        <v>-4.7896534943216329E-2</v>
      </c>
      <c r="V5290" s="133"/>
      <c r="W5290" s="146"/>
      <c r="X5290" s="138">
        <f>1-X5289/(3*F_GAMMA*X$29)</f>
        <v>0.43912174831367723</v>
      </c>
      <c r="Y5290" s="133"/>
      <c r="Z5290" s="146"/>
      <c r="AA5290" s="138">
        <f>1-AA5289/(3*F_GAMMA*AA$29)</f>
        <v>0.45631488576016288</v>
      </c>
      <c r="AB5290" s="133"/>
      <c r="AC5290" s="146"/>
      <c r="AD5290" s="138">
        <f>1-AD5289/(3*F_GAMMA*AD$29)</f>
        <v>0.44659918889182637</v>
      </c>
      <c r="AE5290" s="133"/>
      <c r="AF5290" s="146"/>
      <c r="AG5290" s="138">
        <f>1-AG5289/(3*F_GAMMA*AG$29)</f>
        <v>0.41657747240656717</v>
      </c>
      <c r="AH5290" s="133"/>
      <c r="AI5290" s="146"/>
      <c r="AJ5290" s="138">
        <f>1-AJ5289/(3*F_GAMMA*AJ$29)</f>
        <v>0.3769571493992887</v>
      </c>
      <c r="AK5290" s="133"/>
      <c r="AL5290" s="146"/>
      <c r="AM5290" s="138">
        <f>1-AM5289/(3*F_GAMMA*AM$29)</f>
        <v>0.31957467795546335</v>
      </c>
      <c r="AN5290" s="133"/>
      <c r="AO5290" s="146"/>
      <c r="AP5290" s="138">
        <f>1-AP5289/(3*F_GAMMA*AP$29)</f>
        <v>0.43783724370821986</v>
      </c>
      <c r="AQ5290" s="133"/>
      <c r="AR5290" s="146"/>
      <c r="AS5290" s="138">
        <f>1-AS5289/(3*F_GAMMA*AS$29)</f>
        <v>0.14675278768767996</v>
      </c>
      <c r="AT5290" s="133"/>
      <c r="AU5290" s="146"/>
    </row>
    <row r="5291" spans="13:47" x14ac:dyDescent="0.25">
      <c r="M5291" s="12"/>
      <c r="N5291" s="12"/>
      <c r="O5291" s="2" t="s">
        <v>71</v>
      </c>
      <c r="P5291" s="85">
        <v>5</v>
      </c>
      <c r="Q5291" s="2"/>
      <c r="R5291" s="179">
        <f>R5283/((N_6*R$27*R5290)*SQRT(R5289*R5285*R5287))</f>
        <v>-848.59575227990331</v>
      </c>
      <c r="S5291" s="133"/>
      <c r="T5291" s="146"/>
      <c r="U5291" s="143">
        <f>U5283/((N_6*U$27*U5290)*SQRT(U5289*U5285*U5287))</f>
        <v>-1315.2984008764918</v>
      </c>
      <c r="V5291" s="133"/>
      <c r="W5291" s="146"/>
      <c r="X5291" s="143">
        <f>X5283/((N_6*X$27*X5290)*SQRT(X5289*X5285*X5287))</f>
        <v>29.621794508483884</v>
      </c>
      <c r="Y5291" s="133"/>
      <c r="Z5291" s="146"/>
      <c r="AA5291" s="143">
        <f>AA5283/((N_6*AA$27*AA5290)*SQRT(AA5289*AA5285*AA5287))</f>
        <v>13.801018274624482</v>
      </c>
      <c r="AB5291" s="133"/>
      <c r="AC5291" s="146"/>
      <c r="AD5291" s="143">
        <f>AD5283/((N_6*AD$27*AD5290)*SQRT(AD5289*AD5285*AD5287))</f>
        <v>8.5563894855166822</v>
      </c>
      <c r="AE5291" s="133"/>
      <c r="AF5291" s="146"/>
      <c r="AG5291" s="143">
        <f>AG5283/((N_6*AG$27*AG5290)*SQRT(AG5289*AG5285*AG5287))</f>
        <v>6.6547393994978128</v>
      </c>
      <c r="AH5291" s="133"/>
      <c r="AI5291" s="146"/>
      <c r="AJ5291" s="143">
        <f>AJ5283/((N_6*AJ$27*AJ5290)*SQRT(AJ5289*AJ5285*AJ5287))</f>
        <v>5.9814437588302587</v>
      </c>
      <c r="AK5291" s="133"/>
      <c r="AL5291" s="146"/>
      <c r="AM5291" s="143">
        <f>AM5283/((N_6*AM$27*AM5290)*SQRT(AM5289*AM5285*AM5287))</f>
        <v>6.3821563344506718</v>
      </c>
      <c r="AN5291" s="133"/>
      <c r="AO5291" s="146"/>
      <c r="AP5291" s="143">
        <f>AP5283/((N_6*AP$27*AP5290)*SQRT(AP5289*AP5285*AP5287))</f>
        <v>4.7412040243443299</v>
      </c>
      <c r="AQ5291" s="133"/>
      <c r="AR5291" s="146"/>
      <c r="AS5291" s="143">
        <f>AS5283/((N_6*AS$27*AS5290)*SQRT(AS5289*AS5285*AS5287))</f>
        <v>16.654854108591042</v>
      </c>
      <c r="AT5291" s="133"/>
      <c r="AU5291" s="146"/>
    </row>
    <row r="5292" spans="13:47" x14ac:dyDescent="0.25">
      <c r="M5292" s="12"/>
      <c r="N5292" s="12"/>
      <c r="O5292" s="2" t="s">
        <v>73</v>
      </c>
      <c r="P5292" s="85">
        <v>5</v>
      </c>
      <c r="Q5292" s="2"/>
      <c r="R5292" s="179">
        <f>R5283/((N_6*R$27*0.667)*SQRT(R5293*R5285*R5287))</f>
        <v>174.8936216897977</v>
      </c>
      <c r="S5292" s="133"/>
      <c r="T5292" s="147"/>
      <c r="U5292" s="143">
        <f>U5283/((N_6*U$27*0.667)*SQRT(U5293*U5285*U5287))</f>
        <v>167.46435588435421</v>
      </c>
      <c r="V5292" s="133"/>
      <c r="W5292" s="155"/>
      <c r="X5292" s="143">
        <f>X5283/((N_6*X$27*0.667)*SQRT(X5293*X5285*X5287))</f>
        <v>25.296789408257887</v>
      </c>
      <c r="Y5292" s="133"/>
      <c r="Z5292" s="155"/>
      <c r="AA5292" s="143">
        <f>AA5283/((N_6*AA$27*0.667)*SQRT(AA5293*AA5285*AA5287))</f>
        <v>12.058249953374194</v>
      </c>
      <c r="AB5292" s="133"/>
      <c r="AC5292" s="155"/>
      <c r="AD5292" s="143">
        <f>AD5283/((N_6*AD$27*0.667)*SQRT(AD5293*AD5285*AD5287))</f>
        <v>7.3818151286599356</v>
      </c>
      <c r="AE5292" s="133"/>
      <c r="AF5292" s="155"/>
      <c r="AG5292" s="143">
        <f>AG5283/((N_6*AG$27*0.667)*SQRT(AG5293*AG5285*AG5287))</f>
        <v>5.49861388406514</v>
      </c>
      <c r="AH5292" s="133"/>
      <c r="AI5292" s="155"/>
      <c r="AJ5292" s="143">
        <f>AJ5283/((N_6*AJ$27*0.667)*SQRT(AJ5293*AJ5285*AJ5287))</f>
        <v>4.6215936738017804</v>
      </c>
      <c r="AK5292" s="133"/>
      <c r="AL5292" s="155"/>
      <c r="AM5292" s="143">
        <f>AM5283/((N_6*AM$27*0.667)*SQRT(AM5293*AM5285*AM5287))</f>
        <v>4.368826777444311</v>
      </c>
      <c r="AN5292" s="133"/>
      <c r="AO5292" s="155"/>
      <c r="AP5292" s="143">
        <f>AP5283/((N_6*AP$27*0.667)*SQRT(AP5293*AP5285*AP5287))</f>
        <v>4.041728845620999</v>
      </c>
      <c r="AQ5292" s="133"/>
      <c r="AR5292" s="155"/>
      <c r="AS5292" s="143">
        <f>AS5283/((N_6*AS$27*0.667)*SQRT(AS5293*AS5285*AS5287))</f>
        <v>5.8627236713187703</v>
      </c>
      <c r="AT5292" s="133"/>
      <c r="AU5292" s="155"/>
    </row>
    <row r="5293" spans="13:47" ht="15.5" x14ac:dyDescent="0.4">
      <c r="M5293" s="12"/>
      <c r="N5293" s="12"/>
      <c r="O5293" s="2" t="s">
        <v>192</v>
      </c>
      <c r="P5293" s="85">
        <v>10</v>
      </c>
      <c r="Q5293" s="2"/>
      <c r="R5293" s="181">
        <f>F_GAMMA*R$29</f>
        <v>0.64002688015162901</v>
      </c>
      <c r="S5293" s="133"/>
      <c r="T5293" s="147"/>
      <c r="U5293" s="138">
        <f>F_GAMMA*U$29</f>
        <v>0.64016782916606918</v>
      </c>
      <c r="V5293" s="133"/>
      <c r="W5293" s="155"/>
      <c r="X5293" s="138">
        <f>F_GAMMA*X$29</f>
        <v>0.6307062319203669</v>
      </c>
      <c r="Y5293" s="133"/>
      <c r="Z5293" s="155"/>
      <c r="AA5293" s="138">
        <f>F_GAMMA*AA$29</f>
        <v>0.62217534213893466</v>
      </c>
      <c r="AB5293" s="133"/>
      <c r="AC5293" s="155"/>
      <c r="AD5293" s="138">
        <f>F_GAMMA*AD$29</f>
        <v>0.60557184969146072</v>
      </c>
      <c r="AE5293" s="133"/>
      <c r="AF5293" s="155"/>
      <c r="AG5293" s="138">
        <f>F_GAMMA*AG$29</f>
        <v>0.57289312142622573</v>
      </c>
      <c r="AH5293" s="133"/>
      <c r="AI5293" s="155"/>
      <c r="AJ5293" s="138">
        <f>F_GAMMA*AJ$29</f>
        <v>0.53590819116049981</v>
      </c>
      <c r="AK5293" s="133"/>
      <c r="AL5293" s="155"/>
      <c r="AM5293" s="138">
        <f>F_GAMMA*AM$29</f>
        <v>0.49048815926850342</v>
      </c>
      <c r="AN5293" s="133"/>
      <c r="AO5293" s="155"/>
      <c r="AP5293" s="138">
        <f>F_GAMMA*AP$29</f>
        <v>0.59352979016280105</v>
      </c>
      <c r="AQ5293" s="133"/>
      <c r="AR5293" s="155"/>
      <c r="AS5293" s="138">
        <f>F_GAMMA*AS$29</f>
        <v>0.39097221161068291</v>
      </c>
      <c r="AT5293" s="133"/>
      <c r="AU5293" s="155"/>
    </row>
    <row r="5294" spans="13:47" x14ac:dyDescent="0.25">
      <c r="M5294" s="12"/>
      <c r="N5294" s="12"/>
      <c r="O5294" s="2" t="s">
        <v>193</v>
      </c>
      <c r="P5294" s="134"/>
      <c r="Q5294" s="2"/>
      <c r="R5294" s="181">
        <f>IF(R5289&lt;R5293,R5291,R5292)</f>
        <v>174.8936216897977</v>
      </c>
      <c r="S5294" s="133"/>
      <c r="T5294" s="147"/>
      <c r="U5294" s="138">
        <f>IF(U5289&lt;U5293,U5291,U5292)</f>
        <v>167.46435588435421</v>
      </c>
      <c r="V5294" s="133"/>
      <c r="W5294" s="155"/>
      <c r="X5294" s="138">
        <f>IF(X5289&lt;X5293,X5291,X5292)</f>
        <v>25.296789408257887</v>
      </c>
      <c r="Y5294" s="133"/>
      <c r="Z5294" s="155"/>
      <c r="AA5294" s="138">
        <f>IF(AA5289&lt;AA5293,AA5291,AA5292)</f>
        <v>12.058249953374194</v>
      </c>
      <c r="AB5294" s="133"/>
      <c r="AC5294" s="155"/>
      <c r="AD5294" s="138">
        <f>IF(AD5289&lt;AD5293,AD5291,AD5292)</f>
        <v>7.3818151286599356</v>
      </c>
      <c r="AE5294" s="133"/>
      <c r="AF5294" s="155"/>
      <c r="AG5294" s="138">
        <f>IF(AG5289&lt;AG5293,AG5291,AG5292)</f>
        <v>5.49861388406514</v>
      </c>
      <c r="AH5294" s="133"/>
      <c r="AI5294" s="155"/>
      <c r="AJ5294" s="138">
        <f>IF(AJ5289&lt;AJ5293,AJ5291,AJ5292)</f>
        <v>4.6215936738017804</v>
      </c>
      <c r="AK5294" s="133"/>
      <c r="AL5294" s="155"/>
      <c r="AM5294" s="138">
        <f>IF(AM5289&lt;AM5293,AM5291,AM5292)</f>
        <v>4.368826777444311</v>
      </c>
      <c r="AN5294" s="133"/>
      <c r="AO5294" s="155"/>
      <c r="AP5294" s="138">
        <f>IF(AP5289&lt;AP5293,AP5291,AP5292)</f>
        <v>4.041728845620999</v>
      </c>
      <c r="AQ5294" s="133"/>
      <c r="AR5294" s="155"/>
      <c r="AS5294" s="138">
        <f>IF(AS5289&lt;AS5293,AS5291,AS5292)</f>
        <v>5.8627236713187703</v>
      </c>
      <c r="AT5294" s="133"/>
      <c r="AU5294" s="155"/>
    </row>
    <row r="5295" spans="13:47" ht="13" x14ac:dyDescent="0.3">
      <c r="M5295" s="12"/>
      <c r="N5295" s="12"/>
      <c r="O5295" s="9" t="s">
        <v>194</v>
      </c>
      <c r="P5295" s="1"/>
      <c r="Q5295" s="1"/>
      <c r="R5295" s="135"/>
      <c r="S5295" s="132">
        <f>IF(R5288&lt;=0,W_max,ABS(R$23-R5294))</f>
        <v>7174</v>
      </c>
      <c r="T5295" s="151">
        <f>R5283</f>
        <v>19225.157101455294</v>
      </c>
      <c r="U5295" s="135"/>
      <c r="V5295" s="132">
        <f>IF(U5288&lt;=0,W_max,ABS(U$23-U5294))</f>
        <v>7174</v>
      </c>
      <c r="W5295" s="151">
        <f>U5283</f>
        <v>19388.882316744857</v>
      </c>
      <c r="X5295" s="135"/>
      <c r="Y5295" s="132">
        <f>IF(X5288&lt;=0,W_max,ABS(X$23-X5294))</f>
        <v>7174</v>
      </c>
      <c r="Z5295" s="151">
        <f>X5283</f>
        <v>47951.013273352568</v>
      </c>
      <c r="AA5295" s="135"/>
      <c r="AB5295" s="132">
        <f>IF(AA5288&lt;=0,W_max,ABS(AA$23-AA5294))</f>
        <v>7174</v>
      </c>
      <c r="AC5295" s="151">
        <f>AA5283</f>
        <v>93396.334580287483</v>
      </c>
      <c r="AD5295" s="135"/>
      <c r="AE5295" s="132">
        <f>IF(AD5288&lt;=0,W_max,ABS(AD$23-AD5294))</f>
        <v>7174</v>
      </c>
      <c r="AF5295" s="151">
        <f>AD5283</f>
        <v>153602.58389431896</v>
      </c>
      <c r="AG5295" s="135"/>
      <c r="AH5295" s="132">
        <f>IF(AG5288&lt;=0,W_max,ABS(AG$23-AG5294))</f>
        <v>7174</v>
      </c>
      <c r="AI5295" s="151">
        <f>AG5283</f>
        <v>215439.4491863529</v>
      </c>
      <c r="AJ5295" s="135"/>
      <c r="AK5295" s="132">
        <f>IF(AJ5288&lt;=0,W_max,ABS(AJ$23-AJ5294))</f>
        <v>7174</v>
      </c>
      <c r="AL5295" s="151">
        <f>AJ5283</f>
        <v>273550.93329254322</v>
      </c>
      <c r="AM5295" s="135"/>
      <c r="AN5295" s="132">
        <f>IF(AM5288&lt;=0,W_max,ABS(AM$23-AM5294))</f>
        <v>7174</v>
      </c>
      <c r="AO5295" s="151">
        <f>AM5283</f>
        <v>320759.98267778353</v>
      </c>
      <c r="AP5295" s="135"/>
      <c r="AQ5295" s="132">
        <f>IF(AP5288&lt;=0,W_max,ABS(AP$23-AP5294))</f>
        <v>7174</v>
      </c>
      <c r="AR5295" s="151">
        <f>AP5283</f>
        <v>357861.7595505183</v>
      </c>
      <c r="AS5295" s="135"/>
      <c r="AT5295" s="132">
        <f>IF(AS5288&lt;=0,W_max,ABS(AS$23-AS5294))</f>
        <v>7174</v>
      </c>
      <c r="AU5295" s="151">
        <f>AS5283</f>
        <v>399255.03761246789</v>
      </c>
    </row>
    <row r="5296" spans="13:47" ht="13" x14ac:dyDescent="0.25">
      <c r="M5296" s="12"/>
      <c r="N5296" s="12"/>
      <c r="O5296" s="12"/>
      <c r="P5296" s="12"/>
      <c r="Q5296" s="12"/>
      <c r="R5296" s="182"/>
      <c r="S5296" s="22"/>
      <c r="T5296" s="152"/>
      <c r="U5296" s="157"/>
      <c r="V5296" s="1"/>
      <c r="W5296" s="147"/>
      <c r="X5296" s="157"/>
      <c r="Y5296" s="1"/>
      <c r="Z5296" s="147"/>
      <c r="AA5296" s="157"/>
      <c r="AB5296" s="1"/>
      <c r="AC5296" s="147"/>
      <c r="AD5296" s="157"/>
      <c r="AE5296" s="1"/>
      <c r="AF5296" s="147"/>
      <c r="AG5296" s="157"/>
      <c r="AH5296" s="1"/>
      <c r="AI5296" s="147"/>
      <c r="AJ5296" s="157"/>
      <c r="AK5296" s="1"/>
      <c r="AL5296" s="147"/>
      <c r="AM5296" s="157"/>
      <c r="AN5296" s="1"/>
      <c r="AO5296" s="147"/>
      <c r="AP5296" s="157"/>
      <c r="AQ5296" s="1"/>
      <c r="AR5296" s="147"/>
      <c r="AS5296" s="157"/>
      <c r="AT5296" s="1"/>
      <c r="AU5296" s="147"/>
    </row>
    <row r="5297" spans="13:47" ht="14" x14ac:dyDescent="0.3">
      <c r="M5297" s="12"/>
      <c r="N5297" s="12"/>
      <c r="O5297" s="23" t="s">
        <v>238</v>
      </c>
      <c r="P5297" s="20"/>
      <c r="Q5297" s="20"/>
      <c r="R5297" s="18">
        <f>R5283*1.02</f>
        <v>19609.660243484399</v>
      </c>
      <c r="S5297" s="128" t="s">
        <v>185</v>
      </c>
      <c r="T5297" s="153" t="s">
        <v>186</v>
      </c>
      <c r="U5297" s="143">
        <f>U5283*1.01</f>
        <v>19582.771139912307</v>
      </c>
      <c r="V5297" s="128" t="s">
        <v>185</v>
      </c>
      <c r="W5297" s="153" t="s">
        <v>186</v>
      </c>
      <c r="X5297" s="143">
        <f>X5283*1.01</f>
        <v>48430.523406086097</v>
      </c>
      <c r="Y5297" s="128" t="s">
        <v>185</v>
      </c>
      <c r="Z5297" s="153" t="s">
        <v>186</v>
      </c>
      <c r="AA5297" s="143">
        <f>AA5283*1.01</f>
        <v>94330.297926090352</v>
      </c>
      <c r="AB5297" s="128" t="s">
        <v>185</v>
      </c>
      <c r="AC5297" s="153" t="s">
        <v>186</v>
      </c>
      <c r="AD5297" s="143">
        <f>AD5283*1.01</f>
        <v>155138.60973326216</v>
      </c>
      <c r="AE5297" s="128" t="s">
        <v>185</v>
      </c>
      <c r="AF5297" s="153" t="s">
        <v>186</v>
      </c>
      <c r="AG5297" s="143">
        <f>AG5283*1.01</f>
        <v>217593.84367821642</v>
      </c>
      <c r="AH5297" s="128" t="s">
        <v>185</v>
      </c>
      <c r="AI5297" s="153" t="s">
        <v>186</v>
      </c>
      <c r="AJ5297" s="143">
        <f>AJ5283*1.01</f>
        <v>276286.44262546866</v>
      </c>
      <c r="AK5297" s="128" t="s">
        <v>185</v>
      </c>
      <c r="AL5297" s="153" t="s">
        <v>186</v>
      </c>
      <c r="AM5297" s="143">
        <f>AM5283*1.01</f>
        <v>323967.58250456135</v>
      </c>
      <c r="AN5297" s="128" t="s">
        <v>185</v>
      </c>
      <c r="AO5297" s="153" t="s">
        <v>186</v>
      </c>
      <c r="AP5297" s="143">
        <f>AP5283*1.01</f>
        <v>361440.3771460235</v>
      </c>
      <c r="AQ5297" s="128" t="s">
        <v>185</v>
      </c>
      <c r="AR5297" s="153" t="s">
        <v>186</v>
      </c>
      <c r="AS5297" s="143">
        <f>AS5283*1.01</f>
        <v>403247.58798859257</v>
      </c>
      <c r="AT5297" s="128" t="s">
        <v>185</v>
      </c>
      <c r="AU5297" s="153" t="s">
        <v>186</v>
      </c>
    </row>
    <row r="5298" spans="13:47" ht="14" x14ac:dyDescent="0.3">
      <c r="M5298" s="12"/>
      <c r="N5298" s="12"/>
      <c r="O5298" s="20"/>
      <c r="P5298" s="20"/>
      <c r="Q5298" s="23"/>
      <c r="R5298" s="139"/>
      <c r="S5298" s="130" t="s">
        <v>228</v>
      </c>
      <c r="T5298" s="154" t="s">
        <v>187</v>
      </c>
      <c r="U5298" s="144"/>
      <c r="V5298" s="130" t="s">
        <v>228</v>
      </c>
      <c r="W5298" s="154" t="s">
        <v>187</v>
      </c>
      <c r="X5298" s="144"/>
      <c r="Y5298" s="130" t="s">
        <v>228</v>
      </c>
      <c r="Z5298" s="154" t="s">
        <v>187</v>
      </c>
      <c r="AA5298" s="144"/>
      <c r="AB5298" s="130" t="s">
        <v>228</v>
      </c>
      <c r="AC5298" s="154" t="s">
        <v>187</v>
      </c>
      <c r="AD5298" s="144"/>
      <c r="AE5298" s="130" t="s">
        <v>228</v>
      </c>
      <c r="AF5298" s="154" t="s">
        <v>187</v>
      </c>
      <c r="AG5298" s="144"/>
      <c r="AH5298" s="130" t="s">
        <v>228</v>
      </c>
      <c r="AI5298" s="154" t="s">
        <v>187</v>
      </c>
      <c r="AJ5298" s="144"/>
      <c r="AK5298" s="130" t="s">
        <v>228</v>
      </c>
      <c r="AL5298" s="154" t="s">
        <v>187</v>
      </c>
      <c r="AM5298" s="144"/>
      <c r="AN5298" s="130" t="s">
        <v>228</v>
      </c>
      <c r="AO5298" s="154" t="s">
        <v>187</v>
      </c>
      <c r="AP5298" s="144"/>
      <c r="AQ5298" s="130" t="s">
        <v>228</v>
      </c>
      <c r="AR5298" s="154" t="s">
        <v>187</v>
      </c>
      <c r="AS5298" s="144"/>
      <c r="AT5298" s="130" t="s">
        <v>228</v>
      </c>
      <c r="AU5298" s="154" t="s">
        <v>187</v>
      </c>
    </row>
    <row r="5299" spans="13:47" x14ac:dyDescent="0.25">
      <c r="M5299" s="12"/>
      <c r="N5299" s="12"/>
      <c r="O5299" s="7" t="s">
        <v>188</v>
      </c>
      <c r="P5299" s="7"/>
      <c r="Q5299" s="7"/>
      <c r="R5299" s="181">
        <f>P_1_minW-(R5297^2*R_up)+dpup_minQ</f>
        <v>-52.816601342456678</v>
      </c>
      <c r="S5299" s="132"/>
      <c r="T5299" s="145"/>
      <c r="U5299" s="138">
        <f>P_1_minW-(U5297^2*R_up)+dpup_minQ</f>
        <v>-52.3963664415446</v>
      </c>
      <c r="V5299" s="132"/>
      <c r="W5299" s="145"/>
      <c r="X5299" s="138">
        <f>P_1_minW-(X5297^2*R_up)+dpup_minQ</f>
        <v>-834.77932046933756</v>
      </c>
      <c r="Y5299" s="132"/>
      <c r="Z5299" s="145"/>
      <c r="AA5299" s="138">
        <f>P_1_minW-(AA5297^2*R_up)+dpup_minQ</f>
        <v>-3447.7418234134516</v>
      </c>
      <c r="AB5299" s="132"/>
      <c r="AC5299" s="145"/>
      <c r="AD5299" s="138">
        <f>P_1_minW-(AD5297^2*R_up)+dpup_minQ</f>
        <v>-9496.8724012444582</v>
      </c>
      <c r="AE5299" s="132"/>
      <c r="AF5299" s="145"/>
      <c r="AG5299" s="138">
        <f>P_1_minW-(AG5297^2*R_up)+dpup_minQ</f>
        <v>-18779.686109699694</v>
      </c>
      <c r="AH5299" s="132"/>
      <c r="AI5299" s="145"/>
      <c r="AJ5299" s="138">
        <f>P_1_minW-(AJ5297^2*R_up)+dpup_minQ</f>
        <v>-30338.642348190573</v>
      </c>
      <c r="AK5299" s="132"/>
      <c r="AL5299" s="145"/>
      <c r="AM5299" s="138">
        <f>P_1_minW-(AM5297^2*R_up)+dpup_minQ</f>
        <v>-41751.523577800363</v>
      </c>
      <c r="AN5299" s="132"/>
      <c r="AO5299" s="145"/>
      <c r="AP5299" s="138">
        <f>P_1_minW-(AP5297^2*R_up)+dpup_minQ</f>
        <v>-51993.383086233465</v>
      </c>
      <c r="AQ5299" s="132"/>
      <c r="AR5299" s="145"/>
      <c r="AS5299" s="138">
        <f>P_1_minW-(AS5297^2*R_up)+dpup_minQ</f>
        <v>-64741.588049720936</v>
      </c>
      <c r="AT5299" s="132"/>
      <c r="AU5299" s="145"/>
    </row>
    <row r="5300" spans="13:47" x14ac:dyDescent="0.25">
      <c r="M5300" s="12"/>
      <c r="N5300" s="12"/>
      <c r="O5300" s="7" t="s">
        <v>189</v>
      </c>
      <c r="P5300" s="1"/>
      <c r="Q5300" s="7"/>
      <c r="R5300" s="181">
        <f>P_2_minW+(R5297^2*R_dn)-dpdn_minQ</f>
        <v>50</v>
      </c>
      <c r="S5300" s="132"/>
      <c r="T5300" s="146"/>
      <c r="U5300" s="138">
        <f>P_2_minW+(U5297^2*R_dn)-dpdn_minQ</f>
        <v>50</v>
      </c>
      <c r="V5300" s="132"/>
      <c r="W5300" s="146"/>
      <c r="X5300" s="138">
        <f>P_2_minW+(X5297^2*R_dn)-dpdn_minQ</f>
        <v>50</v>
      </c>
      <c r="Y5300" s="132"/>
      <c r="Z5300" s="146"/>
      <c r="AA5300" s="138">
        <f>P_2_minW+(AA5297^2*R_dn)-dpdn_minQ</f>
        <v>50</v>
      </c>
      <c r="AB5300" s="132"/>
      <c r="AC5300" s="146"/>
      <c r="AD5300" s="138">
        <f>P_2_minW+(AD5297^2*R_dn)-dpdn_minQ</f>
        <v>50</v>
      </c>
      <c r="AE5300" s="132"/>
      <c r="AF5300" s="146"/>
      <c r="AG5300" s="138">
        <f>P_2_minW+(AG5297^2*R_dn)-dpdn_minQ</f>
        <v>50</v>
      </c>
      <c r="AH5300" s="132"/>
      <c r="AI5300" s="146"/>
      <c r="AJ5300" s="138">
        <f>P_2_minW+(AJ5297^2*R_dn)-dpdn_minQ</f>
        <v>50</v>
      </c>
      <c r="AK5300" s="132"/>
      <c r="AL5300" s="146"/>
      <c r="AM5300" s="138">
        <f>P_2_minW+(AM5297^2*R_dn)-dpdn_minQ</f>
        <v>50</v>
      </c>
      <c r="AN5300" s="132"/>
      <c r="AO5300" s="146"/>
      <c r="AP5300" s="138">
        <f>P_2_minW+(AP5297^2*R_dn)-dpdn_minQ</f>
        <v>50</v>
      </c>
      <c r="AQ5300" s="132"/>
      <c r="AR5300" s="146"/>
      <c r="AS5300" s="138">
        <f>P_2_minW+(AS5297^2*R_dn)-dpdn_minQ</f>
        <v>50</v>
      </c>
      <c r="AT5300" s="132"/>
      <c r="AU5300" s="146"/>
    </row>
    <row r="5301" spans="13:47" x14ac:dyDescent="0.25">
      <c r="M5301" s="12"/>
      <c r="N5301" s="12"/>
      <c r="O5301" s="7" t="s">
        <v>234</v>
      </c>
      <c r="P5301" s="1"/>
      <c r="Q5301" s="7"/>
      <c r="R5301" s="179">
        <f>'Valve Sizing'!G$8*R5299/P_1_maxW</f>
        <v>-0.25477788145973179</v>
      </c>
      <c r="S5301" s="132"/>
      <c r="T5301" s="146"/>
      <c r="U5301" s="143">
        <f>'Valve Sizing'!$G$8*U5299/P_1_maxW</f>
        <v>-0.25275074311594448</v>
      </c>
      <c r="V5301" s="132"/>
      <c r="W5301" s="146"/>
      <c r="X5301" s="143">
        <f>'Valve Sizing'!$G$8*X5299/P_1_maxW</f>
        <v>-4.0268268186466329</v>
      </c>
      <c r="Y5301" s="132"/>
      <c r="Z5301" s="146"/>
      <c r="AA5301" s="143">
        <f>'Valve Sizing'!$G$8*AA5299/P_1_maxW</f>
        <v>-16.631292723549073</v>
      </c>
      <c r="AB5301" s="132"/>
      <c r="AC5301" s="146"/>
      <c r="AD5301" s="143">
        <f>'Valve Sizing'!$G$8*AD5299/P_1_maxW</f>
        <v>-45.811221649687376</v>
      </c>
      <c r="AE5301" s="132"/>
      <c r="AF5301" s="146"/>
      <c r="AG5301" s="143">
        <f>'Valve Sizing'!$G$8*AG5299/P_1_maxW</f>
        <v>-90.589862276160801</v>
      </c>
      <c r="AH5301" s="132"/>
      <c r="AI5301" s="146"/>
      <c r="AJ5301" s="143">
        <f>'Valve Sizing'!$G$8*AJ5299/P_1_maxW</f>
        <v>-146.34820922532623</v>
      </c>
      <c r="AK5301" s="132"/>
      <c r="AL5301" s="146"/>
      <c r="AM5301" s="143">
        <f>'Valve Sizing'!$G$8*AM5299/P_1_maxW</f>
        <v>-201.40191633870165</v>
      </c>
      <c r="AN5301" s="132"/>
      <c r="AO5301" s="146"/>
      <c r="AP5301" s="143">
        <f>'Valve Sizing'!$G$8*AP5299/P_1_maxW</f>
        <v>-250.80682315668781</v>
      </c>
      <c r="AQ5301" s="132"/>
      <c r="AR5301" s="146"/>
      <c r="AS5301" s="143">
        <f>'Valve Sizing'!$G$8*AS5299/P_1_maxW</f>
        <v>-312.30189422255171</v>
      </c>
      <c r="AT5301" s="132"/>
      <c r="AU5301" s="146"/>
    </row>
    <row r="5302" spans="13:47" x14ac:dyDescent="0.25">
      <c r="M5302" s="12"/>
      <c r="N5302" s="12"/>
      <c r="O5302" s="7" t="s">
        <v>190</v>
      </c>
      <c r="P5302" s="1"/>
      <c r="Q5302" s="7"/>
      <c r="R5302" s="181">
        <f>R5299-R5300</f>
        <v>-102.81660134245668</v>
      </c>
      <c r="S5302" s="132"/>
      <c r="T5302" s="146"/>
      <c r="U5302" s="138">
        <f>U5299-U5300</f>
        <v>-102.3963664415446</v>
      </c>
      <c r="V5302" s="132"/>
      <c r="W5302" s="146"/>
      <c r="X5302" s="138">
        <f>X5299-X5300</f>
        <v>-884.77932046933756</v>
      </c>
      <c r="Y5302" s="132"/>
      <c r="Z5302" s="146"/>
      <c r="AA5302" s="138">
        <f>AA5299-AA5300</f>
        <v>-3497.7418234134516</v>
      </c>
      <c r="AB5302" s="132"/>
      <c r="AC5302" s="146"/>
      <c r="AD5302" s="138">
        <f>AD5299-AD5300</f>
        <v>-9546.8724012444582</v>
      </c>
      <c r="AE5302" s="132"/>
      <c r="AF5302" s="146"/>
      <c r="AG5302" s="138">
        <f>AG5299-AG5300</f>
        <v>-18829.686109699694</v>
      </c>
      <c r="AH5302" s="132"/>
      <c r="AI5302" s="146"/>
      <c r="AJ5302" s="138">
        <f>AJ5299-AJ5300</f>
        <v>-30388.642348190573</v>
      </c>
      <c r="AK5302" s="132"/>
      <c r="AL5302" s="146"/>
      <c r="AM5302" s="138">
        <f>AM5299-AM5300</f>
        <v>-41801.523577800363</v>
      </c>
      <c r="AN5302" s="132"/>
      <c r="AO5302" s="146"/>
      <c r="AP5302" s="138">
        <f>AP5299-AP5300</f>
        <v>-52043.383086233465</v>
      </c>
      <c r="AQ5302" s="132"/>
      <c r="AR5302" s="146"/>
      <c r="AS5302" s="138">
        <f>AS5299-AS5300</f>
        <v>-64791.588049720936</v>
      </c>
      <c r="AT5302" s="132"/>
      <c r="AU5302" s="146"/>
    </row>
    <row r="5303" spans="13:47" ht="14.5" x14ac:dyDescent="0.35">
      <c r="M5303" s="12"/>
      <c r="N5303" s="12"/>
      <c r="O5303" s="2" t="s">
        <v>191</v>
      </c>
      <c r="P5303" s="10"/>
      <c r="Q5303" s="2"/>
      <c r="R5303" s="181">
        <f>R5302/R5299</f>
        <v>1.9466720449467363</v>
      </c>
      <c r="S5303" s="132"/>
      <c r="T5303" s="146"/>
      <c r="U5303" s="138">
        <f>U5302/U5299</f>
        <v>1.9542646445871761</v>
      </c>
      <c r="V5303" s="132"/>
      <c r="W5303" s="146"/>
      <c r="X5303" s="138">
        <f>X5302/X5299</f>
        <v>1.0598960692652144</v>
      </c>
      <c r="Y5303" s="132"/>
      <c r="Z5303" s="146"/>
      <c r="AA5303" s="138">
        <f>AA5302/AA5299</f>
        <v>1.0145022459803841</v>
      </c>
      <c r="AB5303" s="132"/>
      <c r="AC5303" s="146"/>
      <c r="AD5303" s="138">
        <f>AD5302/AD5299</f>
        <v>1.0052648912070723</v>
      </c>
      <c r="AE5303" s="132"/>
      <c r="AF5303" s="146"/>
      <c r="AG5303" s="138">
        <f>AG5302/AG5299</f>
        <v>1.0026624513161684</v>
      </c>
      <c r="AH5303" s="132"/>
      <c r="AI5303" s="146"/>
      <c r="AJ5303" s="138">
        <f>AJ5302/AJ5299</f>
        <v>1.0016480632002631</v>
      </c>
      <c r="AK5303" s="132"/>
      <c r="AL5303" s="146"/>
      <c r="AM5303" s="138">
        <f>AM5302/AM5299</f>
        <v>1.0011975610879644</v>
      </c>
      <c r="AN5303" s="132"/>
      <c r="AO5303" s="146"/>
      <c r="AP5303" s="138">
        <f>AP5302/AP5299</f>
        <v>1.0009616608312846</v>
      </c>
      <c r="AQ5303" s="132"/>
      <c r="AR5303" s="146"/>
      <c r="AS5303" s="138">
        <f>AS5302/AS5299</f>
        <v>1.0007723011051506</v>
      </c>
      <c r="AT5303" s="132"/>
      <c r="AU5303" s="146"/>
    </row>
    <row r="5304" spans="13:47" x14ac:dyDescent="0.25">
      <c r="M5304" s="12"/>
      <c r="N5304" s="12"/>
      <c r="O5304" s="2" t="s">
        <v>26</v>
      </c>
      <c r="P5304" s="7">
        <v>12</v>
      </c>
      <c r="Q5304" s="2"/>
      <c r="R5304" s="181">
        <f>1-R5303/(3*F_GAMMA*R$29)</f>
        <v>-1.3849108173680458E-2</v>
      </c>
      <c r="S5304" s="133"/>
      <c r="T5304" s="146"/>
      <c r="U5304" s="138">
        <f>1-U5303/(3*F_GAMMA*U$29)</f>
        <v>-1.7579326103150272E-2</v>
      </c>
      <c r="V5304" s="133"/>
      <c r="W5304" s="146"/>
      <c r="X5304" s="138">
        <f>1-X5303/(3*F_GAMMA*X$29)</f>
        <v>0.43983637409233811</v>
      </c>
      <c r="Y5304" s="133"/>
      <c r="Z5304" s="146"/>
      <c r="AA5304" s="138">
        <f>1-AA5303/(3*F_GAMMA*AA$29)</f>
        <v>0.45647570319287845</v>
      </c>
      <c r="AB5304" s="133"/>
      <c r="AC5304" s="146"/>
      <c r="AD5304" s="138">
        <f>1-AD5303/(3*F_GAMMA*AD$29)</f>
        <v>0.44665806833697475</v>
      </c>
      <c r="AE5304" s="133"/>
      <c r="AF5304" s="146"/>
      <c r="AG5304" s="138">
        <f>1-AG5303/(3*F_GAMMA*AG$29)</f>
        <v>0.41660877988316236</v>
      </c>
      <c r="AH5304" s="133"/>
      <c r="AI5304" s="146"/>
      <c r="AJ5304" s="138">
        <f>1-AJ5303/(3*F_GAMMA*AJ$29)</f>
        <v>0.3769778233648492</v>
      </c>
      <c r="AK5304" s="133"/>
      <c r="AL5304" s="146"/>
      <c r="AM5304" s="138">
        <f>1-AM5303/(3*F_GAMMA*AM$29)</f>
        <v>0.31959107665234654</v>
      </c>
      <c r="AN5304" s="133"/>
      <c r="AO5304" s="146"/>
      <c r="AP5304" s="138">
        <f>1-AP5303/(3*F_GAMMA*AP$29)</f>
        <v>0.43784812072829127</v>
      </c>
      <c r="AQ5304" s="133"/>
      <c r="AR5304" s="146"/>
      <c r="AS5304" s="138">
        <f>1-AS5303/(3*F_GAMMA*AS$29)</f>
        <v>0.14676604339535837</v>
      </c>
      <c r="AT5304" s="133"/>
      <c r="AU5304" s="146"/>
    </row>
    <row r="5305" spans="13:47" x14ac:dyDescent="0.25">
      <c r="M5305" s="12"/>
      <c r="N5305" s="12"/>
      <c r="O5305" s="2" t="s">
        <v>71</v>
      </c>
      <c r="P5305" s="85">
        <v>5</v>
      </c>
      <c r="Q5305" s="2"/>
      <c r="R5305" s="179">
        <f>R5297/((N_6*R$27*R5304)*SQRT(R5303*R5299*R5301))</f>
        <v>-4371.0273938923601</v>
      </c>
      <c r="S5305" s="133"/>
      <c r="T5305" s="146"/>
      <c r="U5305" s="143">
        <f>U5297/((N_6*U$27*U5304)*SQRT(U5303*U5299*U5301))</f>
        <v>-3461.793396408365</v>
      </c>
      <c r="V5305" s="133"/>
      <c r="W5305" s="146"/>
      <c r="X5305" s="143">
        <f>X5297/((N_6*X$27*X5304)*SQRT(X5303*X5299*X5301))</f>
        <v>29.228612439848934</v>
      </c>
      <c r="Y5305" s="133"/>
      <c r="Z5305" s="146"/>
      <c r="AA5305" s="143">
        <f>AA5297/((N_6*AA$27*AA5304)*SQRT(AA5303*AA5299*AA5301))</f>
        <v>13.653574971308926</v>
      </c>
      <c r="AB5305" s="133"/>
      <c r="AC5305" s="146"/>
      <c r="AD5305" s="143">
        <f>AD5297/((N_6*AD$27*AD5304)*SQRT(AD5303*AD5299*AD5301))</f>
        <v>8.4692044047910606</v>
      </c>
      <c r="AE5305" s="133"/>
      <c r="AF5305" s="146"/>
      <c r="AG5305" s="143">
        <f>AG5297/((N_6*AG$27*AG5304)*SQRT(AG5303*AG5299*AG5301))</f>
        <v>6.587823666803903</v>
      </c>
      <c r="AH5305" s="133"/>
      <c r="AI5305" s="146"/>
      <c r="AJ5305" s="143">
        <f>AJ5297/((N_6*AJ$27*AJ5304)*SQRT(AJ5303*AJ5299*AJ5301))</f>
        <v>5.9216006182952015</v>
      </c>
      <c r="AK5305" s="133"/>
      <c r="AL5305" s="146"/>
      <c r="AM5305" s="143">
        <f>AM5297/((N_6*AM$27*AM5304)*SQRT(AM5303*AM5299*AM5301))</f>
        <v>6.3184127894553912</v>
      </c>
      <c r="AN5305" s="133"/>
      <c r="AO5305" s="146"/>
      <c r="AP5305" s="143">
        <f>AP5297/((N_6*AP$27*AP5304)*SQRT(AP5303*AP5299*AP5301))</f>
        <v>4.6940077881716435</v>
      </c>
      <c r="AQ5305" s="133"/>
      <c r="AR5305" s="146"/>
      <c r="AS5305" s="143">
        <f>AS5297/((N_6*AS$27*AS5304)*SQRT(AS5303*AS5299*AS5301))</f>
        <v>16.488078704085595</v>
      </c>
      <c r="AT5305" s="133"/>
      <c r="AU5305" s="146"/>
    </row>
    <row r="5306" spans="13:47" x14ac:dyDescent="0.25">
      <c r="M5306" s="12"/>
      <c r="N5306" s="12"/>
      <c r="O5306" s="2" t="s">
        <v>73</v>
      </c>
      <c r="P5306" s="85">
        <v>5</v>
      </c>
      <c r="Q5306" s="2"/>
      <c r="R5306" s="179">
        <f>R5297/((N_6*R$27*0.667)*SQRT(R5307*R5299*R5301))</f>
        <v>158.28027311212617</v>
      </c>
      <c r="S5306" s="133"/>
      <c r="T5306" s="155"/>
      <c r="U5306" s="143">
        <f>U5297/((N_6*U$27*0.667)*SQRT(U5307*U5299*U5301))</f>
        <v>159.41247280389078</v>
      </c>
      <c r="V5306" s="133"/>
      <c r="W5306" s="155"/>
      <c r="X5306" s="143">
        <f>X5297/((N_6*X$27*0.667)*SQRT(X5307*X5299*X5301))</f>
        <v>24.985703774571213</v>
      </c>
      <c r="Y5306" s="133"/>
      <c r="Z5306" s="155"/>
      <c r="AA5306" s="143">
        <f>AA5297/((N_6*AA$27*0.667)*SQRT(AA5307*AA5299*AA5301))</f>
        <v>11.931864712545858</v>
      </c>
      <c r="AB5306" s="133"/>
      <c r="AC5306" s="155"/>
      <c r="AD5306" s="143">
        <f>AD5297/((N_6*AD$27*0.667)*SQRT(AD5307*AD5299*AD5301))</f>
        <v>7.3071728810521925</v>
      </c>
      <c r="AE5306" s="133"/>
      <c r="AF5306" s="155"/>
      <c r="AG5306" s="143">
        <f>AG5297/((N_6*AG$27*0.667)*SQRT(AG5307*AG5299*AG5301))</f>
        <v>5.443586423498326</v>
      </c>
      <c r="AH5306" s="133"/>
      <c r="AI5306" s="155"/>
      <c r="AJ5306" s="143">
        <f>AJ5297/((N_6*AJ$27*0.667)*SQRT(AJ5307*AJ5299*AJ5301))</f>
        <v>4.5755305768361261</v>
      </c>
      <c r="AK5306" s="133"/>
      <c r="AL5306" s="155"/>
      <c r="AM5306" s="143">
        <f>AM5297/((N_6*AM$27*0.667)*SQRT(AM5307*AM5299*AM5301))</f>
        <v>4.3253617366670305</v>
      </c>
      <c r="AN5306" s="133"/>
      <c r="AO5306" s="155"/>
      <c r="AP5306" s="143">
        <f>AP5297/((N_6*AP$27*0.667)*SQRT(AP5307*AP5299*AP5301))</f>
        <v>4.001556218345109</v>
      </c>
      <c r="AQ5306" s="133"/>
      <c r="AR5306" s="155"/>
      <c r="AS5306" s="143">
        <f>AS5297/((N_6*AS$27*0.667)*SQRT(AS5307*AS5299*AS5301))</f>
        <v>5.8044957452289321</v>
      </c>
      <c r="AT5306" s="133"/>
      <c r="AU5306" s="155"/>
    </row>
    <row r="5307" spans="13:47" ht="15.5" x14ac:dyDescent="0.4">
      <c r="M5307" s="12"/>
      <c r="N5307" s="12"/>
      <c r="O5307" s="2" t="s">
        <v>192</v>
      </c>
      <c r="P5307" s="85">
        <v>10</v>
      </c>
      <c r="Q5307" s="2"/>
      <c r="R5307" s="181">
        <f>F_GAMMA*R$29</f>
        <v>0.64002688015162901</v>
      </c>
      <c r="S5307" s="133"/>
      <c r="T5307" s="155"/>
      <c r="U5307" s="138">
        <f>F_GAMMA*U$29</f>
        <v>0.64016782916606918</v>
      </c>
      <c r="V5307" s="133"/>
      <c r="W5307" s="155"/>
      <c r="X5307" s="138">
        <f>F_GAMMA*X$29</f>
        <v>0.6307062319203669</v>
      </c>
      <c r="Y5307" s="133"/>
      <c r="Z5307" s="155"/>
      <c r="AA5307" s="138">
        <f>F_GAMMA*AA$29</f>
        <v>0.62217534213893466</v>
      </c>
      <c r="AB5307" s="133"/>
      <c r="AC5307" s="155"/>
      <c r="AD5307" s="138">
        <f>F_GAMMA*AD$29</f>
        <v>0.60557184969146072</v>
      </c>
      <c r="AE5307" s="133"/>
      <c r="AF5307" s="155"/>
      <c r="AG5307" s="138">
        <f>F_GAMMA*AG$29</f>
        <v>0.57289312142622573</v>
      </c>
      <c r="AH5307" s="133"/>
      <c r="AI5307" s="155"/>
      <c r="AJ5307" s="138">
        <f>F_GAMMA*AJ$29</f>
        <v>0.53590819116049981</v>
      </c>
      <c r="AK5307" s="133"/>
      <c r="AL5307" s="155"/>
      <c r="AM5307" s="138">
        <f>F_GAMMA*AM$29</f>
        <v>0.49048815926850342</v>
      </c>
      <c r="AN5307" s="133"/>
      <c r="AO5307" s="155"/>
      <c r="AP5307" s="138">
        <f>F_GAMMA*AP$29</f>
        <v>0.59352979016280105</v>
      </c>
      <c r="AQ5307" s="133"/>
      <c r="AR5307" s="155"/>
      <c r="AS5307" s="138">
        <f>F_GAMMA*AS$29</f>
        <v>0.39097221161068291</v>
      </c>
      <c r="AT5307" s="133"/>
      <c r="AU5307" s="155"/>
    </row>
    <row r="5308" spans="13:47" x14ac:dyDescent="0.25">
      <c r="M5308" s="12"/>
      <c r="N5308" s="12"/>
      <c r="O5308" s="2" t="s">
        <v>193</v>
      </c>
      <c r="P5308" s="134"/>
      <c r="Q5308" s="2"/>
      <c r="R5308" s="181">
        <f>IF(R5303&lt;R5307,R5305,R5306)</f>
        <v>158.28027311212617</v>
      </c>
      <c r="S5308" s="133"/>
      <c r="T5308" s="155"/>
      <c r="U5308" s="138">
        <f>IF(U5303&lt;U5307,U5305,U5306)</f>
        <v>159.41247280389078</v>
      </c>
      <c r="V5308" s="133"/>
      <c r="W5308" s="155"/>
      <c r="X5308" s="138">
        <f>IF(X5303&lt;X5307,X5305,X5306)</f>
        <v>24.985703774571213</v>
      </c>
      <c r="Y5308" s="133"/>
      <c r="Z5308" s="155"/>
      <c r="AA5308" s="138">
        <f>IF(AA5303&lt;AA5307,AA5305,AA5306)</f>
        <v>11.931864712545858</v>
      </c>
      <c r="AB5308" s="133"/>
      <c r="AC5308" s="155"/>
      <c r="AD5308" s="138">
        <f>IF(AD5303&lt;AD5307,AD5305,AD5306)</f>
        <v>7.3071728810521925</v>
      </c>
      <c r="AE5308" s="133"/>
      <c r="AF5308" s="155"/>
      <c r="AG5308" s="138">
        <f>IF(AG5303&lt;AG5307,AG5305,AG5306)</f>
        <v>5.443586423498326</v>
      </c>
      <c r="AH5308" s="133"/>
      <c r="AI5308" s="155"/>
      <c r="AJ5308" s="138">
        <f>IF(AJ5303&lt;AJ5307,AJ5305,AJ5306)</f>
        <v>4.5755305768361261</v>
      </c>
      <c r="AK5308" s="133"/>
      <c r="AL5308" s="155"/>
      <c r="AM5308" s="138">
        <f>IF(AM5303&lt;AM5307,AM5305,AM5306)</f>
        <v>4.3253617366670305</v>
      </c>
      <c r="AN5308" s="133"/>
      <c r="AO5308" s="155"/>
      <c r="AP5308" s="138">
        <f>IF(AP5303&lt;AP5307,AP5305,AP5306)</f>
        <v>4.001556218345109</v>
      </c>
      <c r="AQ5308" s="133"/>
      <c r="AR5308" s="155"/>
      <c r="AS5308" s="138">
        <f>IF(AS5303&lt;AS5307,AS5305,AS5306)</f>
        <v>5.8044957452289321</v>
      </c>
      <c r="AT5308" s="133"/>
      <c r="AU5308" s="155"/>
    </row>
    <row r="5309" spans="13:47" ht="13" x14ac:dyDescent="0.3">
      <c r="M5309" s="12"/>
      <c r="N5309" s="12"/>
      <c r="O5309" s="9" t="s">
        <v>194</v>
      </c>
      <c r="P5309" s="1"/>
      <c r="Q5309" s="1"/>
      <c r="R5309" s="135"/>
      <c r="S5309" s="132">
        <f>IF(R5302&lt;=0,W_max,ABS(R$23-R5308))</f>
        <v>7174</v>
      </c>
      <c r="T5309" s="151">
        <f>R5297</f>
        <v>19609.660243484399</v>
      </c>
      <c r="U5309" s="135"/>
      <c r="V5309" s="132">
        <f>IF(U5302&lt;=0,W_max,ABS(U$23-U5308))</f>
        <v>7174</v>
      </c>
      <c r="W5309" s="151">
        <f>U5297</f>
        <v>19582.771139912307</v>
      </c>
      <c r="X5309" s="135"/>
      <c r="Y5309" s="132">
        <f>IF(X5302&lt;=0,W_max,ABS(X$23-X5308))</f>
        <v>7174</v>
      </c>
      <c r="Z5309" s="151">
        <f>X5297</f>
        <v>48430.523406086097</v>
      </c>
      <c r="AA5309" s="135"/>
      <c r="AB5309" s="132">
        <f>IF(AA5302&lt;=0,W_max,ABS(AA$23-AA5308))</f>
        <v>7174</v>
      </c>
      <c r="AC5309" s="151">
        <f>AA5297</f>
        <v>94330.297926090352</v>
      </c>
      <c r="AD5309" s="135"/>
      <c r="AE5309" s="132">
        <f>IF(AD5302&lt;=0,W_max,ABS(AD$23-AD5308))</f>
        <v>7174</v>
      </c>
      <c r="AF5309" s="151">
        <f>AD5297</f>
        <v>155138.60973326216</v>
      </c>
      <c r="AG5309" s="135"/>
      <c r="AH5309" s="132">
        <f>IF(AG5302&lt;=0,W_max,ABS(AG$23-AG5308))</f>
        <v>7174</v>
      </c>
      <c r="AI5309" s="151">
        <f>AG5297</f>
        <v>217593.84367821642</v>
      </c>
      <c r="AJ5309" s="135"/>
      <c r="AK5309" s="132">
        <f>IF(AJ5302&lt;=0,W_max,ABS(AJ$23-AJ5308))</f>
        <v>7174</v>
      </c>
      <c r="AL5309" s="151">
        <f>AJ5297</f>
        <v>276286.44262546866</v>
      </c>
      <c r="AM5309" s="135"/>
      <c r="AN5309" s="132">
        <f>IF(AM5302&lt;=0,W_max,ABS(AM$23-AM5308))</f>
        <v>7174</v>
      </c>
      <c r="AO5309" s="151">
        <f>AM5297</f>
        <v>323967.58250456135</v>
      </c>
      <c r="AP5309" s="135"/>
      <c r="AQ5309" s="132">
        <f>IF(AP5302&lt;=0,W_max,ABS(AP$23-AP5308))</f>
        <v>7174</v>
      </c>
      <c r="AR5309" s="151">
        <f>AP5297</f>
        <v>361440.3771460235</v>
      </c>
      <c r="AS5309" s="135"/>
      <c r="AT5309" s="132">
        <f>IF(AS5302&lt;=0,W_max,ABS(AS$23-AS5308))</f>
        <v>7174</v>
      </c>
      <c r="AU5309" s="151">
        <f>AS5297</f>
        <v>403247.58798859257</v>
      </c>
    </row>
    <row r="5310" spans="13:47" ht="13" x14ac:dyDescent="0.25">
      <c r="M5310" s="12"/>
      <c r="N5310" s="12"/>
      <c r="O5310" s="2"/>
      <c r="P5310" s="85"/>
      <c r="Q5310" s="2"/>
      <c r="R5310" s="18"/>
      <c r="S5310" s="150"/>
      <c r="T5310" s="152"/>
      <c r="U5310" s="157"/>
      <c r="V5310" s="1"/>
      <c r="W5310" s="147"/>
      <c r="X5310" s="157"/>
      <c r="Y5310" s="1"/>
      <c r="Z5310" s="147"/>
      <c r="AA5310" s="157"/>
      <c r="AB5310" s="1"/>
      <c r="AC5310" s="147"/>
      <c r="AD5310" s="157"/>
      <c r="AE5310" s="1"/>
      <c r="AF5310" s="147"/>
      <c r="AG5310" s="157"/>
      <c r="AH5310" s="1"/>
      <c r="AI5310" s="147"/>
      <c r="AJ5310" s="157"/>
      <c r="AK5310" s="1"/>
      <c r="AL5310" s="147"/>
      <c r="AM5310" s="157"/>
      <c r="AN5310" s="1"/>
      <c r="AO5310" s="147"/>
      <c r="AP5310" s="157"/>
      <c r="AQ5310" s="1"/>
      <c r="AR5310" s="147"/>
      <c r="AS5310" s="157"/>
      <c r="AT5310" s="1"/>
      <c r="AU5310" s="147"/>
    </row>
    <row r="5311" spans="13:47" ht="14" x14ac:dyDescent="0.3">
      <c r="M5311" s="12"/>
      <c r="N5311" s="12"/>
      <c r="O5311" s="23" t="s">
        <v>238</v>
      </c>
      <c r="P5311" s="20"/>
      <c r="Q5311" s="20"/>
      <c r="R5311" s="181">
        <f>R5297*1.02</f>
        <v>20001.853448354086</v>
      </c>
      <c r="S5311" s="128" t="s">
        <v>185</v>
      </c>
      <c r="T5311" s="153" t="s">
        <v>186</v>
      </c>
      <c r="U5311" s="143">
        <f>U5297*1.01</f>
        <v>19778.598851311432</v>
      </c>
      <c r="V5311" s="128" t="s">
        <v>185</v>
      </c>
      <c r="W5311" s="153" t="s">
        <v>186</v>
      </c>
      <c r="X5311" s="143">
        <f>X5297*1.01</f>
        <v>48914.82864014696</v>
      </c>
      <c r="Y5311" s="128" t="s">
        <v>185</v>
      </c>
      <c r="Z5311" s="153" t="s">
        <v>186</v>
      </c>
      <c r="AA5311" s="143">
        <f>AA5297*1.01</f>
        <v>95273.600905351253</v>
      </c>
      <c r="AB5311" s="128" t="s">
        <v>185</v>
      </c>
      <c r="AC5311" s="153" t="s">
        <v>186</v>
      </c>
      <c r="AD5311" s="143">
        <f>AD5297*1.01</f>
        <v>156689.99583059479</v>
      </c>
      <c r="AE5311" s="128" t="s">
        <v>185</v>
      </c>
      <c r="AF5311" s="153" t="s">
        <v>186</v>
      </c>
      <c r="AG5311" s="143">
        <f>AG5297*1.01</f>
        <v>219769.78211499858</v>
      </c>
      <c r="AH5311" s="128" t="s">
        <v>185</v>
      </c>
      <c r="AI5311" s="153" t="s">
        <v>186</v>
      </c>
      <c r="AJ5311" s="143">
        <f>AJ5297*1.01</f>
        <v>279049.30705172336</v>
      </c>
      <c r="AK5311" s="128" t="s">
        <v>185</v>
      </c>
      <c r="AL5311" s="153" t="s">
        <v>186</v>
      </c>
      <c r="AM5311" s="143">
        <f>AM5297*1.01</f>
        <v>327207.25832960696</v>
      </c>
      <c r="AN5311" s="128" t="s">
        <v>185</v>
      </c>
      <c r="AO5311" s="153" t="s">
        <v>186</v>
      </c>
      <c r="AP5311" s="143">
        <f>AP5297*1.01</f>
        <v>365054.78091748373</v>
      </c>
      <c r="AQ5311" s="128" t="s">
        <v>185</v>
      </c>
      <c r="AR5311" s="153" t="s">
        <v>186</v>
      </c>
      <c r="AS5311" s="143">
        <f>AS5297*1.01</f>
        <v>407280.06386847852</v>
      </c>
      <c r="AT5311" s="128" t="s">
        <v>185</v>
      </c>
      <c r="AU5311" s="153" t="s">
        <v>186</v>
      </c>
    </row>
    <row r="5312" spans="13:47" ht="14" x14ac:dyDescent="0.3">
      <c r="M5312" s="12"/>
      <c r="N5312" s="12"/>
      <c r="O5312" s="20"/>
      <c r="P5312" s="20"/>
      <c r="Q5312" s="23"/>
      <c r="R5312" s="139"/>
      <c r="S5312" s="130" t="s">
        <v>228</v>
      </c>
      <c r="T5312" s="154" t="s">
        <v>187</v>
      </c>
      <c r="U5312" s="144"/>
      <c r="V5312" s="130" t="s">
        <v>228</v>
      </c>
      <c r="W5312" s="154" t="s">
        <v>187</v>
      </c>
      <c r="X5312" s="144"/>
      <c r="Y5312" s="130" t="s">
        <v>228</v>
      </c>
      <c r="Z5312" s="154" t="s">
        <v>187</v>
      </c>
      <c r="AA5312" s="144"/>
      <c r="AB5312" s="130" t="s">
        <v>228</v>
      </c>
      <c r="AC5312" s="154" t="s">
        <v>187</v>
      </c>
      <c r="AD5312" s="144"/>
      <c r="AE5312" s="130" t="s">
        <v>228</v>
      </c>
      <c r="AF5312" s="154" t="s">
        <v>187</v>
      </c>
      <c r="AG5312" s="144"/>
      <c r="AH5312" s="130" t="s">
        <v>228</v>
      </c>
      <c r="AI5312" s="154" t="s">
        <v>187</v>
      </c>
      <c r="AJ5312" s="144"/>
      <c r="AK5312" s="130" t="s">
        <v>228</v>
      </c>
      <c r="AL5312" s="154" t="s">
        <v>187</v>
      </c>
      <c r="AM5312" s="144"/>
      <c r="AN5312" s="130" t="s">
        <v>228</v>
      </c>
      <c r="AO5312" s="154" t="s">
        <v>187</v>
      </c>
      <c r="AP5312" s="144"/>
      <c r="AQ5312" s="130" t="s">
        <v>228</v>
      </c>
      <c r="AR5312" s="154" t="s">
        <v>187</v>
      </c>
      <c r="AS5312" s="144"/>
      <c r="AT5312" s="130" t="s">
        <v>228</v>
      </c>
      <c r="AU5312" s="154" t="s">
        <v>187</v>
      </c>
    </row>
    <row r="5313" spans="13:47" x14ac:dyDescent="0.25">
      <c r="M5313" s="12"/>
      <c r="N5313" s="12"/>
      <c r="O5313" s="7" t="s">
        <v>188</v>
      </c>
      <c r="P5313" s="7"/>
      <c r="Q5313" s="7"/>
      <c r="R5313" s="181">
        <f>P_1_minW-(R5311^2*R_up)+dpup_minQ</f>
        <v>-59.011512620855697</v>
      </c>
      <c r="S5313" s="132"/>
      <c r="T5313" s="145"/>
      <c r="U5313" s="138">
        <f>P_1_minW-(U5311^2*R_up)+dpup_minQ</f>
        <v>-55.470041420427904</v>
      </c>
      <c r="V5313" s="132"/>
      <c r="W5313" s="145"/>
      <c r="X5313" s="138">
        <f>P_1_minW-(X5311^2*R_up)+dpup_minQ</f>
        <v>-853.57889282417966</v>
      </c>
      <c r="Y5313" s="132"/>
      <c r="Z5313" s="145"/>
      <c r="AA5313" s="138">
        <f>P_1_minW-(AA5311^2*R_up)+dpup_minQ</f>
        <v>-3519.0619420774697</v>
      </c>
      <c r="AB5313" s="132"/>
      <c r="AC5313" s="145"/>
      <c r="AD5313" s="138">
        <f>P_1_minW-(AD5311^2*R_up)+dpup_minQ</f>
        <v>-9689.7800445228822</v>
      </c>
      <c r="AE5313" s="132"/>
      <c r="AF5313" s="145"/>
      <c r="AG5313" s="138">
        <f>P_1_minW-(AG5311^2*R_up)+dpup_minQ</f>
        <v>-19159.178308518065</v>
      </c>
      <c r="AH5313" s="132"/>
      <c r="AI5313" s="145"/>
      <c r="AJ5313" s="138">
        <f>P_1_minW-(AJ5311^2*R_up)+dpup_minQ</f>
        <v>-30950.469567402615</v>
      </c>
      <c r="AK5313" s="132"/>
      <c r="AL5313" s="145"/>
      <c r="AM5313" s="138">
        <f>P_1_minW-(AM5311^2*R_up)+dpup_minQ</f>
        <v>-42592.749709727555</v>
      </c>
      <c r="AN5313" s="132"/>
      <c r="AO5313" s="145"/>
      <c r="AP5313" s="138">
        <f>P_1_minW-(AP5311^2*R_up)+dpup_minQ</f>
        <v>-53040.470594280167</v>
      </c>
      <c r="AQ5313" s="132"/>
      <c r="AR5313" s="145"/>
      <c r="AS5313" s="138">
        <f>P_1_minW-(AS5311^2*R_up)+dpup_minQ</f>
        <v>-66044.914477533748</v>
      </c>
      <c r="AT5313" s="132"/>
      <c r="AU5313" s="145"/>
    </row>
    <row r="5314" spans="13:47" x14ac:dyDescent="0.25">
      <c r="O5314" s="7" t="s">
        <v>189</v>
      </c>
      <c r="P5314" s="1"/>
      <c r="Q5314" s="7"/>
      <c r="R5314" s="181">
        <f>P_2_minW+(R5311^2*R_dn)-dpdn_minQ</f>
        <v>50</v>
      </c>
      <c r="S5314" s="132"/>
      <c r="T5314" s="146"/>
      <c r="U5314" s="138">
        <f>P_2_minW+(U5311^2*R_dn)-dpdn_minQ</f>
        <v>50</v>
      </c>
      <c r="V5314" s="132"/>
      <c r="W5314" s="146"/>
      <c r="X5314" s="138">
        <f>P_2_minW+(X5311^2*R_dn)-dpdn_minQ</f>
        <v>50</v>
      </c>
      <c r="Y5314" s="132"/>
      <c r="Z5314" s="146"/>
      <c r="AA5314" s="138">
        <f>P_2_minW+(AA5311^2*R_dn)-dpdn_minQ</f>
        <v>50</v>
      </c>
      <c r="AB5314" s="132"/>
      <c r="AC5314" s="146"/>
      <c r="AD5314" s="138">
        <f>P_2_minW+(AD5311^2*R_dn)-dpdn_minQ</f>
        <v>50</v>
      </c>
      <c r="AE5314" s="132"/>
      <c r="AF5314" s="146"/>
      <c r="AG5314" s="138">
        <f>P_2_minW+(AG5311^2*R_dn)-dpdn_minQ</f>
        <v>50</v>
      </c>
      <c r="AH5314" s="132"/>
      <c r="AI5314" s="146"/>
      <c r="AJ5314" s="138">
        <f>P_2_minW+(AJ5311^2*R_dn)-dpdn_minQ</f>
        <v>50</v>
      </c>
      <c r="AK5314" s="132"/>
      <c r="AL5314" s="146"/>
      <c r="AM5314" s="138">
        <f>P_2_minW+(AM5311^2*R_dn)-dpdn_minQ</f>
        <v>50</v>
      </c>
      <c r="AN5314" s="132"/>
      <c r="AO5314" s="146"/>
      <c r="AP5314" s="138">
        <f>P_2_minW+(AP5311^2*R_dn)-dpdn_minQ</f>
        <v>50</v>
      </c>
      <c r="AQ5314" s="132"/>
      <c r="AR5314" s="146"/>
      <c r="AS5314" s="138">
        <f>P_2_minW+(AS5311^2*R_dn)-dpdn_minQ</f>
        <v>50</v>
      </c>
      <c r="AT5314" s="132"/>
      <c r="AU5314" s="146"/>
    </row>
    <row r="5315" spans="13:47" x14ac:dyDescent="0.25">
      <c r="O5315" s="7" t="s">
        <v>234</v>
      </c>
      <c r="P5315" s="1"/>
      <c r="Q5315" s="7"/>
      <c r="R5315" s="179">
        <f>'Valve Sizing'!G$8*R5313/P_1_maxW</f>
        <v>-0.28466103053075614</v>
      </c>
      <c r="S5315" s="132"/>
      <c r="T5315" s="146"/>
      <c r="U5315" s="143">
        <f>'Valve Sizing'!$G$8*U5313/P_1_maxW</f>
        <v>-0.26757760397997699</v>
      </c>
      <c r="V5315" s="132"/>
      <c r="W5315" s="146"/>
      <c r="X5315" s="143">
        <f>'Valve Sizing'!$G$8*X5313/P_1_maxW</f>
        <v>-4.1175126086288332</v>
      </c>
      <c r="Y5315" s="132"/>
      <c r="Z5315" s="146"/>
      <c r="AA5315" s="143">
        <f>'Valve Sizing'!$G$8*AA5313/P_1_maxW</f>
        <v>-16.975328278219806</v>
      </c>
      <c r="AB5315" s="132"/>
      <c r="AC5315" s="146"/>
      <c r="AD5315" s="143">
        <f>'Valve Sizing'!$G$8*AD5313/P_1_maxW</f>
        <v>-46.741773775773503</v>
      </c>
      <c r="AE5315" s="132"/>
      <c r="AF5315" s="146"/>
      <c r="AG5315" s="143">
        <f>'Valve Sizing'!$G$8*AG5313/P_1_maxW</f>
        <v>-92.42046507883903</v>
      </c>
      <c r="AH5315" s="132"/>
      <c r="AI5315" s="146"/>
      <c r="AJ5315" s="143">
        <f>'Valve Sizing'!$G$8*AJ5313/P_1_maxW</f>
        <v>-149.29955480168272</v>
      </c>
      <c r="AK5315" s="132"/>
      <c r="AL5315" s="146"/>
      <c r="AM5315" s="143">
        <f>'Valve Sizing'!$G$8*AM5313/P_1_maxW</f>
        <v>-205.45984142803695</v>
      </c>
      <c r="AN5315" s="132"/>
      <c r="AO5315" s="146"/>
      <c r="AP5315" s="143">
        <f>'Valve Sizing'!$G$8*AP5313/P_1_maxW</f>
        <v>-255.85778687306464</v>
      </c>
      <c r="AQ5315" s="132"/>
      <c r="AR5315" s="146"/>
      <c r="AS5315" s="143">
        <f>'Valve Sizing'!$G$8*AS5313/P_1_maxW</f>
        <v>-318.58890886735242</v>
      </c>
      <c r="AT5315" s="132"/>
      <c r="AU5315" s="146"/>
    </row>
    <row r="5316" spans="13:47" x14ac:dyDescent="0.25">
      <c r="O5316" s="7" t="s">
        <v>190</v>
      </c>
      <c r="P5316" s="1"/>
      <c r="Q5316" s="7"/>
      <c r="R5316" s="181">
        <f>R5313-R5314</f>
        <v>-109.0115126208557</v>
      </c>
      <c r="S5316" s="132"/>
      <c r="T5316" s="146"/>
      <c r="U5316" s="138">
        <f>U5313-U5314</f>
        <v>-105.4700414204279</v>
      </c>
      <c r="V5316" s="132"/>
      <c r="W5316" s="146"/>
      <c r="X5316" s="138">
        <f>X5313-X5314</f>
        <v>-903.57889282417966</v>
      </c>
      <c r="Y5316" s="132"/>
      <c r="Z5316" s="146"/>
      <c r="AA5316" s="138">
        <f>AA5313-AA5314</f>
        <v>-3569.0619420774697</v>
      </c>
      <c r="AB5316" s="132"/>
      <c r="AC5316" s="146"/>
      <c r="AD5316" s="138">
        <f>AD5313-AD5314</f>
        <v>-9739.7800445228822</v>
      </c>
      <c r="AE5316" s="132"/>
      <c r="AF5316" s="146"/>
      <c r="AG5316" s="138">
        <f>AG5313-AG5314</f>
        <v>-19209.178308518065</v>
      </c>
      <c r="AH5316" s="132"/>
      <c r="AI5316" s="146"/>
      <c r="AJ5316" s="138">
        <f>AJ5313-AJ5314</f>
        <v>-31000.469567402615</v>
      </c>
      <c r="AK5316" s="132"/>
      <c r="AL5316" s="146"/>
      <c r="AM5316" s="138">
        <f>AM5313-AM5314</f>
        <v>-42642.749709727555</v>
      </c>
      <c r="AN5316" s="132"/>
      <c r="AO5316" s="146"/>
      <c r="AP5316" s="138">
        <f>AP5313-AP5314</f>
        <v>-53090.470594280167</v>
      </c>
      <c r="AQ5316" s="132"/>
      <c r="AR5316" s="146"/>
      <c r="AS5316" s="138">
        <f>AS5313-AS5314</f>
        <v>-66094.914477533748</v>
      </c>
      <c r="AT5316" s="132"/>
      <c r="AU5316" s="146"/>
    </row>
    <row r="5317" spans="13:47" ht="14.5" x14ac:dyDescent="0.35">
      <c r="O5317" s="2" t="s">
        <v>191</v>
      </c>
      <c r="P5317" s="10"/>
      <c r="Q5317" s="2"/>
      <c r="R5317" s="181">
        <f>R5316/R5313</f>
        <v>1.8472922956787441</v>
      </c>
      <c r="S5317" s="132"/>
      <c r="T5317" s="146"/>
      <c r="U5317" s="138">
        <f>U5316/U5313</f>
        <v>1.9013874646501805</v>
      </c>
      <c r="V5317" s="132"/>
      <c r="W5317" s="146"/>
      <c r="X5317" s="138">
        <f>X5316/X5313</f>
        <v>1.058576893618548</v>
      </c>
      <c r="Y5317" s="132"/>
      <c r="Z5317" s="146"/>
      <c r="AA5317" s="138">
        <f>AA5316/AA5313</f>
        <v>1.0142083318858783</v>
      </c>
      <c r="AB5317" s="132"/>
      <c r="AC5317" s="146"/>
      <c r="AD5317" s="138">
        <f>AD5316/AD5313</f>
        <v>1.0051600758500461</v>
      </c>
      <c r="AE5317" s="132"/>
      <c r="AF5317" s="146"/>
      <c r="AG5317" s="138">
        <f>AG5316/AG5313</f>
        <v>1.0026097152599582</v>
      </c>
      <c r="AH5317" s="132"/>
      <c r="AI5317" s="146"/>
      <c r="AJ5317" s="138">
        <f>AJ5316/AJ5313</f>
        <v>1.001615484375483</v>
      </c>
      <c r="AK5317" s="132"/>
      <c r="AL5317" s="146"/>
      <c r="AM5317" s="138">
        <f>AM5316/AM5313</f>
        <v>1.0011739087131202</v>
      </c>
      <c r="AN5317" s="132"/>
      <c r="AO5317" s="146"/>
      <c r="AP5317" s="138">
        <f>AP5316/AP5313</f>
        <v>1.0009426764023732</v>
      </c>
      <c r="AQ5317" s="132"/>
      <c r="AR5317" s="146"/>
      <c r="AS5317" s="138">
        <f>AS5316/AS5313</f>
        <v>1.0007570605609157</v>
      </c>
      <c r="AT5317" s="132"/>
      <c r="AU5317" s="146"/>
    </row>
    <row r="5318" spans="13:47" x14ac:dyDescent="0.25">
      <c r="O5318" s="2" t="s">
        <v>26</v>
      </c>
      <c r="P5318" s="7">
        <v>12</v>
      </c>
      <c r="Q5318" s="2"/>
      <c r="R5318" s="181">
        <f>1-R5317/(3*F_GAMMA*R$29)</f>
        <v>3.7909004050422856E-2</v>
      </c>
      <c r="S5318" s="133"/>
      <c r="T5318" s="146"/>
      <c r="U5318" s="138">
        <f>1-U5317/(3*F_GAMMA*U$29)</f>
        <v>9.9536517233452804E-3</v>
      </c>
      <c r="V5318" s="133"/>
      <c r="W5318" s="146"/>
      <c r="X5318" s="138">
        <f>1-X5317/(3*F_GAMMA*X$29)</f>
        <v>0.4405335690672737</v>
      </c>
      <c r="Y5318" s="133"/>
      <c r="Z5318" s="146"/>
      <c r="AA5318" s="138">
        <f>1-AA5317/(3*F_GAMMA*AA$29)</f>
        <v>0.45663316903602558</v>
      </c>
      <c r="AB5318" s="133"/>
      <c r="AC5318" s="146"/>
      <c r="AD5318" s="138">
        <f>1-AD5317/(3*F_GAMMA*AD$29)</f>
        <v>0.44671576331133633</v>
      </c>
      <c r="AE5318" s="133"/>
      <c r="AF5318" s="146"/>
      <c r="AG5318" s="138">
        <f>1-AG5317/(3*F_GAMMA*AG$29)</f>
        <v>0.41663946394053009</v>
      </c>
      <c r="AH5318" s="133"/>
      <c r="AI5318" s="146"/>
      <c r="AJ5318" s="138">
        <f>1-AJ5317/(3*F_GAMMA*AJ$29)</f>
        <v>0.37699808729893192</v>
      </c>
      <c r="AK5318" s="133"/>
      <c r="AL5318" s="146"/>
      <c r="AM5318" s="138">
        <f>1-AM5317/(3*F_GAMMA*AM$29)</f>
        <v>0.31960715068960743</v>
      </c>
      <c r="AN5318" s="133"/>
      <c r="AO5318" s="146"/>
      <c r="AP5318" s="138">
        <f>1-AP5317/(3*F_GAMMA*AP$29)</f>
        <v>0.43785878260756905</v>
      </c>
      <c r="AQ5318" s="133"/>
      <c r="AR5318" s="146"/>
      <c r="AS5318" s="138">
        <f>1-AS5317/(3*F_GAMMA*AS$29)</f>
        <v>0.14677903711015639</v>
      </c>
      <c r="AT5318" s="133"/>
      <c r="AU5318" s="146"/>
    </row>
    <row r="5319" spans="13:47" x14ac:dyDescent="0.25">
      <c r="O5319" s="2" t="s">
        <v>71</v>
      </c>
      <c r="P5319" s="85">
        <v>5</v>
      </c>
      <c r="Q5319" s="2"/>
      <c r="R5319" s="179">
        <f>R5311/((N_6*R$27*R5318)*SQRT(R5317*R5313*R5315))</f>
        <v>1496.4955309510724</v>
      </c>
      <c r="S5319" s="133"/>
      <c r="T5319" s="146"/>
      <c r="U5319" s="143">
        <f>U5311/((N_6*U$27*U5318)*SQRT(U5317*U5313*U5315))</f>
        <v>5913.4558083253469</v>
      </c>
      <c r="V5319" s="133"/>
      <c r="W5319" s="146"/>
      <c r="X5319" s="143">
        <f>X5311/((N_6*X$27*X5318)*SQRT(X5317*X5313*X5315))</f>
        <v>28.842981904274694</v>
      </c>
      <c r="Y5319" s="133"/>
      <c r="Z5319" s="146"/>
      <c r="AA5319" s="143">
        <f>AA5311/((N_6*AA$27*AA5318)*SQRT(AA5317*AA5313*AA5315))</f>
        <v>13.507927159298758</v>
      </c>
      <c r="AB5319" s="133"/>
      <c r="AC5319" s="146"/>
      <c r="AD5319" s="143">
        <f>AD5311/((N_6*AD$27*AD5318)*SQRT(AD5317*AD5313*AD5315))</f>
        <v>8.3829566555903465</v>
      </c>
      <c r="AE5319" s="133"/>
      <c r="AF5319" s="146"/>
      <c r="AG5319" s="143">
        <f>AG5311/((N_6*AG$27*AG5318)*SQRT(AG5317*AG5313*AG5315))</f>
        <v>6.5216010144567766</v>
      </c>
      <c r="AH5319" s="133"/>
      <c r="AI5319" s="146"/>
      <c r="AJ5319" s="143">
        <f>AJ5311/((N_6*AJ$27*AJ5318)*SQRT(AJ5317*AJ5313*AJ5315))</f>
        <v>5.8623683824529449</v>
      </c>
      <c r="AK5319" s="133"/>
      <c r="AL5319" s="146"/>
      <c r="AM5319" s="143">
        <f>AM5311/((N_6*AM$27*AM5318)*SQRT(AM5317*AM5313*AM5315))</f>
        <v>6.255316759842561</v>
      </c>
      <c r="AN5319" s="133"/>
      <c r="AO5319" s="146"/>
      <c r="AP5319" s="143">
        <f>AP5311/((N_6*AP$27*AP5318)*SQRT(AP5317*AP5313*AP5315))</f>
        <v>4.6472863293796376</v>
      </c>
      <c r="AQ5319" s="133"/>
      <c r="AR5319" s="146"/>
      <c r="AS5319" s="143">
        <f>AS5311/((N_6*AS$27*AS5318)*SQRT(AS5317*AS5313*AS5315))</f>
        <v>16.323010143232665</v>
      </c>
      <c r="AT5319" s="133"/>
      <c r="AU5319" s="146"/>
    </row>
    <row r="5320" spans="13:47" x14ac:dyDescent="0.25">
      <c r="O5320" s="2" t="s">
        <v>73</v>
      </c>
      <c r="P5320" s="85">
        <v>5</v>
      </c>
      <c r="Q5320" s="2"/>
      <c r="R5320" s="179">
        <f>R5311/((N_6*R$27*0.667)*SQRT(R5321*R5313*R5315))</f>
        <v>144.49761120055581</v>
      </c>
      <c r="S5320" s="133"/>
      <c r="T5320" s="155"/>
      <c r="U5320" s="143">
        <f>U5311/((N_6*U$27*0.667)*SQRT(U5321*U5313*U5315))</f>
        <v>152.08498980284699</v>
      </c>
      <c r="V5320" s="133"/>
      <c r="W5320" s="155"/>
      <c r="X5320" s="143">
        <f>X5311/((N_6*X$27*0.667)*SQRT(X5321*X5313*X5315))</f>
        <v>24.679762449219528</v>
      </c>
      <c r="Y5320" s="133"/>
      <c r="Z5320" s="155"/>
      <c r="AA5320" s="143">
        <f>AA5311/((N_6*AA$27*0.667)*SQRT(AA5321*AA5313*AA5315))</f>
        <v>11.806944456974936</v>
      </c>
      <c r="AB5320" s="133"/>
      <c r="AC5320" s="155"/>
      <c r="AD5320" s="143">
        <f>AD5311/((N_6*AD$27*0.667)*SQRT(AD5321*AD5313*AD5315))</f>
        <v>7.2333160327469077</v>
      </c>
      <c r="AE5320" s="133"/>
      <c r="AF5320" s="155"/>
      <c r="AG5320" s="143">
        <f>AG5311/((N_6*AG$27*0.667)*SQRT(AG5321*AG5313*AG5315))</f>
        <v>5.3891211368840226</v>
      </c>
      <c r="AH5320" s="133"/>
      <c r="AI5320" s="155"/>
      <c r="AJ5320" s="143">
        <f>AJ5311/((N_6*AJ$27*0.667)*SQRT(AJ5321*AJ5313*AJ5315))</f>
        <v>4.529932551612843</v>
      </c>
      <c r="AK5320" s="133"/>
      <c r="AL5320" s="155"/>
      <c r="AM5320" s="143">
        <f>AM5311/((N_6*AM$27*0.667)*SQRT(AM5321*AM5313*AM5315))</f>
        <v>4.2823332186656664</v>
      </c>
      <c r="AN5320" s="133"/>
      <c r="AO5320" s="155"/>
      <c r="AP5320" s="143">
        <f>AP5311/((N_6*AP$27*0.667)*SQRT(AP5321*AP5313*AP5315))</f>
        <v>3.9617859249950342</v>
      </c>
      <c r="AQ5320" s="133"/>
      <c r="AR5320" s="155"/>
      <c r="AS5320" s="143">
        <f>AS5311/((N_6*AS$27*0.667)*SQRT(AS5321*AS5313*AS5315))</f>
        <v>5.7468496719277189</v>
      </c>
      <c r="AT5320" s="133"/>
      <c r="AU5320" s="155"/>
    </row>
    <row r="5321" spans="13:47" ht="15.5" x14ac:dyDescent="0.4">
      <c r="O5321" s="2" t="s">
        <v>192</v>
      </c>
      <c r="P5321" s="85">
        <v>10</v>
      </c>
      <c r="Q5321" s="2"/>
      <c r="R5321" s="181">
        <f>F_GAMMA*R$29</f>
        <v>0.64002688015162901</v>
      </c>
      <c r="S5321" s="133"/>
      <c r="T5321" s="155"/>
      <c r="U5321" s="138">
        <f>F_GAMMA*U$29</f>
        <v>0.64016782916606918</v>
      </c>
      <c r="V5321" s="133"/>
      <c r="W5321" s="155"/>
      <c r="X5321" s="138">
        <f>F_GAMMA*X$29</f>
        <v>0.6307062319203669</v>
      </c>
      <c r="Y5321" s="133"/>
      <c r="Z5321" s="155"/>
      <c r="AA5321" s="138">
        <f>F_GAMMA*AA$29</f>
        <v>0.62217534213893466</v>
      </c>
      <c r="AB5321" s="133"/>
      <c r="AC5321" s="155"/>
      <c r="AD5321" s="138">
        <f>F_GAMMA*AD$29</f>
        <v>0.60557184969146072</v>
      </c>
      <c r="AE5321" s="133"/>
      <c r="AF5321" s="155"/>
      <c r="AG5321" s="138">
        <f>F_GAMMA*AG$29</f>
        <v>0.57289312142622573</v>
      </c>
      <c r="AH5321" s="133"/>
      <c r="AI5321" s="155"/>
      <c r="AJ5321" s="138">
        <f>F_GAMMA*AJ$29</f>
        <v>0.53590819116049981</v>
      </c>
      <c r="AK5321" s="133"/>
      <c r="AL5321" s="155"/>
      <c r="AM5321" s="138">
        <f>F_GAMMA*AM$29</f>
        <v>0.49048815926850342</v>
      </c>
      <c r="AN5321" s="133"/>
      <c r="AO5321" s="155"/>
      <c r="AP5321" s="138">
        <f>F_GAMMA*AP$29</f>
        <v>0.59352979016280105</v>
      </c>
      <c r="AQ5321" s="133"/>
      <c r="AR5321" s="155"/>
      <c r="AS5321" s="138">
        <f>F_GAMMA*AS$29</f>
        <v>0.39097221161068291</v>
      </c>
      <c r="AT5321" s="133"/>
      <c r="AU5321" s="155"/>
    </row>
    <row r="5322" spans="13:47" x14ac:dyDescent="0.25">
      <c r="O5322" s="2" t="s">
        <v>193</v>
      </c>
      <c r="P5322" s="134"/>
      <c r="Q5322" s="2"/>
      <c r="R5322" s="181">
        <f>IF(R5317&lt;R5321,R5319,R5320)</f>
        <v>144.49761120055581</v>
      </c>
      <c r="S5322" s="133"/>
      <c r="T5322" s="155"/>
      <c r="U5322" s="138">
        <f>IF(U5317&lt;U5321,U5319,U5320)</f>
        <v>152.08498980284699</v>
      </c>
      <c r="V5322" s="133"/>
      <c r="W5322" s="155"/>
      <c r="X5322" s="138">
        <f>IF(X5317&lt;X5321,X5319,X5320)</f>
        <v>24.679762449219528</v>
      </c>
      <c r="Y5322" s="133"/>
      <c r="Z5322" s="155"/>
      <c r="AA5322" s="138">
        <f>IF(AA5317&lt;AA5321,AA5319,AA5320)</f>
        <v>11.806944456974936</v>
      </c>
      <c r="AB5322" s="133"/>
      <c r="AC5322" s="155"/>
      <c r="AD5322" s="138">
        <f>IF(AD5317&lt;AD5321,AD5319,AD5320)</f>
        <v>7.2333160327469077</v>
      </c>
      <c r="AE5322" s="133"/>
      <c r="AF5322" s="155"/>
      <c r="AG5322" s="138">
        <f>IF(AG5317&lt;AG5321,AG5319,AG5320)</f>
        <v>5.3891211368840226</v>
      </c>
      <c r="AH5322" s="133"/>
      <c r="AI5322" s="155"/>
      <c r="AJ5322" s="138">
        <f>IF(AJ5317&lt;AJ5321,AJ5319,AJ5320)</f>
        <v>4.529932551612843</v>
      </c>
      <c r="AK5322" s="133"/>
      <c r="AL5322" s="155"/>
      <c r="AM5322" s="138">
        <f>IF(AM5317&lt;AM5321,AM5319,AM5320)</f>
        <v>4.2823332186656664</v>
      </c>
      <c r="AN5322" s="133"/>
      <c r="AO5322" s="155"/>
      <c r="AP5322" s="138">
        <f>IF(AP5317&lt;AP5321,AP5319,AP5320)</f>
        <v>3.9617859249950342</v>
      </c>
      <c r="AQ5322" s="133"/>
      <c r="AR5322" s="155"/>
      <c r="AS5322" s="138">
        <f>IF(AS5317&lt;AS5321,AS5319,AS5320)</f>
        <v>5.7468496719277189</v>
      </c>
      <c r="AT5322" s="133"/>
      <c r="AU5322" s="155"/>
    </row>
    <row r="5323" spans="13:47" ht="13" x14ac:dyDescent="0.3">
      <c r="O5323" s="9" t="s">
        <v>194</v>
      </c>
      <c r="P5323" s="1"/>
      <c r="Q5323" s="1"/>
      <c r="R5323" s="135"/>
      <c r="S5323" s="132">
        <f>IF(R5316&lt;=0,W_max,ABS(R$23-R5322))</f>
        <v>7174</v>
      </c>
      <c r="T5323" s="151">
        <f>R5311</f>
        <v>20001.853448354086</v>
      </c>
      <c r="U5323" s="135"/>
      <c r="V5323" s="132">
        <f>IF(U5316&lt;=0,W_max,ABS(U$23-U5322))</f>
        <v>7174</v>
      </c>
      <c r="W5323" s="151">
        <f>U5311</f>
        <v>19778.598851311432</v>
      </c>
      <c r="X5323" s="135"/>
      <c r="Y5323" s="132">
        <f>IF(X5316&lt;=0,W_max,ABS(X$23-X5322))</f>
        <v>7174</v>
      </c>
      <c r="Z5323" s="151">
        <f>X5311</f>
        <v>48914.82864014696</v>
      </c>
      <c r="AA5323" s="135"/>
      <c r="AB5323" s="132">
        <f>IF(AA5316&lt;=0,W_max,ABS(AA$23-AA5322))</f>
        <v>7174</v>
      </c>
      <c r="AC5323" s="151">
        <f>AA5311</f>
        <v>95273.600905351253</v>
      </c>
      <c r="AD5323" s="135"/>
      <c r="AE5323" s="132">
        <f>IF(AD5316&lt;=0,W_max,ABS(AD$23-AD5322))</f>
        <v>7174</v>
      </c>
      <c r="AF5323" s="151">
        <f>AD5311</f>
        <v>156689.99583059479</v>
      </c>
      <c r="AG5323" s="135"/>
      <c r="AH5323" s="132">
        <f>IF(AG5316&lt;=0,W_max,ABS(AG$23-AG5322))</f>
        <v>7174</v>
      </c>
      <c r="AI5323" s="151">
        <f>AG5311</f>
        <v>219769.78211499858</v>
      </c>
      <c r="AJ5323" s="135"/>
      <c r="AK5323" s="132">
        <f>IF(AJ5316&lt;=0,W_max,ABS(AJ$23-AJ5322))</f>
        <v>7174</v>
      </c>
      <c r="AL5323" s="151">
        <f>AJ5311</f>
        <v>279049.30705172336</v>
      </c>
      <c r="AM5323" s="135"/>
      <c r="AN5323" s="132">
        <f>IF(AM5316&lt;=0,W_max,ABS(AM$23-AM5322))</f>
        <v>7174</v>
      </c>
      <c r="AO5323" s="151">
        <f>AM5311</f>
        <v>327207.25832960696</v>
      </c>
      <c r="AP5323" s="135"/>
      <c r="AQ5323" s="132">
        <f>IF(AP5316&lt;=0,W_max,ABS(AP$23-AP5322))</f>
        <v>7174</v>
      </c>
      <c r="AR5323" s="151">
        <f>AP5311</f>
        <v>365054.78091748373</v>
      </c>
      <c r="AS5323" s="135"/>
      <c r="AT5323" s="132">
        <f>IF(AS5316&lt;=0,W_max,ABS(AS$23-AS5322))</f>
        <v>7174</v>
      </c>
      <c r="AU5323" s="151">
        <f>AS5311</f>
        <v>407280.06386847852</v>
      </c>
    </row>
    <row r="5324" spans="13:47" ht="13" x14ac:dyDescent="0.25">
      <c r="O5324" s="2"/>
      <c r="P5324" s="85"/>
      <c r="Q5324" s="2"/>
      <c r="R5324" s="18"/>
      <c r="S5324" s="150"/>
      <c r="T5324" s="148"/>
      <c r="U5324" s="157"/>
      <c r="V5324" s="1"/>
      <c r="W5324" s="147"/>
      <c r="X5324" s="157"/>
      <c r="Y5324" s="1"/>
      <c r="Z5324" s="147"/>
      <c r="AA5324" s="157"/>
      <c r="AB5324" s="1"/>
      <c r="AC5324" s="147"/>
      <c r="AD5324" s="157"/>
      <c r="AE5324" s="1"/>
      <c r="AF5324" s="147"/>
      <c r="AG5324" s="157"/>
      <c r="AH5324" s="1"/>
      <c r="AI5324" s="147"/>
      <c r="AJ5324" s="157"/>
      <c r="AK5324" s="1"/>
      <c r="AL5324" s="147"/>
      <c r="AM5324" s="157"/>
      <c r="AN5324" s="1"/>
      <c r="AO5324" s="147"/>
      <c r="AP5324" s="157"/>
      <c r="AQ5324" s="1"/>
      <c r="AR5324" s="147"/>
      <c r="AS5324" s="157"/>
      <c r="AT5324" s="1"/>
      <c r="AU5324" s="147"/>
    </row>
    <row r="5325" spans="13:47" ht="14" x14ac:dyDescent="0.3">
      <c r="O5325" s="23" t="s">
        <v>238</v>
      </c>
      <c r="P5325" s="20"/>
      <c r="Q5325" s="20"/>
      <c r="R5325" s="181">
        <f>R5311*1.02</f>
        <v>20401.890517321168</v>
      </c>
      <c r="S5325" s="128" t="s">
        <v>185</v>
      </c>
      <c r="T5325" s="149" t="s">
        <v>186</v>
      </c>
      <c r="U5325" s="143">
        <f>U5311*1.01</f>
        <v>19976.384839824546</v>
      </c>
      <c r="V5325" s="128" t="s">
        <v>185</v>
      </c>
      <c r="W5325" s="153" t="s">
        <v>186</v>
      </c>
      <c r="X5325" s="143">
        <f>X5311*1.01</f>
        <v>49403.976926548428</v>
      </c>
      <c r="Y5325" s="128" t="s">
        <v>185</v>
      </c>
      <c r="Z5325" s="153" t="s">
        <v>186</v>
      </c>
      <c r="AA5325" s="143">
        <f>AA5311*1.01</f>
        <v>96226.336914404761</v>
      </c>
      <c r="AB5325" s="128" t="s">
        <v>185</v>
      </c>
      <c r="AC5325" s="153" t="s">
        <v>186</v>
      </c>
      <c r="AD5325" s="143">
        <f>AD5311*1.01</f>
        <v>158256.89578890076</v>
      </c>
      <c r="AE5325" s="128" t="s">
        <v>185</v>
      </c>
      <c r="AF5325" s="153" t="s">
        <v>186</v>
      </c>
      <c r="AG5325" s="143">
        <f>AG5311*1.01</f>
        <v>221967.47993614856</v>
      </c>
      <c r="AH5325" s="128" t="s">
        <v>185</v>
      </c>
      <c r="AI5325" s="153" t="s">
        <v>186</v>
      </c>
      <c r="AJ5325" s="143">
        <f>AJ5311*1.01</f>
        <v>281839.80012224062</v>
      </c>
      <c r="AK5325" s="128" t="s">
        <v>185</v>
      </c>
      <c r="AL5325" s="153" t="s">
        <v>186</v>
      </c>
      <c r="AM5325" s="143">
        <f>AM5311*1.01</f>
        <v>330479.33091290301</v>
      </c>
      <c r="AN5325" s="128" t="s">
        <v>185</v>
      </c>
      <c r="AO5325" s="153" t="s">
        <v>186</v>
      </c>
      <c r="AP5325" s="143">
        <f>AP5311*1.01</f>
        <v>368705.3287266586</v>
      </c>
      <c r="AQ5325" s="128" t="s">
        <v>185</v>
      </c>
      <c r="AR5325" s="153" t="s">
        <v>186</v>
      </c>
      <c r="AS5325" s="143">
        <f>AS5311*1.01</f>
        <v>411352.86450716329</v>
      </c>
      <c r="AT5325" s="128" t="s">
        <v>185</v>
      </c>
      <c r="AU5325" s="153" t="s">
        <v>186</v>
      </c>
    </row>
    <row r="5326" spans="13:47" ht="14" x14ac:dyDescent="0.3">
      <c r="O5326" s="20"/>
      <c r="P5326" s="20"/>
      <c r="Q5326" s="23"/>
      <c r="R5326" s="139"/>
      <c r="S5326" s="130" t="s">
        <v>228</v>
      </c>
      <c r="T5326" s="131" t="s">
        <v>187</v>
      </c>
      <c r="U5326" s="144"/>
      <c r="V5326" s="130" t="s">
        <v>228</v>
      </c>
      <c r="W5326" s="154" t="s">
        <v>187</v>
      </c>
      <c r="X5326" s="144"/>
      <c r="Y5326" s="130" t="s">
        <v>228</v>
      </c>
      <c r="Z5326" s="154" t="s">
        <v>187</v>
      </c>
      <c r="AA5326" s="144"/>
      <c r="AB5326" s="130" t="s">
        <v>228</v>
      </c>
      <c r="AC5326" s="154" t="s">
        <v>187</v>
      </c>
      <c r="AD5326" s="144"/>
      <c r="AE5326" s="130" t="s">
        <v>228</v>
      </c>
      <c r="AF5326" s="154" t="s">
        <v>187</v>
      </c>
      <c r="AG5326" s="144"/>
      <c r="AH5326" s="130" t="s">
        <v>228</v>
      </c>
      <c r="AI5326" s="154" t="s">
        <v>187</v>
      </c>
      <c r="AJ5326" s="144"/>
      <c r="AK5326" s="130" t="s">
        <v>228</v>
      </c>
      <c r="AL5326" s="154" t="s">
        <v>187</v>
      </c>
      <c r="AM5326" s="144"/>
      <c r="AN5326" s="130" t="s">
        <v>228</v>
      </c>
      <c r="AO5326" s="154" t="s">
        <v>187</v>
      </c>
      <c r="AP5326" s="144"/>
      <c r="AQ5326" s="130" t="s">
        <v>228</v>
      </c>
      <c r="AR5326" s="154" t="s">
        <v>187</v>
      </c>
      <c r="AS5326" s="144"/>
      <c r="AT5326" s="130" t="s">
        <v>228</v>
      </c>
      <c r="AU5326" s="154" t="s">
        <v>187</v>
      </c>
    </row>
    <row r="5327" spans="13:47" x14ac:dyDescent="0.25">
      <c r="O5327" s="7" t="s">
        <v>188</v>
      </c>
      <c r="P5327" s="7"/>
      <c r="Q5327" s="7"/>
      <c r="R5327" s="181">
        <f>P_1_minW-(R5325^2*R_up)+dpup_minQ</f>
        <v>-65.456698314902027</v>
      </c>
      <c r="S5327" s="132"/>
      <c r="T5327" s="145"/>
      <c r="U5327" s="138">
        <f>P_1_minW-(U5325^2*R_up)+dpup_minQ</f>
        <v>-58.605497266386706</v>
      </c>
      <c r="V5327" s="132"/>
      <c r="W5327" s="145"/>
      <c r="X5327" s="138">
        <f>P_1_minW-(X5325^2*R_up)+dpup_minQ</f>
        <v>-872.75633658335369</v>
      </c>
      <c r="Y5327" s="132"/>
      <c r="Z5327" s="145"/>
      <c r="AA5327" s="138">
        <f>P_1_minW-(AA5325^2*R_up)+dpup_minQ</f>
        <v>-3591.8155951266349</v>
      </c>
      <c r="AB5327" s="132"/>
      <c r="AC5327" s="145"/>
      <c r="AD5327" s="138">
        <f>P_1_minW-(AD5325^2*R_up)+dpup_minQ</f>
        <v>-9886.5651314312017</v>
      </c>
      <c r="AE5327" s="132"/>
      <c r="AF5327" s="145"/>
      <c r="AG5327" s="138">
        <f>P_1_minW-(AG5325^2*R_up)+dpup_minQ</f>
        <v>-19546.298300532686</v>
      </c>
      <c r="AH5327" s="132"/>
      <c r="AI5327" s="145"/>
      <c r="AJ5327" s="138">
        <f>P_1_minW-(AJ5325^2*R_up)+dpup_minQ</f>
        <v>-31574.594513720818</v>
      </c>
      <c r="AK5327" s="132"/>
      <c r="AL5327" s="145"/>
      <c r="AM5327" s="138">
        <f>P_1_minW-(AM5325^2*R_up)+dpup_minQ</f>
        <v>-43450.884486906485</v>
      </c>
      <c r="AN5327" s="132"/>
      <c r="AO5327" s="145"/>
      <c r="AP5327" s="138">
        <f>P_1_minW-(AP5325^2*R_up)+dpup_minQ</f>
        <v>-54108.604561238615</v>
      </c>
      <c r="AQ5327" s="132"/>
      <c r="AR5327" s="145"/>
      <c r="AS5327" s="138">
        <f>P_1_minW-(AS5325^2*R_up)+dpup_minQ</f>
        <v>-67374.437766545598</v>
      </c>
      <c r="AT5327" s="132"/>
      <c r="AU5327" s="145"/>
    </row>
    <row r="5328" spans="13:47" x14ac:dyDescent="0.25">
      <c r="O5328" s="7" t="s">
        <v>189</v>
      </c>
      <c r="P5328" s="1"/>
      <c r="Q5328" s="7"/>
      <c r="R5328" s="181">
        <f>P_2_minW+(R5325^2*R_dn)-dpdn_minQ</f>
        <v>50</v>
      </c>
      <c r="S5328" s="132"/>
      <c r="T5328" s="146"/>
      <c r="U5328" s="138">
        <f>P_2_minW+(U5325^2*R_dn)-dpdn_minQ</f>
        <v>50</v>
      </c>
      <c r="V5328" s="132"/>
      <c r="W5328" s="146"/>
      <c r="X5328" s="138">
        <f>P_2_minW+(X5325^2*R_dn)-dpdn_minQ</f>
        <v>50</v>
      </c>
      <c r="Y5328" s="132"/>
      <c r="Z5328" s="146"/>
      <c r="AA5328" s="138">
        <f>P_2_minW+(AA5325^2*R_dn)-dpdn_minQ</f>
        <v>50</v>
      </c>
      <c r="AB5328" s="132"/>
      <c r="AC5328" s="146"/>
      <c r="AD5328" s="138">
        <f>P_2_minW+(AD5325^2*R_dn)-dpdn_minQ</f>
        <v>50</v>
      </c>
      <c r="AE5328" s="132"/>
      <c r="AF5328" s="146"/>
      <c r="AG5328" s="138">
        <f>P_2_minW+(AG5325^2*R_dn)-dpdn_minQ</f>
        <v>50</v>
      </c>
      <c r="AH5328" s="132"/>
      <c r="AI5328" s="146"/>
      <c r="AJ5328" s="138">
        <f>P_2_minW+(AJ5325^2*R_dn)-dpdn_minQ</f>
        <v>50</v>
      </c>
      <c r="AK5328" s="132"/>
      <c r="AL5328" s="146"/>
      <c r="AM5328" s="138">
        <f>P_2_minW+(AM5325^2*R_dn)-dpdn_minQ</f>
        <v>50</v>
      </c>
      <c r="AN5328" s="132"/>
      <c r="AO5328" s="146"/>
      <c r="AP5328" s="138">
        <f>P_2_minW+(AP5325^2*R_dn)-dpdn_minQ</f>
        <v>50</v>
      </c>
      <c r="AQ5328" s="132"/>
      <c r="AR5328" s="146"/>
      <c r="AS5328" s="138">
        <f>P_2_minW+(AS5325^2*R_dn)-dpdn_minQ</f>
        <v>50</v>
      </c>
      <c r="AT5328" s="132"/>
      <c r="AU5328" s="146"/>
    </row>
    <row r="5329" spans="15:47" x14ac:dyDescent="0.25">
      <c r="O5329" s="7" t="s">
        <v>234</v>
      </c>
      <c r="P5329" s="1"/>
      <c r="Q5329" s="7"/>
      <c r="R5329" s="179">
        <f>'Valve Sizing'!G$8*R5327/P_1_maxW</f>
        <v>-0.31575145882424993</v>
      </c>
      <c r="S5329" s="132"/>
      <c r="T5329" s="146"/>
      <c r="U5329" s="143">
        <f>'Valve Sizing'!$G$8*U5327/P_1_maxW</f>
        <v>-0.28270248474737614</v>
      </c>
      <c r="V5329" s="132"/>
      <c r="W5329" s="146"/>
      <c r="X5329" s="143">
        <f>'Valve Sizing'!$G$8*X5327/P_1_maxW</f>
        <v>-4.2100211829896734</v>
      </c>
      <c r="Y5329" s="132"/>
      <c r="Z5329" s="146"/>
      <c r="AA5329" s="143">
        <f>'Valve Sizing'!$G$8*AA5327/P_1_maxW</f>
        <v>-17.326278947539425</v>
      </c>
      <c r="AB5329" s="132"/>
      <c r="AC5329" s="146"/>
      <c r="AD5329" s="143">
        <f>'Valve Sizing'!$G$8*AD5327/P_1_maxW</f>
        <v>-47.691029999593965</v>
      </c>
      <c r="AE5329" s="132"/>
      <c r="AF5329" s="146"/>
      <c r="AG5329" s="143">
        <f>'Valve Sizing'!$G$8*AG5327/P_1_maxW</f>
        <v>-94.287862997851079</v>
      </c>
      <c r="AH5329" s="132"/>
      <c r="AI5329" s="146"/>
      <c r="AJ5329" s="143">
        <f>'Valve Sizing'!$G$8*AJ5327/P_1_maxW</f>
        <v>-152.31022242412394</v>
      </c>
      <c r="AK5329" s="132"/>
      <c r="AL5329" s="146"/>
      <c r="AM5329" s="143">
        <f>'Valve Sizing'!$G$8*AM5327/P_1_maxW</f>
        <v>-209.59933081166787</v>
      </c>
      <c r="AN5329" s="132"/>
      <c r="AO5329" s="146"/>
      <c r="AP5329" s="143">
        <f>'Valve Sizing'!$G$8*AP5327/P_1_maxW</f>
        <v>-261.01027496014069</v>
      </c>
      <c r="AQ5329" s="132"/>
      <c r="AR5329" s="146"/>
      <c r="AS5329" s="143">
        <f>'Valve Sizing'!$G$8*AS5327/P_1_maxW</f>
        <v>-325.0022925065137</v>
      </c>
      <c r="AT5329" s="132"/>
      <c r="AU5329" s="146"/>
    </row>
    <row r="5330" spans="15:47" x14ac:dyDescent="0.25">
      <c r="O5330" s="7" t="s">
        <v>190</v>
      </c>
      <c r="P5330" s="1"/>
      <c r="Q5330" s="7"/>
      <c r="R5330" s="181">
        <f>R5327-R5328</f>
        <v>-115.45669831490203</v>
      </c>
      <c r="S5330" s="132"/>
      <c r="T5330" s="146"/>
      <c r="U5330" s="138">
        <f>U5327-U5328</f>
        <v>-108.60549726638671</v>
      </c>
      <c r="V5330" s="132"/>
      <c r="W5330" s="146"/>
      <c r="X5330" s="138">
        <f>X5327-X5328</f>
        <v>-922.75633658335369</v>
      </c>
      <c r="Y5330" s="132"/>
      <c r="Z5330" s="146"/>
      <c r="AA5330" s="138">
        <f>AA5327-AA5328</f>
        <v>-3641.8155951266349</v>
      </c>
      <c r="AB5330" s="132"/>
      <c r="AC5330" s="146"/>
      <c r="AD5330" s="138">
        <f>AD5327-AD5328</f>
        <v>-9936.5651314312017</v>
      </c>
      <c r="AE5330" s="132"/>
      <c r="AF5330" s="146"/>
      <c r="AG5330" s="138">
        <f>AG5327-AG5328</f>
        <v>-19596.298300532686</v>
      </c>
      <c r="AH5330" s="132"/>
      <c r="AI5330" s="146"/>
      <c r="AJ5330" s="138">
        <f>AJ5327-AJ5328</f>
        <v>-31624.594513720818</v>
      </c>
      <c r="AK5330" s="132"/>
      <c r="AL5330" s="146"/>
      <c r="AM5330" s="138">
        <f>AM5327-AM5328</f>
        <v>-43500.884486906485</v>
      </c>
      <c r="AN5330" s="132"/>
      <c r="AO5330" s="146"/>
      <c r="AP5330" s="138">
        <f>AP5327-AP5328</f>
        <v>-54158.604561238615</v>
      </c>
      <c r="AQ5330" s="132"/>
      <c r="AR5330" s="146"/>
      <c r="AS5330" s="138">
        <f>AS5327-AS5328</f>
        <v>-67424.437766545598</v>
      </c>
      <c r="AT5330" s="132"/>
      <c r="AU5330" s="146"/>
    </row>
    <row r="5331" spans="15:47" ht="14.5" x14ac:dyDescent="0.35">
      <c r="O5331" s="2" t="s">
        <v>191</v>
      </c>
      <c r="P5331" s="10"/>
      <c r="Q5331" s="2"/>
      <c r="R5331" s="181">
        <f>R5330/R5327</f>
        <v>1.7638637647052979</v>
      </c>
      <c r="S5331" s="132"/>
      <c r="T5331" s="146"/>
      <c r="U5331" s="138">
        <f>U5330/U5327</f>
        <v>1.8531622856594647</v>
      </c>
      <c r="V5331" s="132"/>
      <c r="W5331" s="146"/>
      <c r="X5331" s="138">
        <f>X5330/X5327</f>
        <v>1.0572897587839223</v>
      </c>
      <c r="Y5331" s="132"/>
      <c r="Z5331" s="146"/>
      <c r="AA5331" s="138">
        <f>AA5330/AA5327</f>
        <v>1.0139205364740438</v>
      </c>
      <c r="AB5331" s="132"/>
      <c r="AC5331" s="146"/>
      <c r="AD5331" s="138">
        <f>AD5330/AD5327</f>
        <v>1.0050573681895889</v>
      </c>
      <c r="AE5331" s="132"/>
      <c r="AF5331" s="146"/>
      <c r="AG5331" s="138">
        <f>AG5330/AG5327</f>
        <v>1.0025580291076719</v>
      </c>
      <c r="AH5331" s="132"/>
      <c r="AI5331" s="146"/>
      <c r="AJ5331" s="138">
        <f>AJ5330/AJ5327</f>
        <v>1.001583551610719</v>
      </c>
      <c r="AK5331" s="132"/>
      <c r="AL5331" s="146"/>
      <c r="AM5331" s="138">
        <f>AM5330/AM5327</f>
        <v>1.0011507245615465</v>
      </c>
      <c r="AN5331" s="132"/>
      <c r="AO5331" s="146"/>
      <c r="AP5331" s="138">
        <f>AP5330/AP5327</f>
        <v>1.0009240674455653</v>
      </c>
      <c r="AQ5331" s="132"/>
      <c r="AR5331" s="146"/>
      <c r="AS5331" s="138">
        <f>AS5330/AS5327</f>
        <v>1.0007421212207106</v>
      </c>
      <c r="AT5331" s="132"/>
      <c r="AU5331" s="146"/>
    </row>
    <row r="5332" spans="15:47" x14ac:dyDescent="0.25">
      <c r="O5332" s="2" t="s">
        <v>26</v>
      </c>
      <c r="P5332" s="7">
        <v>12</v>
      </c>
      <c r="Q5332" s="2"/>
      <c r="R5332" s="181">
        <f>1-R5331/(3*F_GAMMA*R$29)</f>
        <v>8.1359538999663861E-2</v>
      </c>
      <c r="S5332" s="133"/>
      <c r="T5332" s="146"/>
      <c r="U5332" s="138">
        <f>1-U5331/(3*F_GAMMA*U$29)</f>
        <v>3.5064347592758893E-2</v>
      </c>
      <c r="V5332" s="133"/>
      <c r="W5332" s="146"/>
      <c r="X5332" s="138">
        <f>1-X5331/(3*F_GAMMA*X$29)</f>
        <v>0.44121383021447835</v>
      </c>
      <c r="Y5332" s="133"/>
      <c r="Z5332" s="146"/>
      <c r="AA5332" s="138">
        <f>1-AA5331/(3*F_GAMMA*AA$29)</f>
        <v>0.4567873567664732</v>
      </c>
      <c r="AB5332" s="133"/>
      <c r="AC5332" s="146"/>
      <c r="AD5332" s="138">
        <f>1-AD5331/(3*F_GAMMA*AD$29)</f>
        <v>0.44677229811696928</v>
      </c>
      <c r="AE5332" s="133"/>
      <c r="AF5332" s="146"/>
      <c r="AG5332" s="138">
        <f>1-AG5331/(3*F_GAMMA*AG$29)</f>
        <v>0.41666953711960031</v>
      </c>
      <c r="AH5332" s="133"/>
      <c r="AI5332" s="146"/>
      <c r="AJ5332" s="138">
        <f>1-AJ5331/(3*F_GAMMA*AJ$29)</f>
        <v>0.3770179493855671</v>
      </c>
      <c r="AK5332" s="133"/>
      <c r="AL5332" s="146"/>
      <c r="AM5332" s="138">
        <f>1-AM5331/(3*F_GAMMA*AM$29)</f>
        <v>0.31962290652464342</v>
      </c>
      <c r="AN5332" s="133"/>
      <c r="AO5332" s="146"/>
      <c r="AP5332" s="138">
        <f>1-AP5331/(3*F_GAMMA*AP$29)</f>
        <v>0.43786923361728314</v>
      </c>
      <c r="AQ5332" s="133"/>
      <c r="AR5332" s="146"/>
      <c r="AS5332" s="138">
        <f>1-AS5331/(3*F_GAMMA*AS$29)</f>
        <v>0.1467917740257747</v>
      </c>
      <c r="AT5332" s="133"/>
      <c r="AU5332" s="146"/>
    </row>
    <row r="5333" spans="15:47" x14ac:dyDescent="0.25">
      <c r="O5333" s="2" t="s">
        <v>71</v>
      </c>
      <c r="P5333" s="85">
        <v>5</v>
      </c>
      <c r="Q5333" s="2"/>
      <c r="R5333" s="179">
        <f>R5325/((N_6*R$27*R5332)*SQRT(R5331*R5327*R5329))</f>
        <v>656.18671472544997</v>
      </c>
      <c r="S5333" s="133"/>
      <c r="T5333" s="146"/>
      <c r="U5333" s="143">
        <f>U5325/((N_6*U$27*U5332)*SQRT(U5331*U5327*U5329))</f>
        <v>1625.466895081986</v>
      </c>
      <c r="V5333" s="133"/>
      <c r="W5333" s="146"/>
      <c r="X5333" s="143">
        <f>X5325/((N_6*X$27*X5332)*SQRT(X5331*X5327*X5329))</f>
        <v>28.464677691534888</v>
      </c>
      <c r="Y5333" s="133"/>
      <c r="Z5333" s="146"/>
      <c r="AA5333" s="143">
        <f>AA5325/((N_6*AA$27*AA5332)*SQRT(AA5331*AA5327*AA5329))</f>
        <v>13.364046268337644</v>
      </c>
      <c r="AB5333" s="133"/>
      <c r="AC5333" s="146"/>
      <c r="AD5333" s="143">
        <f>AD5325/((N_6*AD$27*AD5332)*SQRT(AD5331*AD5327*AD5329))</f>
        <v>8.2976347026119033</v>
      </c>
      <c r="AE5333" s="133"/>
      <c r="AF5333" s="146"/>
      <c r="AG5333" s="143">
        <f>AG5325/((N_6*AG$27*AG5332)*SQRT(AG5331*AG5327*AG5329))</f>
        <v>6.4560636652875569</v>
      </c>
      <c r="AH5333" s="133"/>
      <c r="AI5333" s="146"/>
      <c r="AJ5333" s="143">
        <f>AJ5325/((N_6*AJ$27*AJ5332)*SQRT(AJ5331*AJ5327*AJ5329))</f>
        <v>5.8037404549528704</v>
      </c>
      <c r="AK5333" s="133"/>
      <c r="AL5333" s="146"/>
      <c r="AM5333" s="143">
        <f>AM5325/((N_6*AM$27*AM5332)*SQRT(AM5331*AM5327*AM5329))</f>
        <v>6.1928613475430954</v>
      </c>
      <c r="AN5333" s="133"/>
      <c r="AO5333" s="146"/>
      <c r="AP5333" s="143">
        <f>AP5325/((N_6*AP$27*AP5332)*SQRT(AP5331*AP5327*AP5329))</f>
        <v>4.6010347255748245</v>
      </c>
      <c r="AQ5333" s="133"/>
      <c r="AR5333" s="146"/>
      <c r="AS5333" s="143">
        <f>AS5325/((N_6*AS$27*AS5332)*SQRT(AS5331*AS5327*AS5329))</f>
        <v>16.159629870166334</v>
      </c>
      <c r="AT5333" s="133"/>
      <c r="AU5333" s="146"/>
    </row>
    <row r="5334" spans="15:47" x14ac:dyDescent="0.25">
      <c r="O5334" s="2" t="s">
        <v>73</v>
      </c>
      <c r="P5334" s="85">
        <v>5</v>
      </c>
      <c r="Q5334" s="2"/>
      <c r="R5334" s="179">
        <f>R5325/((N_6*R$27*0.667)*SQRT(R5335*R5327*R5329))</f>
        <v>132.87506524303097</v>
      </c>
      <c r="S5334" s="133"/>
      <c r="T5334" s="147"/>
      <c r="U5334" s="143">
        <f>U5325/((N_6*U$27*0.667)*SQRT(U5335*U5327*U5329))</f>
        <v>145.38776544967791</v>
      </c>
      <c r="V5334" s="133"/>
      <c r="W5334" s="155"/>
      <c r="X5334" s="143">
        <f>X5325/((N_6*X$27*0.667)*SQRT(X5335*X5327*X5329))</f>
        <v>24.378838236715787</v>
      </c>
      <c r="Y5334" s="133"/>
      <c r="Z5334" s="155"/>
      <c r="AA5334" s="143">
        <f>AA5325/((N_6*AA$27*0.667)*SQRT(AA5335*AA5327*AA5329))</f>
        <v>11.683468003370903</v>
      </c>
      <c r="AB5334" s="133"/>
      <c r="AC5334" s="155"/>
      <c r="AD5334" s="143">
        <f>AD5325/((N_6*AD$27*0.667)*SQRT(AD5335*AD5327*AD5329))</f>
        <v>7.1602354126290022</v>
      </c>
      <c r="AE5334" s="133"/>
      <c r="AF5334" s="155"/>
      <c r="AG5334" s="143">
        <f>AG5325/((N_6*AG$27*0.667)*SQRT(AG5335*AG5327*AG5329))</f>
        <v>5.3352119420381623</v>
      </c>
      <c r="AH5334" s="133"/>
      <c r="AI5334" s="155"/>
      <c r="AJ5334" s="143">
        <f>AJ5325/((N_6*AJ$27*0.667)*SQRT(AJ5335*AJ5327*AJ5329))</f>
        <v>4.484794726828734</v>
      </c>
      <c r="AK5334" s="133"/>
      <c r="AL5334" s="155"/>
      <c r="AM5334" s="143">
        <f>AM5325/((N_6*AM$27*0.667)*SQRT(AM5335*AM5327*AM5329))</f>
        <v>4.2397367188544699</v>
      </c>
      <c r="AN5334" s="133"/>
      <c r="AO5334" s="155"/>
      <c r="AP5334" s="143">
        <f>AP5325/((N_6*AP$27*0.667)*SQRT(AP5335*AP5327*AP5329))</f>
        <v>3.922413846653249</v>
      </c>
      <c r="AQ5334" s="133"/>
      <c r="AR5334" s="155"/>
      <c r="AS5334" s="143">
        <f>AS5325/((N_6*AS$27*0.667)*SQRT(AS5335*AS5327*AS5329))</f>
        <v>5.6897795329586307</v>
      </c>
      <c r="AT5334" s="133"/>
      <c r="AU5334" s="155"/>
    </row>
    <row r="5335" spans="15:47" ht="15.5" x14ac:dyDescent="0.4">
      <c r="O5335" s="2" t="s">
        <v>192</v>
      </c>
      <c r="P5335" s="85">
        <v>10</v>
      </c>
      <c r="Q5335" s="2"/>
      <c r="R5335" s="181">
        <f>F_GAMMA*R$29</f>
        <v>0.64002688015162901</v>
      </c>
      <c r="S5335" s="133"/>
      <c r="T5335" s="147"/>
      <c r="U5335" s="138">
        <f>F_GAMMA*U$29</f>
        <v>0.64016782916606918</v>
      </c>
      <c r="V5335" s="133"/>
      <c r="W5335" s="155"/>
      <c r="X5335" s="138">
        <f>F_GAMMA*X$29</f>
        <v>0.6307062319203669</v>
      </c>
      <c r="Y5335" s="133"/>
      <c r="Z5335" s="155"/>
      <c r="AA5335" s="138">
        <f>F_GAMMA*AA$29</f>
        <v>0.62217534213893466</v>
      </c>
      <c r="AB5335" s="133"/>
      <c r="AC5335" s="155"/>
      <c r="AD5335" s="138">
        <f>F_GAMMA*AD$29</f>
        <v>0.60557184969146072</v>
      </c>
      <c r="AE5335" s="133"/>
      <c r="AF5335" s="155"/>
      <c r="AG5335" s="138">
        <f>F_GAMMA*AG$29</f>
        <v>0.57289312142622573</v>
      </c>
      <c r="AH5335" s="133"/>
      <c r="AI5335" s="155"/>
      <c r="AJ5335" s="138">
        <f>F_GAMMA*AJ$29</f>
        <v>0.53590819116049981</v>
      </c>
      <c r="AK5335" s="133"/>
      <c r="AL5335" s="155"/>
      <c r="AM5335" s="138">
        <f>F_GAMMA*AM$29</f>
        <v>0.49048815926850342</v>
      </c>
      <c r="AN5335" s="133"/>
      <c r="AO5335" s="155"/>
      <c r="AP5335" s="138">
        <f>F_GAMMA*AP$29</f>
        <v>0.59352979016280105</v>
      </c>
      <c r="AQ5335" s="133"/>
      <c r="AR5335" s="155"/>
      <c r="AS5335" s="138">
        <f>F_GAMMA*AS$29</f>
        <v>0.39097221161068291</v>
      </c>
      <c r="AT5335" s="133"/>
      <c r="AU5335" s="155"/>
    </row>
    <row r="5336" spans="15:47" x14ac:dyDescent="0.25">
      <c r="O5336" s="2" t="s">
        <v>193</v>
      </c>
      <c r="P5336" s="134"/>
      <c r="Q5336" s="2"/>
      <c r="R5336" s="181">
        <f>IF(R5331&lt;R5335,R5333,R5334)</f>
        <v>132.87506524303097</v>
      </c>
      <c r="S5336" s="133"/>
      <c r="T5336" s="147"/>
      <c r="U5336" s="138">
        <f>IF(U5331&lt;U5335,U5333,U5334)</f>
        <v>145.38776544967791</v>
      </c>
      <c r="V5336" s="133"/>
      <c r="W5336" s="155"/>
      <c r="X5336" s="138">
        <f>IF(X5331&lt;X5335,X5333,X5334)</f>
        <v>24.378838236715787</v>
      </c>
      <c r="Y5336" s="133"/>
      <c r="Z5336" s="155"/>
      <c r="AA5336" s="138">
        <f>IF(AA5331&lt;AA5335,AA5333,AA5334)</f>
        <v>11.683468003370903</v>
      </c>
      <c r="AB5336" s="133"/>
      <c r="AC5336" s="155"/>
      <c r="AD5336" s="138">
        <f>IF(AD5331&lt;AD5335,AD5333,AD5334)</f>
        <v>7.1602354126290022</v>
      </c>
      <c r="AE5336" s="133"/>
      <c r="AF5336" s="155"/>
      <c r="AG5336" s="138">
        <f>IF(AG5331&lt;AG5335,AG5333,AG5334)</f>
        <v>5.3352119420381623</v>
      </c>
      <c r="AH5336" s="133"/>
      <c r="AI5336" s="155"/>
      <c r="AJ5336" s="138">
        <f>IF(AJ5331&lt;AJ5335,AJ5333,AJ5334)</f>
        <v>4.484794726828734</v>
      </c>
      <c r="AK5336" s="133"/>
      <c r="AL5336" s="155"/>
      <c r="AM5336" s="138">
        <f>IF(AM5331&lt;AM5335,AM5333,AM5334)</f>
        <v>4.2397367188544699</v>
      </c>
      <c r="AN5336" s="133"/>
      <c r="AO5336" s="155"/>
      <c r="AP5336" s="138">
        <f>IF(AP5331&lt;AP5335,AP5333,AP5334)</f>
        <v>3.922413846653249</v>
      </c>
      <c r="AQ5336" s="133"/>
      <c r="AR5336" s="155"/>
      <c r="AS5336" s="138">
        <f>IF(AS5331&lt;AS5335,AS5333,AS5334)</f>
        <v>5.6897795329586307</v>
      </c>
      <c r="AT5336" s="133"/>
      <c r="AU5336" s="155"/>
    </row>
    <row r="5337" spans="15:47" ht="13" x14ac:dyDescent="0.3">
      <c r="O5337" s="9" t="s">
        <v>194</v>
      </c>
      <c r="P5337" s="1"/>
      <c r="Q5337" s="1"/>
      <c r="R5337" s="135"/>
      <c r="S5337" s="132">
        <f>IF(R5330&lt;=0,W_max,ABS(R$23-R5336))</f>
        <v>7174</v>
      </c>
      <c r="T5337" s="151">
        <f>R5325</f>
        <v>20401.890517321168</v>
      </c>
      <c r="U5337" s="135"/>
      <c r="V5337" s="132">
        <f>IF(U5330&lt;=0,W_max,ABS(U$23-U5336))</f>
        <v>7174</v>
      </c>
      <c r="W5337" s="151">
        <f>U5325</f>
        <v>19976.384839824546</v>
      </c>
      <c r="X5337" s="135"/>
      <c r="Y5337" s="132">
        <f>IF(X5330&lt;=0,W_max,ABS(X$23-X5336))</f>
        <v>7174</v>
      </c>
      <c r="Z5337" s="151">
        <f>X5325</f>
        <v>49403.976926548428</v>
      </c>
      <c r="AA5337" s="135"/>
      <c r="AB5337" s="132">
        <f>IF(AA5330&lt;=0,W_max,ABS(AA$23-AA5336))</f>
        <v>7174</v>
      </c>
      <c r="AC5337" s="151">
        <f>AA5325</f>
        <v>96226.336914404761</v>
      </c>
      <c r="AD5337" s="135"/>
      <c r="AE5337" s="132">
        <f>IF(AD5330&lt;=0,W_max,ABS(AD$23-AD5336))</f>
        <v>7174</v>
      </c>
      <c r="AF5337" s="151">
        <f>AD5325</f>
        <v>158256.89578890076</v>
      </c>
      <c r="AG5337" s="135"/>
      <c r="AH5337" s="132">
        <f>IF(AG5330&lt;=0,W_max,ABS(AG$23-AG5336))</f>
        <v>7174</v>
      </c>
      <c r="AI5337" s="151">
        <f>AG5325</f>
        <v>221967.47993614856</v>
      </c>
      <c r="AJ5337" s="135"/>
      <c r="AK5337" s="132">
        <f>IF(AJ5330&lt;=0,W_max,ABS(AJ$23-AJ5336))</f>
        <v>7174</v>
      </c>
      <c r="AL5337" s="151">
        <f>AJ5325</f>
        <v>281839.80012224062</v>
      </c>
      <c r="AM5337" s="135"/>
      <c r="AN5337" s="132">
        <f>IF(AM5330&lt;=0,W_max,ABS(AM$23-AM5336))</f>
        <v>7174</v>
      </c>
      <c r="AO5337" s="151">
        <f>AM5325</f>
        <v>330479.33091290301</v>
      </c>
      <c r="AP5337" s="135"/>
      <c r="AQ5337" s="132">
        <f>IF(AP5330&lt;=0,W_max,ABS(AP$23-AP5336))</f>
        <v>7174</v>
      </c>
      <c r="AR5337" s="151">
        <f>AP5325</f>
        <v>368705.3287266586</v>
      </c>
      <c r="AS5337" s="135"/>
      <c r="AT5337" s="132">
        <f>IF(AS5330&lt;=0,W_max,ABS(AS$23-AS5336))</f>
        <v>7174</v>
      </c>
      <c r="AU5337" s="151">
        <f>AS5325</f>
        <v>411352.86450716329</v>
      </c>
    </row>
    <row r="5338" spans="15:47" ht="13" x14ac:dyDescent="0.25">
      <c r="O5338" s="12"/>
      <c r="P5338" s="12"/>
      <c r="Q5338" s="12"/>
      <c r="R5338" s="182"/>
      <c r="S5338" s="22"/>
      <c r="T5338" s="152"/>
      <c r="U5338" s="157"/>
      <c r="V5338" s="1"/>
      <c r="W5338" s="147"/>
      <c r="X5338" s="157"/>
      <c r="Y5338" s="1"/>
      <c r="Z5338" s="147"/>
      <c r="AA5338" s="157"/>
      <c r="AB5338" s="1"/>
      <c r="AC5338" s="147"/>
      <c r="AD5338" s="157"/>
      <c r="AE5338" s="1"/>
      <c r="AF5338" s="147"/>
      <c r="AG5338" s="157"/>
      <c r="AH5338" s="1"/>
      <c r="AI5338" s="147"/>
      <c r="AJ5338" s="157"/>
      <c r="AK5338" s="1"/>
      <c r="AL5338" s="147"/>
      <c r="AM5338" s="157"/>
      <c r="AN5338" s="1"/>
      <c r="AO5338" s="147"/>
      <c r="AP5338" s="157"/>
      <c r="AQ5338" s="1"/>
      <c r="AR5338" s="147"/>
      <c r="AS5338" s="157"/>
      <c r="AT5338" s="1"/>
      <c r="AU5338" s="147"/>
    </row>
    <row r="5339" spans="15:47" ht="14" x14ac:dyDescent="0.3">
      <c r="O5339" s="23" t="s">
        <v>238</v>
      </c>
      <c r="P5339" s="20"/>
      <c r="Q5339" s="20"/>
      <c r="R5339" s="18">
        <f>R5325*1.02</f>
        <v>20809.928327667592</v>
      </c>
      <c r="S5339" s="128" t="s">
        <v>185</v>
      </c>
      <c r="T5339" s="153" t="s">
        <v>186</v>
      </c>
      <c r="U5339" s="143">
        <f>U5325*1.01</f>
        <v>20176.148688222791</v>
      </c>
      <c r="V5339" s="128" t="s">
        <v>185</v>
      </c>
      <c r="W5339" s="153" t="s">
        <v>186</v>
      </c>
      <c r="X5339" s="143">
        <f>X5325*1.01</f>
        <v>49898.016695813916</v>
      </c>
      <c r="Y5339" s="128" t="s">
        <v>185</v>
      </c>
      <c r="Z5339" s="153" t="s">
        <v>186</v>
      </c>
      <c r="AA5339" s="143">
        <f>AA5325*1.01</f>
        <v>97188.600283548803</v>
      </c>
      <c r="AB5339" s="128" t="s">
        <v>185</v>
      </c>
      <c r="AC5339" s="153" t="s">
        <v>186</v>
      </c>
      <c r="AD5339" s="143">
        <f>AD5325*1.01</f>
        <v>159839.46474678977</v>
      </c>
      <c r="AE5339" s="128" t="s">
        <v>185</v>
      </c>
      <c r="AF5339" s="153" t="s">
        <v>186</v>
      </c>
      <c r="AG5339" s="143">
        <f>AG5325*1.01</f>
        <v>224187.15473551006</v>
      </c>
      <c r="AH5339" s="128" t="s">
        <v>185</v>
      </c>
      <c r="AI5339" s="153" t="s">
        <v>186</v>
      </c>
      <c r="AJ5339" s="143">
        <f>AJ5325*1.01</f>
        <v>284658.19812346302</v>
      </c>
      <c r="AK5339" s="128" t="s">
        <v>185</v>
      </c>
      <c r="AL5339" s="153" t="s">
        <v>186</v>
      </c>
      <c r="AM5339" s="143">
        <f>AM5325*1.01</f>
        <v>333784.12422203203</v>
      </c>
      <c r="AN5339" s="128" t="s">
        <v>185</v>
      </c>
      <c r="AO5339" s="153" t="s">
        <v>186</v>
      </c>
      <c r="AP5339" s="143">
        <f>AP5325*1.01</f>
        <v>372392.38201392518</v>
      </c>
      <c r="AQ5339" s="128" t="s">
        <v>185</v>
      </c>
      <c r="AR5339" s="153" t="s">
        <v>186</v>
      </c>
      <c r="AS5339" s="143">
        <f>AS5325*1.01</f>
        <v>415466.3931522349</v>
      </c>
      <c r="AT5339" s="128" t="s">
        <v>185</v>
      </c>
      <c r="AU5339" s="153" t="s">
        <v>186</v>
      </c>
    </row>
    <row r="5340" spans="15:47" ht="14" x14ac:dyDescent="0.3">
      <c r="O5340" s="20"/>
      <c r="P5340" s="20"/>
      <c r="Q5340" s="23"/>
      <c r="R5340" s="139"/>
      <c r="S5340" s="130" t="s">
        <v>228</v>
      </c>
      <c r="T5340" s="154" t="s">
        <v>187</v>
      </c>
      <c r="U5340" s="144"/>
      <c r="V5340" s="130" t="s">
        <v>228</v>
      </c>
      <c r="W5340" s="154" t="s">
        <v>187</v>
      </c>
      <c r="X5340" s="144"/>
      <c r="Y5340" s="130" t="s">
        <v>228</v>
      </c>
      <c r="Z5340" s="154" t="s">
        <v>187</v>
      </c>
      <c r="AA5340" s="144"/>
      <c r="AB5340" s="130" t="s">
        <v>228</v>
      </c>
      <c r="AC5340" s="154" t="s">
        <v>187</v>
      </c>
      <c r="AD5340" s="144"/>
      <c r="AE5340" s="130" t="s">
        <v>228</v>
      </c>
      <c r="AF5340" s="154" t="s">
        <v>187</v>
      </c>
      <c r="AG5340" s="144"/>
      <c r="AH5340" s="130" t="s">
        <v>228</v>
      </c>
      <c r="AI5340" s="154" t="s">
        <v>187</v>
      </c>
      <c r="AJ5340" s="144"/>
      <c r="AK5340" s="130" t="s">
        <v>228</v>
      </c>
      <c r="AL5340" s="154" t="s">
        <v>187</v>
      </c>
      <c r="AM5340" s="144"/>
      <c r="AN5340" s="130" t="s">
        <v>228</v>
      </c>
      <c r="AO5340" s="154" t="s">
        <v>187</v>
      </c>
      <c r="AP5340" s="144"/>
      <c r="AQ5340" s="130" t="s">
        <v>228</v>
      </c>
      <c r="AR5340" s="154" t="s">
        <v>187</v>
      </c>
      <c r="AS5340" s="144"/>
      <c r="AT5340" s="130" t="s">
        <v>228</v>
      </c>
      <c r="AU5340" s="154" t="s">
        <v>187</v>
      </c>
    </row>
    <row r="5341" spans="15:47" x14ac:dyDescent="0.25">
      <c r="O5341" s="7" t="s">
        <v>188</v>
      </c>
      <c r="P5341" s="7"/>
      <c r="Q5341" s="7"/>
      <c r="R5341" s="181">
        <f>P_1_minW-(R5339^2*R_up)+dpup_minQ</f>
        <v>-72.162269510987855</v>
      </c>
      <c r="S5341" s="132"/>
      <c r="T5341" s="145"/>
      <c r="U5341" s="138">
        <f>P_1_minW-(U5339^2*R_up)+dpup_minQ</f>
        <v>-61.803975774849263</v>
      </c>
      <c r="V5341" s="132"/>
      <c r="W5341" s="145"/>
      <c r="X5341" s="138">
        <f>P_1_minW-(X5339^2*R_up)+dpup_minQ</f>
        <v>-892.31924696208762</v>
      </c>
      <c r="Y5341" s="132"/>
      <c r="Z5341" s="145"/>
      <c r="AA5341" s="138">
        <f>P_1_minW-(AA5339^2*R_up)+dpup_minQ</f>
        <v>-3666.0315966020876</v>
      </c>
      <c r="AB5341" s="132"/>
      <c r="AC5341" s="145"/>
      <c r="AD5341" s="138">
        <f>P_1_minW-(AD5339^2*R_up)+dpup_minQ</f>
        <v>-10087.305598586379</v>
      </c>
      <c r="AE5341" s="132"/>
      <c r="AF5341" s="145"/>
      <c r="AG5341" s="138">
        <f>P_1_minW-(AG5339^2*R_up)+dpup_minQ</f>
        <v>-19941.199404386804</v>
      </c>
      <c r="AH5341" s="132"/>
      <c r="AI5341" s="145"/>
      <c r="AJ5341" s="138">
        <f>P_1_minW-(AJ5339^2*R_up)+dpup_minQ</f>
        <v>-32211.26437146002</v>
      </c>
      <c r="AK5341" s="132"/>
      <c r="AL5341" s="145"/>
      <c r="AM5341" s="138">
        <f>P_1_minW-(AM5339^2*R_up)+dpup_minQ</f>
        <v>-44326.267773106716</v>
      </c>
      <c r="AN5341" s="132"/>
      <c r="AO5341" s="145"/>
      <c r="AP5341" s="138">
        <f>P_1_minW-(AP5339^2*R_up)+dpup_minQ</f>
        <v>-55198.208020932921</v>
      </c>
      <c r="AQ5341" s="132"/>
      <c r="AR5341" s="145"/>
      <c r="AS5341" s="138">
        <f>P_1_minW-(AS5339^2*R_up)+dpup_minQ</f>
        <v>-68730.684473666552</v>
      </c>
      <c r="AT5341" s="132"/>
      <c r="AU5341" s="145"/>
    </row>
    <row r="5342" spans="15:47" x14ac:dyDescent="0.25">
      <c r="O5342" s="7" t="s">
        <v>189</v>
      </c>
      <c r="P5342" s="1"/>
      <c r="Q5342" s="7"/>
      <c r="R5342" s="181">
        <f>P_2_minW+(R5339^2*R_dn)-dpdn_minQ</f>
        <v>50</v>
      </c>
      <c r="S5342" s="132"/>
      <c r="T5342" s="146"/>
      <c r="U5342" s="138">
        <f>P_2_minW+(U5339^2*R_dn)-dpdn_minQ</f>
        <v>50</v>
      </c>
      <c r="V5342" s="132"/>
      <c r="W5342" s="146"/>
      <c r="X5342" s="138">
        <f>P_2_minW+(X5339^2*R_dn)-dpdn_minQ</f>
        <v>50</v>
      </c>
      <c r="Y5342" s="132"/>
      <c r="Z5342" s="146"/>
      <c r="AA5342" s="138">
        <f>P_2_minW+(AA5339^2*R_dn)-dpdn_minQ</f>
        <v>50</v>
      </c>
      <c r="AB5342" s="132"/>
      <c r="AC5342" s="146"/>
      <c r="AD5342" s="138">
        <f>P_2_minW+(AD5339^2*R_dn)-dpdn_minQ</f>
        <v>50</v>
      </c>
      <c r="AE5342" s="132"/>
      <c r="AF5342" s="146"/>
      <c r="AG5342" s="138">
        <f>P_2_minW+(AG5339^2*R_dn)-dpdn_minQ</f>
        <v>50</v>
      </c>
      <c r="AH5342" s="132"/>
      <c r="AI5342" s="146"/>
      <c r="AJ5342" s="138">
        <f>P_2_minW+(AJ5339^2*R_dn)-dpdn_minQ</f>
        <v>50</v>
      </c>
      <c r="AK5342" s="132"/>
      <c r="AL5342" s="146"/>
      <c r="AM5342" s="138">
        <f>P_2_minW+(AM5339^2*R_dn)-dpdn_minQ</f>
        <v>50</v>
      </c>
      <c r="AN5342" s="132"/>
      <c r="AO5342" s="146"/>
      <c r="AP5342" s="138">
        <f>P_2_minW+(AP5339^2*R_dn)-dpdn_minQ</f>
        <v>50</v>
      </c>
      <c r="AQ5342" s="132"/>
      <c r="AR5342" s="146"/>
      <c r="AS5342" s="138">
        <f>P_2_minW+(AS5339^2*R_dn)-dpdn_minQ</f>
        <v>50</v>
      </c>
      <c r="AT5342" s="132"/>
      <c r="AU5342" s="146"/>
    </row>
    <row r="5343" spans="15:47" x14ac:dyDescent="0.25">
      <c r="O5343" s="7" t="s">
        <v>234</v>
      </c>
      <c r="P5343" s="1"/>
      <c r="Q5343" s="7"/>
      <c r="R5343" s="179">
        <f>'Valve Sizing'!G$8*R5341/P_1_maxW</f>
        <v>-0.34809794042080094</v>
      </c>
      <c r="S5343" s="132"/>
      <c r="T5343" s="146"/>
      <c r="U5343" s="143">
        <f>'Valve Sizing'!$G$8*U5341/P_1_maxW</f>
        <v>-0.29813137561820002</v>
      </c>
      <c r="V5343" s="132"/>
      <c r="W5343" s="146"/>
      <c r="X5343" s="143">
        <f>'Valve Sizing'!$G$8*X5341/P_1_maxW</f>
        <v>-4.3043891796951694</v>
      </c>
      <c r="Y5343" s="132"/>
      <c r="Z5343" s="146"/>
      <c r="AA5343" s="143">
        <f>'Valve Sizing'!$G$8*AA5341/P_1_maxW</f>
        <v>-17.684283725312365</v>
      </c>
      <c r="AB5343" s="132"/>
      <c r="AC5343" s="146"/>
      <c r="AD5343" s="143">
        <f>'Valve Sizing'!$G$8*AD5341/P_1_maxW</f>
        <v>-48.659366273513214</v>
      </c>
      <c r="AE5343" s="132"/>
      <c r="AF5343" s="146"/>
      <c r="AG5343" s="143">
        <f>'Valve Sizing'!$G$8*AG5341/P_1_maxW</f>
        <v>-96.192795615035308</v>
      </c>
      <c r="AH5343" s="132"/>
      <c r="AI5343" s="146"/>
      <c r="AJ5343" s="143">
        <f>'Valve Sizing'!$G$8*AJ5341/P_1_maxW</f>
        <v>-155.38140446577626</v>
      </c>
      <c r="AK5343" s="132"/>
      <c r="AL5343" s="146"/>
      <c r="AM5343" s="143">
        <f>'Valve Sizing'!$G$8*AM5341/P_1_maxW</f>
        <v>-213.82202393190983</v>
      </c>
      <c r="AN5343" s="132"/>
      <c r="AO5343" s="146"/>
      <c r="AP5343" s="143">
        <f>'Valve Sizing'!$G$8*AP5341/P_1_maxW</f>
        <v>-266.26632805776694</v>
      </c>
      <c r="AQ5343" s="132"/>
      <c r="AR5343" s="146"/>
      <c r="AS5343" s="143">
        <f>'Valve Sizing'!$G$8*AS5341/P_1_maxW</f>
        <v>-331.54458515682194</v>
      </c>
      <c r="AT5343" s="132"/>
      <c r="AU5343" s="146"/>
    </row>
    <row r="5344" spans="15:47" x14ac:dyDescent="0.25">
      <c r="O5344" s="7" t="s">
        <v>190</v>
      </c>
      <c r="P5344" s="1"/>
      <c r="Q5344" s="7"/>
      <c r="R5344" s="181">
        <f>R5341-R5342</f>
        <v>-122.16226951098785</v>
      </c>
      <c r="S5344" s="132"/>
      <c r="T5344" s="146"/>
      <c r="U5344" s="138">
        <f>U5341-U5342</f>
        <v>-111.80397577484926</v>
      </c>
      <c r="V5344" s="132"/>
      <c r="W5344" s="146"/>
      <c r="X5344" s="138">
        <f>X5341-X5342</f>
        <v>-942.31924696208762</v>
      </c>
      <c r="Y5344" s="132"/>
      <c r="Z5344" s="146"/>
      <c r="AA5344" s="138">
        <f>AA5341-AA5342</f>
        <v>-3716.0315966020876</v>
      </c>
      <c r="AB5344" s="132"/>
      <c r="AC5344" s="146"/>
      <c r="AD5344" s="138">
        <f>AD5341-AD5342</f>
        <v>-10137.305598586379</v>
      </c>
      <c r="AE5344" s="132"/>
      <c r="AF5344" s="146"/>
      <c r="AG5344" s="138">
        <f>AG5341-AG5342</f>
        <v>-19991.199404386804</v>
      </c>
      <c r="AH5344" s="132"/>
      <c r="AI5344" s="146"/>
      <c r="AJ5344" s="138">
        <f>AJ5341-AJ5342</f>
        <v>-32261.26437146002</v>
      </c>
      <c r="AK5344" s="132"/>
      <c r="AL5344" s="146"/>
      <c r="AM5344" s="138">
        <f>AM5341-AM5342</f>
        <v>-44376.267773106716</v>
      </c>
      <c r="AN5344" s="132"/>
      <c r="AO5344" s="146"/>
      <c r="AP5344" s="138">
        <f>AP5341-AP5342</f>
        <v>-55248.208020932921</v>
      </c>
      <c r="AQ5344" s="132"/>
      <c r="AR5344" s="146"/>
      <c r="AS5344" s="138">
        <f>AS5341-AS5342</f>
        <v>-68780.684473666552</v>
      </c>
      <c r="AT5344" s="132"/>
      <c r="AU5344" s="146"/>
    </row>
    <row r="5345" spans="15:47" ht="14.5" x14ac:dyDescent="0.35">
      <c r="O5345" s="2" t="s">
        <v>191</v>
      </c>
      <c r="P5345" s="10"/>
      <c r="Q5345" s="2"/>
      <c r="R5345" s="181">
        <f>R5344/R5341</f>
        <v>1.6928828643947611</v>
      </c>
      <c r="S5345" s="132"/>
      <c r="T5345" s="146"/>
      <c r="U5345" s="138">
        <f>U5344/U5341</f>
        <v>1.8090094427282328</v>
      </c>
      <c r="V5345" s="132"/>
      <c r="W5345" s="146"/>
      <c r="X5345" s="138">
        <f>X5344/X5341</f>
        <v>1.0560337571673206</v>
      </c>
      <c r="Y5345" s="132"/>
      <c r="Z5345" s="146"/>
      <c r="AA5345" s="138">
        <f>AA5344/AA5341</f>
        <v>1.0136387258763244</v>
      </c>
      <c r="AB5345" s="132"/>
      <c r="AC5345" s="146"/>
      <c r="AD5345" s="138">
        <f>AD5344/AD5341</f>
        <v>1.0049567250155489</v>
      </c>
      <c r="AE5345" s="132"/>
      <c r="AF5345" s="146"/>
      <c r="AG5345" s="138">
        <f>AG5344/AG5341</f>
        <v>1.0025073717476092</v>
      </c>
      <c r="AH5345" s="132"/>
      <c r="AI5345" s="146"/>
      <c r="AJ5345" s="138">
        <f>AJ5344/AJ5341</f>
        <v>1.0015522520141835</v>
      </c>
      <c r="AK5345" s="132"/>
      <c r="AL5345" s="146"/>
      <c r="AM5345" s="138">
        <f>AM5344/AM5341</f>
        <v>1.001127999322116</v>
      </c>
      <c r="AN5345" s="132"/>
      <c r="AO5345" s="146"/>
      <c r="AP5345" s="138">
        <f>AP5344/AP5341</f>
        <v>1.0009058265076474</v>
      </c>
      <c r="AQ5345" s="132"/>
      <c r="AR5345" s="146"/>
      <c r="AS5345" s="138">
        <f>AS5344/AS5341</f>
        <v>1.0007274771142307</v>
      </c>
      <c r="AT5345" s="132"/>
      <c r="AU5345" s="146"/>
    </row>
    <row r="5346" spans="15:47" x14ac:dyDescent="0.25">
      <c r="O5346" s="2" t="s">
        <v>26</v>
      </c>
      <c r="P5346" s="7">
        <v>12</v>
      </c>
      <c r="Q5346" s="2"/>
      <c r="R5346" s="181">
        <f>1-R5345/(3*F_GAMMA*R$29)</f>
        <v>0.11832720526066043</v>
      </c>
      <c r="S5346" s="133"/>
      <c r="T5346" s="146"/>
      <c r="U5346" s="138">
        <f>1-U5345/(3*F_GAMMA*U$29)</f>
        <v>5.8054591150581758E-2</v>
      </c>
      <c r="V5346" s="133"/>
      <c r="W5346" s="146"/>
      <c r="X5346" s="138">
        <f>1-X5345/(3*F_GAMMA*X$29)</f>
        <v>0.44187763720471385</v>
      </c>
      <c r="Y5346" s="133"/>
      <c r="Z5346" s="146"/>
      <c r="AA5346" s="138">
        <f>1-AA5345/(3*F_GAMMA*AA$29)</f>
        <v>0.45693833810492279</v>
      </c>
      <c r="AB5346" s="133"/>
      <c r="AC5346" s="146"/>
      <c r="AD5346" s="138">
        <f>1-AD5345/(3*F_GAMMA*AD$29)</f>
        <v>0.44682769653863808</v>
      </c>
      <c r="AE5346" s="133"/>
      <c r="AF5346" s="146"/>
      <c r="AG5346" s="138">
        <f>1-AG5345/(3*F_GAMMA*AG$29)</f>
        <v>0.41669901170404899</v>
      </c>
      <c r="AH5346" s="133"/>
      <c r="AI5346" s="146"/>
      <c r="AJ5346" s="138">
        <f>1-AJ5345/(3*F_GAMMA*AJ$29)</f>
        <v>0.37703741764340915</v>
      </c>
      <c r="AK5346" s="133"/>
      <c r="AL5346" s="146"/>
      <c r="AM5346" s="138">
        <f>1-AM5345/(3*F_GAMMA*AM$29)</f>
        <v>0.3196383504852508</v>
      </c>
      <c r="AN5346" s="133"/>
      <c r="AO5346" s="146"/>
      <c r="AP5346" s="138">
        <f>1-AP5345/(3*F_GAMMA*AP$29)</f>
        <v>0.43787947794324644</v>
      </c>
      <c r="AQ5346" s="133"/>
      <c r="AR5346" s="146"/>
      <c r="AS5346" s="138">
        <f>1-AS5345/(3*F_GAMMA*AS$29)</f>
        <v>0.14680425923234863</v>
      </c>
      <c r="AT5346" s="133"/>
      <c r="AU5346" s="146"/>
    </row>
    <row r="5347" spans="15:47" x14ac:dyDescent="0.25">
      <c r="O5347" s="2" t="s">
        <v>71</v>
      </c>
      <c r="P5347" s="85">
        <v>5</v>
      </c>
      <c r="Q5347" s="2"/>
      <c r="R5347" s="179">
        <f>R5339/((N_6*R$27*R5346)*SQRT(R5345*R5341*R5343))</f>
        <v>426.10286457756979</v>
      </c>
      <c r="S5347" s="133"/>
      <c r="T5347" s="146"/>
      <c r="U5347" s="143">
        <f>U5339/((N_6*U$27*U5346)*SQRT(U5345*U5341*U5343))</f>
        <v>951.67124227763213</v>
      </c>
      <c r="V5347" s="133"/>
      <c r="W5347" s="146"/>
      <c r="X5347" s="143">
        <f>X5339/((N_6*X$27*X5346)*SQRT(X5345*X5341*X5343))</f>
        <v>28.093483966669694</v>
      </c>
      <c r="Y5347" s="133"/>
      <c r="Z5347" s="146"/>
      <c r="AA5347" s="143">
        <f>AA5339/((N_6*AA$27*AA5346)*SQRT(AA5345*AA5341*AA5343))</f>
        <v>13.221904376425273</v>
      </c>
      <c r="AB5347" s="133"/>
      <c r="AC5347" s="146"/>
      <c r="AD5347" s="143">
        <f>AD5339/((N_6*AD$27*AD5346)*SQRT(AD5345*AD5341*AD5343))</f>
        <v>8.2132271948213891</v>
      </c>
      <c r="AE5347" s="133"/>
      <c r="AF5347" s="146"/>
      <c r="AG5347" s="143">
        <f>AG5339/((N_6*AG$27*AG5346)*SQRT(AG5345*AG5341*AG5343))</f>
        <v>6.3912039468540849</v>
      </c>
      <c r="AH5347" s="133"/>
      <c r="AI5347" s="146"/>
      <c r="AJ5347" s="143">
        <f>AJ5339/((N_6*AJ$27*AJ5346)*SQRT(AJ5345*AJ5341*AJ5343))</f>
        <v>5.7457103211932585</v>
      </c>
      <c r="AK5347" s="133"/>
      <c r="AL5347" s="146"/>
      <c r="AM5347" s="143">
        <f>AM5339/((N_6*AM$27*AM5346)*SQRT(AM5345*AM5341*AM5343))</f>
        <v>6.1310397373517596</v>
      </c>
      <c r="AN5347" s="133"/>
      <c r="AO5347" s="146"/>
      <c r="AP5347" s="143">
        <f>AP5339/((N_6*AP$27*AP5346)*SQRT(AP5345*AP5341*AP5343))</f>
        <v>4.5552481096870263</v>
      </c>
      <c r="AQ5347" s="133"/>
      <c r="AR5347" s="146"/>
      <c r="AS5347" s="143">
        <f>AS5339/((N_6*AS$27*AS5346)*SQRT(AS5345*AS5341*AS5343))</f>
        <v>15.997919562495007</v>
      </c>
      <c r="AT5347" s="133"/>
      <c r="AU5347" s="146"/>
    </row>
    <row r="5348" spans="15:47" x14ac:dyDescent="0.25">
      <c r="O5348" s="2" t="s">
        <v>73</v>
      </c>
      <c r="P5348" s="85">
        <v>5</v>
      </c>
      <c r="Q5348" s="2"/>
      <c r="R5348" s="179">
        <f>R5339/((N_6*R$27*0.667)*SQRT(R5349*R5341*R5343))</f>
        <v>122.93840507633831</v>
      </c>
      <c r="S5348" s="133"/>
      <c r="T5348" s="155"/>
      <c r="U5348" s="143">
        <f>U5339/((N_6*U$27*0.667)*SQRT(U5349*U5341*U5343))</f>
        <v>139.24229639989423</v>
      </c>
      <c r="V5348" s="133"/>
      <c r="W5348" s="155"/>
      <c r="X5348" s="143">
        <f>X5339/((N_6*X$27*0.667)*SQRT(X5349*X5341*X5343))</f>
        <v>24.082808342745107</v>
      </c>
      <c r="Y5348" s="133"/>
      <c r="Z5348" s="155"/>
      <c r="AA5348" s="143">
        <f>AA5339/((N_6*AA$27*0.667)*SQRT(AA5349*AA5341*AA5343))</f>
        <v>11.561414594667445</v>
      </c>
      <c r="AB5348" s="133"/>
      <c r="AC5348" s="155"/>
      <c r="AD5348" s="143">
        <f>AD5339/((N_6*AD$27*0.667)*SQRT(AD5349*AD5341*AD5343))</f>
        <v>7.087921982951503</v>
      </c>
      <c r="AE5348" s="133"/>
      <c r="AF5348" s="155"/>
      <c r="AG5348" s="143">
        <f>AG5339/((N_6*AG$27*0.667)*SQRT(AG5349*AG5341*AG5343))</f>
        <v>5.2818528324644411</v>
      </c>
      <c r="AH5348" s="133"/>
      <c r="AI5348" s="155"/>
      <c r="AJ5348" s="143">
        <f>AJ5339/((N_6*AJ$27*0.667)*SQRT(AJ5349*AJ5341*AJ5343))</f>
        <v>4.4401122873456718</v>
      </c>
      <c r="AK5348" s="133"/>
      <c r="AL5348" s="155"/>
      <c r="AM5348" s="143">
        <f>AM5339/((N_6*AM$27*0.667)*SQRT(AM5349*AM5341*AM5343))</f>
        <v>4.1975677826633149</v>
      </c>
      <c r="AN5348" s="133"/>
      <c r="AO5348" s="155"/>
      <c r="AP5348" s="143">
        <f>AP5339/((N_6*AP$27*0.667)*SQRT(AP5349*AP5341*AP5343))</f>
        <v>3.8834359091935866</v>
      </c>
      <c r="AQ5348" s="133"/>
      <c r="AR5348" s="155"/>
      <c r="AS5348" s="143">
        <f>AS5339/((N_6*AS$27*0.667)*SQRT(AS5349*AS5341*AS5343))</f>
        <v>5.6332794731226148</v>
      </c>
      <c r="AT5348" s="133"/>
      <c r="AU5348" s="155"/>
    </row>
    <row r="5349" spans="15:47" ht="15.5" x14ac:dyDescent="0.4">
      <c r="O5349" s="2" t="s">
        <v>192</v>
      </c>
      <c r="P5349" s="85">
        <v>10</v>
      </c>
      <c r="Q5349" s="2"/>
      <c r="R5349" s="181">
        <f>F_GAMMA*R$29</f>
        <v>0.64002688015162901</v>
      </c>
      <c r="S5349" s="133"/>
      <c r="T5349" s="155"/>
      <c r="U5349" s="138">
        <f>F_GAMMA*U$29</f>
        <v>0.64016782916606918</v>
      </c>
      <c r="V5349" s="133"/>
      <c r="W5349" s="155"/>
      <c r="X5349" s="138">
        <f>F_GAMMA*X$29</f>
        <v>0.6307062319203669</v>
      </c>
      <c r="Y5349" s="133"/>
      <c r="Z5349" s="155"/>
      <c r="AA5349" s="138">
        <f>F_GAMMA*AA$29</f>
        <v>0.62217534213893466</v>
      </c>
      <c r="AB5349" s="133"/>
      <c r="AC5349" s="155"/>
      <c r="AD5349" s="138">
        <f>F_GAMMA*AD$29</f>
        <v>0.60557184969146072</v>
      </c>
      <c r="AE5349" s="133"/>
      <c r="AF5349" s="155"/>
      <c r="AG5349" s="138">
        <f>F_GAMMA*AG$29</f>
        <v>0.57289312142622573</v>
      </c>
      <c r="AH5349" s="133"/>
      <c r="AI5349" s="155"/>
      <c r="AJ5349" s="138">
        <f>F_GAMMA*AJ$29</f>
        <v>0.53590819116049981</v>
      </c>
      <c r="AK5349" s="133"/>
      <c r="AL5349" s="155"/>
      <c r="AM5349" s="138">
        <f>F_GAMMA*AM$29</f>
        <v>0.49048815926850342</v>
      </c>
      <c r="AN5349" s="133"/>
      <c r="AO5349" s="155"/>
      <c r="AP5349" s="138">
        <f>F_GAMMA*AP$29</f>
        <v>0.59352979016280105</v>
      </c>
      <c r="AQ5349" s="133"/>
      <c r="AR5349" s="155"/>
      <c r="AS5349" s="138">
        <f>F_GAMMA*AS$29</f>
        <v>0.39097221161068291</v>
      </c>
      <c r="AT5349" s="133"/>
      <c r="AU5349" s="155"/>
    </row>
    <row r="5350" spans="15:47" x14ac:dyDescent="0.25">
      <c r="O5350" s="2" t="s">
        <v>193</v>
      </c>
      <c r="P5350" s="134"/>
      <c r="Q5350" s="2"/>
      <c r="R5350" s="181">
        <f>IF(R5345&lt;R5349,R5347,R5348)</f>
        <v>122.93840507633831</v>
      </c>
      <c r="S5350" s="133"/>
      <c r="T5350" s="155"/>
      <c r="U5350" s="138">
        <f>IF(U5345&lt;U5349,U5347,U5348)</f>
        <v>139.24229639989423</v>
      </c>
      <c r="V5350" s="133"/>
      <c r="W5350" s="155"/>
      <c r="X5350" s="138">
        <f>IF(X5345&lt;X5349,X5347,X5348)</f>
        <v>24.082808342745107</v>
      </c>
      <c r="Y5350" s="133"/>
      <c r="Z5350" s="155"/>
      <c r="AA5350" s="138">
        <f>IF(AA5345&lt;AA5349,AA5347,AA5348)</f>
        <v>11.561414594667445</v>
      </c>
      <c r="AB5350" s="133"/>
      <c r="AC5350" s="155"/>
      <c r="AD5350" s="138">
        <f>IF(AD5345&lt;AD5349,AD5347,AD5348)</f>
        <v>7.087921982951503</v>
      </c>
      <c r="AE5350" s="133"/>
      <c r="AF5350" s="155"/>
      <c r="AG5350" s="138">
        <f>IF(AG5345&lt;AG5349,AG5347,AG5348)</f>
        <v>5.2818528324644411</v>
      </c>
      <c r="AH5350" s="133"/>
      <c r="AI5350" s="155"/>
      <c r="AJ5350" s="138">
        <f>IF(AJ5345&lt;AJ5349,AJ5347,AJ5348)</f>
        <v>4.4401122873456718</v>
      </c>
      <c r="AK5350" s="133"/>
      <c r="AL5350" s="155"/>
      <c r="AM5350" s="138">
        <f>IF(AM5345&lt;AM5349,AM5347,AM5348)</f>
        <v>4.1975677826633149</v>
      </c>
      <c r="AN5350" s="133"/>
      <c r="AO5350" s="155"/>
      <c r="AP5350" s="138">
        <f>IF(AP5345&lt;AP5349,AP5347,AP5348)</f>
        <v>3.8834359091935866</v>
      </c>
      <c r="AQ5350" s="133"/>
      <c r="AR5350" s="155"/>
      <c r="AS5350" s="138">
        <f>IF(AS5345&lt;AS5349,AS5347,AS5348)</f>
        <v>5.6332794731226148</v>
      </c>
      <c r="AT5350" s="133"/>
      <c r="AU5350" s="155"/>
    </row>
    <row r="5351" spans="15:47" ht="13" x14ac:dyDescent="0.3">
      <c r="O5351" s="9" t="s">
        <v>194</v>
      </c>
      <c r="P5351" s="1"/>
      <c r="Q5351" s="1"/>
      <c r="R5351" s="135"/>
      <c r="S5351" s="132">
        <f>IF(R5344&lt;=0,W_max,ABS(R$23-R5350))</f>
        <v>7174</v>
      </c>
      <c r="T5351" s="151">
        <f>R5339</f>
        <v>20809.928327667592</v>
      </c>
      <c r="U5351" s="135"/>
      <c r="V5351" s="132">
        <f>IF(U5344&lt;=0,W_max,ABS(U$23-U5350))</f>
        <v>7174</v>
      </c>
      <c r="W5351" s="151">
        <f>U5339</f>
        <v>20176.148688222791</v>
      </c>
      <c r="X5351" s="135"/>
      <c r="Y5351" s="132">
        <f>IF(X5344&lt;=0,W_max,ABS(X$23-X5350))</f>
        <v>7174</v>
      </c>
      <c r="Z5351" s="151">
        <f>X5339</f>
        <v>49898.016695813916</v>
      </c>
      <c r="AA5351" s="135"/>
      <c r="AB5351" s="132">
        <f>IF(AA5344&lt;=0,W_max,ABS(AA$23-AA5350))</f>
        <v>7174</v>
      </c>
      <c r="AC5351" s="151">
        <f>AA5339</f>
        <v>97188.600283548803</v>
      </c>
      <c r="AD5351" s="135"/>
      <c r="AE5351" s="132">
        <f>IF(AD5344&lt;=0,W_max,ABS(AD$23-AD5350))</f>
        <v>7174</v>
      </c>
      <c r="AF5351" s="151">
        <f>AD5339</f>
        <v>159839.46474678977</v>
      </c>
      <c r="AG5351" s="135"/>
      <c r="AH5351" s="132">
        <f>IF(AG5344&lt;=0,W_max,ABS(AG$23-AG5350))</f>
        <v>7174</v>
      </c>
      <c r="AI5351" s="151">
        <f>AG5339</f>
        <v>224187.15473551006</v>
      </c>
      <c r="AJ5351" s="135"/>
      <c r="AK5351" s="132">
        <f>IF(AJ5344&lt;=0,W_max,ABS(AJ$23-AJ5350))</f>
        <v>7174</v>
      </c>
      <c r="AL5351" s="151">
        <f>AJ5339</f>
        <v>284658.19812346302</v>
      </c>
      <c r="AM5351" s="135"/>
      <c r="AN5351" s="132">
        <f>IF(AM5344&lt;=0,W_max,ABS(AM$23-AM5350))</f>
        <v>7174</v>
      </c>
      <c r="AO5351" s="151">
        <f>AM5339</f>
        <v>333784.12422203203</v>
      </c>
      <c r="AP5351" s="135"/>
      <c r="AQ5351" s="132">
        <f>IF(AP5344&lt;=0,W_max,ABS(AP$23-AP5350))</f>
        <v>7174</v>
      </c>
      <c r="AR5351" s="151">
        <f>AP5339</f>
        <v>372392.38201392518</v>
      </c>
      <c r="AS5351" s="135"/>
      <c r="AT5351" s="132">
        <f>IF(AS5344&lt;=0,W_max,ABS(AS$23-AS5350))</f>
        <v>7174</v>
      </c>
      <c r="AU5351" s="151">
        <f>AS5339</f>
        <v>415466.3931522349</v>
      </c>
    </row>
    <row r="5352" spans="15:47" ht="13" x14ac:dyDescent="0.25">
      <c r="O5352" s="2"/>
      <c r="P5352" s="85"/>
      <c r="Q5352" s="2"/>
      <c r="R5352" s="18"/>
      <c r="S5352" s="150"/>
      <c r="T5352" s="152"/>
      <c r="U5352" s="157"/>
      <c r="V5352" s="1"/>
      <c r="W5352" s="147"/>
      <c r="X5352" s="157"/>
      <c r="Y5352" s="1"/>
      <c r="Z5352" s="147"/>
      <c r="AA5352" s="157"/>
      <c r="AB5352" s="1"/>
      <c r="AC5352" s="147"/>
      <c r="AD5352" s="157"/>
      <c r="AE5352" s="1"/>
      <c r="AF5352" s="147"/>
      <c r="AG5352" s="157"/>
      <c r="AH5352" s="1"/>
      <c r="AI5352" s="147"/>
      <c r="AJ5352" s="157"/>
      <c r="AK5352" s="1"/>
      <c r="AL5352" s="147"/>
      <c r="AM5352" s="157"/>
      <c r="AN5352" s="1"/>
      <c r="AO5352" s="147"/>
      <c r="AP5352" s="157"/>
      <c r="AQ5352" s="1"/>
      <c r="AR5352" s="147"/>
      <c r="AS5352" s="157"/>
      <c r="AT5352" s="1"/>
      <c r="AU5352" s="147"/>
    </row>
    <row r="5353" spans="15:47" ht="14" x14ac:dyDescent="0.3">
      <c r="O5353" s="23" t="s">
        <v>238</v>
      </c>
      <c r="P5353" s="20"/>
      <c r="Q5353" s="20"/>
      <c r="R5353" s="181">
        <f>R5339*1.02</f>
        <v>21226.126894220946</v>
      </c>
      <c r="S5353" s="128" t="s">
        <v>185</v>
      </c>
      <c r="T5353" s="153" t="s">
        <v>186</v>
      </c>
      <c r="U5353" s="143">
        <f>U5339*1.01</f>
        <v>20377.910175105018</v>
      </c>
      <c r="V5353" s="128" t="s">
        <v>185</v>
      </c>
      <c r="W5353" s="153" t="s">
        <v>186</v>
      </c>
      <c r="X5353" s="143">
        <f>X5339*1.01</f>
        <v>50396.996862772059</v>
      </c>
      <c r="Y5353" s="128" t="s">
        <v>185</v>
      </c>
      <c r="Z5353" s="153" t="s">
        <v>186</v>
      </c>
      <c r="AA5353" s="143">
        <f>AA5339*1.01</f>
        <v>98160.486286384286</v>
      </c>
      <c r="AB5353" s="128" t="s">
        <v>185</v>
      </c>
      <c r="AC5353" s="153" t="s">
        <v>186</v>
      </c>
      <c r="AD5353" s="143">
        <f>AD5339*1.01</f>
        <v>161437.85939425768</v>
      </c>
      <c r="AE5353" s="128" t="s">
        <v>185</v>
      </c>
      <c r="AF5353" s="153" t="s">
        <v>186</v>
      </c>
      <c r="AG5353" s="143">
        <f>AG5339*1.01</f>
        <v>226429.02628286518</v>
      </c>
      <c r="AH5353" s="128" t="s">
        <v>185</v>
      </c>
      <c r="AI5353" s="153" t="s">
        <v>186</v>
      </c>
      <c r="AJ5353" s="143">
        <f>AJ5339*1.01</f>
        <v>287504.78010469768</v>
      </c>
      <c r="AK5353" s="128" t="s">
        <v>185</v>
      </c>
      <c r="AL5353" s="153" t="s">
        <v>186</v>
      </c>
      <c r="AM5353" s="143">
        <f>AM5339*1.01</f>
        <v>337121.96546425234</v>
      </c>
      <c r="AN5353" s="128" t="s">
        <v>185</v>
      </c>
      <c r="AO5353" s="153" t="s">
        <v>186</v>
      </c>
      <c r="AP5353" s="143">
        <f>AP5339*1.01</f>
        <v>376116.30583406443</v>
      </c>
      <c r="AQ5353" s="128" t="s">
        <v>185</v>
      </c>
      <c r="AR5353" s="153" t="s">
        <v>186</v>
      </c>
      <c r="AS5353" s="143">
        <f>AS5339*1.01</f>
        <v>419621.05708375724</v>
      </c>
      <c r="AT5353" s="128" t="s">
        <v>185</v>
      </c>
      <c r="AU5353" s="153" t="s">
        <v>186</v>
      </c>
    </row>
    <row r="5354" spans="15:47" ht="14" x14ac:dyDescent="0.3">
      <c r="O5354" s="20"/>
      <c r="P5354" s="20"/>
      <c r="Q5354" s="23"/>
      <c r="R5354" s="139"/>
      <c r="S5354" s="130" t="s">
        <v>228</v>
      </c>
      <c r="T5354" s="154" t="s">
        <v>187</v>
      </c>
      <c r="U5354" s="144"/>
      <c r="V5354" s="130" t="s">
        <v>228</v>
      </c>
      <c r="W5354" s="154" t="s">
        <v>187</v>
      </c>
      <c r="X5354" s="144"/>
      <c r="Y5354" s="130" t="s">
        <v>228</v>
      </c>
      <c r="Z5354" s="154" t="s">
        <v>187</v>
      </c>
      <c r="AA5354" s="144"/>
      <c r="AB5354" s="130" t="s">
        <v>228</v>
      </c>
      <c r="AC5354" s="154" t="s">
        <v>187</v>
      </c>
      <c r="AD5354" s="144"/>
      <c r="AE5354" s="130" t="s">
        <v>228</v>
      </c>
      <c r="AF5354" s="154" t="s">
        <v>187</v>
      </c>
      <c r="AG5354" s="144"/>
      <c r="AH5354" s="130" t="s">
        <v>228</v>
      </c>
      <c r="AI5354" s="154" t="s">
        <v>187</v>
      </c>
      <c r="AJ5354" s="144"/>
      <c r="AK5354" s="130" t="s">
        <v>228</v>
      </c>
      <c r="AL5354" s="154" t="s">
        <v>187</v>
      </c>
      <c r="AM5354" s="144"/>
      <c r="AN5354" s="130" t="s">
        <v>228</v>
      </c>
      <c r="AO5354" s="154" t="s">
        <v>187</v>
      </c>
      <c r="AP5354" s="144"/>
      <c r="AQ5354" s="130" t="s">
        <v>228</v>
      </c>
      <c r="AR5354" s="154" t="s">
        <v>187</v>
      </c>
      <c r="AS5354" s="144"/>
      <c r="AT5354" s="130" t="s">
        <v>228</v>
      </c>
      <c r="AU5354" s="154" t="s">
        <v>187</v>
      </c>
    </row>
    <row r="5355" spans="15:47" x14ac:dyDescent="0.25">
      <c r="O5355" s="7" t="s">
        <v>188</v>
      </c>
      <c r="P5355" s="7"/>
      <c r="Q5355" s="7"/>
      <c r="R5355" s="181">
        <f>P_1_minW-(R5353^2*R_up)+dpup_minQ</f>
        <v>-79.138745783395549</v>
      </c>
      <c r="S5355" s="132"/>
      <c r="T5355" s="145"/>
      <c r="U5355" s="138">
        <f>P_1_minW-(U5353^2*R_up)+dpup_minQ</f>
        <v>-65.066743701331959</v>
      </c>
      <c r="V5355" s="132"/>
      <c r="W5355" s="145"/>
      <c r="X5355" s="138">
        <f>P_1_minW-(X5353^2*R_up)+dpup_minQ</f>
        <v>-912.27537183943389</v>
      </c>
      <c r="Y5355" s="132"/>
      <c r="Z5355" s="145"/>
      <c r="AA5355" s="138">
        <f>P_1_minW-(AA5353^2*R_up)+dpup_minQ</f>
        <v>-3741.7393397071974</v>
      </c>
      <c r="AB5355" s="132"/>
      <c r="AC5355" s="145"/>
      <c r="AD5355" s="138">
        <f>P_1_minW-(AD5353^2*R_up)+dpup_minQ</f>
        <v>-10292.080949131374</v>
      </c>
      <c r="AE5355" s="132"/>
      <c r="AF5355" s="145"/>
      <c r="AG5355" s="138">
        <f>P_1_minW-(AG5353^2*R_up)+dpup_minQ</f>
        <v>-20344.038020428387</v>
      </c>
      <c r="AH5355" s="132"/>
      <c r="AI5355" s="145"/>
      <c r="AJ5355" s="138">
        <f>P_1_minW-(AJ5353^2*R_up)+dpup_minQ</f>
        <v>-32860.731293339777</v>
      </c>
      <c r="AK5355" s="132"/>
      <c r="AL5355" s="145"/>
      <c r="AM5355" s="138">
        <f>P_1_minW-(AM5353^2*R_up)+dpup_minQ</f>
        <v>-45219.246263359564</v>
      </c>
      <c r="AN5355" s="132"/>
      <c r="AO5355" s="145"/>
      <c r="AP5355" s="138">
        <f>P_1_minW-(AP5353^2*R_up)+dpup_minQ</f>
        <v>-56309.712510167075</v>
      </c>
      <c r="AQ5355" s="132"/>
      <c r="AR5355" s="145"/>
      <c r="AS5355" s="138">
        <f>P_1_minW-(AS5353^2*R_up)+dpup_minQ</f>
        <v>-70114.191739600647</v>
      </c>
      <c r="AT5355" s="132"/>
      <c r="AU5355" s="145"/>
    </row>
    <row r="5356" spans="15:47" x14ac:dyDescent="0.25">
      <c r="O5356" s="7" t="s">
        <v>189</v>
      </c>
      <c r="P5356" s="1"/>
      <c r="Q5356" s="7"/>
      <c r="R5356" s="181">
        <f>P_2_minW+(R5353^2*R_dn)-dpdn_minQ</f>
        <v>50</v>
      </c>
      <c r="S5356" s="132"/>
      <c r="T5356" s="146"/>
      <c r="U5356" s="138">
        <f>P_2_minW+(U5353^2*R_dn)-dpdn_minQ</f>
        <v>50</v>
      </c>
      <c r="V5356" s="132"/>
      <c r="W5356" s="146"/>
      <c r="X5356" s="138">
        <f>P_2_minW+(X5353^2*R_dn)-dpdn_minQ</f>
        <v>50</v>
      </c>
      <c r="Y5356" s="132"/>
      <c r="Z5356" s="146"/>
      <c r="AA5356" s="138">
        <f>P_2_minW+(AA5353^2*R_dn)-dpdn_minQ</f>
        <v>50</v>
      </c>
      <c r="AB5356" s="132"/>
      <c r="AC5356" s="146"/>
      <c r="AD5356" s="138">
        <f>P_2_minW+(AD5353^2*R_dn)-dpdn_minQ</f>
        <v>50</v>
      </c>
      <c r="AE5356" s="132"/>
      <c r="AF5356" s="146"/>
      <c r="AG5356" s="138">
        <f>P_2_minW+(AG5353^2*R_dn)-dpdn_minQ</f>
        <v>50</v>
      </c>
      <c r="AH5356" s="132"/>
      <c r="AI5356" s="146"/>
      <c r="AJ5356" s="138">
        <f>P_2_minW+(AJ5353^2*R_dn)-dpdn_minQ</f>
        <v>50</v>
      </c>
      <c r="AK5356" s="132"/>
      <c r="AL5356" s="146"/>
      <c r="AM5356" s="138">
        <f>P_2_minW+(AM5353^2*R_dn)-dpdn_minQ</f>
        <v>50</v>
      </c>
      <c r="AN5356" s="132"/>
      <c r="AO5356" s="146"/>
      <c r="AP5356" s="138">
        <f>P_2_minW+(AP5353^2*R_dn)-dpdn_minQ</f>
        <v>50</v>
      </c>
      <c r="AQ5356" s="132"/>
      <c r="AR5356" s="146"/>
      <c r="AS5356" s="138">
        <f>P_2_minW+(AS5353^2*R_dn)-dpdn_minQ</f>
        <v>50</v>
      </c>
      <c r="AT5356" s="132"/>
      <c r="AU5356" s="146"/>
    </row>
    <row r="5357" spans="15:47" x14ac:dyDescent="0.25">
      <c r="O5357" s="7" t="s">
        <v>234</v>
      </c>
      <c r="P5357" s="1"/>
      <c r="Q5357" s="7"/>
      <c r="R5357" s="179">
        <f>'Valve Sizing'!G$8*R5355/P_1_maxW</f>
        <v>-0.38175121987385263</v>
      </c>
      <c r="S5357" s="132"/>
      <c r="T5357" s="146"/>
      <c r="U5357" s="143">
        <f>'Valve Sizing'!$G$8*U5355/P_1_maxW</f>
        <v>-0.31387038719552762</v>
      </c>
      <c r="V5357" s="132"/>
      <c r="W5357" s="146"/>
      <c r="X5357" s="143">
        <f>'Valve Sizing'!$G$8*X5355/P_1_maxW</f>
        <v>-4.4006539731344443</v>
      </c>
      <c r="Y5357" s="132"/>
      <c r="Z5357" s="146"/>
      <c r="AA5357" s="143">
        <f>'Valve Sizing'!$G$8*AA5355/P_1_maxW</f>
        <v>-18.049484399118544</v>
      </c>
      <c r="AB5357" s="132"/>
      <c r="AC5357" s="146"/>
      <c r="AD5357" s="143">
        <f>'Valve Sizing'!$G$8*AD5355/P_1_maxW</f>
        <v>-49.647166106538229</v>
      </c>
      <c r="AE5357" s="132"/>
      <c r="AF5357" s="146"/>
      <c r="AG5357" s="143">
        <f>'Valve Sizing'!$G$8*AG5355/P_1_maxW</f>
        <v>-98.136017377824913</v>
      </c>
      <c r="AH5357" s="132"/>
      <c r="AI5357" s="146"/>
      <c r="AJ5357" s="143">
        <f>'Valve Sizing'!$G$8*AJ5355/P_1_maxW</f>
        <v>-158.51431726646575</v>
      </c>
      <c r="AK5357" s="132"/>
      <c r="AL5357" s="146"/>
      <c r="AM5357" s="143">
        <f>'Valve Sizing'!$G$8*AM5355/P_1_maxW</f>
        <v>-218.12959318386856</v>
      </c>
      <c r="AN5357" s="132"/>
      <c r="AO5357" s="146"/>
      <c r="AP5357" s="143">
        <f>'Valve Sizing'!$G$8*AP5355/P_1_maxW</f>
        <v>-271.62802782265544</v>
      </c>
      <c r="AQ5357" s="132"/>
      <c r="AR5357" s="146"/>
      <c r="AS5357" s="143">
        <f>'Valve Sizing'!$G$8*AS5355/P_1_maxW</f>
        <v>-338.21837788940138</v>
      </c>
      <c r="AT5357" s="132"/>
      <c r="AU5357" s="146"/>
    </row>
    <row r="5358" spans="15:47" x14ac:dyDescent="0.25">
      <c r="O5358" s="7" t="s">
        <v>190</v>
      </c>
      <c r="P5358" s="1"/>
      <c r="Q5358" s="7"/>
      <c r="R5358" s="181">
        <f>R5355-R5356</f>
        <v>-129.13874578339556</v>
      </c>
      <c r="S5358" s="132"/>
      <c r="T5358" s="146"/>
      <c r="U5358" s="138">
        <f>U5355-U5356</f>
        <v>-115.06674370133196</v>
      </c>
      <c r="V5358" s="132"/>
      <c r="W5358" s="146"/>
      <c r="X5358" s="138">
        <f>X5355-X5356</f>
        <v>-962.27537183943389</v>
      </c>
      <c r="Y5358" s="132"/>
      <c r="Z5358" s="146"/>
      <c r="AA5358" s="138">
        <f>AA5355-AA5356</f>
        <v>-3791.7393397071974</v>
      </c>
      <c r="AB5358" s="132"/>
      <c r="AC5358" s="146"/>
      <c r="AD5358" s="138">
        <f>AD5355-AD5356</f>
        <v>-10342.080949131374</v>
      </c>
      <c r="AE5358" s="132"/>
      <c r="AF5358" s="146"/>
      <c r="AG5358" s="138">
        <f>AG5355-AG5356</f>
        <v>-20394.038020428387</v>
      </c>
      <c r="AH5358" s="132"/>
      <c r="AI5358" s="146"/>
      <c r="AJ5358" s="138">
        <f>AJ5355-AJ5356</f>
        <v>-32910.731293339777</v>
      </c>
      <c r="AK5358" s="132"/>
      <c r="AL5358" s="146"/>
      <c r="AM5358" s="138">
        <f>AM5355-AM5356</f>
        <v>-45269.246263359564</v>
      </c>
      <c r="AN5358" s="132"/>
      <c r="AO5358" s="146"/>
      <c r="AP5358" s="138">
        <f>AP5355-AP5356</f>
        <v>-56359.712510167075</v>
      </c>
      <c r="AQ5358" s="132"/>
      <c r="AR5358" s="146"/>
      <c r="AS5358" s="138">
        <f>AS5355-AS5356</f>
        <v>-70164.191739600647</v>
      </c>
      <c r="AT5358" s="132"/>
      <c r="AU5358" s="146"/>
    </row>
    <row r="5359" spans="15:47" ht="14.5" x14ac:dyDescent="0.35">
      <c r="O5359" s="2" t="s">
        <v>191</v>
      </c>
      <c r="P5359" s="10"/>
      <c r="Q5359" s="2"/>
      <c r="R5359" s="181">
        <f>R5358/R5355</f>
        <v>1.6318017742769273</v>
      </c>
      <c r="S5359" s="132"/>
      <c r="T5359" s="146"/>
      <c r="U5359" s="138">
        <f>U5358/U5355</f>
        <v>1.7684417131662371</v>
      </c>
      <c r="V5359" s="132"/>
      <c r="W5359" s="146"/>
      <c r="X5359" s="138">
        <f>X5358/X5355</f>
        <v>1.0548080125183958</v>
      </c>
      <c r="Y5359" s="132"/>
      <c r="Z5359" s="146"/>
      <c r="AA5359" s="138">
        <f>AA5358/AA5355</f>
        <v>1.0133627694129845</v>
      </c>
      <c r="AB5359" s="132"/>
      <c r="AC5359" s="146"/>
      <c r="AD5359" s="138">
        <f>AD5358/AD5355</f>
        <v>1.0048581040362123</v>
      </c>
      <c r="AE5359" s="132"/>
      <c r="AF5359" s="146"/>
      <c r="AG5359" s="138">
        <f>AG5358/AG5355</f>
        <v>1.0024577225008031</v>
      </c>
      <c r="AH5359" s="132"/>
      <c r="AI5359" s="146"/>
      <c r="AJ5359" s="138">
        <f>AJ5358/AJ5355</f>
        <v>1.0015215729544684</v>
      </c>
      <c r="AK5359" s="132"/>
      <c r="AL5359" s="146"/>
      <c r="AM5359" s="138">
        <f>AM5358/AM5355</f>
        <v>1.001105723870513</v>
      </c>
      <c r="AN5359" s="132"/>
      <c r="AO5359" s="146"/>
      <c r="AP5359" s="138">
        <f>AP5358/AP5355</f>
        <v>1.0008879462844171</v>
      </c>
      <c r="AQ5359" s="132"/>
      <c r="AR5359" s="146"/>
      <c r="AS5359" s="138">
        <f>AS5358/AS5355</f>
        <v>1.0007131223901959</v>
      </c>
      <c r="AT5359" s="132"/>
      <c r="AU5359" s="146"/>
    </row>
    <row r="5360" spans="15:47" x14ac:dyDescent="0.25">
      <c r="O5360" s="2" t="s">
        <v>26</v>
      </c>
      <c r="P5360" s="7">
        <v>12</v>
      </c>
      <c r="Q5360" s="2"/>
      <c r="R5360" s="181">
        <f>1-R5359/(3*F_GAMMA*R$29)</f>
        <v>0.15013893693009861</v>
      </c>
      <c r="S5360" s="133"/>
      <c r="T5360" s="146"/>
      <c r="U5360" s="138">
        <f>1-U5359/(3*F_GAMMA*U$29)</f>
        <v>7.917807768735563E-2</v>
      </c>
      <c r="V5360" s="133"/>
      <c r="W5360" s="146"/>
      <c r="X5360" s="138">
        <f>1-X5359/(3*F_GAMMA*X$29)</f>
        <v>0.44252545314336023</v>
      </c>
      <c r="Y5360" s="133"/>
      <c r="Z5360" s="146"/>
      <c r="AA5360" s="138">
        <f>1-AA5359/(3*F_GAMMA*AA$29)</f>
        <v>0.45708618306365056</v>
      </c>
      <c r="AB5360" s="133"/>
      <c r="AC5360" s="146"/>
      <c r="AD5360" s="138">
        <f>1-AD5359/(3*F_GAMMA*AD$29)</f>
        <v>0.44688198185555894</v>
      </c>
      <c r="AE5360" s="133"/>
      <c r="AF5360" s="146"/>
      <c r="AG5360" s="138">
        <f>1-AG5359/(3*F_GAMMA*AG$29)</f>
        <v>0.41672789972576962</v>
      </c>
      <c r="AH5360" s="133"/>
      <c r="AI5360" s="146"/>
      <c r="AJ5360" s="138">
        <f>1-AJ5359/(3*F_GAMMA*AJ$29)</f>
        <v>0.37705649992915702</v>
      </c>
      <c r="AK5360" s="133"/>
      <c r="AL5360" s="146"/>
      <c r="AM5360" s="138">
        <f>1-AM5359/(3*F_GAMMA*AM$29)</f>
        <v>0.31965348877226973</v>
      </c>
      <c r="AN5360" s="133"/>
      <c r="AO5360" s="146"/>
      <c r="AP5360" s="138">
        <f>1-AP5359/(3*F_GAMMA*AP$29)</f>
        <v>0.43788951968758483</v>
      </c>
      <c r="AQ5360" s="133"/>
      <c r="AR5360" s="146"/>
      <c r="AS5360" s="138">
        <f>1-AS5359/(3*F_GAMMA*AS$29)</f>
        <v>0.14681649771853633</v>
      </c>
      <c r="AT5360" s="133"/>
      <c r="AU5360" s="146"/>
    </row>
    <row r="5361" spans="15:47" x14ac:dyDescent="0.25">
      <c r="O5361" s="2" t="s">
        <v>71</v>
      </c>
      <c r="P5361" s="85">
        <v>5</v>
      </c>
      <c r="Q5361" s="2"/>
      <c r="R5361" s="179">
        <f>R5353/((N_6*R$27*R5360)*SQRT(R5359*R5355*R5357))</f>
        <v>318.13149802929411</v>
      </c>
      <c r="S5361" s="133"/>
      <c r="T5361" s="146"/>
      <c r="U5361" s="143">
        <f>U5353/((N_6*U$27*U5360)*SQRT(U5359*U5355*U5357))</f>
        <v>677.05245879778909</v>
      </c>
      <c r="V5361" s="133"/>
      <c r="W5361" s="146"/>
      <c r="X5361" s="143">
        <f>X5353/((N_6*X$27*X5360)*SQRT(X5359*X5355*X5357))</f>
        <v>27.729193780188073</v>
      </c>
      <c r="Y5361" s="133"/>
      <c r="Z5361" s="146"/>
      <c r="AA5361" s="143">
        <f>AA5353/((N_6*AA$27*AA5360)*SQRT(AA5359*AA5355*AA5357))</f>
        <v>13.081474190094168</v>
      </c>
      <c r="AB5361" s="133"/>
      <c r="AC5361" s="146"/>
      <c r="AD5361" s="143">
        <f>AD5353/((N_6*AD$27*AD5360)*SQRT(AD5359*AD5355*AD5357))</f>
        <v>8.1297229613794855</v>
      </c>
      <c r="AE5361" s="133"/>
      <c r="AF5361" s="146"/>
      <c r="AG5361" s="143">
        <f>AG5353/((N_6*AG$27*AG5360)*SQRT(AG5359*AG5355*AG5357))</f>
        <v>6.3270142895482682</v>
      </c>
      <c r="AH5361" s="133"/>
      <c r="AI5361" s="146"/>
      <c r="AJ5361" s="143">
        <f>AJ5353/((N_6*AJ$27*AJ5360)*SQRT(AJ5359*AJ5355*AJ5357))</f>
        <v>5.6882715470123211</v>
      </c>
      <c r="AK5361" s="133"/>
      <c r="AL5361" s="146"/>
      <c r="AM5361" s="143">
        <f>AM5353/((N_6*AM$27*AM5360)*SQRT(AM5359*AM5355*AM5357))</f>
        <v>6.0698451956664679</v>
      </c>
      <c r="AN5361" s="133"/>
      <c r="AO5361" s="146"/>
      <c r="AP5361" s="143">
        <f>AP5353/((N_6*AP$27*AP5360)*SQRT(AP5359*AP5355*AP5357))</f>
        <v>4.5099216692245614</v>
      </c>
      <c r="AQ5361" s="133"/>
      <c r="AR5361" s="146"/>
      <c r="AS5361" s="143">
        <f>AS5353/((N_6*AS$27*AS5360)*SQRT(AS5359*AS5355*AS5357))</f>
        <v>15.837861127475559</v>
      </c>
      <c r="AT5361" s="133"/>
      <c r="AU5361" s="146"/>
    </row>
    <row r="5362" spans="15:47" x14ac:dyDescent="0.25">
      <c r="O5362" s="2" t="s">
        <v>73</v>
      </c>
      <c r="P5362" s="85">
        <v>5</v>
      </c>
      <c r="Q5362" s="2"/>
      <c r="R5362" s="179">
        <f>R5353/((N_6*R$27*0.667)*SQRT(R5363*R5355*R5357))</f>
        <v>114.34278515790828</v>
      </c>
      <c r="S5362" s="133"/>
      <c r="T5362" s="155"/>
      <c r="U5362" s="143">
        <f>U5353/((N_6*U$27*0.667)*SQRT(U5363*U5355*U5357))</f>
        <v>133.58259986953752</v>
      </c>
      <c r="V5362" s="133"/>
      <c r="W5362" s="155"/>
      <c r="X5362" s="143">
        <f>X5353/((N_6*X$27*0.667)*SQRT(X5363*X5355*X5357))</f>
        <v>23.791554183271348</v>
      </c>
      <c r="Y5362" s="133"/>
      <c r="Z5362" s="155"/>
      <c r="AA5362" s="143">
        <f>AA5353/((N_6*AA$27*0.667)*SQRT(AA5363*AA5355*AA5357))</f>
        <v>11.440763888398468</v>
      </c>
      <c r="AB5362" s="133"/>
      <c r="AC5362" s="155"/>
      <c r="AD5362" s="143">
        <f>AD5353/((N_6*AD$27*0.667)*SQRT(AD5363*AD5355*AD5357))</f>
        <v>7.0163668366866547</v>
      </c>
      <c r="AE5362" s="133"/>
      <c r="AF5362" s="155"/>
      <c r="AG5362" s="143">
        <f>AG5353/((N_6*AG$27*0.667)*SQRT(AG5363*AG5355*AG5357))</f>
        <v>5.2290378761357923</v>
      </c>
      <c r="AH5362" s="133"/>
      <c r="AI5362" s="155"/>
      <c r="AJ5362" s="143">
        <f>AJ5353/((N_6*AJ$27*0.667)*SQRT(AJ5363*AJ5355*AJ5357))</f>
        <v>4.3958804733966357</v>
      </c>
      <c r="AK5362" s="133"/>
      <c r="AL5362" s="155"/>
      <c r="AM5362" s="143">
        <f>AM5353/((N_6*AM$27*0.667)*SQRT(AM5363*AM5355*AM5357))</f>
        <v>4.155822004880962</v>
      </c>
      <c r="AN5362" s="133"/>
      <c r="AO5362" s="155"/>
      <c r="AP5362" s="143">
        <f>AP5353/((N_6*AP$27*0.667)*SQRT(AP5363*AP5355*AP5357))</f>
        <v>3.844848082718479</v>
      </c>
      <c r="AQ5362" s="133"/>
      <c r="AR5362" s="155"/>
      <c r="AS5362" s="143">
        <f>AS5353/((N_6*AS$27*0.667)*SQRT(AS5363*AS5355*AS5357))</f>
        <v>5.5773436997134809</v>
      </c>
      <c r="AT5362" s="133"/>
      <c r="AU5362" s="155"/>
    </row>
    <row r="5363" spans="15:47" ht="15.5" x14ac:dyDescent="0.4">
      <c r="O5363" s="2" t="s">
        <v>192</v>
      </c>
      <c r="P5363" s="85">
        <v>10</v>
      </c>
      <c r="Q5363" s="2"/>
      <c r="R5363" s="181">
        <f>F_GAMMA*R$29</f>
        <v>0.64002688015162901</v>
      </c>
      <c r="S5363" s="133"/>
      <c r="T5363" s="155"/>
      <c r="U5363" s="138">
        <f>F_GAMMA*U$29</f>
        <v>0.64016782916606918</v>
      </c>
      <c r="V5363" s="133"/>
      <c r="W5363" s="155"/>
      <c r="X5363" s="138">
        <f>F_GAMMA*X$29</f>
        <v>0.6307062319203669</v>
      </c>
      <c r="Y5363" s="133"/>
      <c r="Z5363" s="155"/>
      <c r="AA5363" s="138">
        <f>F_GAMMA*AA$29</f>
        <v>0.62217534213893466</v>
      </c>
      <c r="AB5363" s="133"/>
      <c r="AC5363" s="155"/>
      <c r="AD5363" s="138">
        <f>F_GAMMA*AD$29</f>
        <v>0.60557184969146072</v>
      </c>
      <c r="AE5363" s="133"/>
      <c r="AF5363" s="155"/>
      <c r="AG5363" s="138">
        <f>F_GAMMA*AG$29</f>
        <v>0.57289312142622573</v>
      </c>
      <c r="AH5363" s="133"/>
      <c r="AI5363" s="155"/>
      <c r="AJ5363" s="138">
        <f>F_GAMMA*AJ$29</f>
        <v>0.53590819116049981</v>
      </c>
      <c r="AK5363" s="133"/>
      <c r="AL5363" s="155"/>
      <c r="AM5363" s="138">
        <f>F_GAMMA*AM$29</f>
        <v>0.49048815926850342</v>
      </c>
      <c r="AN5363" s="133"/>
      <c r="AO5363" s="155"/>
      <c r="AP5363" s="138">
        <f>F_GAMMA*AP$29</f>
        <v>0.59352979016280105</v>
      </c>
      <c r="AQ5363" s="133"/>
      <c r="AR5363" s="155"/>
      <c r="AS5363" s="138">
        <f>F_GAMMA*AS$29</f>
        <v>0.39097221161068291</v>
      </c>
      <c r="AT5363" s="133"/>
      <c r="AU5363" s="155"/>
    </row>
    <row r="5364" spans="15:47" x14ac:dyDescent="0.25">
      <c r="O5364" s="2" t="s">
        <v>193</v>
      </c>
      <c r="P5364" s="134"/>
      <c r="Q5364" s="2"/>
      <c r="R5364" s="181">
        <f>IF(R5359&lt;R5363,R5361,R5362)</f>
        <v>114.34278515790828</v>
      </c>
      <c r="S5364" s="133"/>
      <c r="T5364" s="155"/>
      <c r="U5364" s="138">
        <f>IF(U5359&lt;U5363,U5361,U5362)</f>
        <v>133.58259986953752</v>
      </c>
      <c r="V5364" s="133"/>
      <c r="W5364" s="155"/>
      <c r="X5364" s="138">
        <f>IF(X5359&lt;X5363,X5361,X5362)</f>
        <v>23.791554183271348</v>
      </c>
      <c r="Y5364" s="133"/>
      <c r="Z5364" s="155"/>
      <c r="AA5364" s="138">
        <f>IF(AA5359&lt;AA5363,AA5361,AA5362)</f>
        <v>11.440763888398468</v>
      </c>
      <c r="AB5364" s="133"/>
      <c r="AC5364" s="155"/>
      <c r="AD5364" s="138">
        <f>IF(AD5359&lt;AD5363,AD5361,AD5362)</f>
        <v>7.0163668366866547</v>
      </c>
      <c r="AE5364" s="133"/>
      <c r="AF5364" s="155"/>
      <c r="AG5364" s="138">
        <f>IF(AG5359&lt;AG5363,AG5361,AG5362)</f>
        <v>5.2290378761357923</v>
      </c>
      <c r="AH5364" s="133"/>
      <c r="AI5364" s="155"/>
      <c r="AJ5364" s="138">
        <f>IF(AJ5359&lt;AJ5363,AJ5361,AJ5362)</f>
        <v>4.3958804733966357</v>
      </c>
      <c r="AK5364" s="133"/>
      <c r="AL5364" s="155"/>
      <c r="AM5364" s="138">
        <f>IF(AM5359&lt;AM5363,AM5361,AM5362)</f>
        <v>4.155822004880962</v>
      </c>
      <c r="AN5364" s="133"/>
      <c r="AO5364" s="155"/>
      <c r="AP5364" s="138">
        <f>IF(AP5359&lt;AP5363,AP5361,AP5362)</f>
        <v>3.844848082718479</v>
      </c>
      <c r="AQ5364" s="133"/>
      <c r="AR5364" s="155"/>
      <c r="AS5364" s="138">
        <f>IF(AS5359&lt;AS5363,AS5361,AS5362)</f>
        <v>5.5773436997134809</v>
      </c>
      <c r="AT5364" s="133"/>
      <c r="AU5364" s="155"/>
    </row>
    <row r="5365" spans="15:47" ht="13" x14ac:dyDescent="0.3">
      <c r="O5365" s="9" t="s">
        <v>194</v>
      </c>
      <c r="P5365" s="1"/>
      <c r="Q5365" s="1"/>
      <c r="R5365" s="135"/>
      <c r="S5365" s="132">
        <f>IF(R5358&lt;=0,W_max,ABS(R$23-R5364))</f>
        <v>7174</v>
      </c>
      <c r="T5365" s="151">
        <f>R5353</f>
        <v>21226.126894220946</v>
      </c>
      <c r="U5365" s="135"/>
      <c r="V5365" s="132">
        <f>IF(U5358&lt;=0,W_max,ABS(U$23-U5364))</f>
        <v>7174</v>
      </c>
      <c r="W5365" s="151">
        <f>U5353</f>
        <v>20377.910175105018</v>
      </c>
      <c r="X5365" s="135"/>
      <c r="Y5365" s="132">
        <f>IF(X5358&lt;=0,W_max,ABS(X$23-X5364))</f>
        <v>7174</v>
      </c>
      <c r="Z5365" s="151">
        <f>X5353</f>
        <v>50396.996862772059</v>
      </c>
      <c r="AA5365" s="135"/>
      <c r="AB5365" s="132">
        <f>IF(AA5358&lt;=0,W_max,ABS(AA$23-AA5364))</f>
        <v>7174</v>
      </c>
      <c r="AC5365" s="151">
        <f>AA5353</f>
        <v>98160.486286384286</v>
      </c>
      <c r="AD5365" s="135"/>
      <c r="AE5365" s="132">
        <f>IF(AD5358&lt;=0,W_max,ABS(AD$23-AD5364))</f>
        <v>7174</v>
      </c>
      <c r="AF5365" s="151">
        <f>AD5353</f>
        <v>161437.85939425768</v>
      </c>
      <c r="AG5365" s="135"/>
      <c r="AH5365" s="132">
        <f>IF(AG5358&lt;=0,W_max,ABS(AG$23-AG5364))</f>
        <v>7174</v>
      </c>
      <c r="AI5365" s="151">
        <f>AG5353</f>
        <v>226429.02628286518</v>
      </c>
      <c r="AJ5365" s="135"/>
      <c r="AK5365" s="132">
        <f>IF(AJ5358&lt;=0,W_max,ABS(AJ$23-AJ5364))</f>
        <v>7174</v>
      </c>
      <c r="AL5365" s="151">
        <f>AJ5353</f>
        <v>287504.78010469768</v>
      </c>
      <c r="AM5365" s="135"/>
      <c r="AN5365" s="132">
        <f>IF(AM5358&lt;=0,W_max,ABS(AM$23-AM5364))</f>
        <v>7174</v>
      </c>
      <c r="AO5365" s="151">
        <f>AM5353</f>
        <v>337121.96546425234</v>
      </c>
      <c r="AP5365" s="135"/>
      <c r="AQ5365" s="132">
        <f>IF(AP5358&lt;=0,W_max,ABS(AP$23-AP5364))</f>
        <v>7174</v>
      </c>
      <c r="AR5365" s="151">
        <f>AP5353</f>
        <v>376116.30583406443</v>
      </c>
      <c r="AS5365" s="135"/>
      <c r="AT5365" s="132">
        <f>IF(AS5358&lt;=0,W_max,ABS(AS$23-AS5364))</f>
        <v>7174</v>
      </c>
      <c r="AU5365" s="151">
        <f>AS5353</f>
        <v>419621.05708375724</v>
      </c>
    </row>
    <row r="5366" spans="15:47" ht="13" x14ac:dyDescent="0.25">
      <c r="O5366" s="2"/>
      <c r="P5366" s="85"/>
      <c r="Q5366" s="2"/>
      <c r="R5366" s="18"/>
      <c r="S5366" s="150"/>
      <c r="T5366" s="148"/>
      <c r="U5366" s="157"/>
      <c r="V5366" s="1"/>
      <c r="W5366" s="147"/>
      <c r="X5366" s="157"/>
      <c r="Y5366" s="1"/>
      <c r="Z5366" s="147"/>
      <c r="AA5366" s="157"/>
      <c r="AB5366" s="1"/>
      <c r="AC5366" s="147"/>
      <c r="AD5366" s="157"/>
      <c r="AE5366" s="1"/>
      <c r="AF5366" s="147"/>
      <c r="AG5366" s="157"/>
      <c r="AH5366" s="1"/>
      <c r="AI5366" s="147"/>
      <c r="AJ5366" s="157"/>
      <c r="AK5366" s="1"/>
      <c r="AL5366" s="147"/>
      <c r="AM5366" s="157"/>
      <c r="AN5366" s="1"/>
      <c r="AO5366" s="147"/>
      <c r="AP5366" s="157"/>
      <c r="AQ5366" s="1"/>
      <c r="AR5366" s="147"/>
      <c r="AS5366" s="157"/>
      <c r="AT5366" s="1"/>
      <c r="AU5366" s="147"/>
    </row>
    <row r="5367" spans="15:47" ht="14" x14ac:dyDescent="0.3">
      <c r="O5367" s="23" t="s">
        <v>238</v>
      </c>
      <c r="P5367" s="20"/>
      <c r="Q5367" s="20"/>
      <c r="R5367" s="181">
        <f>R5353*1.02</f>
        <v>21650.649432105365</v>
      </c>
      <c r="S5367" s="128" t="s">
        <v>185</v>
      </c>
      <c r="T5367" s="149" t="s">
        <v>186</v>
      </c>
      <c r="U5367" s="143">
        <f>U5353*1.01</f>
        <v>20581.689276856068</v>
      </c>
      <c r="V5367" s="128" t="s">
        <v>185</v>
      </c>
      <c r="W5367" s="153" t="s">
        <v>186</v>
      </c>
      <c r="X5367" s="143">
        <f>X5353*1.01</f>
        <v>50900.966831399783</v>
      </c>
      <c r="Y5367" s="128" t="s">
        <v>185</v>
      </c>
      <c r="Z5367" s="153" t="s">
        <v>186</v>
      </c>
      <c r="AA5367" s="143">
        <f>AA5353*1.01</f>
        <v>99142.091149248125</v>
      </c>
      <c r="AB5367" s="128" t="s">
        <v>185</v>
      </c>
      <c r="AC5367" s="153" t="s">
        <v>186</v>
      </c>
      <c r="AD5367" s="143">
        <f>AD5353*1.01</f>
        <v>163052.23798820027</v>
      </c>
      <c r="AE5367" s="128" t="s">
        <v>185</v>
      </c>
      <c r="AF5367" s="153" t="s">
        <v>186</v>
      </c>
      <c r="AG5367" s="143">
        <f>AG5353*1.01</f>
        <v>228693.31654569381</v>
      </c>
      <c r="AH5367" s="128" t="s">
        <v>185</v>
      </c>
      <c r="AI5367" s="153" t="s">
        <v>186</v>
      </c>
      <c r="AJ5367" s="143">
        <f>AJ5353*1.01</f>
        <v>290379.82790574466</v>
      </c>
      <c r="AK5367" s="128" t="s">
        <v>185</v>
      </c>
      <c r="AL5367" s="153" t="s">
        <v>186</v>
      </c>
      <c r="AM5367" s="143">
        <f>AM5353*1.01</f>
        <v>340493.18511889485</v>
      </c>
      <c r="AN5367" s="128" t="s">
        <v>185</v>
      </c>
      <c r="AO5367" s="153" t="s">
        <v>186</v>
      </c>
      <c r="AP5367" s="143">
        <f>AP5353*1.01</f>
        <v>379877.4688924051</v>
      </c>
      <c r="AQ5367" s="128" t="s">
        <v>185</v>
      </c>
      <c r="AR5367" s="153" t="s">
        <v>186</v>
      </c>
      <c r="AS5367" s="143">
        <f>AS5353*1.01</f>
        <v>423817.26765459485</v>
      </c>
      <c r="AT5367" s="128" t="s">
        <v>185</v>
      </c>
      <c r="AU5367" s="153" t="s">
        <v>186</v>
      </c>
    </row>
    <row r="5368" spans="15:47" ht="14" x14ac:dyDescent="0.3">
      <c r="O5368" s="20"/>
      <c r="P5368" s="20"/>
      <c r="Q5368" s="23"/>
      <c r="R5368" s="139"/>
      <c r="S5368" s="130" t="s">
        <v>228</v>
      </c>
      <c r="T5368" s="131" t="s">
        <v>187</v>
      </c>
      <c r="U5368" s="144"/>
      <c r="V5368" s="130" t="s">
        <v>228</v>
      </c>
      <c r="W5368" s="154" t="s">
        <v>187</v>
      </c>
      <c r="X5368" s="144"/>
      <c r="Y5368" s="130" t="s">
        <v>228</v>
      </c>
      <c r="Z5368" s="154" t="s">
        <v>187</v>
      </c>
      <c r="AA5368" s="144"/>
      <c r="AB5368" s="130" t="s">
        <v>228</v>
      </c>
      <c r="AC5368" s="154" t="s">
        <v>187</v>
      </c>
      <c r="AD5368" s="144"/>
      <c r="AE5368" s="130" t="s">
        <v>228</v>
      </c>
      <c r="AF5368" s="154" t="s">
        <v>187</v>
      </c>
      <c r="AG5368" s="144"/>
      <c r="AH5368" s="130" t="s">
        <v>228</v>
      </c>
      <c r="AI5368" s="154" t="s">
        <v>187</v>
      </c>
      <c r="AJ5368" s="144"/>
      <c r="AK5368" s="130" t="s">
        <v>228</v>
      </c>
      <c r="AL5368" s="154" t="s">
        <v>187</v>
      </c>
      <c r="AM5368" s="144"/>
      <c r="AN5368" s="130" t="s">
        <v>228</v>
      </c>
      <c r="AO5368" s="154" t="s">
        <v>187</v>
      </c>
      <c r="AP5368" s="144"/>
      <c r="AQ5368" s="130" t="s">
        <v>228</v>
      </c>
      <c r="AR5368" s="154" t="s">
        <v>187</v>
      </c>
      <c r="AS5368" s="144"/>
      <c r="AT5368" s="130" t="s">
        <v>228</v>
      </c>
      <c r="AU5368" s="154" t="s">
        <v>187</v>
      </c>
    </row>
    <row r="5369" spans="15:47" x14ac:dyDescent="0.25">
      <c r="O5369" s="7" t="s">
        <v>188</v>
      </c>
      <c r="P5369" s="7"/>
      <c r="Q5369" s="7"/>
      <c r="R5369" s="181">
        <f>P_1_minW-(R5367^2*R_up)+dpup_minQ</f>
        <v>-86.397071697208489</v>
      </c>
      <c r="S5369" s="132"/>
      <c r="T5369" s="145"/>
      <c r="U5369" s="138">
        <f>P_1_minW-(U5367^2*R_up)+dpup_minQ</f>
        <v>-68.395093263136928</v>
      </c>
      <c r="V5369" s="132"/>
      <c r="W5369" s="145"/>
      <c r="X5369" s="138">
        <f>P_1_minW-(X5367^2*R_up)+dpup_minQ</f>
        <v>-932.6326148268148</v>
      </c>
      <c r="Y5369" s="132"/>
      <c r="Z5369" s="145"/>
      <c r="AA5369" s="138">
        <f>P_1_minW-(AA5367^2*R_up)+dpup_minQ</f>
        <v>-3818.9688084487202</v>
      </c>
      <c r="AB5369" s="132"/>
      <c r="AC5369" s="145"/>
      <c r="AD5369" s="138">
        <f>P_1_minW-(AD5367^2*R_up)+dpup_minQ</f>
        <v>-10500.972284222325</v>
      </c>
      <c r="AE5369" s="132"/>
      <c r="AF5369" s="145"/>
      <c r="AG5369" s="138">
        <f>P_1_minW-(AG5367^2*R_up)+dpup_minQ</f>
        <v>-20754.973692652406</v>
      </c>
      <c r="AH5369" s="132"/>
      <c r="AI5369" s="145"/>
      <c r="AJ5369" s="138">
        <f>P_1_minW-(AJ5367^2*R_up)+dpup_minQ</f>
        <v>-33523.252500349321</v>
      </c>
      <c r="AK5369" s="132"/>
      <c r="AL5369" s="145"/>
      <c r="AM5369" s="138">
        <f>P_1_minW-(AM5367^2*R_up)+dpup_minQ</f>
        <v>-46130.173621266498</v>
      </c>
      <c r="AN5369" s="132"/>
      <c r="AO5369" s="145"/>
      <c r="AP5369" s="138">
        <f>P_1_minW-(AP5367^2*R_up)+dpup_minQ</f>
        <v>-57443.558239634855</v>
      </c>
      <c r="AQ5369" s="132"/>
      <c r="AR5369" s="145"/>
      <c r="AS5369" s="138">
        <f>P_1_minW-(AS5367^2*R_up)+dpup_minQ</f>
        <v>-71525.507501580039</v>
      </c>
      <c r="AT5369" s="132"/>
      <c r="AU5369" s="145"/>
    </row>
    <row r="5370" spans="15:47" x14ac:dyDescent="0.25">
      <c r="O5370" s="7" t="s">
        <v>189</v>
      </c>
      <c r="P5370" s="1"/>
      <c r="Q5370" s="7"/>
      <c r="R5370" s="181">
        <f>P_2_minW+(R5367^2*R_dn)-dpdn_minQ</f>
        <v>50</v>
      </c>
      <c r="S5370" s="132"/>
      <c r="T5370" s="146"/>
      <c r="U5370" s="138">
        <f>P_2_minW+(U5367^2*R_dn)-dpdn_minQ</f>
        <v>50</v>
      </c>
      <c r="V5370" s="132"/>
      <c r="W5370" s="146"/>
      <c r="X5370" s="138">
        <f>P_2_minW+(X5367^2*R_dn)-dpdn_minQ</f>
        <v>50</v>
      </c>
      <c r="Y5370" s="132"/>
      <c r="Z5370" s="146"/>
      <c r="AA5370" s="138">
        <f>P_2_minW+(AA5367^2*R_dn)-dpdn_minQ</f>
        <v>50</v>
      </c>
      <c r="AB5370" s="132"/>
      <c r="AC5370" s="146"/>
      <c r="AD5370" s="138">
        <f>P_2_minW+(AD5367^2*R_dn)-dpdn_minQ</f>
        <v>50</v>
      </c>
      <c r="AE5370" s="132"/>
      <c r="AF5370" s="146"/>
      <c r="AG5370" s="138">
        <f>P_2_minW+(AG5367^2*R_dn)-dpdn_minQ</f>
        <v>50</v>
      </c>
      <c r="AH5370" s="132"/>
      <c r="AI5370" s="146"/>
      <c r="AJ5370" s="138">
        <f>P_2_minW+(AJ5367^2*R_dn)-dpdn_minQ</f>
        <v>50</v>
      </c>
      <c r="AK5370" s="132"/>
      <c r="AL5370" s="146"/>
      <c r="AM5370" s="138">
        <f>P_2_minW+(AM5367^2*R_dn)-dpdn_minQ</f>
        <v>50</v>
      </c>
      <c r="AN5370" s="132"/>
      <c r="AO5370" s="146"/>
      <c r="AP5370" s="138">
        <f>P_2_minW+(AP5367^2*R_dn)-dpdn_minQ</f>
        <v>50</v>
      </c>
      <c r="AQ5370" s="132"/>
      <c r="AR5370" s="146"/>
      <c r="AS5370" s="138">
        <f>P_2_minW+(AS5367^2*R_dn)-dpdn_minQ</f>
        <v>50</v>
      </c>
      <c r="AT5370" s="132"/>
      <c r="AU5370" s="146"/>
    </row>
    <row r="5371" spans="15:47" x14ac:dyDescent="0.25">
      <c r="O5371" s="7" t="s">
        <v>234</v>
      </c>
      <c r="P5371" s="1"/>
      <c r="Q5371" s="7"/>
      <c r="R5371" s="179">
        <f>'Valve Sizing'!G$8*R5369/P_1_maxW</f>
        <v>-0.41676409181680746</v>
      </c>
      <c r="S5371" s="132"/>
      <c r="T5371" s="146"/>
      <c r="U5371" s="143">
        <f>'Valve Sizing'!$G$8*U5369/P_1_maxW</f>
        <v>-0.32992575290555937</v>
      </c>
      <c r="V5371" s="132"/>
      <c r="W5371" s="146"/>
      <c r="X5371" s="143">
        <f>'Valve Sizing'!$G$8*X5369/P_1_maxW</f>
        <v>-4.4988536889218489</v>
      </c>
      <c r="Y5371" s="132"/>
      <c r="Z5371" s="146"/>
      <c r="AA5371" s="143">
        <f>'Valve Sizing'!$G$8*AA5369/P_1_maxW</f>
        <v>-18.422025606468228</v>
      </c>
      <c r="AB5371" s="132"/>
      <c r="AC5371" s="146"/>
      <c r="AD5371" s="143">
        <f>'Valve Sizing'!$G$8*AD5369/P_1_maxW</f>
        <v>-50.654820716207063</v>
      </c>
      <c r="AE5371" s="132"/>
      <c r="AF5371" s="146"/>
      <c r="AG5371" s="143">
        <f>'Valve Sizing'!$G$8*AG5369/P_1_maxW</f>
        <v>-100.11829789804661</v>
      </c>
      <c r="AH5371" s="132"/>
      <c r="AI5371" s="146"/>
      <c r="AJ5371" s="143">
        <f>'Valve Sizing'!$G$8*AJ5369/P_1_maxW</f>
        <v>-161.71020161444918</v>
      </c>
      <c r="AK5371" s="132"/>
      <c r="AL5371" s="146"/>
      <c r="AM5371" s="143">
        <f>'Valve Sizing'!$G$8*AM5369/P_1_maxW</f>
        <v>-222.52374457779175</v>
      </c>
      <c r="AN5371" s="132"/>
      <c r="AO5371" s="146"/>
      <c r="AP5371" s="143">
        <f>'Valve Sizing'!$G$8*AP5369/P_1_maxW</f>
        <v>-277.09749775281824</v>
      </c>
      <c r="AQ5371" s="132"/>
      <c r="AR5371" s="146"/>
      <c r="AS5371" s="143">
        <f>'Valve Sizing'!$G$8*AS5369/P_1_maxW</f>
        <v>-345.02631385590581</v>
      </c>
      <c r="AT5371" s="132"/>
      <c r="AU5371" s="146"/>
    </row>
    <row r="5372" spans="15:47" x14ac:dyDescent="0.25">
      <c r="O5372" s="7" t="s">
        <v>190</v>
      </c>
      <c r="P5372" s="1"/>
      <c r="Q5372" s="7"/>
      <c r="R5372" s="181">
        <f>R5369-R5370</f>
        <v>-136.3970716972085</v>
      </c>
      <c r="S5372" s="132"/>
      <c r="T5372" s="146"/>
      <c r="U5372" s="138">
        <f>U5369-U5370</f>
        <v>-118.39509326313693</v>
      </c>
      <c r="V5372" s="132"/>
      <c r="W5372" s="146"/>
      <c r="X5372" s="138">
        <f>X5369-X5370</f>
        <v>-982.6326148268148</v>
      </c>
      <c r="Y5372" s="132"/>
      <c r="Z5372" s="146"/>
      <c r="AA5372" s="138">
        <f>AA5369-AA5370</f>
        <v>-3868.9688084487202</v>
      </c>
      <c r="AB5372" s="132"/>
      <c r="AC5372" s="146"/>
      <c r="AD5372" s="138">
        <f>AD5369-AD5370</f>
        <v>-10550.972284222325</v>
      </c>
      <c r="AE5372" s="132"/>
      <c r="AF5372" s="146"/>
      <c r="AG5372" s="138">
        <f>AG5369-AG5370</f>
        <v>-20804.973692652406</v>
      </c>
      <c r="AH5372" s="132"/>
      <c r="AI5372" s="146"/>
      <c r="AJ5372" s="138">
        <f>AJ5369-AJ5370</f>
        <v>-33573.252500349321</v>
      </c>
      <c r="AK5372" s="132"/>
      <c r="AL5372" s="146"/>
      <c r="AM5372" s="138">
        <f>AM5369-AM5370</f>
        <v>-46180.173621266498</v>
      </c>
      <c r="AN5372" s="132"/>
      <c r="AO5372" s="146"/>
      <c r="AP5372" s="138">
        <f>AP5369-AP5370</f>
        <v>-57493.558239634855</v>
      </c>
      <c r="AQ5372" s="132"/>
      <c r="AR5372" s="146"/>
      <c r="AS5372" s="138">
        <f>AS5369-AS5370</f>
        <v>-71575.507501580039</v>
      </c>
      <c r="AT5372" s="132"/>
      <c r="AU5372" s="146"/>
    </row>
    <row r="5373" spans="15:47" ht="14.5" x14ac:dyDescent="0.35">
      <c r="O5373" s="2" t="s">
        <v>191</v>
      </c>
      <c r="P5373" s="10"/>
      <c r="Q5373" s="2"/>
      <c r="R5373" s="181">
        <f>R5372/R5369</f>
        <v>1.5787233180220797</v>
      </c>
      <c r="S5373" s="132"/>
      <c r="T5373" s="146"/>
      <c r="U5373" s="138">
        <f>U5372/U5369</f>
        <v>1.731046594346098</v>
      </c>
      <c r="V5373" s="132"/>
      <c r="W5373" s="146"/>
      <c r="X5373" s="138">
        <f>X5372/X5369</f>
        <v>1.0536116786021736</v>
      </c>
      <c r="Y5373" s="132"/>
      <c r="Z5373" s="146"/>
      <c r="AA5373" s="138">
        <f>AA5372/AA5369</f>
        <v>1.0130925395068389</v>
      </c>
      <c r="AB5373" s="132"/>
      <c r="AC5373" s="146"/>
      <c r="AD5373" s="138">
        <f>AD5372/AD5369</f>
        <v>1.0047614638575062</v>
      </c>
      <c r="AE5373" s="132"/>
      <c r="AF5373" s="146"/>
      <c r="AG5373" s="138">
        <f>AG5372/AG5369</f>
        <v>1.0024090611118288</v>
      </c>
      <c r="AH5373" s="132"/>
      <c r="AI5373" s="146"/>
      <c r="AJ5373" s="138">
        <f>AJ5372/AJ5369</f>
        <v>1.0014915020551625</v>
      </c>
      <c r="AK5373" s="132"/>
      <c r="AL5373" s="146"/>
      <c r="AM5373" s="138">
        <f>AM5372/AM5369</f>
        <v>1.0010838892654188</v>
      </c>
      <c r="AN5373" s="132"/>
      <c r="AO5373" s="146"/>
      <c r="AP5373" s="138">
        <f>AP5372/AP5369</f>
        <v>1.0008704196176605</v>
      </c>
      <c r="AQ5373" s="132"/>
      <c r="AR5373" s="146"/>
      <c r="AS5373" s="138">
        <f>AS5372/AS5369</f>
        <v>1.0006990513139511</v>
      </c>
      <c r="AT5373" s="132"/>
      <c r="AU5373" s="146"/>
    </row>
    <row r="5374" spans="15:47" x14ac:dyDescent="0.25">
      <c r="O5374" s="2" t="s">
        <v>26</v>
      </c>
      <c r="P5374" s="7">
        <v>12</v>
      </c>
      <c r="Q5374" s="2"/>
      <c r="R5374" s="181">
        <f>1-R5373/(3*F_GAMMA*R$29)</f>
        <v>0.17778280518048251</v>
      </c>
      <c r="S5374" s="133"/>
      <c r="T5374" s="146"/>
      <c r="U5374" s="138">
        <f>1-U5373/(3*F_GAMMA*U$29)</f>
        <v>9.8649595996782358E-2</v>
      </c>
      <c r="V5374" s="133"/>
      <c r="W5374" s="146"/>
      <c r="X5374" s="138">
        <f>1-X5373/(3*F_GAMMA*X$29)</f>
        <v>0.44315772527243036</v>
      </c>
      <c r="Y5374" s="133"/>
      <c r="Z5374" s="146"/>
      <c r="AA5374" s="138">
        <f>1-AA5373/(3*F_GAMMA*AA$29)</f>
        <v>0.45723095999272689</v>
      </c>
      <c r="AB5374" s="133"/>
      <c r="AC5374" s="146"/>
      <c r="AD5374" s="138">
        <f>1-AD5373/(3*F_GAMMA*AD$29)</f>
        <v>0.446935176852847</v>
      </c>
      <c r="AE5374" s="133"/>
      <c r="AF5374" s="146"/>
      <c r="AG5374" s="138">
        <f>1-AG5373/(3*F_GAMMA*AG$29)</f>
        <v>0.41675621297022103</v>
      </c>
      <c r="AH5374" s="133"/>
      <c r="AI5374" s="146"/>
      <c r="AJ5374" s="138">
        <f>1-AJ5373/(3*F_GAMMA*AJ$29)</f>
        <v>0.37707520394090255</v>
      </c>
      <c r="AK5374" s="133"/>
      <c r="AL5374" s="146"/>
      <c r="AM5374" s="138">
        <f>1-AM5373/(3*F_GAMMA*AM$29)</f>
        <v>0.31966832746217588</v>
      </c>
      <c r="AN5374" s="133"/>
      <c r="AO5374" s="146"/>
      <c r="AP5374" s="138">
        <f>1-AP5373/(3*F_GAMMA*AP$29)</f>
        <v>0.43789936287043607</v>
      </c>
      <c r="AQ5374" s="133"/>
      <c r="AR5374" s="146"/>
      <c r="AS5374" s="138">
        <f>1-AS5373/(3*F_GAMMA*AS$29)</f>
        <v>0.14682849437356449</v>
      </c>
      <c r="AT5374" s="133"/>
      <c r="AU5374" s="146"/>
    </row>
    <row r="5375" spans="15:47" x14ac:dyDescent="0.25">
      <c r="O5375" s="2" t="s">
        <v>71</v>
      </c>
      <c r="P5375" s="85">
        <v>5</v>
      </c>
      <c r="Q5375" s="2"/>
      <c r="R5375" s="179">
        <f>R5367/((N_6*R$27*R5374)*SQRT(R5373*R5369*R5371))</f>
        <v>255.20034262345305</v>
      </c>
      <c r="S5375" s="133"/>
      <c r="T5375" s="146"/>
      <c r="U5375" s="143">
        <f>U5367/((N_6*U$27*U5374)*SQRT(U5373*U5369*U5371))</f>
        <v>527.7502635865967</v>
      </c>
      <c r="V5375" s="133"/>
      <c r="W5375" s="146"/>
      <c r="X5375" s="143">
        <f>X5367/((N_6*X$27*X5374)*SQRT(X5373*X5369*X5371))</f>
        <v>27.371608608782598</v>
      </c>
      <c r="Y5375" s="133"/>
      <c r="Z5375" s="146"/>
      <c r="AA5375" s="143">
        <f>AA5367/((N_6*AA$27*AA5374)*SQRT(AA5373*AA5369*AA5371))</f>
        <v>12.942729025414138</v>
      </c>
      <c r="AB5375" s="133"/>
      <c r="AC5375" s="146"/>
      <c r="AD5375" s="143">
        <f>AD5367/((N_6*AD$27*AD5374)*SQRT(AD5373*AD5369*AD5371))</f>
        <v>8.0471110076847587</v>
      </c>
      <c r="AE5375" s="133"/>
      <c r="AF5375" s="146"/>
      <c r="AG5375" s="143">
        <f>AG5367/((N_6*AG$27*AG5374)*SQRT(AG5373*AG5369*AG5371))</f>
        <v>6.2634872247493636</v>
      </c>
      <c r="AH5375" s="133"/>
      <c r="AI5375" s="146"/>
      <c r="AJ5375" s="143">
        <f>AJ5367/((N_6*AJ$27*AJ5374)*SQRT(AJ5373*AJ5369*AJ5371))</f>
        <v>5.6314177774076484</v>
      </c>
      <c r="AK5375" s="133"/>
      <c r="AL5375" s="146"/>
      <c r="AM5375" s="143">
        <f>AM5367/((N_6*AM$27*AM5374)*SQRT(AM5373*AM5369*AM5371))</f>
        <v>6.0092710692535416</v>
      </c>
      <c r="AN5375" s="133"/>
      <c r="AO5375" s="146"/>
      <c r="AP5375" s="143">
        <f>AP5367/((N_6*AP$27*AP5374)*SQRT(AP5373*AP5369*AP5371))</f>
        <v>4.4650506455427283</v>
      </c>
      <c r="AQ5375" s="133"/>
      <c r="AR5375" s="146"/>
      <c r="AS5375" s="143">
        <f>AS5367/((N_6*AS$27*AS5374)*SQRT(AS5373*AS5369*AS5371))</f>
        <v>15.679436698272397</v>
      </c>
      <c r="AT5375" s="133"/>
      <c r="AU5375" s="146"/>
    </row>
    <row r="5376" spans="15:47" x14ac:dyDescent="0.25">
      <c r="O5376" s="2" t="s">
        <v>73</v>
      </c>
      <c r="P5376" s="85">
        <v>5</v>
      </c>
      <c r="Q5376" s="2"/>
      <c r="R5376" s="179">
        <f>R5367/((N_6*R$27*0.667)*SQRT(R5377*R5369*R5371))</f>
        <v>106.83143904761394</v>
      </c>
      <c r="S5376" s="133"/>
      <c r="T5376" s="147"/>
      <c r="U5376" s="143">
        <f>U5367/((N_6*U$27*0.667)*SQRT(U5377*U5369*U5371))</f>
        <v>128.35281330461967</v>
      </c>
      <c r="V5376" s="133"/>
      <c r="W5376" s="155"/>
      <c r="X5376" s="143">
        <f>X5367/((N_6*X$27*0.667)*SQRT(X5377*X5369*X5371))</f>
        <v>23.50496120344712</v>
      </c>
      <c r="Y5376" s="133"/>
      <c r="Z5376" s="155"/>
      <c r="AA5376" s="143">
        <f>AA5367/((N_6*AA$27*0.667)*SQRT(AA5377*AA5369*AA5371))</f>
        <v>11.321495945461796</v>
      </c>
      <c r="AB5376" s="133"/>
      <c r="AC5376" s="155"/>
      <c r="AD5376" s="143">
        <f>AD5367/((N_6*AD$27*0.667)*SQRT(AD5377*AD5369*AD5371))</f>
        <v>6.9455611949461558</v>
      </c>
      <c r="AE5376" s="133"/>
      <c r="AF5376" s="155"/>
      <c r="AG5376" s="143">
        <f>AG5367/((N_6*AG$27*0.667)*SQRT(AG5377*AG5369*AG5371))</f>
        <v>5.1767612143024326</v>
      </c>
      <c r="AH5376" s="133"/>
      <c r="AI5376" s="155"/>
      <c r="AJ5376" s="143">
        <f>AJ5367/((N_6*AJ$27*0.667)*SQRT(AJ5377*AJ5369*AJ5371))</f>
        <v>4.3520945798068098</v>
      </c>
      <c r="AK5376" s="133"/>
      <c r="AL5376" s="155"/>
      <c r="AM5376" s="143">
        <f>AM5367/((N_6*AM$27*0.667)*SQRT(AM5377*AM5369*AM5371))</f>
        <v>4.1144950290096896</v>
      </c>
      <c r="AN5376" s="133"/>
      <c r="AO5376" s="155"/>
      <c r="AP5376" s="143">
        <f>AP5367/((N_6*AP$27*0.667)*SQRT(AP5377*AP5369*AP5371))</f>
        <v>3.8066463810053506</v>
      </c>
      <c r="AQ5376" s="133"/>
      <c r="AR5376" s="155"/>
      <c r="AS5376" s="143">
        <f>AS5367/((N_6*AS$27*0.667)*SQRT(AS5377*AS5369*AS5371))</f>
        <v>5.5219664817650331</v>
      </c>
      <c r="AT5376" s="133"/>
      <c r="AU5376" s="155"/>
    </row>
    <row r="5377" spans="15:47" ht="15.5" x14ac:dyDescent="0.4">
      <c r="O5377" s="2" t="s">
        <v>192</v>
      </c>
      <c r="P5377" s="85">
        <v>10</v>
      </c>
      <c r="Q5377" s="2"/>
      <c r="R5377" s="181">
        <f>F_GAMMA*R$29</f>
        <v>0.64002688015162901</v>
      </c>
      <c r="S5377" s="133"/>
      <c r="T5377" s="147"/>
      <c r="U5377" s="138">
        <f>F_GAMMA*U$29</f>
        <v>0.64016782916606918</v>
      </c>
      <c r="V5377" s="133"/>
      <c r="W5377" s="155"/>
      <c r="X5377" s="138">
        <f>F_GAMMA*X$29</f>
        <v>0.6307062319203669</v>
      </c>
      <c r="Y5377" s="133"/>
      <c r="Z5377" s="155"/>
      <c r="AA5377" s="138">
        <f>F_GAMMA*AA$29</f>
        <v>0.62217534213893466</v>
      </c>
      <c r="AB5377" s="133"/>
      <c r="AC5377" s="155"/>
      <c r="AD5377" s="138">
        <f>F_GAMMA*AD$29</f>
        <v>0.60557184969146072</v>
      </c>
      <c r="AE5377" s="133"/>
      <c r="AF5377" s="155"/>
      <c r="AG5377" s="138">
        <f>F_GAMMA*AG$29</f>
        <v>0.57289312142622573</v>
      </c>
      <c r="AH5377" s="133"/>
      <c r="AI5377" s="155"/>
      <c r="AJ5377" s="138">
        <f>F_GAMMA*AJ$29</f>
        <v>0.53590819116049981</v>
      </c>
      <c r="AK5377" s="133"/>
      <c r="AL5377" s="155"/>
      <c r="AM5377" s="138">
        <f>F_GAMMA*AM$29</f>
        <v>0.49048815926850342</v>
      </c>
      <c r="AN5377" s="133"/>
      <c r="AO5377" s="155"/>
      <c r="AP5377" s="138">
        <f>F_GAMMA*AP$29</f>
        <v>0.59352979016280105</v>
      </c>
      <c r="AQ5377" s="133"/>
      <c r="AR5377" s="155"/>
      <c r="AS5377" s="138">
        <f>F_GAMMA*AS$29</f>
        <v>0.39097221161068291</v>
      </c>
      <c r="AT5377" s="133"/>
      <c r="AU5377" s="155"/>
    </row>
    <row r="5378" spans="15:47" x14ac:dyDescent="0.25">
      <c r="O5378" s="2" t="s">
        <v>193</v>
      </c>
      <c r="P5378" s="134"/>
      <c r="Q5378" s="2"/>
      <c r="R5378" s="181">
        <f>IF(R5373&lt;R5377,R5375,R5376)</f>
        <v>106.83143904761394</v>
      </c>
      <c r="S5378" s="133"/>
      <c r="T5378" s="147"/>
      <c r="U5378" s="138">
        <f>IF(U5373&lt;U5377,U5375,U5376)</f>
        <v>128.35281330461967</v>
      </c>
      <c r="V5378" s="133"/>
      <c r="W5378" s="155"/>
      <c r="X5378" s="138">
        <f>IF(X5373&lt;X5377,X5375,X5376)</f>
        <v>23.50496120344712</v>
      </c>
      <c r="Y5378" s="133"/>
      <c r="Z5378" s="155"/>
      <c r="AA5378" s="138">
        <f>IF(AA5373&lt;AA5377,AA5375,AA5376)</f>
        <v>11.321495945461796</v>
      </c>
      <c r="AB5378" s="133"/>
      <c r="AC5378" s="155"/>
      <c r="AD5378" s="138">
        <f>IF(AD5373&lt;AD5377,AD5375,AD5376)</f>
        <v>6.9455611949461558</v>
      </c>
      <c r="AE5378" s="133"/>
      <c r="AF5378" s="155"/>
      <c r="AG5378" s="138">
        <f>IF(AG5373&lt;AG5377,AG5375,AG5376)</f>
        <v>5.1767612143024326</v>
      </c>
      <c r="AH5378" s="133"/>
      <c r="AI5378" s="155"/>
      <c r="AJ5378" s="138">
        <f>IF(AJ5373&lt;AJ5377,AJ5375,AJ5376)</f>
        <v>4.3520945798068098</v>
      </c>
      <c r="AK5378" s="133"/>
      <c r="AL5378" s="155"/>
      <c r="AM5378" s="138">
        <f>IF(AM5373&lt;AM5377,AM5375,AM5376)</f>
        <v>4.1144950290096896</v>
      </c>
      <c r="AN5378" s="133"/>
      <c r="AO5378" s="155"/>
      <c r="AP5378" s="138">
        <f>IF(AP5373&lt;AP5377,AP5375,AP5376)</f>
        <v>3.8066463810053506</v>
      </c>
      <c r="AQ5378" s="133"/>
      <c r="AR5378" s="155"/>
      <c r="AS5378" s="138">
        <f>IF(AS5373&lt;AS5377,AS5375,AS5376)</f>
        <v>5.5219664817650331</v>
      </c>
      <c r="AT5378" s="133"/>
      <c r="AU5378" s="155"/>
    </row>
    <row r="5379" spans="15:47" ht="13" x14ac:dyDescent="0.3">
      <c r="O5379" s="9" t="s">
        <v>194</v>
      </c>
      <c r="P5379" s="1"/>
      <c r="Q5379" s="1"/>
      <c r="R5379" s="135"/>
      <c r="S5379" s="132">
        <f>IF(R5372&lt;=0,W_max,ABS(R$23-R5378))</f>
        <v>7174</v>
      </c>
      <c r="T5379" s="151">
        <f>R5367</f>
        <v>21650.649432105365</v>
      </c>
      <c r="U5379" s="135"/>
      <c r="V5379" s="132">
        <f>IF(U5372&lt;=0,W_max,ABS(U$23-U5378))</f>
        <v>7174</v>
      </c>
      <c r="W5379" s="151">
        <f>U5367</f>
        <v>20581.689276856068</v>
      </c>
      <c r="X5379" s="135"/>
      <c r="Y5379" s="132">
        <f>IF(X5372&lt;=0,W_max,ABS(X$23-X5378))</f>
        <v>7174</v>
      </c>
      <c r="Z5379" s="151">
        <f>X5367</f>
        <v>50900.966831399783</v>
      </c>
      <c r="AA5379" s="135"/>
      <c r="AB5379" s="132">
        <f>IF(AA5372&lt;=0,W_max,ABS(AA$23-AA5378))</f>
        <v>7174</v>
      </c>
      <c r="AC5379" s="151">
        <f>AA5367</f>
        <v>99142.091149248125</v>
      </c>
      <c r="AD5379" s="135"/>
      <c r="AE5379" s="132">
        <f>IF(AD5372&lt;=0,W_max,ABS(AD$23-AD5378))</f>
        <v>7174</v>
      </c>
      <c r="AF5379" s="151">
        <f>AD5367</f>
        <v>163052.23798820027</v>
      </c>
      <c r="AG5379" s="135"/>
      <c r="AH5379" s="132">
        <f>IF(AG5372&lt;=0,W_max,ABS(AG$23-AG5378))</f>
        <v>7174</v>
      </c>
      <c r="AI5379" s="151">
        <f>AG5367</f>
        <v>228693.31654569381</v>
      </c>
      <c r="AJ5379" s="135"/>
      <c r="AK5379" s="132">
        <f>IF(AJ5372&lt;=0,W_max,ABS(AJ$23-AJ5378))</f>
        <v>7174</v>
      </c>
      <c r="AL5379" s="151">
        <f>AJ5367</f>
        <v>290379.82790574466</v>
      </c>
      <c r="AM5379" s="135"/>
      <c r="AN5379" s="132">
        <f>IF(AM5372&lt;=0,W_max,ABS(AM$23-AM5378))</f>
        <v>7174</v>
      </c>
      <c r="AO5379" s="151">
        <f>AM5367</f>
        <v>340493.18511889485</v>
      </c>
      <c r="AP5379" s="135"/>
      <c r="AQ5379" s="132">
        <f>IF(AP5372&lt;=0,W_max,ABS(AP$23-AP5378))</f>
        <v>7174</v>
      </c>
      <c r="AR5379" s="151">
        <f>AP5367</f>
        <v>379877.4688924051</v>
      </c>
      <c r="AS5379" s="135"/>
      <c r="AT5379" s="132">
        <f>IF(AS5372&lt;=0,W_max,ABS(AS$23-AS5378))</f>
        <v>7174</v>
      </c>
      <c r="AU5379" s="151">
        <f>AS5367</f>
        <v>423817.26765459485</v>
      </c>
    </row>
    <row r="5380" spans="15:47" ht="13" x14ac:dyDescent="0.25">
      <c r="O5380" s="12"/>
      <c r="P5380" s="12"/>
      <c r="Q5380" s="12"/>
      <c r="R5380" s="182"/>
      <c r="S5380" s="22"/>
      <c r="T5380" s="152"/>
      <c r="U5380" s="157"/>
      <c r="V5380" s="1"/>
      <c r="W5380" s="147"/>
      <c r="X5380" s="157"/>
      <c r="Y5380" s="1"/>
      <c r="Z5380" s="147"/>
      <c r="AA5380" s="157"/>
      <c r="AB5380" s="1"/>
      <c r="AC5380" s="147"/>
      <c r="AD5380" s="157"/>
      <c r="AE5380" s="1"/>
      <c r="AF5380" s="147"/>
      <c r="AG5380" s="157"/>
      <c r="AH5380" s="1"/>
      <c r="AI5380" s="147"/>
      <c r="AJ5380" s="157"/>
      <c r="AK5380" s="1"/>
      <c r="AL5380" s="147"/>
      <c r="AM5380" s="157"/>
      <c r="AN5380" s="1"/>
      <c r="AO5380" s="147"/>
      <c r="AP5380" s="157"/>
      <c r="AQ5380" s="1"/>
      <c r="AR5380" s="147"/>
      <c r="AS5380" s="157"/>
      <c r="AT5380" s="1"/>
      <c r="AU5380" s="147"/>
    </row>
    <row r="5381" spans="15:47" ht="14" x14ac:dyDescent="0.3">
      <c r="O5381" s="23" t="s">
        <v>238</v>
      </c>
      <c r="P5381" s="20"/>
      <c r="Q5381" s="20"/>
      <c r="R5381" s="18">
        <f>R5367*1.02</f>
        <v>22083.662420747474</v>
      </c>
      <c r="S5381" s="128" t="s">
        <v>185</v>
      </c>
      <c r="T5381" s="153" t="s">
        <v>186</v>
      </c>
      <c r="U5381" s="143">
        <f>U5367*1.01</f>
        <v>20787.50616962463</v>
      </c>
      <c r="V5381" s="128" t="s">
        <v>185</v>
      </c>
      <c r="W5381" s="153" t="s">
        <v>186</v>
      </c>
      <c r="X5381" s="143">
        <f>X5367*1.01</f>
        <v>51409.976499713783</v>
      </c>
      <c r="Y5381" s="128" t="s">
        <v>185</v>
      </c>
      <c r="Z5381" s="153" t="s">
        <v>186</v>
      </c>
      <c r="AA5381" s="143">
        <f>AA5367*1.01</f>
        <v>100133.51206074061</v>
      </c>
      <c r="AB5381" s="128" t="s">
        <v>185</v>
      </c>
      <c r="AC5381" s="153" t="s">
        <v>186</v>
      </c>
      <c r="AD5381" s="143">
        <f>AD5367*1.01</f>
        <v>164682.76036808226</v>
      </c>
      <c r="AE5381" s="128" t="s">
        <v>185</v>
      </c>
      <c r="AF5381" s="153" t="s">
        <v>186</v>
      </c>
      <c r="AG5381" s="143">
        <f>AG5367*1.01</f>
        <v>230980.24971115077</v>
      </c>
      <c r="AH5381" s="128" t="s">
        <v>185</v>
      </c>
      <c r="AI5381" s="153" t="s">
        <v>186</v>
      </c>
      <c r="AJ5381" s="143">
        <f>AJ5367*1.01</f>
        <v>293283.62618480209</v>
      </c>
      <c r="AK5381" s="128" t="s">
        <v>185</v>
      </c>
      <c r="AL5381" s="153" t="s">
        <v>186</v>
      </c>
      <c r="AM5381" s="143">
        <f>AM5367*1.01</f>
        <v>343898.11697008379</v>
      </c>
      <c r="AN5381" s="128" t="s">
        <v>185</v>
      </c>
      <c r="AO5381" s="153" t="s">
        <v>186</v>
      </c>
      <c r="AP5381" s="143">
        <f>AP5367*1.01</f>
        <v>383676.24358132918</v>
      </c>
      <c r="AQ5381" s="128" t="s">
        <v>185</v>
      </c>
      <c r="AR5381" s="153" t="s">
        <v>186</v>
      </c>
      <c r="AS5381" s="143">
        <f>AS5367*1.01</f>
        <v>428055.44033114082</v>
      </c>
      <c r="AT5381" s="128" t="s">
        <v>185</v>
      </c>
      <c r="AU5381" s="153" t="s">
        <v>186</v>
      </c>
    </row>
    <row r="5382" spans="15:47" ht="14" x14ac:dyDescent="0.3">
      <c r="O5382" s="20"/>
      <c r="P5382" s="20"/>
      <c r="Q5382" s="23"/>
      <c r="R5382" s="139"/>
      <c r="S5382" s="130" t="s">
        <v>228</v>
      </c>
      <c r="T5382" s="154" t="s">
        <v>187</v>
      </c>
      <c r="U5382" s="144"/>
      <c r="V5382" s="130" t="s">
        <v>228</v>
      </c>
      <c r="W5382" s="154" t="s">
        <v>187</v>
      </c>
      <c r="X5382" s="144"/>
      <c r="Y5382" s="130" t="s">
        <v>228</v>
      </c>
      <c r="Z5382" s="154" t="s">
        <v>187</v>
      </c>
      <c r="AA5382" s="144"/>
      <c r="AB5382" s="130" t="s">
        <v>228</v>
      </c>
      <c r="AC5382" s="154" t="s">
        <v>187</v>
      </c>
      <c r="AD5382" s="144"/>
      <c r="AE5382" s="130" t="s">
        <v>228</v>
      </c>
      <c r="AF5382" s="154" t="s">
        <v>187</v>
      </c>
      <c r="AG5382" s="144"/>
      <c r="AH5382" s="130" t="s">
        <v>228</v>
      </c>
      <c r="AI5382" s="154" t="s">
        <v>187</v>
      </c>
      <c r="AJ5382" s="144"/>
      <c r="AK5382" s="130" t="s">
        <v>228</v>
      </c>
      <c r="AL5382" s="154" t="s">
        <v>187</v>
      </c>
      <c r="AM5382" s="144"/>
      <c r="AN5382" s="130" t="s">
        <v>228</v>
      </c>
      <c r="AO5382" s="154" t="s">
        <v>187</v>
      </c>
      <c r="AP5382" s="144"/>
      <c r="AQ5382" s="130" t="s">
        <v>228</v>
      </c>
      <c r="AR5382" s="154" t="s">
        <v>187</v>
      </c>
      <c r="AS5382" s="144"/>
      <c r="AT5382" s="130" t="s">
        <v>228</v>
      </c>
      <c r="AU5382" s="154" t="s">
        <v>187</v>
      </c>
    </row>
    <row r="5383" spans="15:47" x14ac:dyDescent="0.25">
      <c r="O5383" s="7" t="s">
        <v>188</v>
      </c>
      <c r="P5383" s="7"/>
      <c r="Q5383" s="7"/>
      <c r="R5383" s="181">
        <f>P_1_minW-(R5381^2*R_up)+dpup_minQ</f>
        <v>-93.94863397793948</v>
      </c>
      <c r="S5383" s="132"/>
      <c r="T5383" s="145"/>
      <c r="U5383" s="138">
        <f>P_1_minW-(U5381^2*R_up)+dpup_minQ</f>
        <v>-71.790342651134196</v>
      </c>
      <c r="V5383" s="132"/>
      <c r="W5383" s="145"/>
      <c r="X5383" s="138">
        <f>P_1_minW-(X5381^2*R_up)+dpup_minQ</f>
        <v>-953.39903839824194</v>
      </c>
      <c r="Y5383" s="132"/>
      <c r="Z5383" s="145"/>
      <c r="AA5383" s="138">
        <f>P_1_minW-(AA5381^2*R_up)+dpup_minQ</f>
        <v>-3897.7505895119484</v>
      </c>
      <c r="AB5383" s="132"/>
      <c r="AC5383" s="145"/>
      <c r="AD5383" s="138">
        <f>P_1_minW-(AD5381^2*R_up)+dpup_minQ</f>
        <v>-10714.062335148599</v>
      </c>
      <c r="AE5383" s="132"/>
      <c r="AF5383" s="145"/>
      <c r="AG5383" s="138">
        <f>P_1_minW-(AG5381^2*R_up)+dpup_minQ</f>
        <v>-21174.16917188813</v>
      </c>
      <c r="AH5383" s="132"/>
      <c r="AI5383" s="145"/>
      <c r="AJ5383" s="138">
        <f>P_1_minW-(AJ5381^2*R_up)+dpup_minQ</f>
        <v>-34199.090383619747</v>
      </c>
      <c r="AK5383" s="132"/>
      <c r="AL5383" s="145"/>
      <c r="AM5383" s="138">
        <f>P_1_minW-(AM5381^2*R_up)+dpup_minQ</f>
        <v>-47059.410619067356</v>
      </c>
      <c r="AN5383" s="132"/>
      <c r="AO5383" s="145"/>
      <c r="AP5383" s="138">
        <f>P_1_minW-(AP5381^2*R_up)+dpup_minQ</f>
        <v>-58600.194268264931</v>
      </c>
      <c r="AQ5383" s="132"/>
      <c r="AR5383" s="145"/>
      <c r="AS5383" s="138">
        <f>P_1_minW-(AS5381^2*R_up)+dpup_minQ</f>
        <v>-72965.190710375216</v>
      </c>
      <c r="AT5383" s="132"/>
      <c r="AU5383" s="145"/>
    </row>
    <row r="5384" spans="15:47" x14ac:dyDescent="0.25">
      <c r="O5384" s="7" t="s">
        <v>189</v>
      </c>
      <c r="P5384" s="1"/>
      <c r="Q5384" s="7"/>
      <c r="R5384" s="181">
        <f>P_2_minW+(R5381^2*R_dn)-dpdn_minQ</f>
        <v>50</v>
      </c>
      <c r="S5384" s="132"/>
      <c r="T5384" s="146"/>
      <c r="U5384" s="138">
        <f>P_2_minW+(U5381^2*R_dn)-dpdn_minQ</f>
        <v>50</v>
      </c>
      <c r="V5384" s="132"/>
      <c r="W5384" s="146"/>
      <c r="X5384" s="138">
        <f>P_2_minW+(X5381^2*R_dn)-dpdn_minQ</f>
        <v>50</v>
      </c>
      <c r="Y5384" s="132"/>
      <c r="Z5384" s="146"/>
      <c r="AA5384" s="138">
        <f>P_2_minW+(AA5381^2*R_dn)-dpdn_minQ</f>
        <v>50</v>
      </c>
      <c r="AB5384" s="132"/>
      <c r="AC5384" s="146"/>
      <c r="AD5384" s="138">
        <f>P_2_minW+(AD5381^2*R_dn)-dpdn_minQ</f>
        <v>50</v>
      </c>
      <c r="AE5384" s="132"/>
      <c r="AF5384" s="146"/>
      <c r="AG5384" s="138">
        <f>P_2_minW+(AG5381^2*R_dn)-dpdn_minQ</f>
        <v>50</v>
      </c>
      <c r="AH5384" s="132"/>
      <c r="AI5384" s="146"/>
      <c r="AJ5384" s="138">
        <f>P_2_minW+(AJ5381^2*R_dn)-dpdn_minQ</f>
        <v>50</v>
      </c>
      <c r="AK5384" s="132"/>
      <c r="AL5384" s="146"/>
      <c r="AM5384" s="138">
        <f>P_2_minW+(AM5381^2*R_dn)-dpdn_minQ</f>
        <v>50</v>
      </c>
      <c r="AN5384" s="132"/>
      <c r="AO5384" s="146"/>
      <c r="AP5384" s="138">
        <f>P_2_minW+(AP5381^2*R_dn)-dpdn_minQ</f>
        <v>50</v>
      </c>
      <c r="AQ5384" s="132"/>
      <c r="AR5384" s="146"/>
      <c r="AS5384" s="138">
        <f>P_2_minW+(AS5381^2*R_dn)-dpdn_minQ</f>
        <v>50</v>
      </c>
      <c r="AT5384" s="132"/>
      <c r="AU5384" s="146"/>
    </row>
    <row r="5385" spans="15:47" x14ac:dyDescent="0.25">
      <c r="O5385" s="7" t="s">
        <v>234</v>
      </c>
      <c r="P5385" s="1"/>
      <c r="Q5385" s="7"/>
      <c r="R5385" s="179">
        <f>'Valve Sizing'!G$8*R5383/P_1_maxW</f>
        <v>-0.45319148378625773</v>
      </c>
      <c r="S5385" s="132"/>
      <c r="T5385" s="146"/>
      <c r="U5385" s="143">
        <f>'Valve Sizing'!$G$8*U5383/P_1_maxW</f>
        <v>-0.3463038314663629</v>
      </c>
      <c r="V5385" s="132"/>
      <c r="W5385" s="146"/>
      <c r="X5385" s="143">
        <f>'Valve Sizing'!$G$8*X5383/P_1_maxW</f>
        <v>-4.5990272189965795</v>
      </c>
      <c r="Y5385" s="132"/>
      <c r="Z5385" s="146"/>
      <c r="AA5385" s="143">
        <f>'Valve Sizing'!$G$8*AA5383/P_1_maxW</f>
        <v>-18.802054892085643</v>
      </c>
      <c r="AB5385" s="132"/>
      <c r="AC5385" s="146"/>
      <c r="AD5385" s="143">
        <f>'Valve Sizing'!$G$8*AD5383/P_1_maxW</f>
        <v>-51.682729183530213</v>
      </c>
      <c r="AE5385" s="132"/>
      <c r="AF5385" s="146"/>
      <c r="AG5385" s="143">
        <f>'Valve Sizing'!$G$8*AG5383/P_1_maxW</f>
        <v>-102.14042225672475</v>
      </c>
      <c r="AH5385" s="132"/>
      <c r="AI5385" s="146"/>
      <c r="AJ5385" s="143">
        <f>'Valve Sizing'!$G$8*AJ5383/P_1_maxW</f>
        <v>-164.97032323782699</v>
      </c>
      <c r="AK5385" s="132"/>
      <c r="AL5385" s="146"/>
      <c r="AM5385" s="143">
        <f>'Valve Sizing'!$G$8*AM5383/P_1_maxW</f>
        <v>-227.0062184147327</v>
      </c>
      <c r="AN5385" s="132"/>
      <c r="AO5385" s="146"/>
      <c r="AP5385" s="143">
        <f>'Valve Sizing'!$G$8*AP5383/P_1_maxW</f>
        <v>-282.67690402857733</v>
      </c>
      <c r="AQ5385" s="132"/>
      <c r="AR5385" s="146"/>
      <c r="AS5385" s="143">
        <f>'Valve Sizing'!$G$8*AS5383/P_1_maxW</f>
        <v>-351.97108933533701</v>
      </c>
      <c r="AT5385" s="132"/>
      <c r="AU5385" s="146"/>
    </row>
    <row r="5386" spans="15:47" x14ac:dyDescent="0.25">
      <c r="O5386" s="7" t="s">
        <v>190</v>
      </c>
      <c r="P5386" s="1"/>
      <c r="Q5386" s="7"/>
      <c r="R5386" s="181">
        <f>R5383-R5384</f>
        <v>-143.94863397793949</v>
      </c>
      <c r="S5386" s="132"/>
      <c r="T5386" s="146"/>
      <c r="U5386" s="138">
        <f>U5383-U5384</f>
        <v>-121.7903426511342</v>
      </c>
      <c r="V5386" s="132"/>
      <c r="W5386" s="146"/>
      <c r="X5386" s="138">
        <f>X5383-X5384</f>
        <v>-1003.3990383982419</v>
      </c>
      <c r="Y5386" s="132"/>
      <c r="Z5386" s="146"/>
      <c r="AA5386" s="138">
        <f>AA5383-AA5384</f>
        <v>-3947.7505895119484</v>
      </c>
      <c r="AB5386" s="132"/>
      <c r="AC5386" s="146"/>
      <c r="AD5386" s="138">
        <f>AD5383-AD5384</f>
        <v>-10764.062335148599</v>
      </c>
      <c r="AE5386" s="132"/>
      <c r="AF5386" s="146"/>
      <c r="AG5386" s="138">
        <f>AG5383-AG5384</f>
        <v>-21224.16917188813</v>
      </c>
      <c r="AH5386" s="132"/>
      <c r="AI5386" s="146"/>
      <c r="AJ5386" s="138">
        <f>AJ5383-AJ5384</f>
        <v>-34249.090383619747</v>
      </c>
      <c r="AK5386" s="132"/>
      <c r="AL5386" s="146"/>
      <c r="AM5386" s="138">
        <f>AM5383-AM5384</f>
        <v>-47109.410619067356</v>
      </c>
      <c r="AN5386" s="132"/>
      <c r="AO5386" s="146"/>
      <c r="AP5386" s="138">
        <f>AP5383-AP5384</f>
        <v>-58650.194268264931</v>
      </c>
      <c r="AQ5386" s="132"/>
      <c r="AR5386" s="146"/>
      <c r="AS5386" s="138">
        <f>AS5383-AS5384</f>
        <v>-73015.190710375216</v>
      </c>
      <c r="AT5386" s="132"/>
      <c r="AU5386" s="146"/>
    </row>
    <row r="5387" spans="15:47" ht="14.5" x14ac:dyDescent="0.35">
      <c r="O5387" s="2" t="s">
        <v>191</v>
      </c>
      <c r="P5387" s="10"/>
      <c r="Q5387" s="2"/>
      <c r="R5387" s="181">
        <f>R5386/R5383</f>
        <v>1.5322057158568239</v>
      </c>
      <c r="S5387" s="132"/>
      <c r="T5387" s="146"/>
      <c r="U5387" s="138">
        <f>U5386/U5383</f>
        <v>1.6964725080499399</v>
      </c>
      <c r="V5387" s="132"/>
      <c r="W5387" s="146"/>
      <c r="X5387" s="138">
        <f>X5386/X5383</f>
        <v>1.0524439379380983</v>
      </c>
      <c r="Y5387" s="132"/>
      <c r="Z5387" s="146"/>
      <c r="AA5387" s="138">
        <f>AA5386/AA5383</f>
        <v>1.0128279115997159</v>
      </c>
      <c r="AB5387" s="132"/>
      <c r="AC5387" s="146"/>
      <c r="AD5387" s="138">
        <f>AD5386/AD5383</f>
        <v>1.0046667639627194</v>
      </c>
      <c r="AE5387" s="132"/>
      <c r="AF5387" s="146"/>
      <c r="AG5387" s="138">
        <f>AG5386/AG5383</f>
        <v>1.0023613677398207</v>
      </c>
      <c r="AH5387" s="132"/>
      <c r="AI5387" s="146"/>
      <c r="AJ5387" s="138">
        <f>AJ5386/AJ5383</f>
        <v>1.0014620271895871</v>
      </c>
      <c r="AK5387" s="132"/>
      <c r="AL5387" s="146"/>
      <c r="AM5387" s="138">
        <f>AM5386/AM5383</f>
        <v>1.0010624867447817</v>
      </c>
      <c r="AN5387" s="132"/>
      <c r="AO5387" s="146"/>
      <c r="AP5387" s="138">
        <f>AP5386/AP5383</f>
        <v>1.0008532394921954</v>
      </c>
      <c r="AQ5387" s="132"/>
      <c r="AR5387" s="146"/>
      <c r="AS5387" s="138">
        <f>AS5386/AS5383</f>
        <v>1.0006852582651153</v>
      </c>
      <c r="AT5387" s="132"/>
      <c r="AU5387" s="146"/>
    </row>
    <row r="5388" spans="15:47" x14ac:dyDescent="0.25">
      <c r="O5388" s="2" t="s">
        <v>26</v>
      </c>
      <c r="P5388" s="7">
        <v>12</v>
      </c>
      <c r="Q5388" s="2"/>
      <c r="R5388" s="181">
        <f>1-R5387/(3*F_GAMMA*R$29)</f>
        <v>0.20200970543933583</v>
      </c>
      <c r="S5388" s="133"/>
      <c r="T5388" s="146"/>
      <c r="U5388" s="138">
        <f>1-U5387/(3*F_GAMMA*U$29)</f>
        <v>0.11665221172813767</v>
      </c>
      <c r="V5388" s="133"/>
      <c r="W5388" s="146"/>
      <c r="X5388" s="138">
        <f>1-X5387/(3*F_GAMMA*X$29)</f>
        <v>0.44377488563699485</v>
      </c>
      <c r="Y5388" s="133"/>
      <c r="Z5388" s="146"/>
      <c r="AA5388" s="138">
        <f>1-AA5387/(3*F_GAMMA*AA$29)</f>
        <v>0.45737273562477143</v>
      </c>
      <c r="AB5388" s="133"/>
      <c r="AC5388" s="146"/>
      <c r="AD5388" s="138">
        <f>1-AD5387/(3*F_GAMMA*AD$29)</f>
        <v>0.44698730383267882</v>
      </c>
      <c r="AE5388" s="133"/>
      <c r="AF5388" s="146"/>
      <c r="AG5388" s="138">
        <f>1-AG5387/(3*F_GAMMA*AG$29)</f>
        <v>0.41678396298165388</v>
      </c>
      <c r="AH5388" s="133"/>
      <c r="AI5388" s="146"/>
      <c r="AJ5388" s="138">
        <f>1-AJ5387/(3*F_GAMMA*AJ$29)</f>
        <v>0.37709353722140437</v>
      </c>
      <c r="AK5388" s="133"/>
      <c r="AL5388" s="146"/>
      <c r="AM5388" s="138">
        <f>1-AM5387/(3*F_GAMMA*AM$29)</f>
        <v>0.31968287250961669</v>
      </c>
      <c r="AN5388" s="133"/>
      <c r="AO5388" s="146"/>
      <c r="AP5388" s="138">
        <f>1-AP5387/(3*F_GAMMA*AP$29)</f>
        <v>0.4379090114316091</v>
      </c>
      <c r="AQ5388" s="133"/>
      <c r="AR5388" s="146"/>
      <c r="AS5388" s="138">
        <f>1-AS5387/(3*F_GAMMA*AS$29)</f>
        <v>0.14684025398923206</v>
      </c>
      <c r="AT5388" s="133"/>
      <c r="AU5388" s="146"/>
    </row>
    <row r="5389" spans="15:47" x14ac:dyDescent="0.25">
      <c r="O5389" s="2" t="s">
        <v>71</v>
      </c>
      <c r="P5389" s="85">
        <v>5</v>
      </c>
      <c r="Q5389" s="2"/>
      <c r="R5389" s="179">
        <f>R5381/((N_6*R$27*R5388)*SQRT(R5387*R5383*R5385))</f>
        <v>213.84641299952719</v>
      </c>
      <c r="S5389" s="133"/>
      <c r="T5389" s="146"/>
      <c r="U5389" s="143">
        <f>U5381/((N_6*U$27*U5388)*SQRT(U5387*U5383*U5385))</f>
        <v>433.80250147858953</v>
      </c>
      <c r="V5389" s="133"/>
      <c r="W5389" s="146"/>
      <c r="X5389" s="143">
        <f>X5381/((N_6*X$27*X5388)*SQRT(X5387*X5383*X5385))</f>
        <v>27.020537924353405</v>
      </c>
      <c r="Y5389" s="133"/>
      <c r="Z5389" s="146"/>
      <c r="AA5389" s="143">
        <f>AA5381/((N_6*AA$27*AA5388)*SQRT(AA5387*AA5383*AA5385))</f>
        <v>12.805642789693355</v>
      </c>
      <c r="AB5389" s="133"/>
      <c r="AC5389" s="146"/>
      <c r="AD5389" s="143">
        <f>AD5381/((N_6*AD$27*AD5388)*SQRT(AD5387*AD5383*AD5385))</f>
        <v>7.9653805115286982</v>
      </c>
      <c r="AE5389" s="133"/>
      <c r="AF5389" s="146"/>
      <c r="AG5389" s="143">
        <f>AG5381/((N_6*AG$27*AG5388)*SQRT(AG5387*AG5383*AG5385))</f>
        <v>6.2006153830218294</v>
      </c>
      <c r="AH5389" s="133"/>
      <c r="AI5389" s="146"/>
      <c r="AJ5389" s="143">
        <f>AJ5381/((N_6*AJ$27*AJ5388)*SQRT(AJ5387*AJ5383*AJ5385))</f>
        <v>5.575142735283368</v>
      </c>
      <c r="AK5389" s="133"/>
      <c r="AL5389" s="146"/>
      <c r="AM5389" s="143">
        <f>AM5381/((N_6*AM$27*AM5388)*SQRT(AM5387*AM5383*AM5385))</f>
        <v>5.9493107840383459</v>
      </c>
      <c r="AN5389" s="133"/>
      <c r="AO5389" s="146"/>
      <c r="AP5389" s="143">
        <f>AP5381/((N_6*AP$27*AP5388)*SQRT(AP5387*AP5383*AP5385))</f>
        <v>4.4206303331253523</v>
      </c>
      <c r="AQ5389" s="133"/>
      <c r="AR5389" s="146"/>
      <c r="AS5389" s="143">
        <f>AS5381/((N_6*AS$27*AS5388)*SQRT(AS5387*AS5383*AS5385))</f>
        <v>15.522628630299094</v>
      </c>
      <c r="AT5389" s="133"/>
      <c r="AU5389" s="146"/>
    </row>
    <row r="5390" spans="15:47" x14ac:dyDescent="0.25">
      <c r="O5390" s="2" t="s">
        <v>73</v>
      </c>
      <c r="P5390" s="85">
        <v>5</v>
      </c>
      <c r="Q5390" s="2"/>
      <c r="R5390" s="179">
        <f>R5381/((N_6*R$27*0.667)*SQRT(R5391*R5383*R5385))</f>
        <v>100.20924807806766</v>
      </c>
      <c r="S5390" s="133"/>
      <c r="T5390" s="155"/>
      <c r="U5390" s="143">
        <f>U5381/((N_6*U$27*0.667)*SQRT(U5391*U5383*U5385))</f>
        <v>123.50532586266937</v>
      </c>
      <c r="V5390" s="133"/>
      <c r="W5390" s="155"/>
      <c r="X5390" s="143">
        <f>X5381/((N_6*X$27*0.667)*SQRT(X5391*X5383*X5385))</f>
        <v>23.222918705746718</v>
      </c>
      <c r="Y5390" s="133"/>
      <c r="Z5390" s="155"/>
      <c r="AA5390" s="143">
        <f>AA5381/((N_6*AA$27*0.667)*SQRT(AA5391*AA5383*AA5385))</f>
        <v>11.203591219255555</v>
      </c>
      <c r="AB5390" s="133"/>
      <c r="AC5390" s="155"/>
      <c r="AD5390" s="143">
        <f>AD5381/((N_6*AD$27*0.667)*SQRT(AD5391*AD5383*AD5385))</f>
        <v>6.8754964044684144</v>
      </c>
      <c r="AE5390" s="133"/>
      <c r="AF5390" s="155"/>
      <c r="AG5390" s="143">
        <f>AG5381/((N_6*AG$27*0.667)*SQRT(AG5391*AG5383*AG5385))</f>
        <v>5.1250170603257503</v>
      </c>
      <c r="AH5390" s="133"/>
      <c r="AI5390" s="155"/>
      <c r="AJ5390" s="143">
        <f>AJ5381/((N_6*AJ$27*0.667)*SQRT(AJ5391*AJ5383*AJ5385))</f>
        <v>4.3087499552294064</v>
      </c>
      <c r="AK5390" s="133"/>
      <c r="AL5390" s="155"/>
      <c r="AM5390" s="143">
        <f>AM5381/((N_6*AM$27*0.667)*SQRT(AM5391*AM5383*AM5385))</f>
        <v>4.0735825466310249</v>
      </c>
      <c r="AN5390" s="133"/>
      <c r="AO5390" s="155"/>
      <c r="AP5390" s="143">
        <f>AP5381/((N_6*AP$27*0.667)*SQRT(AP5391*AP5383*AP5385))</f>
        <v>3.7688268609619588</v>
      </c>
      <c r="AQ5390" s="133"/>
      <c r="AR5390" s="155"/>
      <c r="AS5390" s="143">
        <f>AS5381/((N_6*AS$27*0.667)*SQRT(AS5391*AS5383*AS5385))</f>
        <v>5.467142149309633</v>
      </c>
      <c r="AT5390" s="133"/>
      <c r="AU5390" s="155"/>
    </row>
    <row r="5391" spans="15:47" ht="15.5" x14ac:dyDescent="0.4">
      <c r="O5391" s="2" t="s">
        <v>192</v>
      </c>
      <c r="P5391" s="85">
        <v>10</v>
      </c>
      <c r="Q5391" s="2"/>
      <c r="R5391" s="181">
        <f>F_GAMMA*R$29</f>
        <v>0.64002688015162901</v>
      </c>
      <c r="S5391" s="133"/>
      <c r="T5391" s="155"/>
      <c r="U5391" s="138">
        <f>F_GAMMA*U$29</f>
        <v>0.64016782916606918</v>
      </c>
      <c r="V5391" s="133"/>
      <c r="W5391" s="155"/>
      <c r="X5391" s="138">
        <f>F_GAMMA*X$29</f>
        <v>0.6307062319203669</v>
      </c>
      <c r="Y5391" s="133"/>
      <c r="Z5391" s="155"/>
      <c r="AA5391" s="138">
        <f>F_GAMMA*AA$29</f>
        <v>0.62217534213893466</v>
      </c>
      <c r="AB5391" s="133"/>
      <c r="AC5391" s="155"/>
      <c r="AD5391" s="138">
        <f>F_GAMMA*AD$29</f>
        <v>0.60557184969146072</v>
      </c>
      <c r="AE5391" s="133"/>
      <c r="AF5391" s="155"/>
      <c r="AG5391" s="138">
        <f>F_GAMMA*AG$29</f>
        <v>0.57289312142622573</v>
      </c>
      <c r="AH5391" s="133"/>
      <c r="AI5391" s="155"/>
      <c r="AJ5391" s="138">
        <f>F_GAMMA*AJ$29</f>
        <v>0.53590819116049981</v>
      </c>
      <c r="AK5391" s="133"/>
      <c r="AL5391" s="155"/>
      <c r="AM5391" s="138">
        <f>F_GAMMA*AM$29</f>
        <v>0.49048815926850342</v>
      </c>
      <c r="AN5391" s="133"/>
      <c r="AO5391" s="155"/>
      <c r="AP5391" s="138">
        <f>F_GAMMA*AP$29</f>
        <v>0.59352979016280105</v>
      </c>
      <c r="AQ5391" s="133"/>
      <c r="AR5391" s="155"/>
      <c r="AS5391" s="138">
        <f>F_GAMMA*AS$29</f>
        <v>0.39097221161068291</v>
      </c>
      <c r="AT5391" s="133"/>
      <c r="AU5391" s="155"/>
    </row>
    <row r="5392" spans="15:47" x14ac:dyDescent="0.25">
      <c r="O5392" s="2" t="s">
        <v>193</v>
      </c>
      <c r="P5392" s="134"/>
      <c r="Q5392" s="2"/>
      <c r="R5392" s="181">
        <f>IF(R5387&lt;R5391,R5389,R5390)</f>
        <v>100.20924807806766</v>
      </c>
      <c r="S5392" s="133"/>
      <c r="T5392" s="155"/>
      <c r="U5392" s="138">
        <f>IF(U5387&lt;U5391,U5389,U5390)</f>
        <v>123.50532586266937</v>
      </c>
      <c r="V5392" s="133"/>
      <c r="W5392" s="155"/>
      <c r="X5392" s="138">
        <f>IF(X5387&lt;X5391,X5389,X5390)</f>
        <v>23.222918705746718</v>
      </c>
      <c r="Y5392" s="133"/>
      <c r="Z5392" s="155"/>
      <c r="AA5392" s="138">
        <f>IF(AA5387&lt;AA5391,AA5389,AA5390)</f>
        <v>11.203591219255555</v>
      </c>
      <c r="AB5392" s="133"/>
      <c r="AC5392" s="155"/>
      <c r="AD5392" s="138">
        <f>IF(AD5387&lt;AD5391,AD5389,AD5390)</f>
        <v>6.8754964044684144</v>
      </c>
      <c r="AE5392" s="133"/>
      <c r="AF5392" s="155"/>
      <c r="AG5392" s="138">
        <f>IF(AG5387&lt;AG5391,AG5389,AG5390)</f>
        <v>5.1250170603257503</v>
      </c>
      <c r="AH5392" s="133"/>
      <c r="AI5392" s="155"/>
      <c r="AJ5392" s="138">
        <f>IF(AJ5387&lt;AJ5391,AJ5389,AJ5390)</f>
        <v>4.3087499552294064</v>
      </c>
      <c r="AK5392" s="133"/>
      <c r="AL5392" s="155"/>
      <c r="AM5392" s="138">
        <f>IF(AM5387&lt;AM5391,AM5389,AM5390)</f>
        <v>4.0735825466310249</v>
      </c>
      <c r="AN5392" s="133"/>
      <c r="AO5392" s="155"/>
      <c r="AP5392" s="138">
        <f>IF(AP5387&lt;AP5391,AP5389,AP5390)</f>
        <v>3.7688268609619588</v>
      </c>
      <c r="AQ5392" s="133"/>
      <c r="AR5392" s="155"/>
      <c r="AS5392" s="138">
        <f>IF(AS5387&lt;AS5391,AS5389,AS5390)</f>
        <v>5.467142149309633</v>
      </c>
      <c r="AT5392" s="133"/>
      <c r="AU5392" s="155"/>
    </row>
    <row r="5393" spans="15:47" ht="13" x14ac:dyDescent="0.3">
      <c r="O5393" s="9" t="s">
        <v>194</v>
      </c>
      <c r="P5393" s="1"/>
      <c r="Q5393" s="1"/>
      <c r="R5393" s="135"/>
      <c r="S5393" s="132">
        <f>IF(R5386&lt;=0,W_max,ABS(R$23-R5392))</f>
        <v>7174</v>
      </c>
      <c r="T5393" s="151">
        <f>R5381</f>
        <v>22083.662420747474</v>
      </c>
      <c r="U5393" s="135"/>
      <c r="V5393" s="132">
        <f>IF(U5386&lt;=0,W_max,ABS(U$23-U5392))</f>
        <v>7174</v>
      </c>
      <c r="W5393" s="151">
        <f>U5381</f>
        <v>20787.50616962463</v>
      </c>
      <c r="X5393" s="135"/>
      <c r="Y5393" s="132">
        <f>IF(X5386&lt;=0,W_max,ABS(X$23-X5392))</f>
        <v>7174</v>
      </c>
      <c r="Z5393" s="151">
        <f>X5381</f>
        <v>51409.976499713783</v>
      </c>
      <c r="AA5393" s="135"/>
      <c r="AB5393" s="132">
        <f>IF(AA5386&lt;=0,W_max,ABS(AA$23-AA5392))</f>
        <v>7174</v>
      </c>
      <c r="AC5393" s="151">
        <f>AA5381</f>
        <v>100133.51206074061</v>
      </c>
      <c r="AD5393" s="135"/>
      <c r="AE5393" s="132">
        <f>IF(AD5386&lt;=0,W_max,ABS(AD$23-AD5392))</f>
        <v>7174</v>
      </c>
      <c r="AF5393" s="151">
        <f>AD5381</f>
        <v>164682.76036808226</v>
      </c>
      <c r="AG5393" s="135"/>
      <c r="AH5393" s="132">
        <f>IF(AG5386&lt;=0,W_max,ABS(AG$23-AG5392))</f>
        <v>7174</v>
      </c>
      <c r="AI5393" s="151">
        <f>AG5381</f>
        <v>230980.24971115077</v>
      </c>
      <c r="AJ5393" s="135"/>
      <c r="AK5393" s="132">
        <f>IF(AJ5386&lt;=0,W_max,ABS(AJ$23-AJ5392))</f>
        <v>7174</v>
      </c>
      <c r="AL5393" s="151">
        <f>AJ5381</f>
        <v>293283.62618480209</v>
      </c>
      <c r="AM5393" s="135"/>
      <c r="AN5393" s="132">
        <f>IF(AM5386&lt;=0,W_max,ABS(AM$23-AM5392))</f>
        <v>7174</v>
      </c>
      <c r="AO5393" s="151">
        <f>AM5381</f>
        <v>343898.11697008379</v>
      </c>
      <c r="AP5393" s="135"/>
      <c r="AQ5393" s="132">
        <f>IF(AP5386&lt;=0,W_max,ABS(AP$23-AP5392))</f>
        <v>7174</v>
      </c>
      <c r="AR5393" s="151">
        <f>AP5381</f>
        <v>383676.24358132918</v>
      </c>
      <c r="AS5393" s="135"/>
      <c r="AT5393" s="132">
        <f>IF(AS5386&lt;=0,W_max,ABS(AS$23-AS5392))</f>
        <v>7174</v>
      </c>
      <c r="AU5393" s="151">
        <f>AS5381</f>
        <v>428055.44033114082</v>
      </c>
    </row>
    <row r="5394" spans="15:47" ht="13" x14ac:dyDescent="0.25">
      <c r="O5394" s="2"/>
      <c r="P5394" s="85"/>
      <c r="Q5394" s="2"/>
      <c r="R5394" s="18"/>
      <c r="S5394" s="150"/>
      <c r="T5394" s="152"/>
      <c r="U5394" s="157"/>
      <c r="V5394" s="1"/>
      <c r="W5394" s="147"/>
      <c r="X5394" s="157"/>
      <c r="Y5394" s="1"/>
      <c r="Z5394" s="147"/>
      <c r="AA5394" s="157"/>
      <c r="AB5394" s="1"/>
      <c r="AC5394" s="147"/>
      <c r="AD5394" s="157"/>
      <c r="AE5394" s="1"/>
      <c r="AF5394" s="147"/>
      <c r="AG5394" s="157"/>
      <c r="AH5394" s="1"/>
      <c r="AI5394" s="147"/>
      <c r="AJ5394" s="157"/>
      <c r="AK5394" s="1"/>
      <c r="AL5394" s="147"/>
      <c r="AM5394" s="157"/>
      <c r="AN5394" s="1"/>
      <c r="AO5394" s="147"/>
      <c r="AP5394" s="157"/>
      <c r="AQ5394" s="1"/>
      <c r="AR5394" s="147"/>
      <c r="AS5394" s="157"/>
      <c r="AT5394" s="1"/>
      <c r="AU5394" s="147"/>
    </row>
    <row r="5395" spans="15:47" ht="14" x14ac:dyDescent="0.3">
      <c r="O5395" s="23" t="s">
        <v>238</v>
      </c>
      <c r="P5395" s="20"/>
      <c r="Q5395" s="20"/>
      <c r="R5395" s="181">
        <f>R5381*1.02</f>
        <v>22525.335669162425</v>
      </c>
      <c r="S5395" s="128" t="s">
        <v>185</v>
      </c>
      <c r="T5395" s="153" t="s">
        <v>186</v>
      </c>
      <c r="U5395" s="143">
        <f>U5381*1.01</f>
        <v>20995.381231320876</v>
      </c>
      <c r="V5395" s="128" t="s">
        <v>185</v>
      </c>
      <c r="W5395" s="153" t="s">
        <v>186</v>
      </c>
      <c r="X5395" s="143">
        <f>X5381*1.01</f>
        <v>51924.076264710922</v>
      </c>
      <c r="Y5395" s="128" t="s">
        <v>185</v>
      </c>
      <c r="Z5395" s="153" t="s">
        <v>186</v>
      </c>
      <c r="AA5395" s="143">
        <f>AA5381*1.01</f>
        <v>101134.84718134801</v>
      </c>
      <c r="AB5395" s="128" t="s">
        <v>185</v>
      </c>
      <c r="AC5395" s="153" t="s">
        <v>186</v>
      </c>
      <c r="AD5395" s="143">
        <f>AD5381*1.01</f>
        <v>166329.5879717631</v>
      </c>
      <c r="AE5395" s="128" t="s">
        <v>185</v>
      </c>
      <c r="AF5395" s="153" t="s">
        <v>186</v>
      </c>
      <c r="AG5395" s="143">
        <f>AG5381*1.01</f>
        <v>233290.05220826229</v>
      </c>
      <c r="AH5395" s="128" t="s">
        <v>185</v>
      </c>
      <c r="AI5395" s="153" t="s">
        <v>186</v>
      </c>
      <c r="AJ5395" s="143">
        <f>AJ5381*1.01</f>
        <v>296216.46244665014</v>
      </c>
      <c r="AK5395" s="128" t="s">
        <v>185</v>
      </c>
      <c r="AL5395" s="153" t="s">
        <v>186</v>
      </c>
      <c r="AM5395" s="143">
        <f>AM5381*1.01</f>
        <v>347337.09813978465</v>
      </c>
      <c r="AN5395" s="128" t="s">
        <v>185</v>
      </c>
      <c r="AO5395" s="153" t="s">
        <v>186</v>
      </c>
      <c r="AP5395" s="143">
        <f>AP5381*1.01</f>
        <v>387513.0060171425</v>
      </c>
      <c r="AQ5395" s="128" t="s">
        <v>185</v>
      </c>
      <c r="AR5395" s="153" t="s">
        <v>186</v>
      </c>
      <c r="AS5395" s="143">
        <f>AS5381*1.01</f>
        <v>432335.99473445222</v>
      </c>
      <c r="AT5395" s="128" t="s">
        <v>185</v>
      </c>
      <c r="AU5395" s="153" t="s">
        <v>186</v>
      </c>
    </row>
    <row r="5396" spans="15:47" ht="14" x14ac:dyDescent="0.3">
      <c r="O5396" s="20"/>
      <c r="P5396" s="20"/>
      <c r="Q5396" s="23"/>
      <c r="R5396" s="139"/>
      <c r="S5396" s="130" t="s">
        <v>228</v>
      </c>
      <c r="T5396" s="154" t="s">
        <v>187</v>
      </c>
      <c r="U5396" s="144"/>
      <c r="V5396" s="130" t="s">
        <v>228</v>
      </c>
      <c r="W5396" s="154" t="s">
        <v>187</v>
      </c>
      <c r="X5396" s="144"/>
      <c r="Y5396" s="130" t="s">
        <v>228</v>
      </c>
      <c r="Z5396" s="154" t="s">
        <v>187</v>
      </c>
      <c r="AA5396" s="144"/>
      <c r="AB5396" s="130" t="s">
        <v>228</v>
      </c>
      <c r="AC5396" s="154" t="s">
        <v>187</v>
      </c>
      <c r="AD5396" s="144"/>
      <c r="AE5396" s="130" t="s">
        <v>228</v>
      </c>
      <c r="AF5396" s="154" t="s">
        <v>187</v>
      </c>
      <c r="AG5396" s="144"/>
      <c r="AH5396" s="130" t="s">
        <v>228</v>
      </c>
      <c r="AI5396" s="154" t="s">
        <v>187</v>
      </c>
      <c r="AJ5396" s="144"/>
      <c r="AK5396" s="130" t="s">
        <v>228</v>
      </c>
      <c r="AL5396" s="154" t="s">
        <v>187</v>
      </c>
      <c r="AM5396" s="144"/>
      <c r="AN5396" s="130" t="s">
        <v>228</v>
      </c>
      <c r="AO5396" s="154" t="s">
        <v>187</v>
      </c>
      <c r="AP5396" s="144"/>
      <c r="AQ5396" s="130" t="s">
        <v>228</v>
      </c>
      <c r="AR5396" s="154" t="s">
        <v>187</v>
      </c>
      <c r="AS5396" s="144"/>
      <c r="AT5396" s="130" t="s">
        <v>228</v>
      </c>
      <c r="AU5396" s="154" t="s">
        <v>187</v>
      </c>
    </row>
    <row r="5397" spans="15:47" x14ac:dyDescent="0.25">
      <c r="O5397" s="7" t="s">
        <v>188</v>
      </c>
      <c r="P5397" s="7"/>
      <c r="Q5397" s="7"/>
      <c r="R5397" s="181">
        <f>P_1_minW-(R5395^2*R_up)+dpup_minQ</f>
        <v>-101.80527937481203</v>
      </c>
      <c r="S5397" s="132"/>
      <c r="T5397" s="145"/>
      <c r="U5397" s="138">
        <f>P_1_minW-(U5395^2*R_up)+dpup_minQ</f>
        <v>-75.25383655183019</v>
      </c>
      <c r="V5397" s="132"/>
      <c r="W5397" s="145"/>
      <c r="X5397" s="138">
        <f>P_1_minW-(X5395^2*R_up)+dpup_minQ</f>
        <v>-974.58286708345497</v>
      </c>
      <c r="Y5397" s="132"/>
      <c r="Z5397" s="145"/>
      <c r="AA5397" s="138">
        <f>P_1_minW-(AA5395^2*R_up)+dpup_minQ</f>
        <v>-3978.1158843745466</v>
      </c>
      <c r="AB5397" s="132"/>
      <c r="AC5397" s="145"/>
      <c r="AD5397" s="138">
        <f>P_1_minW-(AD5395^2*R_up)+dpup_minQ</f>
        <v>-10931.435496098497</v>
      </c>
      <c r="AE5397" s="132"/>
      <c r="AF5397" s="145"/>
      <c r="AG5397" s="138">
        <f>P_1_minW-(AG5395^2*R_up)+dpup_minQ</f>
        <v>-21601.790480256492</v>
      </c>
      <c r="AH5397" s="132"/>
      <c r="AI5397" s="145"/>
      <c r="AJ5397" s="138">
        <f>P_1_minW-(AJ5395^2*R_up)+dpup_minQ</f>
        <v>-34888.512608343917</v>
      </c>
      <c r="AK5397" s="132"/>
      <c r="AL5397" s="145"/>
      <c r="AM5397" s="138">
        <f>P_1_minW-(AM5395^2*R_up)+dpup_minQ</f>
        <v>-48007.325280524026</v>
      </c>
      <c r="AN5397" s="132"/>
      <c r="AO5397" s="145"/>
      <c r="AP5397" s="138">
        <f>P_1_minW-(AP5395^2*R_up)+dpup_minQ</f>
        <v>-59780.078681070474</v>
      </c>
      <c r="AQ5397" s="132"/>
      <c r="AR5397" s="145"/>
      <c r="AS5397" s="138">
        <f>P_1_minW-(AS5395^2*R_up)+dpup_minQ</f>
        <v>-74433.811551667168</v>
      </c>
      <c r="AT5397" s="132"/>
      <c r="AU5397" s="145"/>
    </row>
    <row r="5398" spans="15:47" x14ac:dyDescent="0.25">
      <c r="O5398" s="7" t="s">
        <v>189</v>
      </c>
      <c r="P5398" s="1"/>
      <c r="Q5398" s="7"/>
      <c r="R5398" s="181">
        <f>P_2_minW+(R5395^2*R_dn)-dpdn_minQ</f>
        <v>50</v>
      </c>
      <c r="S5398" s="132"/>
      <c r="T5398" s="146"/>
      <c r="U5398" s="138">
        <f>P_2_minW+(U5395^2*R_dn)-dpdn_minQ</f>
        <v>50</v>
      </c>
      <c r="V5398" s="132"/>
      <c r="W5398" s="146"/>
      <c r="X5398" s="138">
        <f>P_2_minW+(X5395^2*R_dn)-dpdn_minQ</f>
        <v>50</v>
      </c>
      <c r="Y5398" s="132"/>
      <c r="Z5398" s="146"/>
      <c r="AA5398" s="138">
        <f>P_2_minW+(AA5395^2*R_dn)-dpdn_minQ</f>
        <v>50</v>
      </c>
      <c r="AB5398" s="132"/>
      <c r="AC5398" s="146"/>
      <c r="AD5398" s="138">
        <f>P_2_minW+(AD5395^2*R_dn)-dpdn_minQ</f>
        <v>50</v>
      </c>
      <c r="AE5398" s="132"/>
      <c r="AF5398" s="146"/>
      <c r="AG5398" s="138">
        <f>P_2_minW+(AG5395^2*R_dn)-dpdn_minQ</f>
        <v>50</v>
      </c>
      <c r="AH5398" s="132"/>
      <c r="AI5398" s="146"/>
      <c r="AJ5398" s="138">
        <f>P_2_minW+(AJ5395^2*R_dn)-dpdn_minQ</f>
        <v>50</v>
      </c>
      <c r="AK5398" s="132"/>
      <c r="AL5398" s="146"/>
      <c r="AM5398" s="138">
        <f>P_2_minW+(AM5395^2*R_dn)-dpdn_minQ</f>
        <v>50</v>
      </c>
      <c r="AN5398" s="132"/>
      <c r="AO5398" s="146"/>
      <c r="AP5398" s="138">
        <f>P_2_minW+(AP5395^2*R_dn)-dpdn_minQ</f>
        <v>50</v>
      </c>
      <c r="AQ5398" s="132"/>
      <c r="AR5398" s="146"/>
      <c r="AS5398" s="138">
        <f>P_2_minW+(AS5395^2*R_dn)-dpdn_minQ</f>
        <v>50</v>
      </c>
      <c r="AT5398" s="132"/>
      <c r="AU5398" s="146"/>
    </row>
    <row r="5399" spans="15:47" x14ac:dyDescent="0.25">
      <c r="O5399" s="7" t="s">
        <v>234</v>
      </c>
      <c r="P5399" s="1"/>
      <c r="Q5399" s="7"/>
      <c r="R5399" s="179">
        <f>'Valve Sizing'!G$8*R5397/P_1_maxW</f>
        <v>-0.49109054239127392</v>
      </c>
      <c r="S5399" s="132"/>
      <c r="T5399" s="146"/>
      <c r="U5399" s="143">
        <f>'Valve Sizing'!$G$8*U5397/P_1_maxW</f>
        <v>-0.36301110940623843</v>
      </c>
      <c r="V5399" s="132"/>
      <c r="W5399" s="146"/>
      <c r="X5399" s="143">
        <f>'Valve Sizing'!$G$8*X5397/P_1_maxW</f>
        <v>-4.7012142370258134</v>
      </c>
      <c r="Y5399" s="132"/>
      <c r="Z5399" s="146"/>
      <c r="AA5399" s="143">
        <f>'Valve Sizing'!$G$8*AA5397/P_1_maxW</f>
        <v>-19.189722766343969</v>
      </c>
      <c r="AB5399" s="132"/>
      <c r="AC5399" s="146"/>
      <c r="AD5399" s="143">
        <f>'Valve Sizing'!$G$8*AD5397/P_1_maxW</f>
        <v>-52.731298611046576</v>
      </c>
      <c r="AE5399" s="132"/>
      <c r="AF5399" s="146"/>
      <c r="AG5399" s="143">
        <f>'Valve Sizing'!$G$8*AG5397/P_1_maxW</f>
        <v>-104.20319131501233</v>
      </c>
      <c r="AH5399" s="132"/>
      <c r="AI5399" s="146"/>
      <c r="AJ5399" s="143">
        <f>'Valve Sizing'!$G$8*AJ5397/P_1_maxW</f>
        <v>-168.29597330583471</v>
      </c>
      <c r="AK5399" s="132"/>
      <c r="AL5399" s="146"/>
      <c r="AM5399" s="143">
        <f>'Valve Sizing'!$G$8*AM5397/P_1_maxW</f>
        <v>-231.57878997579627</v>
      </c>
      <c r="AN5399" s="132"/>
      <c r="AO5399" s="146"/>
      <c r="AP5399" s="143">
        <f>'Valve Sizing'!$G$8*AP5397/P_1_maxW</f>
        <v>-288.36845637047918</v>
      </c>
      <c r="AQ5399" s="132"/>
      <c r="AR5399" s="146"/>
      <c r="AS5399" s="143">
        <f>'Valve Sizing'!$G$8*AS5397/P_1_maxW</f>
        <v>-359.05545480190466</v>
      </c>
      <c r="AT5399" s="132"/>
      <c r="AU5399" s="146"/>
    </row>
    <row r="5400" spans="15:47" x14ac:dyDescent="0.25">
      <c r="O5400" s="7" t="s">
        <v>190</v>
      </c>
      <c r="P5400" s="1"/>
      <c r="Q5400" s="7"/>
      <c r="R5400" s="181">
        <f>R5397-R5398</f>
        <v>-151.80527937481202</v>
      </c>
      <c r="S5400" s="132"/>
      <c r="T5400" s="146"/>
      <c r="U5400" s="138">
        <f>U5397-U5398</f>
        <v>-125.25383655183019</v>
      </c>
      <c r="V5400" s="132"/>
      <c r="W5400" s="146"/>
      <c r="X5400" s="138">
        <f>X5397-X5398</f>
        <v>-1024.5828670834549</v>
      </c>
      <c r="Y5400" s="132"/>
      <c r="Z5400" s="146"/>
      <c r="AA5400" s="138">
        <f>AA5397-AA5398</f>
        <v>-4028.1158843745466</v>
      </c>
      <c r="AB5400" s="132"/>
      <c r="AC5400" s="146"/>
      <c r="AD5400" s="138">
        <f>AD5397-AD5398</f>
        <v>-10981.435496098497</v>
      </c>
      <c r="AE5400" s="132"/>
      <c r="AF5400" s="146"/>
      <c r="AG5400" s="138">
        <f>AG5397-AG5398</f>
        <v>-21651.790480256492</v>
      </c>
      <c r="AH5400" s="132"/>
      <c r="AI5400" s="146"/>
      <c r="AJ5400" s="138">
        <f>AJ5397-AJ5398</f>
        <v>-34938.512608343917</v>
      </c>
      <c r="AK5400" s="132"/>
      <c r="AL5400" s="146"/>
      <c r="AM5400" s="138">
        <f>AM5397-AM5398</f>
        <v>-48057.325280524026</v>
      </c>
      <c r="AN5400" s="132"/>
      <c r="AO5400" s="146"/>
      <c r="AP5400" s="138">
        <f>AP5397-AP5398</f>
        <v>-59830.078681070474</v>
      </c>
      <c r="AQ5400" s="132"/>
      <c r="AR5400" s="146"/>
      <c r="AS5400" s="138">
        <f>AS5397-AS5398</f>
        <v>-74483.811551667168</v>
      </c>
      <c r="AT5400" s="132"/>
      <c r="AU5400" s="146"/>
    </row>
    <row r="5401" spans="15:47" ht="14.5" x14ac:dyDescent="0.35">
      <c r="O5401" s="2" t="s">
        <v>191</v>
      </c>
      <c r="P5401" s="10"/>
      <c r="Q5401" s="2"/>
      <c r="R5401" s="181">
        <f>R5400/R5397</f>
        <v>1.4911336652386875</v>
      </c>
      <c r="S5401" s="132"/>
      <c r="T5401" s="146"/>
      <c r="U5401" s="138">
        <f>U5400/U5397</f>
        <v>1.6644179525061569</v>
      </c>
      <c r="V5401" s="132"/>
      <c r="W5401" s="146"/>
      <c r="X5401" s="138">
        <f>X5400/X5397</f>
        <v>1.0513040006024632</v>
      </c>
      <c r="Y5401" s="132"/>
      <c r="Z5401" s="146"/>
      <c r="AA5401" s="138">
        <f>AA5400/AA5397</f>
        <v>1.0125687640715528</v>
      </c>
      <c r="AB5401" s="132"/>
      <c r="AC5401" s="146"/>
      <c r="AD5401" s="138">
        <f>AD5400/AD5397</f>
        <v>1.0045739646927292</v>
      </c>
      <c r="AE5401" s="132"/>
      <c r="AF5401" s="146"/>
      <c r="AG5401" s="138">
        <f>AG5400/AG5397</f>
        <v>1.0023146229496902</v>
      </c>
      <c r="AH5401" s="132"/>
      <c r="AI5401" s="146"/>
      <c r="AJ5401" s="138">
        <f>AJ5400/AJ5397</f>
        <v>1.0014331364756446</v>
      </c>
      <c r="AK5401" s="132"/>
      <c r="AL5401" s="146"/>
      <c r="AM5401" s="138">
        <f>AM5400/AM5397</f>
        <v>1.0010415077221617</v>
      </c>
      <c r="AN5401" s="132"/>
      <c r="AO5401" s="146"/>
      <c r="AP5401" s="138">
        <f>AP5400/AP5397</f>
        <v>1.0008363990329747</v>
      </c>
      <c r="AQ5401" s="132"/>
      <c r="AR5401" s="146"/>
      <c r="AS5401" s="138">
        <f>AS5400/AS5397</f>
        <v>1.0006717377352803</v>
      </c>
      <c r="AT5401" s="132"/>
      <c r="AU5401" s="146"/>
    </row>
    <row r="5402" spans="15:47" x14ac:dyDescent="0.25">
      <c r="O5402" s="2" t="s">
        <v>26</v>
      </c>
      <c r="P5402" s="7">
        <v>12</v>
      </c>
      <c r="Q5402" s="2"/>
      <c r="R5402" s="181">
        <f>1-R5401/(3*F_GAMMA*R$29)</f>
        <v>0.22340050005117362</v>
      </c>
      <c r="S5402" s="133"/>
      <c r="T5402" s="146"/>
      <c r="U5402" s="138">
        <f>1-U5401/(3*F_GAMMA*U$29)</f>
        <v>0.13334291588589986</v>
      </c>
      <c r="V5402" s="133"/>
      <c r="W5402" s="146"/>
      <c r="X5402" s="138">
        <f>1-X5401/(3*F_GAMMA*X$29)</f>
        <v>0.44437735171810755</v>
      </c>
      <c r="Y5402" s="133"/>
      <c r="Z5402" s="146"/>
      <c r="AA5402" s="138">
        <f>1-AA5401/(3*F_GAMMA*AA$29)</f>
        <v>0.45751157511829865</v>
      </c>
      <c r="AB5402" s="133"/>
      <c r="AC5402" s="146"/>
      <c r="AD5402" s="138">
        <f>1-AD5401/(3*F_GAMMA*AD$29)</f>
        <v>0.44703838462517687</v>
      </c>
      <c r="AE5402" s="133"/>
      <c r="AF5402" s="146"/>
      <c r="AG5402" s="138">
        <f>1-AG5401/(3*F_GAMMA*AG$29)</f>
        <v>0.4168111610682208</v>
      </c>
      <c r="AH5402" s="133"/>
      <c r="AI5402" s="146"/>
      <c r="AJ5402" s="138">
        <f>1-AJ5401/(3*F_GAMMA*AJ$29)</f>
        <v>0.37711150716129271</v>
      </c>
      <c r="AK5402" s="133"/>
      <c r="AL5402" s="146"/>
      <c r="AM5402" s="138">
        <f>1-AM5401/(3*F_GAMMA*AM$29)</f>
        <v>0.31969712974989428</v>
      </c>
      <c r="AN5402" s="133"/>
      <c r="AO5402" s="146"/>
      <c r="AP5402" s="138">
        <f>1-AP5401/(3*F_GAMMA*AP$29)</f>
        <v>0.43791846923221134</v>
      </c>
      <c r="AQ5402" s="133"/>
      <c r="AR5402" s="146"/>
      <c r="AS5402" s="138">
        <f>1-AS5401/(3*F_GAMMA*AS$29)</f>
        <v>0.14685178126187326</v>
      </c>
      <c r="AT5402" s="133"/>
      <c r="AU5402" s="146"/>
    </row>
    <row r="5403" spans="15:47" x14ac:dyDescent="0.25">
      <c r="O5403" s="2" t="s">
        <v>71</v>
      </c>
      <c r="P5403" s="85">
        <v>5</v>
      </c>
      <c r="Q5403" s="2"/>
      <c r="R5403" s="179">
        <f>R5395/((N_6*R$27*R5402)*SQRT(R5401*R5397*R5399))</f>
        <v>184.50606952329889</v>
      </c>
      <c r="S5403" s="133"/>
      <c r="T5403" s="146"/>
      <c r="U5403" s="143">
        <f>U5395/((N_6*U$27*U5402)*SQRT(U5401*U5397*U5399))</f>
        <v>369.16120344490434</v>
      </c>
      <c r="V5403" s="133"/>
      <c r="W5403" s="146"/>
      <c r="X5403" s="143">
        <f>X5395/((N_6*X$27*X5402)*SQRT(X5401*X5397*X5399))</f>
        <v>26.675798789318083</v>
      </c>
      <c r="Y5403" s="133"/>
      <c r="Z5403" s="146"/>
      <c r="AA5403" s="143">
        <f>AA5395/((N_6*AA$27*AA5402)*SQRT(AA5401*AA5397*AA5399))</f>
        <v>12.670189963846557</v>
      </c>
      <c r="AB5403" s="133"/>
      <c r="AC5403" s="146"/>
      <c r="AD5403" s="143">
        <f>AD5395/((N_6*AD$27*AD5402)*SQRT(AD5401*AD5397*AD5399))</f>
        <v>7.8845208193592091</v>
      </c>
      <c r="AE5403" s="133"/>
      <c r="AF5403" s="146"/>
      <c r="AG5403" s="143">
        <f>AG5395/((N_6*AG$27*AG5402)*SQRT(AG5401*AG5397*AG5399))</f>
        <v>6.1383914923563889</v>
      </c>
      <c r="AH5403" s="133"/>
      <c r="AI5403" s="146"/>
      <c r="AJ5403" s="143">
        <f>AJ5395/((N_6*AJ$27*AJ5402)*SQRT(AJ5401*AJ5397*AJ5399))</f>
        <v>5.5194402202242001</v>
      </c>
      <c r="AK5403" s="133"/>
      <c r="AL5403" s="146"/>
      <c r="AM5403" s="143">
        <f>AM5395/((N_6*AM$27*AM5402)*SQRT(AM5401*AM5397*AM5399))</f>
        <v>5.8899578439205555</v>
      </c>
      <c r="AN5403" s="133"/>
      <c r="AO5403" s="146"/>
      <c r="AP5403" s="143">
        <f>AP5395/((N_6*AP$27*AP5402)*SQRT(AP5401*AP5397*AP5399))</f>
        <v>4.3766560788790123</v>
      </c>
      <c r="AQ5403" s="133"/>
      <c r="AR5403" s="146"/>
      <c r="AS5403" s="143">
        <f>AS5395/((N_6*AS$27*AS5402)*SQRT(AS5401*AS5397*AS5399))</f>
        <v>15.367419497640279</v>
      </c>
      <c r="AT5403" s="133"/>
      <c r="AU5403" s="146"/>
    </row>
    <row r="5404" spans="15:47" x14ac:dyDescent="0.25">
      <c r="O5404" s="2" t="s">
        <v>73</v>
      </c>
      <c r="P5404" s="85">
        <v>5</v>
      </c>
      <c r="Q5404" s="2"/>
      <c r="R5404" s="179">
        <f>R5395/((N_6*R$27*0.667)*SQRT(R5405*R5397*R5399))</f>
        <v>94.325289093451431</v>
      </c>
      <c r="S5404" s="133"/>
      <c r="T5404" s="155"/>
      <c r="U5404" s="143">
        <f>U5395/((N_6*U$27*0.667)*SQRT(U5405*U5397*U5399))</f>
        <v>118.99930913665078</v>
      </c>
      <c r="V5404" s="133"/>
      <c r="W5404" s="155"/>
      <c r="X5404" s="143">
        <f>X5395/((N_6*X$27*0.667)*SQRT(X5405*X5397*X5399))</f>
        <v>22.945319686779555</v>
      </c>
      <c r="Y5404" s="133"/>
      <c r="Z5404" s="155"/>
      <c r="AA5404" s="143">
        <f>AA5395/((N_6*AA$27*0.667)*SQRT(AA5405*AA5397*AA5399))</f>
        <v>11.087030545173194</v>
      </c>
      <c r="AB5404" s="133"/>
      <c r="AC5404" s="155"/>
      <c r="AD5404" s="143">
        <f>AD5395/((N_6*AD$27*0.667)*SQRT(AD5405*AD5397*AD5399))</f>
        <v>6.8061639351706917</v>
      </c>
      <c r="AE5404" s="133"/>
      <c r="AF5404" s="155"/>
      <c r="AG5404" s="143">
        <f>AG5395/((N_6*AG$27*0.667)*SQRT(AG5405*AG5397*AG5399))</f>
        <v>5.0737996985373188</v>
      </c>
      <c r="AH5404" s="133"/>
      <c r="AI5404" s="155"/>
      <c r="AJ5404" s="143">
        <f>AJ5395/((N_6*AJ$27*0.667)*SQRT(AJ5405*AJ5397*AJ5399))</f>
        <v>4.2658420013958187</v>
      </c>
      <c r="AK5404" s="133"/>
      <c r="AL5404" s="155"/>
      <c r="AM5404" s="143">
        <f>AM5395/((N_6*AM$27*0.667)*SQRT(AM5405*AM5397*AM5399))</f>
        <v>4.0330802967823196</v>
      </c>
      <c r="AN5404" s="133"/>
      <c r="AO5404" s="155"/>
      <c r="AP5404" s="143">
        <f>AP5395/((N_6*AP$27*0.667)*SQRT(AP5405*AP5397*AP5399))</f>
        <v>3.7313856220904831</v>
      </c>
      <c r="AQ5404" s="133"/>
      <c r="AR5404" s="155"/>
      <c r="AS5404" s="143">
        <f>AS5395/((N_6*AS$27*0.667)*SQRT(AS5405*AS5397*AS5399))</f>
        <v>5.4128650926480049</v>
      </c>
      <c r="AT5404" s="133"/>
      <c r="AU5404" s="155"/>
    </row>
    <row r="5405" spans="15:47" ht="15.5" x14ac:dyDescent="0.4">
      <c r="O5405" s="2" t="s">
        <v>192</v>
      </c>
      <c r="P5405" s="85">
        <v>10</v>
      </c>
      <c r="Q5405" s="2"/>
      <c r="R5405" s="181">
        <f>F_GAMMA*R$29</f>
        <v>0.64002688015162901</v>
      </c>
      <c r="S5405" s="133"/>
      <c r="T5405" s="155"/>
      <c r="U5405" s="138">
        <f>F_GAMMA*U$29</f>
        <v>0.64016782916606918</v>
      </c>
      <c r="V5405" s="133"/>
      <c r="W5405" s="155"/>
      <c r="X5405" s="138">
        <f>F_GAMMA*X$29</f>
        <v>0.6307062319203669</v>
      </c>
      <c r="Y5405" s="133"/>
      <c r="Z5405" s="155"/>
      <c r="AA5405" s="138">
        <f>F_GAMMA*AA$29</f>
        <v>0.62217534213893466</v>
      </c>
      <c r="AB5405" s="133"/>
      <c r="AC5405" s="155"/>
      <c r="AD5405" s="138">
        <f>F_GAMMA*AD$29</f>
        <v>0.60557184969146072</v>
      </c>
      <c r="AE5405" s="133"/>
      <c r="AF5405" s="155"/>
      <c r="AG5405" s="138">
        <f>F_GAMMA*AG$29</f>
        <v>0.57289312142622573</v>
      </c>
      <c r="AH5405" s="133"/>
      <c r="AI5405" s="155"/>
      <c r="AJ5405" s="138">
        <f>F_GAMMA*AJ$29</f>
        <v>0.53590819116049981</v>
      </c>
      <c r="AK5405" s="133"/>
      <c r="AL5405" s="155"/>
      <c r="AM5405" s="138">
        <f>F_GAMMA*AM$29</f>
        <v>0.49048815926850342</v>
      </c>
      <c r="AN5405" s="133"/>
      <c r="AO5405" s="155"/>
      <c r="AP5405" s="138">
        <f>F_GAMMA*AP$29</f>
        <v>0.59352979016280105</v>
      </c>
      <c r="AQ5405" s="133"/>
      <c r="AR5405" s="155"/>
      <c r="AS5405" s="138">
        <f>F_GAMMA*AS$29</f>
        <v>0.39097221161068291</v>
      </c>
      <c r="AT5405" s="133"/>
      <c r="AU5405" s="155"/>
    </row>
    <row r="5406" spans="15:47" x14ac:dyDescent="0.25">
      <c r="O5406" s="2" t="s">
        <v>193</v>
      </c>
      <c r="P5406" s="134"/>
      <c r="Q5406" s="2"/>
      <c r="R5406" s="181">
        <f>IF(R5401&lt;R5405,R5403,R5404)</f>
        <v>94.325289093451431</v>
      </c>
      <c r="S5406" s="133"/>
      <c r="T5406" s="155"/>
      <c r="U5406" s="138">
        <f>IF(U5401&lt;U5405,U5403,U5404)</f>
        <v>118.99930913665078</v>
      </c>
      <c r="V5406" s="133"/>
      <c r="W5406" s="155"/>
      <c r="X5406" s="138">
        <f>IF(X5401&lt;X5405,X5403,X5404)</f>
        <v>22.945319686779555</v>
      </c>
      <c r="Y5406" s="133"/>
      <c r="Z5406" s="155"/>
      <c r="AA5406" s="138">
        <f>IF(AA5401&lt;AA5405,AA5403,AA5404)</f>
        <v>11.087030545173194</v>
      </c>
      <c r="AB5406" s="133"/>
      <c r="AC5406" s="155"/>
      <c r="AD5406" s="138">
        <f>IF(AD5401&lt;AD5405,AD5403,AD5404)</f>
        <v>6.8061639351706917</v>
      </c>
      <c r="AE5406" s="133"/>
      <c r="AF5406" s="155"/>
      <c r="AG5406" s="138">
        <f>IF(AG5401&lt;AG5405,AG5403,AG5404)</f>
        <v>5.0737996985373188</v>
      </c>
      <c r="AH5406" s="133"/>
      <c r="AI5406" s="155"/>
      <c r="AJ5406" s="138">
        <f>IF(AJ5401&lt;AJ5405,AJ5403,AJ5404)</f>
        <v>4.2658420013958187</v>
      </c>
      <c r="AK5406" s="133"/>
      <c r="AL5406" s="155"/>
      <c r="AM5406" s="138">
        <f>IF(AM5401&lt;AM5405,AM5403,AM5404)</f>
        <v>4.0330802967823196</v>
      </c>
      <c r="AN5406" s="133"/>
      <c r="AO5406" s="155"/>
      <c r="AP5406" s="138">
        <f>IF(AP5401&lt;AP5405,AP5403,AP5404)</f>
        <v>3.7313856220904831</v>
      </c>
      <c r="AQ5406" s="133"/>
      <c r="AR5406" s="155"/>
      <c r="AS5406" s="138">
        <f>IF(AS5401&lt;AS5405,AS5403,AS5404)</f>
        <v>5.4128650926480049</v>
      </c>
      <c r="AT5406" s="133"/>
      <c r="AU5406" s="155"/>
    </row>
    <row r="5407" spans="15:47" ht="13" x14ac:dyDescent="0.3">
      <c r="O5407" s="9" t="s">
        <v>194</v>
      </c>
      <c r="P5407" s="1"/>
      <c r="Q5407" s="1"/>
      <c r="R5407" s="135"/>
      <c r="S5407" s="132">
        <f>IF(R5400&lt;=0,W_max,ABS(R$23-R5406))</f>
        <v>7174</v>
      </c>
      <c r="T5407" s="151">
        <f>R5395</f>
        <v>22525.335669162425</v>
      </c>
      <c r="U5407" s="135"/>
      <c r="V5407" s="132">
        <f>IF(U5400&lt;=0,W_max,ABS(U$23-U5406))</f>
        <v>7174</v>
      </c>
      <c r="W5407" s="151">
        <f>U5395</f>
        <v>20995.381231320876</v>
      </c>
      <c r="X5407" s="135"/>
      <c r="Y5407" s="132">
        <f>IF(X5400&lt;=0,W_max,ABS(X$23-X5406))</f>
        <v>7174</v>
      </c>
      <c r="Z5407" s="151">
        <f>X5395</f>
        <v>51924.076264710922</v>
      </c>
      <c r="AA5407" s="135"/>
      <c r="AB5407" s="132">
        <f>IF(AA5400&lt;=0,W_max,ABS(AA$23-AA5406))</f>
        <v>7174</v>
      </c>
      <c r="AC5407" s="151">
        <f>AA5395</f>
        <v>101134.84718134801</v>
      </c>
      <c r="AD5407" s="135"/>
      <c r="AE5407" s="132">
        <f>IF(AD5400&lt;=0,W_max,ABS(AD$23-AD5406))</f>
        <v>7174</v>
      </c>
      <c r="AF5407" s="151">
        <f>AD5395</f>
        <v>166329.5879717631</v>
      </c>
      <c r="AG5407" s="135"/>
      <c r="AH5407" s="132">
        <f>IF(AG5400&lt;=0,W_max,ABS(AG$23-AG5406))</f>
        <v>7174</v>
      </c>
      <c r="AI5407" s="151">
        <f>AG5395</f>
        <v>233290.05220826229</v>
      </c>
      <c r="AJ5407" s="135"/>
      <c r="AK5407" s="132">
        <f>IF(AJ5400&lt;=0,W_max,ABS(AJ$23-AJ5406))</f>
        <v>7174</v>
      </c>
      <c r="AL5407" s="151">
        <f>AJ5395</f>
        <v>296216.46244665014</v>
      </c>
      <c r="AM5407" s="135"/>
      <c r="AN5407" s="132">
        <f>IF(AM5400&lt;=0,W_max,ABS(AM$23-AM5406))</f>
        <v>7174</v>
      </c>
      <c r="AO5407" s="151">
        <f>AM5395</f>
        <v>347337.09813978465</v>
      </c>
      <c r="AP5407" s="135"/>
      <c r="AQ5407" s="132">
        <f>IF(AP5400&lt;=0,W_max,ABS(AP$23-AP5406))</f>
        <v>7174</v>
      </c>
      <c r="AR5407" s="151">
        <f>AP5395</f>
        <v>387513.0060171425</v>
      </c>
      <c r="AS5407" s="135"/>
      <c r="AT5407" s="132">
        <f>IF(AS5400&lt;=0,W_max,ABS(AS$23-AS5406))</f>
        <v>7174</v>
      </c>
      <c r="AU5407" s="151">
        <f>AS5395</f>
        <v>432335.99473445222</v>
      </c>
    </row>
    <row r="5408" spans="15:47" ht="13" x14ac:dyDescent="0.25">
      <c r="O5408" s="2"/>
      <c r="P5408" s="85"/>
      <c r="Q5408" s="2"/>
      <c r="R5408" s="18"/>
      <c r="S5408" s="150"/>
      <c r="T5408" s="148"/>
      <c r="U5408" s="157"/>
      <c r="V5408" s="1"/>
      <c r="W5408" s="147"/>
      <c r="X5408" s="157"/>
      <c r="Y5408" s="1"/>
      <c r="Z5408" s="147"/>
      <c r="AA5408" s="157"/>
      <c r="AB5408" s="1"/>
      <c r="AC5408" s="147"/>
      <c r="AD5408" s="157"/>
      <c r="AE5408" s="1"/>
      <c r="AF5408" s="147"/>
      <c r="AG5408" s="157"/>
      <c r="AH5408" s="1"/>
      <c r="AI5408" s="147"/>
      <c r="AJ5408" s="157"/>
      <c r="AK5408" s="1"/>
      <c r="AL5408" s="147"/>
      <c r="AM5408" s="157"/>
      <c r="AN5408" s="1"/>
      <c r="AO5408" s="147"/>
      <c r="AP5408" s="157"/>
      <c r="AQ5408" s="1"/>
      <c r="AR5408" s="147"/>
      <c r="AS5408" s="157"/>
      <c r="AT5408" s="1"/>
      <c r="AU5408" s="147"/>
    </row>
    <row r="5409" spans="15:47" ht="14" x14ac:dyDescent="0.3">
      <c r="O5409" s="23" t="s">
        <v>238</v>
      </c>
      <c r="P5409" s="20"/>
      <c r="Q5409" s="20"/>
      <c r="R5409" s="181">
        <f>R5395*1.02</f>
        <v>22975.842382545674</v>
      </c>
      <c r="S5409" s="128" t="s">
        <v>185</v>
      </c>
      <c r="T5409" s="149" t="s">
        <v>186</v>
      </c>
      <c r="U5409" s="143">
        <f>U5395*1.01</f>
        <v>21205.335043634084</v>
      </c>
      <c r="V5409" s="128" t="s">
        <v>185</v>
      </c>
      <c r="W5409" s="153" t="s">
        <v>186</v>
      </c>
      <c r="X5409" s="143">
        <f>X5395*1.01</f>
        <v>52443.317027358033</v>
      </c>
      <c r="Y5409" s="128" t="s">
        <v>185</v>
      </c>
      <c r="Z5409" s="153" t="s">
        <v>186</v>
      </c>
      <c r="AA5409" s="143">
        <f>AA5395*1.01</f>
        <v>102146.1956531615</v>
      </c>
      <c r="AB5409" s="128" t="s">
        <v>185</v>
      </c>
      <c r="AC5409" s="153" t="s">
        <v>186</v>
      </c>
      <c r="AD5409" s="143">
        <f>AD5395*1.01</f>
        <v>167992.88385148073</v>
      </c>
      <c r="AE5409" s="128" t="s">
        <v>185</v>
      </c>
      <c r="AF5409" s="153" t="s">
        <v>186</v>
      </c>
      <c r="AG5409" s="143">
        <f>AG5395*1.01</f>
        <v>235622.95273034493</v>
      </c>
      <c r="AH5409" s="128" t="s">
        <v>185</v>
      </c>
      <c r="AI5409" s="153" t="s">
        <v>186</v>
      </c>
      <c r="AJ5409" s="143">
        <f>AJ5395*1.01</f>
        <v>299178.62707111664</v>
      </c>
      <c r="AK5409" s="128" t="s">
        <v>185</v>
      </c>
      <c r="AL5409" s="153" t="s">
        <v>186</v>
      </c>
      <c r="AM5409" s="143">
        <f>AM5395*1.01</f>
        <v>350810.46912118251</v>
      </c>
      <c r="AN5409" s="128" t="s">
        <v>185</v>
      </c>
      <c r="AO5409" s="153" t="s">
        <v>186</v>
      </c>
      <c r="AP5409" s="143">
        <f>AP5395*1.01</f>
        <v>391388.13607731392</v>
      </c>
      <c r="AQ5409" s="128" t="s">
        <v>185</v>
      </c>
      <c r="AR5409" s="153" t="s">
        <v>186</v>
      </c>
      <c r="AS5409" s="143">
        <f>AS5395*1.01</f>
        <v>436659.35468179674</v>
      </c>
      <c r="AT5409" s="128" t="s">
        <v>185</v>
      </c>
      <c r="AU5409" s="153" t="s">
        <v>186</v>
      </c>
    </row>
    <row r="5410" spans="15:47" ht="14" x14ac:dyDescent="0.3">
      <c r="O5410" s="20"/>
      <c r="P5410" s="20"/>
      <c r="Q5410" s="23"/>
      <c r="R5410" s="139"/>
      <c r="S5410" s="130" t="s">
        <v>228</v>
      </c>
      <c r="T5410" s="131" t="s">
        <v>187</v>
      </c>
      <c r="U5410" s="144"/>
      <c r="V5410" s="130" t="s">
        <v>228</v>
      </c>
      <c r="W5410" s="154" t="s">
        <v>187</v>
      </c>
      <c r="X5410" s="144"/>
      <c r="Y5410" s="130" t="s">
        <v>228</v>
      </c>
      <c r="Z5410" s="154" t="s">
        <v>187</v>
      </c>
      <c r="AA5410" s="144"/>
      <c r="AB5410" s="130" t="s">
        <v>228</v>
      </c>
      <c r="AC5410" s="154" t="s">
        <v>187</v>
      </c>
      <c r="AD5410" s="144"/>
      <c r="AE5410" s="130" t="s">
        <v>228</v>
      </c>
      <c r="AF5410" s="154" t="s">
        <v>187</v>
      </c>
      <c r="AG5410" s="144"/>
      <c r="AH5410" s="130" t="s">
        <v>228</v>
      </c>
      <c r="AI5410" s="154" t="s">
        <v>187</v>
      </c>
      <c r="AJ5410" s="144"/>
      <c r="AK5410" s="130" t="s">
        <v>228</v>
      </c>
      <c r="AL5410" s="154" t="s">
        <v>187</v>
      </c>
      <c r="AM5410" s="144"/>
      <c r="AN5410" s="130" t="s">
        <v>228</v>
      </c>
      <c r="AO5410" s="154" t="s">
        <v>187</v>
      </c>
      <c r="AP5410" s="144"/>
      <c r="AQ5410" s="130" t="s">
        <v>228</v>
      </c>
      <c r="AR5410" s="154" t="s">
        <v>187</v>
      </c>
      <c r="AS5410" s="144"/>
      <c r="AT5410" s="130" t="s">
        <v>228</v>
      </c>
      <c r="AU5410" s="154" t="s">
        <v>187</v>
      </c>
    </row>
    <row r="5411" spans="15:47" x14ac:dyDescent="0.25">
      <c r="O5411" s="7" t="s">
        <v>188</v>
      </c>
      <c r="P5411" s="7"/>
      <c r="Q5411" s="7"/>
      <c r="R5411" s="181">
        <f>P_1_minW-(R5409^2*R_up)+dpup_minQ</f>
        <v>-109.97933324571822</v>
      </c>
      <c r="S5411" s="132"/>
      <c r="T5411" s="145"/>
      <c r="U5411" s="138">
        <f>P_1_minW-(U5409^2*R_up)+dpup_minQ</f>
        <v>-78.786946679930182</v>
      </c>
      <c r="V5411" s="132"/>
      <c r="W5411" s="145"/>
      <c r="X5411" s="138">
        <f>P_1_minW-(X5409^2*R_up)+dpup_minQ</f>
        <v>-996.19249072524087</v>
      </c>
      <c r="Y5411" s="132"/>
      <c r="Z5411" s="145"/>
      <c r="AA5411" s="138">
        <f>P_1_minW-(AA5409^2*R_up)+dpup_minQ</f>
        <v>-4060.0965216638833</v>
      </c>
      <c r="AB5411" s="132"/>
      <c r="AC5411" s="145"/>
      <c r="AD5411" s="138">
        <f>P_1_minW-(AD5409^2*R_up)+dpup_minQ</f>
        <v>-11153.177857583485</v>
      </c>
      <c r="AE5411" s="132"/>
      <c r="AF5411" s="145"/>
      <c r="AG5411" s="138">
        <f>P_1_minW-(AG5409^2*R_up)+dpup_minQ</f>
        <v>-22038.006976923058</v>
      </c>
      <c r="AH5411" s="132"/>
      <c r="AI5411" s="145"/>
      <c r="AJ5411" s="138">
        <f>P_1_minW-(AJ5409^2*R_up)+dpup_minQ</f>
        <v>-35591.792219785042</v>
      </c>
      <c r="AK5411" s="132"/>
      <c r="AL5411" s="145"/>
      <c r="AM5411" s="138">
        <f>P_1_minW-(AM5409^2*R_up)+dpup_minQ</f>
        <v>-48974.293026675972</v>
      </c>
      <c r="AN5411" s="132"/>
      <c r="AO5411" s="145"/>
      <c r="AP5411" s="138">
        <f>P_1_minW-(AP5409^2*R_up)+dpup_minQ</f>
        <v>-60983.678770573395</v>
      </c>
      <c r="AQ5411" s="132"/>
      <c r="AR5411" s="145"/>
      <c r="AS5411" s="138">
        <f>P_1_minW-(AS5409^2*R_up)+dpup_minQ</f>
        <v>-75931.951671869087</v>
      </c>
      <c r="AT5411" s="132"/>
      <c r="AU5411" s="145"/>
    </row>
    <row r="5412" spans="15:47" x14ac:dyDescent="0.25">
      <c r="O5412" s="7" t="s">
        <v>189</v>
      </c>
      <c r="P5412" s="1"/>
      <c r="Q5412" s="7"/>
      <c r="R5412" s="181">
        <f>P_2_minW+(R5409^2*R_dn)-dpdn_minQ</f>
        <v>50</v>
      </c>
      <c r="S5412" s="132"/>
      <c r="T5412" s="146"/>
      <c r="U5412" s="138">
        <f>P_2_minW+(U5409^2*R_dn)-dpdn_minQ</f>
        <v>50</v>
      </c>
      <c r="V5412" s="132"/>
      <c r="W5412" s="146"/>
      <c r="X5412" s="138">
        <f>P_2_minW+(X5409^2*R_dn)-dpdn_minQ</f>
        <v>50</v>
      </c>
      <c r="Y5412" s="132"/>
      <c r="Z5412" s="146"/>
      <c r="AA5412" s="138">
        <f>P_2_minW+(AA5409^2*R_dn)-dpdn_minQ</f>
        <v>50</v>
      </c>
      <c r="AB5412" s="132"/>
      <c r="AC5412" s="146"/>
      <c r="AD5412" s="138">
        <f>P_2_minW+(AD5409^2*R_dn)-dpdn_minQ</f>
        <v>50</v>
      </c>
      <c r="AE5412" s="132"/>
      <c r="AF5412" s="146"/>
      <c r="AG5412" s="138">
        <f>P_2_minW+(AG5409^2*R_dn)-dpdn_minQ</f>
        <v>50</v>
      </c>
      <c r="AH5412" s="132"/>
      <c r="AI5412" s="146"/>
      <c r="AJ5412" s="138">
        <f>P_2_minW+(AJ5409^2*R_dn)-dpdn_minQ</f>
        <v>50</v>
      </c>
      <c r="AK5412" s="132"/>
      <c r="AL5412" s="146"/>
      <c r="AM5412" s="138">
        <f>P_2_minW+(AM5409^2*R_dn)-dpdn_minQ</f>
        <v>50</v>
      </c>
      <c r="AN5412" s="132"/>
      <c r="AO5412" s="146"/>
      <c r="AP5412" s="138">
        <f>P_2_minW+(AP5409^2*R_dn)-dpdn_minQ</f>
        <v>50</v>
      </c>
      <c r="AQ5412" s="132"/>
      <c r="AR5412" s="146"/>
      <c r="AS5412" s="138">
        <f>P_2_minW+(AS5409^2*R_dn)-dpdn_minQ</f>
        <v>50</v>
      </c>
      <c r="AT5412" s="132"/>
      <c r="AU5412" s="146"/>
    </row>
    <row r="5413" spans="15:47" x14ac:dyDescent="0.25">
      <c r="O5413" s="7" t="s">
        <v>234</v>
      </c>
      <c r="P5413" s="1"/>
      <c r="Q5413" s="7"/>
      <c r="R5413" s="179">
        <f>'Valve Sizing'!G$8*R5411/P_1_maxW</f>
        <v>-0.5305207229639326</v>
      </c>
      <c r="S5413" s="132"/>
      <c r="T5413" s="146"/>
      <c r="U5413" s="143">
        <f>'Valve Sizing'!$G$8*U5411/P_1_maxW</f>
        <v>-0.38005420363270553</v>
      </c>
      <c r="V5413" s="132"/>
      <c r="W5413" s="146"/>
      <c r="X5413" s="143">
        <f>'Valve Sizing'!$G$8*X5411/P_1_maxW</f>
        <v>-4.8054552141174351</v>
      </c>
      <c r="Y5413" s="132"/>
      <c r="Z5413" s="146"/>
      <c r="AA5413" s="143">
        <f>'Valve Sizing'!$G$8*AA5411/P_1_maxW</f>
        <v>-19.585182764874883</v>
      </c>
      <c r="AB5413" s="132"/>
      <c r="AC5413" s="146"/>
      <c r="AD5413" s="143">
        <f>'Valve Sizing'!$G$8*AD5411/P_1_maxW</f>
        <v>-53.80094428405603</v>
      </c>
      <c r="AE5413" s="132"/>
      <c r="AF5413" s="146"/>
      <c r="AG5413" s="143">
        <f>'Valve Sizing'!$G$8*AG5411/P_1_maxW</f>
        <v>-106.30742203137149</v>
      </c>
      <c r="AH5413" s="132"/>
      <c r="AI5413" s="146"/>
      <c r="AJ5413" s="143">
        <f>'Valve Sizing'!$G$8*AJ5411/P_1_maxW</f>
        <v>-171.68846894020942</v>
      </c>
      <c r="AK5413" s="132"/>
      <c r="AL5413" s="146"/>
      <c r="AM5413" s="143">
        <f>'Valve Sizing'!$G$8*AM5411/P_1_maxW</f>
        <v>-236.24327022523721</v>
      </c>
      <c r="AN5413" s="132"/>
      <c r="AO5413" s="146"/>
      <c r="AP5413" s="143">
        <f>'Valve Sizing'!$G$8*AP5411/P_1_maxW</f>
        <v>-294.17440891445324</v>
      </c>
      <c r="AQ5413" s="132"/>
      <c r="AR5413" s="146"/>
      <c r="AS5413" s="143">
        <f>'Valve Sizing'!$G$8*AS5411/P_1_maxW</f>
        <v>-366.28221601435035</v>
      </c>
      <c r="AT5413" s="132"/>
      <c r="AU5413" s="146"/>
    </row>
    <row r="5414" spans="15:47" x14ac:dyDescent="0.25">
      <c r="O5414" s="7" t="s">
        <v>190</v>
      </c>
      <c r="P5414" s="1"/>
      <c r="Q5414" s="7"/>
      <c r="R5414" s="181">
        <f>R5411-R5412</f>
        <v>-159.97933324571824</v>
      </c>
      <c r="S5414" s="132"/>
      <c r="T5414" s="146"/>
      <c r="U5414" s="138">
        <f>U5411-U5412</f>
        <v>-128.78694667993017</v>
      </c>
      <c r="V5414" s="132"/>
      <c r="W5414" s="146"/>
      <c r="X5414" s="138">
        <f>X5411-X5412</f>
        <v>-1046.192490725241</v>
      </c>
      <c r="Y5414" s="132"/>
      <c r="Z5414" s="146"/>
      <c r="AA5414" s="138">
        <f>AA5411-AA5412</f>
        <v>-4110.0965216638833</v>
      </c>
      <c r="AB5414" s="132"/>
      <c r="AC5414" s="146"/>
      <c r="AD5414" s="138">
        <f>AD5411-AD5412</f>
        <v>-11203.177857583485</v>
      </c>
      <c r="AE5414" s="132"/>
      <c r="AF5414" s="146"/>
      <c r="AG5414" s="138">
        <f>AG5411-AG5412</f>
        <v>-22088.006976923058</v>
      </c>
      <c r="AH5414" s="132"/>
      <c r="AI5414" s="146"/>
      <c r="AJ5414" s="138">
        <f>AJ5411-AJ5412</f>
        <v>-35641.792219785042</v>
      </c>
      <c r="AK5414" s="132"/>
      <c r="AL5414" s="146"/>
      <c r="AM5414" s="138">
        <f>AM5411-AM5412</f>
        <v>-49024.293026675972</v>
      </c>
      <c r="AN5414" s="132"/>
      <c r="AO5414" s="146"/>
      <c r="AP5414" s="138">
        <f>AP5411-AP5412</f>
        <v>-61033.678770573395</v>
      </c>
      <c r="AQ5414" s="132"/>
      <c r="AR5414" s="146"/>
      <c r="AS5414" s="138">
        <f>AS5411-AS5412</f>
        <v>-75981.951671869087</v>
      </c>
      <c r="AT5414" s="132"/>
      <c r="AU5414" s="146"/>
    </row>
    <row r="5415" spans="15:47" ht="14.5" x14ac:dyDescent="0.35">
      <c r="O5415" s="2" t="s">
        <v>191</v>
      </c>
      <c r="P5415" s="10"/>
      <c r="Q5415" s="2"/>
      <c r="R5415" s="181">
        <f>R5414/R5411</f>
        <v>1.4546308704044324</v>
      </c>
      <c r="S5415" s="132"/>
      <c r="T5415" s="146"/>
      <c r="U5415" s="138">
        <f>U5414/U5411</f>
        <v>1.6346228925855397</v>
      </c>
      <c r="V5415" s="132"/>
      <c r="W5415" s="146"/>
      <c r="X5415" s="138">
        <f>X5414/X5411</f>
        <v>1.0501911030905278</v>
      </c>
      <c r="Y5415" s="132"/>
      <c r="Z5415" s="146"/>
      <c r="AA5415" s="138">
        <f>AA5414/AA5411</f>
        <v>1.012314978162024</v>
      </c>
      <c r="AB5415" s="132"/>
      <c r="AC5415" s="146"/>
      <c r="AD5415" s="138">
        <f>AD5414/AD5411</f>
        <v>1.0044830272267202</v>
      </c>
      <c r="AE5415" s="132"/>
      <c r="AF5415" s="146"/>
      <c r="AG5415" s="138">
        <f>AG5414/AG5411</f>
        <v>1.002268807703544</v>
      </c>
      <c r="AH5415" s="132"/>
      <c r="AI5415" s="146"/>
      <c r="AJ5415" s="138">
        <f>AJ5414/AJ5411</f>
        <v>1.0014048182707755</v>
      </c>
      <c r="AK5415" s="132"/>
      <c r="AL5415" s="146"/>
      <c r="AM5415" s="138">
        <f>AM5414/AM5411</f>
        <v>1.001020943783155</v>
      </c>
      <c r="AN5415" s="132"/>
      <c r="AO5415" s="146"/>
      <c r="AP5415" s="138">
        <f>AP5414/AP5411</f>
        <v>1.000819891502251</v>
      </c>
      <c r="AQ5415" s="132"/>
      <c r="AR5415" s="146"/>
      <c r="AS5415" s="138">
        <f>AS5414/AS5411</f>
        <v>1.0006584843257562</v>
      </c>
      <c r="AT5415" s="132"/>
      <c r="AU5415" s="146"/>
    </row>
    <row r="5416" spans="15:47" x14ac:dyDescent="0.25">
      <c r="O5416" s="2" t="s">
        <v>26</v>
      </c>
      <c r="P5416" s="7">
        <v>12</v>
      </c>
      <c r="Q5416" s="2"/>
      <c r="R5416" s="181">
        <f>1-R5415/(3*F_GAMMA*R$29)</f>
        <v>0.24241157389107604</v>
      </c>
      <c r="S5416" s="133"/>
      <c r="T5416" s="146"/>
      <c r="U5416" s="138">
        <f>1-U5415/(3*F_GAMMA*U$29)</f>
        <v>0.14885710792698303</v>
      </c>
      <c r="V5416" s="133"/>
      <c r="W5416" s="146"/>
      <c r="X5416" s="138">
        <f>1-X5415/(3*F_GAMMA*X$29)</f>
        <v>0.44496552703418502</v>
      </c>
      <c r="Y5416" s="133"/>
      <c r="Z5416" s="146"/>
      <c r="AA5416" s="138">
        <f>1-AA5415/(3*F_GAMMA*AA$29)</f>
        <v>0.45764754209970537</v>
      </c>
      <c r="AB5416" s="133"/>
      <c r="AC5416" s="146"/>
      <c r="AD5416" s="138">
        <f>1-AD5415/(3*F_GAMMA*AD$29)</f>
        <v>0.4470884405990222</v>
      </c>
      <c r="AE5416" s="133"/>
      <c r="AF5416" s="146"/>
      <c r="AG5416" s="138">
        <f>1-AG5415/(3*F_GAMMA*AG$29)</f>
        <v>0.41683781830696964</v>
      </c>
      <c r="AH5416" s="133"/>
      <c r="AI5416" s="146"/>
      <c r="AJ5416" s="138">
        <f>1-AJ5415/(3*F_GAMMA*AJ$29)</f>
        <v>0.37712912100220564</v>
      </c>
      <c r="AK5416" s="133"/>
      <c r="AL5416" s="146"/>
      <c r="AM5416" s="138">
        <f>1-AM5415/(3*F_GAMMA*AM$29)</f>
        <v>0.31971110490139598</v>
      </c>
      <c r="AN5416" s="133"/>
      <c r="AO5416" s="146"/>
      <c r="AP5416" s="138">
        <f>1-AP5415/(3*F_GAMMA*AP$29)</f>
        <v>0.43792774005624147</v>
      </c>
      <c r="AQ5416" s="133"/>
      <c r="AR5416" s="146"/>
      <c r="AS5416" s="138">
        <f>1-AS5415/(3*F_GAMMA*AS$29)</f>
        <v>0.14686308079427857</v>
      </c>
      <c r="AT5416" s="133"/>
      <c r="AU5416" s="146"/>
    </row>
    <row r="5417" spans="15:47" x14ac:dyDescent="0.25">
      <c r="O5417" s="2" t="s">
        <v>71</v>
      </c>
      <c r="P5417" s="85">
        <v>5</v>
      </c>
      <c r="Q5417" s="2"/>
      <c r="R5417" s="179">
        <f>R5409/((N_6*R$27*R5416)*SQRT(R5415*R5411*R5413))</f>
        <v>162.54840934619108</v>
      </c>
      <c r="S5417" s="133"/>
      <c r="T5417" s="146"/>
      <c r="U5417" s="143">
        <f>U5409/((N_6*U$27*U5416)*SQRT(U5415*U5411*U5413))</f>
        <v>321.91008349678856</v>
      </c>
      <c r="V5417" s="133"/>
      <c r="W5417" s="146"/>
      <c r="X5417" s="143">
        <f>X5409/((N_6*X$27*X5416)*SQRT(X5415*X5411*X5413))</f>
        <v>26.337215476349048</v>
      </c>
      <c r="Y5417" s="133"/>
      <c r="Z5417" s="146"/>
      <c r="AA5417" s="143">
        <f>AA5409/((N_6*AA$27*AA5416)*SQRT(AA5415*AA5411*AA5413))</f>
        <v>12.536345585402431</v>
      </c>
      <c r="AB5417" s="133"/>
      <c r="AC5417" s="146"/>
      <c r="AD5417" s="143">
        <f>AD5409/((N_6*AD$27*AD5416)*SQRT(AD5415*AD5411*AD5413))</f>
        <v>7.8045214426490261</v>
      </c>
      <c r="AE5417" s="133"/>
      <c r="AF5417" s="146"/>
      <c r="AG5417" s="143">
        <f>AG5409/((N_6*AG$27*AG5416)*SQRT(AG5415*AG5411*AG5413))</f>
        <v>6.076808376453136</v>
      </c>
      <c r="AH5417" s="133"/>
      <c r="AI5417" s="146"/>
      <c r="AJ5417" s="143">
        <f>AJ5409/((N_6*AJ$27*AJ5416)*SQRT(AJ5415*AJ5411*AJ5413))</f>
        <v>5.4643041072957006</v>
      </c>
      <c r="AK5417" s="133"/>
      <c r="AL5417" s="146"/>
      <c r="AM5417" s="143">
        <f>AM5409/((N_6*AM$27*AM5416)*SQRT(AM5415*AM5411*AM5413))</f>
        <v>5.8312058296134941</v>
      </c>
      <c r="AN5417" s="133"/>
      <c r="AO5417" s="146"/>
      <c r="AP5417" s="143">
        <f>AP5409/((N_6*AP$27*AP5416)*SQRT(AP5415*AP5411*AP5413))</f>
        <v>4.3331232814396978</v>
      </c>
      <c r="AQ5417" s="133"/>
      <c r="AR5417" s="146"/>
      <c r="AS5417" s="143">
        <f>AS5409/((N_6*AS$27*AS5416)*SQRT(AS5415*AS5411*AS5413))</f>
        <v>15.213792089551772</v>
      </c>
      <c r="AT5417" s="133"/>
      <c r="AU5417" s="146"/>
    </row>
    <row r="5418" spans="15:47" x14ac:dyDescent="0.25">
      <c r="O5418" s="2" t="s">
        <v>73</v>
      </c>
      <c r="P5418" s="85">
        <v>5</v>
      </c>
      <c r="Q5418" s="2"/>
      <c r="R5418" s="179">
        <f>R5409/((N_6*R$27*0.667)*SQRT(R5419*R5411*R5413))</f>
        <v>89.060993255434639</v>
      </c>
      <c r="S5418" s="133"/>
      <c r="T5418" s="147"/>
      <c r="U5418" s="143">
        <f>U5409/((N_6*U$27*0.667)*SQRT(U5419*U5411*U5413))</f>
        <v>114.79955102067356</v>
      </c>
      <c r="V5418" s="133"/>
      <c r="W5418" s="155"/>
      <c r="X5418" s="143">
        <f>X5409/((N_6*X$27*0.667)*SQRT(X5419*X5411*X5413))</f>
        <v>22.672060682278623</v>
      </c>
      <c r="Y5418" s="133"/>
      <c r="Z5418" s="155"/>
      <c r="AA5418" s="143">
        <f>AA5409/((N_6*AA$27*0.667)*SQRT(AA5419*AA5411*AA5413))</f>
        <v>10.971795130443471</v>
      </c>
      <c r="AB5418" s="133"/>
      <c r="AC5418" s="155"/>
      <c r="AD5418" s="143">
        <f>AD5409/((N_6*AD$27*0.667)*SQRT(AD5419*AD5411*AD5413))</f>
        <v>6.7375553777642008</v>
      </c>
      <c r="AE5418" s="133"/>
      <c r="AF5418" s="155"/>
      <c r="AG5418" s="143">
        <f>AG5409/((N_6*AG$27*0.667)*SQRT(AG5419*AG5411*AG5413))</f>
        <v>5.0231034831223864</v>
      </c>
      <c r="AH5418" s="133"/>
      <c r="AI5418" s="155"/>
      <c r="AJ5418" s="143">
        <f>AJ5409/((N_6*AJ$27*0.667)*SQRT(AJ5419*AJ5411*AJ5413))</f>
        <v>4.2233661723797837</v>
      </c>
      <c r="AK5418" s="133"/>
      <c r="AL5418" s="155"/>
      <c r="AM5418" s="143">
        <f>AM5409/((N_6*AM$27*0.667)*SQRT(AM5419*AM5411*AM5413))</f>
        <v>3.9929840653439448</v>
      </c>
      <c r="AN5418" s="133"/>
      <c r="AO5418" s="155"/>
      <c r="AP5418" s="143">
        <f>AP5409/((N_6*AP$27*0.667)*SQRT(AP5419*AP5411*AP5413))</f>
        <v>3.6943188059601813</v>
      </c>
      <c r="AQ5418" s="133"/>
      <c r="AR5418" s="155"/>
      <c r="AS5418" s="143">
        <f>AS5409/((N_6*AS$27*0.667)*SQRT(AS5419*AS5411*AS5413))</f>
        <v>5.3591297616300286</v>
      </c>
      <c r="AT5418" s="133"/>
      <c r="AU5418" s="155"/>
    </row>
    <row r="5419" spans="15:47" ht="15.5" x14ac:dyDescent="0.4">
      <c r="O5419" s="2" t="s">
        <v>192</v>
      </c>
      <c r="P5419" s="85">
        <v>10</v>
      </c>
      <c r="Q5419" s="2"/>
      <c r="R5419" s="181">
        <f>F_GAMMA*R$29</f>
        <v>0.64002688015162901</v>
      </c>
      <c r="S5419" s="133"/>
      <c r="T5419" s="147"/>
      <c r="U5419" s="138">
        <f>F_GAMMA*U$29</f>
        <v>0.64016782916606918</v>
      </c>
      <c r="V5419" s="133"/>
      <c r="W5419" s="155"/>
      <c r="X5419" s="138">
        <f>F_GAMMA*X$29</f>
        <v>0.6307062319203669</v>
      </c>
      <c r="Y5419" s="133"/>
      <c r="Z5419" s="155"/>
      <c r="AA5419" s="138">
        <f>F_GAMMA*AA$29</f>
        <v>0.62217534213893466</v>
      </c>
      <c r="AB5419" s="133"/>
      <c r="AC5419" s="155"/>
      <c r="AD5419" s="138">
        <f>F_GAMMA*AD$29</f>
        <v>0.60557184969146072</v>
      </c>
      <c r="AE5419" s="133"/>
      <c r="AF5419" s="155"/>
      <c r="AG5419" s="138">
        <f>F_GAMMA*AG$29</f>
        <v>0.57289312142622573</v>
      </c>
      <c r="AH5419" s="133"/>
      <c r="AI5419" s="155"/>
      <c r="AJ5419" s="138">
        <f>F_GAMMA*AJ$29</f>
        <v>0.53590819116049981</v>
      </c>
      <c r="AK5419" s="133"/>
      <c r="AL5419" s="155"/>
      <c r="AM5419" s="138">
        <f>F_GAMMA*AM$29</f>
        <v>0.49048815926850342</v>
      </c>
      <c r="AN5419" s="133"/>
      <c r="AO5419" s="155"/>
      <c r="AP5419" s="138">
        <f>F_GAMMA*AP$29</f>
        <v>0.59352979016280105</v>
      </c>
      <c r="AQ5419" s="133"/>
      <c r="AR5419" s="155"/>
      <c r="AS5419" s="138">
        <f>F_GAMMA*AS$29</f>
        <v>0.39097221161068291</v>
      </c>
      <c r="AT5419" s="133"/>
      <c r="AU5419" s="155"/>
    </row>
    <row r="5420" spans="15:47" x14ac:dyDescent="0.25">
      <c r="O5420" s="2" t="s">
        <v>193</v>
      </c>
      <c r="P5420" s="134"/>
      <c r="Q5420" s="2"/>
      <c r="R5420" s="181">
        <f>IF(R5415&lt;R5419,R5417,R5418)</f>
        <v>89.060993255434639</v>
      </c>
      <c r="S5420" s="133"/>
      <c r="T5420" s="147"/>
      <c r="U5420" s="138">
        <f>IF(U5415&lt;U5419,U5417,U5418)</f>
        <v>114.79955102067356</v>
      </c>
      <c r="V5420" s="133"/>
      <c r="W5420" s="155"/>
      <c r="X5420" s="138">
        <f>IF(X5415&lt;X5419,X5417,X5418)</f>
        <v>22.672060682278623</v>
      </c>
      <c r="Y5420" s="133"/>
      <c r="Z5420" s="155"/>
      <c r="AA5420" s="138">
        <f>IF(AA5415&lt;AA5419,AA5417,AA5418)</f>
        <v>10.971795130443471</v>
      </c>
      <c r="AB5420" s="133"/>
      <c r="AC5420" s="155"/>
      <c r="AD5420" s="138">
        <f>IF(AD5415&lt;AD5419,AD5417,AD5418)</f>
        <v>6.7375553777642008</v>
      </c>
      <c r="AE5420" s="133"/>
      <c r="AF5420" s="155"/>
      <c r="AG5420" s="138">
        <f>IF(AG5415&lt;AG5419,AG5417,AG5418)</f>
        <v>5.0231034831223864</v>
      </c>
      <c r="AH5420" s="133"/>
      <c r="AI5420" s="155"/>
      <c r="AJ5420" s="138">
        <f>IF(AJ5415&lt;AJ5419,AJ5417,AJ5418)</f>
        <v>4.2233661723797837</v>
      </c>
      <c r="AK5420" s="133"/>
      <c r="AL5420" s="155"/>
      <c r="AM5420" s="138">
        <f>IF(AM5415&lt;AM5419,AM5417,AM5418)</f>
        <v>3.9929840653439448</v>
      </c>
      <c r="AN5420" s="133"/>
      <c r="AO5420" s="155"/>
      <c r="AP5420" s="138">
        <f>IF(AP5415&lt;AP5419,AP5417,AP5418)</f>
        <v>3.6943188059601813</v>
      </c>
      <c r="AQ5420" s="133"/>
      <c r="AR5420" s="155"/>
      <c r="AS5420" s="138">
        <f>IF(AS5415&lt;AS5419,AS5417,AS5418)</f>
        <v>5.3591297616300286</v>
      </c>
      <c r="AT5420" s="133"/>
      <c r="AU5420" s="155"/>
    </row>
    <row r="5421" spans="15:47" ht="13" x14ac:dyDescent="0.3">
      <c r="O5421" s="9" t="s">
        <v>194</v>
      </c>
      <c r="P5421" s="1"/>
      <c r="Q5421" s="1"/>
      <c r="R5421" s="135"/>
      <c r="S5421" s="132">
        <f>IF(R5414&lt;=0,W_max,ABS(R$23-R5420))</f>
        <v>7174</v>
      </c>
      <c r="T5421" s="151">
        <f>R5409</f>
        <v>22975.842382545674</v>
      </c>
      <c r="U5421" s="135"/>
      <c r="V5421" s="132">
        <f>IF(U5414&lt;=0,W_max,ABS(U$23-U5420))</f>
        <v>7174</v>
      </c>
      <c r="W5421" s="151">
        <f>U5409</f>
        <v>21205.335043634084</v>
      </c>
      <c r="X5421" s="135"/>
      <c r="Y5421" s="132">
        <f>IF(X5414&lt;=0,W_max,ABS(X$23-X5420))</f>
        <v>7174</v>
      </c>
      <c r="Z5421" s="151">
        <f>X5409</f>
        <v>52443.317027358033</v>
      </c>
      <c r="AA5421" s="135"/>
      <c r="AB5421" s="132">
        <f>IF(AA5414&lt;=0,W_max,ABS(AA$23-AA5420))</f>
        <v>7174</v>
      </c>
      <c r="AC5421" s="151">
        <f>AA5409</f>
        <v>102146.1956531615</v>
      </c>
      <c r="AD5421" s="135"/>
      <c r="AE5421" s="132">
        <f>IF(AD5414&lt;=0,W_max,ABS(AD$23-AD5420))</f>
        <v>7174</v>
      </c>
      <c r="AF5421" s="151">
        <f>AD5409</f>
        <v>167992.88385148073</v>
      </c>
      <c r="AG5421" s="135"/>
      <c r="AH5421" s="132">
        <f>IF(AG5414&lt;=0,W_max,ABS(AG$23-AG5420))</f>
        <v>7174</v>
      </c>
      <c r="AI5421" s="151">
        <f>AG5409</f>
        <v>235622.95273034493</v>
      </c>
      <c r="AJ5421" s="135"/>
      <c r="AK5421" s="132">
        <f>IF(AJ5414&lt;=0,W_max,ABS(AJ$23-AJ5420))</f>
        <v>7174</v>
      </c>
      <c r="AL5421" s="151">
        <f>AJ5409</f>
        <v>299178.62707111664</v>
      </c>
      <c r="AM5421" s="135"/>
      <c r="AN5421" s="132">
        <f>IF(AM5414&lt;=0,W_max,ABS(AM$23-AM5420))</f>
        <v>7174</v>
      </c>
      <c r="AO5421" s="151">
        <f>AM5409</f>
        <v>350810.46912118251</v>
      </c>
      <c r="AP5421" s="135"/>
      <c r="AQ5421" s="132">
        <f>IF(AP5414&lt;=0,W_max,ABS(AP$23-AP5420))</f>
        <v>7174</v>
      </c>
      <c r="AR5421" s="151">
        <f>AP5409</f>
        <v>391388.13607731392</v>
      </c>
      <c r="AS5421" s="135"/>
      <c r="AT5421" s="132">
        <f>IF(AS5414&lt;=0,W_max,ABS(AS$23-AS5420))</f>
        <v>7174</v>
      </c>
      <c r="AU5421" s="151">
        <f>AS5409</f>
        <v>436659.35468179674</v>
      </c>
    </row>
    <row r="5422" spans="15:47" ht="13" x14ac:dyDescent="0.25">
      <c r="O5422" s="12"/>
      <c r="P5422" s="12"/>
      <c r="Q5422" s="12"/>
      <c r="R5422" s="182"/>
      <c r="S5422" s="22"/>
      <c r="T5422" s="152"/>
      <c r="U5422" s="157"/>
      <c r="V5422" s="1"/>
      <c r="W5422" s="147"/>
      <c r="X5422" s="157"/>
      <c r="Y5422" s="1"/>
      <c r="Z5422" s="147"/>
      <c r="AA5422" s="157"/>
      <c r="AB5422" s="1"/>
      <c r="AC5422" s="147"/>
      <c r="AD5422" s="157"/>
      <c r="AE5422" s="1"/>
      <c r="AF5422" s="147"/>
      <c r="AG5422" s="157"/>
      <c r="AH5422" s="1"/>
      <c r="AI5422" s="147"/>
      <c r="AJ5422" s="157"/>
      <c r="AK5422" s="1"/>
      <c r="AL5422" s="147"/>
      <c r="AM5422" s="157"/>
      <c r="AN5422" s="1"/>
      <c r="AO5422" s="147"/>
      <c r="AP5422" s="157"/>
      <c r="AQ5422" s="1"/>
      <c r="AR5422" s="147"/>
      <c r="AS5422" s="157"/>
      <c r="AT5422" s="1"/>
      <c r="AU5422" s="147"/>
    </row>
    <row r="5423" spans="15:47" ht="14" x14ac:dyDescent="0.3">
      <c r="O5423" s="23" t="s">
        <v>238</v>
      </c>
      <c r="P5423" s="20"/>
      <c r="Q5423" s="20"/>
      <c r="R5423" s="18">
        <f>R5409*1.02</f>
        <v>23435.359230196587</v>
      </c>
      <c r="S5423" s="128" t="s">
        <v>185</v>
      </c>
      <c r="T5423" s="153" t="s">
        <v>186</v>
      </c>
      <c r="U5423" s="143">
        <f>U5409*1.01</f>
        <v>21417.388394070425</v>
      </c>
      <c r="V5423" s="128" t="s">
        <v>185</v>
      </c>
      <c r="W5423" s="153" t="s">
        <v>186</v>
      </c>
      <c r="X5423" s="143">
        <f>X5409*1.01</f>
        <v>52967.750197631613</v>
      </c>
      <c r="Y5423" s="128" t="s">
        <v>185</v>
      </c>
      <c r="Z5423" s="153" t="s">
        <v>186</v>
      </c>
      <c r="AA5423" s="143">
        <f>AA5409*1.01</f>
        <v>103167.65760969311</v>
      </c>
      <c r="AB5423" s="128" t="s">
        <v>185</v>
      </c>
      <c r="AC5423" s="153" t="s">
        <v>186</v>
      </c>
      <c r="AD5423" s="143">
        <f>AD5409*1.01</f>
        <v>169672.81268999554</v>
      </c>
      <c r="AE5423" s="128" t="s">
        <v>185</v>
      </c>
      <c r="AF5423" s="153" t="s">
        <v>186</v>
      </c>
      <c r="AG5423" s="143">
        <f>AG5409*1.01</f>
        <v>237979.18225764838</v>
      </c>
      <c r="AH5423" s="128" t="s">
        <v>185</v>
      </c>
      <c r="AI5423" s="153" t="s">
        <v>186</v>
      </c>
      <c r="AJ5423" s="143">
        <f>AJ5409*1.01</f>
        <v>302170.41334182781</v>
      </c>
      <c r="AK5423" s="128" t="s">
        <v>185</v>
      </c>
      <c r="AL5423" s="153" t="s">
        <v>186</v>
      </c>
      <c r="AM5423" s="143">
        <f>AM5409*1.01</f>
        <v>354318.57381239434</v>
      </c>
      <c r="AN5423" s="128" t="s">
        <v>185</v>
      </c>
      <c r="AO5423" s="153" t="s">
        <v>186</v>
      </c>
      <c r="AP5423" s="143">
        <f>AP5409*1.01</f>
        <v>395302.01743808703</v>
      </c>
      <c r="AQ5423" s="128" t="s">
        <v>185</v>
      </c>
      <c r="AR5423" s="153" t="s">
        <v>186</v>
      </c>
      <c r="AS5423" s="143">
        <f>AS5409*1.01</f>
        <v>441025.9482286147</v>
      </c>
      <c r="AT5423" s="128" t="s">
        <v>185</v>
      </c>
      <c r="AU5423" s="153" t="s">
        <v>186</v>
      </c>
    </row>
    <row r="5424" spans="15:47" ht="14" x14ac:dyDescent="0.3">
      <c r="O5424" s="20"/>
      <c r="P5424" s="20"/>
      <c r="Q5424" s="23"/>
      <c r="R5424" s="139"/>
      <c r="S5424" s="130" t="s">
        <v>228</v>
      </c>
      <c r="T5424" s="154" t="s">
        <v>187</v>
      </c>
      <c r="U5424" s="144"/>
      <c r="V5424" s="130" t="s">
        <v>228</v>
      </c>
      <c r="W5424" s="154" t="s">
        <v>187</v>
      </c>
      <c r="X5424" s="144"/>
      <c r="Y5424" s="130" t="s">
        <v>228</v>
      </c>
      <c r="Z5424" s="154" t="s">
        <v>187</v>
      </c>
      <c r="AA5424" s="144"/>
      <c r="AB5424" s="130" t="s">
        <v>228</v>
      </c>
      <c r="AC5424" s="154" t="s">
        <v>187</v>
      </c>
      <c r="AD5424" s="144"/>
      <c r="AE5424" s="130" t="s">
        <v>228</v>
      </c>
      <c r="AF5424" s="154" t="s">
        <v>187</v>
      </c>
      <c r="AG5424" s="144"/>
      <c r="AH5424" s="130" t="s">
        <v>228</v>
      </c>
      <c r="AI5424" s="154" t="s">
        <v>187</v>
      </c>
      <c r="AJ5424" s="144"/>
      <c r="AK5424" s="130" t="s">
        <v>228</v>
      </c>
      <c r="AL5424" s="154" t="s">
        <v>187</v>
      </c>
      <c r="AM5424" s="144"/>
      <c r="AN5424" s="130" t="s">
        <v>228</v>
      </c>
      <c r="AO5424" s="154" t="s">
        <v>187</v>
      </c>
      <c r="AP5424" s="144"/>
      <c r="AQ5424" s="130" t="s">
        <v>228</v>
      </c>
      <c r="AR5424" s="154" t="s">
        <v>187</v>
      </c>
      <c r="AS5424" s="144"/>
      <c r="AT5424" s="130" t="s">
        <v>228</v>
      </c>
      <c r="AU5424" s="154" t="s">
        <v>187</v>
      </c>
    </row>
    <row r="5425" spans="15:47" x14ac:dyDescent="0.25">
      <c r="O5425" s="7" t="s">
        <v>188</v>
      </c>
      <c r="P5425" s="7"/>
      <c r="Q5425" s="7"/>
      <c r="R5425" s="181">
        <f>P_1_minW-(R5423^2*R_up)+dpup_minQ</f>
        <v>-118.48361889300899</v>
      </c>
      <c r="S5425" s="132"/>
      <c r="T5425" s="145"/>
      <c r="U5425" s="138">
        <f>P_1_minW-(U5423^2*R_up)+dpup_minQ</f>
        <v>-82.391072321604994</v>
      </c>
      <c r="V5425" s="132"/>
      <c r="W5425" s="145"/>
      <c r="X5425" s="138">
        <f>P_1_minW-(X5423^2*R_up)+dpup_minQ</f>
        <v>-1018.2364678022262</v>
      </c>
      <c r="Y5425" s="132"/>
      <c r="Z5425" s="145"/>
      <c r="AA5425" s="138">
        <f>P_1_minW-(AA5423^2*R_up)+dpup_minQ</f>
        <v>-4143.7249697627349</v>
      </c>
      <c r="AB5425" s="132"/>
      <c r="AC5425" s="145"/>
      <c r="AD5425" s="138">
        <f>P_1_minW-(AD5423^2*R_up)+dpup_minQ</f>
        <v>-11379.377240534321</v>
      </c>
      <c r="AE5425" s="132"/>
      <c r="AF5425" s="145"/>
      <c r="AG5425" s="138">
        <f>P_1_minW-(AG5423^2*R_up)+dpup_minQ</f>
        <v>-22482.991425172622</v>
      </c>
      <c r="AH5425" s="132"/>
      <c r="AI5425" s="145"/>
      <c r="AJ5425" s="138">
        <f>P_1_minW-(AJ5423^2*R_up)+dpup_minQ</f>
        <v>-36309.207751416121</v>
      </c>
      <c r="AK5425" s="132"/>
      <c r="AL5425" s="145"/>
      <c r="AM5425" s="138">
        <f>P_1_minW-(AM5423^2*R_up)+dpup_minQ</f>
        <v>-49960.69682452557</v>
      </c>
      <c r="AN5425" s="132"/>
      <c r="AO5425" s="145"/>
      <c r="AP5425" s="138">
        <f>P_1_minW-(AP5423^2*R_up)+dpup_minQ</f>
        <v>-62211.471221875319</v>
      </c>
      <c r="AQ5425" s="132"/>
      <c r="AR5425" s="145"/>
      <c r="AS5425" s="138">
        <f>P_1_minW-(AS5423^2*R_up)+dpup_minQ</f>
        <v>-77460.204408487058</v>
      </c>
      <c r="AT5425" s="132"/>
      <c r="AU5425" s="145"/>
    </row>
    <row r="5426" spans="15:47" x14ac:dyDescent="0.25">
      <c r="O5426" s="7" t="s">
        <v>189</v>
      </c>
      <c r="P5426" s="1"/>
      <c r="Q5426" s="7"/>
      <c r="R5426" s="181">
        <f>P_2_minW+(R5423^2*R_dn)-dpdn_minQ</f>
        <v>50</v>
      </c>
      <c r="S5426" s="132"/>
      <c r="T5426" s="146"/>
      <c r="U5426" s="138">
        <f>P_2_minW+(U5423^2*R_dn)-dpdn_minQ</f>
        <v>50</v>
      </c>
      <c r="V5426" s="132"/>
      <c r="W5426" s="146"/>
      <c r="X5426" s="138">
        <f>P_2_minW+(X5423^2*R_dn)-dpdn_minQ</f>
        <v>50</v>
      </c>
      <c r="Y5426" s="132"/>
      <c r="Z5426" s="146"/>
      <c r="AA5426" s="138">
        <f>P_2_minW+(AA5423^2*R_dn)-dpdn_minQ</f>
        <v>50</v>
      </c>
      <c r="AB5426" s="132"/>
      <c r="AC5426" s="146"/>
      <c r="AD5426" s="138">
        <f>P_2_minW+(AD5423^2*R_dn)-dpdn_minQ</f>
        <v>50</v>
      </c>
      <c r="AE5426" s="132"/>
      <c r="AF5426" s="146"/>
      <c r="AG5426" s="138">
        <f>P_2_minW+(AG5423^2*R_dn)-dpdn_minQ</f>
        <v>50</v>
      </c>
      <c r="AH5426" s="132"/>
      <c r="AI5426" s="146"/>
      <c r="AJ5426" s="138">
        <f>P_2_minW+(AJ5423^2*R_dn)-dpdn_minQ</f>
        <v>50</v>
      </c>
      <c r="AK5426" s="132"/>
      <c r="AL5426" s="146"/>
      <c r="AM5426" s="138">
        <f>P_2_minW+(AM5423^2*R_dn)-dpdn_minQ</f>
        <v>50</v>
      </c>
      <c r="AN5426" s="132"/>
      <c r="AO5426" s="146"/>
      <c r="AP5426" s="138">
        <f>P_2_minW+(AP5423^2*R_dn)-dpdn_minQ</f>
        <v>50</v>
      </c>
      <c r="AQ5426" s="132"/>
      <c r="AR5426" s="146"/>
      <c r="AS5426" s="138">
        <f>P_2_minW+(AS5423^2*R_dn)-dpdn_minQ</f>
        <v>50</v>
      </c>
      <c r="AT5426" s="132"/>
      <c r="AU5426" s="146"/>
    </row>
    <row r="5427" spans="15:47" x14ac:dyDescent="0.25">
      <c r="O5427" s="7" t="s">
        <v>234</v>
      </c>
      <c r="P5427" s="1"/>
      <c r="Q5427" s="7"/>
      <c r="R5427" s="179">
        <f>'Valve Sizing'!G$8*R5425/P_1_maxW</f>
        <v>-0.57154388283172675</v>
      </c>
      <c r="S5427" s="132"/>
      <c r="T5427" s="146"/>
      <c r="U5427" s="143">
        <f>'Valve Sizing'!$G$8*U5425/P_1_maxW</f>
        <v>-0.39743986405312465</v>
      </c>
      <c r="V5427" s="132"/>
      <c r="W5427" s="146"/>
      <c r="X5427" s="143">
        <f>'Valve Sizing'!$G$8*X5425/P_1_maxW</f>
        <v>-4.9117914348485963</v>
      </c>
      <c r="Y5427" s="132"/>
      <c r="Z5427" s="146"/>
      <c r="AA5427" s="143">
        <f>'Valve Sizing'!$G$8*AA5425/P_1_maxW</f>
        <v>-19.988591509376267</v>
      </c>
      <c r="AB5427" s="132"/>
      <c r="AC5427" s="146"/>
      <c r="AD5427" s="143">
        <f>'Valve Sizing'!$G$8*AD5425/P_1_maxW</f>
        <v>-54.892089835092953</v>
      </c>
      <c r="AE5427" s="132"/>
      <c r="AF5427" s="146"/>
      <c r="AG5427" s="143">
        <f>'Valve Sizing'!$G$8*AG5425/P_1_maxW</f>
        <v>-108.45394778512949</v>
      </c>
      <c r="AH5427" s="132"/>
      <c r="AI5427" s="146"/>
      <c r="AJ5427" s="143">
        <f>'Valve Sizing'!$G$8*AJ5425/P_1_maxW</f>
        <v>-175.14915373683499</v>
      </c>
      <c r="AK5427" s="132"/>
      <c r="AL5427" s="146"/>
      <c r="AM5427" s="143">
        <f>'Valve Sizing'!$G$8*AM5425/P_1_maxW</f>
        <v>-241.0015065276919</v>
      </c>
      <c r="AN5427" s="132"/>
      <c r="AO5427" s="146"/>
      <c r="AP5427" s="143">
        <f>'Valve Sizing'!$G$8*AP5425/P_1_maxW</f>
        <v>-300.09706110456108</v>
      </c>
      <c r="AQ5427" s="132"/>
      <c r="AR5427" s="146"/>
      <c r="AS5427" s="143">
        <f>'Valve Sizing'!$G$8*AS5425/P_1_maxW</f>
        <v>-373.65423512716615</v>
      </c>
      <c r="AT5427" s="132"/>
      <c r="AU5427" s="146"/>
    </row>
    <row r="5428" spans="15:47" x14ac:dyDescent="0.25">
      <c r="O5428" s="7" t="s">
        <v>190</v>
      </c>
      <c r="P5428" s="1"/>
      <c r="Q5428" s="7"/>
      <c r="R5428" s="181">
        <f>R5425-R5426</f>
        <v>-168.48361889300901</v>
      </c>
      <c r="S5428" s="132"/>
      <c r="T5428" s="146"/>
      <c r="U5428" s="138">
        <f>U5425-U5426</f>
        <v>-132.39107232160501</v>
      </c>
      <c r="V5428" s="132"/>
      <c r="W5428" s="146"/>
      <c r="X5428" s="138">
        <f>X5425-X5426</f>
        <v>-1068.2364678022263</v>
      </c>
      <c r="Y5428" s="132"/>
      <c r="Z5428" s="146"/>
      <c r="AA5428" s="138">
        <f>AA5425-AA5426</f>
        <v>-4193.7249697627349</v>
      </c>
      <c r="AB5428" s="132"/>
      <c r="AC5428" s="146"/>
      <c r="AD5428" s="138">
        <f>AD5425-AD5426</f>
        <v>-11429.377240534321</v>
      </c>
      <c r="AE5428" s="132"/>
      <c r="AF5428" s="146"/>
      <c r="AG5428" s="138">
        <f>AG5425-AG5426</f>
        <v>-22532.991425172622</v>
      </c>
      <c r="AH5428" s="132"/>
      <c r="AI5428" s="146"/>
      <c r="AJ5428" s="138">
        <f>AJ5425-AJ5426</f>
        <v>-36359.207751416121</v>
      </c>
      <c r="AK5428" s="132"/>
      <c r="AL5428" s="146"/>
      <c r="AM5428" s="138">
        <f>AM5425-AM5426</f>
        <v>-50010.69682452557</v>
      </c>
      <c r="AN5428" s="132"/>
      <c r="AO5428" s="146"/>
      <c r="AP5428" s="138">
        <f>AP5425-AP5426</f>
        <v>-62261.471221875319</v>
      </c>
      <c r="AQ5428" s="132"/>
      <c r="AR5428" s="146"/>
      <c r="AS5428" s="138">
        <f>AS5425-AS5426</f>
        <v>-77510.204408487058</v>
      </c>
      <c r="AT5428" s="132"/>
      <c r="AU5428" s="146"/>
    </row>
    <row r="5429" spans="15:47" ht="14.5" x14ac:dyDescent="0.35">
      <c r="O5429" s="2" t="s">
        <v>191</v>
      </c>
      <c r="P5429" s="10"/>
      <c r="Q5429" s="2"/>
      <c r="R5429" s="181">
        <f>R5428/R5425</f>
        <v>1.4219992642624306</v>
      </c>
      <c r="S5429" s="132"/>
      <c r="T5429" s="146"/>
      <c r="U5429" s="138">
        <f>U5428/U5425</f>
        <v>1.6068618673250203</v>
      </c>
      <c r="V5429" s="132"/>
      <c r="W5429" s="146"/>
      <c r="X5429" s="138">
        <f>X5428/X5425</f>
        <v>1.0491045072348673</v>
      </c>
      <c r="Y5429" s="132"/>
      <c r="Z5429" s="146"/>
      <c r="AA5429" s="138">
        <f>AA5428/AA5425</f>
        <v>1.0120664378946131</v>
      </c>
      <c r="AB5429" s="132"/>
      <c r="AC5429" s="146"/>
      <c r="AD5429" s="138">
        <f>AD5428/AD5425</f>
        <v>1.0043939135633799</v>
      </c>
      <c r="AE5429" s="132"/>
      <c r="AF5429" s="146"/>
      <c r="AG5429" s="138">
        <f>AG5428/AG5425</f>
        <v>1.0022239033522924</v>
      </c>
      <c r="AH5429" s="132"/>
      <c r="AI5429" s="146"/>
      <c r="AJ5429" s="138">
        <f>AJ5428/AJ5425</f>
        <v>1.0013770611670272</v>
      </c>
      <c r="AK5429" s="132"/>
      <c r="AL5429" s="146"/>
      <c r="AM5429" s="138">
        <f>AM5428/AM5425</f>
        <v>1.0010007866818915</v>
      </c>
      <c r="AN5429" s="132"/>
      <c r="AO5429" s="146"/>
      <c r="AP5429" s="138">
        <f>AP5428/AP5425</f>
        <v>1.0008037102967984</v>
      </c>
      <c r="AQ5429" s="132"/>
      <c r="AR5429" s="146"/>
      <c r="AS5429" s="138">
        <f>AS5428/AS5425</f>
        <v>1.0006454927453627</v>
      </c>
      <c r="AT5429" s="132"/>
      <c r="AU5429" s="146"/>
    </row>
    <row r="5430" spans="15:47" x14ac:dyDescent="0.25">
      <c r="O5430" s="2" t="s">
        <v>26</v>
      </c>
      <c r="P5430" s="7">
        <v>12</v>
      </c>
      <c r="Q5430" s="2"/>
      <c r="R5430" s="181">
        <f>1-R5429/(3*F_GAMMA*R$29)</f>
        <v>0.25940648829960378</v>
      </c>
      <c r="S5430" s="133"/>
      <c r="T5430" s="146"/>
      <c r="U5430" s="138">
        <f>1-U5429/(3*F_GAMMA*U$29)</f>
        <v>0.16331218465099506</v>
      </c>
      <c r="V5430" s="133"/>
      <c r="W5430" s="146"/>
      <c r="X5430" s="138">
        <f>1-X5429/(3*F_GAMMA*X$29)</f>
        <v>0.44553980171266838</v>
      </c>
      <c r="Y5430" s="133"/>
      <c r="Z5430" s="146"/>
      <c r="AA5430" s="138">
        <f>1-AA5429/(3*F_GAMMA*AA$29)</f>
        <v>0.45778069870394944</v>
      </c>
      <c r="AB5430" s="133"/>
      <c r="AC5430" s="146"/>
      <c r="AD5430" s="138">
        <f>1-AD5429/(3*F_GAMMA*AD$29)</f>
        <v>0.4471374926718058</v>
      </c>
      <c r="AE5430" s="133"/>
      <c r="AF5430" s="146"/>
      <c r="AG5430" s="138">
        <f>1-AG5429/(3*F_GAMMA*AG$29)</f>
        <v>0.41686394554872563</v>
      </c>
      <c r="AH5430" s="133"/>
      <c r="AI5430" s="146"/>
      <c r="AJ5430" s="138">
        <f>1-AJ5429/(3*F_GAMMA*AJ$29)</f>
        <v>0.37714638583985638</v>
      </c>
      <c r="AK5430" s="133"/>
      <c r="AL5430" s="146"/>
      <c r="AM5430" s="138">
        <f>1-AM5429/(3*F_GAMMA*AM$29)</f>
        <v>0.31972480356797439</v>
      </c>
      <c r="AN5430" s="133"/>
      <c r="AO5430" s="146"/>
      <c r="AP5430" s="138">
        <f>1-AP5429/(3*F_GAMMA*AP$29)</f>
        <v>0.43793682761214903</v>
      </c>
      <c r="AQ5430" s="133"/>
      <c r="AR5430" s="146"/>
      <c r="AS5430" s="138">
        <f>1-AS5429/(3*F_GAMMA*AS$29)</f>
        <v>0.14687415709757901</v>
      </c>
      <c r="AT5430" s="133"/>
      <c r="AU5430" s="146"/>
    </row>
    <row r="5431" spans="15:47" x14ac:dyDescent="0.25">
      <c r="O5431" s="2" t="s">
        <v>71</v>
      </c>
      <c r="P5431" s="85">
        <v>5</v>
      </c>
      <c r="Q5431" s="2"/>
      <c r="R5431" s="179">
        <f>R5423/((N_6*R$27*R5430)*SQRT(R5429*R5425*R5427))</f>
        <v>145.45709123339782</v>
      </c>
      <c r="S5431" s="133"/>
      <c r="T5431" s="146"/>
      <c r="U5431" s="143">
        <f>U5423/((N_6*U$27*U5430)*SQRT(U5429*U5425*U5427))</f>
        <v>285.82523817683045</v>
      </c>
      <c r="V5431" s="133"/>
      <c r="W5431" s="146"/>
      <c r="X5431" s="143">
        <f>X5423/((N_6*X$27*X5430)*SQRT(X5429*X5425*X5427))</f>
        <v>26.004619110828155</v>
      </c>
      <c r="Y5431" s="133"/>
      <c r="Z5431" s="146"/>
      <c r="AA5431" s="143">
        <f>AA5423/((N_6*AA$27*AA5430)*SQRT(AA5429*AA5425*AA5427))</f>
        <v>12.404085232123359</v>
      </c>
      <c r="AB5431" s="133"/>
      <c r="AC5431" s="146"/>
      <c r="AD5431" s="143">
        <f>AD5423/((N_6*AD$27*AD5430)*SQRT(AD5429*AD5425*AD5427))</f>
        <v>7.7253720543654874</v>
      </c>
      <c r="AE5431" s="133"/>
      <c r="AF5431" s="146"/>
      <c r="AG5431" s="143">
        <f>AG5423/((N_6*AG$27*AG5430)*SQRT(AG5429*AG5425*AG5427))</f>
        <v>6.0158589530453641</v>
      </c>
      <c r="AH5431" s="133"/>
      <c r="AI5431" s="146"/>
      <c r="AJ5431" s="143">
        <f>AJ5423/((N_6*AJ$27*AJ5430)*SQRT(AJ5429*AJ5425*AJ5427))</f>
        <v>5.4097283458700245</v>
      </c>
      <c r="AK5431" s="133"/>
      <c r="AL5431" s="146"/>
      <c r="AM5431" s="143">
        <f>AM5423/((N_6*AM$27*AM5430)*SQRT(AM5429*AM5425*AM5427))</f>
        <v>5.7730483975068223</v>
      </c>
      <c r="AN5431" s="133"/>
      <c r="AO5431" s="146"/>
      <c r="AP5431" s="143">
        <f>AP5423/((N_6*AP$27*AP5430)*SQRT(AP5429*AP5425*AP5427))</f>
        <v>4.2900273904915887</v>
      </c>
      <c r="AQ5431" s="133"/>
      <c r="AR5431" s="146"/>
      <c r="AS5431" s="143">
        <f>AS5423/((N_6*AS$27*AS5430)*SQRT(AS5429*AS5425*AS5427))</f>
        <v>15.061729407036454</v>
      </c>
      <c r="AT5431" s="133"/>
      <c r="AU5431" s="146"/>
    </row>
    <row r="5432" spans="15:47" x14ac:dyDescent="0.25">
      <c r="O5432" s="2" t="s">
        <v>73</v>
      </c>
      <c r="P5432" s="85">
        <v>5</v>
      </c>
      <c r="Q5432" s="2"/>
      <c r="R5432" s="179">
        <f>R5423/((N_6*R$27*0.667)*SQRT(R5433*R5425*R5427))</f>
        <v>84.321918277871617</v>
      </c>
      <c r="S5432" s="133"/>
      <c r="T5432" s="155"/>
      <c r="U5432" s="143">
        <f>U5423/((N_6*U$27*0.667)*SQRT(U5433*U5425*U5427))</f>
        <v>110.87552217476996</v>
      </c>
      <c r="V5432" s="133"/>
      <c r="W5432" s="155"/>
      <c r="X5432" s="143">
        <f>X5423/((N_6*X$27*0.667)*SQRT(X5433*X5425*X5427))</f>
        <v>22.403041619791217</v>
      </c>
      <c r="Y5432" s="133"/>
      <c r="Z5432" s="155"/>
      <c r="AA5432" s="143">
        <f>AA5423/((N_6*AA$27*0.667)*SQRT(AA5433*AA5425*AA5427))</f>
        <v>10.857866544302452</v>
      </c>
      <c r="AB5432" s="133"/>
      <c r="AC5432" s="155"/>
      <c r="AD5432" s="143">
        <f>AD5423/((N_6*AD$27*0.667)*SQRT(AD5433*AD5425*AD5427))</f>
        <v>6.669662441430205</v>
      </c>
      <c r="AE5432" s="133"/>
      <c r="AF5432" s="155"/>
      <c r="AG5432" s="143">
        <f>AG5423/((N_6*AG$27*0.667)*SQRT(AG5433*AG5425*AG5427))</f>
        <v>4.972922837027137</v>
      </c>
      <c r="AH5432" s="133"/>
      <c r="AI5432" s="155"/>
      <c r="AJ5432" s="143">
        <f>AJ5423/((N_6*AJ$27*0.667)*SQRT(AJ5433*AJ5425*AJ5427))</f>
        <v>4.1813179738751796</v>
      </c>
      <c r="AK5432" s="133"/>
      <c r="AL5432" s="155"/>
      <c r="AM5432" s="143">
        <f>AM5423/((N_6*AM$27*0.667)*SQRT(AM5433*AM5425*AM5427))</f>
        <v>3.9532896844368186</v>
      </c>
      <c r="AN5432" s="133"/>
      <c r="AO5432" s="155"/>
      <c r="AP5432" s="143">
        <f>AP5423/((N_6*AP$27*0.667)*SQRT(AP5433*AP5425*AP5427))</f>
        <v>3.6576225956884287</v>
      </c>
      <c r="AQ5432" s="133"/>
      <c r="AR5432" s="155"/>
      <c r="AS5432" s="143">
        <f>AS5423/((N_6*AS$27*0.667)*SQRT(AS5433*AS5425*AS5427))</f>
        <v>5.3059306649463034</v>
      </c>
      <c r="AT5432" s="133"/>
      <c r="AU5432" s="155"/>
    </row>
    <row r="5433" spans="15:47" ht="15.5" x14ac:dyDescent="0.4">
      <c r="O5433" s="2" t="s">
        <v>192</v>
      </c>
      <c r="P5433" s="85">
        <v>10</v>
      </c>
      <c r="Q5433" s="2"/>
      <c r="R5433" s="181">
        <f>F_GAMMA*R$29</f>
        <v>0.64002688015162901</v>
      </c>
      <c r="S5433" s="133"/>
      <c r="T5433" s="155"/>
      <c r="U5433" s="138">
        <f>F_GAMMA*U$29</f>
        <v>0.64016782916606918</v>
      </c>
      <c r="V5433" s="133"/>
      <c r="W5433" s="155"/>
      <c r="X5433" s="138">
        <f>F_GAMMA*X$29</f>
        <v>0.6307062319203669</v>
      </c>
      <c r="Y5433" s="133"/>
      <c r="Z5433" s="155"/>
      <c r="AA5433" s="138">
        <f>F_GAMMA*AA$29</f>
        <v>0.62217534213893466</v>
      </c>
      <c r="AB5433" s="133"/>
      <c r="AC5433" s="155"/>
      <c r="AD5433" s="138">
        <f>F_GAMMA*AD$29</f>
        <v>0.60557184969146072</v>
      </c>
      <c r="AE5433" s="133"/>
      <c r="AF5433" s="155"/>
      <c r="AG5433" s="138">
        <f>F_GAMMA*AG$29</f>
        <v>0.57289312142622573</v>
      </c>
      <c r="AH5433" s="133"/>
      <c r="AI5433" s="155"/>
      <c r="AJ5433" s="138">
        <f>F_GAMMA*AJ$29</f>
        <v>0.53590819116049981</v>
      </c>
      <c r="AK5433" s="133"/>
      <c r="AL5433" s="155"/>
      <c r="AM5433" s="138">
        <f>F_GAMMA*AM$29</f>
        <v>0.49048815926850342</v>
      </c>
      <c r="AN5433" s="133"/>
      <c r="AO5433" s="155"/>
      <c r="AP5433" s="138">
        <f>F_GAMMA*AP$29</f>
        <v>0.59352979016280105</v>
      </c>
      <c r="AQ5433" s="133"/>
      <c r="AR5433" s="155"/>
      <c r="AS5433" s="138">
        <f>F_GAMMA*AS$29</f>
        <v>0.39097221161068291</v>
      </c>
      <c r="AT5433" s="133"/>
      <c r="AU5433" s="155"/>
    </row>
    <row r="5434" spans="15:47" x14ac:dyDescent="0.25">
      <c r="O5434" s="2" t="s">
        <v>193</v>
      </c>
      <c r="P5434" s="134"/>
      <c r="Q5434" s="2"/>
      <c r="R5434" s="181">
        <f>IF(R5429&lt;R5433,R5431,R5432)</f>
        <v>84.321918277871617</v>
      </c>
      <c r="S5434" s="133"/>
      <c r="T5434" s="155"/>
      <c r="U5434" s="138">
        <f>IF(U5429&lt;U5433,U5431,U5432)</f>
        <v>110.87552217476996</v>
      </c>
      <c r="V5434" s="133"/>
      <c r="W5434" s="155"/>
      <c r="X5434" s="138">
        <f>IF(X5429&lt;X5433,X5431,X5432)</f>
        <v>22.403041619791217</v>
      </c>
      <c r="Y5434" s="133"/>
      <c r="Z5434" s="155"/>
      <c r="AA5434" s="138">
        <f>IF(AA5429&lt;AA5433,AA5431,AA5432)</f>
        <v>10.857866544302452</v>
      </c>
      <c r="AB5434" s="133"/>
      <c r="AC5434" s="155"/>
      <c r="AD5434" s="138">
        <f>IF(AD5429&lt;AD5433,AD5431,AD5432)</f>
        <v>6.669662441430205</v>
      </c>
      <c r="AE5434" s="133"/>
      <c r="AF5434" s="155"/>
      <c r="AG5434" s="138">
        <f>IF(AG5429&lt;AG5433,AG5431,AG5432)</f>
        <v>4.972922837027137</v>
      </c>
      <c r="AH5434" s="133"/>
      <c r="AI5434" s="155"/>
      <c r="AJ5434" s="138">
        <f>IF(AJ5429&lt;AJ5433,AJ5431,AJ5432)</f>
        <v>4.1813179738751796</v>
      </c>
      <c r="AK5434" s="133"/>
      <c r="AL5434" s="155"/>
      <c r="AM5434" s="138">
        <f>IF(AM5429&lt;AM5433,AM5431,AM5432)</f>
        <v>3.9532896844368186</v>
      </c>
      <c r="AN5434" s="133"/>
      <c r="AO5434" s="155"/>
      <c r="AP5434" s="138">
        <f>IF(AP5429&lt;AP5433,AP5431,AP5432)</f>
        <v>3.6576225956884287</v>
      </c>
      <c r="AQ5434" s="133"/>
      <c r="AR5434" s="155"/>
      <c r="AS5434" s="138">
        <f>IF(AS5429&lt;AS5433,AS5431,AS5432)</f>
        <v>5.3059306649463034</v>
      </c>
      <c r="AT5434" s="133"/>
      <c r="AU5434" s="155"/>
    </row>
    <row r="5435" spans="15:47" ht="13" x14ac:dyDescent="0.3">
      <c r="O5435" s="9" t="s">
        <v>194</v>
      </c>
      <c r="P5435" s="1"/>
      <c r="Q5435" s="1"/>
      <c r="R5435" s="135"/>
      <c r="S5435" s="132">
        <f>IF(R5428&lt;=0,W_max,ABS(R$23-R5434))</f>
        <v>7174</v>
      </c>
      <c r="T5435" s="151">
        <f>R5423</f>
        <v>23435.359230196587</v>
      </c>
      <c r="U5435" s="135"/>
      <c r="V5435" s="132">
        <f>IF(U5428&lt;=0,W_max,ABS(U$23-U5434))</f>
        <v>7174</v>
      </c>
      <c r="W5435" s="151">
        <f>U5423</f>
        <v>21417.388394070425</v>
      </c>
      <c r="X5435" s="135"/>
      <c r="Y5435" s="132">
        <f>IF(X5428&lt;=0,W_max,ABS(X$23-X5434))</f>
        <v>7174</v>
      </c>
      <c r="Z5435" s="151">
        <f>X5423</f>
        <v>52967.750197631613</v>
      </c>
      <c r="AA5435" s="135"/>
      <c r="AB5435" s="132">
        <f>IF(AA5428&lt;=0,W_max,ABS(AA$23-AA5434))</f>
        <v>7174</v>
      </c>
      <c r="AC5435" s="151">
        <f>AA5423</f>
        <v>103167.65760969311</v>
      </c>
      <c r="AD5435" s="135"/>
      <c r="AE5435" s="132">
        <f>IF(AD5428&lt;=0,W_max,ABS(AD$23-AD5434))</f>
        <v>7174</v>
      </c>
      <c r="AF5435" s="151">
        <f>AD5423</f>
        <v>169672.81268999554</v>
      </c>
      <c r="AG5435" s="135"/>
      <c r="AH5435" s="132">
        <f>IF(AG5428&lt;=0,W_max,ABS(AG$23-AG5434))</f>
        <v>7174</v>
      </c>
      <c r="AI5435" s="151">
        <f>AG5423</f>
        <v>237979.18225764838</v>
      </c>
      <c r="AJ5435" s="135"/>
      <c r="AK5435" s="132">
        <f>IF(AJ5428&lt;=0,W_max,ABS(AJ$23-AJ5434))</f>
        <v>7174</v>
      </c>
      <c r="AL5435" s="151">
        <f>AJ5423</f>
        <v>302170.41334182781</v>
      </c>
      <c r="AM5435" s="135"/>
      <c r="AN5435" s="132">
        <f>IF(AM5428&lt;=0,W_max,ABS(AM$23-AM5434))</f>
        <v>7174</v>
      </c>
      <c r="AO5435" s="151">
        <f>AM5423</f>
        <v>354318.57381239434</v>
      </c>
      <c r="AP5435" s="135"/>
      <c r="AQ5435" s="132">
        <f>IF(AP5428&lt;=0,W_max,ABS(AP$23-AP5434))</f>
        <v>7174</v>
      </c>
      <c r="AR5435" s="151">
        <f>AP5423</f>
        <v>395302.01743808703</v>
      </c>
      <c r="AS5435" s="135"/>
      <c r="AT5435" s="132">
        <f>IF(AS5428&lt;=0,W_max,ABS(AS$23-AS5434))</f>
        <v>7174</v>
      </c>
      <c r="AU5435" s="151">
        <f>AS5423</f>
        <v>441025.9482286147</v>
      </c>
    </row>
    <row r="5436" spans="15:47" ht="13" x14ac:dyDescent="0.25">
      <c r="O5436" s="2"/>
      <c r="P5436" s="85"/>
      <c r="Q5436" s="2"/>
      <c r="R5436" s="18"/>
      <c r="S5436" s="150"/>
      <c r="T5436" s="152"/>
      <c r="U5436" s="157"/>
      <c r="V5436" s="1"/>
      <c r="W5436" s="147"/>
      <c r="X5436" s="157"/>
      <c r="Y5436" s="1"/>
      <c r="Z5436" s="147"/>
      <c r="AA5436" s="157"/>
      <c r="AB5436" s="1"/>
      <c r="AC5436" s="147"/>
      <c r="AD5436" s="157"/>
      <c r="AE5436" s="1"/>
      <c r="AF5436" s="147"/>
      <c r="AG5436" s="157"/>
      <c r="AH5436" s="1"/>
      <c r="AI5436" s="147"/>
      <c r="AJ5436" s="157"/>
      <c r="AK5436" s="1"/>
      <c r="AL5436" s="147"/>
      <c r="AM5436" s="157"/>
      <c r="AN5436" s="1"/>
      <c r="AO5436" s="147"/>
      <c r="AP5436" s="157"/>
      <c r="AQ5436" s="1"/>
      <c r="AR5436" s="147"/>
      <c r="AS5436" s="157"/>
      <c r="AT5436" s="1"/>
      <c r="AU5436" s="147"/>
    </row>
    <row r="5437" spans="15:47" ht="14" x14ac:dyDescent="0.3">
      <c r="O5437" s="23" t="s">
        <v>238</v>
      </c>
      <c r="P5437" s="20"/>
      <c r="Q5437" s="20"/>
      <c r="R5437" s="181">
        <f>R5423*1.02</f>
        <v>23904.06641480052</v>
      </c>
      <c r="S5437" s="128" t="s">
        <v>185</v>
      </c>
      <c r="T5437" s="153" t="s">
        <v>186</v>
      </c>
      <c r="U5437" s="143">
        <f>U5423*1.01</f>
        <v>21631.56227801113</v>
      </c>
      <c r="V5437" s="128" t="s">
        <v>185</v>
      </c>
      <c r="W5437" s="153" t="s">
        <v>186</v>
      </c>
      <c r="X5437" s="143">
        <f>X5423*1.01</f>
        <v>53497.427699607928</v>
      </c>
      <c r="Y5437" s="128" t="s">
        <v>185</v>
      </c>
      <c r="Z5437" s="153" t="s">
        <v>186</v>
      </c>
      <c r="AA5437" s="143">
        <f>AA5423*1.01</f>
        <v>104199.33418579004</v>
      </c>
      <c r="AB5437" s="128" t="s">
        <v>185</v>
      </c>
      <c r="AC5437" s="153" t="s">
        <v>186</v>
      </c>
      <c r="AD5437" s="143">
        <f>AD5423*1.01</f>
        <v>171369.54081689549</v>
      </c>
      <c r="AE5437" s="128" t="s">
        <v>185</v>
      </c>
      <c r="AF5437" s="153" t="s">
        <v>186</v>
      </c>
      <c r="AG5437" s="143">
        <f>AG5423*1.01</f>
        <v>240358.97408022487</v>
      </c>
      <c r="AH5437" s="128" t="s">
        <v>185</v>
      </c>
      <c r="AI5437" s="153" t="s">
        <v>186</v>
      </c>
      <c r="AJ5437" s="143">
        <f>AJ5423*1.01</f>
        <v>305192.11747524608</v>
      </c>
      <c r="AK5437" s="128" t="s">
        <v>185</v>
      </c>
      <c r="AL5437" s="153" t="s">
        <v>186</v>
      </c>
      <c r="AM5437" s="143">
        <f>AM5423*1.01</f>
        <v>357861.7595505183</v>
      </c>
      <c r="AN5437" s="128" t="s">
        <v>185</v>
      </c>
      <c r="AO5437" s="153" t="s">
        <v>186</v>
      </c>
      <c r="AP5437" s="143">
        <f>AP5423*1.01</f>
        <v>399255.03761246789</v>
      </c>
      <c r="AQ5437" s="128" t="s">
        <v>185</v>
      </c>
      <c r="AR5437" s="153" t="s">
        <v>186</v>
      </c>
      <c r="AS5437" s="143">
        <f>AS5423*1.01</f>
        <v>445436.20771090087</v>
      </c>
      <c r="AT5437" s="128" t="s">
        <v>185</v>
      </c>
      <c r="AU5437" s="153" t="s">
        <v>186</v>
      </c>
    </row>
    <row r="5438" spans="15:47" ht="14" x14ac:dyDescent="0.3">
      <c r="O5438" s="20"/>
      <c r="P5438" s="20"/>
      <c r="Q5438" s="23"/>
      <c r="R5438" s="139"/>
      <c r="S5438" s="130" t="s">
        <v>228</v>
      </c>
      <c r="T5438" s="154" t="s">
        <v>187</v>
      </c>
      <c r="U5438" s="144"/>
      <c r="V5438" s="130" t="s">
        <v>228</v>
      </c>
      <c r="W5438" s="154" t="s">
        <v>187</v>
      </c>
      <c r="X5438" s="144"/>
      <c r="Y5438" s="130" t="s">
        <v>228</v>
      </c>
      <c r="Z5438" s="154" t="s">
        <v>187</v>
      </c>
      <c r="AA5438" s="144"/>
      <c r="AB5438" s="130" t="s">
        <v>228</v>
      </c>
      <c r="AC5438" s="154" t="s">
        <v>187</v>
      </c>
      <c r="AD5438" s="144"/>
      <c r="AE5438" s="130" t="s">
        <v>228</v>
      </c>
      <c r="AF5438" s="154" t="s">
        <v>187</v>
      </c>
      <c r="AG5438" s="144"/>
      <c r="AH5438" s="130" t="s">
        <v>228</v>
      </c>
      <c r="AI5438" s="154" t="s">
        <v>187</v>
      </c>
      <c r="AJ5438" s="144"/>
      <c r="AK5438" s="130" t="s">
        <v>228</v>
      </c>
      <c r="AL5438" s="154" t="s">
        <v>187</v>
      </c>
      <c r="AM5438" s="144"/>
      <c r="AN5438" s="130" t="s">
        <v>228</v>
      </c>
      <c r="AO5438" s="154" t="s">
        <v>187</v>
      </c>
      <c r="AP5438" s="144"/>
      <c r="AQ5438" s="130" t="s">
        <v>228</v>
      </c>
      <c r="AR5438" s="154" t="s">
        <v>187</v>
      </c>
      <c r="AS5438" s="144"/>
      <c r="AT5438" s="130" t="s">
        <v>228</v>
      </c>
      <c r="AU5438" s="154" t="s">
        <v>187</v>
      </c>
    </row>
    <row r="5439" spans="15:47" x14ac:dyDescent="0.25">
      <c r="O5439" s="7" t="s">
        <v>188</v>
      </c>
      <c r="P5439" s="7"/>
      <c r="Q5439" s="7"/>
      <c r="R5439" s="181">
        <f>P_1_minW-(R5437^2*R_up)+dpup_minQ</f>
        <v>-127.33147768045033</v>
      </c>
      <c r="S5439" s="132"/>
      <c r="T5439" s="145"/>
      <c r="U5439" s="138">
        <f>P_1_minW-(U5437^2*R_up)+dpup_minQ</f>
        <v>-86.067640888677474</v>
      </c>
      <c r="V5439" s="132"/>
      <c r="W5439" s="145"/>
      <c r="X5439" s="138">
        <f>P_1_minW-(X5437^2*R_up)+dpup_minQ</f>
        <v>-1040.7235288184593</v>
      </c>
      <c r="Y5439" s="132"/>
      <c r="Z5439" s="145"/>
      <c r="AA5439" s="138">
        <f>P_1_minW-(AA5437^2*R_up)+dpup_minQ</f>
        <v>-4229.0343496683745</v>
      </c>
      <c r="AB5439" s="132"/>
      <c r="AC5439" s="145"/>
      <c r="AD5439" s="138">
        <f>P_1_minW-(AD5437^2*R_up)+dpup_minQ</f>
        <v>-11610.123231082469</v>
      </c>
      <c r="AE5439" s="132"/>
      <c r="AF5439" s="145"/>
      <c r="AG5439" s="138">
        <f>P_1_minW-(AG5437^2*R_up)+dpup_minQ</f>
        <v>-22936.920060831999</v>
      </c>
      <c r="AH5439" s="132"/>
      <c r="AI5439" s="145"/>
      <c r="AJ5439" s="138">
        <f>P_1_minW-(AJ5437^2*R_up)+dpup_minQ</f>
        <v>-37041.043335232993</v>
      </c>
      <c r="AK5439" s="132"/>
      <c r="AL5439" s="145"/>
      <c r="AM5439" s="138">
        <f>P_1_minW-(AM5437^2*R_up)+dpup_minQ</f>
        <v>-50966.927338711939</v>
      </c>
      <c r="AN5439" s="132"/>
      <c r="AO5439" s="145"/>
      <c r="AP5439" s="138">
        <f>P_1_minW-(AP5437^2*R_up)+dpup_minQ</f>
        <v>-63463.942301448413</v>
      </c>
      <c r="AQ5439" s="132"/>
      <c r="AR5439" s="145"/>
      <c r="AS5439" s="138">
        <f>P_1_minW-(AS5437^2*R_up)+dpup_minQ</f>
        <v>-79019.175025111079</v>
      </c>
      <c r="AT5439" s="132"/>
      <c r="AU5439" s="145"/>
    </row>
    <row r="5440" spans="15:47" x14ac:dyDescent="0.25">
      <c r="O5440" s="7" t="s">
        <v>189</v>
      </c>
      <c r="P5440" s="1"/>
      <c r="Q5440" s="7"/>
      <c r="R5440" s="181">
        <f>P_2_minW+(R5437^2*R_dn)-dpdn_minQ</f>
        <v>50</v>
      </c>
      <c r="S5440" s="132"/>
      <c r="T5440" s="146"/>
      <c r="U5440" s="138">
        <f>P_2_minW+(U5437^2*R_dn)-dpdn_minQ</f>
        <v>50</v>
      </c>
      <c r="V5440" s="132"/>
      <c r="W5440" s="146"/>
      <c r="X5440" s="138">
        <f>P_2_minW+(X5437^2*R_dn)-dpdn_minQ</f>
        <v>50</v>
      </c>
      <c r="Y5440" s="132"/>
      <c r="Z5440" s="146"/>
      <c r="AA5440" s="138">
        <f>P_2_minW+(AA5437^2*R_dn)-dpdn_minQ</f>
        <v>50</v>
      </c>
      <c r="AB5440" s="132"/>
      <c r="AC5440" s="146"/>
      <c r="AD5440" s="138">
        <f>P_2_minW+(AD5437^2*R_dn)-dpdn_minQ</f>
        <v>50</v>
      </c>
      <c r="AE5440" s="132"/>
      <c r="AF5440" s="146"/>
      <c r="AG5440" s="138">
        <f>P_2_minW+(AG5437^2*R_dn)-dpdn_minQ</f>
        <v>50</v>
      </c>
      <c r="AH5440" s="132"/>
      <c r="AI5440" s="146"/>
      <c r="AJ5440" s="138">
        <f>P_2_minW+(AJ5437^2*R_dn)-dpdn_minQ</f>
        <v>50</v>
      </c>
      <c r="AK5440" s="132"/>
      <c r="AL5440" s="146"/>
      <c r="AM5440" s="138">
        <f>P_2_minW+(AM5437^2*R_dn)-dpdn_minQ</f>
        <v>50</v>
      </c>
      <c r="AN5440" s="132"/>
      <c r="AO5440" s="146"/>
      <c r="AP5440" s="138">
        <f>P_2_minW+(AP5437^2*R_dn)-dpdn_minQ</f>
        <v>50</v>
      </c>
      <c r="AQ5440" s="132"/>
      <c r="AR5440" s="146"/>
      <c r="AS5440" s="138">
        <f>P_2_minW+(AS5437^2*R_dn)-dpdn_minQ</f>
        <v>50</v>
      </c>
      <c r="AT5440" s="132"/>
      <c r="AU5440" s="146"/>
    </row>
    <row r="5441" spans="15:47" x14ac:dyDescent="0.25">
      <c r="O5441" s="7" t="s">
        <v>234</v>
      </c>
      <c r="P5441" s="1"/>
      <c r="Q5441" s="7"/>
      <c r="R5441" s="179">
        <f>'Valve Sizing'!G$8*R5439/P_1_maxW</f>
        <v>-0.61422437835817978</v>
      </c>
      <c r="S5441" s="132"/>
      <c r="T5441" s="146"/>
      <c r="U5441" s="143">
        <f>'Valve Sizing'!$G$8*U5439/P_1_maxW</f>
        <v>-0.41517497624799427</v>
      </c>
      <c r="V5441" s="132"/>
      <c r="W5441" s="146"/>
      <c r="X5441" s="143">
        <f>'Valve Sizing'!$G$8*X5439/P_1_maxW</f>
        <v>-5.0202650136164548</v>
      </c>
      <c r="Y5441" s="132"/>
      <c r="Z5441" s="146"/>
      <c r="AA5441" s="143">
        <f>'Valve Sizing'!$G$8*AA5439/P_1_maxW</f>
        <v>-20.400108769642134</v>
      </c>
      <c r="AB5441" s="132"/>
      <c r="AC5441" s="146"/>
      <c r="AD5441" s="143">
        <f>'Valve Sizing'!$G$8*AD5439/P_1_maxW</f>
        <v>-56.005167411705713</v>
      </c>
      <c r="AE5441" s="132"/>
      <c r="AF5441" s="146"/>
      <c r="AG5441" s="143">
        <f>'Valve Sizing'!$G$8*AG5439/P_1_maxW</f>
        <v>-110.64361870653798</v>
      </c>
      <c r="AH5441" s="132"/>
      <c r="AI5441" s="146"/>
      <c r="AJ5441" s="143">
        <f>'Valve Sizing'!$G$8*AJ5439/P_1_maxW</f>
        <v>-178.67939829787278</v>
      </c>
      <c r="AK5441" s="132"/>
      <c r="AL5441" s="146"/>
      <c r="AM5441" s="143">
        <f>'Valve Sizing'!$G$8*AM5439/P_1_maxW</f>
        <v>-245.85538337982589</v>
      </c>
      <c r="AN5441" s="132"/>
      <c r="AO5441" s="146"/>
      <c r="AP5441" s="143">
        <f>'Valve Sizing'!$G$8*AP5439/P_1_maxW</f>
        <v>-306.13875860369012</v>
      </c>
      <c r="AQ5441" s="132"/>
      <c r="AR5441" s="146"/>
      <c r="AS5441" s="143">
        <f>'Valve Sizing'!$G$8*AS5439/P_1_maxW</f>
        <v>-381.17443182414974</v>
      </c>
      <c r="AT5441" s="132"/>
      <c r="AU5441" s="146"/>
    </row>
    <row r="5442" spans="15:47" x14ac:dyDescent="0.25">
      <c r="O5442" s="7" t="s">
        <v>190</v>
      </c>
      <c r="P5442" s="1"/>
      <c r="Q5442" s="7"/>
      <c r="R5442" s="181">
        <f>R5439-R5440</f>
        <v>-177.33147768045035</v>
      </c>
      <c r="S5442" s="132"/>
      <c r="T5442" s="146"/>
      <c r="U5442" s="138">
        <f>U5439-U5440</f>
        <v>-136.06764088867749</v>
      </c>
      <c r="V5442" s="132"/>
      <c r="W5442" s="146"/>
      <c r="X5442" s="138">
        <f>X5439-X5440</f>
        <v>-1090.7235288184593</v>
      </c>
      <c r="Y5442" s="132"/>
      <c r="Z5442" s="146"/>
      <c r="AA5442" s="138">
        <f>AA5439-AA5440</f>
        <v>-4279.0343496683745</v>
      </c>
      <c r="AB5442" s="132"/>
      <c r="AC5442" s="146"/>
      <c r="AD5442" s="138">
        <f>AD5439-AD5440</f>
        <v>-11660.123231082469</v>
      </c>
      <c r="AE5442" s="132"/>
      <c r="AF5442" s="146"/>
      <c r="AG5442" s="138">
        <f>AG5439-AG5440</f>
        <v>-22986.920060831999</v>
      </c>
      <c r="AH5442" s="132"/>
      <c r="AI5442" s="146"/>
      <c r="AJ5442" s="138">
        <f>AJ5439-AJ5440</f>
        <v>-37091.043335232993</v>
      </c>
      <c r="AK5442" s="132"/>
      <c r="AL5442" s="146"/>
      <c r="AM5442" s="138">
        <f>AM5439-AM5440</f>
        <v>-51016.927338711939</v>
      </c>
      <c r="AN5442" s="132"/>
      <c r="AO5442" s="146"/>
      <c r="AP5442" s="138">
        <f>AP5439-AP5440</f>
        <v>-63513.942301448413</v>
      </c>
      <c r="AQ5442" s="132"/>
      <c r="AR5442" s="146"/>
      <c r="AS5442" s="138">
        <f>AS5439-AS5440</f>
        <v>-79069.175025111079</v>
      </c>
      <c r="AT5442" s="132"/>
      <c r="AU5442" s="146"/>
    </row>
    <row r="5443" spans="15:47" ht="14.5" x14ac:dyDescent="0.35">
      <c r="O5443" s="2" t="s">
        <v>191</v>
      </c>
      <c r="P5443" s="10"/>
      <c r="Q5443" s="2"/>
      <c r="R5443" s="181">
        <f>R5442/R5439</f>
        <v>1.3926758796083358</v>
      </c>
      <c r="S5443" s="132"/>
      <c r="T5443" s="146"/>
      <c r="U5443" s="138">
        <f>U5442/U5439</f>
        <v>1.5809384280053818</v>
      </c>
      <c r="V5443" s="132"/>
      <c r="W5443" s="146"/>
      <c r="X5443" s="138">
        <f>X5442/X5439</f>
        <v>1.0480434991767364</v>
      </c>
      <c r="Y5443" s="132"/>
      <c r="Z5443" s="146"/>
      <c r="AA5443" s="138">
        <f>AA5442/AA5439</f>
        <v>1.0118230300030362</v>
      </c>
      <c r="AB5443" s="132"/>
      <c r="AC5443" s="146"/>
      <c r="AD5443" s="138">
        <f>AD5442/AD5439</f>
        <v>1.0043065865025567</v>
      </c>
      <c r="AE5443" s="132"/>
      <c r="AF5443" s="146"/>
      <c r="AG5443" s="138">
        <f>AG5442/AG5439</f>
        <v>1.0021798916274458</v>
      </c>
      <c r="AH5443" s="132"/>
      <c r="AI5443" s="146"/>
      <c r="AJ5443" s="138">
        <f>AJ5442/AJ5439</f>
        <v>1.0013498539862251</v>
      </c>
      <c r="AK5443" s="132"/>
      <c r="AL5443" s="146"/>
      <c r="AM5443" s="138">
        <f>AM5442/AM5439</f>
        <v>1.0009810283376064</v>
      </c>
      <c r="AN5443" s="132"/>
      <c r="AO5443" s="146"/>
      <c r="AP5443" s="138">
        <f>AP5442/AP5439</f>
        <v>1.0007878489451931</v>
      </c>
      <c r="AQ5443" s="132"/>
      <c r="AR5443" s="146"/>
      <c r="AS5443" s="138">
        <f>AS5442/AS5439</f>
        <v>1.0006327578082677</v>
      </c>
      <c r="AT5443" s="132"/>
      <c r="AU5443" s="146"/>
    </row>
    <row r="5444" spans="15:47" x14ac:dyDescent="0.25">
      <c r="O5444" s="2" t="s">
        <v>26</v>
      </c>
      <c r="P5444" s="7">
        <v>12</v>
      </c>
      <c r="Q5444" s="2"/>
      <c r="R5444" s="181">
        <f>1-R5443/(3*F_GAMMA*R$29)</f>
        <v>0.27467844304789379</v>
      </c>
      <c r="S5444" s="133"/>
      <c r="T5444" s="146"/>
      <c r="U5444" s="138">
        <f>1-U5443/(3*F_GAMMA*U$29)</f>
        <v>0.17681043627531701</v>
      </c>
      <c r="V5444" s="133"/>
      <c r="W5444" s="146"/>
      <c r="X5444" s="138">
        <f>1-X5443/(3*F_GAMMA*X$29)</f>
        <v>0.44610055303366514</v>
      </c>
      <c r="Y5444" s="133"/>
      <c r="Z5444" s="146"/>
      <c r="AA5444" s="138">
        <f>1-AA5443/(3*F_GAMMA*AA$29)</f>
        <v>0.45791110561396942</v>
      </c>
      <c r="AB5444" s="133"/>
      <c r="AC5444" s="146"/>
      <c r="AD5444" s="138">
        <f>1-AD5443/(3*F_GAMMA*AD$29)</f>
        <v>0.44718556132012433</v>
      </c>
      <c r="AE5444" s="133"/>
      <c r="AF5444" s="146"/>
      <c r="AG5444" s="138">
        <f>1-AG5443/(3*F_GAMMA*AG$29)</f>
        <v>0.41688955342286516</v>
      </c>
      <c r="AH5444" s="133"/>
      <c r="AI5444" s="146"/>
      <c r="AJ5444" s="138">
        <f>1-AJ5443/(3*F_GAMMA*AJ$29)</f>
        <v>0.37716330862703706</v>
      </c>
      <c r="AK5444" s="133"/>
      <c r="AL5444" s="146"/>
      <c r="AM5444" s="138">
        <f>1-AM5443/(3*F_GAMMA*AM$29)</f>
        <v>0.31973823124127754</v>
      </c>
      <c r="AN5444" s="133"/>
      <c r="AO5444" s="146"/>
      <c r="AP5444" s="138">
        <f>1-AP5443/(3*F_GAMMA*AP$29)</f>
        <v>0.43794573553436178</v>
      </c>
      <c r="AQ5444" s="133"/>
      <c r="AR5444" s="146"/>
      <c r="AS5444" s="138">
        <f>1-AS5443/(3*F_GAMMA*AS$29)</f>
        <v>0.146885014593088</v>
      </c>
      <c r="AT5444" s="133"/>
      <c r="AU5444" s="146"/>
    </row>
    <row r="5445" spans="15:47" x14ac:dyDescent="0.25">
      <c r="O5445" s="2" t="s">
        <v>71</v>
      </c>
      <c r="P5445" s="85">
        <v>5</v>
      </c>
      <c r="Q5445" s="2"/>
      <c r="R5445" s="179">
        <f>R5437/((N_6*R$27*R5444)*SQRT(R5443*R5439*R5441))</f>
        <v>131.74632758176475</v>
      </c>
      <c r="S5445" s="133"/>
      <c r="T5445" s="146"/>
      <c r="U5445" s="143">
        <f>U5437/((N_6*U$27*U5444)*SQRT(U5443*U5439*U5441))</f>
        <v>257.33845601396808</v>
      </c>
      <c r="V5445" s="133"/>
      <c r="W5445" s="146"/>
      <c r="X5445" s="143">
        <f>X5437/((N_6*X$27*X5444)*SQRT(X5443*X5439*X5441))</f>
        <v>25.677847334445445</v>
      </c>
      <c r="Y5445" s="133"/>
      <c r="Z5445" s="146"/>
      <c r="AA5445" s="143">
        <f>AA5437/((N_6*AA$27*AA5444)*SQRT(AA5443*AA5439*AA5441))</f>
        <v>12.273385006212195</v>
      </c>
      <c r="AB5445" s="133"/>
      <c r="AC5445" s="146"/>
      <c r="AD5445" s="143">
        <f>AD5437/((N_6*AD$27*AD5444)*SQRT(AD5443*AD5439*AD5441))</f>
        <v>7.6470624855384353</v>
      </c>
      <c r="AE5445" s="133"/>
      <c r="AF5445" s="146"/>
      <c r="AG5445" s="143">
        <f>AG5437/((N_6*AG$27*AG5444)*SQRT(AG5443*AG5439*AG5441))</f>
        <v>5.9555362322629737</v>
      </c>
      <c r="AH5445" s="133"/>
      <c r="AI5445" s="146"/>
      <c r="AJ5445" s="143">
        <f>AJ5437/((N_6*AJ$27*AJ5444)*SQRT(AJ5443*AJ5439*AJ5441))</f>
        <v>5.3557069584764356</v>
      </c>
      <c r="AK5445" s="133"/>
      <c r="AL5445" s="146"/>
      <c r="AM5445" s="143">
        <f>AM5437/((N_6*AM$27*AM5444)*SQRT(AM5443*AM5439*AM5441))</f>
        <v>5.7154792785520625</v>
      </c>
      <c r="AN5445" s="133"/>
      <c r="AO5445" s="146"/>
      <c r="AP5445" s="143">
        <f>AP5437/((N_6*AP$27*AP5444)*SQRT(AP5443*AP5439*AP5441))</f>
        <v>4.2473639060976804</v>
      </c>
      <c r="AQ5445" s="133"/>
      <c r="AR5445" s="146"/>
      <c r="AS5445" s="143">
        <f>AS5437/((N_6*AS$27*AS5444)*SQRT(AS5443*AS5439*AS5441))</f>
        <v>14.911214659494382</v>
      </c>
      <c r="AT5445" s="133"/>
      <c r="AU5445" s="146"/>
    </row>
    <row r="5446" spans="15:47" x14ac:dyDescent="0.25">
      <c r="O5446" s="2" t="s">
        <v>73</v>
      </c>
      <c r="P5446" s="85">
        <v>5</v>
      </c>
      <c r="Q5446" s="2"/>
      <c r="R5446" s="179">
        <f>R5437/((N_6*R$27*0.667)*SQRT(R5447*R5439*R5441))</f>
        <v>80.031909907840827</v>
      </c>
      <c r="S5446" s="133"/>
      <c r="T5446" s="155"/>
      <c r="U5446" s="143">
        <f>U5437/((N_6*U$27*0.667)*SQRT(U5447*U5439*U5441))</f>
        <v>107.20062270317139</v>
      </c>
      <c r="V5446" s="133"/>
      <c r="W5446" s="155"/>
      <c r="X5446" s="143">
        <f>X5437/((N_6*X$27*0.667)*SQRT(X5447*X5439*X5441))</f>
        <v>22.138165678630561</v>
      </c>
      <c r="Y5446" s="133"/>
      <c r="Z5446" s="155"/>
      <c r="AA5446" s="143">
        <f>AA5437/((N_6*AA$27*0.667)*SQRT(AA5447*AA5439*AA5441))</f>
        <v>10.745226708485035</v>
      </c>
      <c r="AB5446" s="133"/>
      <c r="AC5446" s="155"/>
      <c r="AD5446" s="143">
        <f>AD5437/((N_6*AD$27*0.667)*SQRT(AD5447*AD5439*AD5441))</f>
        <v>6.6024769515552384</v>
      </c>
      <c r="AE5446" s="133"/>
      <c r="AF5446" s="155"/>
      <c r="AG5446" s="143">
        <f>AG5437/((N_6*AG$27*0.667)*SQRT(AG5447*AG5439*AG5441))</f>
        <v>4.9232522508891439</v>
      </c>
      <c r="AH5446" s="133"/>
      <c r="AI5446" s="155"/>
      <c r="AJ5446" s="143">
        <f>AJ5437/((N_6*AJ$27*0.667)*SQRT(AJ5447*AJ5439*AJ5441))</f>
        <v>4.1396929624871577</v>
      </c>
      <c r="AK5446" s="133"/>
      <c r="AL5446" s="155"/>
      <c r="AM5446" s="143">
        <f>AM5437/((N_6*AM$27*0.667)*SQRT(AM5447*AM5439*AM5441))</f>
        <v>3.9139930318300884</v>
      </c>
      <c r="AN5446" s="133"/>
      <c r="AO5446" s="155"/>
      <c r="AP5446" s="143">
        <f>AP5437/((N_6*AP$27*0.667)*SQRT(AP5447*AP5439*AP5441))</f>
        <v>3.6212932154299531</v>
      </c>
      <c r="AQ5446" s="133"/>
      <c r="AR5446" s="155"/>
      <c r="AS5446" s="143">
        <f>AS5437/((N_6*AS$27*0.667)*SQRT(AS5447*AS5439*AS5441))</f>
        <v>5.2532623694302716</v>
      </c>
      <c r="AT5446" s="133"/>
      <c r="AU5446" s="155"/>
    </row>
    <row r="5447" spans="15:47" ht="15.5" x14ac:dyDescent="0.4">
      <c r="O5447" s="2" t="s">
        <v>192</v>
      </c>
      <c r="P5447" s="85">
        <v>10</v>
      </c>
      <c r="Q5447" s="2"/>
      <c r="R5447" s="181">
        <f>F_GAMMA*R$29</f>
        <v>0.64002688015162901</v>
      </c>
      <c r="S5447" s="133"/>
      <c r="T5447" s="155"/>
      <c r="U5447" s="138">
        <f>F_GAMMA*U$29</f>
        <v>0.64016782916606918</v>
      </c>
      <c r="V5447" s="133"/>
      <c r="W5447" s="155"/>
      <c r="X5447" s="138">
        <f>F_GAMMA*X$29</f>
        <v>0.6307062319203669</v>
      </c>
      <c r="Y5447" s="133"/>
      <c r="Z5447" s="155"/>
      <c r="AA5447" s="138">
        <f>F_GAMMA*AA$29</f>
        <v>0.62217534213893466</v>
      </c>
      <c r="AB5447" s="133"/>
      <c r="AC5447" s="155"/>
      <c r="AD5447" s="138">
        <f>F_GAMMA*AD$29</f>
        <v>0.60557184969146072</v>
      </c>
      <c r="AE5447" s="133"/>
      <c r="AF5447" s="155"/>
      <c r="AG5447" s="138">
        <f>F_GAMMA*AG$29</f>
        <v>0.57289312142622573</v>
      </c>
      <c r="AH5447" s="133"/>
      <c r="AI5447" s="155"/>
      <c r="AJ5447" s="138">
        <f>F_GAMMA*AJ$29</f>
        <v>0.53590819116049981</v>
      </c>
      <c r="AK5447" s="133"/>
      <c r="AL5447" s="155"/>
      <c r="AM5447" s="138">
        <f>F_GAMMA*AM$29</f>
        <v>0.49048815926850342</v>
      </c>
      <c r="AN5447" s="133"/>
      <c r="AO5447" s="155"/>
      <c r="AP5447" s="138">
        <f>F_GAMMA*AP$29</f>
        <v>0.59352979016280105</v>
      </c>
      <c r="AQ5447" s="133"/>
      <c r="AR5447" s="155"/>
      <c r="AS5447" s="138">
        <f>F_GAMMA*AS$29</f>
        <v>0.39097221161068291</v>
      </c>
      <c r="AT5447" s="133"/>
      <c r="AU5447" s="155"/>
    </row>
    <row r="5448" spans="15:47" x14ac:dyDescent="0.25">
      <c r="O5448" s="2" t="s">
        <v>193</v>
      </c>
      <c r="P5448" s="134"/>
      <c r="Q5448" s="2"/>
      <c r="R5448" s="181">
        <f>IF(R5443&lt;R5447,R5445,R5446)</f>
        <v>80.031909907840827</v>
      </c>
      <c r="S5448" s="133"/>
      <c r="T5448" s="155"/>
      <c r="U5448" s="138">
        <f>IF(U5443&lt;U5447,U5445,U5446)</f>
        <v>107.20062270317139</v>
      </c>
      <c r="V5448" s="133"/>
      <c r="W5448" s="155"/>
      <c r="X5448" s="138">
        <f>IF(X5443&lt;X5447,X5445,X5446)</f>
        <v>22.138165678630561</v>
      </c>
      <c r="Y5448" s="133"/>
      <c r="Z5448" s="155"/>
      <c r="AA5448" s="138">
        <f>IF(AA5443&lt;AA5447,AA5445,AA5446)</f>
        <v>10.745226708485035</v>
      </c>
      <c r="AB5448" s="133"/>
      <c r="AC5448" s="155"/>
      <c r="AD5448" s="138">
        <f>IF(AD5443&lt;AD5447,AD5445,AD5446)</f>
        <v>6.6024769515552384</v>
      </c>
      <c r="AE5448" s="133"/>
      <c r="AF5448" s="155"/>
      <c r="AG5448" s="138">
        <f>IF(AG5443&lt;AG5447,AG5445,AG5446)</f>
        <v>4.9232522508891439</v>
      </c>
      <c r="AH5448" s="133"/>
      <c r="AI5448" s="155"/>
      <c r="AJ5448" s="138">
        <f>IF(AJ5443&lt;AJ5447,AJ5445,AJ5446)</f>
        <v>4.1396929624871577</v>
      </c>
      <c r="AK5448" s="133"/>
      <c r="AL5448" s="155"/>
      <c r="AM5448" s="138">
        <f>IF(AM5443&lt;AM5447,AM5445,AM5446)</f>
        <v>3.9139930318300884</v>
      </c>
      <c r="AN5448" s="133"/>
      <c r="AO5448" s="155"/>
      <c r="AP5448" s="138">
        <f>IF(AP5443&lt;AP5447,AP5445,AP5446)</f>
        <v>3.6212932154299531</v>
      </c>
      <c r="AQ5448" s="133"/>
      <c r="AR5448" s="155"/>
      <c r="AS5448" s="138">
        <f>IF(AS5443&lt;AS5447,AS5445,AS5446)</f>
        <v>5.2532623694302716</v>
      </c>
      <c r="AT5448" s="133"/>
      <c r="AU5448" s="155"/>
    </row>
    <row r="5449" spans="15:47" ht="13" x14ac:dyDescent="0.3">
      <c r="O5449" s="9" t="s">
        <v>194</v>
      </c>
      <c r="P5449" s="1"/>
      <c r="Q5449" s="1"/>
      <c r="R5449" s="135"/>
      <c r="S5449" s="132">
        <f>IF(R5442&lt;=0,W_max,ABS(R$23-R5448))</f>
        <v>7174</v>
      </c>
      <c r="T5449" s="151">
        <f>R5437</f>
        <v>23904.06641480052</v>
      </c>
      <c r="U5449" s="135"/>
      <c r="V5449" s="132">
        <f>IF(U5442&lt;=0,W_max,ABS(U$23-U5448))</f>
        <v>7174</v>
      </c>
      <c r="W5449" s="151">
        <f>U5437</f>
        <v>21631.56227801113</v>
      </c>
      <c r="X5449" s="135"/>
      <c r="Y5449" s="132">
        <f>IF(X5442&lt;=0,W_max,ABS(X$23-X5448))</f>
        <v>7174</v>
      </c>
      <c r="Z5449" s="151">
        <f>X5437</f>
        <v>53497.427699607928</v>
      </c>
      <c r="AA5449" s="135"/>
      <c r="AB5449" s="132">
        <f>IF(AA5442&lt;=0,W_max,ABS(AA$23-AA5448))</f>
        <v>7174</v>
      </c>
      <c r="AC5449" s="151">
        <f>AA5437</f>
        <v>104199.33418579004</v>
      </c>
      <c r="AD5449" s="135"/>
      <c r="AE5449" s="132">
        <f>IF(AD5442&lt;=0,W_max,ABS(AD$23-AD5448))</f>
        <v>7174</v>
      </c>
      <c r="AF5449" s="151">
        <f>AD5437</f>
        <v>171369.54081689549</v>
      </c>
      <c r="AG5449" s="135"/>
      <c r="AH5449" s="132">
        <f>IF(AG5442&lt;=0,W_max,ABS(AG$23-AG5448))</f>
        <v>7174</v>
      </c>
      <c r="AI5449" s="151">
        <f>AG5437</f>
        <v>240358.97408022487</v>
      </c>
      <c r="AJ5449" s="135"/>
      <c r="AK5449" s="132">
        <f>IF(AJ5442&lt;=0,W_max,ABS(AJ$23-AJ5448))</f>
        <v>7174</v>
      </c>
      <c r="AL5449" s="151">
        <f>AJ5437</f>
        <v>305192.11747524608</v>
      </c>
      <c r="AM5449" s="135"/>
      <c r="AN5449" s="132">
        <f>IF(AM5442&lt;=0,W_max,ABS(AM$23-AM5448))</f>
        <v>7174</v>
      </c>
      <c r="AO5449" s="151">
        <f>AM5437</f>
        <v>357861.7595505183</v>
      </c>
      <c r="AP5449" s="135"/>
      <c r="AQ5449" s="132">
        <f>IF(AP5442&lt;=0,W_max,ABS(AP$23-AP5448))</f>
        <v>7174</v>
      </c>
      <c r="AR5449" s="151">
        <f>AP5437</f>
        <v>399255.03761246789</v>
      </c>
      <c r="AS5449" s="135"/>
      <c r="AT5449" s="132">
        <f>IF(AS5442&lt;=0,W_max,ABS(AS$23-AS5448))</f>
        <v>7174</v>
      </c>
      <c r="AU5449" s="151">
        <f>AS5437</f>
        <v>445436.20771090087</v>
      </c>
    </row>
    <row r="5450" spans="15:47" ht="13" x14ac:dyDescent="0.25">
      <c r="O5450" s="2"/>
      <c r="P5450" s="85"/>
      <c r="Q5450" s="2"/>
      <c r="R5450" s="18"/>
      <c r="S5450" s="150"/>
      <c r="T5450" s="148"/>
      <c r="U5450" s="157"/>
      <c r="V5450" s="1"/>
      <c r="W5450" s="147"/>
      <c r="X5450" s="157"/>
      <c r="Y5450" s="1"/>
      <c r="Z5450" s="147"/>
      <c r="AA5450" s="157"/>
      <c r="AB5450" s="1"/>
      <c r="AC5450" s="147"/>
      <c r="AD5450" s="157"/>
      <c r="AE5450" s="1"/>
      <c r="AF5450" s="147"/>
      <c r="AG5450" s="157"/>
      <c r="AH5450" s="1"/>
      <c r="AI5450" s="147"/>
      <c r="AJ5450" s="157"/>
      <c r="AK5450" s="1"/>
      <c r="AL5450" s="147"/>
      <c r="AM5450" s="157"/>
      <c r="AN5450" s="1"/>
      <c r="AO5450" s="147"/>
      <c r="AP5450" s="157"/>
      <c r="AQ5450" s="1"/>
      <c r="AR5450" s="147"/>
      <c r="AS5450" s="157"/>
      <c r="AT5450" s="1"/>
      <c r="AU5450" s="147"/>
    </row>
    <row r="5451" spans="15:47" ht="14" x14ac:dyDescent="0.3">
      <c r="O5451" s="23" t="s">
        <v>238</v>
      </c>
      <c r="P5451" s="20"/>
      <c r="Q5451" s="20"/>
      <c r="R5451" s="181">
        <f>R5437*1.02</f>
        <v>24382.147743096531</v>
      </c>
      <c r="S5451" s="128" t="s">
        <v>185</v>
      </c>
      <c r="T5451" s="149" t="s">
        <v>186</v>
      </c>
      <c r="U5451" s="143">
        <f>U5437*1.01</f>
        <v>21847.877900791242</v>
      </c>
      <c r="V5451" s="128" t="s">
        <v>185</v>
      </c>
      <c r="W5451" s="153" t="s">
        <v>186</v>
      </c>
      <c r="X5451" s="143">
        <f>X5437*1.01</f>
        <v>54032.401976604007</v>
      </c>
      <c r="Y5451" s="128" t="s">
        <v>185</v>
      </c>
      <c r="Z5451" s="153" t="s">
        <v>186</v>
      </c>
      <c r="AA5451" s="143">
        <f>AA5437*1.01</f>
        <v>105241.32752764794</v>
      </c>
      <c r="AB5451" s="128" t="s">
        <v>185</v>
      </c>
      <c r="AC5451" s="153" t="s">
        <v>186</v>
      </c>
      <c r="AD5451" s="143">
        <f>AD5437*1.01</f>
        <v>173083.23622506444</v>
      </c>
      <c r="AE5451" s="128" t="s">
        <v>185</v>
      </c>
      <c r="AF5451" s="153" t="s">
        <v>186</v>
      </c>
      <c r="AG5451" s="143">
        <f>AG5437*1.01</f>
        <v>242762.56382102711</v>
      </c>
      <c r="AH5451" s="128" t="s">
        <v>185</v>
      </c>
      <c r="AI5451" s="153" t="s">
        <v>186</v>
      </c>
      <c r="AJ5451" s="143">
        <f>AJ5437*1.01</f>
        <v>308244.03864999855</v>
      </c>
      <c r="AK5451" s="128" t="s">
        <v>185</v>
      </c>
      <c r="AL5451" s="153" t="s">
        <v>186</v>
      </c>
      <c r="AM5451" s="143">
        <f>AM5437*1.01</f>
        <v>361440.3771460235</v>
      </c>
      <c r="AN5451" s="128" t="s">
        <v>185</v>
      </c>
      <c r="AO5451" s="153" t="s">
        <v>186</v>
      </c>
      <c r="AP5451" s="143">
        <f>AP5437*1.01</f>
        <v>403247.58798859257</v>
      </c>
      <c r="AQ5451" s="128" t="s">
        <v>185</v>
      </c>
      <c r="AR5451" s="153" t="s">
        <v>186</v>
      </c>
      <c r="AS5451" s="143">
        <f>AS5437*1.01</f>
        <v>449890.56978800986</v>
      </c>
      <c r="AT5451" s="128" t="s">
        <v>185</v>
      </c>
      <c r="AU5451" s="153" t="s">
        <v>186</v>
      </c>
    </row>
    <row r="5452" spans="15:47" ht="14" x14ac:dyDescent="0.3">
      <c r="O5452" s="20"/>
      <c r="P5452" s="20"/>
      <c r="Q5452" s="23"/>
      <c r="R5452" s="139"/>
      <c r="S5452" s="130" t="s">
        <v>228</v>
      </c>
      <c r="T5452" s="131" t="s">
        <v>187</v>
      </c>
      <c r="U5452" s="144"/>
      <c r="V5452" s="130" t="s">
        <v>228</v>
      </c>
      <c r="W5452" s="154" t="s">
        <v>187</v>
      </c>
      <c r="X5452" s="144"/>
      <c r="Y5452" s="130" t="s">
        <v>228</v>
      </c>
      <c r="Z5452" s="154" t="s">
        <v>187</v>
      </c>
      <c r="AA5452" s="144"/>
      <c r="AB5452" s="130" t="s">
        <v>228</v>
      </c>
      <c r="AC5452" s="154" t="s">
        <v>187</v>
      </c>
      <c r="AD5452" s="144"/>
      <c r="AE5452" s="130" t="s">
        <v>228</v>
      </c>
      <c r="AF5452" s="154" t="s">
        <v>187</v>
      </c>
      <c r="AG5452" s="144"/>
      <c r="AH5452" s="130" t="s">
        <v>228</v>
      </c>
      <c r="AI5452" s="154" t="s">
        <v>187</v>
      </c>
      <c r="AJ5452" s="144"/>
      <c r="AK5452" s="130" t="s">
        <v>228</v>
      </c>
      <c r="AL5452" s="154" t="s">
        <v>187</v>
      </c>
      <c r="AM5452" s="144"/>
      <c r="AN5452" s="130" t="s">
        <v>228</v>
      </c>
      <c r="AO5452" s="154" t="s">
        <v>187</v>
      </c>
      <c r="AP5452" s="144"/>
      <c r="AQ5452" s="130" t="s">
        <v>228</v>
      </c>
      <c r="AR5452" s="154" t="s">
        <v>187</v>
      </c>
      <c r="AS5452" s="144"/>
      <c r="AT5452" s="130" t="s">
        <v>228</v>
      </c>
      <c r="AU5452" s="154" t="s">
        <v>187</v>
      </c>
    </row>
    <row r="5453" spans="15:47" x14ac:dyDescent="0.25">
      <c r="O5453" s="7" t="s">
        <v>188</v>
      </c>
      <c r="P5453" s="7"/>
      <c r="Q5453" s="7"/>
      <c r="R5453" s="181">
        <f>P_1_minW-(R5451^2*R_up)+dpup_minQ</f>
        <v>-136.53678996290432</v>
      </c>
      <c r="S5453" s="132"/>
      <c r="T5453" s="145"/>
      <c r="U5453" s="138">
        <f>P_1_minW-(U5451^2*R_up)+dpup_minQ</f>
        <v>-89.81810848394808</v>
      </c>
      <c r="V5453" s="132"/>
      <c r="W5453" s="145"/>
      <c r="X5453" s="138">
        <f>P_1_minW-(X5451^2*R_up)+dpup_minQ</f>
        <v>-1063.6625797611184</v>
      </c>
      <c r="Y5453" s="132"/>
      <c r="Z5453" s="145"/>
      <c r="AA5453" s="138">
        <f>P_1_minW-(AA5451^2*R_up)+dpup_minQ</f>
        <v>-4316.0584481101168</v>
      </c>
      <c r="AB5453" s="132"/>
      <c r="AC5453" s="145"/>
      <c r="AD5453" s="138">
        <f>P_1_minW-(AD5451^2*R_up)+dpup_minQ</f>
        <v>-11845.507216040633</v>
      </c>
      <c r="AE5453" s="132"/>
      <c r="AF5453" s="145"/>
      <c r="AG5453" s="138">
        <f>P_1_minW-(AG5451^2*R_up)+dpup_minQ</f>
        <v>-23399.972662068129</v>
      </c>
      <c r="AH5453" s="132"/>
      <c r="AI5453" s="145"/>
      <c r="AJ5453" s="138">
        <f>P_1_minW-(AJ5451^2*R_up)+dpup_minQ</f>
        <v>-37787.588814284587</v>
      </c>
      <c r="AK5453" s="132"/>
      <c r="AL5453" s="145"/>
      <c r="AM5453" s="138">
        <f>P_1_minW-(AM5451^2*R_up)+dpup_minQ</f>
        <v>-51993.383086233465</v>
      </c>
      <c r="AN5453" s="132"/>
      <c r="AO5453" s="145"/>
      <c r="AP5453" s="138">
        <f>P_1_minW-(AP5451^2*R_up)+dpup_minQ</f>
        <v>-64741.588049720936</v>
      </c>
      <c r="AQ5453" s="132"/>
      <c r="AR5453" s="145"/>
      <c r="AS5453" s="138">
        <f>P_1_minW-(AS5451^2*R_up)+dpup_minQ</f>
        <v>-80609.480951129197</v>
      </c>
      <c r="AT5453" s="132"/>
      <c r="AU5453" s="145"/>
    </row>
    <row r="5454" spans="15:47" x14ac:dyDescent="0.25">
      <c r="O5454" s="7" t="s">
        <v>189</v>
      </c>
      <c r="P5454" s="1"/>
      <c r="Q5454" s="7"/>
      <c r="R5454" s="181">
        <f>P_2_minW+(R5451^2*R_dn)-dpdn_minQ</f>
        <v>50</v>
      </c>
      <c r="S5454" s="132"/>
      <c r="T5454" s="146"/>
      <c r="U5454" s="138">
        <f>P_2_minW+(U5451^2*R_dn)-dpdn_minQ</f>
        <v>50</v>
      </c>
      <c r="V5454" s="132"/>
      <c r="W5454" s="146"/>
      <c r="X5454" s="138">
        <f>P_2_minW+(X5451^2*R_dn)-dpdn_minQ</f>
        <v>50</v>
      </c>
      <c r="Y5454" s="132"/>
      <c r="Z5454" s="146"/>
      <c r="AA5454" s="138">
        <f>P_2_minW+(AA5451^2*R_dn)-dpdn_minQ</f>
        <v>50</v>
      </c>
      <c r="AB5454" s="132"/>
      <c r="AC5454" s="146"/>
      <c r="AD5454" s="138">
        <f>P_2_minW+(AD5451^2*R_dn)-dpdn_minQ</f>
        <v>50</v>
      </c>
      <c r="AE5454" s="132"/>
      <c r="AF5454" s="146"/>
      <c r="AG5454" s="138">
        <f>P_2_minW+(AG5451^2*R_dn)-dpdn_minQ</f>
        <v>50</v>
      </c>
      <c r="AH5454" s="132"/>
      <c r="AI5454" s="146"/>
      <c r="AJ5454" s="138">
        <f>P_2_minW+(AJ5451^2*R_dn)-dpdn_minQ</f>
        <v>50</v>
      </c>
      <c r="AK5454" s="132"/>
      <c r="AL5454" s="146"/>
      <c r="AM5454" s="138">
        <f>P_2_minW+(AM5451^2*R_dn)-dpdn_minQ</f>
        <v>50</v>
      </c>
      <c r="AN5454" s="132"/>
      <c r="AO5454" s="146"/>
      <c r="AP5454" s="138">
        <f>P_2_minW+(AP5451^2*R_dn)-dpdn_minQ</f>
        <v>50</v>
      </c>
      <c r="AQ5454" s="132"/>
      <c r="AR5454" s="146"/>
      <c r="AS5454" s="138">
        <f>P_2_minW+(AS5451^2*R_dn)-dpdn_minQ</f>
        <v>50</v>
      </c>
      <c r="AT5454" s="132"/>
      <c r="AU5454" s="146"/>
    </row>
    <row r="5455" spans="15:47" x14ac:dyDescent="0.25">
      <c r="O5455" s="7" t="s">
        <v>234</v>
      </c>
      <c r="P5455" s="1"/>
      <c r="Q5455" s="7"/>
      <c r="R5455" s="179">
        <f>'Valve Sizing'!G$8*R5453/P_1_maxW</f>
        <v>-0.65862916590390164</v>
      </c>
      <c r="S5455" s="132"/>
      <c r="T5455" s="146"/>
      <c r="U5455" s="143">
        <f>'Valve Sizing'!$G$8*U5453/P_1_maxW</f>
        <v>-0.4332665641979806</v>
      </c>
      <c r="V5455" s="132"/>
      <c r="W5455" s="146"/>
      <c r="X5455" s="143">
        <f>'Valve Sizing'!$G$8*X5453/P_1_maxW</f>
        <v>-5.1309189113175471</v>
      </c>
      <c r="Y5455" s="132"/>
      <c r="Z5455" s="146"/>
      <c r="AA5455" s="143">
        <f>'Valve Sizing'!$G$8*AA5453/P_1_maxW</f>
        <v>-20.819897526839341</v>
      </c>
      <c r="AB5455" s="132"/>
      <c r="AC5455" s="146"/>
      <c r="AD5455" s="143">
        <f>'Valve Sizing'!$G$8*AD5453/P_1_maxW</f>
        <v>-57.140617847608397</v>
      </c>
      <c r="AE5455" s="132"/>
      <c r="AF5455" s="146"/>
      <c r="AG5455" s="143">
        <f>'Valve Sizing'!$G$8*AG5453/P_1_maxW</f>
        <v>-112.87730201346679</v>
      </c>
      <c r="AH5455" s="132"/>
      <c r="AI5455" s="146"/>
      <c r="AJ5455" s="143">
        <f>'Valve Sizing'!$G$8*AJ5453/P_1_maxW</f>
        <v>-182.28060077458744</v>
      </c>
      <c r="AK5455" s="132"/>
      <c r="AL5455" s="146"/>
      <c r="AM5455" s="143">
        <f>'Valve Sizing'!$G$8*AM5453/P_1_maxW</f>
        <v>-250.80682315668781</v>
      </c>
      <c r="AN5455" s="132"/>
      <c r="AO5455" s="146"/>
      <c r="AP5455" s="143">
        <f>'Valve Sizing'!$G$8*AP5453/P_1_maxW</f>
        <v>-312.30189422255171</v>
      </c>
      <c r="AQ5455" s="132"/>
      <c r="AR5455" s="146"/>
      <c r="AS5455" s="143">
        <f>'Valve Sizing'!$G$8*AS5453/P_1_maxW</f>
        <v>-388.8457844747424</v>
      </c>
      <c r="AT5455" s="132"/>
      <c r="AU5455" s="146"/>
    </row>
    <row r="5456" spans="15:47" x14ac:dyDescent="0.25">
      <c r="O5456" s="7" t="s">
        <v>190</v>
      </c>
      <c r="P5456" s="1"/>
      <c r="Q5456" s="7"/>
      <c r="R5456" s="181">
        <f>R5453-R5454</f>
        <v>-186.53678996290432</v>
      </c>
      <c r="S5456" s="132"/>
      <c r="T5456" s="146"/>
      <c r="U5456" s="138">
        <f>U5453-U5454</f>
        <v>-139.81810848394809</v>
      </c>
      <c r="V5456" s="132"/>
      <c r="W5456" s="146"/>
      <c r="X5456" s="138">
        <f>X5453-X5454</f>
        <v>-1113.6625797611184</v>
      </c>
      <c r="Y5456" s="132"/>
      <c r="Z5456" s="146"/>
      <c r="AA5456" s="138">
        <f>AA5453-AA5454</f>
        <v>-4366.0584481101168</v>
      </c>
      <c r="AB5456" s="132"/>
      <c r="AC5456" s="146"/>
      <c r="AD5456" s="138">
        <f>AD5453-AD5454</f>
        <v>-11895.507216040633</v>
      </c>
      <c r="AE5456" s="132"/>
      <c r="AF5456" s="146"/>
      <c r="AG5456" s="138">
        <f>AG5453-AG5454</f>
        <v>-23449.972662068129</v>
      </c>
      <c r="AH5456" s="132"/>
      <c r="AI5456" s="146"/>
      <c r="AJ5456" s="138">
        <f>AJ5453-AJ5454</f>
        <v>-37837.588814284587</v>
      </c>
      <c r="AK5456" s="132"/>
      <c r="AL5456" s="146"/>
      <c r="AM5456" s="138">
        <f>AM5453-AM5454</f>
        <v>-52043.383086233465</v>
      </c>
      <c r="AN5456" s="132"/>
      <c r="AO5456" s="146"/>
      <c r="AP5456" s="138">
        <f>AP5453-AP5454</f>
        <v>-64791.588049720936</v>
      </c>
      <c r="AQ5456" s="132"/>
      <c r="AR5456" s="146"/>
      <c r="AS5456" s="138">
        <f>AS5453-AS5454</f>
        <v>-80659.480951129197</v>
      </c>
      <c r="AT5456" s="132"/>
      <c r="AU5456" s="146"/>
    </row>
    <row r="5457" spans="15:47" ht="14.5" x14ac:dyDescent="0.35">
      <c r="O5457" s="2" t="s">
        <v>191</v>
      </c>
      <c r="P5457" s="10"/>
      <c r="Q5457" s="2"/>
      <c r="R5457" s="181">
        <f>R5456/R5453</f>
        <v>1.3662016663317227</v>
      </c>
      <c r="S5457" s="132"/>
      <c r="T5457" s="146"/>
      <c r="U5457" s="138">
        <f>U5456/U5453</f>
        <v>1.5566806164587157</v>
      </c>
      <c r="V5457" s="132"/>
      <c r="W5457" s="146"/>
      <c r="X5457" s="138">
        <f>X5456/X5453</f>
        <v>1.0470073883874238</v>
      </c>
      <c r="Y5457" s="132"/>
      <c r="Z5457" s="146"/>
      <c r="AA5457" s="138">
        <f>AA5456/AA5453</f>
        <v>1.0115846438599305</v>
      </c>
      <c r="AB5457" s="132"/>
      <c r="AC5457" s="146"/>
      <c r="AD5457" s="138">
        <f>AD5456/AD5453</f>
        <v>1.0042210096273709</v>
      </c>
      <c r="AE5457" s="132"/>
      <c r="AF5457" s="146"/>
      <c r="AG5457" s="138">
        <f>AG5456/AG5453</f>
        <v>1.0021367546330964</v>
      </c>
      <c r="AH5457" s="132"/>
      <c r="AI5457" s="146"/>
      <c r="AJ5457" s="138">
        <f>AJ5456/AJ5453</f>
        <v>1.0013231857752485</v>
      </c>
      <c r="AK5457" s="132"/>
      <c r="AL5457" s="146"/>
      <c r="AM5457" s="138">
        <f>AM5456/AM5453</f>
        <v>1.0009616608312846</v>
      </c>
      <c r="AN5457" s="132"/>
      <c r="AO5457" s="146"/>
      <c r="AP5457" s="138">
        <f>AP5456/AP5453</f>
        <v>1.0007723011051506</v>
      </c>
      <c r="AQ5457" s="132"/>
      <c r="AR5457" s="146"/>
      <c r="AS5457" s="138">
        <f>AS5456/AS5453</f>
        <v>1.0006202744318664</v>
      </c>
      <c r="AT5457" s="132"/>
      <c r="AU5457" s="146"/>
    </row>
    <row r="5458" spans="15:47" x14ac:dyDescent="0.25">
      <c r="O5458" s="2" t="s">
        <v>26</v>
      </c>
      <c r="P5458" s="7">
        <v>12</v>
      </c>
      <c r="Q5458" s="2"/>
      <c r="R5458" s="181">
        <f>1-R5457/(3*F_GAMMA*R$29)</f>
        <v>0.28846651669376999</v>
      </c>
      <c r="S5458" s="133"/>
      <c r="T5458" s="146"/>
      <c r="U5458" s="138">
        <f>1-U5457/(3*F_GAMMA*U$29)</f>
        <v>0.18944140086589223</v>
      </c>
      <c r="V5458" s="133"/>
      <c r="W5458" s="146"/>
      <c r="X5458" s="138">
        <f>1-X5457/(3*F_GAMMA*X$29)</f>
        <v>0.44664814594717206</v>
      </c>
      <c r="Y5458" s="133"/>
      <c r="Z5458" s="146"/>
      <c r="AA5458" s="138">
        <f>1-AA5457/(3*F_GAMMA*AA$29)</f>
        <v>0.45803882209888946</v>
      </c>
      <c r="AB5458" s="133"/>
      <c r="AC5458" s="146"/>
      <c r="AD5458" s="138">
        <f>1-AD5457/(3*F_GAMMA*AD$29)</f>
        <v>0.44723266658942717</v>
      </c>
      <c r="AE5458" s="133"/>
      <c r="AF5458" s="146"/>
      <c r="AG5458" s="138">
        <f>1-AG5457/(3*F_GAMMA*AG$29)</f>
        <v>0.41691465234198055</v>
      </c>
      <c r="AH5458" s="133"/>
      <c r="AI5458" s="146"/>
      <c r="AJ5458" s="138">
        <f>1-AJ5457/(3*F_GAMMA*AJ$29)</f>
        <v>0.37717989617655667</v>
      </c>
      <c r="AK5458" s="133"/>
      <c r="AL5458" s="146"/>
      <c r="AM5458" s="138">
        <f>1-AM5457/(3*F_GAMMA*AM$29)</f>
        <v>0.31975139330302893</v>
      </c>
      <c r="AN5458" s="133"/>
      <c r="AO5458" s="146"/>
      <c r="AP5458" s="138">
        <f>1-AP5457/(3*F_GAMMA*AP$29)</f>
        <v>0.43795446738478183</v>
      </c>
      <c r="AQ5458" s="133"/>
      <c r="AR5458" s="146"/>
      <c r="AS5458" s="138">
        <f>1-AS5457/(3*F_GAMMA*AS$29)</f>
        <v>0.14689565761410972</v>
      </c>
      <c r="AT5458" s="133"/>
      <c r="AU5458" s="146"/>
    </row>
    <row r="5459" spans="15:47" x14ac:dyDescent="0.25">
      <c r="O5459" s="2" t="s">
        <v>71</v>
      </c>
      <c r="P5459" s="85">
        <v>5</v>
      </c>
      <c r="Q5459" s="2"/>
      <c r="R5459" s="179">
        <f>R5451/((N_6*R$27*R5458)*SQRT(R5457*R5453*R5455))</f>
        <v>120.48183379011321</v>
      </c>
      <c r="S5459" s="133"/>
      <c r="T5459" s="146"/>
      <c r="U5459" s="143">
        <f>U5451/((N_6*U$27*U5458)*SQRT(U5457*U5453*U5455))</f>
        <v>234.25710798039674</v>
      </c>
      <c r="V5459" s="133"/>
      <c r="W5459" s="146"/>
      <c r="X5459" s="143">
        <f>X5451/((N_6*X$27*X5458)*SQRT(X5457*X5453*X5455))</f>
        <v>25.356743988491662</v>
      </c>
      <c r="Y5459" s="133"/>
      <c r="Z5459" s="146"/>
      <c r="AA5459" s="143">
        <f>AA5451/((N_6*AA$27*AA5458)*SQRT(AA5457*AA5453*AA5455))</f>
        <v>12.144221519081704</v>
      </c>
      <c r="AB5459" s="133"/>
      <c r="AC5459" s="146"/>
      <c r="AD5459" s="143">
        <f>AD5451/((N_6*AD$27*AD5458)*SQRT(AD5457*AD5453*AD5455))</f>
        <v>7.5695827219229894</v>
      </c>
      <c r="AE5459" s="133"/>
      <c r="AF5459" s="146"/>
      <c r="AG5459" s="143">
        <f>AG5451/((N_6*AG$27*AG5458)*SQRT(AG5457*AG5453*AG5455))</f>
        <v>5.8958333150343325</v>
      </c>
      <c r="AH5459" s="133"/>
      <c r="AI5459" s="146"/>
      <c r="AJ5459" s="143">
        <f>AJ5451/((N_6*AJ$27*AJ5458)*SQRT(AJ5457*AJ5453*AJ5455))</f>
        <v>5.3022340396760015</v>
      </c>
      <c r="AK5459" s="133"/>
      <c r="AL5459" s="146"/>
      <c r="AM5459" s="143">
        <f>AM5451/((N_6*AM$27*AM5458)*SQRT(AM5457*AM5453*AM5455))</f>
        <v>5.658492277170315</v>
      </c>
      <c r="AN5459" s="133"/>
      <c r="AO5459" s="146"/>
      <c r="AP5459" s="143">
        <f>AP5451/((N_6*AP$27*AP5458)*SQRT(AP5457*AP5453*AP5455))</f>
        <v>4.2051283780419739</v>
      </c>
      <c r="AQ5459" s="133"/>
      <c r="AR5459" s="146"/>
      <c r="AS5459" s="143">
        <f>AS5451/((N_6*AS$27*AS5458)*SQRT(AS5457*AS5453*AS5455))</f>
        <v>14.762231261444406</v>
      </c>
      <c r="AT5459" s="133"/>
      <c r="AU5459" s="146"/>
    </row>
    <row r="5460" spans="15:47" x14ac:dyDescent="0.25">
      <c r="O5460" s="2" t="s">
        <v>73</v>
      </c>
      <c r="P5460" s="85">
        <v>5</v>
      </c>
      <c r="Q5460" s="2"/>
      <c r="R5460" s="179">
        <f>R5451/((N_6*R$27*0.667)*SQRT(R5461*R5453*R5455))</f>
        <v>76.128880574833929</v>
      </c>
      <c r="S5460" s="133"/>
      <c r="T5460" s="147"/>
      <c r="U5460" s="143">
        <f>U5451/((N_6*U$27*0.667)*SQRT(U5461*U5453*U5455))</f>
        <v>103.75156972386213</v>
      </c>
      <c r="V5460" s="133"/>
      <c r="W5460" s="155"/>
      <c r="X5460" s="143">
        <f>X5451/((N_6*X$27*0.667)*SQRT(X5461*X5453*X5455))</f>
        <v>21.877339156675525</v>
      </c>
      <c r="Y5460" s="133"/>
      <c r="Z5460" s="155"/>
      <c r="AA5460" s="143">
        <f>AA5451/((N_6*AA$27*0.667)*SQRT(AA5461*AA5453*AA5455))</f>
        <v>10.633857888024103</v>
      </c>
      <c r="AB5460" s="133"/>
      <c r="AC5460" s="155"/>
      <c r="AD5460" s="143">
        <f>AD5451/((N_6*AD$27*0.667)*SQRT(AD5461*AD5453*AD5455))</f>
        <v>6.5359908475236903</v>
      </c>
      <c r="AE5460" s="133"/>
      <c r="AF5460" s="155"/>
      <c r="AG5460" s="143">
        <f>AG5451/((N_6*AG$27*0.667)*SQRT(AG5461*AG5453*AG5455))</f>
        <v>4.8740862819903308</v>
      </c>
      <c r="AH5460" s="133"/>
      <c r="AI5460" s="155"/>
      <c r="AJ5460" s="143">
        <f>AJ5451/((N_6*AJ$27*0.667)*SQRT(AJ5461*AJ5453*AJ5455))</f>
        <v>4.098486745036273</v>
      </c>
      <c r="AK5460" s="133"/>
      <c r="AL5460" s="155"/>
      <c r="AM5460" s="143">
        <f>AM5451/((N_6*AM$27*0.667)*SQRT(AM5461*AM5453*AM5455))</f>
        <v>3.8750900303587019</v>
      </c>
      <c r="AN5460" s="133"/>
      <c r="AO5460" s="155"/>
      <c r="AP5460" s="143">
        <f>AP5451/((N_6*AP$27*0.667)*SQRT(AP5461*AP5453*AP5455))</f>
        <v>3.5853269298741024</v>
      </c>
      <c r="AQ5460" s="133"/>
      <c r="AR5460" s="155"/>
      <c r="AS5460" s="143">
        <f>AS5451/((N_6*AS$27*0.667)*SQRT(AS5461*AS5453*AS5455))</f>
        <v>5.2011194993706962</v>
      </c>
      <c r="AT5460" s="133"/>
      <c r="AU5460" s="155"/>
    </row>
    <row r="5461" spans="15:47" ht="15.5" x14ac:dyDescent="0.4">
      <c r="O5461" s="2" t="s">
        <v>192</v>
      </c>
      <c r="P5461" s="85">
        <v>10</v>
      </c>
      <c r="Q5461" s="2"/>
      <c r="R5461" s="181">
        <f>F_GAMMA*R$29</f>
        <v>0.64002688015162901</v>
      </c>
      <c r="S5461" s="133"/>
      <c r="T5461" s="147"/>
      <c r="U5461" s="138">
        <f>F_GAMMA*U$29</f>
        <v>0.64016782916606918</v>
      </c>
      <c r="V5461" s="133"/>
      <c r="W5461" s="155"/>
      <c r="X5461" s="138">
        <f>F_GAMMA*X$29</f>
        <v>0.6307062319203669</v>
      </c>
      <c r="Y5461" s="133"/>
      <c r="Z5461" s="155"/>
      <c r="AA5461" s="138">
        <f>F_GAMMA*AA$29</f>
        <v>0.62217534213893466</v>
      </c>
      <c r="AB5461" s="133"/>
      <c r="AC5461" s="155"/>
      <c r="AD5461" s="138">
        <f>F_GAMMA*AD$29</f>
        <v>0.60557184969146072</v>
      </c>
      <c r="AE5461" s="133"/>
      <c r="AF5461" s="155"/>
      <c r="AG5461" s="138">
        <f>F_GAMMA*AG$29</f>
        <v>0.57289312142622573</v>
      </c>
      <c r="AH5461" s="133"/>
      <c r="AI5461" s="155"/>
      <c r="AJ5461" s="138">
        <f>F_GAMMA*AJ$29</f>
        <v>0.53590819116049981</v>
      </c>
      <c r="AK5461" s="133"/>
      <c r="AL5461" s="155"/>
      <c r="AM5461" s="138">
        <f>F_GAMMA*AM$29</f>
        <v>0.49048815926850342</v>
      </c>
      <c r="AN5461" s="133"/>
      <c r="AO5461" s="155"/>
      <c r="AP5461" s="138">
        <f>F_GAMMA*AP$29</f>
        <v>0.59352979016280105</v>
      </c>
      <c r="AQ5461" s="133"/>
      <c r="AR5461" s="155"/>
      <c r="AS5461" s="138">
        <f>F_GAMMA*AS$29</f>
        <v>0.39097221161068291</v>
      </c>
      <c r="AT5461" s="133"/>
      <c r="AU5461" s="155"/>
    </row>
    <row r="5462" spans="15:47" x14ac:dyDescent="0.25">
      <c r="O5462" s="2" t="s">
        <v>193</v>
      </c>
      <c r="P5462" s="134"/>
      <c r="Q5462" s="2"/>
      <c r="R5462" s="181">
        <f>IF(R5457&lt;R5461,R5459,R5460)</f>
        <v>76.128880574833929</v>
      </c>
      <c r="S5462" s="133"/>
      <c r="T5462" s="147"/>
      <c r="U5462" s="138">
        <f>IF(U5457&lt;U5461,U5459,U5460)</f>
        <v>103.75156972386213</v>
      </c>
      <c r="V5462" s="133"/>
      <c r="W5462" s="155"/>
      <c r="X5462" s="138">
        <f>IF(X5457&lt;X5461,X5459,X5460)</f>
        <v>21.877339156675525</v>
      </c>
      <c r="Y5462" s="133"/>
      <c r="Z5462" s="155"/>
      <c r="AA5462" s="138">
        <f>IF(AA5457&lt;AA5461,AA5459,AA5460)</f>
        <v>10.633857888024103</v>
      </c>
      <c r="AB5462" s="133"/>
      <c r="AC5462" s="155"/>
      <c r="AD5462" s="138">
        <f>IF(AD5457&lt;AD5461,AD5459,AD5460)</f>
        <v>6.5359908475236903</v>
      </c>
      <c r="AE5462" s="133"/>
      <c r="AF5462" s="155"/>
      <c r="AG5462" s="138">
        <f>IF(AG5457&lt;AG5461,AG5459,AG5460)</f>
        <v>4.8740862819903308</v>
      </c>
      <c r="AH5462" s="133"/>
      <c r="AI5462" s="155"/>
      <c r="AJ5462" s="138">
        <f>IF(AJ5457&lt;AJ5461,AJ5459,AJ5460)</f>
        <v>4.098486745036273</v>
      </c>
      <c r="AK5462" s="133"/>
      <c r="AL5462" s="155"/>
      <c r="AM5462" s="138">
        <f>IF(AM5457&lt;AM5461,AM5459,AM5460)</f>
        <v>3.8750900303587019</v>
      </c>
      <c r="AN5462" s="133"/>
      <c r="AO5462" s="155"/>
      <c r="AP5462" s="138">
        <f>IF(AP5457&lt;AP5461,AP5459,AP5460)</f>
        <v>3.5853269298741024</v>
      </c>
      <c r="AQ5462" s="133"/>
      <c r="AR5462" s="155"/>
      <c r="AS5462" s="138">
        <f>IF(AS5457&lt;AS5461,AS5459,AS5460)</f>
        <v>5.2011194993706962</v>
      </c>
      <c r="AT5462" s="133"/>
      <c r="AU5462" s="155"/>
    </row>
    <row r="5463" spans="15:47" ht="13" x14ac:dyDescent="0.3">
      <c r="O5463" s="9" t="s">
        <v>194</v>
      </c>
      <c r="P5463" s="1"/>
      <c r="Q5463" s="1"/>
      <c r="R5463" s="135"/>
      <c r="S5463" s="132">
        <f>IF(R5456&lt;=0,W_max,ABS(R$23-R5462))</f>
        <v>7174</v>
      </c>
      <c r="T5463" s="151">
        <f>R5451</f>
        <v>24382.147743096531</v>
      </c>
      <c r="U5463" s="135"/>
      <c r="V5463" s="132">
        <f>IF(U5456&lt;=0,W_max,ABS(U$23-U5462))</f>
        <v>7174</v>
      </c>
      <c r="W5463" s="151">
        <f>U5451</f>
        <v>21847.877900791242</v>
      </c>
      <c r="X5463" s="135"/>
      <c r="Y5463" s="132">
        <f>IF(X5456&lt;=0,W_max,ABS(X$23-X5462))</f>
        <v>7174</v>
      </c>
      <c r="Z5463" s="151">
        <f>X5451</f>
        <v>54032.401976604007</v>
      </c>
      <c r="AA5463" s="135"/>
      <c r="AB5463" s="132">
        <f>IF(AA5456&lt;=0,W_max,ABS(AA$23-AA5462))</f>
        <v>7174</v>
      </c>
      <c r="AC5463" s="151">
        <f>AA5451</f>
        <v>105241.32752764794</v>
      </c>
      <c r="AD5463" s="135"/>
      <c r="AE5463" s="132">
        <f>IF(AD5456&lt;=0,W_max,ABS(AD$23-AD5462))</f>
        <v>7174</v>
      </c>
      <c r="AF5463" s="151">
        <f>AD5451</f>
        <v>173083.23622506444</v>
      </c>
      <c r="AG5463" s="135"/>
      <c r="AH5463" s="132">
        <f>IF(AG5456&lt;=0,W_max,ABS(AG$23-AG5462))</f>
        <v>7174</v>
      </c>
      <c r="AI5463" s="151">
        <f>AG5451</f>
        <v>242762.56382102711</v>
      </c>
      <c r="AJ5463" s="135"/>
      <c r="AK5463" s="132">
        <f>IF(AJ5456&lt;=0,W_max,ABS(AJ$23-AJ5462))</f>
        <v>7174</v>
      </c>
      <c r="AL5463" s="151">
        <f>AJ5451</f>
        <v>308244.03864999855</v>
      </c>
      <c r="AM5463" s="135"/>
      <c r="AN5463" s="132">
        <f>IF(AM5456&lt;=0,W_max,ABS(AM$23-AM5462))</f>
        <v>7174</v>
      </c>
      <c r="AO5463" s="151">
        <f>AM5451</f>
        <v>361440.3771460235</v>
      </c>
      <c r="AP5463" s="135"/>
      <c r="AQ5463" s="132">
        <f>IF(AP5456&lt;=0,W_max,ABS(AP$23-AP5462))</f>
        <v>7174</v>
      </c>
      <c r="AR5463" s="151">
        <f>AP5451</f>
        <v>403247.58798859257</v>
      </c>
      <c r="AS5463" s="135"/>
      <c r="AT5463" s="132">
        <f>IF(AS5456&lt;=0,W_max,ABS(AS$23-AS5462))</f>
        <v>7174</v>
      </c>
      <c r="AU5463" s="151">
        <f>AS5451</f>
        <v>449890.56978800986</v>
      </c>
    </row>
    <row r="5464" spans="15:47" ht="13" x14ac:dyDescent="0.25">
      <c r="O5464" s="12"/>
      <c r="P5464" s="12"/>
      <c r="Q5464" s="12"/>
      <c r="R5464" s="182"/>
      <c r="S5464" s="22"/>
      <c r="T5464" s="152"/>
      <c r="U5464" s="157"/>
      <c r="V5464" s="1"/>
      <c r="W5464" s="147"/>
      <c r="X5464" s="157"/>
      <c r="Y5464" s="1"/>
      <c r="Z5464" s="147"/>
      <c r="AA5464" s="157"/>
      <c r="AB5464" s="1"/>
      <c r="AC5464" s="147"/>
      <c r="AD5464" s="157"/>
      <c r="AE5464" s="1"/>
      <c r="AF5464" s="147"/>
      <c r="AG5464" s="157"/>
      <c r="AH5464" s="1"/>
      <c r="AI5464" s="147"/>
      <c r="AJ5464" s="157"/>
      <c r="AK5464" s="1"/>
      <c r="AL5464" s="147"/>
      <c r="AM5464" s="157"/>
      <c r="AN5464" s="1"/>
      <c r="AO5464" s="147"/>
      <c r="AP5464" s="157"/>
      <c r="AQ5464" s="1"/>
      <c r="AR5464" s="147"/>
      <c r="AS5464" s="157"/>
      <c r="AT5464" s="1"/>
      <c r="AU5464" s="147"/>
    </row>
    <row r="5465" spans="15:47" ht="14" x14ac:dyDescent="0.3">
      <c r="O5465" s="23" t="s">
        <v>238</v>
      </c>
      <c r="P5465" s="20"/>
      <c r="Q5465" s="20"/>
      <c r="R5465" s="18">
        <f>R5451*1.02</f>
        <v>24869.790697958462</v>
      </c>
      <c r="S5465" s="128" t="s">
        <v>185</v>
      </c>
      <c r="T5465" s="153" t="s">
        <v>186</v>
      </c>
      <c r="U5465" s="143">
        <f>U5451*1.01</f>
        <v>22066.356679799155</v>
      </c>
      <c r="V5465" s="128" t="s">
        <v>185</v>
      </c>
      <c r="W5465" s="153" t="s">
        <v>186</v>
      </c>
      <c r="X5465" s="143">
        <f>X5451*1.01</f>
        <v>54572.725996370049</v>
      </c>
      <c r="Y5465" s="128" t="s">
        <v>185</v>
      </c>
      <c r="Z5465" s="153" t="s">
        <v>186</v>
      </c>
      <c r="AA5465" s="143">
        <f>AA5451*1.01</f>
        <v>106293.74080292443</v>
      </c>
      <c r="AB5465" s="128" t="s">
        <v>185</v>
      </c>
      <c r="AC5465" s="153" t="s">
        <v>186</v>
      </c>
      <c r="AD5465" s="143">
        <f>AD5451*1.01</f>
        <v>174814.06858731509</v>
      </c>
      <c r="AE5465" s="128" t="s">
        <v>185</v>
      </c>
      <c r="AF5465" s="153" t="s">
        <v>186</v>
      </c>
      <c r="AG5465" s="143">
        <f>AG5451*1.01</f>
        <v>245190.18945923739</v>
      </c>
      <c r="AH5465" s="128" t="s">
        <v>185</v>
      </c>
      <c r="AI5465" s="153" t="s">
        <v>186</v>
      </c>
      <c r="AJ5465" s="143">
        <f>AJ5451*1.01</f>
        <v>311326.47903649852</v>
      </c>
      <c r="AK5465" s="128" t="s">
        <v>185</v>
      </c>
      <c r="AL5465" s="153" t="s">
        <v>186</v>
      </c>
      <c r="AM5465" s="143">
        <f>AM5451*1.01</f>
        <v>365054.78091748373</v>
      </c>
      <c r="AN5465" s="128" t="s">
        <v>185</v>
      </c>
      <c r="AO5465" s="153" t="s">
        <v>186</v>
      </c>
      <c r="AP5465" s="143">
        <f>AP5451*1.01</f>
        <v>407280.06386847852</v>
      </c>
      <c r="AQ5465" s="128" t="s">
        <v>185</v>
      </c>
      <c r="AR5465" s="153" t="s">
        <v>186</v>
      </c>
      <c r="AS5465" s="143">
        <f>AS5451*1.01</f>
        <v>454389.47548588994</v>
      </c>
      <c r="AT5465" s="128" t="s">
        <v>185</v>
      </c>
      <c r="AU5465" s="153" t="s">
        <v>186</v>
      </c>
    </row>
    <row r="5466" spans="15:47" ht="14" x14ac:dyDescent="0.3">
      <c r="O5466" s="20"/>
      <c r="P5466" s="20"/>
      <c r="Q5466" s="23"/>
      <c r="R5466" s="139"/>
      <c r="S5466" s="130" t="s">
        <v>228</v>
      </c>
      <c r="T5466" s="154" t="s">
        <v>187</v>
      </c>
      <c r="U5466" s="144"/>
      <c r="V5466" s="130" t="s">
        <v>228</v>
      </c>
      <c r="W5466" s="154" t="s">
        <v>187</v>
      </c>
      <c r="X5466" s="144"/>
      <c r="Y5466" s="130" t="s">
        <v>228</v>
      </c>
      <c r="Z5466" s="154" t="s">
        <v>187</v>
      </c>
      <c r="AA5466" s="144"/>
      <c r="AB5466" s="130" t="s">
        <v>228</v>
      </c>
      <c r="AC5466" s="154" t="s">
        <v>187</v>
      </c>
      <c r="AD5466" s="144"/>
      <c r="AE5466" s="130" t="s">
        <v>228</v>
      </c>
      <c r="AF5466" s="154" t="s">
        <v>187</v>
      </c>
      <c r="AG5466" s="144"/>
      <c r="AH5466" s="130" t="s">
        <v>228</v>
      </c>
      <c r="AI5466" s="154" t="s">
        <v>187</v>
      </c>
      <c r="AJ5466" s="144"/>
      <c r="AK5466" s="130" t="s">
        <v>228</v>
      </c>
      <c r="AL5466" s="154" t="s">
        <v>187</v>
      </c>
      <c r="AM5466" s="144"/>
      <c r="AN5466" s="130" t="s">
        <v>228</v>
      </c>
      <c r="AO5466" s="154" t="s">
        <v>187</v>
      </c>
      <c r="AP5466" s="144"/>
      <c r="AQ5466" s="130" t="s">
        <v>228</v>
      </c>
      <c r="AR5466" s="154" t="s">
        <v>187</v>
      </c>
      <c r="AS5466" s="144"/>
      <c r="AT5466" s="130" t="s">
        <v>228</v>
      </c>
      <c r="AU5466" s="154" t="s">
        <v>187</v>
      </c>
    </row>
    <row r="5467" spans="15:47" x14ac:dyDescent="0.25">
      <c r="O5467" s="7" t="s">
        <v>188</v>
      </c>
      <c r="P5467" s="7"/>
      <c r="Q5467" s="7"/>
      <c r="R5467" s="181">
        <f>P_1_minW-(R5465^2*R_up)+dpup_minQ</f>
        <v>-146.1139968615694</v>
      </c>
      <c r="S5467" s="132"/>
      <c r="T5467" s="145"/>
      <c r="U5467" s="138">
        <f>P_1_minW-(U5465^2*R_up)+dpup_minQ</f>
        <v>-93.643960477883681</v>
      </c>
      <c r="V5467" s="132"/>
      <c r="W5467" s="145"/>
      <c r="X5467" s="138">
        <f>P_1_minW-(X5465^2*R_up)+dpup_minQ</f>
        <v>-1087.0627056277253</v>
      </c>
      <c r="Y5467" s="132"/>
      <c r="Z5467" s="145"/>
      <c r="AA5467" s="138">
        <f>P_1_minW-(AA5465^2*R_up)+dpup_minQ</f>
        <v>-4404.8317309305385</v>
      </c>
      <c r="AB5467" s="132"/>
      <c r="AC5467" s="145"/>
      <c r="AD5467" s="138">
        <f>P_1_minW-(AD5465^2*R_up)+dpup_minQ</f>
        <v>-12085.62241909646</v>
      </c>
      <c r="AE5467" s="132"/>
      <c r="AF5467" s="145"/>
      <c r="AG5467" s="138">
        <f>P_1_minW-(AG5465^2*R_up)+dpup_minQ</f>
        <v>-23872.332620589106</v>
      </c>
      <c r="AH5467" s="132"/>
      <c r="AI5467" s="145"/>
      <c r="AJ5467" s="138">
        <f>P_1_minW-(AJ5465^2*R_up)+dpup_minQ</f>
        <v>-38549.13985746511</v>
      </c>
      <c r="AK5467" s="132"/>
      <c r="AL5467" s="145"/>
      <c r="AM5467" s="138">
        <f>P_1_minW-(AM5465^2*R_up)+dpup_minQ</f>
        <v>-53040.470594280167</v>
      </c>
      <c r="AN5467" s="132"/>
      <c r="AO5467" s="145"/>
      <c r="AP5467" s="138">
        <f>P_1_minW-(AP5465^2*R_up)+dpup_minQ</f>
        <v>-66044.914477533748</v>
      </c>
      <c r="AQ5467" s="132"/>
      <c r="AR5467" s="145"/>
      <c r="AS5467" s="138">
        <f>P_1_minW-(AS5465^2*R_up)+dpup_minQ</f>
        <v>-82231.752026260292</v>
      </c>
      <c r="AT5467" s="132"/>
      <c r="AU5467" s="145"/>
    </row>
    <row r="5468" spans="15:47" x14ac:dyDescent="0.25">
      <c r="O5468" s="7" t="s">
        <v>189</v>
      </c>
      <c r="P5468" s="1"/>
      <c r="Q5468" s="7"/>
      <c r="R5468" s="181">
        <f>P_2_minW+(R5465^2*R_dn)-dpdn_minQ</f>
        <v>50</v>
      </c>
      <c r="S5468" s="132"/>
      <c r="T5468" s="146"/>
      <c r="U5468" s="138">
        <f>P_2_minW+(U5465^2*R_dn)-dpdn_minQ</f>
        <v>50</v>
      </c>
      <c r="V5468" s="132"/>
      <c r="W5468" s="146"/>
      <c r="X5468" s="138">
        <f>P_2_minW+(X5465^2*R_dn)-dpdn_minQ</f>
        <v>50</v>
      </c>
      <c r="Y5468" s="132"/>
      <c r="Z5468" s="146"/>
      <c r="AA5468" s="138">
        <f>P_2_minW+(AA5465^2*R_dn)-dpdn_minQ</f>
        <v>50</v>
      </c>
      <c r="AB5468" s="132"/>
      <c r="AC5468" s="146"/>
      <c r="AD5468" s="138">
        <f>P_2_minW+(AD5465^2*R_dn)-dpdn_minQ</f>
        <v>50</v>
      </c>
      <c r="AE5468" s="132"/>
      <c r="AF5468" s="146"/>
      <c r="AG5468" s="138">
        <f>P_2_minW+(AG5465^2*R_dn)-dpdn_minQ</f>
        <v>50</v>
      </c>
      <c r="AH5468" s="132"/>
      <c r="AI5468" s="146"/>
      <c r="AJ5468" s="138">
        <f>P_2_minW+(AJ5465^2*R_dn)-dpdn_minQ</f>
        <v>50</v>
      </c>
      <c r="AK5468" s="132"/>
      <c r="AL5468" s="146"/>
      <c r="AM5468" s="138">
        <f>P_2_minW+(AM5465^2*R_dn)-dpdn_minQ</f>
        <v>50</v>
      </c>
      <c r="AN5468" s="132"/>
      <c r="AO5468" s="146"/>
      <c r="AP5468" s="138">
        <f>P_2_minW+(AP5465^2*R_dn)-dpdn_minQ</f>
        <v>50</v>
      </c>
      <c r="AQ5468" s="132"/>
      <c r="AR5468" s="146"/>
      <c r="AS5468" s="138">
        <f>P_2_minW+(AS5465^2*R_dn)-dpdn_minQ</f>
        <v>50</v>
      </c>
      <c r="AT5468" s="132"/>
      <c r="AU5468" s="146"/>
    </row>
    <row r="5469" spans="15:47" x14ac:dyDescent="0.25">
      <c r="O5469" s="7" t="s">
        <v>234</v>
      </c>
      <c r="P5469" s="1"/>
      <c r="Q5469" s="7"/>
      <c r="R5469" s="179">
        <f>'Valve Sizing'!G$8*R5467/P_1_maxW</f>
        <v>-0.70482790686647045</v>
      </c>
      <c r="S5469" s="132"/>
      <c r="T5469" s="146"/>
      <c r="U5469" s="143">
        <f>'Valve Sizing'!$G$8*U5467/P_1_maxW</f>
        <v>-0.45172179306576182</v>
      </c>
      <c r="V5469" s="132"/>
      <c r="W5469" s="146"/>
      <c r="X5469" s="143">
        <f>'Valve Sizing'!$G$8*X5467/P_1_maxW</f>
        <v>-5.2437969523624322</v>
      </c>
      <c r="Y5469" s="132"/>
      <c r="Z5469" s="146"/>
      <c r="AA5469" s="143">
        <f>'Valve Sizing'!$G$8*AA5467/P_1_maxW</f>
        <v>-21.248124038056211</v>
      </c>
      <c r="AB5469" s="132"/>
      <c r="AC5469" s="146"/>
      <c r="AD5469" s="143">
        <f>'Valve Sizing'!$G$8*AD5467/P_1_maxW</f>
        <v>-58.298890837272737</v>
      </c>
      <c r="AE5469" s="132"/>
      <c r="AF5469" s="146"/>
      <c r="AG5469" s="143">
        <f>'Valve Sizing'!$G$8*AG5467/P_1_maxW</f>
        <v>-115.15588235486487</v>
      </c>
      <c r="AH5469" s="132"/>
      <c r="AI5469" s="146"/>
      <c r="AJ5469" s="143">
        <f>'Valve Sizing'!$G$8*AJ5467/P_1_maxW</f>
        <v>-185.95418742108401</v>
      </c>
      <c r="AK5469" s="132"/>
      <c r="AL5469" s="146"/>
      <c r="AM5469" s="143">
        <f>'Valve Sizing'!$G$8*AM5467/P_1_maxW</f>
        <v>-255.85778687306464</v>
      </c>
      <c r="AN5469" s="132"/>
      <c r="AO5469" s="146"/>
      <c r="AP5469" s="143">
        <f>'Valve Sizing'!$G$8*AP5467/P_1_maxW</f>
        <v>-318.58890886735242</v>
      </c>
      <c r="AQ5469" s="132"/>
      <c r="AR5469" s="146"/>
      <c r="AS5469" s="143">
        <f>'Valve Sizing'!$G$8*AS5467/P_1_maxW</f>
        <v>-396.67133131361209</v>
      </c>
      <c r="AT5469" s="132"/>
      <c r="AU5469" s="146"/>
    </row>
    <row r="5470" spans="15:47" x14ac:dyDescent="0.25">
      <c r="O5470" s="7" t="s">
        <v>190</v>
      </c>
      <c r="P5470" s="1"/>
      <c r="Q5470" s="7"/>
      <c r="R5470" s="181">
        <f>R5467-R5468</f>
        <v>-196.1139968615694</v>
      </c>
      <c r="S5470" s="132"/>
      <c r="T5470" s="146"/>
      <c r="U5470" s="138">
        <f>U5467-U5468</f>
        <v>-143.6439604778837</v>
      </c>
      <c r="V5470" s="132"/>
      <c r="W5470" s="146"/>
      <c r="X5470" s="138">
        <f>X5467-X5468</f>
        <v>-1137.0627056277253</v>
      </c>
      <c r="Y5470" s="132"/>
      <c r="Z5470" s="146"/>
      <c r="AA5470" s="138">
        <f>AA5467-AA5468</f>
        <v>-4454.8317309305385</v>
      </c>
      <c r="AB5470" s="132"/>
      <c r="AC5470" s="146"/>
      <c r="AD5470" s="138">
        <f>AD5467-AD5468</f>
        <v>-12135.62241909646</v>
      </c>
      <c r="AE5470" s="132"/>
      <c r="AF5470" s="146"/>
      <c r="AG5470" s="138">
        <f>AG5467-AG5468</f>
        <v>-23922.332620589106</v>
      </c>
      <c r="AH5470" s="132"/>
      <c r="AI5470" s="146"/>
      <c r="AJ5470" s="138">
        <f>AJ5467-AJ5468</f>
        <v>-38599.13985746511</v>
      </c>
      <c r="AK5470" s="132"/>
      <c r="AL5470" s="146"/>
      <c r="AM5470" s="138">
        <f>AM5467-AM5468</f>
        <v>-53090.470594280167</v>
      </c>
      <c r="AN5470" s="132"/>
      <c r="AO5470" s="146"/>
      <c r="AP5470" s="138">
        <f>AP5467-AP5468</f>
        <v>-66094.914477533748</v>
      </c>
      <c r="AQ5470" s="132"/>
      <c r="AR5470" s="146"/>
      <c r="AS5470" s="138">
        <f>AS5467-AS5468</f>
        <v>-82281.752026260292</v>
      </c>
      <c r="AT5470" s="132"/>
      <c r="AU5470" s="146"/>
    </row>
    <row r="5471" spans="15:47" ht="14.5" x14ac:dyDescent="0.35">
      <c r="O5471" s="2" t="s">
        <v>191</v>
      </c>
      <c r="P5471" s="10"/>
      <c r="Q5471" s="2"/>
      <c r="R5471" s="181">
        <f>R5470/R5467</f>
        <v>1.3421985646410779</v>
      </c>
      <c r="S5471" s="132"/>
      <c r="T5471" s="146"/>
      <c r="U5471" s="138">
        <f>U5470/U5467</f>
        <v>1.5339372634907804</v>
      </c>
      <c r="V5471" s="132"/>
      <c r="W5471" s="146"/>
      <c r="X5471" s="138">
        <f>X5470/X5467</f>
        <v>1.0459955067367779</v>
      </c>
      <c r="Y5471" s="132"/>
      <c r="Z5471" s="146"/>
      <c r="AA5471" s="138">
        <f>AA5470/AA5467</f>
        <v>1.0113511714077299</v>
      </c>
      <c r="AB5471" s="132"/>
      <c r="AC5471" s="146"/>
      <c r="AD5471" s="138">
        <f>AD5470/AD5467</f>
        <v>1.0041371472867624</v>
      </c>
      <c r="AE5471" s="132"/>
      <c r="AF5471" s="146"/>
      <c r="AG5471" s="138">
        <f>AG5470/AG5467</f>
        <v>1.0020944748380758</v>
      </c>
      <c r="AH5471" s="132"/>
      <c r="AI5471" s="146"/>
      <c r="AJ5471" s="138">
        <f>AJ5470/AJ5467</f>
        <v>1.0012970458014077</v>
      </c>
      <c r="AK5471" s="132"/>
      <c r="AL5471" s="146"/>
      <c r="AM5471" s="138">
        <f>AM5470/AM5467</f>
        <v>1.0009426764023732</v>
      </c>
      <c r="AN5471" s="132"/>
      <c r="AO5471" s="146"/>
      <c r="AP5471" s="138">
        <f>AP5470/AP5467</f>
        <v>1.0007570605609157</v>
      </c>
      <c r="AQ5471" s="132"/>
      <c r="AR5471" s="146"/>
      <c r="AS5471" s="138">
        <f>AS5470/AS5467</f>
        <v>1.0006080376347086</v>
      </c>
      <c r="AT5471" s="132"/>
      <c r="AU5471" s="146"/>
    </row>
    <row r="5472" spans="15:47" x14ac:dyDescent="0.25">
      <c r="O5472" s="2" t="s">
        <v>26</v>
      </c>
      <c r="P5472" s="7">
        <v>12</v>
      </c>
      <c r="Q5472" s="2"/>
      <c r="R5472" s="181">
        <f>1-R5471/(3*F_GAMMA*R$29)</f>
        <v>0.30096760710888826</v>
      </c>
      <c r="S5472" s="133"/>
      <c r="T5472" s="146"/>
      <c r="U5472" s="138">
        <f>1-U5471/(3*F_GAMMA*U$29)</f>
        <v>0.20128379173682076</v>
      </c>
      <c r="V5472" s="133"/>
      <c r="W5472" s="146"/>
      <c r="X5472" s="138">
        <f>1-X5471/(3*F_GAMMA*X$29)</f>
        <v>0.44718293356536576</v>
      </c>
      <c r="Y5472" s="133"/>
      <c r="Z5472" s="146"/>
      <c r="AA5472" s="138">
        <f>1-AA5471/(3*F_GAMMA*AA$29)</f>
        <v>0.45816390605105317</v>
      </c>
      <c r="AB5472" s="133"/>
      <c r="AC5472" s="146"/>
      <c r="AD5472" s="138">
        <f>1-AD5471/(3*F_GAMMA*AD$29)</f>
        <v>0.44727882810362307</v>
      </c>
      <c r="AE5472" s="133"/>
      <c r="AF5472" s="146"/>
      <c r="AG5472" s="138">
        <f>1-AG5471/(3*F_GAMMA*AG$29)</f>
        <v>0.4169392525064437</v>
      </c>
      <c r="AH5472" s="133"/>
      <c r="AI5472" s="146"/>
      <c r="AJ5472" s="138">
        <f>1-AJ5471/(3*F_GAMMA*AJ$29)</f>
        <v>0.37719615516411709</v>
      </c>
      <c r="AK5472" s="133"/>
      <c r="AL5472" s="146"/>
      <c r="AM5472" s="138">
        <f>1-AM5471/(3*F_GAMMA*AM$29)</f>
        <v>0.31976429502726189</v>
      </c>
      <c r="AN5472" s="133"/>
      <c r="AO5472" s="146"/>
      <c r="AP5472" s="138">
        <f>1-AP5471/(3*F_GAMMA*AP$29)</f>
        <v>0.43796302665425035</v>
      </c>
      <c r="AQ5472" s="133"/>
      <c r="AR5472" s="146"/>
      <c r="AS5472" s="138">
        <f>1-AS5471/(3*F_GAMMA*AS$29)</f>
        <v>0.14690609040770675</v>
      </c>
      <c r="AT5472" s="133"/>
      <c r="AU5472" s="146"/>
    </row>
    <row r="5473" spans="15:47" x14ac:dyDescent="0.25">
      <c r="O5473" s="2" t="s">
        <v>71</v>
      </c>
      <c r="P5473" s="85">
        <v>5</v>
      </c>
      <c r="Q5473" s="2"/>
      <c r="R5473" s="179">
        <f>R5465/((N_6*R$27*R5472)*SQRT(R5471*R5467*R5469))</f>
        <v>111.04634880883435</v>
      </c>
      <c r="S5473" s="133"/>
      <c r="T5473" s="146"/>
      <c r="U5473" s="143">
        <f>U5465/((N_6*U$27*U5472)*SQRT(U5471*U5467*U5469))</f>
        <v>215.15940496352033</v>
      </c>
      <c r="V5473" s="133"/>
      <c r="W5473" s="146"/>
      <c r="X5473" s="143">
        <f>X5465/((N_6*X$27*X5472)*SQRT(X5471*X5467*X5469))</f>
        <v>25.041158815507629</v>
      </c>
      <c r="Y5473" s="133"/>
      <c r="Z5473" s="146"/>
      <c r="AA5473" s="143">
        <f>AA5465/((N_6*AA$27*AA5472)*SQRT(AA5471*AA5467*AA5469))</f>
        <v>12.016571876663679</v>
      </c>
      <c r="AB5473" s="133"/>
      <c r="AC5473" s="146"/>
      <c r="AD5473" s="143">
        <f>AD5465/((N_6*AD$27*AD5472)*SQRT(AD5471*AD5467*AD5469))</f>
        <v>7.4929229007541025</v>
      </c>
      <c r="AE5473" s="133"/>
      <c r="AF5473" s="146"/>
      <c r="AG5473" s="143">
        <f>AG5465/((N_6*AG$27*AG5472)*SQRT(AG5471*AG5467*AG5469))</f>
        <v>5.8367433915254319</v>
      </c>
      <c r="AH5473" s="133"/>
      <c r="AI5473" s="146"/>
      <c r="AJ5473" s="143">
        <f>AJ5465/((N_6*AJ$27*AJ5472)*SQRT(AJ5471*AJ5467*AJ5469))</f>
        <v>5.2493037549597501</v>
      </c>
      <c r="AK5473" s="133"/>
      <c r="AL5473" s="146"/>
      <c r="AM5473" s="143">
        <f>AM5465/((N_6*AM$27*AM5472)*SQRT(AM5471*AM5467*AM5469))</f>
        <v>5.6020812701816194</v>
      </c>
      <c r="AN5473" s="133"/>
      <c r="AO5473" s="146"/>
      <c r="AP5473" s="143">
        <f>AP5465/((N_6*AP$27*AP5472)*SQRT(AP5471*AP5467*AP5469))</f>
        <v>4.1633164051829805</v>
      </c>
      <c r="AQ5473" s="133"/>
      <c r="AR5473" s="146"/>
      <c r="AS5473" s="143">
        <f>AS5465/((N_6*AS$27*AS5472)*SQRT(AS5471*AS5467*AS5469))</f>
        <v>14.614762829316032</v>
      </c>
      <c r="AT5473" s="133"/>
      <c r="AU5473" s="146"/>
    </row>
    <row r="5474" spans="15:47" x14ac:dyDescent="0.25">
      <c r="O5474" s="2" t="s">
        <v>73</v>
      </c>
      <c r="P5474" s="85">
        <v>5</v>
      </c>
      <c r="Q5474" s="2"/>
      <c r="R5474" s="179">
        <f>R5465/((N_6*R$27*0.667)*SQRT(R5475*R5467*R5469))</f>
        <v>72.561705684808757</v>
      </c>
      <c r="S5474" s="133"/>
      <c r="T5474" s="155"/>
      <c r="U5474" s="143">
        <f>U5465/((N_6*U$27*0.667)*SQRT(U5475*U5467*U5469))</f>
        <v>100.50789601651884</v>
      </c>
      <c r="V5474" s="133"/>
      <c r="W5474" s="155"/>
      <c r="X5474" s="143">
        <f>X5465/((N_6*X$27*0.667)*SQRT(X5475*X5467*X5469))</f>
        <v>21.620471343632094</v>
      </c>
      <c r="Y5474" s="133"/>
      <c r="Z5474" s="155"/>
      <c r="AA5474" s="143">
        <f>AA5465/((N_6*AA$27*0.667)*SQRT(AA5475*AA5467*AA5469))</f>
        <v>10.523742682345821</v>
      </c>
      <c r="AB5474" s="133"/>
      <c r="AC5474" s="155"/>
      <c r="AD5474" s="143">
        <f>AD5465/((N_6*AD$27*0.667)*SQRT(AD5475*AD5467*AD5469))</f>
        <v>6.4701961805659867</v>
      </c>
      <c r="AE5474" s="133"/>
      <c r="AF5474" s="155"/>
      <c r="AG5474" s="143">
        <f>AG5465/((N_6*AG$27*0.667)*SQRT(AG5475*AG5467*AG5469))</f>
        <v>4.8254195532318995</v>
      </c>
      <c r="AH5474" s="133"/>
      <c r="AI5474" s="155"/>
      <c r="AJ5474" s="143">
        <f>AJ5465/((N_6*AJ$27*0.667)*SQRT(AJ5475*AJ5467*AJ5469))</f>
        <v>4.057694977875296</v>
      </c>
      <c r="AK5474" s="133"/>
      <c r="AL5474" s="155"/>
      <c r="AM5474" s="143">
        <f>AM5465/((N_6*AM$27*0.667)*SQRT(AM5475*AM5467*AM5469))</f>
        <v>3.8365766473506651</v>
      </c>
      <c r="AN5474" s="133"/>
      <c r="AO5474" s="155"/>
      <c r="AP5474" s="143">
        <f>AP5465/((N_6*AP$27*0.667)*SQRT(AP5475*AP5467*AP5469))</f>
        <v>3.5497200437499785</v>
      </c>
      <c r="AQ5474" s="133"/>
      <c r="AR5474" s="155"/>
      <c r="AS5474" s="143">
        <f>AS5465/((N_6*AS$27*0.667)*SQRT(AS5475*AS5467*AS5469))</f>
        <v>5.1494967358342567</v>
      </c>
      <c r="AT5474" s="133"/>
      <c r="AU5474" s="155"/>
    </row>
    <row r="5475" spans="15:47" ht="15.5" x14ac:dyDescent="0.4">
      <c r="O5475" s="2" t="s">
        <v>192</v>
      </c>
      <c r="P5475" s="85">
        <v>10</v>
      </c>
      <c r="Q5475" s="2"/>
      <c r="R5475" s="181">
        <f>F_GAMMA*R$29</f>
        <v>0.64002688015162901</v>
      </c>
      <c r="S5475" s="133"/>
      <c r="T5475" s="155"/>
      <c r="U5475" s="138">
        <f>F_GAMMA*U$29</f>
        <v>0.64016782916606918</v>
      </c>
      <c r="V5475" s="133"/>
      <c r="W5475" s="155"/>
      <c r="X5475" s="138">
        <f>F_GAMMA*X$29</f>
        <v>0.6307062319203669</v>
      </c>
      <c r="Y5475" s="133"/>
      <c r="Z5475" s="155"/>
      <c r="AA5475" s="138">
        <f>F_GAMMA*AA$29</f>
        <v>0.62217534213893466</v>
      </c>
      <c r="AB5475" s="133"/>
      <c r="AC5475" s="155"/>
      <c r="AD5475" s="138">
        <f>F_GAMMA*AD$29</f>
        <v>0.60557184969146072</v>
      </c>
      <c r="AE5475" s="133"/>
      <c r="AF5475" s="155"/>
      <c r="AG5475" s="138">
        <f>F_GAMMA*AG$29</f>
        <v>0.57289312142622573</v>
      </c>
      <c r="AH5475" s="133"/>
      <c r="AI5475" s="155"/>
      <c r="AJ5475" s="138">
        <f>F_GAMMA*AJ$29</f>
        <v>0.53590819116049981</v>
      </c>
      <c r="AK5475" s="133"/>
      <c r="AL5475" s="155"/>
      <c r="AM5475" s="138">
        <f>F_GAMMA*AM$29</f>
        <v>0.49048815926850342</v>
      </c>
      <c r="AN5475" s="133"/>
      <c r="AO5475" s="155"/>
      <c r="AP5475" s="138">
        <f>F_GAMMA*AP$29</f>
        <v>0.59352979016280105</v>
      </c>
      <c r="AQ5475" s="133"/>
      <c r="AR5475" s="155"/>
      <c r="AS5475" s="138">
        <f>F_GAMMA*AS$29</f>
        <v>0.39097221161068291</v>
      </c>
      <c r="AT5475" s="133"/>
      <c r="AU5475" s="155"/>
    </row>
    <row r="5476" spans="15:47" x14ac:dyDescent="0.25">
      <c r="O5476" s="2" t="s">
        <v>193</v>
      </c>
      <c r="P5476" s="134"/>
      <c r="Q5476" s="2"/>
      <c r="R5476" s="181">
        <f>IF(R5471&lt;R5475,R5473,R5474)</f>
        <v>72.561705684808757</v>
      </c>
      <c r="S5476" s="133"/>
      <c r="T5476" s="155"/>
      <c r="U5476" s="138">
        <f>IF(U5471&lt;U5475,U5473,U5474)</f>
        <v>100.50789601651884</v>
      </c>
      <c r="V5476" s="133"/>
      <c r="W5476" s="155"/>
      <c r="X5476" s="138">
        <f>IF(X5471&lt;X5475,X5473,X5474)</f>
        <v>21.620471343632094</v>
      </c>
      <c r="Y5476" s="133"/>
      <c r="Z5476" s="155"/>
      <c r="AA5476" s="138">
        <f>IF(AA5471&lt;AA5475,AA5473,AA5474)</f>
        <v>10.523742682345821</v>
      </c>
      <c r="AB5476" s="133"/>
      <c r="AC5476" s="155"/>
      <c r="AD5476" s="138">
        <f>IF(AD5471&lt;AD5475,AD5473,AD5474)</f>
        <v>6.4701961805659867</v>
      </c>
      <c r="AE5476" s="133"/>
      <c r="AF5476" s="155"/>
      <c r="AG5476" s="138">
        <f>IF(AG5471&lt;AG5475,AG5473,AG5474)</f>
        <v>4.8254195532318995</v>
      </c>
      <c r="AH5476" s="133"/>
      <c r="AI5476" s="155"/>
      <c r="AJ5476" s="138">
        <f>IF(AJ5471&lt;AJ5475,AJ5473,AJ5474)</f>
        <v>4.057694977875296</v>
      </c>
      <c r="AK5476" s="133"/>
      <c r="AL5476" s="155"/>
      <c r="AM5476" s="138">
        <f>IF(AM5471&lt;AM5475,AM5473,AM5474)</f>
        <v>3.8365766473506651</v>
      </c>
      <c r="AN5476" s="133"/>
      <c r="AO5476" s="155"/>
      <c r="AP5476" s="138">
        <f>IF(AP5471&lt;AP5475,AP5473,AP5474)</f>
        <v>3.5497200437499785</v>
      </c>
      <c r="AQ5476" s="133"/>
      <c r="AR5476" s="155"/>
      <c r="AS5476" s="138">
        <f>IF(AS5471&lt;AS5475,AS5473,AS5474)</f>
        <v>5.1494967358342567</v>
      </c>
      <c r="AT5476" s="133"/>
      <c r="AU5476" s="155"/>
    </row>
    <row r="5477" spans="15:47" ht="13" x14ac:dyDescent="0.3">
      <c r="O5477" s="9" t="s">
        <v>194</v>
      </c>
      <c r="P5477" s="1"/>
      <c r="Q5477" s="1"/>
      <c r="R5477" s="135"/>
      <c r="S5477" s="132">
        <f>IF(R5470&lt;=0,W_max,ABS(R$23-R5476))</f>
        <v>7174</v>
      </c>
      <c r="T5477" s="151">
        <f>R5465</f>
        <v>24869.790697958462</v>
      </c>
      <c r="U5477" s="135"/>
      <c r="V5477" s="132">
        <f>IF(U5470&lt;=0,W_max,ABS(U$23-U5476))</f>
        <v>7174</v>
      </c>
      <c r="W5477" s="151">
        <f>U5465</f>
        <v>22066.356679799155</v>
      </c>
      <c r="X5477" s="135"/>
      <c r="Y5477" s="132">
        <f>IF(X5470&lt;=0,W_max,ABS(X$23-X5476))</f>
        <v>7174</v>
      </c>
      <c r="Z5477" s="151">
        <f>X5465</f>
        <v>54572.725996370049</v>
      </c>
      <c r="AA5477" s="135"/>
      <c r="AB5477" s="132">
        <f>IF(AA5470&lt;=0,W_max,ABS(AA$23-AA5476))</f>
        <v>7174</v>
      </c>
      <c r="AC5477" s="151">
        <f>AA5465</f>
        <v>106293.74080292443</v>
      </c>
      <c r="AD5477" s="135"/>
      <c r="AE5477" s="132">
        <f>IF(AD5470&lt;=0,W_max,ABS(AD$23-AD5476))</f>
        <v>7174</v>
      </c>
      <c r="AF5477" s="151">
        <f>AD5465</f>
        <v>174814.06858731509</v>
      </c>
      <c r="AG5477" s="135"/>
      <c r="AH5477" s="132">
        <f>IF(AG5470&lt;=0,W_max,ABS(AG$23-AG5476))</f>
        <v>7174</v>
      </c>
      <c r="AI5477" s="151">
        <f>AG5465</f>
        <v>245190.18945923739</v>
      </c>
      <c r="AJ5477" s="135"/>
      <c r="AK5477" s="132">
        <f>IF(AJ5470&lt;=0,W_max,ABS(AJ$23-AJ5476))</f>
        <v>7174</v>
      </c>
      <c r="AL5477" s="151">
        <f>AJ5465</f>
        <v>311326.47903649852</v>
      </c>
      <c r="AM5477" s="135"/>
      <c r="AN5477" s="132">
        <f>IF(AM5470&lt;=0,W_max,ABS(AM$23-AM5476))</f>
        <v>7174</v>
      </c>
      <c r="AO5477" s="151">
        <f>AM5465</f>
        <v>365054.78091748373</v>
      </c>
      <c r="AP5477" s="135"/>
      <c r="AQ5477" s="132">
        <f>IF(AP5470&lt;=0,W_max,ABS(AP$23-AP5476))</f>
        <v>7174</v>
      </c>
      <c r="AR5477" s="151">
        <f>AP5465</f>
        <v>407280.06386847852</v>
      </c>
      <c r="AS5477" s="135"/>
      <c r="AT5477" s="132">
        <f>IF(AS5470&lt;=0,W_max,ABS(AS$23-AS5476))</f>
        <v>7174</v>
      </c>
      <c r="AU5477" s="151">
        <f>AS5465</f>
        <v>454389.47548588994</v>
      </c>
    </row>
    <row r="5478" spans="15:47" ht="13" x14ac:dyDescent="0.25">
      <c r="O5478" s="2"/>
      <c r="P5478" s="85"/>
      <c r="Q5478" s="2"/>
      <c r="R5478" s="18"/>
      <c r="S5478" s="150"/>
      <c r="T5478" s="152"/>
      <c r="U5478" s="157"/>
      <c r="V5478" s="1"/>
      <c r="W5478" s="147"/>
      <c r="X5478" s="157"/>
      <c r="Y5478" s="1"/>
      <c r="Z5478" s="147"/>
      <c r="AA5478" s="157"/>
      <c r="AB5478" s="1"/>
      <c r="AC5478" s="147"/>
      <c r="AD5478" s="157"/>
      <c r="AE5478" s="1"/>
      <c r="AF5478" s="147"/>
      <c r="AG5478" s="157"/>
      <c r="AH5478" s="1"/>
      <c r="AI5478" s="147"/>
      <c r="AJ5478" s="157"/>
      <c r="AK5478" s="1"/>
      <c r="AL5478" s="147"/>
      <c r="AM5478" s="157"/>
      <c r="AN5478" s="1"/>
      <c r="AO5478" s="147"/>
      <c r="AP5478" s="157"/>
      <c r="AQ5478" s="1"/>
      <c r="AR5478" s="147"/>
      <c r="AS5478" s="157"/>
      <c r="AT5478" s="1"/>
      <c r="AU5478" s="147"/>
    </row>
    <row r="5479" spans="15:47" ht="14" x14ac:dyDescent="0.3">
      <c r="O5479" s="23" t="s">
        <v>238</v>
      </c>
      <c r="P5479" s="20"/>
      <c r="Q5479" s="20"/>
      <c r="R5479" s="181">
        <f>R5465*1.02</f>
        <v>25367.186511917633</v>
      </c>
      <c r="S5479" s="128" t="s">
        <v>185</v>
      </c>
      <c r="T5479" s="153" t="s">
        <v>186</v>
      </c>
      <c r="U5479" s="143">
        <f>U5465*1.01</f>
        <v>22287.020246597149</v>
      </c>
      <c r="V5479" s="128" t="s">
        <v>185</v>
      </c>
      <c r="W5479" s="153" t="s">
        <v>186</v>
      </c>
      <c r="X5479" s="143">
        <f>X5465*1.01</f>
        <v>55118.453256333749</v>
      </c>
      <c r="Y5479" s="128" t="s">
        <v>185</v>
      </c>
      <c r="Z5479" s="153" t="s">
        <v>186</v>
      </c>
      <c r="AA5479" s="143">
        <f>AA5465*1.01</f>
        <v>107356.67821095367</v>
      </c>
      <c r="AB5479" s="128" t="s">
        <v>185</v>
      </c>
      <c r="AC5479" s="153" t="s">
        <v>186</v>
      </c>
      <c r="AD5479" s="143">
        <f>AD5465*1.01</f>
        <v>176562.20927318826</v>
      </c>
      <c r="AE5479" s="128" t="s">
        <v>185</v>
      </c>
      <c r="AF5479" s="153" t="s">
        <v>186</v>
      </c>
      <c r="AG5479" s="143">
        <f>AG5465*1.01</f>
        <v>247642.09135382978</v>
      </c>
      <c r="AH5479" s="128" t="s">
        <v>185</v>
      </c>
      <c r="AI5479" s="153" t="s">
        <v>186</v>
      </c>
      <c r="AJ5479" s="143">
        <f>AJ5465*1.01</f>
        <v>314439.74382686353</v>
      </c>
      <c r="AK5479" s="128" t="s">
        <v>185</v>
      </c>
      <c r="AL5479" s="153" t="s">
        <v>186</v>
      </c>
      <c r="AM5479" s="143">
        <f>AM5465*1.01</f>
        <v>368705.3287266586</v>
      </c>
      <c r="AN5479" s="128" t="s">
        <v>185</v>
      </c>
      <c r="AO5479" s="153" t="s">
        <v>186</v>
      </c>
      <c r="AP5479" s="143">
        <f>AP5465*1.01</f>
        <v>411352.86450716329</v>
      </c>
      <c r="AQ5479" s="128" t="s">
        <v>185</v>
      </c>
      <c r="AR5479" s="153" t="s">
        <v>186</v>
      </c>
      <c r="AS5479" s="143">
        <f>AS5465*1.01</f>
        <v>458933.37024074886</v>
      </c>
      <c r="AT5479" s="128" t="s">
        <v>185</v>
      </c>
      <c r="AU5479" s="153" t="s">
        <v>186</v>
      </c>
    </row>
    <row r="5480" spans="15:47" ht="14" x14ac:dyDescent="0.3">
      <c r="O5480" s="20"/>
      <c r="P5480" s="20"/>
      <c r="Q5480" s="23"/>
      <c r="R5480" s="139"/>
      <c r="S5480" s="130" t="s">
        <v>228</v>
      </c>
      <c r="T5480" s="154" t="s">
        <v>187</v>
      </c>
      <c r="U5480" s="144"/>
      <c r="V5480" s="130" t="s">
        <v>228</v>
      </c>
      <c r="W5480" s="154" t="s">
        <v>187</v>
      </c>
      <c r="X5480" s="144"/>
      <c r="Y5480" s="130" t="s">
        <v>228</v>
      </c>
      <c r="Z5480" s="154" t="s">
        <v>187</v>
      </c>
      <c r="AA5480" s="144"/>
      <c r="AB5480" s="130" t="s">
        <v>228</v>
      </c>
      <c r="AC5480" s="154" t="s">
        <v>187</v>
      </c>
      <c r="AD5480" s="144"/>
      <c r="AE5480" s="130" t="s">
        <v>228</v>
      </c>
      <c r="AF5480" s="154" t="s">
        <v>187</v>
      </c>
      <c r="AG5480" s="144"/>
      <c r="AH5480" s="130" t="s">
        <v>228</v>
      </c>
      <c r="AI5480" s="154" t="s">
        <v>187</v>
      </c>
      <c r="AJ5480" s="144"/>
      <c r="AK5480" s="130" t="s">
        <v>228</v>
      </c>
      <c r="AL5480" s="154" t="s">
        <v>187</v>
      </c>
      <c r="AM5480" s="144"/>
      <c r="AN5480" s="130" t="s">
        <v>228</v>
      </c>
      <c r="AO5480" s="154" t="s">
        <v>187</v>
      </c>
      <c r="AP5480" s="144"/>
      <c r="AQ5480" s="130" t="s">
        <v>228</v>
      </c>
      <c r="AR5480" s="154" t="s">
        <v>187</v>
      </c>
      <c r="AS5480" s="144"/>
      <c r="AT5480" s="130" t="s">
        <v>228</v>
      </c>
      <c r="AU5480" s="154" t="s">
        <v>187</v>
      </c>
    </row>
    <row r="5481" spans="15:47" x14ac:dyDescent="0.25">
      <c r="O5481" s="7" t="s">
        <v>188</v>
      </c>
      <c r="P5481" s="7"/>
      <c r="Q5481" s="7"/>
      <c r="R5481" s="181">
        <f>P_1_minW-(R5479^2*R_up)+dpup_minQ</f>
        <v>-156.07812291894064</v>
      </c>
      <c r="S5481" s="132"/>
      <c r="T5481" s="145"/>
      <c r="U5481" s="138">
        <f>P_1_minW-(U5479^2*R_up)+dpup_minQ</f>
        <v>-97.546712096897394</v>
      </c>
      <c r="V5481" s="132"/>
      <c r="W5481" s="145"/>
      <c r="X5481" s="138">
        <f>P_1_minW-(X5479^2*R_up)+dpup_minQ</f>
        <v>-1110.9331740242508</v>
      </c>
      <c r="Y5481" s="132"/>
      <c r="Z5481" s="145"/>
      <c r="AA5481" s="138">
        <f>P_1_minW-(AA5479^2*R_up)+dpup_minQ</f>
        <v>-4495.3893567356508</v>
      </c>
      <c r="AB5481" s="132"/>
      <c r="AC5481" s="145"/>
      <c r="AD5481" s="138">
        <f>P_1_minW-(AD5479^2*R_up)+dpup_minQ</f>
        <v>-12330.563937733708</v>
      </c>
      <c r="AE5481" s="132"/>
      <c r="AF5481" s="145"/>
      <c r="AG5481" s="138">
        <f>P_1_minW-(AG5479^2*R_up)+dpup_minQ</f>
        <v>-24354.187014276358</v>
      </c>
      <c r="AH5481" s="132"/>
      <c r="AI5481" s="145"/>
      <c r="AJ5481" s="138">
        <f>P_1_minW-(AJ5479^2*R_up)+dpup_minQ</f>
        <v>-39325.998076613578</v>
      </c>
      <c r="AK5481" s="132"/>
      <c r="AL5481" s="145"/>
      <c r="AM5481" s="138">
        <f>P_1_minW-(AM5479^2*R_up)+dpup_minQ</f>
        <v>-54108.604561238615</v>
      </c>
      <c r="AN5481" s="132"/>
      <c r="AO5481" s="145"/>
      <c r="AP5481" s="138">
        <f>P_1_minW-(AP5479^2*R_up)+dpup_minQ</f>
        <v>-67374.437766545598</v>
      </c>
      <c r="AQ5481" s="132"/>
      <c r="AR5481" s="145"/>
      <c r="AS5481" s="138">
        <f>P_1_minW-(AS5479^2*R_up)+dpup_minQ</f>
        <v>-83886.630750001539</v>
      </c>
      <c r="AT5481" s="132"/>
      <c r="AU5481" s="145"/>
    </row>
    <row r="5482" spans="15:47" x14ac:dyDescent="0.25">
      <c r="O5482" s="7" t="s">
        <v>189</v>
      </c>
      <c r="P5482" s="1"/>
      <c r="Q5482" s="7"/>
      <c r="R5482" s="181">
        <f>P_2_minW+(R5479^2*R_dn)-dpdn_minQ</f>
        <v>50</v>
      </c>
      <c r="S5482" s="132"/>
      <c r="T5482" s="146"/>
      <c r="U5482" s="138">
        <f>P_2_minW+(U5479^2*R_dn)-dpdn_minQ</f>
        <v>50</v>
      </c>
      <c r="V5482" s="132"/>
      <c r="W5482" s="146"/>
      <c r="X5482" s="138">
        <f>P_2_minW+(X5479^2*R_dn)-dpdn_minQ</f>
        <v>50</v>
      </c>
      <c r="Y5482" s="132"/>
      <c r="Z5482" s="146"/>
      <c r="AA5482" s="138">
        <f>P_2_minW+(AA5479^2*R_dn)-dpdn_minQ</f>
        <v>50</v>
      </c>
      <c r="AB5482" s="132"/>
      <c r="AC5482" s="146"/>
      <c r="AD5482" s="138">
        <f>P_2_minW+(AD5479^2*R_dn)-dpdn_minQ</f>
        <v>50</v>
      </c>
      <c r="AE5482" s="132"/>
      <c r="AF5482" s="146"/>
      <c r="AG5482" s="138">
        <f>P_2_minW+(AG5479^2*R_dn)-dpdn_minQ</f>
        <v>50</v>
      </c>
      <c r="AH5482" s="132"/>
      <c r="AI5482" s="146"/>
      <c r="AJ5482" s="138">
        <f>P_2_minW+(AJ5479^2*R_dn)-dpdn_minQ</f>
        <v>50</v>
      </c>
      <c r="AK5482" s="132"/>
      <c r="AL5482" s="146"/>
      <c r="AM5482" s="138">
        <f>P_2_minW+(AM5479^2*R_dn)-dpdn_minQ</f>
        <v>50</v>
      </c>
      <c r="AN5482" s="132"/>
      <c r="AO5482" s="146"/>
      <c r="AP5482" s="138">
        <f>P_2_minW+(AP5479^2*R_dn)-dpdn_minQ</f>
        <v>50</v>
      </c>
      <c r="AQ5482" s="132"/>
      <c r="AR5482" s="146"/>
      <c r="AS5482" s="138">
        <f>P_2_minW+(AS5479^2*R_dn)-dpdn_minQ</f>
        <v>50</v>
      </c>
      <c r="AT5482" s="132"/>
      <c r="AU5482" s="146"/>
    </row>
    <row r="5483" spans="15:47" x14ac:dyDescent="0.25">
      <c r="O5483" s="7" t="s">
        <v>234</v>
      </c>
      <c r="P5483" s="1"/>
      <c r="Q5483" s="7"/>
      <c r="R5483" s="179">
        <f>'Valve Sizing'!G$8*R5481/P_1_maxW</f>
        <v>-0.75289307696392727</v>
      </c>
      <c r="S5483" s="132"/>
      <c r="T5483" s="146"/>
      <c r="U5483" s="143">
        <f>'Valve Sizing'!$G$8*U5481/P_1_maxW</f>
        <v>-0.47054797203378557</v>
      </c>
      <c r="V5483" s="132"/>
      <c r="W5483" s="146"/>
      <c r="X5483" s="143">
        <f>'Valve Sizing'!$G$8*X5481/P_1_maxW</f>
        <v>-5.3589438420323194</v>
      </c>
      <c r="Y5483" s="132"/>
      <c r="Z5483" s="146"/>
      <c r="AA5483" s="143">
        <f>'Valve Sizing'!$G$8*AA5481/P_1_maxW</f>
        <v>-21.684957902148547</v>
      </c>
      <c r="AB5483" s="132"/>
      <c r="AC5483" s="146"/>
      <c r="AD5483" s="143">
        <f>'Valve Sizing'!$G$8*AD5481/P_1_maxW</f>
        <v>-59.48044511402933</v>
      </c>
      <c r="AE5483" s="132"/>
      <c r="AF5483" s="146"/>
      <c r="AG5483" s="143">
        <f>'Valve Sizing'!$G$8*AG5481/P_1_maxW</f>
        <v>-117.48026216112507</v>
      </c>
      <c r="AH5483" s="132"/>
      <c r="AI5483" s="146"/>
      <c r="AJ5483" s="143">
        <f>'Valve Sizing'!$G$8*AJ5481/P_1_maxW</f>
        <v>-189.70161315917525</v>
      </c>
      <c r="AK5483" s="132"/>
      <c r="AL5483" s="146"/>
      <c r="AM5483" s="143">
        <f>'Valve Sizing'!$G$8*AM5481/P_1_maxW</f>
        <v>-261.01027496014069</v>
      </c>
      <c r="AN5483" s="132"/>
      <c r="AO5483" s="146"/>
      <c r="AP5483" s="143">
        <f>'Valve Sizing'!$G$8*AP5481/P_1_maxW</f>
        <v>-325.0022925065137</v>
      </c>
      <c r="AQ5483" s="132"/>
      <c r="AR5483" s="146"/>
      <c r="AS5483" s="143">
        <f>'Valve Sizing'!$G$8*AS5481/P_1_maxW</f>
        <v>-404.65417164394313</v>
      </c>
      <c r="AT5483" s="132"/>
      <c r="AU5483" s="146"/>
    </row>
    <row r="5484" spans="15:47" x14ac:dyDescent="0.25">
      <c r="O5484" s="7" t="s">
        <v>190</v>
      </c>
      <c r="P5484" s="1"/>
      <c r="Q5484" s="7"/>
      <c r="R5484" s="181">
        <f>R5481-R5482</f>
        <v>-206.07812291894064</v>
      </c>
      <c r="S5484" s="132"/>
      <c r="T5484" s="146"/>
      <c r="U5484" s="138">
        <f>U5481-U5482</f>
        <v>-147.54671209689741</v>
      </c>
      <c r="V5484" s="132"/>
      <c r="W5484" s="146"/>
      <c r="X5484" s="138">
        <f>X5481-X5482</f>
        <v>-1160.9331740242508</v>
      </c>
      <c r="Y5484" s="132"/>
      <c r="Z5484" s="146"/>
      <c r="AA5484" s="138">
        <f>AA5481-AA5482</f>
        <v>-4545.3893567356508</v>
      </c>
      <c r="AB5484" s="132"/>
      <c r="AC5484" s="146"/>
      <c r="AD5484" s="138">
        <f>AD5481-AD5482</f>
        <v>-12380.563937733708</v>
      </c>
      <c r="AE5484" s="132"/>
      <c r="AF5484" s="146"/>
      <c r="AG5484" s="138">
        <f>AG5481-AG5482</f>
        <v>-24404.187014276358</v>
      </c>
      <c r="AH5484" s="132"/>
      <c r="AI5484" s="146"/>
      <c r="AJ5484" s="138">
        <f>AJ5481-AJ5482</f>
        <v>-39375.998076613578</v>
      </c>
      <c r="AK5484" s="132"/>
      <c r="AL5484" s="146"/>
      <c r="AM5484" s="138">
        <f>AM5481-AM5482</f>
        <v>-54158.604561238615</v>
      </c>
      <c r="AN5484" s="132"/>
      <c r="AO5484" s="146"/>
      <c r="AP5484" s="138">
        <f>AP5481-AP5482</f>
        <v>-67424.437766545598</v>
      </c>
      <c r="AQ5484" s="132"/>
      <c r="AR5484" s="146"/>
      <c r="AS5484" s="138">
        <f>AS5481-AS5482</f>
        <v>-83936.630750001539</v>
      </c>
      <c r="AT5484" s="132"/>
      <c r="AU5484" s="146"/>
    </row>
    <row r="5485" spans="15:47" ht="14.5" x14ac:dyDescent="0.35">
      <c r="O5485" s="2" t="s">
        <v>191</v>
      </c>
      <c r="P5485" s="10"/>
      <c r="Q5485" s="2"/>
      <c r="R5485" s="181">
        <f>R5484/R5481</f>
        <v>1.3203523918977906</v>
      </c>
      <c r="S5485" s="132"/>
      <c r="T5485" s="146"/>
      <c r="U5485" s="138">
        <f>U5484/U5481</f>
        <v>1.5125749389721392</v>
      </c>
      <c r="V5485" s="132"/>
      <c r="W5485" s="146"/>
      <c r="X5485" s="138">
        <f>X5484/X5481</f>
        <v>1.0450072076062682</v>
      </c>
      <c r="Y5485" s="132"/>
      <c r="Z5485" s="146"/>
      <c r="AA5485" s="138">
        <f>AA5484/AA5481</f>
        <v>1.0111225070916454</v>
      </c>
      <c r="AB5485" s="132"/>
      <c r="AC5485" s="146"/>
      <c r="AD5485" s="138">
        <f>AD5484/AD5481</f>
        <v>1.0040549645784644</v>
      </c>
      <c r="AE5485" s="132"/>
      <c r="AF5485" s="146"/>
      <c r="AG5485" s="138">
        <f>AG5484/AG5481</f>
        <v>1.0020530350682899</v>
      </c>
      <c r="AH5485" s="132"/>
      <c r="AI5485" s="146"/>
      <c r="AJ5485" s="138">
        <f>AJ5484/AJ5481</f>
        <v>1.0012714235479183</v>
      </c>
      <c r="AK5485" s="132"/>
      <c r="AL5485" s="146"/>
      <c r="AM5485" s="138">
        <f>AM5484/AM5481</f>
        <v>1.0009240674455653</v>
      </c>
      <c r="AN5485" s="132"/>
      <c r="AO5485" s="146"/>
      <c r="AP5485" s="138">
        <f>AP5484/AP5481</f>
        <v>1.0007421212207106</v>
      </c>
      <c r="AQ5485" s="132"/>
      <c r="AR5485" s="146"/>
      <c r="AS5485" s="138">
        <f>AS5484/AS5481</f>
        <v>1.0005960425344655</v>
      </c>
      <c r="AT5485" s="132"/>
      <c r="AU5485" s="146"/>
    </row>
    <row r="5486" spans="15:47" x14ac:dyDescent="0.25">
      <c r="O5486" s="2" t="s">
        <v>26</v>
      </c>
      <c r="P5486" s="7">
        <v>12</v>
      </c>
      <c r="Q5486" s="2"/>
      <c r="R5486" s="181">
        <f>1-R5485/(3*F_GAMMA*R$29)</f>
        <v>0.31234534421169646</v>
      </c>
      <c r="S5486" s="133"/>
      <c r="T5486" s="146"/>
      <c r="U5486" s="138">
        <f>1-U5485/(3*F_GAMMA*U$29)</f>
        <v>0.21240708552811161</v>
      </c>
      <c r="V5486" s="133"/>
      <c r="W5486" s="146"/>
      <c r="X5486" s="138">
        <f>1-X5485/(3*F_GAMMA*X$29)</f>
        <v>0.44770525763135793</v>
      </c>
      <c r="Y5486" s="133"/>
      <c r="Z5486" s="146"/>
      <c r="AA5486" s="138">
        <f>1-AA5485/(3*F_GAMMA*AA$29)</f>
        <v>0.4582864140219296</v>
      </c>
      <c r="AB5486" s="133"/>
      <c r="AC5486" s="146"/>
      <c r="AD5486" s="138">
        <f>1-AD5485/(3*F_GAMMA*AD$29)</f>
        <v>0.44732406507445199</v>
      </c>
      <c r="AE5486" s="133"/>
      <c r="AF5486" s="146"/>
      <c r="AG5486" s="138">
        <f>1-AG5485/(3*F_GAMMA*AG$29)</f>
        <v>0.41696336390886535</v>
      </c>
      <c r="AH5486" s="133"/>
      <c r="AI5486" s="146"/>
      <c r="AJ5486" s="138">
        <f>1-AJ5485/(3*F_GAMMA*AJ$29)</f>
        <v>0.3772120921311275</v>
      </c>
      <c r="AK5486" s="133"/>
      <c r="AL5486" s="146"/>
      <c r="AM5486" s="138">
        <f>1-AM5485/(3*F_GAMMA*AM$29)</f>
        <v>0.3197769415825058</v>
      </c>
      <c r="AN5486" s="133"/>
      <c r="AO5486" s="146"/>
      <c r="AP5486" s="138">
        <f>1-AP5485/(3*F_GAMMA*AP$29)</f>
        <v>0.43797141676398188</v>
      </c>
      <c r="AQ5486" s="133"/>
      <c r="AR5486" s="146"/>
      <c r="AS5486" s="138">
        <f>1-AS5485/(3*F_GAMMA*AS$29)</f>
        <v>0.14691631713643316</v>
      </c>
      <c r="AT5486" s="133"/>
      <c r="AU5486" s="146"/>
    </row>
    <row r="5487" spans="15:47" x14ac:dyDescent="0.25">
      <c r="O5487" s="2" t="s">
        <v>71</v>
      </c>
      <c r="P5487" s="85">
        <v>5</v>
      </c>
      <c r="Q5487" s="2"/>
      <c r="R5487" s="179">
        <f>R5479/((N_6*R$27*R5486)*SQRT(R5485*R5481*R5483))</f>
        <v>103.01546283232713</v>
      </c>
      <c r="S5487" s="133"/>
      <c r="T5487" s="146"/>
      <c r="U5487" s="143">
        <f>U5479/((N_6*U$27*U5486)*SQRT(U5485*U5481*U5483))</f>
        <v>199.08291874698816</v>
      </c>
      <c r="V5487" s="133"/>
      <c r="W5487" s="146"/>
      <c r="X5487" s="143">
        <f>X5479/((N_6*X$27*X5486)*SQRT(X5485*X5481*X5483))</f>
        <v>24.73094717805672</v>
      </c>
      <c r="Y5487" s="133"/>
      <c r="Z5487" s="146"/>
      <c r="AA5487" s="143">
        <f>AA5479/((N_6*AA$27*AA5486)*SQRT(AA5485*AA5481*AA5483))</f>
        <v>11.890413665235567</v>
      </c>
      <c r="AB5487" s="133"/>
      <c r="AC5487" s="146"/>
      <c r="AD5487" s="143">
        <f>AD5479/((N_6*AD$27*AD5486)*SQRT(AD5485*AD5481*AD5483))</f>
        <v>7.417073307589936</v>
      </c>
      <c r="AE5487" s="133"/>
      <c r="AF5487" s="146"/>
      <c r="AG5487" s="143">
        <f>AG5479/((N_6*AG$27*AG5486)*SQRT(AG5485*AG5481*AG5483))</f>
        <v>5.7782597396153177</v>
      </c>
      <c r="AH5487" s="133"/>
      <c r="AI5487" s="146"/>
      <c r="AJ5487" s="143">
        <f>AJ5479/((N_6*AJ$27*AJ5486)*SQRT(AJ5485*AJ5481*AJ5483))</f>
        <v>5.1969103396697065</v>
      </c>
      <c r="AK5487" s="133"/>
      <c r="AL5487" s="146"/>
      <c r="AM5487" s="143">
        <f>AM5479/((N_6*AM$27*AM5486)*SQRT(AM5485*AM5481*AM5483))</f>
        <v>5.5462402057553852</v>
      </c>
      <c r="AN5487" s="133"/>
      <c r="AO5487" s="146"/>
      <c r="AP5487" s="143">
        <f>AP5479/((N_6*AP$27*AP5486)*SQRT(AP5485*AP5481*AP5483))</f>
        <v>4.1219236348182671</v>
      </c>
      <c r="AQ5487" s="133"/>
      <c r="AR5487" s="146"/>
      <c r="AS5487" s="143">
        <f>AS5479/((N_6*AS$27*AS5486)*SQRT(AS5485*AS5481*AS5483))</f>
        <v>14.468793178309264</v>
      </c>
      <c r="AT5487" s="133"/>
      <c r="AU5487" s="146"/>
    </row>
    <row r="5488" spans="15:47" x14ac:dyDescent="0.25">
      <c r="O5488" s="2" t="s">
        <v>73</v>
      </c>
      <c r="P5488" s="85">
        <v>5</v>
      </c>
      <c r="Q5488" s="2"/>
      <c r="R5488" s="179">
        <f>R5479/((N_6*R$27*0.667)*SQRT(R5489*R5481*R5483))</f>
        <v>69.287906922424412</v>
      </c>
      <c r="S5488" s="133"/>
      <c r="T5488" s="155"/>
      <c r="U5488" s="143">
        <f>U5479/((N_6*U$27*0.667)*SQRT(U5489*U5481*U5483))</f>
        <v>97.451536934081318</v>
      </c>
      <c r="V5488" s="133"/>
      <c r="W5488" s="155"/>
      <c r="X5488" s="143">
        <f>X5479/((N_6*X$27*0.667)*SQRT(X5489*X5481*X5483))</f>
        <v>21.367474400395189</v>
      </c>
      <c r="Y5488" s="133"/>
      <c r="Z5488" s="155"/>
      <c r="AA5488" s="143">
        <f>AA5479/((N_6*AA$27*0.667)*SQRT(AA5489*AA5481*AA5483))</f>
        <v>10.41486401665019</v>
      </c>
      <c r="AB5488" s="133"/>
      <c r="AC5488" s="155"/>
      <c r="AD5488" s="143">
        <f>AD5479/((N_6*AD$27*0.667)*SQRT(AD5489*AD5481*AD5483))</f>
        <v>6.4050851116607062</v>
      </c>
      <c r="AE5488" s="133"/>
      <c r="AF5488" s="155"/>
      <c r="AG5488" s="143">
        <f>AG5479/((N_6*AG$27*0.667)*SQRT(AG5489*AG5481*AG5483))</f>
        <v>4.7772467521305959</v>
      </c>
      <c r="AH5488" s="133"/>
      <c r="AI5488" s="155"/>
      <c r="AJ5488" s="143">
        <f>AJ5479/((N_6*AJ$27*0.667)*SQRT(AJ5489*AJ5481*AJ5483))</f>
        <v>4.0173133662184064</v>
      </c>
      <c r="AK5488" s="133"/>
      <c r="AL5488" s="155"/>
      <c r="AM5488" s="143">
        <f>AM5479/((N_6*AM$27*0.667)*SQRT(AM5489*AM5481*AM5483))</f>
        <v>3.7984488940637577</v>
      </c>
      <c r="AN5488" s="133"/>
      <c r="AO5488" s="155"/>
      <c r="AP5488" s="143">
        <f>AP5479/((N_6*AP$27*0.667)*SQRT(AP5489*AP5481*AP5483))</f>
        <v>3.5144689013392503</v>
      </c>
      <c r="AQ5488" s="133"/>
      <c r="AR5488" s="155"/>
      <c r="AS5488" s="143">
        <f>AS5479/((N_6*AS$27*0.667)*SQRT(AS5489*AS5481*AS5483))</f>
        <v>5.0983888159981108</v>
      </c>
      <c r="AT5488" s="133"/>
      <c r="AU5488" s="155"/>
    </row>
    <row r="5489" spans="15:47" ht="15.5" x14ac:dyDescent="0.4">
      <c r="O5489" s="2" t="s">
        <v>192</v>
      </c>
      <c r="P5489" s="85">
        <v>10</v>
      </c>
      <c r="Q5489" s="2"/>
      <c r="R5489" s="181">
        <f>F_GAMMA*R$29</f>
        <v>0.64002688015162901</v>
      </c>
      <c r="S5489" s="133"/>
      <c r="T5489" s="155"/>
      <c r="U5489" s="138">
        <f>F_GAMMA*U$29</f>
        <v>0.64016782916606918</v>
      </c>
      <c r="V5489" s="133"/>
      <c r="W5489" s="155"/>
      <c r="X5489" s="138">
        <f>F_GAMMA*X$29</f>
        <v>0.6307062319203669</v>
      </c>
      <c r="Y5489" s="133"/>
      <c r="Z5489" s="155"/>
      <c r="AA5489" s="138">
        <f>F_GAMMA*AA$29</f>
        <v>0.62217534213893466</v>
      </c>
      <c r="AB5489" s="133"/>
      <c r="AC5489" s="155"/>
      <c r="AD5489" s="138">
        <f>F_GAMMA*AD$29</f>
        <v>0.60557184969146072</v>
      </c>
      <c r="AE5489" s="133"/>
      <c r="AF5489" s="155"/>
      <c r="AG5489" s="138">
        <f>F_GAMMA*AG$29</f>
        <v>0.57289312142622573</v>
      </c>
      <c r="AH5489" s="133"/>
      <c r="AI5489" s="155"/>
      <c r="AJ5489" s="138">
        <f>F_GAMMA*AJ$29</f>
        <v>0.53590819116049981</v>
      </c>
      <c r="AK5489" s="133"/>
      <c r="AL5489" s="155"/>
      <c r="AM5489" s="138">
        <f>F_GAMMA*AM$29</f>
        <v>0.49048815926850342</v>
      </c>
      <c r="AN5489" s="133"/>
      <c r="AO5489" s="155"/>
      <c r="AP5489" s="138">
        <f>F_GAMMA*AP$29</f>
        <v>0.59352979016280105</v>
      </c>
      <c r="AQ5489" s="133"/>
      <c r="AR5489" s="155"/>
      <c r="AS5489" s="138">
        <f>F_GAMMA*AS$29</f>
        <v>0.39097221161068291</v>
      </c>
      <c r="AT5489" s="133"/>
      <c r="AU5489" s="155"/>
    </row>
    <row r="5490" spans="15:47" x14ac:dyDescent="0.25">
      <c r="O5490" s="2" t="s">
        <v>193</v>
      </c>
      <c r="P5490" s="134"/>
      <c r="Q5490" s="2"/>
      <c r="R5490" s="181">
        <f>IF(R5485&lt;R5489,R5487,R5488)</f>
        <v>69.287906922424412</v>
      </c>
      <c r="S5490" s="133"/>
      <c r="T5490" s="155"/>
      <c r="U5490" s="138">
        <f>IF(U5485&lt;U5489,U5487,U5488)</f>
        <v>97.451536934081318</v>
      </c>
      <c r="V5490" s="133"/>
      <c r="W5490" s="155"/>
      <c r="X5490" s="138">
        <f>IF(X5485&lt;X5489,X5487,X5488)</f>
        <v>21.367474400395189</v>
      </c>
      <c r="Y5490" s="133"/>
      <c r="Z5490" s="155"/>
      <c r="AA5490" s="138">
        <f>IF(AA5485&lt;AA5489,AA5487,AA5488)</f>
        <v>10.41486401665019</v>
      </c>
      <c r="AB5490" s="133"/>
      <c r="AC5490" s="155"/>
      <c r="AD5490" s="138">
        <f>IF(AD5485&lt;AD5489,AD5487,AD5488)</f>
        <v>6.4050851116607062</v>
      </c>
      <c r="AE5490" s="133"/>
      <c r="AF5490" s="155"/>
      <c r="AG5490" s="138">
        <f>IF(AG5485&lt;AG5489,AG5487,AG5488)</f>
        <v>4.7772467521305959</v>
      </c>
      <c r="AH5490" s="133"/>
      <c r="AI5490" s="155"/>
      <c r="AJ5490" s="138">
        <f>IF(AJ5485&lt;AJ5489,AJ5487,AJ5488)</f>
        <v>4.0173133662184064</v>
      </c>
      <c r="AK5490" s="133"/>
      <c r="AL5490" s="155"/>
      <c r="AM5490" s="138">
        <f>IF(AM5485&lt;AM5489,AM5487,AM5488)</f>
        <v>3.7984488940637577</v>
      </c>
      <c r="AN5490" s="133"/>
      <c r="AO5490" s="155"/>
      <c r="AP5490" s="138">
        <f>IF(AP5485&lt;AP5489,AP5487,AP5488)</f>
        <v>3.5144689013392503</v>
      </c>
      <c r="AQ5490" s="133"/>
      <c r="AR5490" s="155"/>
      <c r="AS5490" s="138">
        <f>IF(AS5485&lt;AS5489,AS5487,AS5488)</f>
        <v>5.0983888159981108</v>
      </c>
      <c r="AT5490" s="133"/>
      <c r="AU5490" s="155"/>
    </row>
    <row r="5491" spans="15:47" ht="13" x14ac:dyDescent="0.3">
      <c r="O5491" s="9" t="s">
        <v>194</v>
      </c>
      <c r="P5491" s="1"/>
      <c r="Q5491" s="1"/>
      <c r="R5491" s="135"/>
      <c r="S5491" s="132">
        <f>IF(R5484&lt;=0,W_max,ABS(R$23-R5490))</f>
        <v>7174</v>
      </c>
      <c r="T5491" s="151">
        <f>R5479</f>
        <v>25367.186511917633</v>
      </c>
      <c r="U5491" s="135"/>
      <c r="V5491" s="132">
        <f>IF(U5484&lt;=0,W_max,ABS(U$23-U5490))</f>
        <v>7174</v>
      </c>
      <c r="W5491" s="151">
        <f>U5479</f>
        <v>22287.020246597149</v>
      </c>
      <c r="X5491" s="135"/>
      <c r="Y5491" s="132">
        <f>IF(X5484&lt;=0,W_max,ABS(X$23-X5490))</f>
        <v>7174</v>
      </c>
      <c r="Z5491" s="151">
        <f>X5479</f>
        <v>55118.453256333749</v>
      </c>
      <c r="AA5491" s="135"/>
      <c r="AB5491" s="132">
        <f>IF(AA5484&lt;=0,W_max,ABS(AA$23-AA5490))</f>
        <v>7174</v>
      </c>
      <c r="AC5491" s="151">
        <f>AA5479</f>
        <v>107356.67821095367</v>
      </c>
      <c r="AD5491" s="135"/>
      <c r="AE5491" s="132">
        <f>IF(AD5484&lt;=0,W_max,ABS(AD$23-AD5490))</f>
        <v>7174</v>
      </c>
      <c r="AF5491" s="151">
        <f>AD5479</f>
        <v>176562.20927318826</v>
      </c>
      <c r="AG5491" s="135"/>
      <c r="AH5491" s="132">
        <f>IF(AG5484&lt;=0,W_max,ABS(AG$23-AG5490))</f>
        <v>7174</v>
      </c>
      <c r="AI5491" s="151">
        <f>AG5479</f>
        <v>247642.09135382978</v>
      </c>
      <c r="AJ5491" s="135"/>
      <c r="AK5491" s="132">
        <f>IF(AJ5484&lt;=0,W_max,ABS(AJ$23-AJ5490))</f>
        <v>7174</v>
      </c>
      <c r="AL5491" s="151">
        <f>AJ5479</f>
        <v>314439.74382686353</v>
      </c>
      <c r="AM5491" s="135"/>
      <c r="AN5491" s="132">
        <f>IF(AM5484&lt;=0,W_max,ABS(AM$23-AM5490))</f>
        <v>7174</v>
      </c>
      <c r="AO5491" s="151">
        <f>AM5479</f>
        <v>368705.3287266586</v>
      </c>
      <c r="AP5491" s="135"/>
      <c r="AQ5491" s="132">
        <f>IF(AP5484&lt;=0,W_max,ABS(AP$23-AP5490))</f>
        <v>7174</v>
      </c>
      <c r="AR5491" s="151">
        <f>AP5479</f>
        <v>411352.86450716329</v>
      </c>
      <c r="AS5491" s="135"/>
      <c r="AT5491" s="132">
        <f>IF(AS5484&lt;=0,W_max,ABS(AS$23-AS5490))</f>
        <v>7174</v>
      </c>
      <c r="AU5491" s="151">
        <f>AS5479</f>
        <v>458933.37024074886</v>
      </c>
    </row>
    <row r="5492" spans="15:47" ht="13" x14ac:dyDescent="0.25">
      <c r="O5492" s="2"/>
      <c r="P5492" s="85"/>
      <c r="Q5492" s="2"/>
      <c r="R5492" s="18"/>
      <c r="S5492" s="150"/>
      <c r="T5492" s="148"/>
      <c r="U5492" s="157"/>
      <c r="V5492" s="1"/>
      <c r="W5492" s="147"/>
      <c r="X5492" s="157"/>
      <c r="Y5492" s="1"/>
      <c r="Z5492" s="147"/>
      <c r="AA5492" s="157"/>
      <c r="AB5492" s="1"/>
      <c r="AC5492" s="147"/>
      <c r="AD5492" s="157"/>
      <c r="AE5492" s="1"/>
      <c r="AF5492" s="147"/>
      <c r="AG5492" s="157"/>
      <c r="AH5492" s="1"/>
      <c r="AI5492" s="147"/>
      <c r="AJ5492" s="157"/>
      <c r="AK5492" s="1"/>
      <c r="AL5492" s="147"/>
      <c r="AM5492" s="157"/>
      <c r="AN5492" s="1"/>
      <c r="AO5492" s="147"/>
      <c r="AP5492" s="157"/>
      <c r="AQ5492" s="1"/>
      <c r="AR5492" s="147"/>
      <c r="AS5492" s="157"/>
      <c r="AT5492" s="1"/>
      <c r="AU5492" s="147"/>
    </row>
    <row r="5493" spans="15:47" ht="14" x14ac:dyDescent="0.3">
      <c r="O5493" s="23" t="s">
        <v>238</v>
      </c>
      <c r="P5493" s="20"/>
      <c r="Q5493" s="20"/>
      <c r="R5493" s="181">
        <f>R5479*1.02</f>
        <v>25874.530242155986</v>
      </c>
      <c r="S5493" s="128" t="s">
        <v>185</v>
      </c>
      <c r="T5493" s="149" t="s">
        <v>186</v>
      </c>
      <c r="U5493" s="143">
        <f>U5479*1.01</f>
        <v>22509.890449063121</v>
      </c>
      <c r="V5493" s="128" t="s">
        <v>185</v>
      </c>
      <c r="W5493" s="153" t="s">
        <v>186</v>
      </c>
      <c r="X5493" s="143">
        <f>X5479*1.01</f>
        <v>55669.637788897089</v>
      </c>
      <c r="Y5493" s="128" t="s">
        <v>185</v>
      </c>
      <c r="Z5493" s="153" t="s">
        <v>186</v>
      </c>
      <c r="AA5493" s="143">
        <f>AA5479*1.01</f>
        <v>108430.24499306321</v>
      </c>
      <c r="AB5493" s="128" t="s">
        <v>185</v>
      </c>
      <c r="AC5493" s="153" t="s">
        <v>186</v>
      </c>
      <c r="AD5493" s="143">
        <f>AD5479*1.01</f>
        <v>178327.83136592014</v>
      </c>
      <c r="AE5493" s="128" t="s">
        <v>185</v>
      </c>
      <c r="AF5493" s="153" t="s">
        <v>186</v>
      </c>
      <c r="AG5493" s="143">
        <f>AG5479*1.01</f>
        <v>250118.51226736809</v>
      </c>
      <c r="AH5493" s="128" t="s">
        <v>185</v>
      </c>
      <c r="AI5493" s="153" t="s">
        <v>186</v>
      </c>
      <c r="AJ5493" s="143">
        <f>AJ5479*1.01</f>
        <v>317584.14126513217</v>
      </c>
      <c r="AK5493" s="128" t="s">
        <v>185</v>
      </c>
      <c r="AL5493" s="153" t="s">
        <v>186</v>
      </c>
      <c r="AM5493" s="143">
        <f>AM5479*1.01</f>
        <v>372392.38201392518</v>
      </c>
      <c r="AN5493" s="128" t="s">
        <v>185</v>
      </c>
      <c r="AO5493" s="153" t="s">
        <v>186</v>
      </c>
      <c r="AP5493" s="143">
        <f>AP5479*1.01</f>
        <v>415466.3931522349</v>
      </c>
      <c r="AQ5493" s="128" t="s">
        <v>185</v>
      </c>
      <c r="AR5493" s="153" t="s">
        <v>186</v>
      </c>
      <c r="AS5493" s="143">
        <f>AS5479*1.01</f>
        <v>463522.70394315635</v>
      </c>
      <c r="AT5493" s="128" t="s">
        <v>185</v>
      </c>
      <c r="AU5493" s="153" t="s">
        <v>186</v>
      </c>
    </row>
    <row r="5494" spans="15:47" ht="14" x14ac:dyDescent="0.3">
      <c r="O5494" s="20"/>
      <c r="P5494" s="20"/>
      <c r="Q5494" s="23"/>
      <c r="R5494" s="139"/>
      <c r="S5494" s="130" t="s">
        <v>228</v>
      </c>
      <c r="T5494" s="131" t="s">
        <v>187</v>
      </c>
      <c r="U5494" s="144"/>
      <c r="V5494" s="130" t="s">
        <v>228</v>
      </c>
      <c r="W5494" s="154" t="s">
        <v>187</v>
      </c>
      <c r="X5494" s="144"/>
      <c r="Y5494" s="130" t="s">
        <v>228</v>
      </c>
      <c r="Z5494" s="154" t="s">
        <v>187</v>
      </c>
      <c r="AA5494" s="144"/>
      <c r="AB5494" s="130" t="s">
        <v>228</v>
      </c>
      <c r="AC5494" s="154" t="s">
        <v>187</v>
      </c>
      <c r="AD5494" s="144"/>
      <c r="AE5494" s="130" t="s">
        <v>228</v>
      </c>
      <c r="AF5494" s="154" t="s">
        <v>187</v>
      </c>
      <c r="AG5494" s="144"/>
      <c r="AH5494" s="130" t="s">
        <v>228</v>
      </c>
      <c r="AI5494" s="154" t="s">
        <v>187</v>
      </c>
      <c r="AJ5494" s="144"/>
      <c r="AK5494" s="130" t="s">
        <v>228</v>
      </c>
      <c r="AL5494" s="154" t="s">
        <v>187</v>
      </c>
      <c r="AM5494" s="144"/>
      <c r="AN5494" s="130" t="s">
        <v>228</v>
      </c>
      <c r="AO5494" s="154" t="s">
        <v>187</v>
      </c>
      <c r="AP5494" s="144"/>
      <c r="AQ5494" s="130" t="s">
        <v>228</v>
      </c>
      <c r="AR5494" s="154" t="s">
        <v>187</v>
      </c>
      <c r="AS5494" s="144"/>
      <c r="AT5494" s="130" t="s">
        <v>228</v>
      </c>
      <c r="AU5494" s="154" t="s">
        <v>187</v>
      </c>
    </row>
    <row r="5495" spans="15:47" x14ac:dyDescent="0.25">
      <c r="O5495" s="7" t="s">
        <v>188</v>
      </c>
      <c r="P5495" s="7"/>
      <c r="Q5495" s="7"/>
      <c r="R5495" s="181">
        <f>P_1_minW-(R5493^2*R_up)+dpup_minQ</f>
        <v>-166.44479966902955</v>
      </c>
      <c r="S5495" s="132"/>
      <c r="T5495" s="145"/>
      <c r="U5495" s="138">
        <f>P_1_minW-(U5493^2*R_up)+dpup_minQ</f>
        <v>-101.52790902345326</v>
      </c>
      <c r="V5495" s="132"/>
      <c r="W5495" s="145"/>
      <c r="X5495" s="138">
        <f>P_1_minW-(X5493^2*R_up)+dpup_minQ</f>
        <v>-1135.2834388355466</v>
      </c>
      <c r="Y5495" s="132"/>
      <c r="Z5495" s="145"/>
      <c r="AA5495" s="138">
        <f>P_1_minW-(AA5493^2*R_up)+dpup_minQ</f>
        <v>-4587.7671908194461</v>
      </c>
      <c r="AB5495" s="132"/>
      <c r="AC5495" s="145"/>
      <c r="AD5495" s="138">
        <f>P_1_minW-(AD5493^2*R_up)+dpup_minQ</f>
        <v>-12580.428780895565</v>
      </c>
      <c r="AE5495" s="132"/>
      <c r="AF5495" s="145"/>
      <c r="AG5495" s="138">
        <f>P_1_minW-(AG5493^2*R_up)+dpup_minQ</f>
        <v>-24845.726681276727</v>
      </c>
      <c r="AH5495" s="132"/>
      <c r="AI5495" s="145"/>
      <c r="AJ5495" s="138">
        <f>P_1_minW-(AJ5493^2*R_up)+dpup_minQ</f>
        <v>-40118.47114596692</v>
      </c>
      <c r="AK5495" s="132"/>
      <c r="AL5495" s="145"/>
      <c r="AM5495" s="138">
        <f>P_1_minW-(AM5493^2*R_up)+dpup_minQ</f>
        <v>-55198.208020932921</v>
      </c>
      <c r="AN5495" s="132"/>
      <c r="AO5495" s="145"/>
      <c r="AP5495" s="138">
        <f>P_1_minW-(AP5493^2*R_up)+dpup_minQ</f>
        <v>-68730.684473666552</v>
      </c>
      <c r="AQ5495" s="132"/>
      <c r="AR5495" s="145"/>
      <c r="AS5495" s="138">
        <f>P_1_minW-(AS5493^2*R_up)+dpup_minQ</f>
        <v>-85574.772536089979</v>
      </c>
      <c r="AT5495" s="132"/>
      <c r="AU5495" s="145"/>
    </row>
    <row r="5496" spans="15:47" x14ac:dyDescent="0.25">
      <c r="O5496" s="7" t="s">
        <v>189</v>
      </c>
      <c r="P5496" s="1"/>
      <c r="Q5496" s="7"/>
      <c r="R5496" s="181">
        <f>P_2_minW+(R5493^2*R_dn)-dpdn_minQ</f>
        <v>50</v>
      </c>
      <c r="S5496" s="132"/>
      <c r="T5496" s="146"/>
      <c r="U5496" s="138">
        <f>P_2_minW+(U5493^2*R_dn)-dpdn_minQ</f>
        <v>50</v>
      </c>
      <c r="V5496" s="132"/>
      <c r="W5496" s="146"/>
      <c r="X5496" s="138">
        <f>P_2_minW+(X5493^2*R_dn)-dpdn_minQ</f>
        <v>50</v>
      </c>
      <c r="Y5496" s="132"/>
      <c r="Z5496" s="146"/>
      <c r="AA5496" s="138">
        <f>P_2_minW+(AA5493^2*R_dn)-dpdn_minQ</f>
        <v>50</v>
      </c>
      <c r="AB5496" s="132"/>
      <c r="AC5496" s="146"/>
      <c r="AD5496" s="138">
        <f>P_2_minW+(AD5493^2*R_dn)-dpdn_minQ</f>
        <v>50</v>
      </c>
      <c r="AE5496" s="132"/>
      <c r="AF5496" s="146"/>
      <c r="AG5496" s="138">
        <f>P_2_minW+(AG5493^2*R_dn)-dpdn_minQ</f>
        <v>50</v>
      </c>
      <c r="AH5496" s="132"/>
      <c r="AI5496" s="146"/>
      <c r="AJ5496" s="138">
        <f>P_2_minW+(AJ5493^2*R_dn)-dpdn_minQ</f>
        <v>50</v>
      </c>
      <c r="AK5496" s="132"/>
      <c r="AL5496" s="146"/>
      <c r="AM5496" s="138">
        <f>P_2_minW+(AM5493^2*R_dn)-dpdn_minQ</f>
        <v>50</v>
      </c>
      <c r="AN5496" s="132"/>
      <c r="AO5496" s="146"/>
      <c r="AP5496" s="138">
        <f>P_2_minW+(AP5493^2*R_dn)-dpdn_minQ</f>
        <v>50</v>
      </c>
      <c r="AQ5496" s="132"/>
      <c r="AR5496" s="146"/>
      <c r="AS5496" s="138">
        <f>P_2_minW+(AS5493^2*R_dn)-dpdn_minQ</f>
        <v>50</v>
      </c>
      <c r="AT5496" s="132"/>
      <c r="AU5496" s="146"/>
    </row>
    <row r="5497" spans="15:47" x14ac:dyDescent="0.25">
      <c r="O5497" s="7" t="s">
        <v>234</v>
      </c>
      <c r="P5497" s="1"/>
      <c r="Q5497" s="7"/>
      <c r="R5497" s="179">
        <f>'Valve Sizing'!G$8*R5495/P_1_maxW</f>
        <v>-0.80290007993332091</v>
      </c>
      <c r="S5497" s="132"/>
      <c r="T5497" s="146"/>
      <c r="U5497" s="143">
        <f>'Valve Sizing'!$G$8*U5495/P_1_maxW</f>
        <v>-0.48975255719906646</v>
      </c>
      <c r="V5497" s="132"/>
      <c r="W5497" s="146"/>
      <c r="X5497" s="143">
        <f>'Valve Sizing'!$G$8*X5495/P_1_maxW</f>
        <v>-5.4764051841845713</v>
      </c>
      <c r="Y5497" s="132"/>
      <c r="Z5497" s="146"/>
      <c r="AA5497" s="143">
        <f>'Valve Sizing'!$G$8*AA5495/P_1_maxW</f>
        <v>-22.130572126909136</v>
      </c>
      <c r="AB5497" s="132"/>
      <c r="AC5497" s="146"/>
      <c r="AD5497" s="143">
        <f>'Valve Sizing'!$G$8*AD5495/P_1_maxW</f>
        <v>-60.685748631748723</v>
      </c>
      <c r="AE5497" s="132"/>
      <c r="AF5497" s="146"/>
      <c r="AG5497" s="143">
        <f>'Valve Sizing'!$G$8*AG5495/P_1_maxW</f>
        <v>-119.85136200149111</v>
      </c>
      <c r="AH5497" s="132"/>
      <c r="AI5497" s="146"/>
      <c r="AJ5497" s="143">
        <f>'Valve Sizing'!$G$8*AJ5495/P_1_maxW</f>
        <v>-193.5243621546021</v>
      </c>
      <c r="AK5497" s="132"/>
      <c r="AL5497" s="146"/>
      <c r="AM5497" s="143">
        <f>'Valve Sizing'!$G$8*AM5495/P_1_maxW</f>
        <v>-266.26632805776694</v>
      </c>
      <c r="AN5497" s="132"/>
      <c r="AO5497" s="146"/>
      <c r="AP5497" s="143">
        <f>'Valve Sizing'!$G$8*AP5495/P_1_maxW</f>
        <v>-331.54458515682194</v>
      </c>
      <c r="AQ5497" s="132"/>
      <c r="AR5497" s="146"/>
      <c r="AS5497" s="143">
        <f>'Valve Sizing'!$G$8*AS5495/P_1_maxW</f>
        <v>-412.7974670649138</v>
      </c>
      <c r="AT5497" s="132"/>
      <c r="AU5497" s="146"/>
    </row>
    <row r="5498" spans="15:47" x14ac:dyDescent="0.25">
      <c r="O5498" s="7" t="s">
        <v>190</v>
      </c>
      <c r="P5498" s="1"/>
      <c r="Q5498" s="7"/>
      <c r="R5498" s="181">
        <f>R5495-R5496</f>
        <v>-216.44479966902955</v>
      </c>
      <c r="S5498" s="132"/>
      <c r="T5498" s="146"/>
      <c r="U5498" s="138">
        <f>U5495-U5496</f>
        <v>-151.52790902345328</v>
      </c>
      <c r="V5498" s="132"/>
      <c r="W5498" s="146"/>
      <c r="X5498" s="138">
        <f>X5495-X5496</f>
        <v>-1185.2834388355466</v>
      </c>
      <c r="Y5498" s="132"/>
      <c r="Z5498" s="146"/>
      <c r="AA5498" s="138">
        <f>AA5495-AA5496</f>
        <v>-4637.7671908194461</v>
      </c>
      <c r="AB5498" s="132"/>
      <c r="AC5498" s="146"/>
      <c r="AD5498" s="138">
        <f>AD5495-AD5496</f>
        <v>-12630.428780895565</v>
      </c>
      <c r="AE5498" s="132"/>
      <c r="AF5498" s="146"/>
      <c r="AG5498" s="138">
        <f>AG5495-AG5496</f>
        <v>-24895.726681276727</v>
      </c>
      <c r="AH5498" s="132"/>
      <c r="AI5498" s="146"/>
      <c r="AJ5498" s="138">
        <f>AJ5495-AJ5496</f>
        <v>-40168.47114596692</v>
      </c>
      <c r="AK5498" s="132"/>
      <c r="AL5498" s="146"/>
      <c r="AM5498" s="138">
        <f>AM5495-AM5496</f>
        <v>-55248.208020932921</v>
      </c>
      <c r="AN5498" s="132"/>
      <c r="AO5498" s="146"/>
      <c r="AP5498" s="138">
        <f>AP5495-AP5496</f>
        <v>-68780.684473666552</v>
      </c>
      <c r="AQ5498" s="132"/>
      <c r="AR5498" s="146"/>
      <c r="AS5498" s="138">
        <f>AS5495-AS5496</f>
        <v>-85624.772536089979</v>
      </c>
      <c r="AT5498" s="132"/>
      <c r="AU5498" s="146"/>
    </row>
    <row r="5499" spans="15:47" ht="14.5" x14ac:dyDescent="0.35">
      <c r="O5499" s="2" t="s">
        <v>191</v>
      </c>
      <c r="P5499" s="10"/>
      <c r="Q5499" s="2"/>
      <c r="R5499" s="181">
        <f>R5498/R5495</f>
        <v>1.3003998929340146</v>
      </c>
      <c r="S5499" s="132"/>
      <c r="T5499" s="146"/>
      <c r="U5499" s="138">
        <f>U5498/U5495</f>
        <v>1.4924754235650599</v>
      </c>
      <c r="V5499" s="132"/>
      <c r="W5499" s="146"/>
      <c r="X5499" s="138">
        <f>X5498/X5495</f>
        <v>1.0440418650441028</v>
      </c>
      <c r="Y5499" s="132"/>
      <c r="Z5499" s="146"/>
      <c r="AA5499" s="138">
        <f>AA5498/AA5495</f>
        <v>1.0108985477946777</v>
      </c>
      <c r="AB5499" s="132"/>
      <c r="AC5499" s="146"/>
      <c r="AD5499" s="138">
        <f>AD5498/AD5495</f>
        <v>1.0039744273323918</v>
      </c>
      <c r="AE5499" s="132"/>
      <c r="AF5499" s="146"/>
      <c r="AG5499" s="138">
        <f>AG5498/AG5495</f>
        <v>1.0020124184992214</v>
      </c>
      <c r="AH5499" s="132"/>
      <c r="AI5499" s="146"/>
      <c r="AJ5499" s="138">
        <f>AJ5498/AJ5495</f>
        <v>1.0012463087094741</v>
      </c>
      <c r="AK5499" s="132"/>
      <c r="AL5499" s="146"/>
      <c r="AM5499" s="138">
        <f>AM5498/AM5495</f>
        <v>1.0009058265076474</v>
      </c>
      <c r="AN5499" s="132"/>
      <c r="AO5499" s="146"/>
      <c r="AP5499" s="138">
        <f>AP5498/AP5495</f>
        <v>1.0007274771142307</v>
      </c>
      <c r="AQ5499" s="132"/>
      <c r="AR5499" s="146"/>
      <c r="AS5499" s="138">
        <f>AS5498/AS5495</f>
        <v>1.0005842843459376</v>
      </c>
      <c r="AT5499" s="132"/>
      <c r="AU5499" s="146"/>
    </row>
    <row r="5500" spans="15:47" x14ac:dyDescent="0.25">
      <c r="O5500" s="2" t="s">
        <v>26</v>
      </c>
      <c r="P5500" s="7">
        <v>12</v>
      </c>
      <c r="Q5500" s="2"/>
      <c r="R5500" s="181">
        <f>1-R5499/(3*F_GAMMA*R$29)</f>
        <v>0.32273683431028377</v>
      </c>
      <c r="S5500" s="133"/>
      <c r="T5500" s="146"/>
      <c r="U5500" s="138">
        <f>1-U5499/(3*F_GAMMA*U$29)</f>
        <v>0.22287283866936858</v>
      </c>
      <c r="V5500" s="133"/>
      <c r="W5500" s="146"/>
      <c r="X5500" s="138">
        <f>1-X5499/(3*F_GAMMA*X$29)</f>
        <v>0.44821544896572185</v>
      </c>
      <c r="Y5500" s="133"/>
      <c r="Z5500" s="146"/>
      <c r="AA5500" s="138">
        <f>1-AA5499/(3*F_GAMMA*AA$29)</f>
        <v>0.45840640125693088</v>
      </c>
      <c r="AB5500" s="133"/>
      <c r="AC5500" s="146"/>
      <c r="AD5500" s="138">
        <f>1-AD5499/(3*F_GAMMA*AD$29)</f>
        <v>0.44736839631062908</v>
      </c>
      <c r="AE5500" s="133"/>
      <c r="AF5500" s="146"/>
      <c r="AG5500" s="138">
        <f>1-AG5499/(3*F_GAMMA*AG$29)</f>
        <v>0.41698699633845782</v>
      </c>
      <c r="AH5500" s="133"/>
      <c r="AI5500" s="146"/>
      <c r="AJ5500" s="138">
        <f>1-AJ5499/(3*F_GAMMA*AJ$29)</f>
        <v>0.37722771348745843</v>
      </c>
      <c r="AK5500" s="133"/>
      <c r="AL5500" s="146"/>
      <c r="AM5500" s="138">
        <f>1-AM5499/(3*F_GAMMA*AM$29)</f>
        <v>0.31978933803392751</v>
      </c>
      <c r="AN5500" s="133"/>
      <c r="AO5500" s="146"/>
      <c r="AP5500" s="138">
        <f>1-AP5499/(3*F_GAMMA*AP$29)</f>
        <v>0.43797964106696974</v>
      </c>
      <c r="AQ5500" s="133"/>
      <c r="AR5500" s="146"/>
      <c r="AS5500" s="138">
        <f>1-AS5499/(3*F_GAMMA*AS$29)</f>
        <v>0.14692634188003284</v>
      </c>
      <c r="AT5500" s="133"/>
      <c r="AU5500" s="146"/>
    </row>
    <row r="5501" spans="15:47" x14ac:dyDescent="0.25">
      <c r="O5501" s="2" t="s">
        <v>71</v>
      </c>
      <c r="P5501" s="85">
        <v>5</v>
      </c>
      <c r="Q5501" s="2"/>
      <c r="R5501" s="179">
        <f>R5493/((N_6*R$27*R5500)*SQRT(R5499*R5495*R5497))</f>
        <v>96.087603127095889</v>
      </c>
      <c r="S5501" s="133"/>
      <c r="T5501" s="146"/>
      <c r="U5501" s="143">
        <f>U5493/((N_6*U$27*U5500)*SQRT(U5499*U5495*U5497))</f>
        <v>185.35285430439993</v>
      </c>
      <c r="V5501" s="133"/>
      <c r="W5501" s="146"/>
      <c r="X5501" s="143">
        <f>X5493/((N_6*X$27*X5500)*SQRT(X5499*X5495*X5497))</f>
        <v>24.425969793480569</v>
      </c>
      <c r="Y5501" s="133"/>
      <c r="Z5501" s="146"/>
      <c r="AA5501" s="143">
        <f>AA5493/((N_6*AA$27*AA5500)*SQRT(AA5499*AA5495*AA5497))</f>
        <v>11.765724937743686</v>
      </c>
      <c r="AB5501" s="133"/>
      <c r="AC5501" s="146"/>
      <c r="AD5501" s="143">
        <f>AD5493/((N_6*AD$27*AD5500)*SQRT(AD5499*AD5495*AD5497))</f>
        <v>7.3420243732411627</v>
      </c>
      <c r="AE5501" s="133"/>
      <c r="AF5501" s="146"/>
      <c r="AG5501" s="143">
        <f>AG5493/((N_6*AG$27*AG5500)*SQRT(AG5499*AG5495*AG5497))</f>
        <v>5.7203757234067174</v>
      </c>
      <c r="AH5501" s="133"/>
      <c r="AI5501" s="146"/>
      <c r="AJ5501" s="143">
        <f>AJ5493/((N_6*AJ$27*AJ5500)*SQRT(AJ5499*AJ5495*AJ5497))</f>
        <v>5.1450480979422171</v>
      </c>
      <c r="AK5501" s="133"/>
      <c r="AL5501" s="146"/>
      <c r="AM5501" s="143">
        <f>AM5493/((N_6*AM$27*AM5500)*SQRT(AM5499*AM5495*AM5497))</f>
        <v>5.4909631023813956</v>
      </c>
      <c r="AN5501" s="133"/>
      <c r="AO5501" s="146"/>
      <c r="AP5501" s="143">
        <f>AP5493/((N_6*AP$27*AP5500)*SQRT(AP5499*AP5495*AP5497))</f>
        <v>4.0809457620597946</v>
      </c>
      <c r="AQ5501" s="133"/>
      <c r="AR5501" s="146"/>
      <c r="AS5501" s="143">
        <f>AS5493/((N_6*AS$27*AS5500)*SQRT(AS5499*AS5495*AS5497))</f>
        <v>14.324306319320604</v>
      </c>
      <c r="AT5501" s="133"/>
      <c r="AU5501" s="146"/>
    </row>
    <row r="5502" spans="15:47" x14ac:dyDescent="0.25">
      <c r="O5502" s="2" t="s">
        <v>73</v>
      </c>
      <c r="P5502" s="85">
        <v>5</v>
      </c>
      <c r="Q5502" s="2"/>
      <c r="R5502" s="179">
        <f>R5493/((N_6*R$27*0.667)*SQRT(R5503*R5495*R5497))</f>
        <v>66.271899178808837</v>
      </c>
      <c r="S5502" s="133"/>
      <c r="T5502" s="147"/>
      <c r="U5502" s="143">
        <f>U5493/((N_6*U$27*0.667)*SQRT(U5503*U5495*U5497))</f>
        <v>94.566487965966004</v>
      </c>
      <c r="V5502" s="133"/>
      <c r="W5502" s="155"/>
      <c r="X5502" s="143">
        <f>X5493/((N_6*X$27*0.667)*SQRT(X5503*X5495*X5497))</f>
        <v>21.118263244172152</v>
      </c>
      <c r="Y5502" s="133"/>
      <c r="Z5502" s="155"/>
      <c r="AA5502" s="143">
        <f>AA5493/((N_6*AA$27*0.667)*SQRT(AA5503*AA5495*AA5497))</f>
        <v>10.307205133566326</v>
      </c>
      <c r="AB5502" s="133"/>
      <c r="AC5502" s="155"/>
      <c r="AD5502" s="143">
        <f>AD5493/((N_6*AD$27*0.667)*SQRT(AD5503*AD5495*AD5497))</f>
        <v>6.3406499094889917</v>
      </c>
      <c r="AE5502" s="133"/>
      <c r="AF5502" s="155"/>
      <c r="AG5502" s="143">
        <f>AG5493/((N_6*AG$27*0.667)*SQRT(AG5503*AG5495*AG5497))</f>
        <v>4.7295626298357814</v>
      </c>
      <c r="AH5502" s="133"/>
      <c r="AI5502" s="155"/>
      <c r="AJ5502" s="143">
        <f>AJ5493/((N_6*AJ$27*0.667)*SQRT(AJ5503*AJ5495*AJ5497))</f>
        <v>3.9773376634824871</v>
      </c>
      <c r="AK5502" s="133"/>
      <c r="AL5502" s="155"/>
      <c r="AM5502" s="143">
        <f>AM5493/((N_6*AM$27*0.667)*SQRT(AM5503*AM5495*AM5497))</f>
        <v>3.7607028251315189</v>
      </c>
      <c r="AN5502" s="133"/>
      <c r="AO5502" s="155"/>
      <c r="AP5502" s="143">
        <f>AP5493/((N_6*AP$27*0.667)*SQRT(AP5503*AP5495*AP5497))</f>
        <v>3.4795698859965185</v>
      </c>
      <c r="AQ5502" s="133"/>
      <c r="AR5502" s="155"/>
      <c r="AS5502" s="143">
        <f>AS5493/((N_6*AS$27*0.667)*SQRT(AS5503*AS5495*AS5497))</f>
        <v>5.0477905324921792</v>
      </c>
      <c r="AT5502" s="133"/>
      <c r="AU5502" s="155"/>
    </row>
    <row r="5503" spans="15:47" ht="15.5" x14ac:dyDescent="0.4">
      <c r="O5503" s="2" t="s">
        <v>192</v>
      </c>
      <c r="P5503" s="85">
        <v>10</v>
      </c>
      <c r="Q5503" s="2"/>
      <c r="R5503" s="181">
        <f>F_GAMMA*R$29</f>
        <v>0.64002688015162901</v>
      </c>
      <c r="S5503" s="133"/>
      <c r="T5503" s="147"/>
      <c r="U5503" s="138">
        <f>F_GAMMA*U$29</f>
        <v>0.64016782916606918</v>
      </c>
      <c r="V5503" s="133"/>
      <c r="W5503" s="155"/>
      <c r="X5503" s="138">
        <f>F_GAMMA*X$29</f>
        <v>0.6307062319203669</v>
      </c>
      <c r="Y5503" s="133"/>
      <c r="Z5503" s="155"/>
      <c r="AA5503" s="138">
        <f>F_GAMMA*AA$29</f>
        <v>0.62217534213893466</v>
      </c>
      <c r="AB5503" s="133"/>
      <c r="AC5503" s="155"/>
      <c r="AD5503" s="138">
        <f>F_GAMMA*AD$29</f>
        <v>0.60557184969146072</v>
      </c>
      <c r="AE5503" s="133"/>
      <c r="AF5503" s="155"/>
      <c r="AG5503" s="138">
        <f>F_GAMMA*AG$29</f>
        <v>0.57289312142622573</v>
      </c>
      <c r="AH5503" s="133"/>
      <c r="AI5503" s="155"/>
      <c r="AJ5503" s="138">
        <f>F_GAMMA*AJ$29</f>
        <v>0.53590819116049981</v>
      </c>
      <c r="AK5503" s="133"/>
      <c r="AL5503" s="155"/>
      <c r="AM5503" s="138">
        <f>F_GAMMA*AM$29</f>
        <v>0.49048815926850342</v>
      </c>
      <c r="AN5503" s="133"/>
      <c r="AO5503" s="155"/>
      <c r="AP5503" s="138">
        <f>F_GAMMA*AP$29</f>
        <v>0.59352979016280105</v>
      </c>
      <c r="AQ5503" s="133"/>
      <c r="AR5503" s="155"/>
      <c r="AS5503" s="138">
        <f>F_GAMMA*AS$29</f>
        <v>0.39097221161068291</v>
      </c>
      <c r="AT5503" s="133"/>
      <c r="AU5503" s="155"/>
    </row>
    <row r="5504" spans="15:47" x14ac:dyDescent="0.25">
      <c r="O5504" s="2" t="s">
        <v>193</v>
      </c>
      <c r="P5504" s="134"/>
      <c r="Q5504" s="2"/>
      <c r="R5504" s="181">
        <f>IF(R5499&lt;R5503,R5501,R5502)</f>
        <v>66.271899178808837</v>
      </c>
      <c r="S5504" s="133"/>
      <c r="T5504" s="147"/>
      <c r="U5504" s="138">
        <f>IF(U5499&lt;U5503,U5501,U5502)</f>
        <v>94.566487965966004</v>
      </c>
      <c r="V5504" s="133"/>
      <c r="W5504" s="155"/>
      <c r="X5504" s="138">
        <f>IF(X5499&lt;X5503,X5501,X5502)</f>
        <v>21.118263244172152</v>
      </c>
      <c r="Y5504" s="133"/>
      <c r="Z5504" s="155"/>
      <c r="AA5504" s="138">
        <f>IF(AA5499&lt;AA5503,AA5501,AA5502)</f>
        <v>10.307205133566326</v>
      </c>
      <c r="AB5504" s="133"/>
      <c r="AC5504" s="155"/>
      <c r="AD5504" s="138">
        <f>IF(AD5499&lt;AD5503,AD5501,AD5502)</f>
        <v>6.3406499094889917</v>
      </c>
      <c r="AE5504" s="133"/>
      <c r="AF5504" s="155"/>
      <c r="AG5504" s="138">
        <f>IF(AG5499&lt;AG5503,AG5501,AG5502)</f>
        <v>4.7295626298357814</v>
      </c>
      <c r="AH5504" s="133"/>
      <c r="AI5504" s="155"/>
      <c r="AJ5504" s="138">
        <f>IF(AJ5499&lt;AJ5503,AJ5501,AJ5502)</f>
        <v>3.9773376634824871</v>
      </c>
      <c r="AK5504" s="133"/>
      <c r="AL5504" s="155"/>
      <c r="AM5504" s="138">
        <f>IF(AM5499&lt;AM5503,AM5501,AM5502)</f>
        <v>3.7607028251315189</v>
      </c>
      <c r="AN5504" s="133"/>
      <c r="AO5504" s="155"/>
      <c r="AP5504" s="138">
        <f>IF(AP5499&lt;AP5503,AP5501,AP5502)</f>
        <v>3.4795698859965185</v>
      </c>
      <c r="AQ5504" s="133"/>
      <c r="AR5504" s="155"/>
      <c r="AS5504" s="138">
        <f>IF(AS5499&lt;AS5503,AS5501,AS5502)</f>
        <v>5.0477905324921792</v>
      </c>
      <c r="AT5504" s="133"/>
      <c r="AU5504" s="155"/>
    </row>
    <row r="5505" spans="15:47" ht="13" x14ac:dyDescent="0.3">
      <c r="O5505" s="9" t="s">
        <v>194</v>
      </c>
      <c r="P5505" s="1"/>
      <c r="Q5505" s="1"/>
      <c r="R5505" s="135"/>
      <c r="S5505" s="132">
        <f>IF(R5498&lt;=0,W_max,ABS(R$23-R5504))</f>
        <v>7174</v>
      </c>
      <c r="T5505" s="151">
        <f>R5493</f>
        <v>25874.530242155986</v>
      </c>
      <c r="U5505" s="135"/>
      <c r="V5505" s="132">
        <f>IF(U5498&lt;=0,W_max,ABS(U$23-U5504))</f>
        <v>7174</v>
      </c>
      <c r="W5505" s="151">
        <f>U5493</f>
        <v>22509.890449063121</v>
      </c>
      <c r="X5505" s="135"/>
      <c r="Y5505" s="132">
        <f>IF(X5498&lt;=0,W_max,ABS(X$23-X5504))</f>
        <v>7174</v>
      </c>
      <c r="Z5505" s="151">
        <f>X5493</f>
        <v>55669.637788897089</v>
      </c>
      <c r="AA5505" s="135"/>
      <c r="AB5505" s="132">
        <f>IF(AA5498&lt;=0,W_max,ABS(AA$23-AA5504))</f>
        <v>7174</v>
      </c>
      <c r="AC5505" s="151">
        <f>AA5493</f>
        <v>108430.24499306321</v>
      </c>
      <c r="AD5505" s="135"/>
      <c r="AE5505" s="132">
        <f>IF(AD5498&lt;=0,W_max,ABS(AD$23-AD5504))</f>
        <v>7174</v>
      </c>
      <c r="AF5505" s="151">
        <f>AD5493</f>
        <v>178327.83136592014</v>
      </c>
      <c r="AG5505" s="135"/>
      <c r="AH5505" s="132">
        <f>IF(AG5498&lt;=0,W_max,ABS(AG$23-AG5504))</f>
        <v>7174</v>
      </c>
      <c r="AI5505" s="151">
        <f>AG5493</f>
        <v>250118.51226736809</v>
      </c>
      <c r="AJ5505" s="135"/>
      <c r="AK5505" s="132">
        <f>IF(AJ5498&lt;=0,W_max,ABS(AJ$23-AJ5504))</f>
        <v>7174</v>
      </c>
      <c r="AL5505" s="151">
        <f>AJ5493</f>
        <v>317584.14126513217</v>
      </c>
      <c r="AM5505" s="135"/>
      <c r="AN5505" s="132">
        <f>IF(AM5498&lt;=0,W_max,ABS(AM$23-AM5504))</f>
        <v>7174</v>
      </c>
      <c r="AO5505" s="151">
        <f>AM5493</f>
        <v>372392.38201392518</v>
      </c>
      <c r="AP5505" s="135"/>
      <c r="AQ5505" s="132">
        <f>IF(AP5498&lt;=0,W_max,ABS(AP$23-AP5504))</f>
        <v>7174</v>
      </c>
      <c r="AR5505" s="151">
        <f>AP5493</f>
        <v>415466.3931522349</v>
      </c>
      <c r="AS5505" s="135"/>
      <c r="AT5505" s="132">
        <f>IF(AS5498&lt;=0,W_max,ABS(AS$23-AS5504))</f>
        <v>7174</v>
      </c>
      <c r="AU5505" s="151">
        <f>AS5493</f>
        <v>463522.70394315635</v>
      </c>
    </row>
    <row r="5506" spans="15:47" ht="13" x14ac:dyDescent="0.25">
      <c r="O5506" s="12"/>
      <c r="P5506" s="12"/>
      <c r="Q5506" s="12"/>
      <c r="R5506" s="182"/>
      <c r="S5506" s="22"/>
      <c r="T5506" s="152"/>
      <c r="U5506" s="157"/>
      <c r="V5506" s="1"/>
      <c r="W5506" s="147"/>
      <c r="X5506" s="157"/>
      <c r="Y5506" s="1"/>
      <c r="Z5506" s="147"/>
      <c r="AA5506" s="157"/>
      <c r="AB5506" s="1"/>
      <c r="AC5506" s="147"/>
      <c r="AD5506" s="157"/>
      <c r="AE5506" s="1"/>
      <c r="AF5506" s="147"/>
      <c r="AG5506" s="157"/>
      <c r="AH5506" s="1"/>
      <c r="AI5506" s="147"/>
      <c r="AJ5506" s="157"/>
      <c r="AK5506" s="1"/>
      <c r="AL5506" s="147"/>
      <c r="AM5506" s="157"/>
      <c r="AN5506" s="1"/>
      <c r="AO5506" s="147"/>
      <c r="AP5506" s="157"/>
      <c r="AQ5506" s="1"/>
      <c r="AR5506" s="147"/>
      <c r="AS5506" s="157"/>
      <c r="AT5506" s="1"/>
      <c r="AU5506" s="147"/>
    </row>
    <row r="5507" spans="15:47" ht="14" x14ac:dyDescent="0.3">
      <c r="O5507" s="23" t="s">
        <v>238</v>
      </c>
      <c r="P5507" s="20"/>
      <c r="Q5507" s="20"/>
      <c r="R5507" s="18">
        <f>R5493*1.02</f>
        <v>26392.020846999105</v>
      </c>
      <c r="S5507" s="128" t="s">
        <v>185</v>
      </c>
      <c r="T5507" s="153" t="s">
        <v>186</v>
      </c>
      <c r="U5507" s="143">
        <f>U5493*1.01</f>
        <v>22734.989353553752</v>
      </c>
      <c r="V5507" s="128" t="s">
        <v>185</v>
      </c>
      <c r="W5507" s="153" t="s">
        <v>186</v>
      </c>
      <c r="X5507" s="143">
        <f>X5493*1.01</f>
        <v>56226.334166786059</v>
      </c>
      <c r="Y5507" s="128" t="s">
        <v>185</v>
      </c>
      <c r="Z5507" s="153" t="s">
        <v>186</v>
      </c>
      <c r="AA5507" s="143">
        <f>AA5493*1.01</f>
        <v>109514.54744299385</v>
      </c>
      <c r="AB5507" s="128" t="s">
        <v>185</v>
      </c>
      <c r="AC5507" s="153" t="s">
        <v>186</v>
      </c>
      <c r="AD5507" s="143">
        <f>AD5493*1.01</f>
        <v>180111.10967957933</v>
      </c>
      <c r="AE5507" s="128" t="s">
        <v>185</v>
      </c>
      <c r="AF5507" s="153" t="s">
        <v>186</v>
      </c>
      <c r="AG5507" s="143">
        <f>AG5493*1.01</f>
        <v>252619.69739004178</v>
      </c>
      <c r="AH5507" s="128" t="s">
        <v>185</v>
      </c>
      <c r="AI5507" s="153" t="s">
        <v>186</v>
      </c>
      <c r="AJ5507" s="143">
        <f>AJ5493*1.01</f>
        <v>320759.98267778353</v>
      </c>
      <c r="AK5507" s="128" t="s">
        <v>185</v>
      </c>
      <c r="AL5507" s="153" t="s">
        <v>186</v>
      </c>
      <c r="AM5507" s="143">
        <f>AM5493*1.01</f>
        <v>376116.30583406443</v>
      </c>
      <c r="AN5507" s="128" t="s">
        <v>185</v>
      </c>
      <c r="AO5507" s="153" t="s">
        <v>186</v>
      </c>
      <c r="AP5507" s="143">
        <f>AP5493*1.01</f>
        <v>419621.05708375724</v>
      </c>
      <c r="AQ5507" s="128" t="s">
        <v>185</v>
      </c>
      <c r="AR5507" s="153" t="s">
        <v>186</v>
      </c>
      <c r="AS5507" s="143">
        <f>AS5493*1.01</f>
        <v>468157.93098258792</v>
      </c>
      <c r="AT5507" s="128" t="s">
        <v>185</v>
      </c>
      <c r="AU5507" s="153" t="s">
        <v>186</v>
      </c>
    </row>
    <row r="5508" spans="15:47" ht="14" x14ac:dyDescent="0.3">
      <c r="O5508" s="20"/>
      <c r="P5508" s="20"/>
      <c r="Q5508" s="23"/>
      <c r="R5508" s="139"/>
      <c r="S5508" s="130" t="s">
        <v>228</v>
      </c>
      <c r="T5508" s="154" t="s">
        <v>187</v>
      </c>
      <c r="U5508" s="144"/>
      <c r="V5508" s="130" t="s">
        <v>228</v>
      </c>
      <c r="W5508" s="154" t="s">
        <v>187</v>
      </c>
      <c r="X5508" s="144"/>
      <c r="Y5508" s="130" t="s">
        <v>228</v>
      </c>
      <c r="Z5508" s="154" t="s">
        <v>187</v>
      </c>
      <c r="AA5508" s="144"/>
      <c r="AB5508" s="130" t="s">
        <v>228</v>
      </c>
      <c r="AC5508" s="154" t="s">
        <v>187</v>
      </c>
      <c r="AD5508" s="144"/>
      <c r="AE5508" s="130" t="s">
        <v>228</v>
      </c>
      <c r="AF5508" s="154" t="s">
        <v>187</v>
      </c>
      <c r="AG5508" s="144"/>
      <c r="AH5508" s="130" t="s">
        <v>228</v>
      </c>
      <c r="AI5508" s="154" t="s">
        <v>187</v>
      </c>
      <c r="AJ5508" s="144"/>
      <c r="AK5508" s="130" t="s">
        <v>228</v>
      </c>
      <c r="AL5508" s="154" t="s">
        <v>187</v>
      </c>
      <c r="AM5508" s="144"/>
      <c r="AN5508" s="130" t="s">
        <v>228</v>
      </c>
      <c r="AO5508" s="154" t="s">
        <v>187</v>
      </c>
      <c r="AP5508" s="144"/>
      <c r="AQ5508" s="130" t="s">
        <v>228</v>
      </c>
      <c r="AR5508" s="154" t="s">
        <v>187</v>
      </c>
      <c r="AS5508" s="144"/>
      <c r="AT5508" s="130" t="s">
        <v>228</v>
      </c>
      <c r="AU5508" s="154" t="s">
        <v>187</v>
      </c>
    </row>
    <row r="5509" spans="15:47" x14ac:dyDescent="0.25">
      <c r="O5509" s="7" t="s">
        <v>188</v>
      </c>
      <c r="P5509" s="7"/>
      <c r="Q5509" s="7"/>
      <c r="R5509" s="181">
        <f>P_1_minW-(R5507^2*R_up)+dpup_minQ</f>
        <v>-177.23029015982209</v>
      </c>
      <c r="S5509" s="132"/>
      <c r="T5509" s="145"/>
      <c r="U5509" s="138">
        <f>P_1_minW-(U5507^2*R_up)+dpup_minQ</f>
        <v>-105.58912800823286</v>
      </c>
      <c r="V5509" s="132"/>
      <c r="W5509" s="145"/>
      <c r="X5509" s="138">
        <f>P_1_minW-(X5507^2*R_up)+dpup_minQ</f>
        <v>-1160.1231439695491</v>
      </c>
      <c r="Y5509" s="132"/>
      <c r="Z5509" s="145"/>
      <c r="AA5509" s="138">
        <f>P_1_minW-(AA5507^2*R_up)+dpup_minQ</f>
        <v>-4682.0018193683254</v>
      </c>
      <c r="AB5509" s="132"/>
      <c r="AC5509" s="145"/>
      <c r="AD5509" s="138">
        <f>P_1_minW-(AD5507^2*R_up)+dpup_minQ</f>
        <v>-12835.315907404971</v>
      </c>
      <c r="AE5509" s="132"/>
      <c r="AF5509" s="145"/>
      <c r="AG5509" s="138">
        <f>P_1_minW-(AG5507^2*R_up)+dpup_minQ</f>
        <v>-25347.146295583796</v>
      </c>
      <c r="AH5509" s="132"/>
      <c r="AI5509" s="145"/>
      <c r="AJ5509" s="138">
        <f>P_1_minW-(AJ5507^2*R_up)+dpup_minQ</f>
        <v>-40926.872924014271</v>
      </c>
      <c r="AK5509" s="132"/>
      <c r="AL5509" s="145"/>
      <c r="AM5509" s="138">
        <f>P_1_minW-(AM5507^2*R_up)+dpup_minQ</f>
        <v>-56309.712510167075</v>
      </c>
      <c r="AN5509" s="132"/>
      <c r="AO5509" s="145"/>
      <c r="AP5509" s="138">
        <f>P_1_minW-(AP5507^2*R_up)+dpup_minQ</f>
        <v>-70114.191739600647</v>
      </c>
      <c r="AQ5509" s="132"/>
      <c r="AR5509" s="145"/>
      <c r="AS5509" s="138">
        <f>P_1_minW-(AS5507^2*R_up)+dpup_minQ</f>
        <v>-87296.845972078809</v>
      </c>
      <c r="AT5509" s="132"/>
      <c r="AU5509" s="145"/>
    </row>
    <row r="5510" spans="15:47" x14ac:dyDescent="0.25">
      <c r="O5510" s="7" t="s">
        <v>189</v>
      </c>
      <c r="P5510" s="1"/>
      <c r="Q5510" s="7"/>
      <c r="R5510" s="181">
        <f>P_2_minW+(R5507^2*R_dn)-dpdn_minQ</f>
        <v>50</v>
      </c>
      <c r="S5510" s="132"/>
      <c r="T5510" s="146"/>
      <c r="U5510" s="138">
        <f>P_2_minW+(U5507^2*R_dn)-dpdn_minQ</f>
        <v>50</v>
      </c>
      <c r="V5510" s="132"/>
      <c r="W5510" s="146"/>
      <c r="X5510" s="138">
        <f>P_2_minW+(X5507^2*R_dn)-dpdn_minQ</f>
        <v>50</v>
      </c>
      <c r="Y5510" s="132"/>
      <c r="Z5510" s="146"/>
      <c r="AA5510" s="138">
        <f>P_2_minW+(AA5507^2*R_dn)-dpdn_minQ</f>
        <v>50</v>
      </c>
      <c r="AB5510" s="132"/>
      <c r="AC5510" s="146"/>
      <c r="AD5510" s="138">
        <f>P_2_minW+(AD5507^2*R_dn)-dpdn_minQ</f>
        <v>50</v>
      </c>
      <c r="AE5510" s="132"/>
      <c r="AF5510" s="146"/>
      <c r="AG5510" s="138">
        <f>P_2_minW+(AG5507^2*R_dn)-dpdn_minQ</f>
        <v>50</v>
      </c>
      <c r="AH5510" s="132"/>
      <c r="AI5510" s="146"/>
      <c r="AJ5510" s="138">
        <f>P_2_minW+(AJ5507^2*R_dn)-dpdn_minQ</f>
        <v>50</v>
      </c>
      <c r="AK5510" s="132"/>
      <c r="AL5510" s="146"/>
      <c r="AM5510" s="138">
        <f>P_2_minW+(AM5507^2*R_dn)-dpdn_minQ</f>
        <v>50</v>
      </c>
      <c r="AN5510" s="132"/>
      <c r="AO5510" s="146"/>
      <c r="AP5510" s="138">
        <f>P_2_minW+(AP5507^2*R_dn)-dpdn_minQ</f>
        <v>50</v>
      </c>
      <c r="AQ5510" s="132"/>
      <c r="AR5510" s="146"/>
      <c r="AS5510" s="138">
        <f>P_2_minW+(AS5507^2*R_dn)-dpdn_minQ</f>
        <v>50</v>
      </c>
      <c r="AT5510" s="132"/>
      <c r="AU5510" s="146"/>
    </row>
    <row r="5511" spans="15:47" x14ac:dyDescent="0.25">
      <c r="O5511" s="7" t="s">
        <v>234</v>
      </c>
      <c r="P5511" s="1"/>
      <c r="Q5511" s="7"/>
      <c r="R5511" s="179">
        <f>'Valve Sizing'!G$8*R5509/P_1_maxW</f>
        <v>-0.85492736582267825</v>
      </c>
      <c r="S5511" s="132"/>
      <c r="T5511" s="146"/>
      <c r="U5511" s="143">
        <f>'Valve Sizing'!$G$8*U5509/P_1_maxW</f>
        <v>-0.50934315452616929</v>
      </c>
      <c r="V5511" s="132"/>
      <c r="W5511" s="146"/>
      <c r="X5511" s="143">
        <f>'Valve Sizing'!$G$8*X5509/P_1_maxW</f>
        <v>-5.5962274993140815</v>
      </c>
      <c r="Y5511" s="132"/>
      <c r="Z5511" s="146"/>
      <c r="AA5511" s="143">
        <f>'Valve Sizing'!$G$8*AA5509/P_1_maxW</f>
        <v>-22.585143197587414</v>
      </c>
      <c r="AB5511" s="132"/>
      <c r="AC5511" s="146"/>
      <c r="AD5511" s="143">
        <f>'Valve Sizing'!$G$8*AD5509/P_1_maxW</f>
        <v>-61.915278750174267</v>
      </c>
      <c r="AE5511" s="132"/>
      <c r="AF5511" s="146"/>
      <c r="AG5511" s="143">
        <f>'Valve Sizing'!$G$8*AG5509/P_1_maxW</f>
        <v>-122.27012094864847</v>
      </c>
      <c r="AH5511" s="132"/>
      <c r="AI5511" s="146"/>
      <c r="AJ5511" s="143">
        <f>'Valve Sizing'!$G$8*AJ5509/P_1_maxW</f>
        <v>-197.42394840483703</v>
      </c>
      <c r="AK5511" s="132"/>
      <c r="AL5511" s="146"/>
      <c r="AM5511" s="143">
        <f>'Valve Sizing'!$G$8*AM5509/P_1_maxW</f>
        <v>-271.62802782265544</v>
      </c>
      <c r="AN5511" s="132"/>
      <c r="AO5511" s="146"/>
      <c r="AP5511" s="143">
        <f>'Valve Sizing'!$G$8*AP5509/P_1_maxW</f>
        <v>-338.21837788940138</v>
      </c>
      <c r="AQ5511" s="132"/>
      <c r="AR5511" s="146"/>
      <c r="AS5511" s="143">
        <f>'Valve Sizing'!$G$8*AS5509/P_1_maxW</f>
        <v>-421.10444272384603</v>
      </c>
      <c r="AT5511" s="132"/>
      <c r="AU5511" s="146"/>
    </row>
    <row r="5512" spans="15:47" x14ac:dyDescent="0.25">
      <c r="O5512" s="7" t="s">
        <v>190</v>
      </c>
      <c r="P5512" s="1"/>
      <c r="Q5512" s="7"/>
      <c r="R5512" s="181">
        <f>R5509-R5510</f>
        <v>-227.23029015982209</v>
      </c>
      <c r="S5512" s="132"/>
      <c r="T5512" s="146"/>
      <c r="U5512" s="138">
        <f>U5509-U5510</f>
        <v>-155.58912800823288</v>
      </c>
      <c r="V5512" s="132"/>
      <c r="W5512" s="146"/>
      <c r="X5512" s="138">
        <f>X5509-X5510</f>
        <v>-1210.1231439695491</v>
      </c>
      <c r="Y5512" s="132"/>
      <c r="Z5512" s="146"/>
      <c r="AA5512" s="138">
        <f>AA5509-AA5510</f>
        <v>-4732.0018193683254</v>
      </c>
      <c r="AB5512" s="132"/>
      <c r="AC5512" s="146"/>
      <c r="AD5512" s="138">
        <f>AD5509-AD5510</f>
        <v>-12885.315907404971</v>
      </c>
      <c r="AE5512" s="132"/>
      <c r="AF5512" s="146"/>
      <c r="AG5512" s="138">
        <f>AG5509-AG5510</f>
        <v>-25397.146295583796</v>
      </c>
      <c r="AH5512" s="132"/>
      <c r="AI5512" s="146"/>
      <c r="AJ5512" s="138">
        <f>AJ5509-AJ5510</f>
        <v>-40976.872924014271</v>
      </c>
      <c r="AK5512" s="132"/>
      <c r="AL5512" s="146"/>
      <c r="AM5512" s="138">
        <f>AM5509-AM5510</f>
        <v>-56359.712510167075</v>
      </c>
      <c r="AN5512" s="132"/>
      <c r="AO5512" s="146"/>
      <c r="AP5512" s="138">
        <f>AP5509-AP5510</f>
        <v>-70164.191739600647</v>
      </c>
      <c r="AQ5512" s="132"/>
      <c r="AR5512" s="146"/>
      <c r="AS5512" s="138">
        <f>AS5509-AS5510</f>
        <v>-87346.845972078809</v>
      </c>
      <c r="AT5512" s="132"/>
      <c r="AU5512" s="146"/>
    </row>
    <row r="5513" spans="15:47" ht="14.5" x14ac:dyDescent="0.35">
      <c r="O5513" s="2" t="s">
        <v>191</v>
      </c>
      <c r="P5513" s="10"/>
      <c r="Q5513" s="2"/>
      <c r="R5513" s="181">
        <f>R5512/R5509</f>
        <v>1.2821188181484733</v>
      </c>
      <c r="S5513" s="132"/>
      <c r="T5513" s="146"/>
      <c r="U5513" s="138">
        <f>U5512/U5509</f>
        <v>1.4735336008845672</v>
      </c>
      <c r="V5513" s="132"/>
      <c r="W5513" s="146"/>
      <c r="X5513" s="138">
        <f>X5512/X5509</f>
        <v>1.0430988729600867</v>
      </c>
      <c r="Y5513" s="132"/>
      <c r="Z5513" s="146"/>
      <c r="AA5513" s="138">
        <f>AA5512/AA5509</f>
        <v>1.0106791927745866</v>
      </c>
      <c r="AB5513" s="132"/>
      <c r="AC5513" s="146"/>
      <c r="AD5513" s="138">
        <f>AD5512/AD5509</f>
        <v>1.0038955020944327</v>
      </c>
      <c r="AE5513" s="132"/>
      <c r="AF5513" s="146"/>
      <c r="AG5513" s="138">
        <f>AG5512/AG5509</f>
        <v>1.0019726086486</v>
      </c>
      <c r="AH5513" s="132"/>
      <c r="AI5513" s="146"/>
      <c r="AJ5513" s="138">
        <f>AJ5512/AJ5509</f>
        <v>1.0012216911879104</v>
      </c>
      <c r="AK5513" s="132"/>
      <c r="AL5513" s="146"/>
      <c r="AM5513" s="138">
        <f>AM5512/AM5509</f>
        <v>1.0008879462844171</v>
      </c>
      <c r="AN5513" s="132"/>
      <c r="AO5513" s="146"/>
      <c r="AP5513" s="138">
        <f>AP5512/AP5509</f>
        <v>1.0007131223901959</v>
      </c>
      <c r="AQ5513" s="132"/>
      <c r="AR5513" s="146"/>
      <c r="AS5513" s="138">
        <f>AS5512/AS5509</f>
        <v>1.0005727583791055</v>
      </c>
      <c r="AT5513" s="132"/>
      <c r="AU5513" s="146"/>
    </row>
    <row r="5514" spans="15:47" x14ac:dyDescent="0.25">
      <c r="O5514" s="2" t="s">
        <v>26</v>
      </c>
      <c r="P5514" s="7">
        <v>12</v>
      </c>
      <c r="Q5514" s="2"/>
      <c r="R5514" s="181">
        <f>1-R5513/(3*F_GAMMA*R$29)</f>
        <v>0.33225782754378164</v>
      </c>
      <c r="S5514" s="133"/>
      <c r="T5514" s="146"/>
      <c r="U5514" s="138">
        <f>1-U5513/(3*F_GAMMA*U$29)</f>
        <v>0.23273578492476321</v>
      </c>
      <c r="V5514" s="133"/>
      <c r="W5514" s="146"/>
      <c r="X5514" s="138">
        <f>1-X5513/(3*F_GAMMA*X$29)</f>
        <v>0.44871382789201686</v>
      </c>
      <c r="Y5514" s="133"/>
      <c r="Z5514" s="146"/>
      <c r="AA5514" s="138">
        <f>1-AA5513/(3*F_GAMMA*AA$29)</f>
        <v>0.45852392172918077</v>
      </c>
      <c r="AB5514" s="133"/>
      <c r="AC5514" s="146"/>
      <c r="AD5514" s="138">
        <f>1-AD5513/(3*F_GAMMA*AD$29)</f>
        <v>0.44741184022676628</v>
      </c>
      <c r="AE5514" s="133"/>
      <c r="AF5514" s="146"/>
      <c r="AG5514" s="138">
        <f>1-AG5513/(3*F_GAMMA*AG$29)</f>
        <v>0.41701015938529995</v>
      </c>
      <c r="AH5514" s="133"/>
      <c r="AI5514" s="146"/>
      <c r="AJ5514" s="138">
        <f>1-AJ5513/(3*F_GAMMA*AJ$29)</f>
        <v>0.37724302551413869</v>
      </c>
      <c r="AK5514" s="133"/>
      <c r="AL5514" s="146"/>
      <c r="AM5514" s="138">
        <f>1-AM5513/(3*F_GAMMA*AM$29)</f>
        <v>0.31980148934542696</v>
      </c>
      <c r="AN5514" s="133"/>
      <c r="AO5514" s="146"/>
      <c r="AP5514" s="138">
        <f>1-AP5513/(3*F_GAMMA*AP$29)</f>
        <v>0.43798770284936195</v>
      </c>
      <c r="AQ5514" s="133"/>
      <c r="AR5514" s="146"/>
      <c r="AS5514" s="138">
        <f>1-AS5513/(3*F_GAMMA*AS$29)</f>
        <v>0.14693616863710124</v>
      </c>
      <c r="AT5514" s="133"/>
      <c r="AU5514" s="146"/>
    </row>
    <row r="5515" spans="15:47" x14ac:dyDescent="0.25">
      <c r="O5515" s="2" t="s">
        <v>71</v>
      </c>
      <c r="P5515" s="85">
        <v>5</v>
      </c>
      <c r="Q5515" s="2"/>
      <c r="R5515" s="179">
        <f>R5507/((N_6*R$27*R5514)*SQRT(R5513*R5509*R5511))</f>
        <v>90.04248104576358</v>
      </c>
      <c r="S5515" s="133"/>
      <c r="T5515" s="146"/>
      <c r="U5515" s="143">
        <f>U5507/((N_6*U$27*U5514)*SQRT(U5513*U5509*U5511))</f>
        <v>173.4820091150157</v>
      </c>
      <c r="V5515" s="133"/>
      <c r="W5515" s="146"/>
      <c r="X5515" s="143">
        <f>X5507/((N_6*X$27*X5514)*SQRT(X5513*X5509*X5511))</f>
        <v>24.126092483584515</v>
      </c>
      <c r="Y5515" s="133"/>
      <c r="Z5515" s="146"/>
      <c r="AA5515" s="143">
        <f>AA5507/((N_6*AA$27*AA5514)*SQRT(AA5513*AA5509*AA5511))</f>
        <v>11.64248420060291</v>
      </c>
      <c r="AB5515" s="133"/>
      <c r="AC5515" s="146"/>
      <c r="AD5515" s="143">
        <f>AD5507/((N_6*AD$27*AD5514)*SQRT(AD5513*AD5509*AD5511))</f>
        <v>7.267766670783474</v>
      </c>
      <c r="AE5515" s="133"/>
      <c r="AF5515" s="146"/>
      <c r="AG5515" s="143">
        <f>AG5507/((N_6*AG$27*AG5514)*SQRT(AG5513*AG5509*AG5511))</f>
        <v>5.6630847917708698</v>
      </c>
      <c r="AH5515" s="133"/>
      <c r="AI5515" s="146"/>
      <c r="AJ5515" s="143">
        <f>AJ5507/((N_6*AJ$27*AJ5514)*SQRT(AJ5513*AJ5509*AJ5511))</f>
        <v>5.0937114016728966</v>
      </c>
      <c r="AK5515" s="133"/>
      <c r="AL5515" s="146"/>
      <c r="AM5515" s="143">
        <f>AM5507/((N_6*AM$27*AM5514)*SQRT(AM5513*AM5509*AM5511))</f>
        <v>5.4362440478608205</v>
      </c>
      <c r="AN5515" s="133"/>
      <c r="AO5515" s="146"/>
      <c r="AP5515" s="143">
        <f>AP5507/((N_6*AP$27*AP5514)*SQRT(AP5513*AP5509*AP5511))</f>
        <v>4.0403785292198089</v>
      </c>
      <c r="AQ5515" s="133"/>
      <c r="AR5515" s="146"/>
      <c r="AS5515" s="143">
        <f>AS5507/((N_6*AS$27*AS5514)*SQRT(AS5513*AS5509*AS5511))</f>
        <v>14.181286455933684</v>
      </c>
      <c r="AT5515" s="133"/>
      <c r="AU5515" s="146"/>
    </row>
    <row r="5516" spans="15:47" x14ac:dyDescent="0.25">
      <c r="O5516" s="2" t="s">
        <v>73</v>
      </c>
      <c r="P5516" s="85">
        <v>5</v>
      </c>
      <c r="Q5516" s="2"/>
      <c r="R5516" s="179">
        <f>R5507/((N_6*R$27*0.667)*SQRT(R5517*R5509*R5511))</f>
        <v>63.483647360769602</v>
      </c>
      <c r="S5516" s="133"/>
      <c r="T5516" s="155"/>
      <c r="U5516" s="143">
        <f>U5507/((N_6*U$27*0.667)*SQRT(U5517*U5509*U5511))</f>
        <v>91.838519245927969</v>
      </c>
      <c r="V5516" s="133"/>
      <c r="W5516" s="155"/>
      <c r="X5516" s="143">
        <f>X5507/((N_6*X$27*0.667)*SQRT(X5517*X5509*X5511))</f>
        <v>20.872755439050582</v>
      </c>
      <c r="Y5516" s="133"/>
      <c r="Z5516" s="155"/>
      <c r="AA5516" s="143">
        <f>AA5507/((N_6*AA$27*0.667)*SQRT(AA5517*AA5509*AA5511))</f>
        <v>10.200749585072382</v>
      </c>
      <c r="AB5516" s="133"/>
      <c r="AC5516" s="155"/>
      <c r="AD5516" s="143">
        <f>AD5507/((N_6*AD$27*0.667)*SQRT(AD5517*AD5509*AD5511))</f>
        <v>6.2768829484397193</v>
      </c>
      <c r="AE5516" s="133"/>
      <c r="AF5516" s="155"/>
      <c r="AG5516" s="143">
        <f>AG5507/((N_6*AG$27*0.667)*SQRT(AG5517*AG5509*AG5511))</f>
        <v>4.6823620001667523</v>
      </c>
      <c r="AH5516" s="133"/>
      <c r="AI5516" s="155"/>
      <c r="AJ5516" s="143">
        <f>AJ5507/((N_6*AJ$27*0.667)*SQRT(AJ5517*AJ5509*AJ5511))</f>
        <v>3.9377636706402024</v>
      </c>
      <c r="AK5516" s="133"/>
      <c r="AL5516" s="155"/>
      <c r="AM5516" s="143">
        <f>AM5507/((N_6*AM$27*0.667)*SQRT(AM5517*AM5509*AM5511))</f>
        <v>3.7233345380182765</v>
      </c>
      <c r="AN5516" s="133"/>
      <c r="AO5516" s="155"/>
      <c r="AP5516" s="143">
        <f>AP5507/((N_6*AP$27*0.667)*SQRT(AP5517*AP5509*AP5511))</f>
        <v>3.4450194196770378</v>
      </c>
      <c r="AQ5516" s="133"/>
      <c r="AR5516" s="155"/>
      <c r="AS5516" s="143">
        <f>AS5507/((N_6*AS$27*0.667)*SQRT(AS5517*AS5509*AS5511))</f>
        <v>4.9976967327509962</v>
      </c>
      <c r="AT5516" s="133"/>
      <c r="AU5516" s="155"/>
    </row>
    <row r="5517" spans="15:47" ht="15.5" x14ac:dyDescent="0.4">
      <c r="O5517" s="2" t="s">
        <v>192</v>
      </c>
      <c r="P5517" s="85">
        <v>10</v>
      </c>
      <c r="Q5517" s="2"/>
      <c r="R5517" s="181">
        <f>F_GAMMA*R$29</f>
        <v>0.64002688015162901</v>
      </c>
      <c r="S5517" s="133"/>
      <c r="T5517" s="155"/>
      <c r="U5517" s="138">
        <f>F_GAMMA*U$29</f>
        <v>0.64016782916606918</v>
      </c>
      <c r="V5517" s="133"/>
      <c r="W5517" s="155"/>
      <c r="X5517" s="138">
        <f>F_GAMMA*X$29</f>
        <v>0.6307062319203669</v>
      </c>
      <c r="Y5517" s="133"/>
      <c r="Z5517" s="155"/>
      <c r="AA5517" s="138">
        <f>F_GAMMA*AA$29</f>
        <v>0.62217534213893466</v>
      </c>
      <c r="AB5517" s="133"/>
      <c r="AC5517" s="155"/>
      <c r="AD5517" s="138">
        <f>F_GAMMA*AD$29</f>
        <v>0.60557184969146072</v>
      </c>
      <c r="AE5517" s="133"/>
      <c r="AF5517" s="155"/>
      <c r="AG5517" s="138">
        <f>F_GAMMA*AG$29</f>
        <v>0.57289312142622573</v>
      </c>
      <c r="AH5517" s="133"/>
      <c r="AI5517" s="155"/>
      <c r="AJ5517" s="138">
        <f>F_GAMMA*AJ$29</f>
        <v>0.53590819116049981</v>
      </c>
      <c r="AK5517" s="133"/>
      <c r="AL5517" s="155"/>
      <c r="AM5517" s="138">
        <f>F_GAMMA*AM$29</f>
        <v>0.49048815926850342</v>
      </c>
      <c r="AN5517" s="133"/>
      <c r="AO5517" s="155"/>
      <c r="AP5517" s="138">
        <f>F_GAMMA*AP$29</f>
        <v>0.59352979016280105</v>
      </c>
      <c r="AQ5517" s="133"/>
      <c r="AR5517" s="155"/>
      <c r="AS5517" s="138">
        <f>F_GAMMA*AS$29</f>
        <v>0.39097221161068291</v>
      </c>
      <c r="AT5517" s="133"/>
      <c r="AU5517" s="155"/>
    </row>
    <row r="5518" spans="15:47" x14ac:dyDescent="0.25">
      <c r="O5518" s="2" t="s">
        <v>193</v>
      </c>
      <c r="P5518" s="134"/>
      <c r="Q5518" s="2"/>
      <c r="R5518" s="181">
        <f>IF(R5513&lt;R5517,R5515,R5516)</f>
        <v>63.483647360769602</v>
      </c>
      <c r="S5518" s="133"/>
      <c r="T5518" s="155"/>
      <c r="U5518" s="138">
        <f>IF(U5513&lt;U5517,U5515,U5516)</f>
        <v>91.838519245927969</v>
      </c>
      <c r="V5518" s="133"/>
      <c r="W5518" s="155"/>
      <c r="X5518" s="138">
        <f>IF(X5513&lt;X5517,X5515,X5516)</f>
        <v>20.872755439050582</v>
      </c>
      <c r="Y5518" s="133"/>
      <c r="Z5518" s="155"/>
      <c r="AA5518" s="138">
        <f>IF(AA5513&lt;AA5517,AA5515,AA5516)</f>
        <v>10.200749585072382</v>
      </c>
      <c r="AB5518" s="133"/>
      <c r="AC5518" s="155"/>
      <c r="AD5518" s="138">
        <f>IF(AD5513&lt;AD5517,AD5515,AD5516)</f>
        <v>6.2768829484397193</v>
      </c>
      <c r="AE5518" s="133"/>
      <c r="AF5518" s="155"/>
      <c r="AG5518" s="138">
        <f>IF(AG5513&lt;AG5517,AG5515,AG5516)</f>
        <v>4.6823620001667523</v>
      </c>
      <c r="AH5518" s="133"/>
      <c r="AI5518" s="155"/>
      <c r="AJ5518" s="138">
        <f>IF(AJ5513&lt;AJ5517,AJ5515,AJ5516)</f>
        <v>3.9377636706402024</v>
      </c>
      <c r="AK5518" s="133"/>
      <c r="AL5518" s="155"/>
      <c r="AM5518" s="138">
        <f>IF(AM5513&lt;AM5517,AM5515,AM5516)</f>
        <v>3.7233345380182765</v>
      </c>
      <c r="AN5518" s="133"/>
      <c r="AO5518" s="155"/>
      <c r="AP5518" s="138">
        <f>IF(AP5513&lt;AP5517,AP5515,AP5516)</f>
        <v>3.4450194196770378</v>
      </c>
      <c r="AQ5518" s="133"/>
      <c r="AR5518" s="155"/>
      <c r="AS5518" s="138">
        <f>IF(AS5513&lt;AS5517,AS5515,AS5516)</f>
        <v>4.9976967327509962</v>
      </c>
      <c r="AT5518" s="133"/>
      <c r="AU5518" s="155"/>
    </row>
    <row r="5519" spans="15:47" ht="13" x14ac:dyDescent="0.3">
      <c r="O5519" s="9" t="s">
        <v>194</v>
      </c>
      <c r="P5519" s="1"/>
      <c r="Q5519" s="1"/>
      <c r="R5519" s="135"/>
      <c r="S5519" s="132">
        <f>IF(R5512&lt;=0,W_max,ABS(R$23-R5518))</f>
        <v>7174</v>
      </c>
      <c r="T5519" s="151">
        <f>R5507</f>
        <v>26392.020846999105</v>
      </c>
      <c r="U5519" s="135"/>
      <c r="V5519" s="132">
        <f>IF(U5512&lt;=0,W_max,ABS(U$23-U5518))</f>
        <v>7174</v>
      </c>
      <c r="W5519" s="151">
        <f>U5507</f>
        <v>22734.989353553752</v>
      </c>
      <c r="X5519" s="135"/>
      <c r="Y5519" s="132">
        <f>IF(X5512&lt;=0,W_max,ABS(X$23-X5518))</f>
        <v>7174</v>
      </c>
      <c r="Z5519" s="151">
        <f>X5507</f>
        <v>56226.334166786059</v>
      </c>
      <c r="AA5519" s="135"/>
      <c r="AB5519" s="132">
        <f>IF(AA5512&lt;=0,W_max,ABS(AA$23-AA5518))</f>
        <v>7174</v>
      </c>
      <c r="AC5519" s="151">
        <f>AA5507</f>
        <v>109514.54744299385</v>
      </c>
      <c r="AD5519" s="135"/>
      <c r="AE5519" s="132">
        <f>IF(AD5512&lt;=0,W_max,ABS(AD$23-AD5518))</f>
        <v>7174</v>
      </c>
      <c r="AF5519" s="151">
        <f>AD5507</f>
        <v>180111.10967957933</v>
      </c>
      <c r="AG5519" s="135"/>
      <c r="AH5519" s="132">
        <f>IF(AG5512&lt;=0,W_max,ABS(AG$23-AG5518))</f>
        <v>7174</v>
      </c>
      <c r="AI5519" s="151">
        <f>AG5507</f>
        <v>252619.69739004178</v>
      </c>
      <c r="AJ5519" s="135"/>
      <c r="AK5519" s="132">
        <f>IF(AJ5512&lt;=0,W_max,ABS(AJ$23-AJ5518))</f>
        <v>7174</v>
      </c>
      <c r="AL5519" s="151">
        <f>AJ5507</f>
        <v>320759.98267778353</v>
      </c>
      <c r="AM5519" s="135"/>
      <c r="AN5519" s="132">
        <f>IF(AM5512&lt;=0,W_max,ABS(AM$23-AM5518))</f>
        <v>7174</v>
      </c>
      <c r="AO5519" s="151">
        <f>AM5507</f>
        <v>376116.30583406443</v>
      </c>
      <c r="AP5519" s="135"/>
      <c r="AQ5519" s="132">
        <f>IF(AP5512&lt;=0,W_max,ABS(AP$23-AP5518))</f>
        <v>7174</v>
      </c>
      <c r="AR5519" s="151">
        <f>AP5507</f>
        <v>419621.05708375724</v>
      </c>
      <c r="AS5519" s="135"/>
      <c r="AT5519" s="132">
        <f>IF(AS5512&lt;=0,W_max,ABS(AS$23-AS5518))</f>
        <v>7174</v>
      </c>
      <c r="AU5519" s="151">
        <f>AS5507</f>
        <v>468157.93098258792</v>
      </c>
    </row>
    <row r="5520" spans="15:47" ht="13" x14ac:dyDescent="0.25">
      <c r="O5520" s="2"/>
      <c r="P5520" s="85"/>
      <c r="Q5520" s="2"/>
      <c r="R5520" s="18"/>
      <c r="S5520" s="150"/>
      <c r="T5520" s="152"/>
      <c r="U5520" s="157"/>
      <c r="V5520" s="1"/>
      <c r="W5520" s="147"/>
      <c r="X5520" s="157"/>
      <c r="Y5520" s="1"/>
      <c r="Z5520" s="147"/>
      <c r="AA5520" s="157"/>
      <c r="AB5520" s="1"/>
      <c r="AC5520" s="147"/>
      <c r="AD5520" s="157"/>
      <c r="AE5520" s="1"/>
      <c r="AF5520" s="147"/>
      <c r="AG5520" s="157"/>
      <c r="AH5520" s="1"/>
      <c r="AI5520" s="147"/>
      <c r="AJ5520" s="157"/>
      <c r="AK5520" s="1"/>
      <c r="AL5520" s="147"/>
      <c r="AM5520" s="157"/>
      <c r="AN5520" s="1"/>
      <c r="AO5520" s="147"/>
      <c r="AP5520" s="157"/>
      <c r="AQ5520" s="1"/>
      <c r="AR5520" s="147"/>
      <c r="AS5520" s="157"/>
      <c r="AT5520" s="1"/>
      <c r="AU5520" s="147"/>
    </row>
    <row r="5521" spans="15:47" ht="14" x14ac:dyDescent="0.3">
      <c r="O5521" s="23" t="s">
        <v>238</v>
      </c>
      <c r="P5521" s="20"/>
      <c r="Q5521" s="20"/>
      <c r="R5521" s="181">
        <f>R5507*1.02</f>
        <v>26919.861263939089</v>
      </c>
      <c r="S5521" s="128" t="s">
        <v>185</v>
      </c>
      <c r="T5521" s="153" t="s">
        <v>186</v>
      </c>
      <c r="U5521" s="143">
        <f>U5507*1.01</f>
        <v>22962.33924708929</v>
      </c>
      <c r="V5521" s="128" t="s">
        <v>185</v>
      </c>
      <c r="W5521" s="153" t="s">
        <v>186</v>
      </c>
      <c r="X5521" s="143">
        <f>X5507*1.01</f>
        <v>56788.597508453917</v>
      </c>
      <c r="Y5521" s="128" t="s">
        <v>185</v>
      </c>
      <c r="Z5521" s="153" t="s">
        <v>186</v>
      </c>
      <c r="AA5521" s="143">
        <f>AA5507*1.01</f>
        <v>110609.69291742379</v>
      </c>
      <c r="AB5521" s="128" t="s">
        <v>185</v>
      </c>
      <c r="AC5521" s="153" t="s">
        <v>186</v>
      </c>
      <c r="AD5521" s="143">
        <f>AD5507*1.01</f>
        <v>181912.22077637512</v>
      </c>
      <c r="AE5521" s="128" t="s">
        <v>185</v>
      </c>
      <c r="AF5521" s="153" t="s">
        <v>186</v>
      </c>
      <c r="AG5521" s="143">
        <f>AG5507*1.01</f>
        <v>255145.89436394221</v>
      </c>
      <c r="AH5521" s="128" t="s">
        <v>185</v>
      </c>
      <c r="AI5521" s="153" t="s">
        <v>186</v>
      </c>
      <c r="AJ5521" s="143">
        <f>AJ5507*1.01</f>
        <v>323967.58250456135</v>
      </c>
      <c r="AK5521" s="128" t="s">
        <v>185</v>
      </c>
      <c r="AL5521" s="153" t="s">
        <v>186</v>
      </c>
      <c r="AM5521" s="143">
        <f>AM5507*1.01</f>
        <v>379877.4688924051</v>
      </c>
      <c r="AN5521" s="128" t="s">
        <v>185</v>
      </c>
      <c r="AO5521" s="153" t="s">
        <v>186</v>
      </c>
      <c r="AP5521" s="143">
        <f>AP5507*1.01</f>
        <v>423817.26765459485</v>
      </c>
      <c r="AQ5521" s="128" t="s">
        <v>185</v>
      </c>
      <c r="AR5521" s="153" t="s">
        <v>186</v>
      </c>
      <c r="AS5521" s="143">
        <f>AS5507*1.01</f>
        <v>472839.51029241382</v>
      </c>
      <c r="AT5521" s="128" t="s">
        <v>185</v>
      </c>
      <c r="AU5521" s="153" t="s">
        <v>186</v>
      </c>
    </row>
    <row r="5522" spans="15:47" ht="14" x14ac:dyDescent="0.3">
      <c r="O5522" s="20"/>
      <c r="P5522" s="20"/>
      <c r="Q5522" s="23"/>
      <c r="R5522" s="139"/>
      <c r="S5522" s="130" t="s">
        <v>228</v>
      </c>
      <c r="T5522" s="154" t="s">
        <v>187</v>
      </c>
      <c r="U5522" s="144"/>
      <c r="V5522" s="130" t="s">
        <v>228</v>
      </c>
      <c r="W5522" s="154" t="s">
        <v>187</v>
      </c>
      <c r="X5522" s="144"/>
      <c r="Y5522" s="130" t="s">
        <v>228</v>
      </c>
      <c r="Z5522" s="154" t="s">
        <v>187</v>
      </c>
      <c r="AA5522" s="144"/>
      <c r="AB5522" s="130" t="s">
        <v>228</v>
      </c>
      <c r="AC5522" s="154" t="s">
        <v>187</v>
      </c>
      <c r="AD5522" s="144"/>
      <c r="AE5522" s="130" t="s">
        <v>228</v>
      </c>
      <c r="AF5522" s="154" t="s">
        <v>187</v>
      </c>
      <c r="AG5522" s="144"/>
      <c r="AH5522" s="130" t="s">
        <v>228</v>
      </c>
      <c r="AI5522" s="154" t="s">
        <v>187</v>
      </c>
      <c r="AJ5522" s="144"/>
      <c r="AK5522" s="130" t="s">
        <v>228</v>
      </c>
      <c r="AL5522" s="154" t="s">
        <v>187</v>
      </c>
      <c r="AM5522" s="144"/>
      <c r="AN5522" s="130" t="s">
        <v>228</v>
      </c>
      <c r="AO5522" s="154" t="s">
        <v>187</v>
      </c>
      <c r="AP5522" s="144"/>
      <c r="AQ5522" s="130" t="s">
        <v>228</v>
      </c>
      <c r="AR5522" s="154" t="s">
        <v>187</v>
      </c>
      <c r="AS5522" s="144"/>
      <c r="AT5522" s="130" t="s">
        <v>228</v>
      </c>
      <c r="AU5522" s="154" t="s">
        <v>187</v>
      </c>
    </row>
    <row r="5523" spans="15:47" x14ac:dyDescent="0.25">
      <c r="O5523" s="7" t="s">
        <v>188</v>
      </c>
      <c r="P5523" s="7"/>
      <c r="Q5523" s="7"/>
      <c r="R5523" s="181">
        <f>P_1_minW-(R5521^2*R_up)+dpup_minQ</f>
        <v>-188.45151446644272</v>
      </c>
      <c r="S5523" s="132"/>
      <c r="T5523" s="145"/>
      <c r="U5523" s="138">
        <f>P_1_minW-(U5521^2*R_up)+dpup_minQ</f>
        <v>-109.73197749460657</v>
      </c>
      <c r="V5523" s="132"/>
      <c r="W5523" s="145"/>
      <c r="X5523" s="138">
        <f>P_1_minW-(X5521^2*R_up)+dpup_minQ</f>
        <v>-1185.4621271767453</v>
      </c>
      <c r="Y5523" s="132"/>
      <c r="Z5523" s="145"/>
      <c r="AA5523" s="138">
        <f>P_1_minW-(AA5521^2*R_up)+dpup_minQ</f>
        <v>-4778.1305639510374</v>
      </c>
      <c r="AB5523" s="132"/>
      <c r="AC5523" s="145"/>
      <c r="AD5523" s="138">
        <f>P_1_minW-(AD5521^2*R_up)+dpup_minQ</f>
        <v>-13095.32626515722</v>
      </c>
      <c r="AE5523" s="132"/>
      <c r="AF5523" s="145"/>
      <c r="AG5523" s="138">
        <f>P_1_minW-(AG5521^2*R_up)+dpup_minQ</f>
        <v>-25858.644444138441</v>
      </c>
      <c r="AH5523" s="132"/>
      <c r="AI5523" s="145"/>
      <c r="AJ5523" s="138">
        <f>P_1_minW-(AJ5521^2*R_up)+dpup_minQ</f>
        <v>-41751.523577800363</v>
      </c>
      <c r="AK5523" s="132"/>
      <c r="AL5523" s="145"/>
      <c r="AM5523" s="138">
        <f>P_1_minW-(AM5521^2*R_up)+dpup_minQ</f>
        <v>-57443.558239634855</v>
      </c>
      <c r="AN5523" s="132"/>
      <c r="AO5523" s="145"/>
      <c r="AP5523" s="138">
        <f>P_1_minW-(AP5521^2*R_up)+dpup_minQ</f>
        <v>-71525.507501580039</v>
      </c>
      <c r="AQ5523" s="132"/>
      <c r="AR5523" s="145"/>
      <c r="AS5523" s="138">
        <f>P_1_minW-(AS5521^2*R_up)+dpup_minQ</f>
        <v>-89053.533084131006</v>
      </c>
      <c r="AT5523" s="132"/>
      <c r="AU5523" s="145"/>
    </row>
    <row r="5524" spans="15:47" x14ac:dyDescent="0.25">
      <c r="O5524" s="7" t="s">
        <v>189</v>
      </c>
      <c r="P5524" s="1"/>
      <c r="Q5524" s="7"/>
      <c r="R5524" s="181">
        <f>P_2_minW+(R5521^2*R_dn)-dpdn_minQ</f>
        <v>50</v>
      </c>
      <c r="S5524" s="132"/>
      <c r="T5524" s="146"/>
      <c r="U5524" s="138">
        <f>P_2_minW+(U5521^2*R_dn)-dpdn_minQ</f>
        <v>50</v>
      </c>
      <c r="V5524" s="132"/>
      <c r="W5524" s="146"/>
      <c r="X5524" s="138">
        <f>P_2_minW+(X5521^2*R_dn)-dpdn_minQ</f>
        <v>50</v>
      </c>
      <c r="Y5524" s="132"/>
      <c r="Z5524" s="146"/>
      <c r="AA5524" s="138">
        <f>P_2_minW+(AA5521^2*R_dn)-dpdn_minQ</f>
        <v>50</v>
      </c>
      <c r="AB5524" s="132"/>
      <c r="AC5524" s="146"/>
      <c r="AD5524" s="138">
        <f>P_2_minW+(AD5521^2*R_dn)-dpdn_minQ</f>
        <v>50</v>
      </c>
      <c r="AE5524" s="132"/>
      <c r="AF5524" s="146"/>
      <c r="AG5524" s="138">
        <f>P_2_minW+(AG5521^2*R_dn)-dpdn_minQ</f>
        <v>50</v>
      </c>
      <c r="AH5524" s="132"/>
      <c r="AI5524" s="146"/>
      <c r="AJ5524" s="138">
        <f>P_2_minW+(AJ5521^2*R_dn)-dpdn_minQ</f>
        <v>50</v>
      </c>
      <c r="AK5524" s="132"/>
      <c r="AL5524" s="146"/>
      <c r="AM5524" s="138">
        <f>P_2_minW+(AM5521^2*R_dn)-dpdn_minQ</f>
        <v>50</v>
      </c>
      <c r="AN5524" s="132"/>
      <c r="AO5524" s="146"/>
      <c r="AP5524" s="138">
        <f>P_2_minW+(AP5521^2*R_dn)-dpdn_minQ</f>
        <v>50</v>
      </c>
      <c r="AQ5524" s="132"/>
      <c r="AR5524" s="146"/>
      <c r="AS5524" s="138">
        <f>P_2_minW+(AS5521^2*R_dn)-dpdn_minQ</f>
        <v>50</v>
      </c>
      <c r="AT5524" s="132"/>
      <c r="AU5524" s="146"/>
    </row>
    <row r="5525" spans="15:47" x14ac:dyDescent="0.25">
      <c r="O5525" s="7" t="s">
        <v>234</v>
      </c>
      <c r="P5525" s="1"/>
      <c r="Q5525" s="7"/>
      <c r="R5525" s="179">
        <f>'Valve Sizing'!G$8*R5523/P_1_maxW</f>
        <v>-0.90905655406196595</v>
      </c>
      <c r="S5525" s="132"/>
      <c r="T5525" s="146"/>
      <c r="U5525" s="143">
        <f>'Valve Sizing'!$G$8*U5523/P_1_maxW</f>
        <v>-0.52932752285954721</v>
      </c>
      <c r="V5525" s="132"/>
      <c r="W5525" s="146"/>
      <c r="X5525" s="143">
        <f>'Valve Sizing'!$G$8*X5523/P_1_maxW</f>
        <v>-5.7184582429776967</v>
      </c>
      <c r="Y5525" s="132"/>
      <c r="Z5525" s="146"/>
      <c r="AA5525" s="143">
        <f>'Valve Sizing'!$G$8*AA5523/P_1_maxW</f>
        <v>-23.048851146786326</v>
      </c>
      <c r="AB5525" s="132"/>
      <c r="AC5525" s="146"/>
      <c r="AD5525" s="143">
        <f>'Valve Sizing'!$G$8*AD5523/P_1_maxW</f>
        <v>-63.169522423980176</v>
      </c>
      <c r="AE5525" s="132"/>
      <c r="AF5525" s="146"/>
      <c r="AG5525" s="143">
        <f>'Valve Sizing'!$G$8*AG5523/P_1_maxW</f>
        <v>-124.73749695064373</v>
      </c>
      <c r="AH5525" s="132"/>
      <c r="AI5525" s="146"/>
      <c r="AJ5525" s="143">
        <f>'Valve Sizing'!$G$8*AJ5523/P_1_maxW</f>
        <v>-201.40191633870165</v>
      </c>
      <c r="AK5525" s="132"/>
      <c r="AL5525" s="146"/>
      <c r="AM5525" s="143">
        <f>'Valve Sizing'!$G$8*AM5523/P_1_maxW</f>
        <v>-277.09749775281824</v>
      </c>
      <c r="AN5525" s="132"/>
      <c r="AO5525" s="146"/>
      <c r="AP5525" s="143">
        <f>'Valve Sizing'!$G$8*AP5523/P_1_maxW</f>
        <v>-345.02631385590581</v>
      </c>
      <c r="AQ5525" s="132"/>
      <c r="AR5525" s="146"/>
      <c r="AS5525" s="143">
        <f>'Valve Sizing'!$G$8*AS5523/P_1_maxW</f>
        <v>-429.57838859352279</v>
      </c>
      <c r="AT5525" s="132"/>
      <c r="AU5525" s="146"/>
    </row>
    <row r="5526" spans="15:47" x14ac:dyDescent="0.25">
      <c r="O5526" s="7" t="s">
        <v>190</v>
      </c>
      <c r="P5526" s="1"/>
      <c r="Q5526" s="7"/>
      <c r="R5526" s="181">
        <f>R5523-R5524</f>
        <v>-238.45151446644272</v>
      </c>
      <c r="S5526" s="132"/>
      <c r="T5526" s="146"/>
      <c r="U5526" s="138">
        <f>U5523-U5524</f>
        <v>-159.73197749460655</v>
      </c>
      <c r="V5526" s="132"/>
      <c r="W5526" s="146"/>
      <c r="X5526" s="138">
        <f>X5523-X5524</f>
        <v>-1235.4621271767453</v>
      </c>
      <c r="Y5526" s="132"/>
      <c r="Z5526" s="146"/>
      <c r="AA5526" s="138">
        <f>AA5523-AA5524</f>
        <v>-4828.1305639510374</v>
      </c>
      <c r="AB5526" s="132"/>
      <c r="AC5526" s="146"/>
      <c r="AD5526" s="138">
        <f>AD5523-AD5524</f>
        <v>-13145.32626515722</v>
      </c>
      <c r="AE5526" s="132"/>
      <c r="AF5526" s="146"/>
      <c r="AG5526" s="138">
        <f>AG5523-AG5524</f>
        <v>-25908.644444138441</v>
      </c>
      <c r="AH5526" s="132"/>
      <c r="AI5526" s="146"/>
      <c r="AJ5526" s="138">
        <f>AJ5523-AJ5524</f>
        <v>-41801.523577800363</v>
      </c>
      <c r="AK5526" s="132"/>
      <c r="AL5526" s="146"/>
      <c r="AM5526" s="138">
        <f>AM5523-AM5524</f>
        <v>-57493.558239634855</v>
      </c>
      <c r="AN5526" s="132"/>
      <c r="AO5526" s="146"/>
      <c r="AP5526" s="138">
        <f>AP5523-AP5524</f>
        <v>-71575.507501580039</v>
      </c>
      <c r="AQ5526" s="132"/>
      <c r="AR5526" s="146"/>
      <c r="AS5526" s="138">
        <f>AS5523-AS5524</f>
        <v>-89103.533084131006</v>
      </c>
      <c r="AT5526" s="132"/>
      <c r="AU5526" s="146"/>
    </row>
    <row r="5527" spans="15:47" ht="14.5" x14ac:dyDescent="0.35">
      <c r="O5527" s="2" t="s">
        <v>191</v>
      </c>
      <c r="P5527" s="10"/>
      <c r="Q5527" s="2"/>
      <c r="R5527" s="181">
        <f>R5526/R5523</f>
        <v>1.2653202344463166</v>
      </c>
      <c r="S5527" s="132"/>
      <c r="T5527" s="146"/>
      <c r="U5527" s="138">
        <f>U5526/U5523</f>
        <v>1.4556556907256823</v>
      </c>
      <c r="V5527" s="132"/>
      <c r="W5527" s="146"/>
      <c r="X5527" s="138">
        <f>X5526/X5523</f>
        <v>1.0421776443580515</v>
      </c>
      <c r="Y5527" s="132"/>
      <c r="Z5527" s="146"/>
      <c r="AA5527" s="138">
        <f>AA5526/AA5523</f>
        <v>1.0104643436027532</v>
      </c>
      <c r="AB5527" s="132"/>
      <c r="AC5527" s="146"/>
      <c r="AD5527" s="138">
        <f>AD5526/AD5523</f>
        <v>1.0038181561106296</v>
      </c>
      <c r="AE5527" s="132"/>
      <c r="AF5527" s="146"/>
      <c r="AG5527" s="138">
        <f>AG5526/AG5523</f>
        <v>1.0019335893692345</v>
      </c>
      <c r="AH5527" s="132"/>
      <c r="AI5527" s="146"/>
      <c r="AJ5527" s="138">
        <f>AJ5526/AJ5523</f>
        <v>1.0011975610879644</v>
      </c>
      <c r="AK5527" s="132"/>
      <c r="AL5527" s="146"/>
      <c r="AM5527" s="138">
        <f>AM5526/AM5523</f>
        <v>1.0008704196176605</v>
      </c>
      <c r="AN5527" s="132"/>
      <c r="AO5527" s="146"/>
      <c r="AP5527" s="138">
        <f>AP5526/AP5523</f>
        <v>1.0006990513139511</v>
      </c>
      <c r="AQ5527" s="132"/>
      <c r="AR5527" s="146"/>
      <c r="AS5527" s="138">
        <f>AS5526/AS5523</f>
        <v>1.0005614600372201</v>
      </c>
      <c r="AT5527" s="132"/>
      <c r="AU5527" s="146"/>
    </row>
    <row r="5528" spans="15:47" x14ac:dyDescent="0.25">
      <c r="O5528" s="2" t="s">
        <v>26</v>
      </c>
      <c r="P5528" s="7">
        <v>12</v>
      </c>
      <c r="Q5528" s="2"/>
      <c r="R5528" s="181">
        <f>1-R5527/(3*F_GAMMA*R$29)</f>
        <v>0.34100672243299679</v>
      </c>
      <c r="S5528" s="133"/>
      <c r="T5528" s="146"/>
      <c r="U5528" s="138">
        <f>1-U5527/(3*F_GAMMA*U$29)</f>
        <v>0.2420447553459385</v>
      </c>
      <c r="V5528" s="133"/>
      <c r="W5528" s="146"/>
      <c r="X5528" s="138">
        <f>1-X5527/(3*F_GAMMA*X$29)</f>
        <v>0.44920070464245487</v>
      </c>
      <c r="Y5528" s="133"/>
      <c r="Z5528" s="146"/>
      <c r="AA5528" s="138">
        <f>1-AA5527/(3*F_GAMMA*AA$29)</f>
        <v>0.45863902817226954</v>
      </c>
      <c r="AB5528" s="133"/>
      <c r="AC5528" s="146"/>
      <c r="AD5528" s="138">
        <f>1-AD5527/(3*F_GAMMA*AD$29)</f>
        <v>0.44745441485207982</v>
      </c>
      <c r="AE5528" s="133"/>
      <c r="AF5528" s="146"/>
      <c r="AG5528" s="138">
        <f>1-AG5527/(3*F_GAMMA*AG$29)</f>
        <v>0.41703286244450721</v>
      </c>
      <c r="AH5528" s="133"/>
      <c r="AI5528" s="146"/>
      <c r="AJ5528" s="138">
        <f>1-AJ5527/(3*F_GAMMA*AJ$29)</f>
        <v>0.37725803436599303</v>
      </c>
      <c r="AK5528" s="133"/>
      <c r="AL5528" s="146"/>
      <c r="AM5528" s="138">
        <f>1-AM5527/(3*F_GAMMA*AM$29)</f>
        <v>0.31981340038169115</v>
      </c>
      <c r="AN5528" s="133"/>
      <c r="AO5528" s="146"/>
      <c r="AP5528" s="138">
        <f>1-AP5527/(3*F_GAMMA*AP$29)</f>
        <v>0.43799560533180848</v>
      </c>
      <c r="AQ5528" s="133"/>
      <c r="AR5528" s="146"/>
      <c r="AS5528" s="138">
        <f>1-AS5527/(3*F_GAMMA*AS$29)</f>
        <v>0.14694580132671442</v>
      </c>
      <c r="AT5528" s="133"/>
      <c r="AU5528" s="146"/>
    </row>
    <row r="5529" spans="15:47" x14ac:dyDescent="0.25">
      <c r="O5529" s="2" t="s">
        <v>71</v>
      </c>
      <c r="P5529" s="85">
        <v>5</v>
      </c>
      <c r="Q5529" s="2"/>
      <c r="R5529" s="179">
        <f>R5521/((N_6*R$27*R5528)*SQRT(R5527*R5523*R5525))</f>
        <v>84.715354536694633</v>
      </c>
      <c r="S5529" s="133"/>
      <c r="T5529" s="146"/>
      <c r="U5529" s="143">
        <f>U5521/((N_6*U$27*U5528)*SQRT(U5527*U5523*U5525))</f>
        <v>163.10977655522785</v>
      </c>
      <c r="V5529" s="133"/>
      <c r="W5529" s="146"/>
      <c r="X5529" s="143">
        <f>X5521/((N_6*X$27*X5528)*SQRT(X5527*X5523*X5525))</f>
        <v>23.831185938278388</v>
      </c>
      <c r="Y5529" s="133"/>
      <c r="Z5529" s="146"/>
      <c r="AA5529" s="143">
        <f>AA5521/((N_6*AA$27*AA5528)*SQRT(AA5527*AA5523*AA5525))</f>
        <v>11.520670400953733</v>
      </c>
      <c r="AB5529" s="133"/>
      <c r="AC5529" s="146"/>
      <c r="AD5529" s="143">
        <f>AD5521/((N_6*AD$27*AD5528)*SQRT(AD5527*AD5523*AD5525))</f>
        <v>7.1942909126505601</v>
      </c>
      <c r="AE5529" s="133"/>
      <c r="AF5529" s="146"/>
      <c r="AG5529" s="143">
        <f>AG5521/((N_6*AG$27*AG5528)*SQRT(AG5527*AG5523*AG5525))</f>
        <v>5.6063804769256249</v>
      </c>
      <c r="AH5529" s="133"/>
      <c r="AI5529" s="146"/>
      <c r="AJ5529" s="143">
        <f>AJ5521/((N_6*AJ$27*AJ5528)*SQRT(AJ5527*AJ5523*AJ5525))</f>
        <v>5.0428946895027478</v>
      </c>
      <c r="AK5529" s="133"/>
      <c r="AL5529" s="146"/>
      <c r="AM5529" s="143">
        <f>AM5521/((N_6*AM$27*AM5528)*SQRT(AM5527*AM5523*AM5525))</f>
        <v>5.3820771983167628</v>
      </c>
      <c r="AN5529" s="133"/>
      <c r="AO5529" s="146"/>
      <c r="AP5529" s="143">
        <f>AP5521/((N_6*AP$27*AP5528)*SQRT(AP5527*AP5523*AP5525))</f>
        <v>4.0002177252070483</v>
      </c>
      <c r="AQ5529" s="133"/>
      <c r="AR5529" s="146"/>
      <c r="AS5529" s="143">
        <f>AS5521/((N_6*AS$27*AS5528)*SQRT(AS5527*AS5523*AS5525))</f>
        <v>14.039717981472529</v>
      </c>
      <c r="AT5529" s="133"/>
      <c r="AU5529" s="146"/>
    </row>
    <row r="5530" spans="15:47" x14ac:dyDescent="0.25">
      <c r="O5530" s="2" t="s">
        <v>73</v>
      </c>
      <c r="P5530" s="85">
        <v>5</v>
      </c>
      <c r="Q5530" s="2"/>
      <c r="R5530" s="179">
        <f>R5521/((N_6*R$27*0.667)*SQRT(R5531*R5523*R5525))</f>
        <v>60.897625468749631</v>
      </c>
      <c r="S5530" s="133"/>
      <c r="T5530" s="155"/>
      <c r="U5530" s="143">
        <f>U5521/((N_6*U$27*0.667)*SQRT(U5531*U5523*U5525))</f>
        <v>89.254936254782081</v>
      </c>
      <c r="V5530" s="133"/>
      <c r="W5530" s="155"/>
      <c r="X5530" s="143">
        <f>X5521/((N_6*X$27*0.667)*SQRT(X5531*X5523*X5525))</f>
        <v>20.630871091713118</v>
      </c>
      <c r="Y5530" s="133"/>
      <c r="Z5530" s="155"/>
      <c r="AA5530" s="143">
        <f>AA5521/((N_6*AA$27*0.667)*SQRT(AA5531*AA5523*AA5525))</f>
        <v>10.095481224670481</v>
      </c>
      <c r="AB5530" s="133"/>
      <c r="AC5530" s="155"/>
      <c r="AD5530" s="143">
        <f>AD5521/((N_6*AD$27*0.667)*SQRT(AD5531*AD5523*AD5525))</f>
        <v>6.2137767066638778</v>
      </c>
      <c r="AE5530" s="133"/>
      <c r="AF5530" s="155"/>
      <c r="AG5530" s="143">
        <f>AG5521/((N_6*AG$27*0.667)*SQRT(AG5531*AG5523*AG5525))</f>
        <v>4.6356397386697576</v>
      </c>
      <c r="AH5530" s="133"/>
      <c r="AI5530" s="155"/>
      <c r="AJ5530" s="143">
        <f>AJ5521/((N_6*AJ$27*0.667)*SQRT(AJ5531*AJ5523*AJ5525))</f>
        <v>3.8985872355846123</v>
      </c>
      <c r="AK5530" s="133"/>
      <c r="AL5530" s="155"/>
      <c r="AM5530" s="143">
        <f>AM5521/((N_6*AM$27*0.667)*SQRT(AM5531*AM5523*AM5525))</f>
        <v>3.6863401724830345</v>
      </c>
      <c r="AN5530" s="133"/>
      <c r="AO5530" s="155"/>
      <c r="AP5530" s="143">
        <f>AP5521/((N_6*AP$27*0.667)*SQRT(AP5531*AP5523*AP5525))</f>
        <v>3.4108139624716851</v>
      </c>
      <c r="AQ5530" s="133"/>
      <c r="AR5530" s="155"/>
      <c r="AS5530" s="143">
        <f>AS5521/((N_6*AS$27*0.667)*SQRT(AS5531*AS5523*AS5525))</f>
        <v>4.9481023183749215</v>
      </c>
      <c r="AT5530" s="133"/>
      <c r="AU5530" s="155"/>
    </row>
    <row r="5531" spans="15:47" ht="15.5" x14ac:dyDescent="0.4">
      <c r="O5531" s="2" t="s">
        <v>192</v>
      </c>
      <c r="P5531" s="85">
        <v>10</v>
      </c>
      <c r="Q5531" s="2"/>
      <c r="R5531" s="181">
        <f>F_GAMMA*R$29</f>
        <v>0.64002688015162901</v>
      </c>
      <c r="S5531" s="133"/>
      <c r="T5531" s="155"/>
      <c r="U5531" s="138">
        <f>F_GAMMA*U$29</f>
        <v>0.64016782916606918</v>
      </c>
      <c r="V5531" s="133"/>
      <c r="W5531" s="155"/>
      <c r="X5531" s="138">
        <f>F_GAMMA*X$29</f>
        <v>0.6307062319203669</v>
      </c>
      <c r="Y5531" s="133"/>
      <c r="Z5531" s="155"/>
      <c r="AA5531" s="138">
        <f>F_GAMMA*AA$29</f>
        <v>0.62217534213893466</v>
      </c>
      <c r="AB5531" s="133"/>
      <c r="AC5531" s="155"/>
      <c r="AD5531" s="138">
        <f>F_GAMMA*AD$29</f>
        <v>0.60557184969146072</v>
      </c>
      <c r="AE5531" s="133"/>
      <c r="AF5531" s="155"/>
      <c r="AG5531" s="138">
        <f>F_GAMMA*AG$29</f>
        <v>0.57289312142622573</v>
      </c>
      <c r="AH5531" s="133"/>
      <c r="AI5531" s="155"/>
      <c r="AJ5531" s="138">
        <f>F_GAMMA*AJ$29</f>
        <v>0.53590819116049981</v>
      </c>
      <c r="AK5531" s="133"/>
      <c r="AL5531" s="155"/>
      <c r="AM5531" s="138">
        <f>F_GAMMA*AM$29</f>
        <v>0.49048815926850342</v>
      </c>
      <c r="AN5531" s="133"/>
      <c r="AO5531" s="155"/>
      <c r="AP5531" s="138">
        <f>F_GAMMA*AP$29</f>
        <v>0.59352979016280105</v>
      </c>
      <c r="AQ5531" s="133"/>
      <c r="AR5531" s="155"/>
      <c r="AS5531" s="138">
        <f>F_GAMMA*AS$29</f>
        <v>0.39097221161068291</v>
      </c>
      <c r="AT5531" s="133"/>
      <c r="AU5531" s="155"/>
    </row>
    <row r="5532" spans="15:47" x14ac:dyDescent="0.25">
      <c r="O5532" s="2" t="s">
        <v>193</v>
      </c>
      <c r="P5532" s="134"/>
      <c r="Q5532" s="2"/>
      <c r="R5532" s="181">
        <f>IF(R5527&lt;R5531,R5529,R5530)</f>
        <v>60.897625468749631</v>
      </c>
      <c r="S5532" s="133"/>
      <c r="T5532" s="155"/>
      <c r="U5532" s="138">
        <f>IF(U5527&lt;U5531,U5529,U5530)</f>
        <v>89.254936254782081</v>
      </c>
      <c r="V5532" s="133"/>
      <c r="W5532" s="155"/>
      <c r="X5532" s="138">
        <f>IF(X5527&lt;X5531,X5529,X5530)</f>
        <v>20.630871091713118</v>
      </c>
      <c r="Y5532" s="133"/>
      <c r="Z5532" s="155"/>
      <c r="AA5532" s="138">
        <f>IF(AA5527&lt;AA5531,AA5529,AA5530)</f>
        <v>10.095481224670481</v>
      </c>
      <c r="AB5532" s="133"/>
      <c r="AC5532" s="155"/>
      <c r="AD5532" s="138">
        <f>IF(AD5527&lt;AD5531,AD5529,AD5530)</f>
        <v>6.2137767066638778</v>
      </c>
      <c r="AE5532" s="133"/>
      <c r="AF5532" s="155"/>
      <c r="AG5532" s="138">
        <f>IF(AG5527&lt;AG5531,AG5529,AG5530)</f>
        <v>4.6356397386697576</v>
      </c>
      <c r="AH5532" s="133"/>
      <c r="AI5532" s="155"/>
      <c r="AJ5532" s="138">
        <f>IF(AJ5527&lt;AJ5531,AJ5529,AJ5530)</f>
        <v>3.8985872355846123</v>
      </c>
      <c r="AK5532" s="133"/>
      <c r="AL5532" s="155"/>
      <c r="AM5532" s="138">
        <f>IF(AM5527&lt;AM5531,AM5529,AM5530)</f>
        <v>3.6863401724830345</v>
      </c>
      <c r="AN5532" s="133"/>
      <c r="AO5532" s="155"/>
      <c r="AP5532" s="138">
        <f>IF(AP5527&lt;AP5531,AP5529,AP5530)</f>
        <v>3.4108139624716851</v>
      </c>
      <c r="AQ5532" s="133"/>
      <c r="AR5532" s="155"/>
      <c r="AS5532" s="138">
        <f>IF(AS5527&lt;AS5531,AS5529,AS5530)</f>
        <v>4.9481023183749215</v>
      </c>
      <c r="AT5532" s="133"/>
      <c r="AU5532" s="155"/>
    </row>
    <row r="5533" spans="15:47" ht="13" x14ac:dyDescent="0.3">
      <c r="O5533" s="9" t="s">
        <v>194</v>
      </c>
      <c r="P5533" s="1"/>
      <c r="Q5533" s="1"/>
      <c r="R5533" s="135"/>
      <c r="S5533" s="132">
        <f>IF(R5526&lt;=0,W_max,ABS(R$23-R5532))</f>
        <v>7174</v>
      </c>
      <c r="T5533" s="151">
        <f>R5521</f>
        <v>26919.861263939089</v>
      </c>
      <c r="U5533" s="135"/>
      <c r="V5533" s="132">
        <f>IF(U5526&lt;=0,W_max,ABS(U$23-U5532))</f>
        <v>7174</v>
      </c>
      <c r="W5533" s="151">
        <f>U5521</f>
        <v>22962.33924708929</v>
      </c>
      <c r="X5533" s="135"/>
      <c r="Y5533" s="132">
        <f>IF(X5526&lt;=0,W_max,ABS(X$23-X5532))</f>
        <v>7174</v>
      </c>
      <c r="Z5533" s="151">
        <f>X5521</f>
        <v>56788.597508453917</v>
      </c>
      <c r="AA5533" s="135"/>
      <c r="AB5533" s="132">
        <f>IF(AA5526&lt;=0,W_max,ABS(AA$23-AA5532))</f>
        <v>7174</v>
      </c>
      <c r="AC5533" s="151">
        <f>AA5521</f>
        <v>110609.69291742379</v>
      </c>
      <c r="AD5533" s="135"/>
      <c r="AE5533" s="132">
        <f>IF(AD5526&lt;=0,W_max,ABS(AD$23-AD5532))</f>
        <v>7174</v>
      </c>
      <c r="AF5533" s="151">
        <f>AD5521</f>
        <v>181912.22077637512</v>
      </c>
      <c r="AG5533" s="135"/>
      <c r="AH5533" s="132">
        <f>IF(AG5526&lt;=0,W_max,ABS(AG$23-AG5532))</f>
        <v>7174</v>
      </c>
      <c r="AI5533" s="151">
        <f>AG5521</f>
        <v>255145.89436394221</v>
      </c>
      <c r="AJ5533" s="135"/>
      <c r="AK5533" s="132">
        <f>IF(AJ5526&lt;=0,W_max,ABS(AJ$23-AJ5532))</f>
        <v>7174</v>
      </c>
      <c r="AL5533" s="151">
        <f>AJ5521</f>
        <v>323967.58250456135</v>
      </c>
      <c r="AM5533" s="135"/>
      <c r="AN5533" s="132">
        <f>IF(AM5526&lt;=0,W_max,ABS(AM$23-AM5532))</f>
        <v>7174</v>
      </c>
      <c r="AO5533" s="151">
        <f>AM5521</f>
        <v>379877.4688924051</v>
      </c>
      <c r="AP5533" s="135"/>
      <c r="AQ5533" s="132">
        <f>IF(AP5526&lt;=0,W_max,ABS(AP$23-AP5532))</f>
        <v>7174</v>
      </c>
      <c r="AR5533" s="151">
        <f>AP5521</f>
        <v>423817.26765459485</v>
      </c>
      <c r="AS5533" s="135"/>
      <c r="AT5533" s="132">
        <f>IF(AS5526&lt;=0,W_max,ABS(AS$23-AS5532))</f>
        <v>7174</v>
      </c>
      <c r="AU5533" s="151">
        <f>AS5521</f>
        <v>472839.51029241382</v>
      </c>
    </row>
    <row r="5534" spans="15:47" ht="13" x14ac:dyDescent="0.25">
      <c r="O5534" s="2"/>
      <c r="P5534" s="85"/>
      <c r="Q5534" s="2"/>
      <c r="R5534" s="18"/>
      <c r="S5534" s="150"/>
      <c r="T5534" s="148"/>
      <c r="U5534" s="157"/>
      <c r="V5534" s="1"/>
      <c r="W5534" s="147"/>
      <c r="X5534" s="157"/>
      <c r="Y5534" s="1"/>
      <c r="Z5534" s="147"/>
      <c r="AA5534" s="157"/>
      <c r="AB5534" s="1"/>
      <c r="AC5534" s="147"/>
      <c r="AD5534" s="157"/>
      <c r="AE5534" s="1"/>
      <c r="AF5534" s="147"/>
      <c r="AG5534" s="157"/>
      <c r="AH5534" s="1"/>
      <c r="AI5534" s="147"/>
      <c r="AJ5534" s="157"/>
      <c r="AK5534" s="1"/>
      <c r="AL5534" s="147"/>
      <c r="AM5534" s="157"/>
      <c r="AN5534" s="1"/>
      <c r="AO5534" s="147"/>
      <c r="AP5534" s="157"/>
      <c r="AQ5534" s="1"/>
      <c r="AR5534" s="147"/>
      <c r="AS5534" s="157"/>
      <c r="AT5534" s="1"/>
      <c r="AU5534" s="147"/>
    </row>
    <row r="5535" spans="15:47" ht="14" x14ac:dyDescent="0.3">
      <c r="O5535" s="23" t="s">
        <v>238</v>
      </c>
      <c r="P5535" s="20"/>
      <c r="Q5535" s="20"/>
      <c r="R5535" s="181">
        <f>R5521*1.02</f>
        <v>27458.258489217871</v>
      </c>
      <c r="S5535" s="128" t="s">
        <v>185</v>
      </c>
      <c r="T5535" s="149" t="s">
        <v>186</v>
      </c>
      <c r="U5535" s="143">
        <f>U5521*1.01</f>
        <v>23191.962639560184</v>
      </c>
      <c r="V5535" s="128" t="s">
        <v>185</v>
      </c>
      <c r="W5535" s="153" t="s">
        <v>186</v>
      </c>
      <c r="X5535" s="143">
        <f>X5521*1.01</f>
        <v>57356.483483538454</v>
      </c>
      <c r="Y5535" s="128" t="s">
        <v>185</v>
      </c>
      <c r="Z5535" s="153" t="s">
        <v>186</v>
      </c>
      <c r="AA5535" s="143">
        <f>AA5521*1.01</f>
        <v>111715.78984659803</v>
      </c>
      <c r="AB5535" s="128" t="s">
        <v>185</v>
      </c>
      <c r="AC5535" s="153" t="s">
        <v>186</v>
      </c>
      <c r="AD5535" s="143">
        <f>AD5521*1.01</f>
        <v>183731.34298413887</v>
      </c>
      <c r="AE5535" s="128" t="s">
        <v>185</v>
      </c>
      <c r="AF5535" s="153" t="s">
        <v>186</v>
      </c>
      <c r="AG5535" s="143">
        <f>AG5521*1.01</f>
        <v>257697.35330758162</v>
      </c>
      <c r="AH5535" s="128" t="s">
        <v>185</v>
      </c>
      <c r="AI5535" s="153" t="s">
        <v>186</v>
      </c>
      <c r="AJ5535" s="143">
        <f>AJ5521*1.01</f>
        <v>327207.25832960696</v>
      </c>
      <c r="AK5535" s="128" t="s">
        <v>185</v>
      </c>
      <c r="AL5535" s="153" t="s">
        <v>186</v>
      </c>
      <c r="AM5535" s="143">
        <f>AM5521*1.01</f>
        <v>383676.24358132918</v>
      </c>
      <c r="AN5535" s="128" t="s">
        <v>185</v>
      </c>
      <c r="AO5535" s="153" t="s">
        <v>186</v>
      </c>
      <c r="AP5535" s="143">
        <f>AP5521*1.01</f>
        <v>428055.44033114082</v>
      </c>
      <c r="AQ5535" s="128" t="s">
        <v>185</v>
      </c>
      <c r="AR5535" s="153" t="s">
        <v>186</v>
      </c>
      <c r="AS5535" s="143">
        <f>AS5521*1.01</f>
        <v>477567.90539533796</v>
      </c>
      <c r="AT5535" s="128" t="s">
        <v>185</v>
      </c>
      <c r="AU5535" s="153" t="s">
        <v>186</v>
      </c>
    </row>
    <row r="5536" spans="15:47" ht="14" x14ac:dyDescent="0.3">
      <c r="O5536" s="20"/>
      <c r="P5536" s="20"/>
      <c r="Q5536" s="23"/>
      <c r="R5536" s="139"/>
      <c r="S5536" s="130" t="s">
        <v>228</v>
      </c>
      <c r="T5536" s="131" t="s">
        <v>187</v>
      </c>
      <c r="U5536" s="144"/>
      <c r="V5536" s="130" t="s">
        <v>228</v>
      </c>
      <c r="W5536" s="154" t="s">
        <v>187</v>
      </c>
      <c r="X5536" s="144"/>
      <c r="Y5536" s="130" t="s">
        <v>228</v>
      </c>
      <c r="Z5536" s="154" t="s">
        <v>187</v>
      </c>
      <c r="AA5536" s="144"/>
      <c r="AB5536" s="130" t="s">
        <v>228</v>
      </c>
      <c r="AC5536" s="154" t="s">
        <v>187</v>
      </c>
      <c r="AD5536" s="144"/>
      <c r="AE5536" s="130" t="s">
        <v>228</v>
      </c>
      <c r="AF5536" s="154" t="s">
        <v>187</v>
      </c>
      <c r="AG5536" s="144"/>
      <c r="AH5536" s="130" t="s">
        <v>228</v>
      </c>
      <c r="AI5536" s="154" t="s">
        <v>187</v>
      </c>
      <c r="AJ5536" s="144"/>
      <c r="AK5536" s="130" t="s">
        <v>228</v>
      </c>
      <c r="AL5536" s="154" t="s">
        <v>187</v>
      </c>
      <c r="AM5536" s="144"/>
      <c r="AN5536" s="130" t="s">
        <v>228</v>
      </c>
      <c r="AO5536" s="154" t="s">
        <v>187</v>
      </c>
      <c r="AP5536" s="144"/>
      <c r="AQ5536" s="130" t="s">
        <v>228</v>
      </c>
      <c r="AR5536" s="154" t="s">
        <v>187</v>
      </c>
      <c r="AS5536" s="144"/>
      <c r="AT5536" s="130" t="s">
        <v>228</v>
      </c>
      <c r="AU5536" s="154" t="s">
        <v>187</v>
      </c>
    </row>
    <row r="5537" spans="15:47" x14ac:dyDescent="0.25">
      <c r="O5537" s="7" t="s">
        <v>188</v>
      </c>
      <c r="P5537" s="7"/>
      <c r="Q5537" s="7"/>
      <c r="R5537" s="181">
        <f>P_1_minW-(R5535^2*R_up)+dpup_minQ</f>
        <v>-200.12607623505076</v>
      </c>
      <c r="S5537" s="132"/>
      <c r="T5537" s="145"/>
      <c r="U5537" s="138">
        <f>P_1_minW-(U5535^2*R_up)+dpup_minQ</f>
        <v>-113.9580982556564</v>
      </c>
      <c r="V5537" s="132"/>
      <c r="W5537" s="145"/>
      <c r="X5537" s="138">
        <f>P_1_minW-(X5535^2*R_up)+dpup_minQ</f>
        <v>-1211.3104239464058</v>
      </c>
      <c r="Y5537" s="132"/>
      <c r="Z5537" s="145"/>
      <c r="AA5537" s="138">
        <f>P_1_minW-(AA5535^2*R_up)+dpup_minQ</f>
        <v>-4876.1914962998608</v>
      </c>
      <c r="AB5537" s="132"/>
      <c r="AC5537" s="145"/>
      <c r="AD5537" s="138">
        <f>P_1_minW-(AD5535^2*R_up)+dpup_minQ</f>
        <v>-13360.562831100287</v>
      </c>
      <c r="AE5537" s="132"/>
      <c r="AF5537" s="145"/>
      <c r="AG5537" s="138">
        <f>P_1_minW-(AG5535^2*R_up)+dpup_minQ</f>
        <v>-26380.423705479032</v>
      </c>
      <c r="AH5537" s="132"/>
      <c r="AI5537" s="145"/>
      <c r="AJ5537" s="138">
        <f>P_1_minW-(AJ5535^2*R_up)+dpup_minQ</f>
        <v>-42592.749709727555</v>
      </c>
      <c r="AK5537" s="132"/>
      <c r="AL5537" s="145"/>
      <c r="AM5537" s="138">
        <f>P_1_minW-(AM5535^2*R_up)+dpup_minQ</f>
        <v>-58600.194268264931</v>
      </c>
      <c r="AN5537" s="132"/>
      <c r="AO5537" s="145"/>
      <c r="AP5537" s="138">
        <f>P_1_minW-(AP5535^2*R_up)+dpup_minQ</f>
        <v>-72965.190710375216</v>
      </c>
      <c r="AQ5537" s="132"/>
      <c r="AR5537" s="145"/>
      <c r="AS5537" s="138">
        <f>P_1_minW-(AS5535^2*R_up)+dpup_minQ</f>
        <v>-90845.529607135439</v>
      </c>
      <c r="AT5537" s="132"/>
      <c r="AU5537" s="145"/>
    </row>
    <row r="5538" spans="15:47" x14ac:dyDescent="0.25">
      <c r="O5538" s="7" t="s">
        <v>189</v>
      </c>
      <c r="P5538" s="1"/>
      <c r="Q5538" s="7"/>
      <c r="R5538" s="181">
        <f>P_2_minW+(R5535^2*R_dn)-dpdn_minQ</f>
        <v>50</v>
      </c>
      <c r="S5538" s="132"/>
      <c r="T5538" s="146"/>
      <c r="U5538" s="138">
        <f>P_2_minW+(U5535^2*R_dn)-dpdn_minQ</f>
        <v>50</v>
      </c>
      <c r="V5538" s="132"/>
      <c r="W5538" s="146"/>
      <c r="X5538" s="138">
        <f>P_2_minW+(X5535^2*R_dn)-dpdn_minQ</f>
        <v>50</v>
      </c>
      <c r="Y5538" s="132"/>
      <c r="Z5538" s="146"/>
      <c r="AA5538" s="138">
        <f>P_2_minW+(AA5535^2*R_dn)-dpdn_minQ</f>
        <v>50</v>
      </c>
      <c r="AB5538" s="132"/>
      <c r="AC5538" s="146"/>
      <c r="AD5538" s="138">
        <f>P_2_minW+(AD5535^2*R_dn)-dpdn_minQ</f>
        <v>50</v>
      </c>
      <c r="AE5538" s="132"/>
      <c r="AF5538" s="146"/>
      <c r="AG5538" s="138">
        <f>P_2_minW+(AG5535^2*R_dn)-dpdn_minQ</f>
        <v>50</v>
      </c>
      <c r="AH5538" s="132"/>
      <c r="AI5538" s="146"/>
      <c r="AJ5538" s="138">
        <f>P_2_minW+(AJ5535^2*R_dn)-dpdn_minQ</f>
        <v>50</v>
      </c>
      <c r="AK5538" s="132"/>
      <c r="AL5538" s="146"/>
      <c r="AM5538" s="138">
        <f>P_2_minW+(AM5535^2*R_dn)-dpdn_minQ</f>
        <v>50</v>
      </c>
      <c r="AN5538" s="132"/>
      <c r="AO5538" s="146"/>
      <c r="AP5538" s="138">
        <f>P_2_minW+(AP5535^2*R_dn)-dpdn_minQ</f>
        <v>50</v>
      </c>
      <c r="AQ5538" s="132"/>
      <c r="AR5538" s="146"/>
      <c r="AS5538" s="138">
        <f>P_2_minW+(AS5535^2*R_dn)-dpdn_minQ</f>
        <v>50</v>
      </c>
      <c r="AT5538" s="132"/>
      <c r="AU5538" s="146"/>
    </row>
    <row r="5539" spans="15:47" x14ac:dyDescent="0.25">
      <c r="O5539" s="7" t="s">
        <v>234</v>
      </c>
      <c r="P5539" s="1"/>
      <c r="Q5539" s="7"/>
      <c r="R5539" s="179">
        <f>'Valve Sizing'!G$8*R5537/P_1_maxW</f>
        <v>-0.9653725615061205</v>
      </c>
      <c r="S5539" s="132"/>
      <c r="T5539" s="146"/>
      <c r="U5539" s="143">
        <f>'Valve Sizing'!$G$8*U5537/P_1_maxW</f>
        <v>-0.54971357699642587</v>
      </c>
      <c r="V5539" s="132"/>
      <c r="W5539" s="146"/>
      <c r="X5539" s="143">
        <f>'Valve Sizing'!$G$8*X5537/P_1_maxW</f>
        <v>-5.8431458245889489</v>
      </c>
      <c r="Y5539" s="132"/>
      <c r="Z5539" s="146"/>
      <c r="AA5539" s="143">
        <f>'Valve Sizing'!$G$8*AA5537/P_1_maxW</f>
        <v>-23.521879625764129</v>
      </c>
      <c r="AB5539" s="132"/>
      <c r="AC5539" s="146"/>
      <c r="AD5539" s="143">
        <f>'Valve Sizing'!$G$8*AD5537/P_1_maxW</f>
        <v>-64.448976395629558</v>
      </c>
      <c r="AE5539" s="132"/>
      <c r="AF5539" s="146"/>
      <c r="AG5539" s="143">
        <f>'Valve Sizing'!$G$8*AG5537/P_1_maxW</f>
        <v>-127.25446721027906</v>
      </c>
      <c r="AH5539" s="132"/>
      <c r="AI5539" s="146"/>
      <c r="AJ5539" s="143">
        <f>'Valve Sizing'!$G$8*AJ5537/P_1_maxW</f>
        <v>-205.45984142803695</v>
      </c>
      <c r="AK5539" s="132"/>
      <c r="AL5539" s="146"/>
      <c r="AM5539" s="143">
        <f>'Valve Sizing'!$G$8*AM5537/P_1_maxW</f>
        <v>-282.67690402857733</v>
      </c>
      <c r="AN5539" s="132"/>
      <c r="AO5539" s="146"/>
      <c r="AP5539" s="143">
        <f>'Valve Sizing'!$G$8*AP5537/P_1_maxW</f>
        <v>-351.97108933533701</v>
      </c>
      <c r="AQ5539" s="132"/>
      <c r="AR5539" s="146"/>
      <c r="AS5539" s="143">
        <f>'Valve Sizing'!$G$8*AS5537/P_1_maxW</f>
        <v>-438.22266077517986</v>
      </c>
      <c r="AT5539" s="132"/>
      <c r="AU5539" s="146"/>
    </row>
    <row r="5540" spans="15:47" x14ac:dyDescent="0.25">
      <c r="O5540" s="7" t="s">
        <v>190</v>
      </c>
      <c r="P5540" s="1"/>
      <c r="Q5540" s="7"/>
      <c r="R5540" s="181">
        <f>R5537-R5538</f>
        <v>-250.12607623505076</v>
      </c>
      <c r="S5540" s="132"/>
      <c r="T5540" s="146"/>
      <c r="U5540" s="138">
        <f>U5537-U5538</f>
        <v>-163.95809825565641</v>
      </c>
      <c r="V5540" s="132"/>
      <c r="W5540" s="146"/>
      <c r="X5540" s="138">
        <f>X5537-X5538</f>
        <v>-1261.3104239464058</v>
      </c>
      <c r="Y5540" s="132"/>
      <c r="Z5540" s="146"/>
      <c r="AA5540" s="138">
        <f>AA5537-AA5538</f>
        <v>-4926.1914962998608</v>
      </c>
      <c r="AB5540" s="132"/>
      <c r="AC5540" s="146"/>
      <c r="AD5540" s="138">
        <f>AD5537-AD5538</f>
        <v>-13410.562831100287</v>
      </c>
      <c r="AE5540" s="132"/>
      <c r="AF5540" s="146"/>
      <c r="AG5540" s="138">
        <f>AG5537-AG5538</f>
        <v>-26430.423705479032</v>
      </c>
      <c r="AH5540" s="132"/>
      <c r="AI5540" s="146"/>
      <c r="AJ5540" s="138">
        <f>AJ5537-AJ5538</f>
        <v>-42642.749709727555</v>
      </c>
      <c r="AK5540" s="132"/>
      <c r="AL5540" s="146"/>
      <c r="AM5540" s="138">
        <f>AM5537-AM5538</f>
        <v>-58650.194268264931</v>
      </c>
      <c r="AN5540" s="132"/>
      <c r="AO5540" s="146"/>
      <c r="AP5540" s="138">
        <f>AP5537-AP5538</f>
        <v>-73015.190710375216</v>
      </c>
      <c r="AQ5540" s="132"/>
      <c r="AR5540" s="146"/>
      <c r="AS5540" s="138">
        <f>AS5537-AS5538</f>
        <v>-90895.529607135439</v>
      </c>
      <c r="AT5540" s="132"/>
      <c r="AU5540" s="146"/>
    </row>
    <row r="5541" spans="15:47" ht="14.5" x14ac:dyDescent="0.35">
      <c r="O5541" s="2" t="s">
        <v>191</v>
      </c>
      <c r="P5541" s="10"/>
      <c r="Q5541" s="2"/>
      <c r="R5541" s="181">
        <f>R5540/R5537</f>
        <v>1.2498425039887073</v>
      </c>
      <c r="S5541" s="132"/>
      <c r="T5541" s="146"/>
      <c r="U5541" s="138">
        <f>U5540/U5537</f>
        <v>1.4387577606624216</v>
      </c>
      <c r="V5541" s="132"/>
      <c r="W5541" s="146"/>
      <c r="X5541" s="138">
        <f>X5540/X5537</f>
        <v>1.0412776106038135</v>
      </c>
      <c r="Y5541" s="132"/>
      <c r="Z5541" s="146"/>
      <c r="AA5541" s="138">
        <f>AA5540/AA5537</f>
        <v>1.0102539041048615</v>
      </c>
      <c r="AB5541" s="132"/>
      <c r="AC5541" s="146"/>
      <c r="AD5541" s="138">
        <f>AD5540/AD5537</f>
        <v>1.0037423573117452</v>
      </c>
      <c r="AE5541" s="132"/>
      <c r="AF5541" s="146"/>
      <c r="AG5541" s="138">
        <f>AG5540/AG5537</f>
        <v>1.0018953448420018</v>
      </c>
      <c r="AH5541" s="132"/>
      <c r="AI5541" s="146"/>
      <c r="AJ5541" s="138">
        <f>AJ5540/AJ5537</f>
        <v>1.0011739087131202</v>
      </c>
      <c r="AK5541" s="132"/>
      <c r="AL5541" s="146"/>
      <c r="AM5541" s="138">
        <f>AM5540/AM5537</f>
        <v>1.0008532394921954</v>
      </c>
      <c r="AN5541" s="132"/>
      <c r="AO5541" s="146"/>
      <c r="AP5541" s="138">
        <f>AP5540/AP5537</f>
        <v>1.0006852582651153</v>
      </c>
      <c r="AQ5541" s="132"/>
      <c r="AR5541" s="146"/>
      <c r="AS5541" s="138">
        <f>AS5540/AS5537</f>
        <v>1.0005503848149295</v>
      </c>
      <c r="AT5541" s="132"/>
      <c r="AU5541" s="146"/>
    </row>
    <row r="5542" spans="15:47" x14ac:dyDescent="0.25">
      <c r="O5542" s="2" t="s">
        <v>26</v>
      </c>
      <c r="P5542" s="7">
        <v>12</v>
      </c>
      <c r="Q5542" s="2"/>
      <c r="R5542" s="181">
        <f>1-R5541/(3*F_GAMMA*R$29)</f>
        <v>0.34906770181662439</v>
      </c>
      <c r="S5542" s="133"/>
      <c r="T5542" s="146"/>
      <c r="U5542" s="138">
        <f>1-U5541/(3*F_GAMMA*U$29)</f>
        <v>0.25084345327763202</v>
      </c>
      <c r="V5542" s="133"/>
      <c r="W5542" s="146"/>
      <c r="X5542" s="138">
        <f>1-X5541/(3*F_GAMMA*X$29)</f>
        <v>0.44967637974479091</v>
      </c>
      <c r="Y5542" s="133"/>
      <c r="Z5542" s="146"/>
      <c r="AA5542" s="138">
        <f>1-AA5541/(3*F_GAMMA*AA$29)</f>
        <v>0.45875177211203422</v>
      </c>
      <c r="AB5542" s="133"/>
      <c r="AC5542" s="146"/>
      <c r="AD5542" s="138">
        <f>1-AD5541/(3*F_GAMMA*AD$29)</f>
        <v>0.44749613783888587</v>
      </c>
      <c r="AE5542" s="133"/>
      <c r="AF5542" s="146"/>
      <c r="AG5542" s="138">
        <f>1-AG5541/(3*F_GAMMA*AG$29)</f>
        <v>0.41705511472031132</v>
      </c>
      <c r="AH5542" s="133"/>
      <c r="AI5542" s="146"/>
      <c r="AJ5542" s="138">
        <f>1-AJ5541/(3*F_GAMMA*AJ$29)</f>
        <v>0.37727274607422612</v>
      </c>
      <c r="AK5542" s="133"/>
      <c r="AL5542" s="146"/>
      <c r="AM5542" s="138">
        <f>1-AM5541/(3*F_GAMMA*AM$29)</f>
        <v>0.31982507591020326</v>
      </c>
      <c r="AN5542" s="133"/>
      <c r="AO5542" s="146"/>
      <c r="AP5542" s="138">
        <f>1-AP5541/(3*F_GAMMA*AP$29)</f>
        <v>0.43800335167078164</v>
      </c>
      <c r="AQ5542" s="133"/>
      <c r="AR5542" s="146"/>
      <c r="AS5542" s="138">
        <f>1-AS5541/(3*F_GAMMA*AS$29)</f>
        <v>0.14695524379002478</v>
      </c>
      <c r="AT5542" s="133"/>
      <c r="AU5542" s="146"/>
    </row>
    <row r="5543" spans="15:47" x14ac:dyDescent="0.25">
      <c r="O5543" s="2" t="s">
        <v>71</v>
      </c>
      <c r="P5543" s="85">
        <v>5</v>
      </c>
      <c r="Q5543" s="2"/>
      <c r="R5543" s="179">
        <f>R5535/((N_6*R$27*R5542)*SQRT(R5541*R5537*R5539))</f>
        <v>79.980499377963568</v>
      </c>
      <c r="S5543" s="133"/>
      <c r="T5543" s="146"/>
      <c r="U5543" s="143">
        <f>U5535/((N_6*U$27*U5542)*SQRT(U5541*U5537*U5539))</f>
        <v>153.96350052911797</v>
      </c>
      <c r="V5543" s="133"/>
      <c r="W5543" s="146"/>
      <c r="X5543" s="143">
        <f>X5535/((N_6*X$27*X5542)*SQRT(X5541*X5537*X5539))</f>
        <v>23.54112549227013</v>
      </c>
      <c r="Y5543" s="133"/>
      <c r="Z5543" s="146"/>
      <c r="AA5543" s="143">
        <f>AA5535/((N_6*AA$27*AA5542)*SQRT(AA5541*AA5537*AA5539))</f>
        <v>11.400262914358379</v>
      </c>
      <c r="AB5543" s="133"/>
      <c r="AC5543" s="146"/>
      <c r="AD5543" s="143">
        <f>AD5535/((N_6*AD$27*AD5542)*SQRT(AD5541*AD5537*AD5539))</f>
        <v>7.1215879478050832</v>
      </c>
      <c r="AE5543" s="133"/>
      <c r="AF5543" s="146"/>
      <c r="AG5543" s="143">
        <f>AG5535/((N_6*AG$27*AG5542)*SQRT(AG5541*AG5537*AG5539))</f>
        <v>5.5502563930458084</v>
      </c>
      <c r="AH5543" s="133"/>
      <c r="AI5543" s="146"/>
      <c r="AJ5543" s="143">
        <f>AJ5535/((N_6*AJ$27*AJ5542)*SQRT(AJ5541*AJ5537*AJ5539))</f>
        <v>4.9925924658248002</v>
      </c>
      <c r="AK5543" s="133"/>
      <c r="AL5543" s="146"/>
      <c r="AM5543" s="143">
        <f>AM5535/((N_6*AM$27*AM5542)*SQRT(AM5541*AM5537*AM5539))</f>
        <v>5.3284567772238356</v>
      </c>
      <c r="AN5543" s="133"/>
      <c r="AO5543" s="146"/>
      <c r="AP5543" s="143">
        <f>AP5535/((N_6*AP$27*AP5542)*SQRT(AP5541*AP5537*AP5539))</f>
        <v>3.960459184933026</v>
      </c>
      <c r="AQ5543" s="133"/>
      <c r="AR5543" s="146"/>
      <c r="AS5543" s="143">
        <f>AS5535/((N_6*AS$27*AS5542)*SQRT(AS5541*AS5537*AS5539))</f>
        <v>13.899585476115986</v>
      </c>
      <c r="AT5543" s="133"/>
      <c r="AU5543" s="146"/>
    </row>
    <row r="5544" spans="15:47" x14ac:dyDescent="0.25">
      <c r="O5544" s="2" t="s">
        <v>73</v>
      </c>
      <c r="P5544" s="85">
        <v>5</v>
      </c>
      <c r="Q5544" s="2"/>
      <c r="R5544" s="179">
        <f>R5535/((N_6*R$27*0.667)*SQRT(R5545*R5537*R5539))</f>
        <v>58.492001453061086</v>
      </c>
      <c r="S5544" s="133"/>
      <c r="T5544" s="147"/>
      <c r="U5544" s="143">
        <f>U5535/((N_6*U$27*0.667)*SQRT(U5545*U5537*U5539))</f>
        <v>86.804378226496226</v>
      </c>
      <c r="V5544" s="133"/>
      <c r="W5544" s="155"/>
      <c r="X5544" s="143">
        <f>X5535/((N_6*X$27*0.667)*SQRT(X5545*X5537*X5539))</f>
        <v>20.392532752020045</v>
      </c>
      <c r="Y5544" s="133"/>
      <c r="Z5544" s="155"/>
      <c r="AA5544" s="143">
        <f>AA5535/((N_6*AA$27*0.667)*SQRT(AA5545*AA5537*AA5539))</f>
        <v>9.9913841998074329</v>
      </c>
      <c r="AB5544" s="133"/>
      <c r="AC5544" s="155"/>
      <c r="AD5544" s="143">
        <f>AD5535/((N_6*AD$27*0.667)*SQRT(AD5545*AD5537*AD5539))</f>
        <v>6.1513237641767358</v>
      </c>
      <c r="AE5544" s="133"/>
      <c r="AF5544" s="155"/>
      <c r="AG5544" s="143">
        <f>AG5535/((N_6*AG$27*0.667)*SQRT(AG5545*AG5537*AG5539))</f>
        <v>4.5893907816942496</v>
      </c>
      <c r="AH5544" s="133"/>
      <c r="AI5544" s="155"/>
      <c r="AJ5544" s="143">
        <f>AJ5535/((N_6*AJ$27*0.667)*SQRT(AJ5545*AJ5537*AJ5539))</f>
        <v>3.859804252505028</v>
      </c>
      <c r="AK5544" s="133"/>
      <c r="AL5544" s="155"/>
      <c r="AM5544" s="143">
        <f>AM5535/((N_6*AM$27*0.667)*SQRT(AM5545*AM5537*AM5539))</f>
        <v>3.6497159100520271</v>
      </c>
      <c r="AN5544" s="133"/>
      <c r="AO5544" s="155"/>
      <c r="AP5544" s="143">
        <f>AP5535/((N_6*AP$27*0.667)*SQRT(AP5545*AP5537*AP5539))</f>
        <v>3.3769500121489915</v>
      </c>
      <c r="AQ5544" s="133"/>
      <c r="AR5544" s="155"/>
      <c r="AS5544" s="143">
        <f>AS5535/((N_6*AS$27*0.667)*SQRT(AS5545*AS5537*AS5539))</f>
        <v>4.8990022445005446</v>
      </c>
      <c r="AT5544" s="133"/>
      <c r="AU5544" s="155"/>
    </row>
    <row r="5545" spans="15:47" ht="15.5" x14ac:dyDescent="0.4">
      <c r="O5545" s="2" t="s">
        <v>192</v>
      </c>
      <c r="P5545" s="85">
        <v>10</v>
      </c>
      <c r="Q5545" s="2"/>
      <c r="R5545" s="181">
        <f>F_GAMMA*R$29</f>
        <v>0.64002688015162901</v>
      </c>
      <c r="S5545" s="133"/>
      <c r="T5545" s="147"/>
      <c r="U5545" s="138">
        <f>F_GAMMA*U$29</f>
        <v>0.64016782916606918</v>
      </c>
      <c r="V5545" s="133"/>
      <c r="W5545" s="155"/>
      <c r="X5545" s="138">
        <f>F_GAMMA*X$29</f>
        <v>0.6307062319203669</v>
      </c>
      <c r="Y5545" s="133"/>
      <c r="Z5545" s="155"/>
      <c r="AA5545" s="138">
        <f>F_GAMMA*AA$29</f>
        <v>0.62217534213893466</v>
      </c>
      <c r="AB5545" s="133"/>
      <c r="AC5545" s="155"/>
      <c r="AD5545" s="138">
        <f>F_GAMMA*AD$29</f>
        <v>0.60557184969146072</v>
      </c>
      <c r="AE5545" s="133"/>
      <c r="AF5545" s="155"/>
      <c r="AG5545" s="138">
        <f>F_GAMMA*AG$29</f>
        <v>0.57289312142622573</v>
      </c>
      <c r="AH5545" s="133"/>
      <c r="AI5545" s="155"/>
      <c r="AJ5545" s="138">
        <f>F_GAMMA*AJ$29</f>
        <v>0.53590819116049981</v>
      </c>
      <c r="AK5545" s="133"/>
      <c r="AL5545" s="155"/>
      <c r="AM5545" s="138">
        <f>F_GAMMA*AM$29</f>
        <v>0.49048815926850342</v>
      </c>
      <c r="AN5545" s="133"/>
      <c r="AO5545" s="155"/>
      <c r="AP5545" s="138">
        <f>F_GAMMA*AP$29</f>
        <v>0.59352979016280105</v>
      </c>
      <c r="AQ5545" s="133"/>
      <c r="AR5545" s="155"/>
      <c r="AS5545" s="138">
        <f>F_GAMMA*AS$29</f>
        <v>0.39097221161068291</v>
      </c>
      <c r="AT5545" s="133"/>
      <c r="AU5545" s="155"/>
    </row>
    <row r="5546" spans="15:47" x14ac:dyDescent="0.25">
      <c r="O5546" s="2" t="s">
        <v>193</v>
      </c>
      <c r="P5546" s="134"/>
      <c r="Q5546" s="2"/>
      <c r="R5546" s="181">
        <f>IF(R5541&lt;R5545,R5543,R5544)</f>
        <v>58.492001453061086</v>
      </c>
      <c r="S5546" s="133"/>
      <c r="T5546" s="147"/>
      <c r="U5546" s="138">
        <f>IF(U5541&lt;U5545,U5543,U5544)</f>
        <v>86.804378226496226</v>
      </c>
      <c r="V5546" s="133"/>
      <c r="W5546" s="155"/>
      <c r="X5546" s="138">
        <f>IF(X5541&lt;X5545,X5543,X5544)</f>
        <v>20.392532752020045</v>
      </c>
      <c r="Y5546" s="133"/>
      <c r="Z5546" s="155"/>
      <c r="AA5546" s="138">
        <f>IF(AA5541&lt;AA5545,AA5543,AA5544)</f>
        <v>9.9913841998074329</v>
      </c>
      <c r="AB5546" s="133"/>
      <c r="AC5546" s="155"/>
      <c r="AD5546" s="138">
        <f>IF(AD5541&lt;AD5545,AD5543,AD5544)</f>
        <v>6.1513237641767358</v>
      </c>
      <c r="AE5546" s="133"/>
      <c r="AF5546" s="155"/>
      <c r="AG5546" s="138">
        <f>IF(AG5541&lt;AG5545,AG5543,AG5544)</f>
        <v>4.5893907816942496</v>
      </c>
      <c r="AH5546" s="133"/>
      <c r="AI5546" s="155"/>
      <c r="AJ5546" s="138">
        <f>IF(AJ5541&lt;AJ5545,AJ5543,AJ5544)</f>
        <v>3.859804252505028</v>
      </c>
      <c r="AK5546" s="133"/>
      <c r="AL5546" s="155"/>
      <c r="AM5546" s="138">
        <f>IF(AM5541&lt;AM5545,AM5543,AM5544)</f>
        <v>3.6497159100520271</v>
      </c>
      <c r="AN5546" s="133"/>
      <c r="AO5546" s="155"/>
      <c r="AP5546" s="138">
        <f>IF(AP5541&lt;AP5545,AP5543,AP5544)</f>
        <v>3.3769500121489915</v>
      </c>
      <c r="AQ5546" s="133"/>
      <c r="AR5546" s="155"/>
      <c r="AS5546" s="138">
        <f>IF(AS5541&lt;AS5545,AS5543,AS5544)</f>
        <v>4.8990022445005446</v>
      </c>
      <c r="AT5546" s="133"/>
      <c r="AU5546" s="155"/>
    </row>
    <row r="5547" spans="15:47" ht="13" x14ac:dyDescent="0.3">
      <c r="O5547" s="9" t="s">
        <v>194</v>
      </c>
      <c r="P5547" s="1"/>
      <c r="Q5547" s="1"/>
      <c r="R5547" s="135"/>
      <c r="S5547" s="132">
        <f>IF(R5540&lt;=0,W_max,ABS(R$23-R5546))</f>
        <v>7174</v>
      </c>
      <c r="T5547" s="151">
        <f>R5535</f>
        <v>27458.258489217871</v>
      </c>
      <c r="U5547" s="135"/>
      <c r="V5547" s="132">
        <f>IF(U5540&lt;=0,W_max,ABS(U$23-U5546))</f>
        <v>7174</v>
      </c>
      <c r="W5547" s="151">
        <f>U5535</f>
        <v>23191.962639560184</v>
      </c>
      <c r="X5547" s="135"/>
      <c r="Y5547" s="132">
        <f>IF(X5540&lt;=0,W_max,ABS(X$23-X5546))</f>
        <v>7174</v>
      </c>
      <c r="Z5547" s="151">
        <f>X5535</f>
        <v>57356.483483538454</v>
      </c>
      <c r="AA5547" s="135"/>
      <c r="AB5547" s="132">
        <f>IF(AA5540&lt;=0,W_max,ABS(AA$23-AA5546))</f>
        <v>7174</v>
      </c>
      <c r="AC5547" s="151">
        <f>AA5535</f>
        <v>111715.78984659803</v>
      </c>
      <c r="AD5547" s="135"/>
      <c r="AE5547" s="132">
        <f>IF(AD5540&lt;=0,W_max,ABS(AD$23-AD5546))</f>
        <v>7174</v>
      </c>
      <c r="AF5547" s="151">
        <f>AD5535</f>
        <v>183731.34298413887</v>
      </c>
      <c r="AG5547" s="135"/>
      <c r="AH5547" s="132">
        <f>IF(AG5540&lt;=0,W_max,ABS(AG$23-AG5546))</f>
        <v>7174</v>
      </c>
      <c r="AI5547" s="151">
        <f>AG5535</f>
        <v>257697.35330758162</v>
      </c>
      <c r="AJ5547" s="135"/>
      <c r="AK5547" s="132">
        <f>IF(AJ5540&lt;=0,W_max,ABS(AJ$23-AJ5546))</f>
        <v>7174</v>
      </c>
      <c r="AL5547" s="151">
        <f>AJ5535</f>
        <v>327207.25832960696</v>
      </c>
      <c r="AM5547" s="135"/>
      <c r="AN5547" s="132">
        <f>IF(AM5540&lt;=0,W_max,ABS(AM$23-AM5546))</f>
        <v>7174</v>
      </c>
      <c r="AO5547" s="151">
        <f>AM5535</f>
        <v>383676.24358132918</v>
      </c>
      <c r="AP5547" s="135"/>
      <c r="AQ5547" s="132">
        <f>IF(AP5540&lt;=0,W_max,ABS(AP$23-AP5546))</f>
        <v>7174</v>
      </c>
      <c r="AR5547" s="151">
        <f>AP5535</f>
        <v>428055.44033114082</v>
      </c>
      <c r="AS5547" s="135"/>
      <c r="AT5547" s="132">
        <f>IF(AS5540&lt;=0,W_max,ABS(AS$23-AS5546))</f>
        <v>7174</v>
      </c>
      <c r="AU5547" s="151">
        <f>AS5535</f>
        <v>477567.90539533796</v>
      </c>
    </row>
    <row r="5548" spans="15:47" ht="13" x14ac:dyDescent="0.25">
      <c r="O5548" s="12"/>
      <c r="P5548" s="12"/>
      <c r="Q5548" s="12"/>
      <c r="R5548" s="182"/>
      <c r="S5548" s="22"/>
      <c r="T5548" s="152"/>
      <c r="U5548" s="157"/>
      <c r="V5548" s="1"/>
      <c r="W5548" s="147"/>
      <c r="X5548" s="157"/>
      <c r="Y5548" s="1"/>
      <c r="Z5548" s="147"/>
      <c r="AA5548" s="157"/>
      <c r="AB5548" s="1"/>
      <c r="AC5548" s="147"/>
      <c r="AD5548" s="157"/>
      <c r="AE5548" s="1"/>
      <c r="AF5548" s="147"/>
      <c r="AG5548" s="157"/>
      <c r="AH5548" s="1"/>
      <c r="AI5548" s="147"/>
      <c r="AJ5548" s="157"/>
      <c r="AK5548" s="1"/>
      <c r="AL5548" s="147"/>
      <c r="AM5548" s="157"/>
      <c r="AN5548" s="1"/>
      <c r="AO5548" s="147"/>
      <c r="AP5548" s="157"/>
      <c r="AQ5548" s="1"/>
      <c r="AR5548" s="147"/>
      <c r="AS5548" s="157"/>
      <c r="AT5548" s="1"/>
      <c r="AU5548" s="147"/>
    </row>
    <row r="5549" spans="15:47" ht="14" x14ac:dyDescent="0.3">
      <c r="O5549" s="23" t="s">
        <v>238</v>
      </c>
      <c r="P5549" s="20"/>
      <c r="Q5549" s="20"/>
      <c r="R5549" s="18">
        <f>R5535*1.02</f>
        <v>28007.42365900223</v>
      </c>
      <c r="S5549" s="128" t="s">
        <v>185</v>
      </c>
      <c r="T5549" s="153" t="s">
        <v>186</v>
      </c>
      <c r="U5549" s="143">
        <f>U5535*1.01</f>
        <v>23423.882265955788</v>
      </c>
      <c r="V5549" s="128" t="s">
        <v>185</v>
      </c>
      <c r="W5549" s="153" t="s">
        <v>186</v>
      </c>
      <c r="X5549" s="143">
        <f>X5535*1.01</f>
        <v>57930.04831837384</v>
      </c>
      <c r="Y5549" s="128" t="s">
        <v>185</v>
      </c>
      <c r="Z5549" s="153" t="s">
        <v>186</v>
      </c>
      <c r="AA5549" s="143">
        <f>AA5535*1.01</f>
        <v>112832.94774506401</v>
      </c>
      <c r="AB5549" s="128" t="s">
        <v>185</v>
      </c>
      <c r="AC5549" s="153" t="s">
        <v>186</v>
      </c>
      <c r="AD5549" s="143">
        <f>AD5535*1.01</f>
        <v>185568.65641398026</v>
      </c>
      <c r="AE5549" s="128" t="s">
        <v>185</v>
      </c>
      <c r="AF5549" s="153" t="s">
        <v>186</v>
      </c>
      <c r="AG5549" s="143">
        <f>AG5535*1.01</f>
        <v>260274.32684065745</v>
      </c>
      <c r="AH5549" s="128" t="s">
        <v>185</v>
      </c>
      <c r="AI5549" s="153" t="s">
        <v>186</v>
      </c>
      <c r="AJ5549" s="143">
        <f>AJ5535*1.01</f>
        <v>330479.33091290301</v>
      </c>
      <c r="AK5549" s="128" t="s">
        <v>185</v>
      </c>
      <c r="AL5549" s="153" t="s">
        <v>186</v>
      </c>
      <c r="AM5549" s="143">
        <f>AM5535*1.01</f>
        <v>387513.0060171425</v>
      </c>
      <c r="AN5549" s="128" t="s">
        <v>185</v>
      </c>
      <c r="AO5549" s="153" t="s">
        <v>186</v>
      </c>
      <c r="AP5549" s="143">
        <f>AP5535*1.01</f>
        <v>432335.99473445222</v>
      </c>
      <c r="AQ5549" s="128" t="s">
        <v>185</v>
      </c>
      <c r="AR5549" s="153" t="s">
        <v>186</v>
      </c>
      <c r="AS5549" s="143">
        <f>AS5535*1.01</f>
        <v>482343.58444929135</v>
      </c>
      <c r="AT5549" s="128" t="s">
        <v>185</v>
      </c>
      <c r="AU5549" s="153" t="s">
        <v>186</v>
      </c>
    </row>
    <row r="5550" spans="15:47" ht="14" x14ac:dyDescent="0.3">
      <c r="O5550" s="20"/>
      <c r="P5550" s="20"/>
      <c r="Q5550" s="23"/>
      <c r="R5550" s="139"/>
      <c r="S5550" s="130" t="s">
        <v>228</v>
      </c>
      <c r="T5550" s="154" t="s">
        <v>187</v>
      </c>
      <c r="U5550" s="144"/>
      <c r="V5550" s="130" t="s">
        <v>228</v>
      </c>
      <c r="W5550" s="154" t="s">
        <v>187</v>
      </c>
      <c r="X5550" s="144"/>
      <c r="Y5550" s="130" t="s">
        <v>228</v>
      </c>
      <c r="Z5550" s="154" t="s">
        <v>187</v>
      </c>
      <c r="AA5550" s="144"/>
      <c r="AB5550" s="130" t="s">
        <v>228</v>
      </c>
      <c r="AC5550" s="154" t="s">
        <v>187</v>
      </c>
      <c r="AD5550" s="144"/>
      <c r="AE5550" s="130" t="s">
        <v>228</v>
      </c>
      <c r="AF5550" s="154" t="s">
        <v>187</v>
      </c>
      <c r="AG5550" s="144"/>
      <c r="AH5550" s="130" t="s">
        <v>228</v>
      </c>
      <c r="AI5550" s="154" t="s">
        <v>187</v>
      </c>
      <c r="AJ5550" s="144"/>
      <c r="AK5550" s="130" t="s">
        <v>228</v>
      </c>
      <c r="AL5550" s="154" t="s">
        <v>187</v>
      </c>
      <c r="AM5550" s="144"/>
      <c r="AN5550" s="130" t="s">
        <v>228</v>
      </c>
      <c r="AO5550" s="154" t="s">
        <v>187</v>
      </c>
      <c r="AP5550" s="144"/>
      <c r="AQ5550" s="130" t="s">
        <v>228</v>
      </c>
      <c r="AR5550" s="154" t="s">
        <v>187</v>
      </c>
      <c r="AS5550" s="144"/>
      <c r="AT5550" s="130" t="s">
        <v>228</v>
      </c>
      <c r="AU5550" s="154" t="s">
        <v>187</v>
      </c>
    </row>
    <row r="5551" spans="15:47" x14ac:dyDescent="0.25">
      <c r="O5551" s="7" t="s">
        <v>188</v>
      </c>
      <c r="P5551" s="7"/>
      <c r="Q5551" s="7"/>
      <c r="R5551" s="181">
        <f>P_1_minW-(R5549^2*R_up)+dpup_minQ</f>
        <v>-212.27229029911061</v>
      </c>
      <c r="S5551" s="132"/>
      <c r="T5551" s="145"/>
      <c r="U5551" s="138">
        <f>P_1_minW-(U5549^2*R_up)+dpup_minQ</f>
        <v>-118.26916404400332</v>
      </c>
      <c r="V5551" s="132"/>
      <c r="W5551" s="145"/>
      <c r="X5551" s="138">
        <f>P_1_minW-(X5549^2*R_up)+dpup_minQ</f>
        <v>-1237.678271481137</v>
      </c>
      <c r="Y5551" s="132"/>
      <c r="Z5551" s="145"/>
      <c r="AA5551" s="138">
        <f>P_1_minW-(AA5549^2*R_up)+dpup_minQ</f>
        <v>-4976.2234533888968</v>
      </c>
      <c r="AB5551" s="132"/>
      <c r="AC5551" s="145"/>
      <c r="AD5551" s="138">
        <f>P_1_minW-(AD5549^2*R_up)+dpup_minQ</f>
        <v>-13631.130652018812</v>
      </c>
      <c r="AE5551" s="132"/>
      <c r="AF5551" s="145"/>
      <c r="AG5551" s="138">
        <f>P_1_minW-(AG5549^2*R_up)+dpup_minQ</f>
        <v>-26912.690729972572</v>
      </c>
      <c r="AH5551" s="132"/>
      <c r="AI5551" s="145"/>
      <c r="AJ5551" s="138">
        <f>P_1_minW-(AJ5549^2*R_up)+dpup_minQ</f>
        <v>-43450.884486906485</v>
      </c>
      <c r="AK5551" s="132"/>
      <c r="AL5551" s="145"/>
      <c r="AM5551" s="138">
        <f>P_1_minW-(AM5549^2*R_up)+dpup_minQ</f>
        <v>-59780.078681070474</v>
      </c>
      <c r="AN5551" s="132"/>
      <c r="AO5551" s="145"/>
      <c r="AP5551" s="138">
        <f>P_1_minW-(AP5549^2*R_up)+dpup_minQ</f>
        <v>-74433.811551667168</v>
      </c>
      <c r="AQ5551" s="132"/>
      <c r="AR5551" s="145"/>
      <c r="AS5551" s="138">
        <f>P_1_minW-(AS5549^2*R_up)+dpup_minQ</f>
        <v>-92673.545260252286</v>
      </c>
      <c r="AT5551" s="132"/>
      <c r="AU5551" s="145"/>
    </row>
    <row r="5552" spans="15:47" x14ac:dyDescent="0.25">
      <c r="O5552" s="7" t="s">
        <v>189</v>
      </c>
      <c r="P5552" s="1"/>
      <c r="Q5552" s="7"/>
      <c r="R5552" s="181">
        <f>P_2_minW+(R5549^2*R_dn)-dpdn_minQ</f>
        <v>50</v>
      </c>
      <c r="S5552" s="132"/>
      <c r="T5552" s="146"/>
      <c r="U5552" s="138">
        <f>P_2_minW+(U5549^2*R_dn)-dpdn_minQ</f>
        <v>50</v>
      </c>
      <c r="V5552" s="132"/>
      <c r="W5552" s="146"/>
      <c r="X5552" s="138">
        <f>P_2_minW+(X5549^2*R_dn)-dpdn_minQ</f>
        <v>50</v>
      </c>
      <c r="Y5552" s="132"/>
      <c r="Z5552" s="146"/>
      <c r="AA5552" s="138">
        <f>P_2_minW+(AA5549^2*R_dn)-dpdn_minQ</f>
        <v>50</v>
      </c>
      <c r="AB5552" s="132"/>
      <c r="AC5552" s="146"/>
      <c r="AD5552" s="138">
        <f>P_2_minW+(AD5549^2*R_dn)-dpdn_minQ</f>
        <v>50</v>
      </c>
      <c r="AE5552" s="132"/>
      <c r="AF5552" s="146"/>
      <c r="AG5552" s="138">
        <f>P_2_minW+(AG5549^2*R_dn)-dpdn_minQ</f>
        <v>50</v>
      </c>
      <c r="AH5552" s="132"/>
      <c r="AI5552" s="146"/>
      <c r="AJ5552" s="138">
        <f>P_2_minW+(AJ5549^2*R_dn)-dpdn_minQ</f>
        <v>50</v>
      </c>
      <c r="AK5552" s="132"/>
      <c r="AL5552" s="146"/>
      <c r="AM5552" s="138">
        <f>P_2_minW+(AM5549^2*R_dn)-dpdn_minQ</f>
        <v>50</v>
      </c>
      <c r="AN5552" s="132"/>
      <c r="AO5552" s="146"/>
      <c r="AP5552" s="138">
        <f>P_2_minW+(AP5549^2*R_dn)-dpdn_minQ</f>
        <v>50</v>
      </c>
      <c r="AQ5552" s="132"/>
      <c r="AR5552" s="146"/>
      <c r="AS5552" s="138">
        <f>P_2_minW+(AS5549^2*R_dn)-dpdn_minQ</f>
        <v>50</v>
      </c>
      <c r="AT5552" s="132"/>
      <c r="AU5552" s="146"/>
    </row>
    <row r="5553" spans="15:47" x14ac:dyDescent="0.25">
      <c r="O5553" s="7" t="s">
        <v>234</v>
      </c>
      <c r="P5553" s="1"/>
      <c r="Q5553" s="7"/>
      <c r="R5553" s="179">
        <f>'Valve Sizing'!G$8*R5551/P_1_maxW</f>
        <v>-1.0239637356510192</v>
      </c>
      <c r="S5553" s="132"/>
      <c r="T5553" s="146"/>
      <c r="U5553" s="143">
        <f>'Valve Sizing'!$G$8*U5551/P_1_maxW</f>
        <v>-0.5705093908214558</v>
      </c>
      <c r="V5553" s="132"/>
      <c r="W5553" s="146"/>
      <c r="X5553" s="143">
        <f>'Valve Sizing'!$G$8*X5551/P_1_maxW</f>
        <v>-5.9703396265905893</v>
      </c>
      <c r="Y5553" s="132"/>
      <c r="Z5553" s="146"/>
      <c r="AA5553" s="143">
        <f>'Valve Sizing'!$G$8*AA5551/P_1_maxW</f>
        <v>-24.004415977169394</v>
      </c>
      <c r="AB5553" s="132"/>
      <c r="AC5553" s="146"/>
      <c r="AD5553" s="143">
        <f>'Valve Sizing'!$G$8*AD5551/P_1_maxW</f>
        <v>-65.754147392109118</v>
      </c>
      <c r="AE5553" s="132"/>
      <c r="AF5553" s="146"/>
      <c r="AG5553" s="143">
        <f>'Valve Sizing'!$G$8*AG5551/P_1_maxW</f>
        <v>-129.82202857213309</v>
      </c>
      <c r="AH5553" s="132"/>
      <c r="AI5553" s="146"/>
      <c r="AJ5553" s="143">
        <f>'Valve Sizing'!$G$8*AJ5551/P_1_maxW</f>
        <v>-209.59933081166787</v>
      </c>
      <c r="AK5553" s="132"/>
      <c r="AL5553" s="146"/>
      <c r="AM5553" s="143">
        <f>'Valve Sizing'!$G$8*AM5551/P_1_maxW</f>
        <v>-288.36845637047918</v>
      </c>
      <c r="AN5553" s="132"/>
      <c r="AO5553" s="146"/>
      <c r="AP5553" s="143">
        <f>'Valve Sizing'!$G$8*AP5551/P_1_maxW</f>
        <v>-359.05545480190466</v>
      </c>
      <c r="AQ5553" s="132"/>
      <c r="AR5553" s="146"/>
      <c r="AS5553" s="143">
        <f>'Valve Sizing'!$G$8*AS5551/P_1_maxW</f>
        <v>-447.0406828276885</v>
      </c>
      <c r="AT5553" s="132"/>
      <c r="AU5553" s="146"/>
    </row>
    <row r="5554" spans="15:47" x14ac:dyDescent="0.25">
      <c r="O5554" s="7" t="s">
        <v>190</v>
      </c>
      <c r="P5554" s="1"/>
      <c r="Q5554" s="7"/>
      <c r="R5554" s="181">
        <f>R5551-R5552</f>
        <v>-262.27229029911064</v>
      </c>
      <c r="S5554" s="132"/>
      <c r="T5554" s="146"/>
      <c r="U5554" s="138">
        <f>U5551-U5552</f>
        <v>-168.26916404400333</v>
      </c>
      <c r="V5554" s="132"/>
      <c r="W5554" s="146"/>
      <c r="X5554" s="138">
        <f>X5551-X5552</f>
        <v>-1287.678271481137</v>
      </c>
      <c r="Y5554" s="132"/>
      <c r="Z5554" s="146"/>
      <c r="AA5554" s="138">
        <f>AA5551-AA5552</f>
        <v>-5026.2234533888968</v>
      </c>
      <c r="AB5554" s="132"/>
      <c r="AC5554" s="146"/>
      <c r="AD5554" s="138">
        <f>AD5551-AD5552</f>
        <v>-13681.130652018812</v>
      </c>
      <c r="AE5554" s="132"/>
      <c r="AF5554" s="146"/>
      <c r="AG5554" s="138">
        <f>AG5551-AG5552</f>
        <v>-26962.690729972572</v>
      </c>
      <c r="AH5554" s="132"/>
      <c r="AI5554" s="146"/>
      <c r="AJ5554" s="138">
        <f>AJ5551-AJ5552</f>
        <v>-43500.884486906485</v>
      </c>
      <c r="AK5554" s="132"/>
      <c r="AL5554" s="146"/>
      <c r="AM5554" s="138">
        <f>AM5551-AM5552</f>
        <v>-59830.078681070474</v>
      </c>
      <c r="AN5554" s="132"/>
      <c r="AO5554" s="146"/>
      <c r="AP5554" s="138">
        <f>AP5551-AP5552</f>
        <v>-74483.811551667168</v>
      </c>
      <c r="AQ5554" s="132"/>
      <c r="AR5554" s="146"/>
      <c r="AS5554" s="138">
        <f>AS5551-AS5552</f>
        <v>-92723.545260252286</v>
      </c>
      <c r="AT5554" s="132"/>
      <c r="AU5554" s="146"/>
    </row>
    <row r="5555" spans="15:47" ht="14.5" x14ac:dyDescent="0.35">
      <c r="O5555" s="2" t="s">
        <v>191</v>
      </c>
      <c r="P5555" s="10"/>
      <c r="Q5555" s="2"/>
      <c r="R5555" s="181">
        <f>R5554/R5551</f>
        <v>1.2355465234277425</v>
      </c>
      <c r="S5555" s="132"/>
      <c r="T5555" s="146"/>
      <c r="U5555" s="138">
        <f>U5554/U5551</f>
        <v>1.4227644661578649</v>
      </c>
      <c r="V5555" s="132"/>
      <c r="W5555" s="146"/>
      <c r="X5555" s="138">
        <f>X5554/X5551</f>
        <v>1.0403982207267521</v>
      </c>
      <c r="Y5555" s="132"/>
      <c r="Z5555" s="146"/>
      <c r="AA5555" s="138">
        <f>AA5554/AA5551</f>
        <v>1.0100477803033441</v>
      </c>
      <c r="AB5555" s="132"/>
      <c r="AC5555" s="146"/>
      <c r="AD5555" s="138">
        <f>AD5554/AD5551</f>
        <v>1.0036680742981945</v>
      </c>
      <c r="AE5555" s="132"/>
      <c r="AF5555" s="146"/>
      <c r="AG5555" s="138">
        <f>AG5554/AG5551</f>
        <v>1.001857859568992</v>
      </c>
      <c r="AH5555" s="132"/>
      <c r="AI5555" s="146"/>
      <c r="AJ5555" s="138">
        <f>AJ5554/AJ5551</f>
        <v>1.0011507245615465</v>
      </c>
      <c r="AK5555" s="132"/>
      <c r="AL5555" s="146"/>
      <c r="AM5555" s="138">
        <f>AM5554/AM5551</f>
        <v>1.0008363990329747</v>
      </c>
      <c r="AN5555" s="132"/>
      <c r="AO5555" s="146"/>
      <c r="AP5555" s="138">
        <f>AP5554/AP5551</f>
        <v>1.0006717377352803</v>
      </c>
      <c r="AQ5555" s="132"/>
      <c r="AR5555" s="146"/>
      <c r="AS5555" s="138">
        <f>AS5554/AS5551</f>
        <v>1.0005395282964473</v>
      </c>
      <c r="AT5555" s="132"/>
      <c r="AU5555" s="146"/>
    </row>
    <row r="5556" spans="15:47" x14ac:dyDescent="0.25">
      <c r="O5556" s="2" t="s">
        <v>26</v>
      </c>
      <c r="P5556" s="7">
        <v>12</v>
      </c>
      <c r="Q5556" s="2"/>
      <c r="R5556" s="181">
        <f>1-R5555/(3*F_GAMMA*R$29)</f>
        <v>0.35651321231225541</v>
      </c>
      <c r="S5556" s="133"/>
      <c r="T5556" s="146"/>
      <c r="U5556" s="138">
        <f>1-U5555/(3*F_GAMMA*U$29)</f>
        <v>0.25917111037831808</v>
      </c>
      <c r="V5556" s="133"/>
      <c r="W5556" s="146"/>
      <c r="X5556" s="138">
        <f>1-X5555/(3*F_GAMMA*X$29)</f>
        <v>0.45014114439144415</v>
      </c>
      <c r="Y5556" s="133"/>
      <c r="Z5556" s="146"/>
      <c r="AA5556" s="138">
        <f>1-AA5555/(3*F_GAMMA*AA$29)</f>
        <v>0.45886220389739385</v>
      </c>
      <c r="AB5556" s="133"/>
      <c r="AC5556" s="146"/>
      <c r="AD5556" s="138">
        <f>1-AD5555/(3*F_GAMMA*AD$29)</f>
        <v>0.44753702647089466</v>
      </c>
      <c r="AE5556" s="133"/>
      <c r="AF5556" s="146"/>
      <c r="AG5556" s="138">
        <f>1-AG5555/(3*F_GAMMA*AG$29)</f>
        <v>0.41707692523004858</v>
      </c>
      <c r="AH5556" s="133"/>
      <c r="AI5556" s="146"/>
      <c r="AJ5556" s="138">
        <f>1-AJ5555/(3*F_GAMMA*AJ$29)</f>
        <v>0.37728716654894923</v>
      </c>
      <c r="AK5556" s="133"/>
      <c r="AL5556" s="146"/>
      <c r="AM5556" s="138">
        <f>1-AM5555/(3*F_GAMMA*AM$29)</f>
        <v>0.31983652060321133</v>
      </c>
      <c r="AN5556" s="133"/>
      <c r="AO5556" s="146"/>
      <c r="AP5556" s="138">
        <f>1-AP5555/(3*F_GAMMA*AP$29)</f>
        <v>0.43801094495986848</v>
      </c>
      <c r="AQ5556" s="133"/>
      <c r="AR5556" s="146"/>
      <c r="AS5556" s="138">
        <f>1-AS5555/(3*F_GAMMA*AS$29)</f>
        <v>0.14696449979182391</v>
      </c>
      <c r="AT5556" s="133"/>
      <c r="AU5556" s="146"/>
    </row>
    <row r="5557" spans="15:47" x14ac:dyDescent="0.25">
      <c r="O5557" s="2" t="s">
        <v>71</v>
      </c>
      <c r="P5557" s="85">
        <v>5</v>
      </c>
      <c r="Q5557" s="2"/>
      <c r="R5557" s="179">
        <f>R5549/((N_6*R$27*R5556)*SQRT(R5555*R5551*R5553))</f>
        <v>75.740259490312738</v>
      </c>
      <c r="S5557" s="133"/>
      <c r="T5557" s="146"/>
      <c r="U5557" s="143">
        <f>U5549/((N_6*U$27*U5556)*SQRT(U5555*U5551*U5553))</f>
        <v>145.83317548397193</v>
      </c>
      <c r="V5557" s="133"/>
      <c r="W5557" s="146"/>
      <c r="X5557" s="143">
        <f>X5549/((N_6*X$27*X5556)*SQRT(X5555*X5551*X5553))</f>
        <v>23.255790913976284</v>
      </c>
      <c r="Y5557" s="133"/>
      <c r="Z5557" s="146"/>
      <c r="AA5557" s="143">
        <f>AA5549/((N_6*AA$27*AA5556)*SQRT(AA5555*AA5551*AA5553))</f>
        <v>11.281241532918585</v>
      </c>
      <c r="AB5557" s="133"/>
      <c r="AC5557" s="146"/>
      <c r="AD5557" s="143">
        <f>AD5549/((N_6*AD$27*AD5556)*SQRT(AD5555*AD5551*AD5553))</f>
        <v>7.0496487589850521</v>
      </c>
      <c r="AE5557" s="133"/>
      <c r="AF5557" s="146"/>
      <c r="AG5557" s="143">
        <f>AG5549/((N_6*AG$27*AG5556)*SQRT(AG5555*AG5551*AG5553))</f>
        <v>5.494706234904994</v>
      </c>
      <c r="AH5557" s="133"/>
      <c r="AI5557" s="146"/>
      <c r="AJ5557" s="143">
        <f>AJ5549/((N_6*AJ$27*AJ5556)*SQRT(AJ5555*AJ5551*AJ5553))</f>
        <v>4.9427992998107948</v>
      </c>
      <c r="AK5557" s="133"/>
      <c r="AL5557" s="146"/>
      <c r="AM5557" s="143">
        <f>AM5549/((N_6*AM$27*AM5556)*SQRT(AM5555*AM5551*AM5553))</f>
        <v>5.275377074456296</v>
      </c>
      <c r="AN5557" s="133"/>
      <c r="AO5557" s="146"/>
      <c r="AP5557" s="143">
        <f>AP5549/((N_6*AP$27*AP5556)*SQRT(AP5555*AP5551*AP5553))</f>
        <v>3.9210987887281745</v>
      </c>
      <c r="AQ5557" s="133"/>
      <c r="AR5557" s="146"/>
      <c r="AS5557" s="143">
        <f>AS5549/((N_6*AS$27*AS5556)*SQRT(AS5555*AS5551*AS5553))</f>
        <v>13.760873704071571</v>
      </c>
      <c r="AT5557" s="133"/>
      <c r="AU5557" s="146"/>
    </row>
    <row r="5558" spans="15:47" x14ac:dyDescent="0.25">
      <c r="O5558" s="2" t="s">
        <v>73</v>
      </c>
      <c r="P5558" s="85">
        <v>5</v>
      </c>
      <c r="Q5558" s="2"/>
      <c r="R5558" s="179">
        <f>R5549/((N_6*R$27*0.667)*SQRT(R5559*R5551*R5553))</f>
        <v>56.247992707622608</v>
      </c>
      <c r="S5558" s="133"/>
      <c r="T5558" s="155"/>
      <c r="U5558" s="143">
        <f>U5549/((N_6*U$27*0.667)*SQRT(U5559*U5551*U5553))</f>
        <v>84.476647504403829</v>
      </c>
      <c r="V5558" s="133"/>
      <c r="W5558" s="155"/>
      <c r="X5558" s="143">
        <f>X5549/((N_6*X$27*0.667)*SQRT(X5559*X5551*X5553))</f>
        <v>20.157665318197768</v>
      </c>
      <c r="Y5558" s="133"/>
      <c r="Z5558" s="155"/>
      <c r="AA5558" s="143">
        <f>AA5549/((N_6*AA$27*0.667)*SQRT(AA5559*AA5551*AA5553))</f>
        <v>9.8884429445322723</v>
      </c>
      <c r="AB5558" s="133"/>
      <c r="AC5558" s="155"/>
      <c r="AD5558" s="143">
        <f>AD5549/((N_6*AD$27*0.667)*SQRT(AD5559*AD5551*AD5553))</f>
        <v>6.0895168010063241</v>
      </c>
      <c r="AE5558" s="133"/>
      <c r="AF5558" s="155"/>
      <c r="AG5558" s="143">
        <f>AG5549/((N_6*AG$27*0.667)*SQRT(AG5559*AG5551*AG5553))</f>
        <v>4.5436101254877999</v>
      </c>
      <c r="AH5558" s="133"/>
      <c r="AI5558" s="155"/>
      <c r="AJ5558" s="143">
        <f>AJ5549/((N_6*AJ$27*0.667)*SQRT(AJ5559*AJ5551*AJ5553))</f>
        <v>3.8214106612738634</v>
      </c>
      <c r="AK5558" s="133"/>
      <c r="AL5558" s="155"/>
      <c r="AM5558" s="143">
        <f>AM5549/((N_6*AM$27*0.667)*SQRT(AM5559*AM5551*AM5553))</f>
        <v>3.6134579734997478</v>
      </c>
      <c r="AN5558" s="133"/>
      <c r="AO5558" s="155"/>
      <c r="AP5558" s="143">
        <f>AP5549/((N_6*AP$27*0.667)*SQRT(AP5559*AP5551*AP5553))</f>
        <v>3.3434241037041126</v>
      </c>
      <c r="AQ5558" s="133"/>
      <c r="AR5558" s="155"/>
      <c r="AS5558" s="143">
        <f>AS5549/((N_6*AS$27*0.667)*SQRT(AS5559*AS5551*AS5553))</f>
        <v>4.8503915191800813</v>
      </c>
      <c r="AT5558" s="133"/>
      <c r="AU5558" s="155"/>
    </row>
    <row r="5559" spans="15:47" ht="15.5" x14ac:dyDescent="0.4">
      <c r="O5559" s="2" t="s">
        <v>192</v>
      </c>
      <c r="P5559" s="85">
        <v>10</v>
      </c>
      <c r="Q5559" s="2"/>
      <c r="R5559" s="181">
        <f>F_GAMMA*R$29</f>
        <v>0.64002688015162901</v>
      </c>
      <c r="S5559" s="133"/>
      <c r="T5559" s="155"/>
      <c r="U5559" s="138">
        <f>F_GAMMA*U$29</f>
        <v>0.64016782916606918</v>
      </c>
      <c r="V5559" s="133"/>
      <c r="W5559" s="155"/>
      <c r="X5559" s="138">
        <f>F_GAMMA*X$29</f>
        <v>0.6307062319203669</v>
      </c>
      <c r="Y5559" s="133"/>
      <c r="Z5559" s="155"/>
      <c r="AA5559" s="138">
        <f>F_GAMMA*AA$29</f>
        <v>0.62217534213893466</v>
      </c>
      <c r="AB5559" s="133"/>
      <c r="AC5559" s="155"/>
      <c r="AD5559" s="138">
        <f>F_GAMMA*AD$29</f>
        <v>0.60557184969146072</v>
      </c>
      <c r="AE5559" s="133"/>
      <c r="AF5559" s="155"/>
      <c r="AG5559" s="138">
        <f>F_GAMMA*AG$29</f>
        <v>0.57289312142622573</v>
      </c>
      <c r="AH5559" s="133"/>
      <c r="AI5559" s="155"/>
      <c r="AJ5559" s="138">
        <f>F_GAMMA*AJ$29</f>
        <v>0.53590819116049981</v>
      </c>
      <c r="AK5559" s="133"/>
      <c r="AL5559" s="155"/>
      <c r="AM5559" s="138">
        <f>F_GAMMA*AM$29</f>
        <v>0.49048815926850342</v>
      </c>
      <c r="AN5559" s="133"/>
      <c r="AO5559" s="155"/>
      <c r="AP5559" s="138">
        <f>F_GAMMA*AP$29</f>
        <v>0.59352979016280105</v>
      </c>
      <c r="AQ5559" s="133"/>
      <c r="AR5559" s="155"/>
      <c r="AS5559" s="138">
        <f>F_GAMMA*AS$29</f>
        <v>0.39097221161068291</v>
      </c>
      <c r="AT5559" s="133"/>
      <c r="AU5559" s="155"/>
    </row>
    <row r="5560" spans="15:47" x14ac:dyDescent="0.25">
      <c r="O5560" s="2" t="s">
        <v>193</v>
      </c>
      <c r="P5560" s="134"/>
      <c r="Q5560" s="2"/>
      <c r="R5560" s="181">
        <f>IF(R5555&lt;R5559,R5557,R5558)</f>
        <v>56.247992707622608</v>
      </c>
      <c r="S5560" s="133"/>
      <c r="T5560" s="155"/>
      <c r="U5560" s="138">
        <f>IF(U5555&lt;U5559,U5557,U5558)</f>
        <v>84.476647504403829</v>
      </c>
      <c r="V5560" s="133"/>
      <c r="W5560" s="155"/>
      <c r="X5560" s="138">
        <f>IF(X5555&lt;X5559,X5557,X5558)</f>
        <v>20.157665318197768</v>
      </c>
      <c r="Y5560" s="133"/>
      <c r="Z5560" s="155"/>
      <c r="AA5560" s="138">
        <f>IF(AA5555&lt;AA5559,AA5557,AA5558)</f>
        <v>9.8884429445322723</v>
      </c>
      <c r="AB5560" s="133"/>
      <c r="AC5560" s="155"/>
      <c r="AD5560" s="138">
        <f>IF(AD5555&lt;AD5559,AD5557,AD5558)</f>
        <v>6.0895168010063241</v>
      </c>
      <c r="AE5560" s="133"/>
      <c r="AF5560" s="155"/>
      <c r="AG5560" s="138">
        <f>IF(AG5555&lt;AG5559,AG5557,AG5558)</f>
        <v>4.5436101254877999</v>
      </c>
      <c r="AH5560" s="133"/>
      <c r="AI5560" s="155"/>
      <c r="AJ5560" s="138">
        <f>IF(AJ5555&lt;AJ5559,AJ5557,AJ5558)</f>
        <v>3.8214106612738634</v>
      </c>
      <c r="AK5560" s="133"/>
      <c r="AL5560" s="155"/>
      <c r="AM5560" s="138">
        <f>IF(AM5555&lt;AM5559,AM5557,AM5558)</f>
        <v>3.6134579734997478</v>
      </c>
      <c r="AN5560" s="133"/>
      <c r="AO5560" s="155"/>
      <c r="AP5560" s="138">
        <f>IF(AP5555&lt;AP5559,AP5557,AP5558)</f>
        <v>3.3434241037041126</v>
      </c>
      <c r="AQ5560" s="133"/>
      <c r="AR5560" s="155"/>
      <c r="AS5560" s="138">
        <f>IF(AS5555&lt;AS5559,AS5557,AS5558)</f>
        <v>4.8503915191800813</v>
      </c>
      <c r="AT5560" s="133"/>
      <c r="AU5560" s="155"/>
    </row>
    <row r="5561" spans="15:47" ht="13" x14ac:dyDescent="0.3">
      <c r="O5561" s="9" t="s">
        <v>194</v>
      </c>
      <c r="P5561" s="1"/>
      <c r="Q5561" s="1"/>
      <c r="R5561" s="135"/>
      <c r="S5561" s="132">
        <f>IF(R5554&lt;=0,W_max,ABS(R$23-R5560))</f>
        <v>7174</v>
      </c>
      <c r="T5561" s="151">
        <f>R5549</f>
        <v>28007.42365900223</v>
      </c>
      <c r="U5561" s="135"/>
      <c r="V5561" s="132">
        <f>IF(U5554&lt;=0,W_max,ABS(U$23-U5560))</f>
        <v>7174</v>
      </c>
      <c r="W5561" s="151">
        <f>U5549</f>
        <v>23423.882265955788</v>
      </c>
      <c r="X5561" s="135"/>
      <c r="Y5561" s="132">
        <f>IF(X5554&lt;=0,W_max,ABS(X$23-X5560))</f>
        <v>7174</v>
      </c>
      <c r="Z5561" s="151">
        <f>X5549</f>
        <v>57930.04831837384</v>
      </c>
      <c r="AA5561" s="135"/>
      <c r="AB5561" s="132">
        <f>IF(AA5554&lt;=0,W_max,ABS(AA$23-AA5560))</f>
        <v>7174</v>
      </c>
      <c r="AC5561" s="151">
        <f>AA5549</f>
        <v>112832.94774506401</v>
      </c>
      <c r="AD5561" s="135"/>
      <c r="AE5561" s="132">
        <f>IF(AD5554&lt;=0,W_max,ABS(AD$23-AD5560))</f>
        <v>7174</v>
      </c>
      <c r="AF5561" s="151">
        <f>AD5549</f>
        <v>185568.65641398026</v>
      </c>
      <c r="AG5561" s="135"/>
      <c r="AH5561" s="132">
        <f>IF(AG5554&lt;=0,W_max,ABS(AG$23-AG5560))</f>
        <v>7174</v>
      </c>
      <c r="AI5561" s="151">
        <f>AG5549</f>
        <v>260274.32684065745</v>
      </c>
      <c r="AJ5561" s="135"/>
      <c r="AK5561" s="132">
        <f>IF(AJ5554&lt;=0,W_max,ABS(AJ$23-AJ5560))</f>
        <v>7174</v>
      </c>
      <c r="AL5561" s="151">
        <f>AJ5549</f>
        <v>330479.33091290301</v>
      </c>
      <c r="AM5561" s="135"/>
      <c r="AN5561" s="132">
        <f>IF(AM5554&lt;=0,W_max,ABS(AM$23-AM5560))</f>
        <v>7174</v>
      </c>
      <c r="AO5561" s="151">
        <f>AM5549</f>
        <v>387513.0060171425</v>
      </c>
      <c r="AP5561" s="135"/>
      <c r="AQ5561" s="132">
        <f>IF(AP5554&lt;=0,W_max,ABS(AP$23-AP5560))</f>
        <v>7174</v>
      </c>
      <c r="AR5561" s="151">
        <f>AP5549</f>
        <v>432335.99473445222</v>
      </c>
      <c r="AS5561" s="135"/>
      <c r="AT5561" s="132">
        <f>IF(AS5554&lt;=0,W_max,ABS(AS$23-AS5560))</f>
        <v>7174</v>
      </c>
      <c r="AU5561" s="151">
        <f>AS5549</f>
        <v>482343.58444929135</v>
      </c>
    </row>
    <row r="5562" spans="15:47" ht="13" x14ac:dyDescent="0.25">
      <c r="O5562" s="2"/>
      <c r="P5562" s="85"/>
      <c r="Q5562" s="2"/>
      <c r="R5562" s="18"/>
      <c r="S5562" s="150"/>
      <c r="T5562" s="152"/>
      <c r="U5562" s="157"/>
      <c r="V5562" s="1"/>
      <c r="W5562" s="147"/>
      <c r="X5562" s="157"/>
      <c r="Y5562" s="1"/>
      <c r="Z5562" s="147"/>
      <c r="AA5562" s="157"/>
      <c r="AB5562" s="1"/>
      <c r="AC5562" s="147"/>
      <c r="AD5562" s="157"/>
      <c r="AE5562" s="1"/>
      <c r="AF5562" s="147"/>
      <c r="AG5562" s="157"/>
      <c r="AH5562" s="1"/>
      <c r="AI5562" s="147"/>
      <c r="AJ5562" s="157"/>
      <c r="AK5562" s="1"/>
      <c r="AL5562" s="147"/>
      <c r="AM5562" s="157"/>
      <c r="AN5562" s="1"/>
      <c r="AO5562" s="147"/>
      <c r="AP5562" s="157"/>
      <c r="AQ5562" s="1"/>
      <c r="AR5562" s="147"/>
      <c r="AS5562" s="157"/>
      <c r="AT5562" s="1"/>
      <c r="AU5562" s="147"/>
    </row>
    <row r="5563" spans="15:47" ht="14" x14ac:dyDescent="0.3">
      <c r="O5563" s="23" t="s">
        <v>238</v>
      </c>
      <c r="P5563" s="20"/>
      <c r="Q5563" s="20"/>
      <c r="R5563" s="181">
        <f>R5549*1.02</f>
        <v>28567.572132182275</v>
      </c>
      <c r="S5563" s="128" t="s">
        <v>185</v>
      </c>
      <c r="T5563" s="153" t="s">
        <v>186</v>
      </c>
      <c r="U5563" s="143">
        <f>U5549*1.01</f>
        <v>23658.121088615346</v>
      </c>
      <c r="V5563" s="128" t="s">
        <v>185</v>
      </c>
      <c r="W5563" s="153" t="s">
        <v>186</v>
      </c>
      <c r="X5563" s="143">
        <f>X5549*1.01</f>
        <v>58509.348801557579</v>
      </c>
      <c r="Y5563" s="128" t="s">
        <v>185</v>
      </c>
      <c r="Z5563" s="153" t="s">
        <v>186</v>
      </c>
      <c r="AA5563" s="143">
        <f>AA5549*1.01</f>
        <v>113961.27722251465</v>
      </c>
      <c r="AB5563" s="128" t="s">
        <v>185</v>
      </c>
      <c r="AC5563" s="153" t="s">
        <v>186</v>
      </c>
      <c r="AD5563" s="143">
        <f>AD5549*1.01</f>
        <v>187424.34297812008</v>
      </c>
      <c r="AE5563" s="128" t="s">
        <v>185</v>
      </c>
      <c r="AF5563" s="153" t="s">
        <v>186</v>
      </c>
      <c r="AG5563" s="143">
        <f>AG5549*1.01</f>
        <v>262877.07010906405</v>
      </c>
      <c r="AH5563" s="128" t="s">
        <v>185</v>
      </c>
      <c r="AI5563" s="153" t="s">
        <v>186</v>
      </c>
      <c r="AJ5563" s="143">
        <f>AJ5549*1.01</f>
        <v>333784.12422203203</v>
      </c>
      <c r="AK5563" s="128" t="s">
        <v>185</v>
      </c>
      <c r="AL5563" s="153" t="s">
        <v>186</v>
      </c>
      <c r="AM5563" s="143">
        <f>AM5549*1.01</f>
        <v>391388.13607731392</v>
      </c>
      <c r="AN5563" s="128" t="s">
        <v>185</v>
      </c>
      <c r="AO5563" s="153" t="s">
        <v>186</v>
      </c>
      <c r="AP5563" s="143">
        <f>AP5549*1.01</f>
        <v>436659.35468179674</v>
      </c>
      <c r="AQ5563" s="128" t="s">
        <v>185</v>
      </c>
      <c r="AR5563" s="153" t="s">
        <v>186</v>
      </c>
      <c r="AS5563" s="143">
        <f>AS5549*1.01</f>
        <v>487167.02029378427</v>
      </c>
      <c r="AT5563" s="128" t="s">
        <v>185</v>
      </c>
      <c r="AU5563" s="153" t="s">
        <v>186</v>
      </c>
    </row>
    <row r="5564" spans="15:47" ht="14" x14ac:dyDescent="0.3">
      <c r="O5564" s="20"/>
      <c r="P5564" s="20"/>
      <c r="Q5564" s="23"/>
      <c r="R5564" s="139"/>
      <c r="S5564" s="130" t="s">
        <v>228</v>
      </c>
      <c r="T5564" s="154" t="s">
        <v>187</v>
      </c>
      <c r="U5564" s="144"/>
      <c r="V5564" s="130" t="s">
        <v>228</v>
      </c>
      <c r="W5564" s="154" t="s">
        <v>187</v>
      </c>
      <c r="X5564" s="144"/>
      <c r="Y5564" s="130" t="s">
        <v>228</v>
      </c>
      <c r="Z5564" s="154" t="s">
        <v>187</v>
      </c>
      <c r="AA5564" s="144"/>
      <c r="AB5564" s="130" t="s">
        <v>228</v>
      </c>
      <c r="AC5564" s="154" t="s">
        <v>187</v>
      </c>
      <c r="AD5564" s="144"/>
      <c r="AE5564" s="130" t="s">
        <v>228</v>
      </c>
      <c r="AF5564" s="154" t="s">
        <v>187</v>
      </c>
      <c r="AG5564" s="144"/>
      <c r="AH5564" s="130" t="s">
        <v>228</v>
      </c>
      <c r="AI5564" s="154" t="s">
        <v>187</v>
      </c>
      <c r="AJ5564" s="144"/>
      <c r="AK5564" s="130" t="s">
        <v>228</v>
      </c>
      <c r="AL5564" s="154" t="s">
        <v>187</v>
      </c>
      <c r="AM5564" s="144"/>
      <c r="AN5564" s="130" t="s">
        <v>228</v>
      </c>
      <c r="AO5564" s="154" t="s">
        <v>187</v>
      </c>
      <c r="AP5564" s="144"/>
      <c r="AQ5564" s="130" t="s">
        <v>228</v>
      </c>
      <c r="AR5564" s="154" t="s">
        <v>187</v>
      </c>
      <c r="AS5564" s="144"/>
      <c r="AT5564" s="130" t="s">
        <v>228</v>
      </c>
      <c r="AU5564" s="154" t="s">
        <v>187</v>
      </c>
    </row>
    <row r="5565" spans="15:47" x14ac:dyDescent="0.25">
      <c r="O5565" s="7" t="s">
        <v>188</v>
      </c>
      <c r="P5565" s="7"/>
      <c r="Q5565" s="7"/>
      <c r="R5565" s="181">
        <f>P_1_minW-(R5563^2*R_up)+dpup_minQ</f>
        <v>-224.90921141135848</v>
      </c>
      <c r="S5565" s="132"/>
      <c r="T5565" s="145"/>
      <c r="U5565" s="138">
        <f>P_1_minW-(U5563^2*R_up)+dpup_minQ</f>
        <v>-122.66688225469598</v>
      </c>
      <c r="V5565" s="132"/>
      <c r="W5565" s="145"/>
      <c r="X5565" s="138">
        <f>P_1_minW-(X5563^2*R_up)+dpup_minQ</f>
        <v>-1264.576112751316</v>
      </c>
      <c r="Y5565" s="132"/>
      <c r="Z5565" s="145"/>
      <c r="AA5565" s="138">
        <f>P_1_minW-(AA5563^2*R_up)+dpup_minQ</f>
        <v>-5078.266052815422</v>
      </c>
      <c r="AB5565" s="132"/>
      <c r="AC5565" s="145"/>
      <c r="AD5565" s="138">
        <f>P_1_minW-(AD5563^2*R_up)+dpup_minQ</f>
        <v>-13907.136886137801</v>
      </c>
      <c r="AE5565" s="132"/>
      <c r="AF5565" s="145"/>
      <c r="AG5565" s="138">
        <f>P_1_minW-(AG5563^2*R_up)+dpup_minQ</f>
        <v>-27455.656321658433</v>
      </c>
      <c r="AH5565" s="132"/>
      <c r="AI5565" s="145"/>
      <c r="AJ5565" s="138">
        <f>P_1_minW-(AJ5563^2*R_up)+dpup_minQ</f>
        <v>-44326.267773106716</v>
      </c>
      <c r="AK5565" s="132"/>
      <c r="AL5565" s="145"/>
      <c r="AM5565" s="138">
        <f>P_1_minW-(AM5563^2*R_up)+dpup_minQ</f>
        <v>-60983.678770573395</v>
      </c>
      <c r="AN5565" s="132"/>
      <c r="AO5565" s="145"/>
      <c r="AP5565" s="138">
        <f>P_1_minW-(AP5563^2*R_up)+dpup_minQ</f>
        <v>-75931.951671869087</v>
      </c>
      <c r="AQ5565" s="132"/>
      <c r="AR5565" s="145"/>
      <c r="AS5565" s="138">
        <f>P_1_minW-(AS5563^2*R_up)+dpup_minQ</f>
        <v>-94538.304027996768</v>
      </c>
      <c r="AT5565" s="132"/>
      <c r="AU5565" s="145"/>
    </row>
    <row r="5566" spans="15:47" x14ac:dyDescent="0.25">
      <c r="O5566" s="7" t="s">
        <v>189</v>
      </c>
      <c r="P5566" s="1"/>
      <c r="Q5566" s="7"/>
      <c r="R5566" s="181">
        <f>P_2_minW+(R5563^2*R_dn)-dpdn_minQ</f>
        <v>50</v>
      </c>
      <c r="S5566" s="132"/>
      <c r="T5566" s="146"/>
      <c r="U5566" s="138">
        <f>P_2_minW+(U5563^2*R_dn)-dpdn_minQ</f>
        <v>50</v>
      </c>
      <c r="V5566" s="132"/>
      <c r="W5566" s="146"/>
      <c r="X5566" s="138">
        <f>P_2_minW+(X5563^2*R_dn)-dpdn_minQ</f>
        <v>50</v>
      </c>
      <c r="Y5566" s="132"/>
      <c r="Z5566" s="146"/>
      <c r="AA5566" s="138">
        <f>P_2_minW+(AA5563^2*R_dn)-dpdn_minQ</f>
        <v>50</v>
      </c>
      <c r="AB5566" s="132"/>
      <c r="AC5566" s="146"/>
      <c r="AD5566" s="138">
        <f>P_2_minW+(AD5563^2*R_dn)-dpdn_minQ</f>
        <v>50</v>
      </c>
      <c r="AE5566" s="132"/>
      <c r="AF5566" s="146"/>
      <c r="AG5566" s="138">
        <f>P_2_minW+(AG5563^2*R_dn)-dpdn_minQ</f>
        <v>50</v>
      </c>
      <c r="AH5566" s="132"/>
      <c r="AI5566" s="146"/>
      <c r="AJ5566" s="138">
        <f>P_2_minW+(AJ5563^2*R_dn)-dpdn_minQ</f>
        <v>50</v>
      </c>
      <c r="AK5566" s="132"/>
      <c r="AL5566" s="146"/>
      <c r="AM5566" s="138">
        <f>P_2_minW+(AM5563^2*R_dn)-dpdn_minQ</f>
        <v>50</v>
      </c>
      <c r="AN5566" s="132"/>
      <c r="AO5566" s="146"/>
      <c r="AP5566" s="138">
        <f>P_2_minW+(AP5563^2*R_dn)-dpdn_minQ</f>
        <v>50</v>
      </c>
      <c r="AQ5566" s="132"/>
      <c r="AR5566" s="146"/>
      <c r="AS5566" s="138">
        <f>P_2_minW+(AS5563^2*R_dn)-dpdn_minQ</f>
        <v>50</v>
      </c>
      <c r="AT5566" s="132"/>
      <c r="AU5566" s="146"/>
    </row>
    <row r="5567" spans="15:47" x14ac:dyDescent="0.25">
      <c r="O5567" s="7" t="s">
        <v>234</v>
      </c>
      <c r="P5567" s="1"/>
      <c r="Q5567" s="7"/>
      <c r="R5567" s="179">
        <f>'Valve Sizing'!G$8*R5565/P_1_maxW</f>
        <v>-1.0849219932313718</v>
      </c>
      <c r="S5567" s="132"/>
      <c r="T5567" s="146"/>
      <c r="U5567" s="143">
        <f>'Valve Sizing'!$G$8*U5565/P_1_maxW</f>
        <v>-0.59172320050436877</v>
      </c>
      <c r="V5567" s="132"/>
      <c r="W5567" s="146"/>
      <c r="X5567" s="143">
        <f>'Valve Sizing'!$G$8*X5565/P_1_maxW</f>
        <v>-6.100090024012462</v>
      </c>
      <c r="Y5567" s="132"/>
      <c r="Z5567" s="146"/>
      <c r="AA5567" s="143">
        <f>'Valve Sizing'!$G$8*AA5565/P_1_maxW</f>
        <v>-24.496651309237897</v>
      </c>
      <c r="AB5567" s="132"/>
      <c r="AC5567" s="146"/>
      <c r="AD5567" s="143">
        <f>'Valve Sizing'!$G$8*AD5565/P_1_maxW</f>
        <v>-67.08555232561794</v>
      </c>
      <c r="AE5567" s="132"/>
      <c r="AF5567" s="146"/>
      <c r="AG5567" s="143">
        <f>'Valve Sizing'!$G$8*AG5565/P_1_maxW</f>
        <v>-132.4411979173604</v>
      </c>
      <c r="AH5567" s="132"/>
      <c r="AI5567" s="146"/>
      <c r="AJ5567" s="143">
        <f>'Valve Sizing'!$G$8*AJ5565/P_1_maxW</f>
        <v>-213.82202393190983</v>
      </c>
      <c r="AK5567" s="132"/>
      <c r="AL5567" s="146"/>
      <c r="AM5567" s="143">
        <f>'Valve Sizing'!$G$8*AM5565/P_1_maxW</f>
        <v>-294.17440891445324</v>
      </c>
      <c r="AN5567" s="132"/>
      <c r="AO5567" s="146"/>
      <c r="AP5567" s="143">
        <f>'Valve Sizing'!$G$8*AP5565/P_1_maxW</f>
        <v>-366.28221601435035</v>
      </c>
      <c r="AQ5567" s="132"/>
      <c r="AR5567" s="146"/>
      <c r="AS5567" s="143">
        <f>'Valve Sizing'!$G$8*AS5565/P_1_maxW</f>
        <v>-456.0359471234525</v>
      </c>
      <c r="AT5567" s="132"/>
      <c r="AU5567" s="146"/>
    </row>
    <row r="5568" spans="15:47" x14ac:dyDescent="0.25">
      <c r="O5568" s="7" t="s">
        <v>190</v>
      </c>
      <c r="P5568" s="1"/>
      <c r="Q5568" s="7"/>
      <c r="R5568" s="181">
        <f>R5565-R5566</f>
        <v>-274.90921141135846</v>
      </c>
      <c r="S5568" s="132"/>
      <c r="T5568" s="146"/>
      <c r="U5568" s="138">
        <f>U5565-U5566</f>
        <v>-172.66688225469596</v>
      </c>
      <c r="V5568" s="132"/>
      <c r="W5568" s="146"/>
      <c r="X5568" s="138">
        <f>X5565-X5566</f>
        <v>-1314.576112751316</v>
      </c>
      <c r="Y5568" s="132"/>
      <c r="Z5568" s="146"/>
      <c r="AA5568" s="138">
        <f>AA5565-AA5566</f>
        <v>-5128.266052815422</v>
      </c>
      <c r="AB5568" s="132"/>
      <c r="AC5568" s="146"/>
      <c r="AD5568" s="138">
        <f>AD5565-AD5566</f>
        <v>-13957.136886137801</v>
      </c>
      <c r="AE5568" s="132"/>
      <c r="AF5568" s="146"/>
      <c r="AG5568" s="138">
        <f>AG5565-AG5566</f>
        <v>-27505.656321658433</v>
      </c>
      <c r="AH5568" s="132"/>
      <c r="AI5568" s="146"/>
      <c r="AJ5568" s="138">
        <f>AJ5565-AJ5566</f>
        <v>-44376.267773106716</v>
      </c>
      <c r="AK5568" s="132"/>
      <c r="AL5568" s="146"/>
      <c r="AM5568" s="138">
        <f>AM5565-AM5566</f>
        <v>-61033.678770573395</v>
      </c>
      <c r="AN5568" s="132"/>
      <c r="AO5568" s="146"/>
      <c r="AP5568" s="138">
        <f>AP5565-AP5566</f>
        <v>-75981.951671869087</v>
      </c>
      <c r="AQ5568" s="132"/>
      <c r="AR5568" s="146"/>
      <c r="AS5568" s="138">
        <f>AS5565-AS5566</f>
        <v>-94588.304027996768</v>
      </c>
      <c r="AT5568" s="132"/>
      <c r="AU5568" s="146"/>
    </row>
    <row r="5569" spans="15:47" ht="14.5" x14ac:dyDescent="0.35">
      <c r="O5569" s="2" t="s">
        <v>191</v>
      </c>
      <c r="P5569" s="10"/>
      <c r="Q5569" s="2"/>
      <c r="R5569" s="181">
        <f>R5568/R5565</f>
        <v>1.2223119261600632</v>
      </c>
      <c r="S5569" s="132"/>
      <c r="T5569" s="146"/>
      <c r="U5569" s="138">
        <f>U5568/U5565</f>
        <v>1.4076079792766223</v>
      </c>
      <c r="V5569" s="132"/>
      <c r="W5569" s="146"/>
      <c r="X5569" s="138">
        <f>X5568/X5565</f>
        <v>1.039538940753211</v>
      </c>
      <c r="Y5569" s="132"/>
      <c r="Z5569" s="146"/>
      <c r="AA5569" s="138">
        <f>AA5568/AA5565</f>
        <v>1.0098458803615222</v>
      </c>
      <c r="AB5569" s="132"/>
      <c r="AC5569" s="146"/>
      <c r="AD5569" s="138">
        <f>AD5568/AD5565</f>
        <v>1.0035952763253404</v>
      </c>
      <c r="AE5569" s="132"/>
      <c r="AF5569" s="146"/>
      <c r="AG5569" s="138">
        <f>AG5568/AG5565</f>
        <v>1.0018211183668029</v>
      </c>
      <c r="AH5569" s="132"/>
      <c r="AI5569" s="146"/>
      <c r="AJ5569" s="138">
        <f>AJ5568/AJ5565</f>
        <v>1.001127999322116</v>
      </c>
      <c r="AK5569" s="132"/>
      <c r="AL5569" s="146"/>
      <c r="AM5569" s="138">
        <f>AM5568/AM5565</f>
        <v>1.000819891502251</v>
      </c>
      <c r="AN5569" s="132"/>
      <c r="AO5569" s="146"/>
      <c r="AP5569" s="138">
        <f>AP5568/AP5565</f>
        <v>1.0006584843257562</v>
      </c>
      <c r="AQ5569" s="132"/>
      <c r="AR5569" s="146"/>
      <c r="AS5569" s="138">
        <f>AS5568/AS5565</f>
        <v>1.0005288861537562</v>
      </c>
      <c r="AT5569" s="132"/>
      <c r="AU5569" s="146"/>
    </row>
    <row r="5570" spans="15:47" x14ac:dyDescent="0.25">
      <c r="O5570" s="2" t="s">
        <v>26</v>
      </c>
      <c r="P5570" s="7">
        <v>12</v>
      </c>
      <c r="Q5570" s="2"/>
      <c r="R5570" s="181">
        <f>1-R5569/(3*F_GAMMA*R$29)</f>
        <v>0.36340594222621558</v>
      </c>
      <c r="S5570" s="133"/>
      <c r="T5570" s="146"/>
      <c r="U5570" s="138">
        <f>1-U5569/(3*F_GAMMA*U$29)</f>
        <v>0.26706304443618667</v>
      </c>
      <c r="V5570" s="133"/>
      <c r="W5570" s="146"/>
      <c r="X5570" s="138">
        <f>1-X5569/(3*F_GAMMA*X$29)</f>
        <v>0.45059528079180111</v>
      </c>
      <c r="Y5570" s="133"/>
      <c r="Z5570" s="146"/>
      <c r="AA5570" s="138">
        <f>1-AA5569/(3*F_GAMMA*AA$29)</f>
        <v>0.45897037273027608</v>
      </c>
      <c r="AB5570" s="133"/>
      <c r="AC5570" s="146"/>
      <c r="AD5570" s="138">
        <f>1-AD5569/(3*F_GAMMA*AD$29)</f>
        <v>0.44757709767130427</v>
      </c>
      <c r="AE5570" s="133"/>
      <c r="AF5570" s="146"/>
      <c r="AG5570" s="138">
        <f>1-AG5569/(3*F_GAMMA*AG$29)</f>
        <v>0.41709830280806148</v>
      </c>
      <c r="AH5570" s="133"/>
      <c r="AI5570" s="146"/>
      <c r="AJ5570" s="138">
        <f>1-AJ5569/(3*F_GAMMA*AJ$29)</f>
        <v>0.37730130158165653</v>
      </c>
      <c r="AK5570" s="133"/>
      <c r="AL5570" s="146"/>
      <c r="AM5570" s="138">
        <f>1-AM5569/(3*F_GAMMA*AM$29)</f>
        <v>0.31984773903965513</v>
      </c>
      <c r="AN5570" s="133"/>
      <c r="AO5570" s="146"/>
      <c r="AP5570" s="138">
        <f>1-AP5569/(3*F_GAMMA*AP$29)</f>
        <v>0.43801838823103689</v>
      </c>
      <c r="AQ5570" s="133"/>
      <c r="AR5570" s="146"/>
      <c r="AS5570" s="138">
        <f>1-AS5569/(3*F_GAMMA*AS$29)</f>
        <v>0.14697357302207326</v>
      </c>
      <c r="AT5570" s="133"/>
      <c r="AU5570" s="146"/>
    </row>
    <row r="5571" spans="15:47" x14ac:dyDescent="0.25">
      <c r="O5571" s="2" t="s">
        <v>71</v>
      </c>
      <c r="P5571" s="85">
        <v>5</v>
      </c>
      <c r="Q5571" s="2"/>
      <c r="R5571" s="179">
        <f>R5563/((N_6*R$27*R5570)*SQRT(R5569*R5565*R5567))</f>
        <v>71.917594924011183</v>
      </c>
      <c r="S5571" s="133"/>
      <c r="T5571" s="146"/>
      <c r="U5571" s="143">
        <f>U5563/((N_6*U$27*U5570)*SQRT(U5569*U5565*U5567))</f>
        <v>138.55440737373505</v>
      </c>
      <c r="V5571" s="133"/>
      <c r="W5571" s="146"/>
      <c r="X5571" s="143">
        <f>X5563/((N_6*X$27*X5570)*SQRT(X5569*X5565*X5567))</f>
        <v>22.97506620587437</v>
      </c>
      <c r="Y5571" s="133"/>
      <c r="Z5571" s="146"/>
      <c r="AA5571" s="143">
        <f>AA5563/((N_6*AA$27*AA5570)*SQRT(AA5569*AA5565*AA5567))</f>
        <v>11.163586453798345</v>
      </c>
      <c r="AB5571" s="133"/>
      <c r="AC5571" s="146"/>
      <c r="AD5571" s="143">
        <f>AD5563/((N_6*AD$27*AD5570)*SQRT(AD5569*AD5565*AD5567))</f>
        <v>6.9784644600233241</v>
      </c>
      <c r="AE5571" s="133"/>
      <c r="AF5571" s="146"/>
      <c r="AG5571" s="143">
        <f>AG5563/((N_6*AG$27*AG5570)*SQRT(AG5569*AG5565*AG5567))</f>
        <v>5.4397237765477717</v>
      </c>
      <c r="AH5571" s="133"/>
      <c r="AI5571" s="146"/>
      <c r="AJ5571" s="143">
        <f>AJ5563/((N_6*AJ$27*AJ5570)*SQRT(AJ5569*AJ5565*AJ5567))</f>
        <v>4.8935098244573627</v>
      </c>
      <c r="AK5571" s="133"/>
      <c r="AL5571" s="146"/>
      <c r="AM5571" s="143">
        <f>AM5563/((N_6*AM$27*AM5570)*SQRT(AM5569*AM5565*AM5567))</f>
        <v>5.22283244535428</v>
      </c>
      <c r="AN5571" s="133"/>
      <c r="AO5571" s="146"/>
      <c r="AP5571" s="143">
        <f>AP5563/((N_6*AP$27*AP5570)*SQRT(AP5569*AP5565*AP5567))</f>
        <v>3.8821324617676258</v>
      </c>
      <c r="AQ5571" s="133"/>
      <c r="AR5571" s="146"/>
      <c r="AS5571" s="143">
        <f>AS5563/((N_6*AS$27*AS5570)*SQRT(AS5569*AS5565*AS5567))</f>
        <v>13.623567610807379</v>
      </c>
      <c r="AT5571" s="133"/>
      <c r="AU5571" s="146"/>
    </row>
    <row r="5572" spans="15:47" x14ac:dyDescent="0.25">
      <c r="O5572" s="2" t="s">
        <v>73</v>
      </c>
      <c r="P5572" s="85">
        <v>5</v>
      </c>
      <c r="Q5572" s="2"/>
      <c r="R5572" s="179">
        <f>R5563/((N_6*R$27*0.667)*SQRT(R5573*R5565*R5567))</f>
        <v>54.149351932213321</v>
      </c>
      <c r="S5572" s="133"/>
      <c r="T5572" s="155"/>
      <c r="U5572" s="143">
        <f>U5563/((N_6*U$27*0.667)*SQRT(U5573*U5565*U5567))</f>
        <v>82.262564442207733</v>
      </c>
      <c r="V5572" s="133"/>
      <c r="W5572" s="155"/>
      <c r="X5572" s="143">
        <f>X5563/((N_6*X$27*0.667)*SQRT(X5573*X5565*X5567))</f>
        <v>19.926195946387313</v>
      </c>
      <c r="Y5572" s="133"/>
      <c r="Z5572" s="155"/>
      <c r="AA5572" s="143">
        <f>AA5563/((N_6*AA$27*0.667)*SQRT(AA5573*AA5565*AA5567))</f>
        <v>9.7866421723821873</v>
      </c>
      <c r="AB5572" s="133"/>
      <c r="AC5572" s="155"/>
      <c r="AD5572" s="143">
        <f>AD5563/((N_6*AD$27*0.667)*SQRT(AD5573*AD5565*AD5567))</f>
        <v>6.0283485953869338</v>
      </c>
      <c r="AE5572" s="133"/>
      <c r="AF5572" s="155"/>
      <c r="AG5572" s="143">
        <f>AG5563/((N_6*AG$27*0.667)*SQRT(AG5573*AG5565*AG5567))</f>
        <v>4.4982928253092727</v>
      </c>
      <c r="AH5572" s="133"/>
      <c r="AI5572" s="155"/>
      <c r="AJ5572" s="143">
        <f>AJ5563/((N_6*AJ$27*0.667)*SQRT(AJ5573*AJ5565*AJ5567))</f>
        <v>3.7834024468442187</v>
      </c>
      <c r="AK5572" s="133"/>
      <c r="AL5572" s="155"/>
      <c r="AM5572" s="143">
        <f>AM5563/((N_6*AM$27*0.667)*SQRT(AM5573*AM5565*AM5567))</f>
        <v>3.5775626263382696</v>
      </c>
      <c r="AN5572" s="133"/>
      <c r="AO5572" s="155"/>
      <c r="AP5572" s="143">
        <f>AP5563/((N_6*AP$27*0.667)*SQRT(AP5573*AP5565*AP5567))</f>
        <v>3.3102328089145852</v>
      </c>
      <c r="AQ5572" s="133"/>
      <c r="AR5572" s="155"/>
      <c r="AS5572" s="143">
        <f>AS5563/((N_6*AS$27*0.667)*SQRT(AS5573*AS5565*AS5567))</f>
        <v>4.8022652027696422</v>
      </c>
      <c r="AT5572" s="133"/>
      <c r="AU5572" s="155"/>
    </row>
    <row r="5573" spans="15:47" ht="15.5" x14ac:dyDescent="0.4">
      <c r="O5573" s="2" t="s">
        <v>192</v>
      </c>
      <c r="P5573" s="85">
        <v>10</v>
      </c>
      <c r="Q5573" s="2"/>
      <c r="R5573" s="181">
        <f>F_GAMMA*R$29</f>
        <v>0.64002688015162901</v>
      </c>
      <c r="S5573" s="133"/>
      <c r="T5573" s="155"/>
      <c r="U5573" s="138">
        <f>F_GAMMA*U$29</f>
        <v>0.64016782916606918</v>
      </c>
      <c r="V5573" s="133"/>
      <c r="W5573" s="155"/>
      <c r="X5573" s="138">
        <f>F_GAMMA*X$29</f>
        <v>0.6307062319203669</v>
      </c>
      <c r="Y5573" s="133"/>
      <c r="Z5573" s="155"/>
      <c r="AA5573" s="138">
        <f>F_GAMMA*AA$29</f>
        <v>0.62217534213893466</v>
      </c>
      <c r="AB5573" s="133"/>
      <c r="AC5573" s="155"/>
      <c r="AD5573" s="138">
        <f>F_GAMMA*AD$29</f>
        <v>0.60557184969146072</v>
      </c>
      <c r="AE5573" s="133"/>
      <c r="AF5573" s="155"/>
      <c r="AG5573" s="138">
        <f>F_GAMMA*AG$29</f>
        <v>0.57289312142622573</v>
      </c>
      <c r="AH5573" s="133"/>
      <c r="AI5573" s="155"/>
      <c r="AJ5573" s="138">
        <f>F_GAMMA*AJ$29</f>
        <v>0.53590819116049981</v>
      </c>
      <c r="AK5573" s="133"/>
      <c r="AL5573" s="155"/>
      <c r="AM5573" s="138">
        <f>F_GAMMA*AM$29</f>
        <v>0.49048815926850342</v>
      </c>
      <c r="AN5573" s="133"/>
      <c r="AO5573" s="155"/>
      <c r="AP5573" s="138">
        <f>F_GAMMA*AP$29</f>
        <v>0.59352979016280105</v>
      </c>
      <c r="AQ5573" s="133"/>
      <c r="AR5573" s="155"/>
      <c r="AS5573" s="138">
        <f>F_GAMMA*AS$29</f>
        <v>0.39097221161068291</v>
      </c>
      <c r="AT5573" s="133"/>
      <c r="AU5573" s="155"/>
    </row>
    <row r="5574" spans="15:47" x14ac:dyDescent="0.25">
      <c r="O5574" s="2" t="s">
        <v>193</v>
      </c>
      <c r="P5574" s="134"/>
      <c r="Q5574" s="2"/>
      <c r="R5574" s="181">
        <f>IF(R5569&lt;R5573,R5571,R5572)</f>
        <v>54.149351932213321</v>
      </c>
      <c r="S5574" s="133"/>
      <c r="T5574" s="155"/>
      <c r="U5574" s="138">
        <f>IF(U5569&lt;U5573,U5571,U5572)</f>
        <v>82.262564442207733</v>
      </c>
      <c r="V5574" s="133"/>
      <c r="W5574" s="155"/>
      <c r="X5574" s="138">
        <f>IF(X5569&lt;X5573,X5571,X5572)</f>
        <v>19.926195946387313</v>
      </c>
      <c r="Y5574" s="133"/>
      <c r="Z5574" s="155"/>
      <c r="AA5574" s="138">
        <f>IF(AA5569&lt;AA5573,AA5571,AA5572)</f>
        <v>9.7866421723821873</v>
      </c>
      <c r="AB5574" s="133"/>
      <c r="AC5574" s="155"/>
      <c r="AD5574" s="138">
        <f>IF(AD5569&lt;AD5573,AD5571,AD5572)</f>
        <v>6.0283485953869338</v>
      </c>
      <c r="AE5574" s="133"/>
      <c r="AF5574" s="155"/>
      <c r="AG5574" s="138">
        <f>IF(AG5569&lt;AG5573,AG5571,AG5572)</f>
        <v>4.4982928253092727</v>
      </c>
      <c r="AH5574" s="133"/>
      <c r="AI5574" s="155"/>
      <c r="AJ5574" s="138">
        <f>IF(AJ5569&lt;AJ5573,AJ5571,AJ5572)</f>
        <v>3.7834024468442187</v>
      </c>
      <c r="AK5574" s="133"/>
      <c r="AL5574" s="155"/>
      <c r="AM5574" s="138">
        <f>IF(AM5569&lt;AM5573,AM5571,AM5572)</f>
        <v>3.5775626263382696</v>
      </c>
      <c r="AN5574" s="133"/>
      <c r="AO5574" s="155"/>
      <c r="AP5574" s="138">
        <f>IF(AP5569&lt;AP5573,AP5571,AP5572)</f>
        <v>3.3102328089145852</v>
      </c>
      <c r="AQ5574" s="133"/>
      <c r="AR5574" s="155"/>
      <c r="AS5574" s="138">
        <f>IF(AS5569&lt;AS5573,AS5571,AS5572)</f>
        <v>4.8022652027696422</v>
      </c>
      <c r="AT5574" s="133"/>
      <c r="AU5574" s="155"/>
    </row>
    <row r="5575" spans="15:47" ht="13" x14ac:dyDescent="0.3">
      <c r="O5575" s="9" t="s">
        <v>194</v>
      </c>
      <c r="P5575" s="1"/>
      <c r="Q5575" s="1"/>
      <c r="R5575" s="135"/>
      <c r="S5575" s="132">
        <f>IF(R5568&lt;=0,W_max,ABS(R$23-R5574))</f>
        <v>7174</v>
      </c>
      <c r="T5575" s="151">
        <f>R5563</f>
        <v>28567.572132182275</v>
      </c>
      <c r="U5575" s="135"/>
      <c r="V5575" s="132">
        <f>IF(U5568&lt;=0,W_max,ABS(U$23-U5574))</f>
        <v>7174</v>
      </c>
      <c r="W5575" s="151">
        <f>U5563</f>
        <v>23658.121088615346</v>
      </c>
      <c r="X5575" s="135"/>
      <c r="Y5575" s="132">
        <f>IF(X5568&lt;=0,W_max,ABS(X$23-X5574))</f>
        <v>7174</v>
      </c>
      <c r="Z5575" s="151">
        <f>X5563</f>
        <v>58509.348801557579</v>
      </c>
      <c r="AA5575" s="135"/>
      <c r="AB5575" s="132">
        <f>IF(AA5568&lt;=0,W_max,ABS(AA$23-AA5574))</f>
        <v>7174</v>
      </c>
      <c r="AC5575" s="151">
        <f>AA5563</f>
        <v>113961.27722251465</v>
      </c>
      <c r="AD5575" s="135"/>
      <c r="AE5575" s="132">
        <f>IF(AD5568&lt;=0,W_max,ABS(AD$23-AD5574))</f>
        <v>7174</v>
      </c>
      <c r="AF5575" s="151">
        <f>AD5563</f>
        <v>187424.34297812008</v>
      </c>
      <c r="AG5575" s="135"/>
      <c r="AH5575" s="132">
        <f>IF(AG5568&lt;=0,W_max,ABS(AG$23-AG5574))</f>
        <v>7174</v>
      </c>
      <c r="AI5575" s="151">
        <f>AG5563</f>
        <v>262877.07010906405</v>
      </c>
      <c r="AJ5575" s="135"/>
      <c r="AK5575" s="132">
        <f>IF(AJ5568&lt;=0,W_max,ABS(AJ$23-AJ5574))</f>
        <v>7174</v>
      </c>
      <c r="AL5575" s="151">
        <f>AJ5563</f>
        <v>333784.12422203203</v>
      </c>
      <c r="AM5575" s="135"/>
      <c r="AN5575" s="132">
        <f>IF(AM5568&lt;=0,W_max,ABS(AM$23-AM5574))</f>
        <v>7174</v>
      </c>
      <c r="AO5575" s="151">
        <f>AM5563</f>
        <v>391388.13607731392</v>
      </c>
      <c r="AP5575" s="135"/>
      <c r="AQ5575" s="132">
        <f>IF(AP5568&lt;=0,W_max,ABS(AP$23-AP5574))</f>
        <v>7174</v>
      </c>
      <c r="AR5575" s="151">
        <f>AP5563</f>
        <v>436659.35468179674</v>
      </c>
      <c r="AS5575" s="135"/>
      <c r="AT5575" s="132">
        <f>IF(AS5568&lt;=0,W_max,ABS(AS$23-AS5574))</f>
        <v>7174</v>
      </c>
      <c r="AU5575" s="151">
        <f>AS5563</f>
        <v>487167.02029378427</v>
      </c>
    </row>
    <row r="5576" spans="15:47" ht="13" x14ac:dyDescent="0.25">
      <c r="O5576" s="2"/>
      <c r="P5576" s="85"/>
      <c r="Q5576" s="2"/>
      <c r="R5576" s="18"/>
      <c r="S5576" s="150"/>
      <c r="T5576" s="148"/>
      <c r="U5576" s="157"/>
      <c r="V5576" s="1"/>
      <c r="W5576" s="147"/>
      <c r="X5576" s="157"/>
      <c r="Y5576" s="1"/>
      <c r="Z5576" s="147"/>
      <c r="AA5576" s="157"/>
      <c r="AB5576" s="1"/>
      <c r="AC5576" s="147"/>
      <c r="AD5576" s="157"/>
      <c r="AE5576" s="1"/>
      <c r="AF5576" s="147"/>
      <c r="AG5576" s="157"/>
      <c r="AH5576" s="1"/>
      <c r="AI5576" s="147"/>
      <c r="AJ5576" s="157"/>
      <c r="AK5576" s="1"/>
      <c r="AL5576" s="147"/>
      <c r="AM5576" s="157"/>
      <c r="AN5576" s="1"/>
      <c r="AO5576" s="147"/>
      <c r="AP5576" s="157"/>
      <c r="AQ5576" s="1"/>
      <c r="AR5576" s="147"/>
      <c r="AS5576" s="157"/>
      <c r="AT5576" s="1"/>
      <c r="AU5576" s="147"/>
    </row>
    <row r="5577" spans="15:47" ht="14" x14ac:dyDescent="0.3">
      <c r="O5577" s="23" t="s">
        <v>238</v>
      </c>
      <c r="P5577" s="20"/>
      <c r="Q5577" s="20"/>
      <c r="R5577" s="181">
        <f>R5563*1.02</f>
        <v>29138.92357482592</v>
      </c>
      <c r="S5577" s="128" t="s">
        <v>185</v>
      </c>
      <c r="T5577" s="149" t="s">
        <v>186</v>
      </c>
      <c r="U5577" s="143">
        <f>U5563*1.01</f>
        <v>23894.7022995015</v>
      </c>
      <c r="V5577" s="128" t="s">
        <v>185</v>
      </c>
      <c r="W5577" s="153" t="s">
        <v>186</v>
      </c>
      <c r="X5577" s="143">
        <f>X5563*1.01</f>
        <v>59094.442289573155</v>
      </c>
      <c r="Y5577" s="128" t="s">
        <v>185</v>
      </c>
      <c r="Z5577" s="153" t="s">
        <v>186</v>
      </c>
      <c r="AA5577" s="143">
        <f>AA5563*1.01</f>
        <v>115100.88999473979</v>
      </c>
      <c r="AB5577" s="128" t="s">
        <v>185</v>
      </c>
      <c r="AC5577" s="153" t="s">
        <v>186</v>
      </c>
      <c r="AD5577" s="143">
        <f>AD5563*1.01</f>
        <v>189298.58640790128</v>
      </c>
      <c r="AE5577" s="128" t="s">
        <v>185</v>
      </c>
      <c r="AF5577" s="153" t="s">
        <v>186</v>
      </c>
      <c r="AG5577" s="143">
        <f>AG5563*1.01</f>
        <v>265505.84081015468</v>
      </c>
      <c r="AH5577" s="128" t="s">
        <v>185</v>
      </c>
      <c r="AI5577" s="153" t="s">
        <v>186</v>
      </c>
      <c r="AJ5577" s="143">
        <f>AJ5563*1.01</f>
        <v>337121.96546425234</v>
      </c>
      <c r="AK5577" s="128" t="s">
        <v>185</v>
      </c>
      <c r="AL5577" s="153" t="s">
        <v>186</v>
      </c>
      <c r="AM5577" s="143">
        <f>AM5563*1.01</f>
        <v>395302.01743808703</v>
      </c>
      <c r="AN5577" s="128" t="s">
        <v>185</v>
      </c>
      <c r="AO5577" s="153" t="s">
        <v>186</v>
      </c>
      <c r="AP5577" s="143">
        <f>AP5563*1.01</f>
        <v>441025.9482286147</v>
      </c>
      <c r="AQ5577" s="128" t="s">
        <v>185</v>
      </c>
      <c r="AR5577" s="153" t="s">
        <v>186</v>
      </c>
      <c r="AS5577" s="143">
        <f>AS5563*1.01</f>
        <v>492038.69049672212</v>
      </c>
      <c r="AT5577" s="128" t="s">
        <v>185</v>
      </c>
      <c r="AU5577" s="153" t="s">
        <v>186</v>
      </c>
    </row>
    <row r="5578" spans="15:47" ht="14" x14ac:dyDescent="0.3">
      <c r="O5578" s="20"/>
      <c r="P5578" s="20"/>
      <c r="Q5578" s="23"/>
      <c r="R5578" s="139"/>
      <c r="S5578" s="130" t="s">
        <v>228</v>
      </c>
      <c r="T5578" s="131" t="s">
        <v>187</v>
      </c>
      <c r="U5578" s="144"/>
      <c r="V5578" s="130" t="s">
        <v>228</v>
      </c>
      <c r="W5578" s="154" t="s">
        <v>187</v>
      </c>
      <c r="X5578" s="144"/>
      <c r="Y5578" s="130" t="s">
        <v>228</v>
      </c>
      <c r="Z5578" s="154" t="s">
        <v>187</v>
      </c>
      <c r="AA5578" s="144"/>
      <c r="AB5578" s="130" t="s">
        <v>228</v>
      </c>
      <c r="AC5578" s="154" t="s">
        <v>187</v>
      </c>
      <c r="AD5578" s="144"/>
      <c r="AE5578" s="130" t="s">
        <v>228</v>
      </c>
      <c r="AF5578" s="154" t="s">
        <v>187</v>
      </c>
      <c r="AG5578" s="144"/>
      <c r="AH5578" s="130" t="s">
        <v>228</v>
      </c>
      <c r="AI5578" s="154" t="s">
        <v>187</v>
      </c>
      <c r="AJ5578" s="144"/>
      <c r="AK5578" s="130" t="s">
        <v>228</v>
      </c>
      <c r="AL5578" s="154" t="s">
        <v>187</v>
      </c>
      <c r="AM5578" s="144"/>
      <c r="AN5578" s="130" t="s">
        <v>228</v>
      </c>
      <c r="AO5578" s="154" t="s">
        <v>187</v>
      </c>
      <c r="AP5578" s="144"/>
      <c r="AQ5578" s="130" t="s">
        <v>228</v>
      </c>
      <c r="AR5578" s="154" t="s">
        <v>187</v>
      </c>
      <c r="AS5578" s="144"/>
      <c r="AT5578" s="130" t="s">
        <v>228</v>
      </c>
      <c r="AU5578" s="154" t="s">
        <v>187</v>
      </c>
    </row>
    <row r="5579" spans="15:47" x14ac:dyDescent="0.25">
      <c r="O5579" s="7" t="s">
        <v>188</v>
      </c>
      <c r="P5579" s="7"/>
      <c r="Q5579" s="7"/>
      <c r="R5579" s="181">
        <f>P_1_minW-(R5577^2*R_up)+dpup_minQ</f>
        <v>-238.05666413654106</v>
      </c>
      <c r="S5579" s="132"/>
      <c r="T5579" s="145"/>
      <c r="U5579" s="138">
        <f>P_1_minW-(U5577^2*R_up)+dpup_minQ</f>
        <v>-127.15299460142357</v>
      </c>
      <c r="V5579" s="132"/>
      <c r="W5579" s="145"/>
      <c r="X5579" s="138">
        <f>P_1_minW-(X5577^2*R_up)+dpup_minQ</f>
        <v>-1292.0146006310256</v>
      </c>
      <c r="Y5579" s="132"/>
      <c r="Z5579" s="145"/>
      <c r="AA5579" s="138">
        <f>P_1_minW-(AA5577^2*R_up)+dpup_minQ</f>
        <v>-5182.3597084904195</v>
      </c>
      <c r="AB5579" s="132"/>
      <c r="AC5579" s="145"/>
      <c r="AD5579" s="138">
        <f>P_1_minW-(AD5577^2*R_up)+dpup_minQ</f>
        <v>-14188.69084556258</v>
      </c>
      <c r="AE5579" s="132"/>
      <c r="AF5579" s="145"/>
      <c r="AG5579" s="138">
        <f>P_1_minW-(AG5577^2*R_up)+dpup_minQ</f>
        <v>-28009.535521737176</v>
      </c>
      <c r="AH5579" s="132"/>
      <c r="AI5579" s="145"/>
      <c r="AJ5579" s="138">
        <f>P_1_minW-(AJ5577^2*R_up)+dpup_minQ</f>
        <v>-45219.246263359564</v>
      </c>
      <c r="AK5579" s="132"/>
      <c r="AL5579" s="145"/>
      <c r="AM5579" s="138">
        <f>P_1_minW-(AM5577^2*R_up)+dpup_minQ</f>
        <v>-62211.471221875319</v>
      </c>
      <c r="AN5579" s="132"/>
      <c r="AO5579" s="145"/>
      <c r="AP5579" s="138">
        <f>P_1_minW-(AP5577^2*R_up)+dpup_minQ</f>
        <v>-77460.204408487058</v>
      </c>
      <c r="AQ5579" s="132"/>
      <c r="AR5579" s="145"/>
      <c r="AS5579" s="138">
        <f>P_1_minW-(AS5577^2*R_up)+dpup_minQ</f>
        <v>-96440.544446972912</v>
      </c>
      <c r="AT5579" s="132"/>
      <c r="AU5579" s="145"/>
    </row>
    <row r="5580" spans="15:47" x14ac:dyDescent="0.25">
      <c r="O5580" s="7" t="s">
        <v>189</v>
      </c>
      <c r="P5580" s="1"/>
      <c r="Q5580" s="7"/>
      <c r="R5580" s="181">
        <f>P_2_minW+(R5577^2*R_dn)-dpdn_minQ</f>
        <v>50</v>
      </c>
      <c r="S5580" s="132"/>
      <c r="T5580" s="146"/>
      <c r="U5580" s="138">
        <f>P_2_minW+(U5577^2*R_dn)-dpdn_minQ</f>
        <v>50</v>
      </c>
      <c r="V5580" s="132"/>
      <c r="W5580" s="146"/>
      <c r="X5580" s="138">
        <f>P_2_minW+(X5577^2*R_dn)-dpdn_minQ</f>
        <v>50</v>
      </c>
      <c r="Y5580" s="132"/>
      <c r="Z5580" s="146"/>
      <c r="AA5580" s="138">
        <f>P_2_minW+(AA5577^2*R_dn)-dpdn_minQ</f>
        <v>50</v>
      </c>
      <c r="AB5580" s="132"/>
      <c r="AC5580" s="146"/>
      <c r="AD5580" s="138">
        <f>P_2_minW+(AD5577^2*R_dn)-dpdn_minQ</f>
        <v>50</v>
      </c>
      <c r="AE5580" s="132"/>
      <c r="AF5580" s="146"/>
      <c r="AG5580" s="138">
        <f>P_2_minW+(AG5577^2*R_dn)-dpdn_minQ</f>
        <v>50</v>
      </c>
      <c r="AH5580" s="132"/>
      <c r="AI5580" s="146"/>
      <c r="AJ5580" s="138">
        <f>P_2_minW+(AJ5577^2*R_dn)-dpdn_minQ</f>
        <v>50</v>
      </c>
      <c r="AK5580" s="132"/>
      <c r="AL5580" s="146"/>
      <c r="AM5580" s="138">
        <f>P_2_minW+(AM5577^2*R_dn)-dpdn_minQ</f>
        <v>50</v>
      </c>
      <c r="AN5580" s="132"/>
      <c r="AO5580" s="146"/>
      <c r="AP5580" s="138">
        <f>P_2_minW+(AP5577^2*R_dn)-dpdn_minQ</f>
        <v>50</v>
      </c>
      <c r="AQ5580" s="132"/>
      <c r="AR5580" s="146"/>
      <c r="AS5580" s="138">
        <f>P_2_minW+(AS5577^2*R_dn)-dpdn_minQ</f>
        <v>50</v>
      </c>
      <c r="AT5580" s="132"/>
      <c r="AU5580" s="146"/>
    </row>
    <row r="5581" spans="15:47" x14ac:dyDescent="0.25">
      <c r="O5581" s="7" t="s">
        <v>234</v>
      </c>
      <c r="P5581" s="1"/>
      <c r="Q5581" s="7"/>
      <c r="R5581" s="179">
        <f>'Valve Sizing'!G$8*R5579/P_1_maxW</f>
        <v>-1.1483429644179701</v>
      </c>
      <c r="S5581" s="132"/>
      <c r="T5581" s="146"/>
      <c r="U5581" s="143">
        <f>'Valve Sizing'!$G$8*U5579/P_1_maxW</f>
        <v>-0.61336340776190823</v>
      </c>
      <c r="V5581" s="132"/>
      <c r="W5581" s="146"/>
      <c r="X5581" s="143">
        <f>'Valve Sizing'!$G$8*X5579/P_1_maxW</f>
        <v>-6.2324484044225139</v>
      </c>
      <c r="Y5581" s="132"/>
      <c r="Z5581" s="146"/>
      <c r="AA5581" s="143">
        <f>'Valve Sizing'!$G$8*AA5579/P_1_maxW</f>
        <v>-24.998780571480978</v>
      </c>
      <c r="AB5581" s="132"/>
      <c r="AC5581" s="146"/>
      <c r="AD5581" s="143">
        <f>'Valve Sizing'!$G$8*AD5579/P_1_maxW</f>
        <v>-68.443718498290266</v>
      </c>
      <c r="AE5581" s="132"/>
      <c r="AF5581" s="146"/>
      <c r="AG5581" s="143">
        <f>'Valve Sizing'!$G$8*AG5579/P_1_maxW</f>
        <v>-135.11301256642673</v>
      </c>
      <c r="AH5581" s="132"/>
      <c r="AI5581" s="146"/>
      <c r="AJ5581" s="143">
        <f>'Valve Sizing'!$G$8*AJ5579/P_1_maxW</f>
        <v>-218.12959318386856</v>
      </c>
      <c r="AK5581" s="132"/>
      <c r="AL5581" s="146"/>
      <c r="AM5581" s="143">
        <f>'Valve Sizing'!$G$8*AM5579/P_1_maxW</f>
        <v>-300.09706110456108</v>
      </c>
      <c r="AN5581" s="132"/>
      <c r="AO5581" s="146"/>
      <c r="AP5581" s="143">
        <f>'Valve Sizing'!$G$8*AP5579/P_1_maxW</f>
        <v>-373.65423512716615</v>
      </c>
      <c r="AQ5581" s="132"/>
      <c r="AR5581" s="146"/>
      <c r="AS5581" s="143">
        <f>'Valve Sizing'!$G$8*AS5579/P_1_maxW</f>
        <v>-465.21201623156128</v>
      </c>
      <c r="AT5581" s="132"/>
      <c r="AU5581" s="146"/>
    </row>
    <row r="5582" spans="15:47" x14ac:dyDescent="0.25">
      <c r="O5582" s="7" t="s">
        <v>190</v>
      </c>
      <c r="P5582" s="1"/>
      <c r="Q5582" s="7"/>
      <c r="R5582" s="181">
        <f>R5579-R5580</f>
        <v>-288.05666413654103</v>
      </c>
      <c r="S5582" s="132"/>
      <c r="T5582" s="146"/>
      <c r="U5582" s="138">
        <f>U5579-U5580</f>
        <v>-177.15299460142359</v>
      </c>
      <c r="V5582" s="132"/>
      <c r="W5582" s="146"/>
      <c r="X5582" s="138">
        <f>X5579-X5580</f>
        <v>-1342.0146006310256</v>
      </c>
      <c r="Y5582" s="132"/>
      <c r="Z5582" s="146"/>
      <c r="AA5582" s="138">
        <f>AA5579-AA5580</f>
        <v>-5232.3597084904195</v>
      </c>
      <c r="AB5582" s="132"/>
      <c r="AC5582" s="146"/>
      <c r="AD5582" s="138">
        <f>AD5579-AD5580</f>
        <v>-14238.69084556258</v>
      </c>
      <c r="AE5582" s="132"/>
      <c r="AF5582" s="146"/>
      <c r="AG5582" s="138">
        <f>AG5579-AG5580</f>
        <v>-28059.535521737176</v>
      </c>
      <c r="AH5582" s="132"/>
      <c r="AI5582" s="146"/>
      <c r="AJ5582" s="138">
        <f>AJ5579-AJ5580</f>
        <v>-45269.246263359564</v>
      </c>
      <c r="AK5582" s="132"/>
      <c r="AL5582" s="146"/>
      <c r="AM5582" s="138">
        <f>AM5579-AM5580</f>
        <v>-62261.471221875319</v>
      </c>
      <c r="AN5582" s="132"/>
      <c r="AO5582" s="146"/>
      <c r="AP5582" s="138">
        <f>AP5579-AP5580</f>
        <v>-77510.204408487058</v>
      </c>
      <c r="AQ5582" s="132"/>
      <c r="AR5582" s="146"/>
      <c r="AS5582" s="138">
        <f>AS5579-AS5580</f>
        <v>-96490.544446972912</v>
      </c>
      <c r="AT5582" s="132"/>
      <c r="AU5582" s="146"/>
    </row>
    <row r="5583" spans="15:47" ht="14.5" x14ac:dyDescent="0.35">
      <c r="O5583" s="2" t="s">
        <v>191</v>
      </c>
      <c r="P5583" s="10"/>
      <c r="Q5583" s="2"/>
      <c r="R5583" s="181">
        <f>R5582/R5579</f>
        <v>1.2100340277444268</v>
      </c>
      <c r="S5583" s="132"/>
      <c r="T5583" s="146"/>
      <c r="U5583" s="138">
        <f>U5582/U5579</f>
        <v>1.3932270738627199</v>
      </c>
      <c r="V5583" s="132"/>
      <c r="W5583" s="146"/>
      <c r="X5583" s="138">
        <f>X5582/X5579</f>
        <v>1.0386992530700347</v>
      </c>
      <c r="Y5583" s="132"/>
      <c r="Z5583" s="146"/>
      <c r="AA5583" s="138">
        <f>AA5582/AA5579</f>
        <v>1.0096481145293876</v>
      </c>
      <c r="AB5583" s="132"/>
      <c r="AC5583" s="146"/>
      <c r="AD5583" s="138">
        <f>AD5582/AD5579</f>
        <v>1.0035239332891404</v>
      </c>
      <c r="AE5583" s="132"/>
      <c r="AF5583" s="146"/>
      <c r="AG5583" s="138">
        <f>AG5582/AG5579</f>
        <v>1.0017851063599821</v>
      </c>
      <c r="AH5583" s="132"/>
      <c r="AI5583" s="146"/>
      <c r="AJ5583" s="138">
        <f>AJ5582/AJ5579</f>
        <v>1.001105723870513</v>
      </c>
      <c r="AK5583" s="132"/>
      <c r="AL5583" s="146"/>
      <c r="AM5583" s="138">
        <f>AM5582/AM5579</f>
        <v>1.0008037102967984</v>
      </c>
      <c r="AN5583" s="132"/>
      <c r="AO5583" s="146"/>
      <c r="AP5583" s="138">
        <f>AP5582/AP5579</f>
        <v>1.0006454927453627</v>
      </c>
      <c r="AQ5583" s="132"/>
      <c r="AR5583" s="146"/>
      <c r="AS5583" s="138">
        <f>AS5582/AS5579</f>
        <v>1.0005184541448486</v>
      </c>
      <c r="AT5583" s="132"/>
      <c r="AU5583" s="146"/>
    </row>
    <row r="5584" spans="15:47" x14ac:dyDescent="0.25">
      <c r="O5584" s="2" t="s">
        <v>26</v>
      </c>
      <c r="P5584" s="7">
        <v>12</v>
      </c>
      <c r="Q5584" s="2"/>
      <c r="R5584" s="181">
        <f>1-R5583/(3*F_GAMMA*R$29)</f>
        <v>0.36980041241509665</v>
      </c>
      <c r="S5584" s="133"/>
      <c r="T5584" s="146"/>
      <c r="U5584" s="138">
        <f>1-U5583/(3*F_GAMMA*U$29)</f>
        <v>0.27455113571408174</v>
      </c>
      <c r="V5584" s="133"/>
      <c r="W5584" s="146"/>
      <c r="X5584" s="138">
        <f>1-X5583/(3*F_GAMMA*X$29)</f>
        <v>0.4510390625085916</v>
      </c>
      <c r="Y5584" s="133"/>
      <c r="Z5584" s="146"/>
      <c r="AA5584" s="138">
        <f>1-AA5583/(3*F_GAMMA*AA$29)</f>
        <v>0.45907632669466536</v>
      </c>
      <c r="AB5584" s="133"/>
      <c r="AC5584" s="146"/>
      <c r="AD5584" s="138">
        <f>1-AD5583/(3*F_GAMMA*AD$29)</f>
        <v>0.44761636801070126</v>
      </c>
      <c r="AE5584" s="133"/>
      <c r="AF5584" s="146"/>
      <c r="AG5584" s="138">
        <f>1-AG5583/(3*F_GAMMA*AG$29)</f>
        <v>0.4171192561095145</v>
      </c>
      <c r="AH5584" s="133"/>
      <c r="AI5584" s="146"/>
      <c r="AJ5584" s="138">
        <f>1-AJ5583/(3*F_GAMMA*AJ$29)</f>
        <v>0.37731515684764583</v>
      </c>
      <c r="AK5584" s="133"/>
      <c r="AL5584" s="146"/>
      <c r="AM5584" s="138">
        <f>1-AM5583/(3*F_GAMMA*AM$29)</f>
        <v>0.3198587357070547</v>
      </c>
      <c r="AN5584" s="133"/>
      <c r="AO5584" s="146"/>
      <c r="AP5584" s="138">
        <f>1-AP5583/(3*F_GAMMA*AP$29)</f>
        <v>0.43802568445587609</v>
      </c>
      <c r="AQ5584" s="133"/>
      <c r="AR5584" s="146"/>
      <c r="AS5584" s="138">
        <f>1-AS5583/(3*F_GAMMA*AS$29)</f>
        <v>0.14698246709740459</v>
      </c>
      <c r="AT5584" s="133"/>
      <c r="AU5584" s="146"/>
    </row>
    <row r="5585" spans="15:47" x14ac:dyDescent="0.25">
      <c r="O5585" s="2" t="s">
        <v>71</v>
      </c>
      <c r="P5585" s="85">
        <v>5</v>
      </c>
      <c r="Q5585" s="2"/>
      <c r="R5585" s="179">
        <f>R5577/((N_6*R$27*R5584)*SQRT(R5583*R5579*R5581))</f>
        <v>68.450888921523344</v>
      </c>
      <c r="S5585" s="133"/>
      <c r="T5585" s="146"/>
      <c r="U5585" s="143">
        <f>U5577/((N_6*U$27*U5584)*SQRT(U5583*U5579*U5581))</f>
        <v>131.99665075662969</v>
      </c>
      <c r="V5585" s="133"/>
      <c r="W5585" s="146"/>
      <c r="X5585" s="143">
        <f>X5577/((N_6*X$27*X5584)*SQRT(X5583*X5579*X5581))</f>
        <v>22.698839415577673</v>
      </c>
      <c r="Y5585" s="133"/>
      <c r="Z5585" s="146"/>
      <c r="AA5585" s="143">
        <f>AA5577/((N_6*AA$27*AA5584)*SQRT(AA5583*AA5579*AA5581))</f>
        <v>11.047278268135695</v>
      </c>
      <c r="AB5585" s="133"/>
      <c r="AC5585" s="146"/>
      <c r="AD5585" s="143">
        <f>AD5577/((N_6*AD$27*AD5584)*SQRT(AD5583*AD5579*AD5581))</f>
        <v>6.9080262932378522</v>
      </c>
      <c r="AE5585" s="133"/>
      <c r="AF5585" s="146"/>
      <c r="AG5585" s="143">
        <f>AG5577/((N_6*AG$27*AG5584)*SQRT(AG5583*AG5579*AG5581))</f>
        <v>5.3853028699916834</v>
      </c>
      <c r="AH5585" s="133"/>
      <c r="AI5585" s="146"/>
      <c r="AJ5585" s="143">
        <f>AJ5577/((N_6*AJ$27*AJ5584)*SQRT(AJ5583*AJ5579*AJ5581))</f>
        <v>4.8447187356512247</v>
      </c>
      <c r="AK5585" s="133"/>
      <c r="AL5585" s="146"/>
      <c r="AM5585" s="143">
        <f>AM5577/((N_6*AM$27*AM5584)*SQRT(AM5583*AM5579*AM5581))</f>
        <v>5.1708173098076653</v>
      </c>
      <c r="AN5585" s="133"/>
      <c r="AO5585" s="146"/>
      <c r="AP5585" s="143">
        <f>AP5577/((N_6*AP$27*AP5584)*SQRT(AP5583*AP5579*AP5581))</f>
        <v>3.8435561735064137</v>
      </c>
      <c r="AQ5585" s="133"/>
      <c r="AR5585" s="146"/>
      <c r="AS5585" s="143">
        <f>AS5577/((N_6*AS$27*AS5584)*SQRT(AS5583*AS5579*AS5581))</f>
        <v>13.487652320340231</v>
      </c>
      <c r="AT5585" s="133"/>
      <c r="AU5585" s="146"/>
    </row>
    <row r="5586" spans="15:47" x14ac:dyDescent="0.25">
      <c r="O5586" s="2" t="s">
        <v>73</v>
      </c>
      <c r="P5586" s="85">
        <v>5</v>
      </c>
      <c r="Q5586" s="2"/>
      <c r="R5586" s="179">
        <f>R5577/((N_6*R$27*0.667)*SQRT(R5587*R5579*R5581))</f>
        <v>52.181953600826084</v>
      </c>
      <c r="S5586" s="133"/>
      <c r="T5586" s="147"/>
      <c r="U5586" s="143">
        <f>U5577/((N_6*U$27*0.667)*SQRT(U5587*U5579*U5581))</f>
        <v>80.153843497064997</v>
      </c>
      <c r="V5586" s="133"/>
      <c r="W5586" s="155"/>
      <c r="X5586" s="143">
        <f>X5577/((N_6*X$27*0.667)*SQRT(X5587*X5579*X5581))</f>
        <v>19.69805396432173</v>
      </c>
      <c r="Y5586" s="133"/>
      <c r="Z5586" s="155"/>
      <c r="AA5586" s="143">
        <f>AA5577/((N_6*AA$27*0.667)*SQRT(AA5587*AA5579*AA5581))</f>
        <v>9.6859668694886079</v>
      </c>
      <c r="AB5586" s="133"/>
      <c r="AC5586" s="155"/>
      <c r="AD5586" s="143">
        <f>AD5577/((N_6*AD$27*0.667)*SQRT(AD5587*AD5579*AD5581))</f>
        <v>5.967812021996262</v>
      </c>
      <c r="AE5586" s="133"/>
      <c r="AF5586" s="155"/>
      <c r="AG5586" s="143">
        <f>AG5577/((N_6*AG$27*0.667)*SQRT(AG5587*AG5579*AG5581))</f>
        <v>4.4534339945597079</v>
      </c>
      <c r="AH5586" s="133"/>
      <c r="AI5586" s="155"/>
      <c r="AJ5586" s="143">
        <f>AJ5577/((N_6*AJ$27*0.667)*SQRT(AJ5587*AJ5579*AJ5581))</f>
        <v>3.7457756386579422</v>
      </c>
      <c r="AK5586" s="133"/>
      <c r="AL5586" s="155"/>
      <c r="AM5586" s="143">
        <f>AM5577/((N_6*AM$27*0.667)*SQRT(AM5587*AM5579*AM5581))</f>
        <v>3.5420261723146842</v>
      </c>
      <c r="AN5586" s="133"/>
      <c r="AO5586" s="155"/>
      <c r="AP5586" s="143">
        <f>AP5577/((N_6*AP$27*0.667)*SQRT(AP5587*AP5579*AP5581))</f>
        <v>3.2773727359027456</v>
      </c>
      <c r="AQ5586" s="133"/>
      <c r="AR5586" s="155"/>
      <c r="AS5586" s="143">
        <f>AS5577/((N_6*AS$27*0.667)*SQRT(AS5587*AS5579*AS5581))</f>
        <v>4.7546184073261282</v>
      </c>
      <c r="AT5586" s="133"/>
      <c r="AU5586" s="155"/>
    </row>
    <row r="5587" spans="15:47" ht="15.5" x14ac:dyDescent="0.4">
      <c r="O5587" s="2" t="s">
        <v>192</v>
      </c>
      <c r="P5587" s="85">
        <v>10</v>
      </c>
      <c r="Q5587" s="2"/>
      <c r="R5587" s="181">
        <f>F_GAMMA*R$29</f>
        <v>0.64002688015162901</v>
      </c>
      <c r="S5587" s="133"/>
      <c r="T5587" s="147"/>
      <c r="U5587" s="138">
        <f>F_GAMMA*U$29</f>
        <v>0.64016782916606918</v>
      </c>
      <c r="V5587" s="133"/>
      <c r="W5587" s="155"/>
      <c r="X5587" s="138">
        <f>F_GAMMA*X$29</f>
        <v>0.6307062319203669</v>
      </c>
      <c r="Y5587" s="133"/>
      <c r="Z5587" s="155"/>
      <c r="AA5587" s="138">
        <f>F_GAMMA*AA$29</f>
        <v>0.62217534213893466</v>
      </c>
      <c r="AB5587" s="133"/>
      <c r="AC5587" s="155"/>
      <c r="AD5587" s="138">
        <f>F_GAMMA*AD$29</f>
        <v>0.60557184969146072</v>
      </c>
      <c r="AE5587" s="133"/>
      <c r="AF5587" s="155"/>
      <c r="AG5587" s="138">
        <f>F_GAMMA*AG$29</f>
        <v>0.57289312142622573</v>
      </c>
      <c r="AH5587" s="133"/>
      <c r="AI5587" s="155"/>
      <c r="AJ5587" s="138">
        <f>F_GAMMA*AJ$29</f>
        <v>0.53590819116049981</v>
      </c>
      <c r="AK5587" s="133"/>
      <c r="AL5587" s="155"/>
      <c r="AM5587" s="138">
        <f>F_GAMMA*AM$29</f>
        <v>0.49048815926850342</v>
      </c>
      <c r="AN5587" s="133"/>
      <c r="AO5587" s="155"/>
      <c r="AP5587" s="138">
        <f>F_GAMMA*AP$29</f>
        <v>0.59352979016280105</v>
      </c>
      <c r="AQ5587" s="133"/>
      <c r="AR5587" s="155"/>
      <c r="AS5587" s="138">
        <f>F_GAMMA*AS$29</f>
        <v>0.39097221161068291</v>
      </c>
      <c r="AT5587" s="133"/>
      <c r="AU5587" s="155"/>
    </row>
    <row r="5588" spans="15:47" x14ac:dyDescent="0.25">
      <c r="O5588" s="2" t="s">
        <v>193</v>
      </c>
      <c r="P5588" s="134"/>
      <c r="Q5588" s="2"/>
      <c r="R5588" s="181">
        <f>IF(R5583&lt;R5587,R5585,R5586)</f>
        <v>52.181953600826084</v>
      </c>
      <c r="S5588" s="133"/>
      <c r="T5588" s="147"/>
      <c r="U5588" s="138">
        <f>IF(U5583&lt;U5587,U5585,U5586)</f>
        <v>80.153843497064997</v>
      </c>
      <c r="V5588" s="133"/>
      <c r="W5588" s="155"/>
      <c r="X5588" s="138">
        <f>IF(X5583&lt;X5587,X5585,X5586)</f>
        <v>19.69805396432173</v>
      </c>
      <c r="Y5588" s="133"/>
      <c r="Z5588" s="155"/>
      <c r="AA5588" s="138">
        <f>IF(AA5583&lt;AA5587,AA5585,AA5586)</f>
        <v>9.6859668694886079</v>
      </c>
      <c r="AB5588" s="133"/>
      <c r="AC5588" s="155"/>
      <c r="AD5588" s="138">
        <f>IF(AD5583&lt;AD5587,AD5585,AD5586)</f>
        <v>5.967812021996262</v>
      </c>
      <c r="AE5588" s="133"/>
      <c r="AF5588" s="155"/>
      <c r="AG5588" s="138">
        <f>IF(AG5583&lt;AG5587,AG5585,AG5586)</f>
        <v>4.4534339945597079</v>
      </c>
      <c r="AH5588" s="133"/>
      <c r="AI5588" s="155"/>
      <c r="AJ5588" s="138">
        <f>IF(AJ5583&lt;AJ5587,AJ5585,AJ5586)</f>
        <v>3.7457756386579422</v>
      </c>
      <c r="AK5588" s="133"/>
      <c r="AL5588" s="155"/>
      <c r="AM5588" s="138">
        <f>IF(AM5583&lt;AM5587,AM5585,AM5586)</f>
        <v>3.5420261723146842</v>
      </c>
      <c r="AN5588" s="133"/>
      <c r="AO5588" s="155"/>
      <c r="AP5588" s="138">
        <f>IF(AP5583&lt;AP5587,AP5585,AP5586)</f>
        <v>3.2773727359027456</v>
      </c>
      <c r="AQ5588" s="133"/>
      <c r="AR5588" s="155"/>
      <c r="AS5588" s="138">
        <f>IF(AS5583&lt;AS5587,AS5585,AS5586)</f>
        <v>4.7546184073261282</v>
      </c>
      <c r="AT5588" s="133"/>
      <c r="AU5588" s="155"/>
    </row>
    <row r="5589" spans="15:47" ht="13" x14ac:dyDescent="0.3">
      <c r="O5589" s="9" t="s">
        <v>194</v>
      </c>
      <c r="P5589" s="1"/>
      <c r="Q5589" s="1"/>
      <c r="R5589" s="135"/>
      <c r="S5589" s="132">
        <f>IF(R5582&lt;=0,W_max,ABS(R$23-R5588))</f>
        <v>7174</v>
      </c>
      <c r="T5589" s="151">
        <f>R5577</f>
        <v>29138.92357482592</v>
      </c>
      <c r="U5589" s="135"/>
      <c r="V5589" s="132">
        <f>IF(U5582&lt;=0,W_max,ABS(U$23-U5588))</f>
        <v>7174</v>
      </c>
      <c r="W5589" s="151">
        <f>U5577</f>
        <v>23894.7022995015</v>
      </c>
      <c r="X5589" s="135"/>
      <c r="Y5589" s="132">
        <f>IF(X5582&lt;=0,W_max,ABS(X$23-X5588))</f>
        <v>7174</v>
      </c>
      <c r="Z5589" s="151">
        <f>X5577</f>
        <v>59094.442289573155</v>
      </c>
      <c r="AA5589" s="135"/>
      <c r="AB5589" s="132">
        <f>IF(AA5582&lt;=0,W_max,ABS(AA$23-AA5588))</f>
        <v>7174</v>
      </c>
      <c r="AC5589" s="151">
        <f>AA5577</f>
        <v>115100.88999473979</v>
      </c>
      <c r="AD5589" s="135"/>
      <c r="AE5589" s="132">
        <f>IF(AD5582&lt;=0,W_max,ABS(AD$23-AD5588))</f>
        <v>7174</v>
      </c>
      <c r="AF5589" s="151">
        <f>AD5577</f>
        <v>189298.58640790128</v>
      </c>
      <c r="AG5589" s="135"/>
      <c r="AH5589" s="132">
        <f>IF(AG5582&lt;=0,W_max,ABS(AG$23-AG5588))</f>
        <v>7174</v>
      </c>
      <c r="AI5589" s="151">
        <f>AG5577</f>
        <v>265505.84081015468</v>
      </c>
      <c r="AJ5589" s="135"/>
      <c r="AK5589" s="132">
        <f>IF(AJ5582&lt;=0,W_max,ABS(AJ$23-AJ5588))</f>
        <v>7174</v>
      </c>
      <c r="AL5589" s="151">
        <f>AJ5577</f>
        <v>337121.96546425234</v>
      </c>
      <c r="AM5589" s="135"/>
      <c r="AN5589" s="132">
        <f>IF(AM5582&lt;=0,W_max,ABS(AM$23-AM5588))</f>
        <v>7174</v>
      </c>
      <c r="AO5589" s="151">
        <f>AM5577</f>
        <v>395302.01743808703</v>
      </c>
      <c r="AP5589" s="135"/>
      <c r="AQ5589" s="132">
        <f>IF(AP5582&lt;=0,W_max,ABS(AP$23-AP5588))</f>
        <v>7174</v>
      </c>
      <c r="AR5589" s="151">
        <f>AP5577</f>
        <v>441025.9482286147</v>
      </c>
      <c r="AS5589" s="135"/>
      <c r="AT5589" s="132">
        <f>IF(AS5582&lt;=0,W_max,ABS(AS$23-AS5588))</f>
        <v>7174</v>
      </c>
      <c r="AU5589" s="151">
        <f>AS5577</f>
        <v>492038.69049672212</v>
      </c>
    </row>
    <row r="5590" spans="15:47" ht="13" x14ac:dyDescent="0.25">
      <c r="O5590" s="12"/>
      <c r="P5590" s="12"/>
      <c r="Q5590" s="12"/>
      <c r="R5590" s="182"/>
      <c r="S5590" s="22"/>
      <c r="T5590" s="152"/>
      <c r="U5590" s="157"/>
      <c r="V5590" s="1"/>
      <c r="W5590" s="147"/>
      <c r="X5590" s="157"/>
      <c r="Y5590" s="1"/>
      <c r="Z5590" s="147"/>
      <c r="AA5590" s="157"/>
      <c r="AB5590" s="1"/>
      <c r="AC5590" s="147"/>
      <c r="AD5590" s="157"/>
      <c r="AE5590" s="1"/>
      <c r="AF5590" s="147"/>
      <c r="AG5590" s="157"/>
      <c r="AH5590" s="1"/>
      <c r="AI5590" s="147"/>
      <c r="AJ5590" s="157"/>
      <c r="AK5590" s="1"/>
      <c r="AL5590" s="147"/>
      <c r="AM5590" s="157"/>
      <c r="AN5590" s="1"/>
      <c r="AO5590" s="147"/>
      <c r="AP5590" s="157"/>
      <c r="AQ5590" s="1"/>
      <c r="AR5590" s="147"/>
      <c r="AS5590" s="157"/>
      <c r="AT5590" s="1"/>
      <c r="AU5590" s="147"/>
    </row>
    <row r="5591" spans="15:47" ht="14" x14ac:dyDescent="0.3">
      <c r="O5591" s="23" t="s">
        <v>238</v>
      </c>
      <c r="P5591" s="20"/>
      <c r="Q5591" s="20"/>
      <c r="R5591" s="18">
        <f>R5577*1.02</f>
        <v>29721.70204632244</v>
      </c>
      <c r="S5591" s="128" t="s">
        <v>185</v>
      </c>
      <c r="T5591" s="153" t="s">
        <v>186</v>
      </c>
      <c r="U5591" s="143">
        <f>U5577*1.01</f>
        <v>24133.649322496516</v>
      </c>
      <c r="V5591" s="128" t="s">
        <v>185</v>
      </c>
      <c r="W5591" s="153" t="s">
        <v>186</v>
      </c>
      <c r="X5591" s="143">
        <f>X5577*1.01</f>
        <v>59685.386712468884</v>
      </c>
      <c r="Y5591" s="128" t="s">
        <v>185</v>
      </c>
      <c r="Z5591" s="153" t="s">
        <v>186</v>
      </c>
      <c r="AA5591" s="143">
        <f>AA5577*1.01</f>
        <v>116251.89889468718</v>
      </c>
      <c r="AB5591" s="128" t="s">
        <v>185</v>
      </c>
      <c r="AC5591" s="153" t="s">
        <v>186</v>
      </c>
      <c r="AD5591" s="143">
        <f>AD5577*1.01</f>
        <v>191191.57227198029</v>
      </c>
      <c r="AE5591" s="128" t="s">
        <v>185</v>
      </c>
      <c r="AF5591" s="153" t="s">
        <v>186</v>
      </c>
      <c r="AG5591" s="143">
        <f>AG5577*1.01</f>
        <v>268160.89921825624</v>
      </c>
      <c r="AH5591" s="128" t="s">
        <v>185</v>
      </c>
      <c r="AI5591" s="153" t="s">
        <v>186</v>
      </c>
      <c r="AJ5591" s="143">
        <f>AJ5577*1.01</f>
        <v>340493.18511889485</v>
      </c>
      <c r="AK5591" s="128" t="s">
        <v>185</v>
      </c>
      <c r="AL5591" s="153" t="s">
        <v>186</v>
      </c>
      <c r="AM5591" s="143">
        <f>AM5577*1.01</f>
        <v>399255.03761246789</v>
      </c>
      <c r="AN5591" s="128" t="s">
        <v>185</v>
      </c>
      <c r="AO5591" s="153" t="s">
        <v>186</v>
      </c>
      <c r="AP5591" s="143">
        <f>AP5577*1.01</f>
        <v>445436.20771090087</v>
      </c>
      <c r="AQ5591" s="128" t="s">
        <v>185</v>
      </c>
      <c r="AR5591" s="153" t="s">
        <v>186</v>
      </c>
      <c r="AS5591" s="143">
        <f>AS5577*1.01</f>
        <v>496959.07740168937</v>
      </c>
      <c r="AT5591" s="128" t="s">
        <v>185</v>
      </c>
      <c r="AU5591" s="153" t="s">
        <v>186</v>
      </c>
    </row>
    <row r="5592" spans="15:47" ht="14" x14ac:dyDescent="0.3">
      <c r="O5592" s="20"/>
      <c r="P5592" s="20"/>
      <c r="Q5592" s="23"/>
      <c r="R5592" s="139"/>
      <c r="S5592" s="130" t="s">
        <v>228</v>
      </c>
      <c r="T5592" s="154" t="s">
        <v>187</v>
      </c>
      <c r="U5592" s="144"/>
      <c r="V5592" s="130" t="s">
        <v>228</v>
      </c>
      <c r="W5592" s="154" t="s">
        <v>187</v>
      </c>
      <c r="X5592" s="144"/>
      <c r="Y5592" s="130" t="s">
        <v>228</v>
      </c>
      <c r="Z5592" s="154" t="s">
        <v>187</v>
      </c>
      <c r="AA5592" s="144"/>
      <c r="AB5592" s="130" t="s">
        <v>228</v>
      </c>
      <c r="AC5592" s="154" t="s">
        <v>187</v>
      </c>
      <c r="AD5592" s="144"/>
      <c r="AE5592" s="130" t="s">
        <v>228</v>
      </c>
      <c r="AF5592" s="154" t="s">
        <v>187</v>
      </c>
      <c r="AG5592" s="144"/>
      <c r="AH5592" s="130" t="s">
        <v>228</v>
      </c>
      <c r="AI5592" s="154" t="s">
        <v>187</v>
      </c>
      <c r="AJ5592" s="144"/>
      <c r="AK5592" s="130" t="s">
        <v>228</v>
      </c>
      <c r="AL5592" s="154" t="s">
        <v>187</v>
      </c>
      <c r="AM5592" s="144"/>
      <c r="AN5592" s="130" t="s">
        <v>228</v>
      </c>
      <c r="AO5592" s="154" t="s">
        <v>187</v>
      </c>
      <c r="AP5592" s="144"/>
      <c r="AQ5592" s="130" t="s">
        <v>228</v>
      </c>
      <c r="AR5592" s="154" t="s">
        <v>187</v>
      </c>
      <c r="AS5592" s="144"/>
      <c r="AT5592" s="130" t="s">
        <v>228</v>
      </c>
      <c r="AU5592" s="154" t="s">
        <v>187</v>
      </c>
    </row>
    <row r="5593" spans="15:47" x14ac:dyDescent="0.25">
      <c r="O5593" s="7" t="s">
        <v>188</v>
      </c>
      <c r="P5593" s="7"/>
      <c r="Q5593" s="7"/>
      <c r="R5593" s="181">
        <f>P_1_minW-(R5591^2*R_up)+dpup_minQ</f>
        <v>-251.73527395182114</v>
      </c>
      <c r="S5593" s="132"/>
      <c r="T5593" s="145"/>
      <c r="U5593" s="138">
        <f>P_1_minW-(U5591^2*R_up)+dpup_minQ</f>
        <v>-131.72927780632045</v>
      </c>
      <c r="V5593" s="132"/>
      <c r="W5593" s="145"/>
      <c r="X5593" s="138">
        <f>P_1_minW-(X5591^2*R_up)+dpup_minQ</f>
        <v>-1320.0046021171174</v>
      </c>
      <c r="Y5593" s="132"/>
      <c r="Z5593" s="145"/>
      <c r="AA5593" s="138">
        <f>P_1_minW-(AA5591^2*R_up)+dpup_minQ</f>
        <v>-5288.5456466444848</v>
      </c>
      <c r="AB5593" s="132"/>
      <c r="AC5593" s="145"/>
      <c r="AD5593" s="138">
        <f>P_1_minW-(AD5591^2*R_up)+dpup_minQ</f>
        <v>-14475.904039571795</v>
      </c>
      <c r="AE5593" s="132"/>
      <c r="AF5593" s="145"/>
      <c r="AG5593" s="138">
        <f>P_1_minW-(AG5591^2*R_up)+dpup_minQ</f>
        <v>-28574.547693737502</v>
      </c>
      <c r="AH5593" s="132"/>
      <c r="AI5593" s="145"/>
      <c r="AJ5593" s="138">
        <f>P_1_minW-(AJ5591^2*R_up)+dpup_minQ</f>
        <v>-46130.173621266498</v>
      </c>
      <c r="AK5593" s="132"/>
      <c r="AL5593" s="145"/>
      <c r="AM5593" s="138">
        <f>P_1_minW-(AM5591^2*R_up)+dpup_minQ</f>
        <v>-63463.942301448413</v>
      </c>
      <c r="AN5593" s="132"/>
      <c r="AO5593" s="145"/>
      <c r="AP5593" s="138">
        <f>P_1_minW-(AP5591^2*R_up)+dpup_minQ</f>
        <v>-79019.175025111079</v>
      </c>
      <c r="AQ5593" s="132"/>
      <c r="AR5593" s="145"/>
      <c r="AS5593" s="138">
        <f>P_1_minW-(AS5591^2*R_up)+dpup_minQ</f>
        <v>-98381.01989837049</v>
      </c>
      <c r="AT5593" s="132"/>
      <c r="AU5593" s="145"/>
    </row>
    <row r="5594" spans="15:47" x14ac:dyDescent="0.25">
      <c r="O5594" s="7" t="s">
        <v>189</v>
      </c>
      <c r="P5594" s="1"/>
      <c r="Q5594" s="7"/>
      <c r="R5594" s="181">
        <f>P_2_minW+(R5591^2*R_dn)-dpdn_minQ</f>
        <v>50</v>
      </c>
      <c r="S5594" s="132"/>
      <c r="T5594" s="146"/>
      <c r="U5594" s="138">
        <f>P_2_minW+(U5591^2*R_dn)-dpdn_minQ</f>
        <v>50</v>
      </c>
      <c r="V5594" s="132"/>
      <c r="W5594" s="146"/>
      <c r="X5594" s="138">
        <f>P_2_minW+(X5591^2*R_dn)-dpdn_minQ</f>
        <v>50</v>
      </c>
      <c r="Y5594" s="132"/>
      <c r="Z5594" s="146"/>
      <c r="AA5594" s="138">
        <f>P_2_minW+(AA5591^2*R_dn)-dpdn_minQ</f>
        <v>50</v>
      </c>
      <c r="AB5594" s="132"/>
      <c r="AC5594" s="146"/>
      <c r="AD5594" s="138">
        <f>P_2_minW+(AD5591^2*R_dn)-dpdn_minQ</f>
        <v>50</v>
      </c>
      <c r="AE5594" s="132"/>
      <c r="AF5594" s="146"/>
      <c r="AG5594" s="138">
        <f>P_2_minW+(AG5591^2*R_dn)-dpdn_minQ</f>
        <v>50</v>
      </c>
      <c r="AH5594" s="132"/>
      <c r="AI5594" s="146"/>
      <c r="AJ5594" s="138">
        <f>P_2_minW+(AJ5591^2*R_dn)-dpdn_minQ</f>
        <v>50</v>
      </c>
      <c r="AK5594" s="132"/>
      <c r="AL5594" s="146"/>
      <c r="AM5594" s="138">
        <f>P_2_minW+(AM5591^2*R_dn)-dpdn_minQ</f>
        <v>50</v>
      </c>
      <c r="AN5594" s="132"/>
      <c r="AO5594" s="146"/>
      <c r="AP5594" s="138">
        <f>P_2_minW+(AP5591^2*R_dn)-dpdn_minQ</f>
        <v>50</v>
      </c>
      <c r="AQ5594" s="132"/>
      <c r="AR5594" s="146"/>
      <c r="AS5594" s="138">
        <f>P_2_minW+(AS5591^2*R_dn)-dpdn_minQ</f>
        <v>50</v>
      </c>
      <c r="AT5594" s="132"/>
      <c r="AU5594" s="146"/>
    </row>
    <row r="5595" spans="15:47" x14ac:dyDescent="0.25">
      <c r="O5595" s="7" t="s">
        <v>234</v>
      </c>
      <c r="P5595" s="1"/>
      <c r="Q5595" s="7"/>
      <c r="R5595" s="179">
        <f>'Valve Sizing'!G$8*R5593/P_1_maxW</f>
        <v>-1.2143261428405077</v>
      </c>
      <c r="S5595" s="132"/>
      <c r="T5595" s="146"/>
      <c r="U5595" s="143">
        <f>'Valve Sizing'!$G$8*U5593/P_1_maxW</f>
        <v>-0.63543858318532465</v>
      </c>
      <c r="V5595" s="132"/>
      <c r="W5595" s="146"/>
      <c r="X5595" s="143">
        <f>'Valve Sizing'!$G$8*X5593/P_1_maxW</f>
        <v>-6.3674671882788081</v>
      </c>
      <c r="Y5595" s="132"/>
      <c r="Z5595" s="146"/>
      <c r="AA5595" s="143">
        <f>'Valve Sizing'!$G$8*AA5593/P_1_maxW</f>
        <v>-25.511002631895145</v>
      </c>
      <c r="AB5595" s="132"/>
      <c r="AC5595" s="146"/>
      <c r="AD5595" s="143">
        <f>'Valve Sizing'!$G$8*AD5593/P_1_maxW</f>
        <v>-69.829183811033289</v>
      </c>
      <c r="AE5595" s="132"/>
      <c r="AF5595" s="146"/>
      <c r="AG5595" s="143">
        <f>'Valve Sizing'!$G$8*AG5593/P_1_maxW</f>
        <v>-137.83853068993932</v>
      </c>
      <c r="AH5595" s="132"/>
      <c r="AI5595" s="146"/>
      <c r="AJ5595" s="143">
        <f>'Valve Sizing'!$G$8*AJ5593/P_1_maxW</f>
        <v>-222.52374457779175</v>
      </c>
      <c r="AK5595" s="132"/>
      <c r="AL5595" s="146"/>
      <c r="AM5595" s="143">
        <f>'Valve Sizing'!$G$8*AM5593/P_1_maxW</f>
        <v>-306.13875860369012</v>
      </c>
      <c r="AN5595" s="132"/>
      <c r="AO5595" s="146"/>
      <c r="AP5595" s="143">
        <f>'Valve Sizing'!$G$8*AP5593/P_1_maxW</f>
        <v>-381.17443182414974</v>
      </c>
      <c r="AQ5595" s="132"/>
      <c r="AR5595" s="146"/>
      <c r="AS5595" s="143">
        <f>'Valve Sizing'!$G$8*AS5593/P_1_maxW</f>
        <v>-474.5725243287431</v>
      </c>
      <c r="AT5595" s="132"/>
      <c r="AU5595" s="146"/>
    </row>
    <row r="5596" spans="15:47" x14ac:dyDescent="0.25">
      <c r="O5596" s="7" t="s">
        <v>190</v>
      </c>
      <c r="P5596" s="1"/>
      <c r="Q5596" s="7"/>
      <c r="R5596" s="181">
        <f>R5593-R5594</f>
        <v>-301.73527395182111</v>
      </c>
      <c r="S5596" s="132"/>
      <c r="T5596" s="146"/>
      <c r="U5596" s="138">
        <f>U5593-U5594</f>
        <v>-181.72927780632045</v>
      </c>
      <c r="V5596" s="132"/>
      <c r="W5596" s="146"/>
      <c r="X5596" s="138">
        <f>X5593-X5594</f>
        <v>-1370.0046021171174</v>
      </c>
      <c r="Y5596" s="132"/>
      <c r="Z5596" s="146"/>
      <c r="AA5596" s="138">
        <f>AA5593-AA5594</f>
        <v>-5338.5456466444848</v>
      </c>
      <c r="AB5596" s="132"/>
      <c r="AC5596" s="146"/>
      <c r="AD5596" s="138">
        <f>AD5593-AD5594</f>
        <v>-14525.904039571795</v>
      </c>
      <c r="AE5596" s="132"/>
      <c r="AF5596" s="146"/>
      <c r="AG5596" s="138">
        <f>AG5593-AG5594</f>
        <v>-28624.547693737502</v>
      </c>
      <c r="AH5596" s="132"/>
      <c r="AI5596" s="146"/>
      <c r="AJ5596" s="138">
        <f>AJ5593-AJ5594</f>
        <v>-46180.173621266498</v>
      </c>
      <c r="AK5596" s="132"/>
      <c r="AL5596" s="146"/>
      <c r="AM5596" s="138">
        <f>AM5593-AM5594</f>
        <v>-63513.942301448413</v>
      </c>
      <c r="AN5596" s="132"/>
      <c r="AO5596" s="146"/>
      <c r="AP5596" s="138">
        <f>AP5593-AP5594</f>
        <v>-79069.175025111079</v>
      </c>
      <c r="AQ5596" s="132"/>
      <c r="AR5596" s="146"/>
      <c r="AS5596" s="138">
        <f>AS5593-AS5594</f>
        <v>-98431.01989837049</v>
      </c>
      <c r="AT5596" s="132"/>
      <c r="AU5596" s="146"/>
    </row>
    <row r="5597" spans="15:47" ht="14.5" x14ac:dyDescent="0.35">
      <c r="O5597" s="2" t="s">
        <v>191</v>
      </c>
      <c r="P5597" s="10"/>
      <c r="Q5597" s="2"/>
      <c r="R5597" s="181">
        <f>R5596/R5593</f>
        <v>1.198621350179035</v>
      </c>
      <c r="S5597" s="132"/>
      <c r="T5597" s="146"/>
      <c r="U5597" s="138">
        <f>U5596/U5593</f>
        <v>1.3795663411554888</v>
      </c>
      <c r="V5597" s="132"/>
      <c r="W5597" s="146"/>
      <c r="X5597" s="138">
        <f>X5596/X5593</f>
        <v>1.0378786558166588</v>
      </c>
      <c r="Y5597" s="132"/>
      <c r="Z5597" s="146"/>
      <c r="AA5597" s="138">
        <f>AA5596/AA5593</f>
        <v>1.0094543950909689</v>
      </c>
      <c r="AB5597" s="132"/>
      <c r="AC5597" s="146"/>
      <c r="AD5597" s="138">
        <f>AD5596/AD5593</f>
        <v>1.0034540157121323</v>
      </c>
      <c r="AE5597" s="132"/>
      <c r="AF5597" s="146"/>
      <c r="AG5597" s="138">
        <f>AG5596/AG5593</f>
        <v>1.0017498089746126</v>
      </c>
      <c r="AH5597" s="132"/>
      <c r="AI5597" s="146"/>
      <c r="AJ5597" s="138">
        <f>AJ5596/AJ5593</f>
        <v>1.0010838892654188</v>
      </c>
      <c r="AK5597" s="132"/>
      <c r="AL5597" s="146"/>
      <c r="AM5597" s="138">
        <f>AM5596/AM5593</f>
        <v>1.0007878489451931</v>
      </c>
      <c r="AN5597" s="132"/>
      <c r="AO5597" s="146"/>
      <c r="AP5597" s="138">
        <f>AP5596/AP5593</f>
        <v>1.0006327578082677</v>
      </c>
      <c r="AQ5597" s="132"/>
      <c r="AR5597" s="146"/>
      <c r="AS5597" s="138">
        <f>AS5596/AS5593</f>
        <v>1.0005082281120041</v>
      </c>
      <c r="AT5597" s="132"/>
      <c r="AU5597" s="146"/>
    </row>
    <row r="5598" spans="15:47" x14ac:dyDescent="0.25">
      <c r="O5598" s="2" t="s">
        <v>26</v>
      </c>
      <c r="P5598" s="7">
        <v>12</v>
      </c>
      <c r="Q5598" s="2"/>
      <c r="R5598" s="181">
        <f>1-R5597/(3*F_GAMMA*R$29)</f>
        <v>0.37574426567049324</v>
      </c>
      <c r="S5598" s="133"/>
      <c r="T5598" s="146"/>
      <c r="U5598" s="138">
        <f>1-U5597/(3*F_GAMMA*U$29)</f>
        <v>0.281664235375789</v>
      </c>
      <c r="V5598" s="133"/>
      <c r="W5598" s="146"/>
      <c r="X5598" s="138">
        <f>1-X5597/(3*F_GAMMA*X$29)</f>
        <v>0.45147275477917392</v>
      </c>
      <c r="Y5598" s="133"/>
      <c r="Z5598" s="146"/>
      <c r="AA5598" s="138">
        <f>1-AA5597/(3*F_GAMMA*AA$29)</f>
        <v>0.45918011278480131</v>
      </c>
      <c r="AB5598" s="133"/>
      <c r="AC5598" s="146"/>
      <c r="AD5598" s="138">
        <f>1-AD5597/(3*F_GAMMA*AD$29)</f>
        <v>0.44765485371477509</v>
      </c>
      <c r="AE5598" s="133"/>
      <c r="AF5598" s="146"/>
      <c r="AG5598" s="138">
        <f>1-AG5597/(3*F_GAMMA*AG$29)</f>
        <v>0.41713979361412601</v>
      </c>
      <c r="AH5598" s="133"/>
      <c r="AI5598" s="146"/>
      <c r="AJ5598" s="138">
        <f>1-AJ5597/(3*F_GAMMA*AJ$29)</f>
        <v>0.37732873790839105</v>
      </c>
      <c r="AK5598" s="133"/>
      <c r="AL5598" s="146"/>
      <c r="AM5598" s="138">
        <f>1-AM5597/(3*F_GAMMA*AM$29)</f>
        <v>0.31986951500335747</v>
      </c>
      <c r="AN5598" s="133"/>
      <c r="AO5598" s="146"/>
      <c r="AP5598" s="138">
        <f>1-AP5597/(3*F_GAMMA*AP$29)</f>
        <v>0.4380328365468108</v>
      </c>
      <c r="AQ5598" s="133"/>
      <c r="AR5598" s="146"/>
      <c r="AS5598" s="138">
        <f>1-AS5597/(3*F_GAMMA*AS$29)</f>
        <v>0.14699118556258861</v>
      </c>
      <c r="AT5598" s="133"/>
      <c r="AU5598" s="146"/>
    </row>
    <row r="5599" spans="15:47" x14ac:dyDescent="0.25">
      <c r="O5599" s="2" t="s">
        <v>71</v>
      </c>
      <c r="P5599" s="85">
        <v>5</v>
      </c>
      <c r="Q5599" s="2"/>
      <c r="R5599" s="179">
        <f>R5591/((N_6*R$27*R5598)*SQRT(R5597*R5593*R5595))</f>
        <v>65.290252776045648</v>
      </c>
      <c r="S5599" s="133"/>
      <c r="T5599" s="146"/>
      <c r="U5599" s="143">
        <f>U5591/((N_6*U$27*U5598)*SQRT(U5597*U5593*U5595))</f>
        <v>126.0549092850284</v>
      </c>
      <c r="V5599" s="133"/>
      <c r="W5599" s="146"/>
      <c r="X5599" s="143">
        <f>X5591/((N_6*X$27*X5598)*SQRT(X5597*X5593*X5595))</f>
        <v>22.427002456964853</v>
      </c>
      <c r="Y5599" s="133"/>
      <c r="Z5599" s="146"/>
      <c r="AA5599" s="143">
        <f>AA5591/((N_6*AA$27*AA5598)*SQRT(AA5597*AA5593*AA5595))</f>
        <v>10.932297950328373</v>
      </c>
      <c r="AB5599" s="133"/>
      <c r="AC5599" s="146"/>
      <c r="AD5599" s="143">
        <f>AD5591/((N_6*AD$27*AD5598)*SQRT(AD5597*AD5593*AD5595))</f>
        <v>6.838325626890466</v>
      </c>
      <c r="AE5599" s="133"/>
      <c r="AF5599" s="146"/>
      <c r="AG5599" s="143">
        <f>AG5591/((N_6*AG$27*AG5598)*SQRT(AG5597*AG5593*AG5595))</f>
        <v>5.3314374439579755</v>
      </c>
      <c r="AH5599" s="133"/>
      <c r="AI5599" s="146"/>
      <c r="AJ5599" s="143">
        <f>AJ5591/((N_6*AJ$27*AJ5598)*SQRT(AJ5597*AJ5593*AJ5595))</f>
        <v>4.7964207912528805</v>
      </c>
      <c r="AK5599" s="133"/>
      <c r="AL5599" s="146"/>
      <c r="AM5599" s="143">
        <f>AM5591/((N_6*AM$27*AM5598)*SQRT(AM5597*AM5593*AM5595))</f>
        <v>5.1193261513571704</v>
      </c>
      <c r="AN5599" s="133"/>
      <c r="AO5599" s="146"/>
      <c r="AP5599" s="143">
        <f>AP5591/((N_6*AP$27*AP5598)*SQRT(AP5597*AP5593*AP5595))</f>
        <v>3.8053659371239013</v>
      </c>
      <c r="AQ5599" s="133"/>
      <c r="AR5599" s="146"/>
      <c r="AS5599" s="143">
        <f>AS5591/((N_6*AS$27*AS5598)*SQRT(AS5597*AS5593*AS5595))</f>
        <v>13.353113132578891</v>
      </c>
      <c r="AT5599" s="133"/>
      <c r="AU5599" s="146"/>
    </row>
    <row r="5600" spans="15:47" x14ac:dyDescent="0.25">
      <c r="O5600" s="2" t="s">
        <v>73</v>
      </c>
      <c r="P5600" s="85">
        <v>5</v>
      </c>
      <c r="Q5600" s="2"/>
      <c r="R5600" s="179">
        <f>R5591/((N_6*R$27*0.667)*SQRT(R5601*R5593*R5595))</f>
        <v>50.333458793749507</v>
      </c>
      <c r="S5600" s="133"/>
      <c r="T5600" s="155"/>
      <c r="U5600" s="143">
        <f>U5591/((N_6*U$27*0.667)*SQRT(U5601*U5593*U5595))</f>
        <v>78.142986989536283</v>
      </c>
      <c r="V5600" s="133"/>
      <c r="W5600" s="155"/>
      <c r="X5600" s="143">
        <f>X5591/((N_6*X$27*0.667)*SQRT(X5601*X5593*X5595))</f>
        <v>19.473170788915251</v>
      </c>
      <c r="Y5600" s="133"/>
      <c r="Z5600" s="155"/>
      <c r="AA5600" s="143">
        <f>AA5591/((N_6*AA$27*0.667)*SQRT(AA5601*AA5593*AA5595))</f>
        <v>9.5864022878955897</v>
      </c>
      <c r="AB5600" s="133"/>
      <c r="AC5600" s="155"/>
      <c r="AD5600" s="143">
        <f>AD5591/((N_6*AD$27*0.667)*SQRT(AD5601*AD5593*AD5595))</f>
        <v>5.9079000502349173</v>
      </c>
      <c r="AE5600" s="133"/>
      <c r="AF5600" s="155"/>
      <c r="AG5600" s="143">
        <f>AG5591/((N_6*AG$27*0.667)*SQRT(AG5601*AG5593*AG5595))</f>
        <v>4.4090288039305303</v>
      </c>
      <c r="AH5600" s="133"/>
      <c r="AI5600" s="155"/>
      <c r="AJ5600" s="143">
        <f>AJ5591/((N_6*AJ$27*0.667)*SQRT(AJ5601*AJ5593*AJ5595))</f>
        <v>3.7085263100639345</v>
      </c>
      <c r="AK5600" s="133"/>
      <c r="AL5600" s="155"/>
      <c r="AM5600" s="143">
        <f>AM5591/((N_6*AM$27*0.667)*SQRT(AM5601*AM5593*AM5595))</f>
        <v>3.5068449549164811</v>
      </c>
      <c r="AN5600" s="133"/>
      <c r="AO5600" s="155"/>
      <c r="AP5600" s="143">
        <f>AP5591/((N_6*AP$27*0.667)*SQRT(AP5601*AP5593*AP5595))</f>
        <v>3.2448405287046591</v>
      </c>
      <c r="AQ5600" s="133"/>
      <c r="AR5600" s="155"/>
      <c r="AS5600" s="143">
        <f>AS5591/((N_6*AS$27*0.667)*SQRT(AS5601*AS5593*AS5595))</f>
        <v>4.7074462960126642</v>
      </c>
      <c r="AT5600" s="133"/>
      <c r="AU5600" s="155"/>
    </row>
    <row r="5601" spans="15:47" ht="15.5" x14ac:dyDescent="0.4">
      <c r="O5601" s="2" t="s">
        <v>192</v>
      </c>
      <c r="P5601" s="85">
        <v>10</v>
      </c>
      <c r="Q5601" s="2"/>
      <c r="R5601" s="181">
        <f>F_GAMMA*R$29</f>
        <v>0.64002688015162901</v>
      </c>
      <c r="S5601" s="133"/>
      <c r="T5601" s="155"/>
      <c r="U5601" s="138">
        <f>F_GAMMA*U$29</f>
        <v>0.64016782916606918</v>
      </c>
      <c r="V5601" s="133"/>
      <c r="W5601" s="155"/>
      <c r="X5601" s="138">
        <f>F_GAMMA*X$29</f>
        <v>0.6307062319203669</v>
      </c>
      <c r="Y5601" s="133"/>
      <c r="Z5601" s="155"/>
      <c r="AA5601" s="138">
        <f>F_GAMMA*AA$29</f>
        <v>0.62217534213893466</v>
      </c>
      <c r="AB5601" s="133"/>
      <c r="AC5601" s="155"/>
      <c r="AD5601" s="138">
        <f>F_GAMMA*AD$29</f>
        <v>0.60557184969146072</v>
      </c>
      <c r="AE5601" s="133"/>
      <c r="AF5601" s="155"/>
      <c r="AG5601" s="138">
        <f>F_GAMMA*AG$29</f>
        <v>0.57289312142622573</v>
      </c>
      <c r="AH5601" s="133"/>
      <c r="AI5601" s="155"/>
      <c r="AJ5601" s="138">
        <f>F_GAMMA*AJ$29</f>
        <v>0.53590819116049981</v>
      </c>
      <c r="AK5601" s="133"/>
      <c r="AL5601" s="155"/>
      <c r="AM5601" s="138">
        <f>F_GAMMA*AM$29</f>
        <v>0.49048815926850342</v>
      </c>
      <c r="AN5601" s="133"/>
      <c r="AO5601" s="155"/>
      <c r="AP5601" s="138">
        <f>F_GAMMA*AP$29</f>
        <v>0.59352979016280105</v>
      </c>
      <c r="AQ5601" s="133"/>
      <c r="AR5601" s="155"/>
      <c r="AS5601" s="138">
        <f>F_GAMMA*AS$29</f>
        <v>0.39097221161068291</v>
      </c>
      <c r="AT5601" s="133"/>
      <c r="AU5601" s="155"/>
    </row>
    <row r="5602" spans="15:47" x14ac:dyDescent="0.25">
      <c r="O5602" s="2" t="s">
        <v>193</v>
      </c>
      <c r="P5602" s="134"/>
      <c r="Q5602" s="2"/>
      <c r="R5602" s="181">
        <f>IF(R5597&lt;R5601,R5599,R5600)</f>
        <v>50.333458793749507</v>
      </c>
      <c r="S5602" s="133"/>
      <c r="T5602" s="155"/>
      <c r="U5602" s="138">
        <f>IF(U5597&lt;U5601,U5599,U5600)</f>
        <v>78.142986989536283</v>
      </c>
      <c r="V5602" s="133"/>
      <c r="W5602" s="155"/>
      <c r="X5602" s="138">
        <f>IF(X5597&lt;X5601,X5599,X5600)</f>
        <v>19.473170788915251</v>
      </c>
      <c r="Y5602" s="133"/>
      <c r="Z5602" s="155"/>
      <c r="AA5602" s="138">
        <f>IF(AA5597&lt;AA5601,AA5599,AA5600)</f>
        <v>9.5864022878955897</v>
      </c>
      <c r="AB5602" s="133"/>
      <c r="AC5602" s="155"/>
      <c r="AD5602" s="138">
        <f>IF(AD5597&lt;AD5601,AD5599,AD5600)</f>
        <v>5.9079000502349173</v>
      </c>
      <c r="AE5602" s="133"/>
      <c r="AF5602" s="155"/>
      <c r="AG5602" s="138">
        <f>IF(AG5597&lt;AG5601,AG5599,AG5600)</f>
        <v>4.4090288039305303</v>
      </c>
      <c r="AH5602" s="133"/>
      <c r="AI5602" s="155"/>
      <c r="AJ5602" s="138">
        <f>IF(AJ5597&lt;AJ5601,AJ5599,AJ5600)</f>
        <v>3.7085263100639345</v>
      </c>
      <c r="AK5602" s="133"/>
      <c r="AL5602" s="155"/>
      <c r="AM5602" s="138">
        <f>IF(AM5597&lt;AM5601,AM5599,AM5600)</f>
        <v>3.5068449549164811</v>
      </c>
      <c r="AN5602" s="133"/>
      <c r="AO5602" s="155"/>
      <c r="AP5602" s="138">
        <f>IF(AP5597&lt;AP5601,AP5599,AP5600)</f>
        <v>3.2448405287046591</v>
      </c>
      <c r="AQ5602" s="133"/>
      <c r="AR5602" s="155"/>
      <c r="AS5602" s="138">
        <f>IF(AS5597&lt;AS5601,AS5599,AS5600)</f>
        <v>4.7074462960126642</v>
      </c>
      <c r="AT5602" s="133"/>
      <c r="AU5602" s="155"/>
    </row>
    <row r="5603" spans="15:47" ht="13" x14ac:dyDescent="0.3">
      <c r="O5603" s="9" t="s">
        <v>194</v>
      </c>
      <c r="P5603" s="1"/>
      <c r="Q5603" s="1"/>
      <c r="R5603" s="135"/>
      <c r="S5603" s="132">
        <f>IF(R5596&lt;=0,W_max,ABS(R$23-R5602))</f>
        <v>7174</v>
      </c>
      <c r="T5603" s="151">
        <f>R5591</f>
        <v>29721.70204632244</v>
      </c>
      <c r="U5603" s="135"/>
      <c r="V5603" s="132">
        <f>IF(U5596&lt;=0,W_max,ABS(U$23-U5602))</f>
        <v>7174</v>
      </c>
      <c r="W5603" s="151">
        <f>U5591</f>
        <v>24133.649322496516</v>
      </c>
      <c r="X5603" s="135"/>
      <c r="Y5603" s="132">
        <f>IF(X5596&lt;=0,W_max,ABS(X$23-X5602))</f>
        <v>7174</v>
      </c>
      <c r="Z5603" s="151">
        <f>X5591</f>
        <v>59685.386712468884</v>
      </c>
      <c r="AA5603" s="135"/>
      <c r="AB5603" s="132">
        <f>IF(AA5596&lt;=0,W_max,ABS(AA$23-AA5602))</f>
        <v>7174</v>
      </c>
      <c r="AC5603" s="151">
        <f>AA5591</f>
        <v>116251.89889468718</v>
      </c>
      <c r="AD5603" s="135"/>
      <c r="AE5603" s="132">
        <f>IF(AD5596&lt;=0,W_max,ABS(AD$23-AD5602))</f>
        <v>7174</v>
      </c>
      <c r="AF5603" s="151">
        <f>AD5591</f>
        <v>191191.57227198029</v>
      </c>
      <c r="AG5603" s="135"/>
      <c r="AH5603" s="132">
        <f>IF(AG5596&lt;=0,W_max,ABS(AG$23-AG5602))</f>
        <v>7174</v>
      </c>
      <c r="AI5603" s="151">
        <f>AG5591</f>
        <v>268160.89921825624</v>
      </c>
      <c r="AJ5603" s="135"/>
      <c r="AK5603" s="132">
        <f>IF(AJ5596&lt;=0,W_max,ABS(AJ$23-AJ5602))</f>
        <v>7174</v>
      </c>
      <c r="AL5603" s="151">
        <f>AJ5591</f>
        <v>340493.18511889485</v>
      </c>
      <c r="AM5603" s="135"/>
      <c r="AN5603" s="132">
        <f>IF(AM5596&lt;=0,W_max,ABS(AM$23-AM5602))</f>
        <v>7174</v>
      </c>
      <c r="AO5603" s="151">
        <f>AM5591</f>
        <v>399255.03761246789</v>
      </c>
      <c r="AP5603" s="135"/>
      <c r="AQ5603" s="132">
        <f>IF(AP5596&lt;=0,W_max,ABS(AP$23-AP5602))</f>
        <v>7174</v>
      </c>
      <c r="AR5603" s="151">
        <f>AP5591</f>
        <v>445436.20771090087</v>
      </c>
      <c r="AS5603" s="135"/>
      <c r="AT5603" s="132">
        <f>IF(AS5596&lt;=0,W_max,ABS(AS$23-AS5602))</f>
        <v>7174</v>
      </c>
      <c r="AU5603" s="151">
        <f>AS5591</f>
        <v>496959.07740168937</v>
      </c>
    </row>
    <row r="5604" spans="15:47" ht="13" x14ac:dyDescent="0.25">
      <c r="O5604" s="2"/>
      <c r="P5604" s="85"/>
      <c r="Q5604" s="2"/>
      <c r="R5604" s="18"/>
      <c r="S5604" s="150"/>
      <c r="T5604" s="152"/>
      <c r="U5604" s="157"/>
      <c r="V5604" s="1"/>
      <c r="W5604" s="147"/>
      <c r="X5604" s="157"/>
      <c r="Y5604" s="1"/>
      <c r="Z5604" s="147"/>
      <c r="AA5604" s="157"/>
      <c r="AB5604" s="1"/>
      <c r="AC5604" s="147"/>
      <c r="AD5604" s="157"/>
      <c r="AE5604" s="1"/>
      <c r="AF5604" s="147"/>
      <c r="AG5604" s="157"/>
      <c r="AH5604" s="1"/>
      <c r="AI5604" s="147"/>
      <c r="AJ5604" s="157"/>
      <c r="AK5604" s="1"/>
      <c r="AL5604" s="147"/>
      <c r="AM5604" s="157"/>
      <c r="AN5604" s="1"/>
      <c r="AO5604" s="147"/>
      <c r="AP5604" s="157"/>
      <c r="AQ5604" s="1"/>
      <c r="AR5604" s="147"/>
      <c r="AS5604" s="157"/>
      <c r="AT5604" s="1"/>
      <c r="AU5604" s="147"/>
    </row>
    <row r="5605" spans="15:47" ht="14" x14ac:dyDescent="0.3">
      <c r="O5605" s="23" t="s">
        <v>238</v>
      </c>
      <c r="P5605" s="20"/>
      <c r="Q5605" s="20"/>
      <c r="R5605" s="181">
        <f>R5591*1.02</f>
        <v>30316.136087248888</v>
      </c>
      <c r="S5605" s="128" t="s">
        <v>185</v>
      </c>
      <c r="T5605" s="153" t="s">
        <v>186</v>
      </c>
      <c r="U5605" s="143">
        <f>U5591*1.01</f>
        <v>24374.98581572148</v>
      </c>
      <c r="V5605" s="128" t="s">
        <v>185</v>
      </c>
      <c r="W5605" s="153" t="s">
        <v>186</v>
      </c>
      <c r="X5605" s="143">
        <f>X5591*1.01</f>
        <v>60282.24057959357</v>
      </c>
      <c r="Y5605" s="128" t="s">
        <v>185</v>
      </c>
      <c r="Z5605" s="153" t="s">
        <v>186</v>
      </c>
      <c r="AA5605" s="143">
        <f>AA5591*1.01</f>
        <v>117414.41788363406</v>
      </c>
      <c r="AB5605" s="128" t="s">
        <v>185</v>
      </c>
      <c r="AC5605" s="153" t="s">
        <v>186</v>
      </c>
      <c r="AD5605" s="143">
        <f>AD5591*1.01</f>
        <v>193103.48799470009</v>
      </c>
      <c r="AE5605" s="128" t="s">
        <v>185</v>
      </c>
      <c r="AF5605" s="153" t="s">
        <v>186</v>
      </c>
      <c r="AG5605" s="143">
        <f>AG5591*1.01</f>
        <v>270842.50821043883</v>
      </c>
      <c r="AH5605" s="128" t="s">
        <v>185</v>
      </c>
      <c r="AI5605" s="153" t="s">
        <v>186</v>
      </c>
      <c r="AJ5605" s="143">
        <f>AJ5591*1.01</f>
        <v>343898.11697008379</v>
      </c>
      <c r="AK5605" s="128" t="s">
        <v>185</v>
      </c>
      <c r="AL5605" s="153" t="s">
        <v>186</v>
      </c>
      <c r="AM5605" s="143">
        <f>AM5591*1.01</f>
        <v>403247.58798859257</v>
      </c>
      <c r="AN5605" s="128" t="s">
        <v>185</v>
      </c>
      <c r="AO5605" s="153" t="s">
        <v>186</v>
      </c>
      <c r="AP5605" s="143">
        <f>AP5591*1.01</f>
        <v>449890.56978800986</v>
      </c>
      <c r="AQ5605" s="128" t="s">
        <v>185</v>
      </c>
      <c r="AR5605" s="153" t="s">
        <v>186</v>
      </c>
      <c r="AS5605" s="143">
        <f>AS5591*1.01</f>
        <v>501928.66817570629</v>
      </c>
      <c r="AT5605" s="128" t="s">
        <v>185</v>
      </c>
      <c r="AU5605" s="153" t="s">
        <v>186</v>
      </c>
    </row>
    <row r="5606" spans="15:47" ht="14" x14ac:dyDescent="0.3">
      <c r="O5606" s="20"/>
      <c r="P5606" s="20"/>
      <c r="Q5606" s="23"/>
      <c r="R5606" s="139"/>
      <c r="S5606" s="130" t="s">
        <v>228</v>
      </c>
      <c r="T5606" s="154" t="s">
        <v>187</v>
      </c>
      <c r="U5606" s="144"/>
      <c r="V5606" s="130" t="s">
        <v>228</v>
      </c>
      <c r="W5606" s="154" t="s">
        <v>187</v>
      </c>
      <c r="X5606" s="144"/>
      <c r="Y5606" s="130" t="s">
        <v>228</v>
      </c>
      <c r="Z5606" s="154" t="s">
        <v>187</v>
      </c>
      <c r="AA5606" s="144"/>
      <c r="AB5606" s="130" t="s">
        <v>228</v>
      </c>
      <c r="AC5606" s="154" t="s">
        <v>187</v>
      </c>
      <c r="AD5606" s="144"/>
      <c r="AE5606" s="130" t="s">
        <v>228</v>
      </c>
      <c r="AF5606" s="154" t="s">
        <v>187</v>
      </c>
      <c r="AG5606" s="144"/>
      <c r="AH5606" s="130" t="s">
        <v>228</v>
      </c>
      <c r="AI5606" s="154" t="s">
        <v>187</v>
      </c>
      <c r="AJ5606" s="144"/>
      <c r="AK5606" s="130" t="s">
        <v>228</v>
      </c>
      <c r="AL5606" s="154" t="s">
        <v>187</v>
      </c>
      <c r="AM5606" s="144"/>
      <c r="AN5606" s="130" t="s">
        <v>228</v>
      </c>
      <c r="AO5606" s="154" t="s">
        <v>187</v>
      </c>
      <c r="AP5606" s="144"/>
      <c r="AQ5606" s="130" t="s">
        <v>228</v>
      </c>
      <c r="AR5606" s="154" t="s">
        <v>187</v>
      </c>
      <c r="AS5606" s="144"/>
      <c r="AT5606" s="130" t="s">
        <v>228</v>
      </c>
      <c r="AU5606" s="154" t="s">
        <v>187</v>
      </c>
    </row>
    <row r="5607" spans="15:47" x14ac:dyDescent="0.25">
      <c r="O5607" s="7" t="s">
        <v>188</v>
      </c>
      <c r="P5607" s="7"/>
      <c r="Q5607" s="7"/>
      <c r="R5607" s="181">
        <f>P_1_minW-(R5605^2*R_up)+dpup_minQ</f>
        <v>-265.9664996036384</v>
      </c>
      <c r="S5607" s="132"/>
      <c r="T5607" s="145"/>
      <c r="U5607" s="138">
        <f>P_1_minW-(U5605^2*R_up)+dpup_minQ</f>
        <v>-136.3975443036357</v>
      </c>
      <c r="V5607" s="132"/>
      <c r="W5607" s="145"/>
      <c r="X5607" s="138">
        <f>P_1_minW-(X5605^2*R_up)+dpup_minQ</f>
        <v>-1348.5572026330794</v>
      </c>
      <c r="Y5607" s="132"/>
      <c r="Z5607" s="145"/>
      <c r="AA5607" s="138">
        <f>P_1_minW-(AA5605^2*R_up)+dpup_minQ</f>
        <v>-5396.8659221554472</v>
      </c>
      <c r="AB5607" s="132"/>
      <c r="AC5607" s="145"/>
      <c r="AD5607" s="138">
        <f>P_1_minW-(AD5605^2*R_up)+dpup_minQ</f>
        <v>-14768.890218780596</v>
      </c>
      <c r="AE5607" s="132"/>
      <c r="AF5607" s="145"/>
      <c r="AG5607" s="138">
        <f>P_1_minW-(AG5605^2*R_up)+dpup_minQ</f>
        <v>-29150.916610395037</v>
      </c>
      <c r="AH5607" s="132"/>
      <c r="AI5607" s="145"/>
      <c r="AJ5607" s="138">
        <f>P_1_minW-(AJ5605^2*R_up)+dpup_minQ</f>
        <v>-47059.410619067356</v>
      </c>
      <c r="AK5607" s="132"/>
      <c r="AL5607" s="145"/>
      <c r="AM5607" s="138">
        <f>P_1_minW-(AM5605^2*R_up)+dpup_minQ</f>
        <v>-64741.588049720936</v>
      </c>
      <c r="AN5607" s="132"/>
      <c r="AO5607" s="145"/>
      <c r="AP5607" s="138">
        <f>P_1_minW-(AP5605^2*R_up)+dpup_minQ</f>
        <v>-80609.480951129197</v>
      </c>
      <c r="AQ5607" s="132"/>
      <c r="AR5607" s="145"/>
      <c r="AS5607" s="138">
        <f>P_1_minW-(AS5605^2*R_up)+dpup_minQ</f>
        <v>-100360.49890634115</v>
      </c>
      <c r="AT5607" s="132"/>
      <c r="AU5607" s="145"/>
    </row>
    <row r="5608" spans="15:47" x14ac:dyDescent="0.25">
      <c r="O5608" s="7" t="s">
        <v>189</v>
      </c>
      <c r="P5608" s="1"/>
      <c r="Q5608" s="7"/>
      <c r="R5608" s="181">
        <f>P_2_minW+(R5605^2*R_dn)-dpdn_minQ</f>
        <v>50</v>
      </c>
      <c r="S5608" s="132"/>
      <c r="T5608" s="146"/>
      <c r="U5608" s="138">
        <f>P_2_minW+(U5605^2*R_dn)-dpdn_minQ</f>
        <v>50</v>
      </c>
      <c r="V5608" s="132"/>
      <c r="W5608" s="146"/>
      <c r="X5608" s="138">
        <f>P_2_minW+(X5605^2*R_dn)-dpdn_minQ</f>
        <v>50</v>
      </c>
      <c r="Y5608" s="132"/>
      <c r="Z5608" s="146"/>
      <c r="AA5608" s="138">
        <f>P_2_minW+(AA5605^2*R_dn)-dpdn_minQ</f>
        <v>50</v>
      </c>
      <c r="AB5608" s="132"/>
      <c r="AC5608" s="146"/>
      <c r="AD5608" s="138">
        <f>P_2_minW+(AD5605^2*R_dn)-dpdn_minQ</f>
        <v>50</v>
      </c>
      <c r="AE5608" s="132"/>
      <c r="AF5608" s="146"/>
      <c r="AG5608" s="138">
        <f>P_2_minW+(AG5605^2*R_dn)-dpdn_minQ</f>
        <v>50</v>
      </c>
      <c r="AH5608" s="132"/>
      <c r="AI5608" s="146"/>
      <c r="AJ5608" s="138">
        <f>P_2_minW+(AJ5605^2*R_dn)-dpdn_minQ</f>
        <v>50</v>
      </c>
      <c r="AK5608" s="132"/>
      <c r="AL5608" s="146"/>
      <c r="AM5608" s="138">
        <f>P_2_minW+(AM5605^2*R_dn)-dpdn_minQ</f>
        <v>50</v>
      </c>
      <c r="AN5608" s="132"/>
      <c r="AO5608" s="146"/>
      <c r="AP5608" s="138">
        <f>P_2_minW+(AP5605^2*R_dn)-dpdn_minQ</f>
        <v>50</v>
      </c>
      <c r="AQ5608" s="132"/>
      <c r="AR5608" s="146"/>
      <c r="AS5608" s="138">
        <f>P_2_minW+(AS5605^2*R_dn)-dpdn_minQ</f>
        <v>50</v>
      </c>
      <c r="AT5608" s="132"/>
      <c r="AU5608" s="146"/>
    </row>
    <row r="5609" spans="15:47" x14ac:dyDescent="0.25">
      <c r="O5609" s="7" t="s">
        <v>234</v>
      </c>
      <c r="P5609" s="1"/>
      <c r="Q5609" s="7"/>
      <c r="R5609" s="179">
        <f>'Valve Sizing'!G$8*R5607/P_1_maxW</f>
        <v>-1.2829750416713148</v>
      </c>
      <c r="S5609" s="132"/>
      <c r="T5609" s="146"/>
      <c r="U5609" s="143">
        <f>'Valve Sizing'!$G$8*U5607/P_1_maxW</f>
        <v>-0.65795746963475144</v>
      </c>
      <c r="V5609" s="132"/>
      <c r="W5609" s="146"/>
      <c r="X5609" s="143">
        <f>'Valve Sizing'!$G$8*X5607/P_1_maxW</f>
        <v>-6.5051998496906123</v>
      </c>
      <c r="Y5609" s="132"/>
      <c r="Z5609" s="146"/>
      <c r="AA5609" s="143">
        <f>'Valve Sizing'!$G$8*AA5607/P_1_maxW</f>
        <v>-26.033520355723642</v>
      </c>
      <c r="AB5609" s="132"/>
      <c r="AC5609" s="146"/>
      <c r="AD5609" s="143">
        <f>'Valve Sizing'!$G$8*AD5607/P_1_maxW</f>
        <v>-71.242496976562464</v>
      </c>
      <c r="AE5609" s="132"/>
      <c r="AF5609" s="146"/>
      <c r="AG5609" s="143">
        <f>'Valve Sizing'!$G$8*AG5607/P_1_maxW</f>
        <v>-140.61883172773452</v>
      </c>
      <c r="AH5609" s="132"/>
      <c r="AI5609" s="146"/>
      <c r="AJ5609" s="143">
        <f>'Valve Sizing'!$G$8*AJ5607/P_1_maxW</f>
        <v>-227.0062184147327</v>
      </c>
      <c r="AK5609" s="132"/>
      <c r="AL5609" s="146"/>
      <c r="AM5609" s="143">
        <f>'Valve Sizing'!$G$8*AM5607/P_1_maxW</f>
        <v>-312.30189422255171</v>
      </c>
      <c r="AN5609" s="132"/>
      <c r="AO5609" s="146"/>
      <c r="AP5609" s="143">
        <f>'Valve Sizing'!$G$8*AP5607/P_1_maxW</f>
        <v>-388.8457844747424</v>
      </c>
      <c r="AQ5609" s="132"/>
      <c r="AR5609" s="146"/>
      <c r="AS5609" s="143">
        <f>'Valve Sizing'!$G$8*AS5607/P_1_maxW</f>
        <v>-484.12117863867826</v>
      </c>
      <c r="AT5609" s="132"/>
      <c r="AU5609" s="146"/>
    </row>
    <row r="5610" spans="15:47" x14ac:dyDescent="0.25">
      <c r="O5610" s="7" t="s">
        <v>190</v>
      </c>
      <c r="P5610" s="1"/>
      <c r="Q5610" s="7"/>
      <c r="R5610" s="181">
        <f>R5607-R5608</f>
        <v>-315.9664996036384</v>
      </c>
      <c r="S5610" s="132"/>
      <c r="T5610" s="146"/>
      <c r="U5610" s="138">
        <f>U5607-U5608</f>
        <v>-186.3975443036357</v>
      </c>
      <c r="V5610" s="132"/>
      <c r="W5610" s="146"/>
      <c r="X5610" s="138">
        <f>X5607-X5608</f>
        <v>-1398.5572026330794</v>
      </c>
      <c r="Y5610" s="132"/>
      <c r="Z5610" s="146"/>
      <c r="AA5610" s="138">
        <f>AA5607-AA5608</f>
        <v>-5446.8659221554472</v>
      </c>
      <c r="AB5610" s="132"/>
      <c r="AC5610" s="146"/>
      <c r="AD5610" s="138">
        <f>AD5607-AD5608</f>
        <v>-14818.890218780596</v>
      </c>
      <c r="AE5610" s="132"/>
      <c r="AF5610" s="146"/>
      <c r="AG5610" s="138">
        <f>AG5607-AG5608</f>
        <v>-29200.916610395037</v>
      </c>
      <c r="AH5610" s="132"/>
      <c r="AI5610" s="146"/>
      <c r="AJ5610" s="138">
        <f>AJ5607-AJ5608</f>
        <v>-47109.410619067356</v>
      </c>
      <c r="AK5610" s="132"/>
      <c r="AL5610" s="146"/>
      <c r="AM5610" s="138">
        <f>AM5607-AM5608</f>
        <v>-64791.588049720936</v>
      </c>
      <c r="AN5610" s="132"/>
      <c r="AO5610" s="146"/>
      <c r="AP5610" s="138">
        <f>AP5607-AP5608</f>
        <v>-80659.480951129197</v>
      </c>
      <c r="AQ5610" s="132"/>
      <c r="AR5610" s="146"/>
      <c r="AS5610" s="138">
        <f>AS5607-AS5608</f>
        <v>-100410.49890634115</v>
      </c>
      <c r="AT5610" s="132"/>
      <c r="AU5610" s="146"/>
    </row>
    <row r="5611" spans="15:47" ht="14.5" x14ac:dyDescent="0.35">
      <c r="O5611" s="2" t="s">
        <v>191</v>
      </c>
      <c r="P5611" s="10"/>
      <c r="Q5611" s="2"/>
      <c r="R5611" s="181">
        <f>R5610/R5607</f>
        <v>1.1879936009779932</v>
      </c>
      <c r="S5611" s="132"/>
      <c r="T5611" s="146"/>
      <c r="U5611" s="138">
        <f>U5610/U5607</f>
        <v>1.3665755146492564</v>
      </c>
      <c r="V5611" s="132"/>
      <c r="W5611" s="146"/>
      <c r="X5611" s="138">
        <f>X5610/X5607</f>
        <v>1.0370766623042569</v>
      </c>
      <c r="Y5611" s="132"/>
      <c r="Z5611" s="146"/>
      <c r="AA5611" s="138">
        <f>AA5610/AA5607</f>
        <v>1.0092646363132236</v>
      </c>
      <c r="AB5611" s="132"/>
      <c r="AC5611" s="146"/>
      <c r="AD5611" s="138">
        <f>AD5610/AD5607</f>
        <v>1.0033854947297542</v>
      </c>
      <c r="AE5611" s="132"/>
      <c r="AF5611" s="146"/>
      <c r="AG5611" s="138">
        <f>AG5610/AG5607</f>
        <v>1.0017152119320383</v>
      </c>
      <c r="AH5611" s="132"/>
      <c r="AI5611" s="146"/>
      <c r="AJ5611" s="138">
        <f>AJ5610/AJ5607</f>
        <v>1.0010624867447817</v>
      </c>
      <c r="AK5611" s="132"/>
      <c r="AL5611" s="146"/>
      <c r="AM5611" s="138">
        <f>AM5610/AM5607</f>
        <v>1.0007723011051506</v>
      </c>
      <c r="AN5611" s="132"/>
      <c r="AO5611" s="146"/>
      <c r="AP5611" s="138">
        <f>AP5610/AP5607</f>
        <v>1.0006202744318664</v>
      </c>
      <c r="AQ5611" s="132"/>
      <c r="AR5611" s="146"/>
      <c r="AS5611" s="138">
        <f>AS5610/AS5607</f>
        <v>1.0004982039801005</v>
      </c>
      <c r="AT5611" s="132"/>
      <c r="AU5611" s="146"/>
    </row>
    <row r="5612" spans="15:47" x14ac:dyDescent="0.25">
      <c r="O5612" s="2" t="s">
        <v>26</v>
      </c>
      <c r="P5612" s="7">
        <v>12</v>
      </c>
      <c r="Q5612" s="2"/>
      <c r="R5612" s="181">
        <f>1-R5611/(3*F_GAMMA*R$29)</f>
        <v>0.38127931923914127</v>
      </c>
      <c r="S5612" s="133"/>
      <c r="T5612" s="146"/>
      <c r="U5612" s="138">
        <f>1-U5611/(3*F_GAMMA*U$29)</f>
        <v>0.28842851702942729</v>
      </c>
      <c r="V5612" s="133"/>
      <c r="W5612" s="146"/>
      <c r="X5612" s="138">
        <f>1-X5611/(3*F_GAMMA*X$29)</f>
        <v>0.45189661482252041</v>
      </c>
      <c r="Y5612" s="133"/>
      <c r="Z5612" s="146"/>
      <c r="AA5612" s="138">
        <f>1-AA5611/(3*F_GAMMA*AA$29)</f>
        <v>0.45928177693256012</v>
      </c>
      <c r="AB5612" s="133"/>
      <c r="AC5612" s="146"/>
      <c r="AD5612" s="138">
        <f>1-AD5611/(3*F_GAMMA*AD$29)</f>
        <v>0.44769257067184798</v>
      </c>
      <c r="AE5612" s="133"/>
      <c r="AF5612" s="146"/>
      <c r="AG5612" s="138">
        <f>1-AG5611/(3*F_GAMMA*AG$29)</f>
        <v>0.41715992362981913</v>
      </c>
      <c r="AH5612" s="133"/>
      <c r="AI5612" s="146"/>
      <c r="AJ5612" s="138">
        <f>1-AJ5611/(3*F_GAMMA*AJ$29)</f>
        <v>0.37734205021386313</v>
      </c>
      <c r="AK5612" s="133"/>
      <c r="AL5612" s="146"/>
      <c r="AM5612" s="138">
        <f>1-AM5611/(3*F_GAMMA*AM$29)</f>
        <v>0.31988008123874878</v>
      </c>
      <c r="AN5612" s="133"/>
      <c r="AO5612" s="146"/>
      <c r="AP5612" s="138">
        <f>1-AP5611/(3*F_GAMMA*AP$29)</f>
        <v>0.4380398473582916</v>
      </c>
      <c r="AQ5612" s="133"/>
      <c r="AR5612" s="146"/>
      <c r="AS5612" s="138">
        <f>1-AS5611/(3*F_GAMMA*AS$29)</f>
        <v>0.14699973189197468</v>
      </c>
      <c r="AT5612" s="133"/>
      <c r="AU5612" s="146"/>
    </row>
    <row r="5613" spans="15:47" x14ac:dyDescent="0.25">
      <c r="O5613" s="2" t="s">
        <v>71</v>
      </c>
      <c r="P5613" s="85">
        <v>5</v>
      </c>
      <c r="Q5613" s="2"/>
      <c r="R5613" s="179">
        <f>R5605/((N_6*R$27*R5612)*SQRT(R5611*R5607*R5609))</f>
        <v>62.394847059965038</v>
      </c>
      <c r="S5613" s="133"/>
      <c r="T5613" s="146"/>
      <c r="U5613" s="143">
        <f>U5605/((N_6*U$27*U5612)*SQRT(U5611*U5607*U5609))</f>
        <v>120.64376535904741</v>
      </c>
      <c r="V5613" s="133"/>
      <c r="W5613" s="146"/>
      <c r="X5613" s="143">
        <f>X5605/((N_6*X$27*X5612)*SQRT(X5611*X5607*X5609))</f>
        <v>22.159450940743632</v>
      </c>
      <c r="Y5613" s="133"/>
      <c r="Z5613" s="146"/>
      <c r="AA5613" s="143">
        <f>AA5605/((N_6*AA$27*AA5612)*SQRT(AA5611*AA5607*AA5609))</f>
        <v>10.81862684767875</v>
      </c>
      <c r="AB5613" s="133"/>
      <c r="AC5613" s="146"/>
      <c r="AD5613" s="143">
        <f>AD5605/((N_6*AD$27*AD5612)*SQRT(AD5611*AD5607*AD5609))</f>
        <v>6.7693539527120734</v>
      </c>
      <c r="AE5613" s="133"/>
      <c r="AF5613" s="146"/>
      <c r="AG5613" s="143">
        <f>AG5605/((N_6*AG$27*AG5612)*SQRT(AG5611*AG5607*AG5609))</f>
        <v>5.2781215026303903</v>
      </c>
      <c r="AH5613" s="133"/>
      <c r="AI5613" s="146"/>
      <c r="AJ5613" s="143">
        <f>AJ5605/((N_6*AJ$27*AJ5612)*SQRT(AJ5611*AJ5607*AJ5609))</f>
        <v>4.7486108101983771</v>
      </c>
      <c r="AK5613" s="133"/>
      <c r="AL5613" s="146"/>
      <c r="AM5613" s="143">
        <f>AM5605/((N_6*AM$27*AM5612)*SQRT(AM5611*AM5607*AM5609))</f>
        <v>5.0683535163122375</v>
      </c>
      <c r="AN5613" s="133"/>
      <c r="AO5613" s="146"/>
      <c r="AP5613" s="143">
        <f>AP5605/((N_6*AP$27*AP5612)*SQRT(AP5611*AP5607*AP5609))</f>
        <v>3.7675578089772181</v>
      </c>
      <c r="AQ5613" s="133"/>
      <c r="AR5613" s="146"/>
      <c r="AS5613" s="143">
        <f>AS5605/((N_6*AS$27*AS5612)*SQRT(AS5611*AS5607*AS5609))</f>
        <v>13.219935520720748</v>
      </c>
      <c r="AT5613" s="133"/>
      <c r="AU5613" s="146"/>
    </row>
    <row r="5614" spans="15:47" x14ac:dyDescent="0.25">
      <c r="O5614" s="2" t="s">
        <v>73</v>
      </c>
      <c r="P5614" s="85">
        <v>5</v>
      </c>
      <c r="Q5614" s="2"/>
      <c r="R5614" s="179">
        <f>R5605/((N_6*R$27*0.667)*SQRT(R5615*R5607*R5609))</f>
        <v>48.593041598905842</v>
      </c>
      <c r="S5614" s="133"/>
      <c r="T5614" s="155"/>
      <c r="U5614" s="143">
        <f>U5605/((N_6*U$27*0.667)*SQRT(U5615*U5607*U5609))</f>
        <v>76.223193659805418</v>
      </c>
      <c r="V5614" s="133"/>
      <c r="W5614" s="155"/>
      <c r="X5614" s="143">
        <f>X5605/((N_6*X$27*0.667)*SQRT(X5615*X5607*X5609))</f>
        <v>19.251479847559953</v>
      </c>
      <c r="Y5614" s="133"/>
      <c r="Z5614" s="155"/>
      <c r="AA5614" s="143">
        <f>AA5605/((N_6*AA$27*0.667)*SQRT(AA5615*AA5607*AA5609))</f>
        <v>9.4879339390830264</v>
      </c>
      <c r="AB5614" s="133"/>
      <c r="AC5614" s="155"/>
      <c r="AD5614" s="143">
        <f>AD5605/((N_6*AD$27*0.667)*SQRT(AD5615*AD5607*AD5609))</f>
        <v>5.8486057425470976</v>
      </c>
      <c r="AE5614" s="133"/>
      <c r="AF5614" s="155"/>
      <c r="AG5614" s="143">
        <f>AG5605/((N_6*AG$27*0.667)*SQRT(AG5615*AG5607*AG5609))</f>
        <v>4.365072480568589</v>
      </c>
      <c r="AH5614" s="133"/>
      <c r="AI5614" s="155"/>
      <c r="AJ5614" s="143">
        <f>AJ5605/((N_6*AJ$27*0.667)*SQRT(AJ5615*AJ5607*AJ5609))</f>
        <v>3.6716505777464676</v>
      </c>
      <c r="AK5614" s="133"/>
      <c r="AL5614" s="155"/>
      <c r="AM5614" s="143">
        <f>AM5605/((N_6*AM$27*0.667)*SQRT(AM5615*AM5607*AM5609))</f>
        <v>3.4720153568847056</v>
      </c>
      <c r="AN5614" s="133"/>
      <c r="AO5614" s="155"/>
      <c r="AP5614" s="143">
        <f>AP5605/((N_6*AP$27*0.667)*SQRT(AP5615*AP5607*AP5609))</f>
        <v>3.2126328668454551</v>
      </c>
      <c r="AQ5614" s="133"/>
      <c r="AR5614" s="155"/>
      <c r="AS5614" s="143">
        <f>AS5605/((N_6*AS$27*0.667)*SQRT(AS5615*AS5607*AS5609))</f>
        <v>4.6607440825123598</v>
      </c>
      <c r="AT5614" s="133"/>
      <c r="AU5614" s="155"/>
    </row>
    <row r="5615" spans="15:47" ht="15.5" x14ac:dyDescent="0.4">
      <c r="O5615" s="2" t="s">
        <v>192</v>
      </c>
      <c r="P5615" s="85">
        <v>10</v>
      </c>
      <c r="Q5615" s="2"/>
      <c r="R5615" s="181">
        <f>F_GAMMA*R$29</f>
        <v>0.64002688015162901</v>
      </c>
      <c r="S5615" s="133"/>
      <c r="T5615" s="155"/>
      <c r="U5615" s="138">
        <f>F_GAMMA*U$29</f>
        <v>0.64016782916606918</v>
      </c>
      <c r="V5615" s="133"/>
      <c r="W5615" s="155"/>
      <c r="X5615" s="138">
        <f>F_GAMMA*X$29</f>
        <v>0.6307062319203669</v>
      </c>
      <c r="Y5615" s="133"/>
      <c r="Z5615" s="155"/>
      <c r="AA5615" s="138">
        <f>F_GAMMA*AA$29</f>
        <v>0.62217534213893466</v>
      </c>
      <c r="AB5615" s="133"/>
      <c r="AC5615" s="155"/>
      <c r="AD5615" s="138">
        <f>F_GAMMA*AD$29</f>
        <v>0.60557184969146072</v>
      </c>
      <c r="AE5615" s="133"/>
      <c r="AF5615" s="155"/>
      <c r="AG5615" s="138">
        <f>F_GAMMA*AG$29</f>
        <v>0.57289312142622573</v>
      </c>
      <c r="AH5615" s="133"/>
      <c r="AI5615" s="155"/>
      <c r="AJ5615" s="138">
        <f>F_GAMMA*AJ$29</f>
        <v>0.53590819116049981</v>
      </c>
      <c r="AK5615" s="133"/>
      <c r="AL5615" s="155"/>
      <c r="AM5615" s="138">
        <f>F_GAMMA*AM$29</f>
        <v>0.49048815926850342</v>
      </c>
      <c r="AN5615" s="133"/>
      <c r="AO5615" s="155"/>
      <c r="AP5615" s="138">
        <f>F_GAMMA*AP$29</f>
        <v>0.59352979016280105</v>
      </c>
      <c r="AQ5615" s="133"/>
      <c r="AR5615" s="155"/>
      <c r="AS5615" s="138">
        <f>F_GAMMA*AS$29</f>
        <v>0.39097221161068291</v>
      </c>
      <c r="AT5615" s="133"/>
      <c r="AU5615" s="155"/>
    </row>
    <row r="5616" spans="15:47" x14ac:dyDescent="0.25">
      <c r="O5616" s="2" t="s">
        <v>193</v>
      </c>
      <c r="P5616" s="134"/>
      <c r="Q5616" s="2"/>
      <c r="R5616" s="181">
        <f>IF(R5611&lt;R5615,R5613,R5614)</f>
        <v>48.593041598905842</v>
      </c>
      <c r="S5616" s="133"/>
      <c r="T5616" s="155"/>
      <c r="U5616" s="138">
        <f>IF(U5611&lt;U5615,U5613,U5614)</f>
        <v>76.223193659805418</v>
      </c>
      <c r="V5616" s="133"/>
      <c r="W5616" s="155"/>
      <c r="X5616" s="138">
        <f>IF(X5611&lt;X5615,X5613,X5614)</f>
        <v>19.251479847559953</v>
      </c>
      <c r="Y5616" s="133"/>
      <c r="Z5616" s="155"/>
      <c r="AA5616" s="138">
        <f>IF(AA5611&lt;AA5615,AA5613,AA5614)</f>
        <v>9.4879339390830264</v>
      </c>
      <c r="AB5616" s="133"/>
      <c r="AC5616" s="155"/>
      <c r="AD5616" s="138">
        <f>IF(AD5611&lt;AD5615,AD5613,AD5614)</f>
        <v>5.8486057425470976</v>
      </c>
      <c r="AE5616" s="133"/>
      <c r="AF5616" s="155"/>
      <c r="AG5616" s="138">
        <f>IF(AG5611&lt;AG5615,AG5613,AG5614)</f>
        <v>4.365072480568589</v>
      </c>
      <c r="AH5616" s="133"/>
      <c r="AI5616" s="155"/>
      <c r="AJ5616" s="138">
        <f>IF(AJ5611&lt;AJ5615,AJ5613,AJ5614)</f>
        <v>3.6716505777464676</v>
      </c>
      <c r="AK5616" s="133"/>
      <c r="AL5616" s="155"/>
      <c r="AM5616" s="138">
        <f>IF(AM5611&lt;AM5615,AM5613,AM5614)</f>
        <v>3.4720153568847056</v>
      </c>
      <c r="AN5616" s="133"/>
      <c r="AO5616" s="155"/>
      <c r="AP5616" s="138">
        <f>IF(AP5611&lt;AP5615,AP5613,AP5614)</f>
        <v>3.2126328668454551</v>
      </c>
      <c r="AQ5616" s="133"/>
      <c r="AR5616" s="155"/>
      <c r="AS5616" s="138">
        <f>IF(AS5611&lt;AS5615,AS5613,AS5614)</f>
        <v>4.6607440825123598</v>
      </c>
      <c r="AT5616" s="133"/>
      <c r="AU5616" s="155"/>
    </row>
    <row r="5617" spans="15:47" ht="13" x14ac:dyDescent="0.3">
      <c r="O5617" s="9" t="s">
        <v>194</v>
      </c>
      <c r="P5617" s="1"/>
      <c r="Q5617" s="1"/>
      <c r="R5617" s="135"/>
      <c r="S5617" s="132">
        <f>IF(R5610&lt;=0,W_max,ABS(R$23-R5616))</f>
        <v>7174</v>
      </c>
      <c r="T5617" s="151">
        <f>R5605</f>
        <v>30316.136087248888</v>
      </c>
      <c r="U5617" s="135"/>
      <c r="V5617" s="132">
        <f>IF(U5610&lt;=0,W_max,ABS(U$23-U5616))</f>
        <v>7174</v>
      </c>
      <c r="W5617" s="151">
        <f>U5605</f>
        <v>24374.98581572148</v>
      </c>
      <c r="X5617" s="135"/>
      <c r="Y5617" s="132">
        <f>IF(X5610&lt;=0,W_max,ABS(X$23-X5616))</f>
        <v>7174</v>
      </c>
      <c r="Z5617" s="151">
        <f>X5605</f>
        <v>60282.24057959357</v>
      </c>
      <c r="AA5617" s="135"/>
      <c r="AB5617" s="132">
        <f>IF(AA5610&lt;=0,W_max,ABS(AA$23-AA5616))</f>
        <v>7174</v>
      </c>
      <c r="AC5617" s="151">
        <f>AA5605</f>
        <v>117414.41788363406</v>
      </c>
      <c r="AD5617" s="135"/>
      <c r="AE5617" s="132">
        <f>IF(AD5610&lt;=0,W_max,ABS(AD$23-AD5616))</f>
        <v>7174</v>
      </c>
      <c r="AF5617" s="151">
        <f>AD5605</f>
        <v>193103.48799470009</v>
      </c>
      <c r="AG5617" s="135"/>
      <c r="AH5617" s="132">
        <f>IF(AG5610&lt;=0,W_max,ABS(AG$23-AG5616))</f>
        <v>7174</v>
      </c>
      <c r="AI5617" s="151">
        <f>AG5605</f>
        <v>270842.50821043883</v>
      </c>
      <c r="AJ5617" s="135"/>
      <c r="AK5617" s="132">
        <f>IF(AJ5610&lt;=0,W_max,ABS(AJ$23-AJ5616))</f>
        <v>7174</v>
      </c>
      <c r="AL5617" s="151">
        <f>AJ5605</f>
        <v>343898.11697008379</v>
      </c>
      <c r="AM5617" s="135"/>
      <c r="AN5617" s="132">
        <f>IF(AM5610&lt;=0,W_max,ABS(AM$23-AM5616))</f>
        <v>7174</v>
      </c>
      <c r="AO5617" s="151">
        <f>AM5605</f>
        <v>403247.58798859257</v>
      </c>
      <c r="AP5617" s="135"/>
      <c r="AQ5617" s="132">
        <f>IF(AP5610&lt;=0,W_max,ABS(AP$23-AP5616))</f>
        <v>7174</v>
      </c>
      <c r="AR5617" s="151">
        <f>AP5605</f>
        <v>449890.56978800986</v>
      </c>
      <c r="AS5617" s="135"/>
      <c r="AT5617" s="132">
        <f>IF(AS5610&lt;=0,W_max,ABS(AS$23-AS5616))</f>
        <v>7174</v>
      </c>
      <c r="AU5617" s="151">
        <f>AS5605</f>
        <v>501928.66817570629</v>
      </c>
    </row>
    <row r="5618" spans="15:47" ht="13" x14ac:dyDescent="0.25">
      <c r="O5618" s="2"/>
      <c r="P5618" s="85"/>
      <c r="Q5618" s="2"/>
      <c r="R5618" s="18"/>
      <c r="S5618" s="150"/>
      <c r="T5618" s="148"/>
      <c r="U5618" s="157"/>
      <c r="V5618" s="1"/>
      <c r="W5618" s="147"/>
      <c r="X5618" s="157"/>
      <c r="Y5618" s="1"/>
      <c r="Z5618" s="147"/>
      <c r="AA5618" s="157"/>
      <c r="AB5618" s="1"/>
      <c r="AC5618" s="147"/>
      <c r="AD5618" s="157"/>
      <c r="AE5618" s="1"/>
      <c r="AF5618" s="147"/>
      <c r="AG5618" s="157"/>
      <c r="AH5618" s="1"/>
      <c r="AI5618" s="147"/>
      <c r="AJ5618" s="157"/>
      <c r="AK5618" s="1"/>
      <c r="AL5618" s="147"/>
      <c r="AM5618" s="157"/>
      <c r="AN5618" s="1"/>
      <c r="AO5618" s="147"/>
      <c r="AP5618" s="157"/>
      <c r="AQ5618" s="1"/>
      <c r="AR5618" s="147"/>
      <c r="AS5618" s="157"/>
      <c r="AT5618" s="1"/>
      <c r="AU5618" s="147"/>
    </row>
    <row r="5619" spans="15:47" ht="14" x14ac:dyDescent="0.3">
      <c r="O5619" s="23" t="s">
        <v>238</v>
      </c>
      <c r="P5619" s="20"/>
      <c r="Q5619" s="20"/>
      <c r="R5619" s="181">
        <f>R5605*1.02</f>
        <v>30922.458808993866</v>
      </c>
      <c r="S5619" s="128" t="s">
        <v>185</v>
      </c>
      <c r="T5619" s="149" t="s">
        <v>186</v>
      </c>
      <c r="U5619" s="143">
        <f>U5605*1.01</f>
        <v>24618.735673878695</v>
      </c>
      <c r="V5619" s="128" t="s">
        <v>185</v>
      </c>
      <c r="W5619" s="153" t="s">
        <v>186</v>
      </c>
      <c r="X5619" s="143">
        <f>X5605*1.01</f>
        <v>60885.062985389508</v>
      </c>
      <c r="Y5619" s="128" t="s">
        <v>185</v>
      </c>
      <c r="Z5619" s="153" t="s">
        <v>186</v>
      </c>
      <c r="AA5619" s="143">
        <f>AA5605*1.01</f>
        <v>118588.5620624704</v>
      </c>
      <c r="AB5619" s="128" t="s">
        <v>185</v>
      </c>
      <c r="AC5619" s="153" t="s">
        <v>186</v>
      </c>
      <c r="AD5619" s="143">
        <f>AD5605*1.01</f>
        <v>195034.52287464708</v>
      </c>
      <c r="AE5619" s="128" t="s">
        <v>185</v>
      </c>
      <c r="AF5619" s="153" t="s">
        <v>186</v>
      </c>
      <c r="AG5619" s="143">
        <f>AG5605*1.01</f>
        <v>273550.93329254322</v>
      </c>
      <c r="AH5619" s="128" t="s">
        <v>185</v>
      </c>
      <c r="AI5619" s="153" t="s">
        <v>186</v>
      </c>
      <c r="AJ5619" s="143">
        <f>AJ5605*1.01</f>
        <v>347337.09813978465</v>
      </c>
      <c r="AK5619" s="128" t="s">
        <v>185</v>
      </c>
      <c r="AL5619" s="153" t="s">
        <v>186</v>
      </c>
      <c r="AM5619" s="143">
        <f>AM5605*1.01</f>
        <v>407280.06386847852</v>
      </c>
      <c r="AN5619" s="128" t="s">
        <v>185</v>
      </c>
      <c r="AO5619" s="153" t="s">
        <v>186</v>
      </c>
      <c r="AP5619" s="143">
        <f>AP5605*1.01</f>
        <v>454389.47548588994</v>
      </c>
      <c r="AQ5619" s="128" t="s">
        <v>185</v>
      </c>
      <c r="AR5619" s="153" t="s">
        <v>186</v>
      </c>
      <c r="AS5619" s="143">
        <f>AS5605*1.01</f>
        <v>506947.95485746337</v>
      </c>
      <c r="AT5619" s="128" t="s">
        <v>185</v>
      </c>
      <c r="AU5619" s="153" t="s">
        <v>186</v>
      </c>
    </row>
    <row r="5620" spans="15:47" ht="14" x14ac:dyDescent="0.3">
      <c r="O5620" s="20"/>
      <c r="P5620" s="20"/>
      <c r="Q5620" s="23"/>
      <c r="R5620" s="139"/>
      <c r="S5620" s="130" t="s">
        <v>228</v>
      </c>
      <c r="T5620" s="131" t="s">
        <v>187</v>
      </c>
      <c r="U5620" s="144"/>
      <c r="V5620" s="130" t="s">
        <v>228</v>
      </c>
      <c r="W5620" s="154" t="s">
        <v>187</v>
      </c>
      <c r="X5620" s="144"/>
      <c r="Y5620" s="130" t="s">
        <v>228</v>
      </c>
      <c r="Z5620" s="154" t="s">
        <v>187</v>
      </c>
      <c r="AA5620" s="144"/>
      <c r="AB5620" s="130" t="s">
        <v>228</v>
      </c>
      <c r="AC5620" s="154" t="s">
        <v>187</v>
      </c>
      <c r="AD5620" s="144"/>
      <c r="AE5620" s="130" t="s">
        <v>228</v>
      </c>
      <c r="AF5620" s="154" t="s">
        <v>187</v>
      </c>
      <c r="AG5620" s="144"/>
      <c r="AH5620" s="130" t="s">
        <v>228</v>
      </c>
      <c r="AI5620" s="154" t="s">
        <v>187</v>
      </c>
      <c r="AJ5620" s="144"/>
      <c r="AK5620" s="130" t="s">
        <v>228</v>
      </c>
      <c r="AL5620" s="154" t="s">
        <v>187</v>
      </c>
      <c r="AM5620" s="144"/>
      <c r="AN5620" s="130" t="s">
        <v>228</v>
      </c>
      <c r="AO5620" s="154" t="s">
        <v>187</v>
      </c>
      <c r="AP5620" s="144"/>
      <c r="AQ5620" s="130" t="s">
        <v>228</v>
      </c>
      <c r="AR5620" s="154" t="s">
        <v>187</v>
      </c>
      <c r="AS5620" s="144"/>
      <c r="AT5620" s="130" t="s">
        <v>228</v>
      </c>
      <c r="AU5620" s="154" t="s">
        <v>187</v>
      </c>
    </row>
    <row r="5621" spans="15:47" x14ac:dyDescent="0.25">
      <c r="O5621" s="7" t="s">
        <v>188</v>
      </c>
      <c r="P5621" s="7"/>
      <c r="Q5621" s="7"/>
      <c r="R5621" s="181">
        <f>P_1_minW-(R5619^2*R_up)+dpup_minQ</f>
        <v>-280.7726667717892</v>
      </c>
      <c r="S5621" s="132"/>
      <c r="T5621" s="145"/>
      <c r="U5621" s="138">
        <f>P_1_minW-(U5619^2*R_up)+dpup_minQ</f>
        <v>-141.15964295754699</v>
      </c>
      <c r="V5621" s="132"/>
      <c r="W5621" s="145"/>
      <c r="X5621" s="138">
        <f>P_1_minW-(X5619^2*R_up)+dpup_minQ</f>
        <v>-1377.6837104194126</v>
      </c>
      <c r="Y5621" s="132"/>
      <c r="Z5621" s="145"/>
      <c r="AA5621" s="138">
        <f>P_1_minW-(AA5619^2*R_up)+dpup_minQ</f>
        <v>-5507.36343520418</v>
      </c>
      <c r="AB5621" s="132"/>
      <c r="AC5621" s="145"/>
      <c r="AD5621" s="138">
        <f>P_1_minW-(AD5619^2*R_up)+dpup_minQ</f>
        <v>-15067.765420191492</v>
      </c>
      <c r="AE5621" s="132"/>
      <c r="AF5621" s="145"/>
      <c r="AG5621" s="138">
        <f>P_1_minW-(AG5619^2*R_up)+dpup_minQ</f>
        <v>-29738.870542277393</v>
      </c>
      <c r="AH5621" s="132"/>
      <c r="AI5621" s="145"/>
      <c r="AJ5621" s="138">
        <f>P_1_minW-(AJ5619^2*R_up)+dpup_minQ</f>
        <v>-48007.325280524026</v>
      </c>
      <c r="AK5621" s="132"/>
      <c r="AL5621" s="145"/>
      <c r="AM5621" s="138">
        <f>P_1_minW-(AM5619^2*R_up)+dpup_minQ</f>
        <v>-66044.914477533748</v>
      </c>
      <c r="AN5621" s="132"/>
      <c r="AO5621" s="145"/>
      <c r="AP5621" s="138">
        <f>P_1_minW-(AP5619^2*R_up)+dpup_minQ</f>
        <v>-82231.752026260292</v>
      </c>
      <c r="AQ5621" s="132"/>
      <c r="AR5621" s="145"/>
      <c r="AS5621" s="138">
        <f>P_1_minW-(AS5619^2*R_up)+dpup_minQ</f>
        <v>-102379.76544237201</v>
      </c>
      <c r="AT5621" s="132"/>
      <c r="AU5621" s="145"/>
    </row>
    <row r="5622" spans="15:47" x14ac:dyDescent="0.25">
      <c r="O5622" s="7" t="s">
        <v>189</v>
      </c>
      <c r="P5622" s="1"/>
      <c r="Q5622" s="7"/>
      <c r="R5622" s="181">
        <f>P_2_minW+(R5619^2*R_dn)-dpdn_minQ</f>
        <v>50</v>
      </c>
      <c r="S5622" s="132"/>
      <c r="T5622" s="146"/>
      <c r="U5622" s="138">
        <f>P_2_minW+(U5619^2*R_dn)-dpdn_minQ</f>
        <v>50</v>
      </c>
      <c r="V5622" s="132"/>
      <c r="W5622" s="146"/>
      <c r="X5622" s="138">
        <f>P_2_minW+(X5619^2*R_dn)-dpdn_minQ</f>
        <v>50</v>
      </c>
      <c r="Y5622" s="132"/>
      <c r="Z5622" s="146"/>
      <c r="AA5622" s="138">
        <f>P_2_minW+(AA5619^2*R_dn)-dpdn_minQ</f>
        <v>50</v>
      </c>
      <c r="AB5622" s="132"/>
      <c r="AC5622" s="146"/>
      <c r="AD5622" s="138">
        <f>P_2_minW+(AD5619^2*R_dn)-dpdn_minQ</f>
        <v>50</v>
      </c>
      <c r="AE5622" s="132"/>
      <c r="AF5622" s="146"/>
      <c r="AG5622" s="138">
        <f>P_2_minW+(AG5619^2*R_dn)-dpdn_minQ</f>
        <v>50</v>
      </c>
      <c r="AH5622" s="132"/>
      <c r="AI5622" s="146"/>
      <c r="AJ5622" s="138">
        <f>P_2_minW+(AJ5619^2*R_dn)-dpdn_minQ</f>
        <v>50</v>
      </c>
      <c r="AK5622" s="132"/>
      <c r="AL5622" s="146"/>
      <c r="AM5622" s="138">
        <f>P_2_minW+(AM5619^2*R_dn)-dpdn_minQ</f>
        <v>50</v>
      </c>
      <c r="AN5622" s="132"/>
      <c r="AO5622" s="146"/>
      <c r="AP5622" s="138">
        <f>P_2_minW+(AP5619^2*R_dn)-dpdn_minQ</f>
        <v>50</v>
      </c>
      <c r="AQ5622" s="132"/>
      <c r="AR5622" s="146"/>
      <c r="AS5622" s="138">
        <f>P_2_minW+(AS5619^2*R_dn)-dpdn_minQ</f>
        <v>50</v>
      </c>
      <c r="AT5622" s="132"/>
      <c r="AU5622" s="146"/>
    </row>
    <row r="5623" spans="15:47" x14ac:dyDescent="0.25">
      <c r="O5623" s="7" t="s">
        <v>234</v>
      </c>
      <c r="P5623" s="1"/>
      <c r="Q5623" s="7"/>
      <c r="R5623" s="179">
        <f>'Valve Sizing'!G$8*R5621/P_1_maxW</f>
        <v>-1.3543973560148874</v>
      </c>
      <c r="S5623" s="132"/>
      <c r="T5623" s="146"/>
      <c r="U5623" s="143">
        <f>'Valve Sizing'!$G$8*U5621/P_1_maxW</f>
        <v>-0.68092898570181171</v>
      </c>
      <c r="V5623" s="132"/>
      <c r="W5623" s="146"/>
      <c r="X5623" s="143">
        <f>'Valve Sizing'!$G$8*X5621/P_1_maxW</f>
        <v>-6.6457009375967955</v>
      </c>
      <c r="Y5623" s="132"/>
      <c r="Z5623" s="146"/>
      <c r="AA5623" s="143">
        <f>'Valve Sizing'!$G$8*AA5621/P_1_maxW</f>
        <v>-26.56654068580109</v>
      </c>
      <c r="AB5623" s="132"/>
      <c r="AC5623" s="146"/>
      <c r="AD5623" s="143">
        <f>'Valve Sizing'!$G$8*AD5621/P_1_maxW</f>
        <v>-72.68421773671875</v>
      </c>
      <c r="AE5623" s="132"/>
      <c r="AF5623" s="146"/>
      <c r="AG5623" s="143">
        <f>'Valve Sizing'!$G$8*AG5621/P_1_maxW</f>
        <v>-143.45501681638942</v>
      </c>
      <c r="AH5623" s="132"/>
      <c r="AI5623" s="146"/>
      <c r="AJ5623" s="143">
        <f>'Valve Sizing'!$G$8*AJ5621/P_1_maxW</f>
        <v>-231.57878997579627</v>
      </c>
      <c r="AK5623" s="132"/>
      <c r="AL5623" s="146"/>
      <c r="AM5623" s="143">
        <f>'Valve Sizing'!$G$8*AM5621/P_1_maxW</f>
        <v>-318.58890886735242</v>
      </c>
      <c r="AN5623" s="132"/>
      <c r="AO5623" s="146"/>
      <c r="AP5623" s="143">
        <f>'Valve Sizing'!$G$8*AP5621/P_1_maxW</f>
        <v>-396.67133131361209</v>
      </c>
      <c r="AQ5623" s="132"/>
      <c r="AR5623" s="146"/>
      <c r="AS5623" s="143">
        <f>'Valve Sizing'!$G$8*AS5621/P_1_maxW</f>
        <v>-493.8617609002431</v>
      </c>
      <c r="AT5623" s="132"/>
      <c r="AU5623" s="146"/>
    </row>
    <row r="5624" spans="15:47" x14ac:dyDescent="0.25">
      <c r="O5624" s="7" t="s">
        <v>190</v>
      </c>
      <c r="P5624" s="1"/>
      <c r="Q5624" s="7"/>
      <c r="R5624" s="181">
        <f>R5621-R5622</f>
        <v>-330.7726667717892</v>
      </c>
      <c r="S5624" s="132"/>
      <c r="T5624" s="146"/>
      <c r="U5624" s="138">
        <f>U5621-U5622</f>
        <v>-191.15964295754699</v>
      </c>
      <c r="V5624" s="132"/>
      <c r="W5624" s="146"/>
      <c r="X5624" s="138">
        <f>X5621-X5622</f>
        <v>-1427.6837104194126</v>
      </c>
      <c r="Y5624" s="132"/>
      <c r="Z5624" s="146"/>
      <c r="AA5624" s="138">
        <f>AA5621-AA5622</f>
        <v>-5557.36343520418</v>
      </c>
      <c r="AB5624" s="132"/>
      <c r="AC5624" s="146"/>
      <c r="AD5624" s="138">
        <f>AD5621-AD5622</f>
        <v>-15117.765420191492</v>
      </c>
      <c r="AE5624" s="132"/>
      <c r="AF5624" s="146"/>
      <c r="AG5624" s="138">
        <f>AG5621-AG5622</f>
        <v>-29788.870542277393</v>
      </c>
      <c r="AH5624" s="132"/>
      <c r="AI5624" s="146"/>
      <c r="AJ5624" s="138">
        <f>AJ5621-AJ5622</f>
        <v>-48057.325280524026</v>
      </c>
      <c r="AK5624" s="132"/>
      <c r="AL5624" s="146"/>
      <c r="AM5624" s="138">
        <f>AM5621-AM5622</f>
        <v>-66094.914477533748</v>
      </c>
      <c r="AN5624" s="132"/>
      <c r="AO5624" s="146"/>
      <c r="AP5624" s="138">
        <f>AP5621-AP5622</f>
        <v>-82281.752026260292</v>
      </c>
      <c r="AQ5624" s="132"/>
      <c r="AR5624" s="146"/>
      <c r="AS5624" s="138">
        <f>AS5621-AS5622</f>
        <v>-102429.76544237201</v>
      </c>
      <c r="AT5624" s="132"/>
      <c r="AU5624" s="146"/>
    </row>
    <row r="5625" spans="15:47" ht="14.5" x14ac:dyDescent="0.35">
      <c r="O5625" s="2" t="s">
        <v>191</v>
      </c>
      <c r="P5625" s="10"/>
      <c r="Q5625" s="2"/>
      <c r="R5625" s="181">
        <f>R5624/R5621</f>
        <v>1.1780800124701589</v>
      </c>
      <c r="S5625" s="132"/>
      <c r="T5625" s="146"/>
      <c r="U5625" s="138">
        <f>U5624/U5621</f>
        <v>1.3542088868490354</v>
      </c>
      <c r="V5625" s="132"/>
      <c r="W5625" s="146"/>
      <c r="X5625" s="138">
        <f>X5624/X5621</f>
        <v>1.0362928004605487</v>
      </c>
      <c r="Y5625" s="132"/>
      <c r="Z5625" s="146"/>
      <c r="AA5625" s="138">
        <f>AA5624/AA5621</f>
        <v>1.0090787543964121</v>
      </c>
      <c r="AB5625" s="132"/>
      <c r="AC5625" s="146"/>
      <c r="AD5625" s="138">
        <f>AD5624/AD5621</f>
        <v>1.0033183420769876</v>
      </c>
      <c r="AE5625" s="132"/>
      <c r="AF5625" s="146"/>
      <c r="AG5625" s="138">
        <f>AG5624/AG5621</f>
        <v>1.0016813012427261</v>
      </c>
      <c r="AH5625" s="132"/>
      <c r="AI5625" s="146"/>
      <c r="AJ5625" s="138">
        <f>AJ5624/AJ5621</f>
        <v>1.0010415077221617</v>
      </c>
      <c r="AK5625" s="132"/>
      <c r="AL5625" s="146"/>
      <c r="AM5625" s="138">
        <f>AM5624/AM5621</f>
        <v>1.0007570605609157</v>
      </c>
      <c r="AN5625" s="132"/>
      <c r="AO5625" s="146"/>
      <c r="AP5625" s="138">
        <f>AP5624/AP5621</f>
        <v>1.0006080376347086</v>
      </c>
      <c r="AQ5625" s="132"/>
      <c r="AR5625" s="146"/>
      <c r="AS5625" s="138">
        <f>AS5624/AS5621</f>
        <v>1.0004883777549594</v>
      </c>
      <c r="AT5625" s="132"/>
      <c r="AU5625" s="146"/>
    </row>
    <row r="5626" spans="15:47" x14ac:dyDescent="0.25">
      <c r="O5626" s="2" t="s">
        <v>26</v>
      </c>
      <c r="P5626" s="7">
        <v>12</v>
      </c>
      <c r="Q5626" s="2"/>
      <c r="R5626" s="181">
        <f>1-R5625/(3*F_GAMMA*R$29)</f>
        <v>0.38644242973510756</v>
      </c>
      <c r="S5626" s="133"/>
      <c r="T5626" s="146"/>
      <c r="U5626" s="138">
        <f>1-U5625/(3*F_GAMMA*U$29)</f>
        <v>0.29486778042088857</v>
      </c>
      <c r="V5626" s="133"/>
      <c r="W5626" s="146"/>
      <c r="X5626" s="138">
        <f>1-X5625/(3*F_GAMMA*X$29)</f>
        <v>0.45231089213264064</v>
      </c>
      <c r="Y5626" s="133"/>
      <c r="Z5626" s="146"/>
      <c r="AA5626" s="138">
        <f>1-AA5625/(3*F_GAMMA*AA$29)</f>
        <v>0.45938136403404206</v>
      </c>
      <c r="AB5626" s="133"/>
      <c r="AC5626" s="146"/>
      <c r="AD5626" s="138">
        <f>1-AD5625/(3*F_GAMMA*AD$29)</f>
        <v>0.44772953444022712</v>
      </c>
      <c r="AE5626" s="133"/>
      <c r="AF5626" s="146"/>
      <c r="AG5626" s="138">
        <f>1-AG5625/(3*F_GAMMA*AG$29)</f>
        <v>0.417179654296293</v>
      </c>
      <c r="AH5626" s="133"/>
      <c r="AI5626" s="146"/>
      <c r="AJ5626" s="138">
        <f>1-AJ5625/(3*F_GAMMA*AJ$29)</f>
        <v>0.37735509910480258</v>
      </c>
      <c r="AK5626" s="133"/>
      <c r="AL5626" s="146"/>
      <c r="AM5626" s="138">
        <f>1-AM5625/(3*F_GAMMA*AM$29)</f>
        <v>0.31989043863742528</v>
      </c>
      <c r="AN5626" s="133"/>
      <c r="AO5626" s="146"/>
      <c r="AP5626" s="138">
        <f>1-AP5625/(3*F_GAMMA*AP$29)</f>
        <v>0.43804671968795983</v>
      </c>
      <c r="AQ5626" s="133"/>
      <c r="AR5626" s="146"/>
      <c r="AS5626" s="138">
        <f>1-AS5625/(3*F_GAMMA*AS$29)</f>
        <v>0.14700810949090137</v>
      </c>
      <c r="AT5626" s="133"/>
      <c r="AU5626" s="146"/>
    </row>
    <row r="5627" spans="15:47" x14ac:dyDescent="0.25">
      <c r="O5627" s="2" t="s">
        <v>71</v>
      </c>
      <c r="P5627" s="85">
        <v>5</v>
      </c>
      <c r="Q5627" s="2"/>
      <c r="R5627" s="179">
        <f>R5619/((N_6*R$27*R5626)*SQRT(R5625*R5621*R5623))</f>
        <v>59.730906973355786</v>
      </c>
      <c r="S5627" s="133"/>
      <c r="T5627" s="146"/>
      <c r="U5627" s="143">
        <f>U5619/((N_6*U$27*U5626)*SQRT(U5625*U5621*U5623))</f>
        <v>115.69301027935076</v>
      </c>
      <c r="V5627" s="133"/>
      <c r="W5627" s="146"/>
      <c r="X5627" s="143">
        <f>X5619/((N_6*X$27*X5626)*SQRT(X5625*X5621*X5623))</f>
        <v>21.896084013871647</v>
      </c>
      <c r="Y5627" s="133"/>
      <c r="Z5627" s="146"/>
      <c r="AA5627" s="143">
        <f>AA5619/((N_6*AA$27*AA5626)*SQRT(AA5625*AA5621*AA5623))</f>
        <v>10.706246670384179</v>
      </c>
      <c r="AB5627" s="133"/>
      <c r="AC5627" s="146"/>
      <c r="AD5627" s="143">
        <f>AD5619/((N_6*AD$27*AD5626)*SQRT(AD5625*AD5621*AD5623))</f>
        <v>6.7011028834921946</v>
      </c>
      <c r="AE5627" s="133"/>
      <c r="AF5627" s="146"/>
      <c r="AG5627" s="143">
        <f>AG5619/((N_6*AG$27*AG5626)*SQRT(AG5625*AG5621*AG5623))</f>
        <v>5.2253491244412098</v>
      </c>
      <c r="AH5627" s="133"/>
      <c r="AI5627" s="146"/>
      <c r="AJ5627" s="143">
        <f>AJ5619/((N_6*AJ$27*AJ5626)*SQRT(AJ5625*AJ5621*AJ5623))</f>
        <v>4.7012836716186222</v>
      </c>
      <c r="AK5627" s="133"/>
      <c r="AL5627" s="146"/>
      <c r="AM5627" s="143">
        <f>AM5619/((N_6*AM$27*AM5626)*SQRT(AM5625*AM5621*AM5623))</f>
        <v>5.0178940128852654</v>
      </c>
      <c r="AN5627" s="133"/>
      <c r="AO5627" s="146"/>
      <c r="AP5627" s="143">
        <f>AP5619/((N_6*AP$27*AP5626)*SQRT(AP5625*AP5621*AP5623))</f>
        <v>3.7301278880635151</v>
      </c>
      <c r="AQ5627" s="133"/>
      <c r="AR5627" s="146"/>
      <c r="AS5627" s="143">
        <f>AS5619/((N_6*AS$27*AS5626)*SQRT(AS5625*AS5621*AS5623))</f>
        <v>13.088105128700558</v>
      </c>
      <c r="AT5627" s="133"/>
      <c r="AU5627" s="146"/>
    </row>
    <row r="5628" spans="15:47" x14ac:dyDescent="0.25">
      <c r="O5628" s="2" t="s">
        <v>73</v>
      </c>
      <c r="P5628" s="85">
        <v>5</v>
      </c>
      <c r="Q5628" s="2"/>
      <c r="R5628" s="179">
        <f>R5619/((N_6*R$27*0.667)*SQRT(R5629*R5621*R5623))</f>
        <v>46.95116427929517</v>
      </c>
      <c r="S5628" s="133"/>
      <c r="T5628" s="147"/>
      <c r="U5628" s="143">
        <f>U5619/((N_6*U$27*0.667)*SQRT(U5629*U5621*U5623))</f>
        <v>74.388279670540811</v>
      </c>
      <c r="V5628" s="133"/>
      <c r="W5628" s="155"/>
      <c r="X5628" s="143">
        <f>X5619/((N_6*X$27*0.667)*SQRT(X5629*X5621*X5623))</f>
        <v>19.032916502937841</v>
      </c>
      <c r="Y5628" s="133"/>
      <c r="Z5628" s="155"/>
      <c r="AA5628" s="143">
        <f>AA5619/((N_6*AA$27*0.667)*SQRT(AA5629*AA5621*AA5623))</f>
        <v>9.3905475876873776</v>
      </c>
      <c r="AB5628" s="133"/>
      <c r="AC5628" s="155"/>
      <c r="AD5628" s="143">
        <f>AD5619/((N_6*AD$27*0.667)*SQRT(AD5629*AD5621*AD5623))</f>
        <v>5.78992225278121</v>
      </c>
      <c r="AE5628" s="133"/>
      <c r="AF5628" s="155"/>
      <c r="AG5628" s="143">
        <f>AG5619/((N_6*AG$27*0.667)*SQRT(AG5629*AG5621*AG5623))</f>
        <v>4.3215603072576245</v>
      </c>
      <c r="AH5628" s="133"/>
      <c r="AI5628" s="155"/>
      <c r="AJ5628" s="143">
        <f>AJ5619/((N_6*AJ$27*0.667)*SQRT(AJ5629*AJ5621*AJ5623))</f>
        <v>3.6351446011632729</v>
      </c>
      <c r="AK5628" s="133"/>
      <c r="AL5628" s="155"/>
      <c r="AM5628" s="143">
        <f>AM5619/((N_6*AM$27*0.667)*SQRT(AM5629*AM5621*AM5623))</f>
        <v>3.4375337997347297</v>
      </c>
      <c r="AN5628" s="133"/>
      <c r="AO5628" s="155"/>
      <c r="AP5628" s="143">
        <f>AP5619/((N_6*AP$27*0.667)*SQRT(AP5629*AP5621*AP5623))</f>
        <v>3.1807464649209036</v>
      </c>
      <c r="AQ5628" s="133"/>
      <c r="AR5628" s="155"/>
      <c r="AS5628" s="143">
        <f>AS5619/((N_6*AS$27*0.667)*SQRT(AS5629*AS5621*AS5623))</f>
        <v>4.6145070304502669</v>
      </c>
      <c r="AT5628" s="133"/>
      <c r="AU5628" s="155"/>
    </row>
    <row r="5629" spans="15:47" ht="15.5" x14ac:dyDescent="0.4">
      <c r="O5629" s="2" t="s">
        <v>192</v>
      </c>
      <c r="P5629" s="85">
        <v>10</v>
      </c>
      <c r="Q5629" s="2"/>
      <c r="R5629" s="181">
        <f>F_GAMMA*R$29</f>
        <v>0.64002688015162901</v>
      </c>
      <c r="S5629" s="133"/>
      <c r="T5629" s="147"/>
      <c r="U5629" s="138">
        <f>F_GAMMA*U$29</f>
        <v>0.64016782916606918</v>
      </c>
      <c r="V5629" s="133"/>
      <c r="W5629" s="155"/>
      <c r="X5629" s="138">
        <f>F_GAMMA*X$29</f>
        <v>0.6307062319203669</v>
      </c>
      <c r="Y5629" s="133"/>
      <c r="Z5629" s="155"/>
      <c r="AA5629" s="138">
        <f>F_GAMMA*AA$29</f>
        <v>0.62217534213893466</v>
      </c>
      <c r="AB5629" s="133"/>
      <c r="AC5629" s="155"/>
      <c r="AD5629" s="138">
        <f>F_GAMMA*AD$29</f>
        <v>0.60557184969146072</v>
      </c>
      <c r="AE5629" s="133"/>
      <c r="AF5629" s="155"/>
      <c r="AG5629" s="138">
        <f>F_GAMMA*AG$29</f>
        <v>0.57289312142622573</v>
      </c>
      <c r="AH5629" s="133"/>
      <c r="AI5629" s="155"/>
      <c r="AJ5629" s="138">
        <f>F_GAMMA*AJ$29</f>
        <v>0.53590819116049981</v>
      </c>
      <c r="AK5629" s="133"/>
      <c r="AL5629" s="155"/>
      <c r="AM5629" s="138">
        <f>F_GAMMA*AM$29</f>
        <v>0.49048815926850342</v>
      </c>
      <c r="AN5629" s="133"/>
      <c r="AO5629" s="155"/>
      <c r="AP5629" s="138">
        <f>F_GAMMA*AP$29</f>
        <v>0.59352979016280105</v>
      </c>
      <c r="AQ5629" s="133"/>
      <c r="AR5629" s="155"/>
      <c r="AS5629" s="138">
        <f>F_GAMMA*AS$29</f>
        <v>0.39097221161068291</v>
      </c>
      <c r="AT5629" s="133"/>
      <c r="AU5629" s="155"/>
    </row>
    <row r="5630" spans="15:47" x14ac:dyDescent="0.25">
      <c r="O5630" s="2" t="s">
        <v>193</v>
      </c>
      <c r="P5630" s="134"/>
      <c r="Q5630" s="2"/>
      <c r="R5630" s="181">
        <f>IF(R5625&lt;R5629,R5627,R5628)</f>
        <v>46.95116427929517</v>
      </c>
      <c r="S5630" s="133"/>
      <c r="T5630" s="147"/>
      <c r="U5630" s="138">
        <f>IF(U5625&lt;U5629,U5627,U5628)</f>
        <v>74.388279670540811</v>
      </c>
      <c r="V5630" s="133"/>
      <c r="W5630" s="155"/>
      <c r="X5630" s="138">
        <f>IF(X5625&lt;X5629,X5627,X5628)</f>
        <v>19.032916502937841</v>
      </c>
      <c r="Y5630" s="133"/>
      <c r="Z5630" s="155"/>
      <c r="AA5630" s="138">
        <f>IF(AA5625&lt;AA5629,AA5627,AA5628)</f>
        <v>9.3905475876873776</v>
      </c>
      <c r="AB5630" s="133"/>
      <c r="AC5630" s="155"/>
      <c r="AD5630" s="138">
        <f>IF(AD5625&lt;AD5629,AD5627,AD5628)</f>
        <v>5.78992225278121</v>
      </c>
      <c r="AE5630" s="133"/>
      <c r="AF5630" s="155"/>
      <c r="AG5630" s="138">
        <f>IF(AG5625&lt;AG5629,AG5627,AG5628)</f>
        <v>4.3215603072576245</v>
      </c>
      <c r="AH5630" s="133"/>
      <c r="AI5630" s="155"/>
      <c r="AJ5630" s="138">
        <f>IF(AJ5625&lt;AJ5629,AJ5627,AJ5628)</f>
        <v>3.6351446011632729</v>
      </c>
      <c r="AK5630" s="133"/>
      <c r="AL5630" s="155"/>
      <c r="AM5630" s="138">
        <f>IF(AM5625&lt;AM5629,AM5627,AM5628)</f>
        <v>3.4375337997347297</v>
      </c>
      <c r="AN5630" s="133"/>
      <c r="AO5630" s="155"/>
      <c r="AP5630" s="138">
        <f>IF(AP5625&lt;AP5629,AP5627,AP5628)</f>
        <v>3.1807464649209036</v>
      </c>
      <c r="AQ5630" s="133"/>
      <c r="AR5630" s="155"/>
      <c r="AS5630" s="138">
        <f>IF(AS5625&lt;AS5629,AS5627,AS5628)</f>
        <v>4.6145070304502669</v>
      </c>
      <c r="AT5630" s="133"/>
      <c r="AU5630" s="155"/>
    </row>
    <row r="5631" spans="15:47" ht="13" x14ac:dyDescent="0.3">
      <c r="O5631" s="9" t="s">
        <v>194</v>
      </c>
      <c r="P5631" s="1"/>
      <c r="Q5631" s="1"/>
      <c r="R5631" s="135"/>
      <c r="S5631" s="132">
        <f>IF(R5624&lt;=0,W_max,ABS(R$23-R5630))</f>
        <v>7174</v>
      </c>
      <c r="T5631" s="151">
        <f>R5619</f>
        <v>30922.458808993866</v>
      </c>
      <c r="U5631" s="135"/>
      <c r="V5631" s="132">
        <f>IF(U5624&lt;=0,W_max,ABS(U$23-U5630))</f>
        <v>7174</v>
      </c>
      <c r="W5631" s="151">
        <f>U5619</f>
        <v>24618.735673878695</v>
      </c>
      <c r="X5631" s="135"/>
      <c r="Y5631" s="132">
        <f>IF(X5624&lt;=0,W_max,ABS(X$23-X5630))</f>
        <v>7174</v>
      </c>
      <c r="Z5631" s="151">
        <f>X5619</f>
        <v>60885.062985389508</v>
      </c>
      <c r="AA5631" s="135"/>
      <c r="AB5631" s="132">
        <f>IF(AA5624&lt;=0,W_max,ABS(AA$23-AA5630))</f>
        <v>7174</v>
      </c>
      <c r="AC5631" s="151">
        <f>AA5619</f>
        <v>118588.5620624704</v>
      </c>
      <c r="AD5631" s="135"/>
      <c r="AE5631" s="132">
        <f>IF(AD5624&lt;=0,W_max,ABS(AD$23-AD5630))</f>
        <v>7174</v>
      </c>
      <c r="AF5631" s="151">
        <f>AD5619</f>
        <v>195034.52287464708</v>
      </c>
      <c r="AG5631" s="135"/>
      <c r="AH5631" s="132">
        <f>IF(AG5624&lt;=0,W_max,ABS(AG$23-AG5630))</f>
        <v>7174</v>
      </c>
      <c r="AI5631" s="151">
        <f>AG5619</f>
        <v>273550.93329254322</v>
      </c>
      <c r="AJ5631" s="135"/>
      <c r="AK5631" s="132">
        <f>IF(AJ5624&lt;=0,W_max,ABS(AJ$23-AJ5630))</f>
        <v>7174</v>
      </c>
      <c r="AL5631" s="151">
        <f>AJ5619</f>
        <v>347337.09813978465</v>
      </c>
      <c r="AM5631" s="135"/>
      <c r="AN5631" s="132">
        <f>IF(AM5624&lt;=0,W_max,ABS(AM$23-AM5630))</f>
        <v>7174</v>
      </c>
      <c r="AO5631" s="151">
        <f>AM5619</f>
        <v>407280.06386847852</v>
      </c>
      <c r="AP5631" s="135"/>
      <c r="AQ5631" s="132">
        <f>IF(AP5624&lt;=0,W_max,ABS(AP$23-AP5630))</f>
        <v>7174</v>
      </c>
      <c r="AR5631" s="151">
        <f>AP5619</f>
        <v>454389.47548588994</v>
      </c>
      <c r="AS5631" s="135"/>
      <c r="AT5631" s="132">
        <f>IF(AS5624&lt;=0,W_max,ABS(AS$23-AS5630))</f>
        <v>7174</v>
      </c>
      <c r="AU5631" s="151">
        <f>AS5619</f>
        <v>506947.95485746337</v>
      </c>
    </row>
    <row r="5632" spans="15:47" ht="13" x14ac:dyDescent="0.25">
      <c r="R5632" s="7"/>
      <c r="U5632" s="24"/>
      <c r="V5632" s="12"/>
      <c r="W5632" s="12"/>
    </row>
    <row r="5633" spans="18:23" ht="13" x14ac:dyDescent="0.25">
      <c r="R5633" s="7"/>
      <c r="U5633" s="159"/>
      <c r="V5633" s="140"/>
      <c r="W5633" s="160"/>
    </row>
    <row r="5634" spans="18:23" ht="13" x14ac:dyDescent="0.25">
      <c r="R5634" s="7"/>
      <c r="U5634" s="12"/>
      <c r="V5634" s="140"/>
      <c r="W5634" s="160"/>
    </row>
    <row r="5635" spans="18:23" x14ac:dyDescent="0.25">
      <c r="R5635" s="7"/>
      <c r="U5635" s="159"/>
      <c r="V5635" s="26"/>
      <c r="W5635" s="26"/>
    </row>
    <row r="5636" spans="18:23" x14ac:dyDescent="0.25">
      <c r="R5636" s="7"/>
      <c r="U5636" s="159"/>
      <c r="V5636" s="26"/>
      <c r="W5636" s="26"/>
    </row>
    <row r="5637" spans="18:23" x14ac:dyDescent="0.25">
      <c r="R5637" s="7"/>
      <c r="U5637" s="159"/>
      <c r="V5637" s="26"/>
      <c r="W5637" s="26"/>
    </row>
    <row r="5638" spans="18:23" x14ac:dyDescent="0.25">
      <c r="R5638" s="7"/>
      <c r="U5638" s="159"/>
      <c r="V5638" s="26"/>
      <c r="W5638" s="26"/>
    </row>
    <row r="5639" spans="18:23" x14ac:dyDescent="0.25">
      <c r="R5639" s="7"/>
      <c r="U5639" s="159"/>
      <c r="V5639" s="26"/>
      <c r="W5639" s="26"/>
    </row>
    <row r="5640" spans="18:23" x14ac:dyDescent="0.25">
      <c r="R5640" s="7"/>
      <c r="U5640" s="159"/>
      <c r="V5640" s="12"/>
      <c r="W5640" s="26"/>
    </row>
    <row r="5641" spans="18:23" x14ac:dyDescent="0.25">
      <c r="R5641" s="7"/>
      <c r="U5641" s="159"/>
      <c r="V5641" s="12"/>
      <c r="W5641" s="26"/>
    </row>
    <row r="5642" spans="18:23" x14ac:dyDescent="0.25">
      <c r="R5642" s="7"/>
      <c r="U5642" s="159"/>
      <c r="V5642" s="12"/>
      <c r="W5642" s="25"/>
    </row>
    <row r="5643" spans="18:23" x14ac:dyDescent="0.25">
      <c r="R5643" s="7"/>
      <c r="U5643" s="159"/>
      <c r="V5643" s="12"/>
      <c r="W5643" s="25"/>
    </row>
    <row r="5644" spans="18:23" x14ac:dyDescent="0.25">
      <c r="R5644" s="7"/>
      <c r="U5644" s="159"/>
      <c r="V5644" s="12"/>
      <c r="W5644" s="25"/>
    </row>
    <row r="5645" spans="18:23" ht="13" x14ac:dyDescent="0.3">
      <c r="R5645" s="7"/>
      <c r="U5645" s="36"/>
      <c r="V5645" s="26"/>
      <c r="W5645" s="159"/>
    </row>
    <row r="5646" spans="18:23" ht="13" x14ac:dyDescent="0.25">
      <c r="R5646" s="7"/>
      <c r="U5646" s="24"/>
      <c r="V5646" s="12"/>
      <c r="W5646" s="12"/>
    </row>
    <row r="5647" spans="18:23" ht="13" x14ac:dyDescent="0.25">
      <c r="R5647" s="7"/>
      <c r="U5647" s="159"/>
      <c r="V5647" s="140"/>
      <c r="W5647" s="160"/>
    </row>
    <row r="5648" spans="18:23" ht="13" x14ac:dyDescent="0.25">
      <c r="R5648" s="7"/>
      <c r="U5648" s="12"/>
      <c r="V5648" s="140"/>
      <c r="W5648" s="160"/>
    </row>
    <row r="5649" spans="18:23" x14ac:dyDescent="0.25">
      <c r="R5649" s="7"/>
      <c r="U5649" s="159"/>
      <c r="V5649" s="26"/>
      <c r="W5649" s="26"/>
    </row>
    <row r="5650" spans="18:23" x14ac:dyDescent="0.25">
      <c r="R5650" s="7"/>
      <c r="U5650" s="159"/>
      <c r="V5650" s="26"/>
      <c r="W5650" s="26"/>
    </row>
    <row r="5651" spans="18:23" x14ac:dyDescent="0.25">
      <c r="R5651" s="7"/>
      <c r="U5651" s="159"/>
      <c r="V5651" s="26"/>
      <c r="W5651" s="26"/>
    </row>
    <row r="5652" spans="18:23" x14ac:dyDescent="0.25">
      <c r="R5652" s="7"/>
      <c r="U5652" s="159"/>
      <c r="V5652" s="26"/>
      <c r="W5652" s="26"/>
    </row>
    <row r="5653" spans="18:23" x14ac:dyDescent="0.25">
      <c r="R5653" s="7"/>
      <c r="U5653" s="159"/>
      <c r="V5653" s="26"/>
      <c r="W5653" s="26"/>
    </row>
    <row r="5654" spans="18:23" x14ac:dyDescent="0.25">
      <c r="R5654" s="7"/>
      <c r="U5654" s="159"/>
      <c r="V5654" s="12"/>
      <c r="W5654" s="26"/>
    </row>
    <row r="5655" spans="18:23" x14ac:dyDescent="0.25">
      <c r="R5655" s="7"/>
      <c r="U5655" s="159"/>
      <c r="V5655" s="12"/>
      <c r="W5655" s="26"/>
    </row>
    <row r="5656" spans="18:23" x14ac:dyDescent="0.25">
      <c r="R5656" s="7"/>
      <c r="U5656" s="159"/>
      <c r="V5656" s="12"/>
      <c r="W5656" s="25"/>
    </row>
    <row r="5657" spans="18:23" x14ac:dyDescent="0.25">
      <c r="R5657" s="7"/>
      <c r="U5657" s="159"/>
      <c r="V5657" s="12"/>
      <c r="W5657" s="25"/>
    </row>
    <row r="5658" spans="18:23" x14ac:dyDescent="0.25">
      <c r="R5658" s="7"/>
      <c r="U5658" s="159"/>
      <c r="V5658" s="12"/>
      <c r="W5658" s="25"/>
    </row>
    <row r="5659" spans="18:23" ht="13" x14ac:dyDescent="0.3">
      <c r="R5659" s="7"/>
      <c r="U5659" s="36"/>
      <c r="V5659" s="26"/>
      <c r="W5659" s="159"/>
    </row>
    <row r="5660" spans="18:23" ht="13" x14ac:dyDescent="0.25">
      <c r="R5660" s="7"/>
      <c r="U5660" s="24"/>
      <c r="V5660" s="12"/>
      <c r="W5660" s="12"/>
    </row>
    <row r="5661" spans="18:23" ht="13" x14ac:dyDescent="0.25">
      <c r="R5661" s="7"/>
      <c r="U5661" s="159"/>
      <c r="V5661" s="140"/>
      <c r="W5661" s="160"/>
    </row>
    <row r="5662" spans="18:23" ht="13" x14ac:dyDescent="0.25">
      <c r="R5662" s="7"/>
      <c r="U5662" s="12"/>
      <c r="V5662" s="140"/>
      <c r="W5662" s="160"/>
    </row>
    <row r="5663" spans="18:23" x14ac:dyDescent="0.25">
      <c r="R5663" s="7"/>
      <c r="U5663" s="159"/>
      <c r="V5663" s="26"/>
      <c r="W5663" s="26"/>
    </row>
    <row r="5664" spans="18:23" x14ac:dyDescent="0.25">
      <c r="R5664" s="7"/>
      <c r="U5664" s="159"/>
      <c r="V5664" s="26"/>
      <c r="W5664" s="26"/>
    </row>
    <row r="5665" spans="18:23" x14ac:dyDescent="0.25">
      <c r="R5665" s="7"/>
      <c r="U5665" s="159"/>
      <c r="V5665" s="26"/>
      <c r="W5665" s="26"/>
    </row>
    <row r="5666" spans="18:23" x14ac:dyDescent="0.25">
      <c r="R5666" s="7"/>
      <c r="U5666" s="159"/>
      <c r="V5666" s="26"/>
      <c r="W5666" s="26"/>
    </row>
    <row r="5667" spans="18:23" x14ac:dyDescent="0.25">
      <c r="R5667" s="7"/>
      <c r="U5667" s="159"/>
      <c r="V5667" s="26"/>
      <c r="W5667" s="26"/>
    </row>
    <row r="5668" spans="18:23" x14ac:dyDescent="0.25">
      <c r="R5668" s="7"/>
      <c r="U5668" s="159"/>
      <c r="V5668" s="12"/>
      <c r="W5668" s="26"/>
    </row>
    <row r="5669" spans="18:23" x14ac:dyDescent="0.25">
      <c r="R5669" s="7"/>
      <c r="U5669" s="159"/>
      <c r="V5669" s="12"/>
      <c r="W5669" s="26"/>
    </row>
    <row r="5670" spans="18:23" x14ac:dyDescent="0.25">
      <c r="R5670" s="7"/>
      <c r="U5670" s="159"/>
      <c r="V5670" s="12"/>
      <c r="W5670" s="25"/>
    </row>
    <row r="5671" spans="18:23" x14ac:dyDescent="0.25">
      <c r="R5671" s="7"/>
      <c r="U5671" s="159"/>
      <c r="V5671" s="12"/>
      <c r="W5671" s="25"/>
    </row>
    <row r="5672" spans="18:23" x14ac:dyDescent="0.25">
      <c r="R5672" s="7"/>
      <c r="U5672" s="159"/>
      <c r="V5672" s="12"/>
      <c r="W5672" s="25"/>
    </row>
    <row r="5673" spans="18:23" ht="13" x14ac:dyDescent="0.3">
      <c r="R5673" s="7"/>
      <c r="U5673" s="36"/>
      <c r="V5673" s="26"/>
      <c r="W5673" s="159"/>
    </row>
    <row r="5674" spans="18:23" ht="13" x14ac:dyDescent="0.25">
      <c r="R5674" s="7"/>
      <c r="U5674" s="24"/>
      <c r="V5674" s="12"/>
      <c r="W5674" s="12"/>
    </row>
    <row r="5675" spans="18:23" ht="13" x14ac:dyDescent="0.25">
      <c r="R5675" s="7"/>
      <c r="U5675" s="159"/>
      <c r="V5675" s="140"/>
      <c r="W5675" s="160"/>
    </row>
    <row r="5676" spans="18:23" ht="13" x14ac:dyDescent="0.25">
      <c r="R5676" s="7"/>
      <c r="U5676" s="12"/>
      <c r="V5676" s="140"/>
      <c r="W5676" s="160"/>
    </row>
    <row r="5677" spans="18:23" x14ac:dyDescent="0.25">
      <c r="R5677" s="7"/>
      <c r="U5677" s="159"/>
      <c r="V5677" s="26"/>
      <c r="W5677" s="26"/>
    </row>
    <row r="5678" spans="18:23" x14ac:dyDescent="0.25">
      <c r="R5678" s="7"/>
      <c r="U5678" s="159"/>
      <c r="V5678" s="26"/>
      <c r="W5678" s="26"/>
    </row>
    <row r="5679" spans="18:23" x14ac:dyDescent="0.25">
      <c r="R5679" s="7"/>
      <c r="U5679" s="159"/>
      <c r="V5679" s="26"/>
      <c r="W5679" s="26"/>
    </row>
    <row r="5680" spans="18:23" x14ac:dyDescent="0.25">
      <c r="R5680" s="7"/>
      <c r="U5680" s="159"/>
      <c r="V5680" s="26"/>
      <c r="W5680" s="26"/>
    </row>
    <row r="5681" spans="18:23" x14ac:dyDescent="0.25">
      <c r="R5681" s="7"/>
      <c r="U5681" s="159"/>
      <c r="V5681" s="26"/>
      <c r="W5681" s="26"/>
    </row>
    <row r="5682" spans="18:23" x14ac:dyDescent="0.25">
      <c r="R5682" s="7"/>
      <c r="U5682" s="159"/>
      <c r="V5682" s="12"/>
      <c r="W5682" s="26"/>
    </row>
    <row r="5683" spans="18:23" x14ac:dyDescent="0.25">
      <c r="R5683" s="7"/>
      <c r="U5683" s="159"/>
      <c r="V5683" s="12"/>
      <c r="W5683" s="26"/>
    </row>
    <row r="5684" spans="18:23" x14ac:dyDescent="0.25">
      <c r="R5684" s="7"/>
      <c r="U5684" s="159"/>
      <c r="V5684" s="12"/>
      <c r="W5684" s="25"/>
    </row>
    <row r="5685" spans="18:23" x14ac:dyDescent="0.25">
      <c r="R5685" s="7"/>
      <c r="U5685" s="159"/>
      <c r="V5685" s="12"/>
      <c r="W5685" s="25"/>
    </row>
    <row r="5686" spans="18:23" x14ac:dyDescent="0.25">
      <c r="R5686" s="7"/>
      <c r="U5686" s="159"/>
      <c r="V5686" s="12"/>
      <c r="W5686" s="25"/>
    </row>
    <row r="5687" spans="18:23" ht="13" x14ac:dyDescent="0.3">
      <c r="U5687" s="36"/>
      <c r="V5687" s="26"/>
      <c r="W5687" s="159"/>
    </row>
    <row r="5688" spans="18:23" ht="13" x14ac:dyDescent="0.25">
      <c r="U5688" s="24"/>
      <c r="V5688" s="12"/>
      <c r="W5688" s="12"/>
    </row>
    <row r="5689" spans="18:23" ht="13" x14ac:dyDescent="0.25">
      <c r="U5689" s="159"/>
      <c r="V5689" s="140"/>
      <c r="W5689" s="160"/>
    </row>
    <row r="5690" spans="18:23" ht="13" x14ac:dyDescent="0.25">
      <c r="U5690" s="12"/>
      <c r="V5690" s="140"/>
      <c r="W5690" s="160"/>
    </row>
    <row r="5691" spans="18:23" x14ac:dyDescent="0.25">
      <c r="U5691" s="159"/>
      <c r="V5691" s="26"/>
      <c r="W5691" s="26"/>
    </row>
    <row r="5692" spans="18:23" x14ac:dyDescent="0.25">
      <c r="U5692" s="159"/>
      <c r="V5692" s="26"/>
      <c r="W5692" s="26"/>
    </row>
    <row r="5693" spans="18:23" x14ac:dyDescent="0.25">
      <c r="U5693" s="159"/>
      <c r="V5693" s="26"/>
      <c r="W5693" s="26"/>
    </row>
    <row r="5694" spans="18:23" x14ac:dyDescent="0.25">
      <c r="U5694" s="159"/>
      <c r="V5694" s="26"/>
      <c r="W5694" s="26"/>
    </row>
    <row r="5695" spans="18:23" x14ac:dyDescent="0.25">
      <c r="U5695" s="159"/>
      <c r="V5695" s="26"/>
      <c r="W5695" s="26"/>
    </row>
    <row r="5696" spans="18:23" x14ac:dyDescent="0.25">
      <c r="U5696" s="159"/>
      <c r="V5696" s="12"/>
      <c r="W5696" s="26"/>
    </row>
    <row r="5697" spans="21:23" x14ac:dyDescent="0.25">
      <c r="U5697" s="159"/>
      <c r="V5697" s="12"/>
      <c r="W5697" s="26"/>
    </row>
    <row r="5698" spans="21:23" x14ac:dyDescent="0.25">
      <c r="U5698" s="159"/>
      <c r="V5698" s="12"/>
      <c r="W5698" s="25"/>
    </row>
    <row r="5699" spans="21:23" x14ac:dyDescent="0.25">
      <c r="U5699" s="159"/>
      <c r="V5699" s="12"/>
      <c r="W5699" s="25"/>
    </row>
    <row r="5700" spans="21:23" x14ac:dyDescent="0.25">
      <c r="U5700" s="159"/>
      <c r="V5700" s="12"/>
      <c r="W5700" s="25"/>
    </row>
    <row r="5701" spans="21:23" ht="13" x14ac:dyDescent="0.3">
      <c r="U5701" s="36"/>
      <c r="V5701" s="26"/>
      <c r="W5701" s="159"/>
    </row>
    <row r="5702" spans="21:23" ht="13" x14ac:dyDescent="0.25">
      <c r="U5702" s="24"/>
      <c r="V5702" s="12"/>
      <c r="W5702" s="12"/>
    </row>
    <row r="5703" spans="21:23" ht="13" x14ac:dyDescent="0.25">
      <c r="U5703" s="159"/>
      <c r="V5703" s="140"/>
      <c r="W5703" s="160"/>
    </row>
    <row r="5704" spans="21:23" ht="13" x14ac:dyDescent="0.25">
      <c r="U5704" s="12"/>
      <c r="V5704" s="140"/>
      <c r="W5704" s="160"/>
    </row>
    <row r="5705" spans="21:23" x14ac:dyDescent="0.25">
      <c r="U5705" s="159"/>
      <c r="V5705" s="26"/>
      <c r="W5705" s="26"/>
    </row>
    <row r="5706" spans="21:23" x14ac:dyDescent="0.25">
      <c r="U5706" s="159"/>
      <c r="V5706" s="26"/>
      <c r="W5706" s="26"/>
    </row>
    <row r="5707" spans="21:23" x14ac:dyDescent="0.25">
      <c r="U5707" s="159"/>
      <c r="V5707" s="26"/>
      <c r="W5707" s="26"/>
    </row>
    <row r="5708" spans="21:23" x14ac:dyDescent="0.25">
      <c r="U5708" s="159"/>
      <c r="V5708" s="26"/>
      <c r="W5708" s="26"/>
    </row>
    <row r="5709" spans="21:23" x14ac:dyDescent="0.25">
      <c r="U5709" s="159"/>
      <c r="V5709" s="26"/>
      <c r="W5709" s="26"/>
    </row>
    <row r="5710" spans="21:23" x14ac:dyDescent="0.25">
      <c r="U5710" s="159"/>
      <c r="V5710" s="12"/>
      <c r="W5710" s="26"/>
    </row>
    <row r="5711" spans="21:23" x14ac:dyDescent="0.25">
      <c r="U5711" s="159"/>
      <c r="V5711" s="12"/>
      <c r="W5711" s="26"/>
    </row>
    <row r="5712" spans="21:23" x14ac:dyDescent="0.25">
      <c r="U5712" s="159"/>
      <c r="V5712" s="12"/>
      <c r="W5712" s="25"/>
    </row>
    <row r="5713" spans="21:23" x14ac:dyDescent="0.25">
      <c r="U5713" s="159"/>
      <c r="V5713" s="12"/>
      <c r="W5713" s="25"/>
    </row>
    <row r="5714" spans="21:23" x14ac:dyDescent="0.25">
      <c r="U5714" s="159"/>
      <c r="V5714" s="12"/>
      <c r="W5714" s="25"/>
    </row>
    <row r="5715" spans="21:23" ht="13" x14ac:dyDescent="0.3">
      <c r="U5715" s="36"/>
      <c r="V5715" s="26"/>
      <c r="W5715" s="159"/>
    </row>
    <row r="5716" spans="21:23" ht="13" x14ac:dyDescent="0.25">
      <c r="U5716" s="24"/>
      <c r="V5716" s="12"/>
      <c r="W5716" s="12"/>
    </row>
    <row r="5717" spans="21:23" ht="13" x14ac:dyDescent="0.25">
      <c r="U5717" s="159"/>
      <c r="V5717" s="140"/>
      <c r="W5717" s="160"/>
    </row>
    <row r="5718" spans="21:23" ht="13" x14ac:dyDescent="0.25">
      <c r="U5718" s="12"/>
      <c r="V5718" s="140"/>
      <c r="W5718" s="160"/>
    </row>
    <row r="5719" spans="21:23" x14ac:dyDescent="0.25">
      <c r="U5719" s="159"/>
      <c r="V5719" s="26"/>
      <c r="W5719" s="26"/>
    </row>
    <row r="5720" spans="21:23" x14ac:dyDescent="0.25">
      <c r="U5720" s="159"/>
      <c r="V5720" s="26"/>
      <c r="W5720" s="26"/>
    </row>
    <row r="5721" spans="21:23" x14ac:dyDescent="0.25">
      <c r="U5721" s="159"/>
      <c r="V5721" s="26"/>
      <c r="W5721" s="26"/>
    </row>
    <row r="5722" spans="21:23" x14ac:dyDescent="0.25">
      <c r="U5722" s="159"/>
      <c r="V5722" s="26"/>
      <c r="W5722" s="26"/>
    </row>
    <row r="5723" spans="21:23" x14ac:dyDescent="0.25">
      <c r="U5723" s="159"/>
      <c r="V5723" s="26"/>
      <c r="W5723" s="26"/>
    </row>
    <row r="5724" spans="21:23" x14ac:dyDescent="0.25">
      <c r="U5724" s="159"/>
      <c r="V5724" s="12"/>
      <c r="W5724" s="26"/>
    </row>
    <row r="5725" spans="21:23" x14ac:dyDescent="0.25">
      <c r="U5725" s="159"/>
      <c r="V5725" s="12"/>
      <c r="W5725" s="26"/>
    </row>
    <row r="5726" spans="21:23" x14ac:dyDescent="0.25">
      <c r="U5726" s="159"/>
      <c r="V5726" s="12"/>
      <c r="W5726" s="25"/>
    </row>
    <row r="5727" spans="21:23" x14ac:dyDescent="0.25">
      <c r="U5727" s="159"/>
      <c r="V5727" s="12"/>
      <c r="W5727" s="25"/>
    </row>
    <row r="5728" spans="21:23" x14ac:dyDescent="0.25">
      <c r="U5728" s="159"/>
      <c r="V5728" s="12"/>
      <c r="W5728" s="25"/>
    </row>
    <row r="5729" spans="21:23" ht="13" x14ac:dyDescent="0.3">
      <c r="U5729" s="36"/>
      <c r="V5729" s="26"/>
      <c r="W5729" s="159"/>
    </row>
    <row r="5730" spans="21:23" ht="13" x14ac:dyDescent="0.25">
      <c r="U5730" s="24"/>
      <c r="V5730" s="12"/>
      <c r="W5730" s="12"/>
    </row>
    <row r="5731" spans="21:23" ht="13" x14ac:dyDescent="0.25">
      <c r="U5731" s="159"/>
      <c r="V5731" s="140"/>
      <c r="W5731" s="160"/>
    </row>
    <row r="5732" spans="21:23" ht="13" x14ac:dyDescent="0.25">
      <c r="U5732" s="12"/>
      <c r="V5732" s="140"/>
      <c r="W5732" s="160"/>
    </row>
    <row r="5733" spans="21:23" x14ac:dyDescent="0.25">
      <c r="U5733" s="159"/>
      <c r="V5733" s="26"/>
      <c r="W5733" s="26"/>
    </row>
    <row r="5734" spans="21:23" x14ac:dyDescent="0.25">
      <c r="U5734" s="159"/>
      <c r="V5734" s="26"/>
      <c r="W5734" s="26"/>
    </row>
    <row r="5735" spans="21:23" x14ac:dyDescent="0.25">
      <c r="U5735" s="159"/>
      <c r="V5735" s="26"/>
      <c r="W5735" s="26"/>
    </row>
    <row r="5736" spans="21:23" x14ac:dyDescent="0.25">
      <c r="U5736" s="159"/>
      <c r="V5736" s="26"/>
      <c r="W5736" s="26"/>
    </row>
    <row r="5737" spans="21:23" x14ac:dyDescent="0.25">
      <c r="U5737" s="159"/>
      <c r="V5737" s="26"/>
      <c r="W5737" s="26"/>
    </row>
    <row r="5738" spans="21:23" x14ac:dyDescent="0.25">
      <c r="U5738" s="159"/>
      <c r="V5738" s="12"/>
      <c r="W5738" s="26"/>
    </row>
    <row r="5739" spans="21:23" x14ac:dyDescent="0.25">
      <c r="U5739" s="159"/>
      <c r="V5739" s="12"/>
      <c r="W5739" s="26"/>
    </row>
    <row r="5740" spans="21:23" x14ac:dyDescent="0.25">
      <c r="U5740" s="159"/>
      <c r="V5740" s="12"/>
      <c r="W5740" s="25"/>
    </row>
    <row r="5741" spans="21:23" x14ac:dyDescent="0.25">
      <c r="U5741" s="159"/>
      <c r="V5741" s="12"/>
      <c r="W5741" s="25"/>
    </row>
    <row r="5742" spans="21:23" x14ac:dyDescent="0.25">
      <c r="U5742" s="159"/>
      <c r="V5742" s="12"/>
      <c r="W5742" s="25"/>
    </row>
    <row r="5743" spans="21:23" ht="13" x14ac:dyDescent="0.3">
      <c r="U5743" s="36"/>
      <c r="V5743" s="26"/>
      <c r="W5743" s="159"/>
    </row>
    <row r="5744" spans="21:23" ht="13" x14ac:dyDescent="0.25">
      <c r="U5744" s="24"/>
      <c r="V5744" s="12"/>
      <c r="W5744" s="12"/>
    </row>
    <row r="5745" spans="21:23" ht="13" x14ac:dyDescent="0.25">
      <c r="U5745" s="159"/>
      <c r="V5745" s="140"/>
      <c r="W5745" s="160"/>
    </row>
    <row r="5746" spans="21:23" ht="13" x14ac:dyDescent="0.25">
      <c r="U5746" s="12"/>
      <c r="V5746" s="140"/>
      <c r="W5746" s="160"/>
    </row>
    <row r="5747" spans="21:23" x14ac:dyDescent="0.25">
      <c r="U5747" s="159"/>
      <c r="V5747" s="26"/>
      <c r="W5747" s="26"/>
    </row>
    <row r="5748" spans="21:23" x14ac:dyDescent="0.25">
      <c r="U5748" s="159"/>
      <c r="V5748" s="26"/>
      <c r="W5748" s="26"/>
    </row>
    <row r="5749" spans="21:23" x14ac:dyDescent="0.25">
      <c r="U5749" s="159"/>
      <c r="V5749" s="26"/>
      <c r="W5749" s="26"/>
    </row>
    <row r="5750" spans="21:23" x14ac:dyDescent="0.25">
      <c r="U5750" s="159"/>
      <c r="V5750" s="26"/>
      <c r="W5750" s="26"/>
    </row>
    <row r="5751" spans="21:23" x14ac:dyDescent="0.25">
      <c r="U5751" s="159"/>
      <c r="V5751" s="26"/>
      <c r="W5751" s="26"/>
    </row>
    <row r="5752" spans="21:23" x14ac:dyDescent="0.25">
      <c r="U5752" s="159"/>
      <c r="V5752" s="12"/>
      <c r="W5752" s="26"/>
    </row>
    <row r="5753" spans="21:23" x14ac:dyDescent="0.25">
      <c r="U5753" s="159"/>
      <c r="V5753" s="12"/>
      <c r="W5753" s="26"/>
    </row>
    <row r="5754" spans="21:23" x14ac:dyDescent="0.25">
      <c r="U5754" s="159"/>
      <c r="V5754" s="12"/>
      <c r="W5754" s="25"/>
    </row>
    <row r="5755" spans="21:23" x14ac:dyDescent="0.25">
      <c r="U5755" s="159"/>
      <c r="V5755" s="12"/>
      <c r="W5755" s="25"/>
    </row>
    <row r="5756" spans="21:23" x14ac:dyDescent="0.25">
      <c r="U5756" s="159"/>
      <c r="V5756" s="12"/>
      <c r="W5756" s="25"/>
    </row>
    <row r="5757" spans="21:23" ht="13" x14ac:dyDescent="0.3">
      <c r="U5757" s="36"/>
      <c r="V5757" s="26"/>
      <c r="W5757" s="159"/>
    </row>
    <row r="5758" spans="21:23" ht="13" x14ac:dyDescent="0.25">
      <c r="U5758" s="24"/>
      <c r="V5758" s="12"/>
      <c r="W5758" s="12"/>
    </row>
    <row r="5759" spans="21:23" ht="13" x14ac:dyDescent="0.25">
      <c r="U5759" s="159"/>
      <c r="V5759" s="140"/>
      <c r="W5759" s="160"/>
    </row>
    <row r="5760" spans="21:23" ht="13" x14ac:dyDescent="0.25">
      <c r="U5760" s="12"/>
      <c r="V5760" s="140"/>
      <c r="W5760" s="160"/>
    </row>
    <row r="5761" spans="21:23" x14ac:dyDescent="0.25">
      <c r="U5761" s="159"/>
      <c r="V5761" s="26"/>
      <c r="W5761" s="26"/>
    </row>
    <row r="5762" spans="21:23" x14ac:dyDescent="0.25">
      <c r="U5762" s="159"/>
      <c r="V5762" s="26"/>
      <c r="W5762" s="26"/>
    </row>
    <row r="5763" spans="21:23" x14ac:dyDescent="0.25">
      <c r="U5763" s="159"/>
      <c r="V5763" s="26"/>
      <c r="W5763" s="26"/>
    </row>
    <row r="5764" spans="21:23" x14ac:dyDescent="0.25">
      <c r="U5764" s="159"/>
      <c r="V5764" s="26"/>
      <c r="W5764" s="26"/>
    </row>
    <row r="5765" spans="21:23" x14ac:dyDescent="0.25">
      <c r="U5765" s="159"/>
      <c r="V5765" s="26"/>
      <c r="W5765" s="26"/>
    </row>
    <row r="5766" spans="21:23" x14ac:dyDescent="0.25">
      <c r="U5766" s="159"/>
      <c r="V5766" s="12"/>
      <c r="W5766" s="26"/>
    </row>
    <row r="5767" spans="21:23" x14ac:dyDescent="0.25">
      <c r="U5767" s="159"/>
      <c r="V5767" s="12"/>
      <c r="W5767" s="26"/>
    </row>
    <row r="5768" spans="21:23" x14ac:dyDescent="0.25">
      <c r="U5768" s="159"/>
      <c r="V5768" s="12"/>
      <c r="W5768" s="25"/>
    </row>
    <row r="5769" spans="21:23" x14ac:dyDescent="0.25">
      <c r="U5769" s="159"/>
      <c r="V5769" s="12"/>
      <c r="W5769" s="25"/>
    </row>
    <row r="5770" spans="21:23" x14ac:dyDescent="0.25">
      <c r="U5770" s="159"/>
      <c r="V5770" s="12"/>
      <c r="W5770" s="25"/>
    </row>
    <row r="5771" spans="21:23" ht="13" x14ac:dyDescent="0.3">
      <c r="U5771" s="36"/>
      <c r="V5771" s="26"/>
      <c r="W5771" s="159"/>
    </row>
    <row r="5772" spans="21:23" ht="13" x14ac:dyDescent="0.25">
      <c r="U5772" s="24"/>
      <c r="V5772" s="12"/>
      <c r="W5772" s="12"/>
    </row>
    <row r="5773" spans="21:23" ht="13" x14ac:dyDescent="0.25">
      <c r="U5773" s="159"/>
      <c r="V5773" s="140"/>
      <c r="W5773" s="160"/>
    </row>
    <row r="5774" spans="21:23" ht="13" x14ac:dyDescent="0.25">
      <c r="U5774" s="12"/>
      <c r="V5774" s="140"/>
      <c r="W5774" s="160"/>
    </row>
    <row r="5775" spans="21:23" x14ac:dyDescent="0.25">
      <c r="U5775" s="159"/>
      <c r="V5775" s="26"/>
      <c r="W5775" s="26"/>
    </row>
    <row r="5776" spans="21:23" x14ac:dyDescent="0.25">
      <c r="U5776" s="159"/>
      <c r="V5776" s="26"/>
      <c r="W5776" s="26"/>
    </row>
    <row r="5777" spans="21:23" x14ac:dyDescent="0.25">
      <c r="U5777" s="159"/>
      <c r="V5777" s="26"/>
      <c r="W5777" s="26"/>
    </row>
    <row r="5778" spans="21:23" x14ac:dyDescent="0.25">
      <c r="U5778" s="159"/>
      <c r="V5778" s="26"/>
      <c r="W5778" s="26"/>
    </row>
    <row r="5779" spans="21:23" x14ac:dyDescent="0.25">
      <c r="U5779" s="159"/>
      <c r="V5779" s="26"/>
      <c r="W5779" s="26"/>
    </row>
    <row r="5780" spans="21:23" x14ac:dyDescent="0.25">
      <c r="U5780" s="159"/>
      <c r="V5780" s="12"/>
      <c r="W5780" s="26"/>
    </row>
    <row r="5781" spans="21:23" x14ac:dyDescent="0.25">
      <c r="U5781" s="159"/>
      <c r="V5781" s="12"/>
      <c r="W5781" s="26"/>
    </row>
    <row r="5782" spans="21:23" x14ac:dyDescent="0.25">
      <c r="U5782" s="159"/>
      <c r="V5782" s="12"/>
      <c r="W5782" s="25"/>
    </row>
    <row r="5783" spans="21:23" x14ac:dyDescent="0.25">
      <c r="U5783" s="159"/>
      <c r="V5783" s="12"/>
      <c r="W5783" s="25"/>
    </row>
    <row r="5784" spans="21:23" x14ac:dyDescent="0.25">
      <c r="U5784" s="159"/>
      <c r="V5784" s="12"/>
      <c r="W5784" s="25"/>
    </row>
    <row r="5785" spans="21:23" ht="13" x14ac:dyDescent="0.3">
      <c r="U5785" s="36"/>
      <c r="V5785" s="26"/>
      <c r="W5785" s="159"/>
    </row>
    <row r="5786" spans="21:23" ht="13" x14ac:dyDescent="0.25">
      <c r="U5786" s="24"/>
      <c r="V5786" s="12"/>
      <c r="W5786" s="12"/>
    </row>
    <row r="5787" spans="21:23" ht="13" x14ac:dyDescent="0.25">
      <c r="U5787" s="159"/>
      <c r="V5787" s="140"/>
      <c r="W5787" s="160"/>
    </row>
    <row r="5788" spans="21:23" ht="13" x14ac:dyDescent="0.25">
      <c r="U5788" s="12"/>
      <c r="V5788" s="140"/>
      <c r="W5788" s="160"/>
    </row>
    <row r="5789" spans="21:23" x14ac:dyDescent="0.25">
      <c r="U5789" s="159"/>
      <c r="V5789" s="26"/>
      <c r="W5789" s="26"/>
    </row>
    <row r="5790" spans="21:23" x14ac:dyDescent="0.25">
      <c r="U5790" s="159"/>
      <c r="V5790" s="26"/>
      <c r="W5790" s="26"/>
    </row>
    <row r="5791" spans="21:23" x14ac:dyDescent="0.25">
      <c r="U5791" s="159"/>
      <c r="V5791" s="26"/>
      <c r="W5791" s="26"/>
    </row>
    <row r="5792" spans="21:23" x14ac:dyDescent="0.25">
      <c r="U5792" s="159"/>
      <c r="V5792" s="26"/>
      <c r="W5792" s="26"/>
    </row>
    <row r="5793" spans="21:23" x14ac:dyDescent="0.25">
      <c r="U5793" s="159"/>
      <c r="V5793" s="26"/>
      <c r="W5793" s="26"/>
    </row>
    <row r="5794" spans="21:23" x14ac:dyDescent="0.25">
      <c r="U5794" s="159"/>
      <c r="V5794" s="12"/>
      <c r="W5794" s="26"/>
    </row>
    <row r="5795" spans="21:23" x14ac:dyDescent="0.25">
      <c r="U5795" s="159"/>
      <c r="V5795" s="12"/>
      <c r="W5795" s="26"/>
    </row>
    <row r="5796" spans="21:23" x14ac:dyDescent="0.25">
      <c r="U5796" s="159"/>
      <c r="V5796" s="12"/>
      <c r="W5796" s="25"/>
    </row>
    <row r="5797" spans="21:23" x14ac:dyDescent="0.25">
      <c r="U5797" s="159"/>
      <c r="V5797" s="12"/>
      <c r="W5797" s="25"/>
    </row>
    <row r="5798" spans="21:23" x14ac:dyDescent="0.25">
      <c r="U5798" s="159"/>
      <c r="V5798" s="12"/>
      <c r="W5798" s="25"/>
    </row>
    <row r="5799" spans="21:23" ht="13" x14ac:dyDescent="0.3">
      <c r="U5799" s="36"/>
      <c r="V5799" s="26"/>
      <c r="W5799" s="159"/>
    </row>
    <row r="5800" spans="21:23" ht="13" x14ac:dyDescent="0.25">
      <c r="U5800" s="24"/>
      <c r="V5800" s="12"/>
      <c r="W5800" s="12"/>
    </row>
    <row r="5801" spans="21:23" ht="13" x14ac:dyDescent="0.25">
      <c r="U5801" s="159"/>
      <c r="V5801" s="140"/>
      <c r="W5801" s="160"/>
    </row>
    <row r="5802" spans="21:23" ht="13" x14ac:dyDescent="0.25">
      <c r="U5802" s="12"/>
      <c r="V5802" s="140"/>
      <c r="W5802" s="160"/>
    </row>
    <row r="5803" spans="21:23" x14ac:dyDescent="0.25">
      <c r="U5803" s="159"/>
      <c r="V5803" s="26"/>
      <c r="W5803" s="26"/>
    </row>
    <row r="5804" spans="21:23" x14ac:dyDescent="0.25">
      <c r="U5804" s="159"/>
      <c r="V5804" s="26"/>
      <c r="W5804" s="26"/>
    </row>
    <row r="5805" spans="21:23" x14ac:dyDescent="0.25">
      <c r="U5805" s="159"/>
      <c r="V5805" s="26"/>
      <c r="W5805" s="26"/>
    </row>
    <row r="5806" spans="21:23" x14ac:dyDescent="0.25">
      <c r="U5806" s="159"/>
      <c r="V5806" s="26"/>
      <c r="W5806" s="26"/>
    </row>
    <row r="5807" spans="21:23" x14ac:dyDescent="0.25">
      <c r="U5807" s="159"/>
      <c r="V5807" s="26"/>
      <c r="W5807" s="26"/>
    </row>
    <row r="5808" spans="21:23" x14ac:dyDescent="0.25">
      <c r="U5808" s="159"/>
      <c r="V5808" s="12"/>
      <c r="W5808" s="26"/>
    </row>
    <row r="5809" spans="21:23" x14ac:dyDescent="0.25">
      <c r="U5809" s="159"/>
      <c r="V5809" s="12"/>
      <c r="W5809" s="26"/>
    </row>
    <row r="5810" spans="21:23" x14ac:dyDescent="0.25">
      <c r="U5810" s="159"/>
      <c r="V5810" s="12"/>
      <c r="W5810" s="25"/>
    </row>
    <row r="5811" spans="21:23" x14ac:dyDescent="0.25">
      <c r="U5811" s="159"/>
      <c r="V5811" s="12"/>
      <c r="W5811" s="25"/>
    </row>
    <row r="5812" spans="21:23" x14ac:dyDescent="0.25">
      <c r="U5812" s="159"/>
      <c r="V5812" s="12"/>
      <c r="W5812" s="25"/>
    </row>
    <row r="5813" spans="21:23" ht="13" x14ac:dyDescent="0.3">
      <c r="U5813" s="36"/>
      <c r="V5813" s="26"/>
      <c r="W5813" s="159"/>
    </row>
    <row r="5814" spans="21:23" ht="13" x14ac:dyDescent="0.25">
      <c r="U5814" s="24"/>
      <c r="V5814" s="12"/>
      <c r="W5814" s="12"/>
    </row>
    <row r="5815" spans="21:23" ht="13" x14ac:dyDescent="0.25">
      <c r="U5815" s="159"/>
      <c r="V5815" s="140"/>
      <c r="W5815" s="160"/>
    </row>
    <row r="5816" spans="21:23" ht="13" x14ac:dyDescent="0.25">
      <c r="U5816" s="12"/>
      <c r="V5816" s="140"/>
      <c r="W5816" s="160"/>
    </row>
    <row r="5817" spans="21:23" x14ac:dyDescent="0.25">
      <c r="U5817" s="159"/>
      <c r="V5817" s="26"/>
      <c r="W5817" s="26"/>
    </row>
    <row r="5818" spans="21:23" x14ac:dyDescent="0.25">
      <c r="U5818" s="159"/>
      <c r="V5818" s="26"/>
      <c r="W5818" s="26"/>
    </row>
    <row r="5819" spans="21:23" x14ac:dyDescent="0.25">
      <c r="U5819" s="159"/>
      <c r="V5819" s="26"/>
      <c r="W5819" s="26"/>
    </row>
    <row r="5820" spans="21:23" x14ac:dyDescent="0.25">
      <c r="U5820" s="159"/>
      <c r="V5820" s="26"/>
      <c r="W5820" s="26"/>
    </row>
    <row r="5821" spans="21:23" x14ac:dyDescent="0.25">
      <c r="U5821" s="159"/>
      <c r="V5821" s="26"/>
      <c r="W5821" s="26"/>
    </row>
    <row r="5822" spans="21:23" x14ac:dyDescent="0.25">
      <c r="U5822" s="159"/>
      <c r="V5822" s="12"/>
      <c r="W5822" s="26"/>
    </row>
    <row r="5823" spans="21:23" x14ac:dyDescent="0.25">
      <c r="U5823" s="159"/>
      <c r="V5823" s="12"/>
      <c r="W5823" s="26"/>
    </row>
    <row r="5824" spans="21:23" x14ac:dyDescent="0.25">
      <c r="U5824" s="159"/>
      <c r="V5824" s="12"/>
      <c r="W5824" s="25"/>
    </row>
    <row r="5825" spans="21:23" x14ac:dyDescent="0.25">
      <c r="U5825" s="159"/>
      <c r="V5825" s="12"/>
      <c r="W5825" s="25"/>
    </row>
    <row r="5826" spans="21:23" x14ac:dyDescent="0.25">
      <c r="U5826" s="159"/>
      <c r="V5826" s="12"/>
      <c r="W5826" s="25"/>
    </row>
    <row r="5827" spans="21:23" ht="13" x14ac:dyDescent="0.3">
      <c r="U5827" s="36"/>
      <c r="V5827" s="26"/>
      <c r="W5827" s="159"/>
    </row>
    <row r="5828" spans="21:23" ht="13" x14ac:dyDescent="0.25">
      <c r="U5828" s="24"/>
      <c r="V5828" s="12"/>
      <c r="W5828" s="12"/>
    </row>
    <row r="5829" spans="21:23" ht="13" x14ac:dyDescent="0.25">
      <c r="U5829" s="159"/>
      <c r="V5829" s="140"/>
      <c r="W5829" s="160"/>
    </row>
    <row r="5830" spans="21:23" ht="13" x14ac:dyDescent="0.25">
      <c r="U5830" s="12"/>
      <c r="V5830" s="140"/>
      <c r="W5830" s="160"/>
    </row>
    <row r="5831" spans="21:23" x14ac:dyDescent="0.25">
      <c r="U5831" s="159"/>
      <c r="V5831" s="26"/>
      <c r="W5831" s="26"/>
    </row>
    <row r="5832" spans="21:23" x14ac:dyDescent="0.25">
      <c r="U5832" s="159"/>
      <c r="V5832" s="26"/>
      <c r="W5832" s="26"/>
    </row>
    <row r="5833" spans="21:23" x14ac:dyDescent="0.25">
      <c r="U5833" s="159"/>
      <c r="V5833" s="26"/>
      <c r="W5833" s="26"/>
    </row>
    <row r="5834" spans="21:23" x14ac:dyDescent="0.25">
      <c r="U5834" s="159"/>
      <c r="V5834" s="26"/>
      <c r="W5834" s="26"/>
    </row>
    <row r="5835" spans="21:23" x14ac:dyDescent="0.25">
      <c r="U5835" s="159"/>
      <c r="V5835" s="26"/>
      <c r="W5835" s="26"/>
    </row>
    <row r="5836" spans="21:23" x14ac:dyDescent="0.25">
      <c r="U5836" s="159"/>
      <c r="V5836" s="12"/>
      <c r="W5836" s="26"/>
    </row>
    <row r="5837" spans="21:23" x14ac:dyDescent="0.25">
      <c r="U5837" s="159"/>
      <c r="V5837" s="12"/>
      <c r="W5837" s="26"/>
    </row>
    <row r="5838" spans="21:23" x14ac:dyDescent="0.25">
      <c r="U5838" s="159"/>
      <c r="V5838" s="12"/>
      <c r="W5838" s="25"/>
    </row>
    <row r="5839" spans="21:23" x14ac:dyDescent="0.25">
      <c r="U5839" s="159"/>
      <c r="V5839" s="12"/>
      <c r="W5839" s="25"/>
    </row>
    <row r="5840" spans="21:23" x14ac:dyDescent="0.25">
      <c r="U5840" s="159"/>
      <c r="V5840" s="12"/>
      <c r="W5840" s="25"/>
    </row>
    <row r="5841" spans="21:23" ht="13" x14ac:dyDescent="0.3">
      <c r="U5841" s="36"/>
      <c r="V5841" s="26"/>
      <c r="W5841" s="159"/>
    </row>
    <row r="5842" spans="21:23" ht="13" x14ac:dyDescent="0.25">
      <c r="U5842" s="24"/>
      <c r="V5842" s="12"/>
      <c r="W5842" s="12"/>
    </row>
    <row r="5843" spans="21:23" ht="13" x14ac:dyDescent="0.25">
      <c r="U5843" s="159"/>
      <c r="V5843" s="140"/>
      <c r="W5843" s="160"/>
    </row>
    <row r="5844" spans="21:23" ht="13" x14ac:dyDescent="0.25">
      <c r="U5844" s="12"/>
      <c r="V5844" s="140"/>
      <c r="W5844" s="160"/>
    </row>
    <row r="5845" spans="21:23" x14ac:dyDescent="0.25">
      <c r="U5845" s="159"/>
      <c r="V5845" s="26"/>
      <c r="W5845" s="26"/>
    </row>
    <row r="5846" spans="21:23" x14ac:dyDescent="0.25">
      <c r="U5846" s="159"/>
      <c r="V5846" s="26"/>
      <c r="W5846" s="26"/>
    </row>
    <row r="5847" spans="21:23" x14ac:dyDescent="0.25">
      <c r="U5847" s="159"/>
      <c r="V5847" s="26"/>
      <c r="W5847" s="26"/>
    </row>
    <row r="5848" spans="21:23" x14ac:dyDescent="0.25">
      <c r="U5848" s="159"/>
      <c r="V5848" s="26"/>
      <c r="W5848" s="26"/>
    </row>
    <row r="5849" spans="21:23" x14ac:dyDescent="0.25">
      <c r="U5849" s="159"/>
      <c r="V5849" s="26"/>
      <c r="W5849" s="26"/>
    </row>
    <row r="5850" spans="21:23" x14ac:dyDescent="0.25">
      <c r="U5850" s="159"/>
      <c r="V5850" s="12"/>
      <c r="W5850" s="26"/>
    </row>
    <row r="5851" spans="21:23" x14ac:dyDescent="0.25">
      <c r="U5851" s="159"/>
      <c r="V5851" s="12"/>
      <c r="W5851" s="26"/>
    </row>
    <row r="5852" spans="21:23" x14ac:dyDescent="0.25">
      <c r="U5852" s="159"/>
      <c r="V5852" s="12"/>
      <c r="W5852" s="25"/>
    </row>
    <row r="5853" spans="21:23" x14ac:dyDescent="0.25">
      <c r="U5853" s="159"/>
      <c r="V5853" s="12"/>
      <c r="W5853" s="25"/>
    </row>
    <row r="5854" spans="21:23" x14ac:dyDescent="0.25">
      <c r="U5854" s="159"/>
      <c r="V5854" s="12"/>
      <c r="W5854" s="25"/>
    </row>
    <row r="5855" spans="21:23" ht="13" x14ac:dyDescent="0.3">
      <c r="U5855" s="36"/>
      <c r="V5855" s="26"/>
      <c r="W5855" s="159"/>
    </row>
    <row r="5856" spans="21:23" ht="13" x14ac:dyDescent="0.25">
      <c r="U5856" s="24"/>
      <c r="V5856" s="12"/>
      <c r="W5856" s="12"/>
    </row>
    <row r="5857" spans="21:23" ht="13" x14ac:dyDescent="0.25">
      <c r="U5857" s="159"/>
      <c r="V5857" s="140"/>
      <c r="W5857" s="160"/>
    </row>
    <row r="5858" spans="21:23" ht="13" x14ac:dyDescent="0.25">
      <c r="U5858" s="12"/>
      <c r="V5858" s="140"/>
      <c r="W5858" s="160"/>
    </row>
    <row r="5859" spans="21:23" x14ac:dyDescent="0.25">
      <c r="U5859" s="159"/>
      <c r="V5859" s="26"/>
      <c r="W5859" s="26"/>
    </row>
    <row r="5860" spans="21:23" x14ac:dyDescent="0.25">
      <c r="U5860" s="159"/>
      <c r="V5860" s="26"/>
      <c r="W5860" s="26"/>
    </row>
    <row r="5861" spans="21:23" x14ac:dyDescent="0.25">
      <c r="U5861" s="159"/>
      <c r="V5861" s="26"/>
      <c r="W5861" s="26"/>
    </row>
    <row r="5862" spans="21:23" x14ac:dyDescent="0.25">
      <c r="U5862" s="159"/>
      <c r="V5862" s="26"/>
      <c r="W5862" s="26"/>
    </row>
    <row r="5863" spans="21:23" x14ac:dyDescent="0.25">
      <c r="U5863" s="159"/>
      <c r="V5863" s="26"/>
      <c r="W5863" s="26"/>
    </row>
    <row r="5864" spans="21:23" x14ac:dyDescent="0.25">
      <c r="U5864" s="159"/>
      <c r="V5864" s="12"/>
      <c r="W5864" s="26"/>
    </row>
    <row r="5865" spans="21:23" x14ac:dyDescent="0.25">
      <c r="U5865" s="159"/>
      <c r="V5865" s="12"/>
      <c r="W5865" s="26"/>
    </row>
    <row r="5866" spans="21:23" x14ac:dyDescent="0.25">
      <c r="U5866" s="159"/>
      <c r="V5866" s="12"/>
      <c r="W5866" s="25"/>
    </row>
    <row r="5867" spans="21:23" x14ac:dyDescent="0.25">
      <c r="U5867" s="159"/>
      <c r="V5867" s="12"/>
      <c r="W5867" s="25"/>
    </row>
    <row r="5868" spans="21:23" x14ac:dyDescent="0.25">
      <c r="U5868" s="159"/>
      <c r="V5868" s="12"/>
      <c r="W5868" s="25"/>
    </row>
    <row r="5869" spans="21:23" ht="13" x14ac:dyDescent="0.3">
      <c r="U5869" s="36"/>
      <c r="V5869" s="26"/>
      <c r="W5869" s="159"/>
    </row>
    <row r="5870" spans="21:23" ht="13" x14ac:dyDescent="0.25">
      <c r="U5870" s="24"/>
      <c r="V5870" s="12"/>
      <c r="W5870" s="12"/>
    </row>
    <row r="5871" spans="21:23" ht="13" x14ac:dyDescent="0.25">
      <c r="U5871" s="159"/>
      <c r="V5871" s="140"/>
      <c r="W5871" s="160"/>
    </row>
    <row r="5872" spans="21:23" ht="13" x14ac:dyDescent="0.25">
      <c r="U5872" s="12"/>
      <c r="V5872" s="140"/>
      <c r="W5872" s="160"/>
    </row>
    <row r="5873" spans="21:23" x14ac:dyDescent="0.25">
      <c r="U5873" s="159"/>
      <c r="V5873" s="26"/>
      <c r="W5873" s="26"/>
    </row>
    <row r="5874" spans="21:23" x14ac:dyDescent="0.25">
      <c r="U5874" s="159"/>
      <c r="V5874" s="26"/>
      <c r="W5874" s="26"/>
    </row>
    <row r="5875" spans="21:23" x14ac:dyDescent="0.25">
      <c r="U5875" s="159"/>
      <c r="V5875" s="26"/>
      <c r="W5875" s="26"/>
    </row>
    <row r="5876" spans="21:23" x14ac:dyDescent="0.25">
      <c r="U5876" s="159"/>
      <c r="V5876" s="26"/>
      <c r="W5876" s="26"/>
    </row>
    <row r="5877" spans="21:23" x14ac:dyDescent="0.25">
      <c r="U5877" s="159"/>
      <c r="V5877" s="26"/>
      <c r="W5877" s="26"/>
    </row>
    <row r="5878" spans="21:23" x14ac:dyDescent="0.25">
      <c r="U5878" s="159"/>
      <c r="V5878" s="12"/>
      <c r="W5878" s="26"/>
    </row>
    <row r="5879" spans="21:23" x14ac:dyDescent="0.25">
      <c r="U5879" s="159"/>
      <c r="V5879" s="12"/>
      <c r="W5879" s="26"/>
    </row>
    <row r="5880" spans="21:23" x14ac:dyDescent="0.25">
      <c r="U5880" s="159"/>
      <c r="V5880" s="12"/>
      <c r="W5880" s="25"/>
    </row>
    <row r="5881" spans="21:23" x14ac:dyDescent="0.25">
      <c r="U5881" s="159"/>
      <c r="V5881" s="12"/>
      <c r="W5881" s="25"/>
    </row>
    <row r="5882" spans="21:23" x14ac:dyDescent="0.25">
      <c r="U5882" s="159"/>
      <c r="V5882" s="12"/>
      <c r="W5882" s="25"/>
    </row>
    <row r="5883" spans="21:23" ht="13" x14ac:dyDescent="0.3">
      <c r="U5883" s="36"/>
      <c r="V5883" s="26"/>
      <c r="W5883" s="159"/>
    </row>
    <row r="5884" spans="21:23" ht="13" x14ac:dyDescent="0.25">
      <c r="U5884" s="24"/>
      <c r="V5884" s="12"/>
      <c r="W5884" s="12"/>
    </row>
    <row r="5885" spans="21:23" ht="13" x14ac:dyDescent="0.25">
      <c r="U5885" s="159"/>
      <c r="V5885" s="140"/>
      <c r="W5885" s="160"/>
    </row>
    <row r="5886" spans="21:23" ht="13" x14ac:dyDescent="0.25">
      <c r="U5886" s="12"/>
      <c r="V5886" s="140"/>
      <c r="W5886" s="160"/>
    </row>
    <row r="5887" spans="21:23" x14ac:dyDescent="0.25">
      <c r="U5887" s="159"/>
      <c r="V5887" s="26"/>
      <c r="W5887" s="26"/>
    </row>
    <row r="5888" spans="21:23" x14ac:dyDescent="0.25">
      <c r="U5888" s="159"/>
      <c r="V5888" s="26"/>
      <c r="W5888" s="26"/>
    </row>
    <row r="5889" spans="21:23" x14ac:dyDescent="0.25">
      <c r="U5889" s="159"/>
      <c r="V5889" s="26"/>
      <c r="W5889" s="26"/>
    </row>
    <row r="5890" spans="21:23" x14ac:dyDescent="0.25">
      <c r="U5890" s="159"/>
      <c r="V5890" s="26"/>
      <c r="W5890" s="26"/>
    </row>
    <row r="5891" spans="21:23" x14ac:dyDescent="0.25">
      <c r="U5891" s="159"/>
      <c r="V5891" s="26"/>
      <c r="W5891" s="26"/>
    </row>
    <row r="5892" spans="21:23" x14ac:dyDescent="0.25">
      <c r="U5892" s="159"/>
      <c r="V5892" s="12"/>
      <c r="W5892" s="26"/>
    </row>
    <row r="5893" spans="21:23" x14ac:dyDescent="0.25">
      <c r="U5893" s="159"/>
      <c r="V5893" s="12"/>
      <c r="W5893" s="26"/>
    </row>
    <row r="5894" spans="21:23" x14ac:dyDescent="0.25">
      <c r="U5894" s="159"/>
      <c r="V5894" s="12"/>
      <c r="W5894" s="25"/>
    </row>
    <row r="5895" spans="21:23" x14ac:dyDescent="0.25">
      <c r="U5895" s="159"/>
      <c r="V5895" s="12"/>
      <c r="W5895" s="25"/>
    </row>
    <row r="5896" spans="21:23" x14ac:dyDescent="0.25">
      <c r="U5896" s="159"/>
      <c r="V5896" s="12"/>
      <c r="W5896" s="25"/>
    </row>
    <row r="5897" spans="21:23" ht="13" x14ac:dyDescent="0.3">
      <c r="U5897" s="36"/>
      <c r="V5897" s="26"/>
      <c r="W5897" s="159"/>
    </row>
    <row r="5898" spans="21:23" ht="13" x14ac:dyDescent="0.25">
      <c r="U5898" s="24"/>
      <c r="V5898" s="12"/>
      <c r="W5898" s="12"/>
    </row>
    <row r="5899" spans="21:23" ht="13" x14ac:dyDescent="0.25">
      <c r="U5899" s="159"/>
      <c r="V5899" s="140"/>
      <c r="W5899" s="160"/>
    </row>
    <row r="5900" spans="21:23" ht="13" x14ac:dyDescent="0.25">
      <c r="U5900" s="12"/>
      <c r="V5900" s="140"/>
      <c r="W5900" s="160"/>
    </row>
    <row r="5901" spans="21:23" x14ac:dyDescent="0.25">
      <c r="U5901" s="159"/>
      <c r="V5901" s="26"/>
      <c r="W5901" s="26"/>
    </row>
    <row r="5902" spans="21:23" x14ac:dyDescent="0.25">
      <c r="U5902" s="159"/>
      <c r="V5902" s="26"/>
      <c r="W5902" s="26"/>
    </row>
    <row r="5903" spans="21:23" x14ac:dyDescent="0.25">
      <c r="U5903" s="159"/>
      <c r="V5903" s="26"/>
      <c r="W5903" s="26"/>
    </row>
    <row r="5904" spans="21:23" x14ac:dyDescent="0.25">
      <c r="U5904" s="159"/>
      <c r="V5904" s="26"/>
      <c r="W5904" s="26"/>
    </row>
    <row r="5905" spans="21:23" x14ac:dyDescent="0.25">
      <c r="U5905" s="159"/>
      <c r="V5905" s="26"/>
      <c r="W5905" s="26"/>
    </row>
    <row r="5906" spans="21:23" x14ac:dyDescent="0.25">
      <c r="U5906" s="159"/>
      <c r="V5906" s="12"/>
      <c r="W5906" s="26"/>
    </row>
    <row r="5907" spans="21:23" x14ac:dyDescent="0.25">
      <c r="U5907" s="159"/>
      <c r="V5907" s="12"/>
      <c r="W5907" s="26"/>
    </row>
    <row r="5908" spans="21:23" x14ac:dyDescent="0.25">
      <c r="U5908" s="159"/>
      <c r="V5908" s="12"/>
      <c r="W5908" s="25"/>
    </row>
    <row r="5909" spans="21:23" x14ac:dyDescent="0.25">
      <c r="U5909" s="159"/>
      <c r="V5909" s="12"/>
      <c r="W5909" s="25"/>
    </row>
    <row r="5910" spans="21:23" x14ac:dyDescent="0.25">
      <c r="U5910" s="159"/>
      <c r="V5910" s="12"/>
      <c r="W5910" s="25"/>
    </row>
    <row r="5911" spans="21:23" ht="13" x14ac:dyDescent="0.3">
      <c r="U5911" s="36"/>
      <c r="V5911" s="26"/>
      <c r="W5911" s="159"/>
    </row>
    <row r="5912" spans="21:23" ht="13" x14ac:dyDescent="0.25">
      <c r="U5912" s="24"/>
      <c r="V5912" s="12"/>
      <c r="W5912" s="12"/>
    </row>
    <row r="5913" spans="21:23" ht="13" x14ac:dyDescent="0.25">
      <c r="U5913" s="159"/>
      <c r="V5913" s="140"/>
      <c r="W5913" s="160"/>
    </row>
    <row r="5914" spans="21:23" ht="13" x14ac:dyDescent="0.25">
      <c r="U5914" s="12"/>
      <c r="V5914" s="140"/>
      <c r="W5914" s="160"/>
    </row>
    <row r="5915" spans="21:23" x14ac:dyDescent="0.25">
      <c r="U5915" s="159"/>
      <c r="V5915" s="26"/>
      <c r="W5915" s="26"/>
    </row>
    <row r="5916" spans="21:23" x14ac:dyDescent="0.25">
      <c r="U5916" s="159"/>
      <c r="V5916" s="26"/>
      <c r="W5916" s="26"/>
    </row>
    <row r="5917" spans="21:23" x14ac:dyDescent="0.25">
      <c r="U5917" s="159"/>
      <c r="V5917" s="26"/>
      <c r="W5917" s="26"/>
    </row>
    <row r="5918" spans="21:23" x14ac:dyDescent="0.25">
      <c r="U5918" s="159"/>
      <c r="V5918" s="26"/>
      <c r="W5918" s="26"/>
    </row>
    <row r="5919" spans="21:23" x14ac:dyDescent="0.25">
      <c r="U5919" s="159"/>
      <c r="V5919" s="26"/>
      <c r="W5919" s="26"/>
    </row>
    <row r="5920" spans="21:23" x14ac:dyDescent="0.25">
      <c r="U5920" s="159"/>
      <c r="V5920" s="12"/>
      <c r="W5920" s="26"/>
    </row>
    <row r="5921" spans="21:23" x14ac:dyDescent="0.25">
      <c r="U5921" s="159"/>
      <c r="V5921" s="12"/>
      <c r="W5921" s="26"/>
    </row>
    <row r="5922" spans="21:23" x14ac:dyDescent="0.25">
      <c r="U5922" s="159"/>
      <c r="V5922" s="12"/>
      <c r="W5922" s="25"/>
    </row>
    <row r="5923" spans="21:23" x14ac:dyDescent="0.25">
      <c r="U5923" s="159"/>
      <c r="V5923" s="12"/>
      <c r="W5923" s="25"/>
    </row>
    <row r="5924" spans="21:23" x14ac:dyDescent="0.25">
      <c r="U5924" s="159"/>
      <c r="V5924" s="12"/>
      <c r="W5924" s="25"/>
    </row>
    <row r="5925" spans="21:23" ht="13" x14ac:dyDescent="0.3">
      <c r="U5925" s="36"/>
      <c r="V5925" s="26"/>
      <c r="W5925" s="159"/>
    </row>
    <row r="5926" spans="21:23" ht="13" x14ac:dyDescent="0.25">
      <c r="U5926" s="24"/>
      <c r="V5926" s="12"/>
      <c r="W5926" s="12"/>
    </row>
    <row r="5927" spans="21:23" ht="13" x14ac:dyDescent="0.25">
      <c r="U5927" s="159"/>
      <c r="V5927" s="140"/>
      <c r="W5927" s="160"/>
    </row>
    <row r="5928" spans="21:23" ht="13" x14ac:dyDescent="0.25">
      <c r="U5928" s="12"/>
      <c r="V5928" s="140"/>
      <c r="W5928" s="160"/>
    </row>
    <row r="5929" spans="21:23" x14ac:dyDescent="0.25">
      <c r="U5929" s="159"/>
      <c r="V5929" s="26"/>
      <c r="W5929" s="26"/>
    </row>
    <row r="5930" spans="21:23" x14ac:dyDescent="0.25">
      <c r="U5930" s="159"/>
      <c r="V5930" s="26"/>
      <c r="W5930" s="26"/>
    </row>
    <row r="5931" spans="21:23" x14ac:dyDescent="0.25">
      <c r="U5931" s="159"/>
      <c r="V5931" s="26"/>
      <c r="W5931" s="26"/>
    </row>
    <row r="5932" spans="21:23" x14ac:dyDescent="0.25">
      <c r="U5932" s="159"/>
      <c r="V5932" s="26"/>
      <c r="W5932" s="26"/>
    </row>
    <row r="5933" spans="21:23" x14ac:dyDescent="0.25">
      <c r="U5933" s="159"/>
      <c r="V5933" s="26"/>
      <c r="W5933" s="26"/>
    </row>
    <row r="5934" spans="21:23" x14ac:dyDescent="0.25">
      <c r="U5934" s="159"/>
      <c r="V5934" s="12"/>
      <c r="W5934" s="26"/>
    </row>
    <row r="5935" spans="21:23" x14ac:dyDescent="0.25">
      <c r="U5935" s="159"/>
      <c r="V5935" s="12"/>
      <c r="W5935" s="26"/>
    </row>
    <row r="5936" spans="21:23" x14ac:dyDescent="0.25">
      <c r="U5936" s="159"/>
      <c r="V5936" s="12"/>
      <c r="W5936" s="25"/>
    </row>
    <row r="5937" spans="21:23" x14ac:dyDescent="0.25">
      <c r="U5937" s="159"/>
      <c r="V5937" s="12"/>
      <c r="W5937" s="25"/>
    </row>
    <row r="5938" spans="21:23" x14ac:dyDescent="0.25">
      <c r="U5938" s="159"/>
      <c r="V5938" s="12"/>
      <c r="W5938" s="25"/>
    </row>
    <row r="5939" spans="21:23" ht="13" x14ac:dyDescent="0.3">
      <c r="U5939" s="36"/>
      <c r="V5939" s="26"/>
      <c r="W5939" s="159"/>
    </row>
    <row r="5940" spans="21:23" ht="13" x14ac:dyDescent="0.25">
      <c r="U5940" s="24"/>
      <c r="V5940" s="12"/>
      <c r="W5940" s="12"/>
    </row>
    <row r="5941" spans="21:23" ht="13" x14ac:dyDescent="0.25">
      <c r="U5941" s="159"/>
      <c r="V5941" s="140"/>
      <c r="W5941" s="160"/>
    </row>
    <row r="5942" spans="21:23" ht="13" x14ac:dyDescent="0.25">
      <c r="U5942" s="12"/>
      <c r="V5942" s="140"/>
      <c r="W5942" s="160"/>
    </row>
    <row r="5943" spans="21:23" x14ac:dyDescent="0.25">
      <c r="U5943" s="159"/>
      <c r="V5943" s="26"/>
      <c r="W5943" s="26"/>
    </row>
    <row r="5944" spans="21:23" x14ac:dyDescent="0.25">
      <c r="U5944" s="159"/>
      <c r="V5944" s="26"/>
      <c r="W5944" s="26"/>
    </row>
    <row r="5945" spans="21:23" x14ac:dyDescent="0.25">
      <c r="U5945" s="159"/>
      <c r="V5945" s="26"/>
      <c r="W5945" s="26"/>
    </row>
    <row r="5946" spans="21:23" x14ac:dyDescent="0.25">
      <c r="U5946" s="159"/>
      <c r="V5946" s="26"/>
      <c r="W5946" s="26"/>
    </row>
    <row r="5947" spans="21:23" x14ac:dyDescent="0.25">
      <c r="U5947" s="159"/>
      <c r="V5947" s="26"/>
      <c r="W5947" s="26"/>
    </row>
    <row r="5948" spans="21:23" x14ac:dyDescent="0.25">
      <c r="U5948" s="159"/>
      <c r="V5948" s="12"/>
      <c r="W5948" s="26"/>
    </row>
    <row r="5949" spans="21:23" x14ac:dyDescent="0.25">
      <c r="U5949" s="159"/>
      <c r="V5949" s="12"/>
      <c r="W5949" s="26"/>
    </row>
    <row r="5950" spans="21:23" x14ac:dyDescent="0.25">
      <c r="U5950" s="159"/>
      <c r="V5950" s="12"/>
      <c r="W5950" s="25"/>
    </row>
    <row r="5951" spans="21:23" x14ac:dyDescent="0.25">
      <c r="U5951" s="159"/>
      <c r="V5951" s="12"/>
      <c r="W5951" s="25"/>
    </row>
    <row r="5952" spans="21:23" x14ac:dyDescent="0.25">
      <c r="U5952" s="159"/>
      <c r="V5952" s="12"/>
      <c r="W5952" s="25"/>
    </row>
    <row r="5953" spans="21:23" ht="13" x14ac:dyDescent="0.3">
      <c r="U5953" s="36"/>
      <c r="V5953" s="26"/>
      <c r="W5953" s="159"/>
    </row>
    <row r="5954" spans="21:23" ht="13" x14ac:dyDescent="0.25">
      <c r="U5954" s="24"/>
      <c r="V5954" s="12"/>
      <c r="W5954" s="12"/>
    </row>
    <row r="5955" spans="21:23" ht="13" x14ac:dyDescent="0.25">
      <c r="U5955" s="159"/>
      <c r="V5955" s="140"/>
      <c r="W5955" s="160"/>
    </row>
    <row r="5956" spans="21:23" ht="13" x14ac:dyDescent="0.25">
      <c r="U5956" s="12"/>
      <c r="V5956" s="140"/>
      <c r="W5956" s="160"/>
    </row>
    <row r="5957" spans="21:23" x14ac:dyDescent="0.25">
      <c r="U5957" s="159"/>
      <c r="V5957" s="26"/>
      <c r="W5957" s="26"/>
    </row>
    <row r="5958" spans="21:23" x14ac:dyDescent="0.25">
      <c r="U5958" s="159"/>
      <c r="V5958" s="26"/>
      <c r="W5958" s="26"/>
    </row>
    <row r="5959" spans="21:23" x14ac:dyDescent="0.25">
      <c r="U5959" s="159"/>
      <c r="V5959" s="26"/>
      <c r="W5959" s="26"/>
    </row>
    <row r="5960" spans="21:23" x14ac:dyDescent="0.25">
      <c r="U5960" s="159"/>
      <c r="V5960" s="26"/>
      <c r="W5960" s="26"/>
    </row>
    <row r="5961" spans="21:23" x14ac:dyDescent="0.25">
      <c r="U5961" s="159"/>
      <c r="V5961" s="26"/>
      <c r="W5961" s="26"/>
    </row>
    <row r="5962" spans="21:23" x14ac:dyDescent="0.25">
      <c r="U5962" s="159"/>
      <c r="V5962" s="12"/>
      <c r="W5962" s="26"/>
    </row>
    <row r="5963" spans="21:23" x14ac:dyDescent="0.25">
      <c r="U5963" s="159"/>
      <c r="V5963" s="12"/>
      <c r="W5963" s="26"/>
    </row>
    <row r="5964" spans="21:23" x14ac:dyDescent="0.25">
      <c r="U5964" s="159"/>
      <c r="V5964" s="12"/>
      <c r="W5964" s="25"/>
    </row>
    <row r="5965" spans="21:23" x14ac:dyDescent="0.25">
      <c r="U5965" s="159"/>
      <c r="V5965" s="12"/>
      <c r="W5965" s="25"/>
    </row>
    <row r="5966" spans="21:23" x14ac:dyDescent="0.25">
      <c r="U5966" s="159"/>
      <c r="V5966" s="12"/>
      <c r="W5966" s="25"/>
    </row>
    <row r="5967" spans="21:23" ht="13" x14ac:dyDescent="0.3">
      <c r="U5967" s="36"/>
      <c r="V5967" s="26"/>
      <c r="W5967" s="159"/>
    </row>
    <row r="5968" spans="21:23" ht="13" x14ac:dyDescent="0.25">
      <c r="U5968" s="24"/>
      <c r="V5968" s="12"/>
      <c r="W5968" s="12"/>
    </row>
    <row r="5969" spans="21:23" ht="13" x14ac:dyDescent="0.25">
      <c r="U5969" s="159"/>
      <c r="V5969" s="140"/>
      <c r="W5969" s="160"/>
    </row>
    <row r="5970" spans="21:23" ht="13" x14ac:dyDescent="0.25">
      <c r="U5970" s="12"/>
      <c r="V5970" s="140"/>
      <c r="W5970" s="160"/>
    </row>
    <row r="5971" spans="21:23" x14ac:dyDescent="0.25">
      <c r="U5971" s="159"/>
      <c r="V5971" s="26"/>
      <c r="W5971" s="26"/>
    </row>
    <row r="5972" spans="21:23" x14ac:dyDescent="0.25">
      <c r="U5972" s="159"/>
      <c r="V5972" s="26"/>
      <c r="W5972" s="26"/>
    </row>
    <row r="5973" spans="21:23" x14ac:dyDescent="0.25">
      <c r="U5973" s="159"/>
      <c r="V5973" s="26"/>
      <c r="W5973" s="26"/>
    </row>
    <row r="5974" spans="21:23" x14ac:dyDescent="0.25">
      <c r="U5974" s="159"/>
      <c r="V5974" s="26"/>
      <c r="W5974" s="26"/>
    </row>
    <row r="5975" spans="21:23" x14ac:dyDescent="0.25">
      <c r="U5975" s="159"/>
      <c r="V5975" s="26"/>
      <c r="W5975" s="26"/>
    </row>
    <row r="5976" spans="21:23" x14ac:dyDescent="0.25">
      <c r="U5976" s="159"/>
      <c r="V5976" s="12"/>
      <c r="W5976" s="26"/>
    </row>
    <row r="5977" spans="21:23" x14ac:dyDescent="0.25">
      <c r="U5977" s="159"/>
      <c r="V5977" s="12"/>
      <c r="W5977" s="26"/>
    </row>
    <row r="5978" spans="21:23" x14ac:dyDescent="0.25">
      <c r="U5978" s="159"/>
      <c r="V5978" s="12"/>
      <c r="W5978" s="25"/>
    </row>
    <row r="5979" spans="21:23" x14ac:dyDescent="0.25">
      <c r="U5979" s="159"/>
      <c r="V5979" s="12"/>
      <c r="W5979" s="25"/>
    </row>
    <row r="5980" spans="21:23" x14ac:dyDescent="0.25">
      <c r="U5980" s="159"/>
      <c r="V5980" s="12"/>
      <c r="W5980" s="25"/>
    </row>
    <row r="5981" spans="21:23" ht="13" x14ac:dyDescent="0.3">
      <c r="U5981" s="36"/>
      <c r="V5981" s="26"/>
      <c r="W5981" s="159"/>
    </row>
    <row r="5982" spans="21:23" ht="13" x14ac:dyDescent="0.25">
      <c r="U5982" s="24"/>
      <c r="V5982" s="12"/>
      <c r="W5982" s="12"/>
    </row>
    <row r="5983" spans="21:23" ht="13" x14ac:dyDescent="0.25">
      <c r="U5983" s="159"/>
      <c r="V5983" s="140"/>
      <c r="W5983" s="160"/>
    </row>
    <row r="5984" spans="21:23" ht="13" x14ac:dyDescent="0.25">
      <c r="U5984" s="12"/>
      <c r="V5984" s="140"/>
      <c r="W5984" s="160"/>
    </row>
    <row r="5985" spans="21:23" x14ac:dyDescent="0.25">
      <c r="U5985" s="159"/>
      <c r="V5985" s="26"/>
      <c r="W5985" s="26"/>
    </row>
    <row r="5986" spans="21:23" x14ac:dyDescent="0.25">
      <c r="U5986" s="159"/>
      <c r="V5986" s="26"/>
      <c r="W5986" s="26"/>
    </row>
    <row r="5987" spans="21:23" x14ac:dyDescent="0.25">
      <c r="U5987" s="159"/>
      <c r="V5987" s="26"/>
      <c r="W5987" s="26"/>
    </row>
    <row r="5988" spans="21:23" x14ac:dyDescent="0.25">
      <c r="U5988" s="159"/>
      <c r="V5988" s="26"/>
      <c r="W5988" s="26"/>
    </row>
    <row r="5989" spans="21:23" x14ac:dyDescent="0.25">
      <c r="U5989" s="159"/>
      <c r="V5989" s="26"/>
      <c r="W5989" s="26"/>
    </row>
    <row r="5990" spans="21:23" x14ac:dyDescent="0.25">
      <c r="U5990" s="159"/>
      <c r="V5990" s="12"/>
      <c r="W5990" s="26"/>
    </row>
    <row r="5991" spans="21:23" x14ac:dyDescent="0.25">
      <c r="U5991" s="159"/>
      <c r="V5991" s="12"/>
      <c r="W5991" s="26"/>
    </row>
    <row r="5992" spans="21:23" x14ac:dyDescent="0.25">
      <c r="U5992" s="159"/>
      <c r="V5992" s="12"/>
      <c r="W5992" s="25"/>
    </row>
    <row r="5993" spans="21:23" x14ac:dyDescent="0.25">
      <c r="U5993" s="159"/>
      <c r="V5993" s="12"/>
      <c r="W5993" s="25"/>
    </row>
    <row r="5994" spans="21:23" x14ac:dyDescent="0.25">
      <c r="U5994" s="159"/>
      <c r="V5994" s="12"/>
      <c r="W5994" s="25"/>
    </row>
    <row r="5995" spans="21:23" ht="13" x14ac:dyDescent="0.3">
      <c r="U5995" s="36"/>
      <c r="V5995" s="26"/>
      <c r="W5995" s="159"/>
    </row>
    <row r="5996" spans="21:23" ht="13" x14ac:dyDescent="0.25">
      <c r="U5996" s="24"/>
      <c r="V5996" s="12"/>
      <c r="W5996" s="12"/>
    </row>
    <row r="5997" spans="21:23" ht="13" x14ac:dyDescent="0.25">
      <c r="U5997" s="159"/>
      <c r="V5997" s="140"/>
      <c r="W5997" s="160"/>
    </row>
    <row r="5998" spans="21:23" ht="13" x14ac:dyDescent="0.25">
      <c r="U5998" s="12"/>
      <c r="V5998" s="140"/>
      <c r="W5998" s="160"/>
    </row>
    <row r="5999" spans="21:23" x14ac:dyDescent="0.25">
      <c r="U5999" s="159"/>
      <c r="V5999" s="26"/>
      <c r="W5999" s="26"/>
    </row>
    <row r="6000" spans="21:23" x14ac:dyDescent="0.25">
      <c r="U6000" s="159"/>
      <c r="V6000" s="26"/>
      <c r="W6000" s="26"/>
    </row>
    <row r="6001" spans="21:23" x14ac:dyDescent="0.25">
      <c r="U6001" s="159"/>
      <c r="V6001" s="26"/>
      <c r="W6001" s="26"/>
    </row>
    <row r="6002" spans="21:23" x14ac:dyDescent="0.25">
      <c r="U6002" s="159"/>
      <c r="V6002" s="26"/>
      <c r="W6002" s="26"/>
    </row>
    <row r="6003" spans="21:23" x14ac:dyDescent="0.25">
      <c r="U6003" s="159"/>
      <c r="V6003" s="26"/>
      <c r="W6003" s="26"/>
    </row>
    <row r="6004" spans="21:23" x14ac:dyDescent="0.25">
      <c r="U6004" s="159"/>
      <c r="V6004" s="12"/>
      <c r="W6004" s="26"/>
    </row>
    <row r="6005" spans="21:23" x14ac:dyDescent="0.25">
      <c r="U6005" s="159"/>
      <c r="V6005" s="12"/>
      <c r="W6005" s="26"/>
    </row>
    <row r="6006" spans="21:23" x14ac:dyDescent="0.25">
      <c r="U6006" s="159"/>
      <c r="V6006" s="12"/>
      <c r="W6006" s="25"/>
    </row>
    <row r="6007" spans="21:23" x14ac:dyDescent="0.25">
      <c r="U6007" s="159"/>
      <c r="V6007" s="12"/>
      <c r="W6007" s="25"/>
    </row>
    <row r="6008" spans="21:23" x14ac:dyDescent="0.25">
      <c r="U6008" s="159"/>
      <c r="V6008" s="12"/>
      <c r="W6008" s="25"/>
    </row>
    <row r="6009" spans="21:23" ht="13" x14ac:dyDescent="0.3">
      <c r="U6009" s="36"/>
      <c r="V6009" s="26"/>
      <c r="W6009" s="159"/>
    </row>
    <row r="6010" spans="21:23" ht="13" x14ac:dyDescent="0.25">
      <c r="U6010" s="24"/>
      <c r="V6010" s="12"/>
      <c r="W6010" s="12"/>
    </row>
    <row r="6011" spans="21:23" ht="13" x14ac:dyDescent="0.25">
      <c r="U6011" s="159"/>
      <c r="V6011" s="140"/>
      <c r="W6011" s="160"/>
    </row>
    <row r="6012" spans="21:23" ht="13" x14ac:dyDescent="0.25">
      <c r="U6012" s="12"/>
      <c r="V6012" s="140"/>
      <c r="W6012" s="160"/>
    </row>
    <row r="6013" spans="21:23" x14ac:dyDescent="0.25">
      <c r="U6013" s="159"/>
      <c r="V6013" s="26"/>
      <c r="W6013" s="26"/>
    </row>
    <row r="6014" spans="21:23" x14ac:dyDescent="0.25">
      <c r="U6014" s="159"/>
      <c r="V6014" s="26"/>
      <c r="W6014" s="26"/>
    </row>
    <row r="6015" spans="21:23" x14ac:dyDescent="0.25">
      <c r="U6015" s="159"/>
      <c r="V6015" s="26"/>
      <c r="W6015" s="26"/>
    </row>
    <row r="6016" spans="21:23" x14ac:dyDescent="0.25">
      <c r="U6016" s="159"/>
      <c r="V6016" s="26"/>
      <c r="W6016" s="26"/>
    </row>
    <row r="6017" spans="21:23" x14ac:dyDescent="0.25">
      <c r="U6017" s="159"/>
      <c r="V6017" s="26"/>
      <c r="W6017" s="26"/>
    </row>
    <row r="6018" spans="21:23" x14ac:dyDescent="0.25">
      <c r="U6018" s="159"/>
      <c r="V6018" s="12"/>
      <c r="W6018" s="26"/>
    </row>
    <row r="6019" spans="21:23" x14ac:dyDescent="0.25">
      <c r="U6019" s="159"/>
      <c r="V6019" s="12"/>
      <c r="W6019" s="26"/>
    </row>
    <row r="6020" spans="21:23" x14ac:dyDescent="0.25">
      <c r="U6020" s="159"/>
      <c r="V6020" s="12"/>
      <c r="W6020" s="25"/>
    </row>
    <row r="6021" spans="21:23" x14ac:dyDescent="0.25">
      <c r="U6021" s="159"/>
      <c r="V6021" s="12"/>
      <c r="W6021" s="25"/>
    </row>
    <row r="6022" spans="21:23" x14ac:dyDescent="0.25">
      <c r="U6022" s="159"/>
      <c r="V6022" s="12"/>
      <c r="W6022" s="25"/>
    </row>
    <row r="6023" spans="21:23" ht="13" x14ac:dyDescent="0.3">
      <c r="U6023" s="36"/>
      <c r="V6023" s="26"/>
      <c r="W6023" s="159"/>
    </row>
    <row r="6024" spans="21:23" ht="13" x14ac:dyDescent="0.25">
      <c r="U6024" s="24"/>
      <c r="V6024" s="12"/>
      <c r="W6024" s="12"/>
    </row>
    <row r="6025" spans="21:23" ht="13" x14ac:dyDescent="0.25">
      <c r="U6025" s="159"/>
      <c r="V6025" s="140"/>
      <c r="W6025" s="160"/>
    </row>
    <row r="6026" spans="21:23" ht="13" x14ac:dyDescent="0.25">
      <c r="U6026" s="12"/>
      <c r="V6026" s="140"/>
      <c r="W6026" s="160"/>
    </row>
    <row r="6027" spans="21:23" x14ac:dyDescent="0.25">
      <c r="U6027" s="159"/>
      <c r="V6027" s="26"/>
      <c r="W6027" s="26"/>
    </row>
    <row r="6028" spans="21:23" x14ac:dyDescent="0.25">
      <c r="U6028" s="159"/>
      <c r="V6028" s="26"/>
      <c r="W6028" s="26"/>
    </row>
    <row r="6029" spans="21:23" x14ac:dyDescent="0.25">
      <c r="U6029" s="159"/>
      <c r="V6029" s="26"/>
      <c r="W6029" s="26"/>
    </row>
    <row r="6030" spans="21:23" x14ac:dyDescent="0.25">
      <c r="U6030" s="159"/>
      <c r="V6030" s="26"/>
      <c r="W6030" s="26"/>
    </row>
    <row r="6031" spans="21:23" x14ac:dyDescent="0.25">
      <c r="U6031" s="159"/>
      <c r="V6031" s="26"/>
      <c r="W6031" s="26"/>
    </row>
    <row r="6032" spans="21:23" x14ac:dyDescent="0.25">
      <c r="U6032" s="159"/>
      <c r="V6032" s="12"/>
      <c r="W6032" s="26"/>
    </row>
    <row r="6033" spans="21:23" x14ac:dyDescent="0.25">
      <c r="U6033" s="159"/>
      <c r="V6033" s="12"/>
      <c r="W6033" s="26"/>
    </row>
    <row r="6034" spans="21:23" x14ac:dyDescent="0.25">
      <c r="U6034" s="159"/>
      <c r="V6034" s="12"/>
      <c r="W6034" s="25"/>
    </row>
    <row r="6035" spans="21:23" x14ac:dyDescent="0.25">
      <c r="U6035" s="159"/>
      <c r="V6035" s="12"/>
      <c r="W6035" s="25"/>
    </row>
    <row r="6036" spans="21:23" x14ac:dyDescent="0.25">
      <c r="U6036" s="159"/>
      <c r="V6036" s="12"/>
      <c r="W6036" s="25"/>
    </row>
    <row r="6037" spans="21:23" ht="13" x14ac:dyDescent="0.3">
      <c r="U6037" s="36"/>
      <c r="V6037" s="26"/>
      <c r="W6037" s="159"/>
    </row>
    <row r="6038" spans="21:23" ht="13" x14ac:dyDescent="0.25">
      <c r="U6038" s="24"/>
      <c r="V6038" s="12"/>
      <c r="W6038" s="12"/>
    </row>
    <row r="6039" spans="21:23" ht="13" x14ac:dyDescent="0.25">
      <c r="U6039" s="159"/>
      <c r="V6039" s="140"/>
      <c r="W6039" s="160"/>
    </row>
    <row r="6040" spans="21:23" ht="13" x14ac:dyDescent="0.25">
      <c r="U6040" s="12"/>
      <c r="V6040" s="140"/>
      <c r="W6040" s="160"/>
    </row>
    <row r="6041" spans="21:23" x14ac:dyDescent="0.25">
      <c r="U6041" s="159"/>
      <c r="V6041" s="26"/>
      <c r="W6041" s="26"/>
    </row>
    <row r="6042" spans="21:23" x14ac:dyDescent="0.25">
      <c r="U6042" s="159"/>
      <c r="V6042" s="26"/>
      <c r="W6042" s="26"/>
    </row>
    <row r="6043" spans="21:23" x14ac:dyDescent="0.25">
      <c r="U6043" s="159"/>
      <c r="V6043" s="26"/>
      <c r="W6043" s="26"/>
    </row>
    <row r="6044" spans="21:23" x14ac:dyDescent="0.25">
      <c r="U6044" s="159"/>
      <c r="V6044" s="26"/>
      <c r="W6044" s="26"/>
    </row>
    <row r="6045" spans="21:23" x14ac:dyDescent="0.25">
      <c r="U6045" s="159"/>
      <c r="V6045" s="26"/>
      <c r="W6045" s="26"/>
    </row>
    <row r="6046" spans="21:23" x14ac:dyDescent="0.25">
      <c r="U6046" s="159"/>
      <c r="V6046" s="12"/>
      <c r="W6046" s="26"/>
    </row>
    <row r="6047" spans="21:23" x14ac:dyDescent="0.25">
      <c r="U6047" s="159"/>
      <c r="V6047" s="12"/>
      <c r="W6047" s="26"/>
    </row>
    <row r="6048" spans="21:23" x14ac:dyDescent="0.25">
      <c r="U6048" s="159"/>
      <c r="V6048" s="12"/>
      <c r="W6048" s="25"/>
    </row>
    <row r="6049" spans="21:23" x14ac:dyDescent="0.25">
      <c r="U6049" s="159"/>
      <c r="V6049" s="12"/>
      <c r="W6049" s="25"/>
    </row>
    <row r="6050" spans="21:23" x14ac:dyDescent="0.25">
      <c r="U6050" s="159"/>
      <c r="V6050" s="12"/>
      <c r="W6050" s="25"/>
    </row>
    <row r="6051" spans="21:23" ht="13" x14ac:dyDescent="0.3">
      <c r="U6051" s="36"/>
      <c r="V6051" s="26"/>
      <c r="W6051" s="159"/>
    </row>
    <row r="6052" spans="21:23" ht="13" x14ac:dyDescent="0.25">
      <c r="U6052" s="24"/>
      <c r="V6052" s="12"/>
      <c r="W6052" s="12"/>
    </row>
    <row r="6053" spans="21:23" ht="13" x14ac:dyDescent="0.25">
      <c r="U6053" s="159"/>
      <c r="V6053" s="140"/>
      <c r="W6053" s="160"/>
    </row>
    <row r="6054" spans="21:23" ht="13" x14ac:dyDescent="0.25">
      <c r="U6054" s="12"/>
      <c r="V6054" s="140"/>
      <c r="W6054" s="160"/>
    </row>
    <row r="6055" spans="21:23" x14ac:dyDescent="0.25">
      <c r="U6055" s="159"/>
      <c r="V6055" s="26"/>
      <c r="W6055" s="26"/>
    </row>
    <row r="6056" spans="21:23" x14ac:dyDescent="0.25">
      <c r="U6056" s="159"/>
      <c r="V6056" s="26"/>
      <c r="W6056" s="26"/>
    </row>
    <row r="6057" spans="21:23" x14ac:dyDescent="0.25">
      <c r="U6057" s="159"/>
      <c r="V6057" s="26"/>
      <c r="W6057" s="26"/>
    </row>
    <row r="6058" spans="21:23" x14ac:dyDescent="0.25">
      <c r="U6058" s="159"/>
      <c r="V6058" s="26"/>
      <c r="W6058" s="26"/>
    </row>
    <row r="6059" spans="21:23" x14ac:dyDescent="0.25">
      <c r="U6059" s="159"/>
      <c r="V6059" s="26"/>
      <c r="W6059" s="26"/>
    </row>
    <row r="6060" spans="21:23" x14ac:dyDescent="0.25">
      <c r="U6060" s="159"/>
      <c r="V6060" s="12"/>
      <c r="W6060" s="26"/>
    </row>
    <row r="6061" spans="21:23" x14ac:dyDescent="0.25">
      <c r="U6061" s="159"/>
      <c r="V6061" s="12"/>
      <c r="W6061" s="26"/>
    </row>
    <row r="6062" spans="21:23" x14ac:dyDescent="0.25">
      <c r="U6062" s="159"/>
      <c r="V6062" s="12"/>
      <c r="W6062" s="25"/>
    </row>
    <row r="6063" spans="21:23" x14ac:dyDescent="0.25">
      <c r="U6063" s="159"/>
      <c r="V6063" s="12"/>
      <c r="W6063" s="25"/>
    </row>
    <row r="6064" spans="21:23" x14ac:dyDescent="0.25">
      <c r="U6064" s="159"/>
      <c r="V6064" s="12"/>
      <c r="W6064" s="25"/>
    </row>
    <row r="6065" spans="21:23" ht="13" x14ac:dyDescent="0.3">
      <c r="U6065" s="36"/>
      <c r="V6065" s="26"/>
      <c r="W6065" s="159"/>
    </row>
    <row r="6066" spans="21:23" ht="13" x14ac:dyDescent="0.25">
      <c r="U6066" s="24"/>
      <c r="V6066" s="12"/>
      <c r="W6066" s="12"/>
    </row>
    <row r="6067" spans="21:23" ht="13" x14ac:dyDescent="0.25">
      <c r="U6067" s="159"/>
      <c r="V6067" s="140"/>
      <c r="W6067" s="160"/>
    </row>
    <row r="6068" spans="21:23" ht="13" x14ac:dyDescent="0.25">
      <c r="U6068" s="12"/>
      <c r="V6068" s="140"/>
      <c r="W6068" s="160"/>
    </row>
    <row r="6069" spans="21:23" x14ac:dyDescent="0.25">
      <c r="U6069" s="159"/>
      <c r="V6069" s="26"/>
      <c r="W6069" s="26"/>
    </row>
    <row r="6070" spans="21:23" x14ac:dyDescent="0.25">
      <c r="U6070" s="159"/>
      <c r="V6070" s="26"/>
      <c r="W6070" s="26"/>
    </row>
    <row r="6071" spans="21:23" x14ac:dyDescent="0.25">
      <c r="U6071" s="159"/>
      <c r="V6071" s="26"/>
      <c r="W6071" s="26"/>
    </row>
    <row r="6072" spans="21:23" x14ac:dyDescent="0.25">
      <c r="U6072" s="159"/>
      <c r="V6072" s="26"/>
      <c r="W6072" s="26"/>
    </row>
    <row r="6073" spans="21:23" x14ac:dyDescent="0.25">
      <c r="U6073" s="159"/>
      <c r="V6073" s="26"/>
      <c r="W6073" s="26"/>
    </row>
    <row r="6074" spans="21:23" x14ac:dyDescent="0.25">
      <c r="U6074" s="159"/>
      <c r="V6074" s="12"/>
      <c r="W6074" s="26"/>
    </row>
    <row r="6075" spans="21:23" x14ac:dyDescent="0.25">
      <c r="U6075" s="159"/>
      <c r="V6075" s="12"/>
      <c r="W6075" s="26"/>
    </row>
    <row r="6076" spans="21:23" x14ac:dyDescent="0.25">
      <c r="U6076" s="159"/>
      <c r="V6076" s="12"/>
      <c r="W6076" s="25"/>
    </row>
    <row r="6077" spans="21:23" x14ac:dyDescent="0.25">
      <c r="U6077" s="159"/>
      <c r="V6077" s="12"/>
      <c r="W6077" s="25"/>
    </row>
    <row r="6078" spans="21:23" x14ac:dyDescent="0.25">
      <c r="U6078" s="159"/>
      <c r="V6078" s="12"/>
      <c r="W6078" s="25"/>
    </row>
    <row r="6079" spans="21:23" ht="13" x14ac:dyDescent="0.3">
      <c r="U6079" s="36"/>
      <c r="V6079" s="26"/>
      <c r="W6079" s="159"/>
    </row>
    <row r="6080" spans="21:23" ht="13" x14ac:dyDescent="0.25">
      <c r="U6080" s="24"/>
      <c r="V6080" s="12"/>
      <c r="W6080" s="12"/>
    </row>
    <row r="6081" spans="21:23" ht="13" x14ac:dyDescent="0.25">
      <c r="U6081" s="159"/>
      <c r="V6081" s="140"/>
      <c r="W6081" s="160"/>
    </row>
    <row r="6082" spans="21:23" ht="13" x14ac:dyDescent="0.25">
      <c r="U6082" s="12"/>
      <c r="V6082" s="140"/>
      <c r="W6082" s="160"/>
    </row>
    <row r="6083" spans="21:23" x14ac:dyDescent="0.25">
      <c r="U6083" s="159"/>
      <c r="V6083" s="26"/>
      <c r="W6083" s="26"/>
    </row>
    <row r="6084" spans="21:23" x14ac:dyDescent="0.25">
      <c r="U6084" s="159"/>
      <c r="V6084" s="26"/>
      <c r="W6084" s="26"/>
    </row>
    <row r="6085" spans="21:23" x14ac:dyDescent="0.25">
      <c r="U6085" s="159"/>
      <c r="V6085" s="26"/>
      <c r="W6085" s="26"/>
    </row>
    <row r="6086" spans="21:23" x14ac:dyDescent="0.25">
      <c r="U6086" s="159"/>
      <c r="V6086" s="26"/>
      <c r="W6086" s="26"/>
    </row>
    <row r="6087" spans="21:23" x14ac:dyDescent="0.25">
      <c r="U6087" s="159"/>
      <c r="V6087" s="26"/>
      <c r="W6087" s="26"/>
    </row>
    <row r="6088" spans="21:23" x14ac:dyDescent="0.25">
      <c r="U6088" s="159"/>
      <c r="V6088" s="12"/>
      <c r="W6088" s="26"/>
    </row>
    <row r="6089" spans="21:23" x14ac:dyDescent="0.25">
      <c r="U6089" s="159"/>
      <c r="V6089" s="12"/>
      <c r="W6089" s="26"/>
    </row>
    <row r="6090" spans="21:23" x14ac:dyDescent="0.25">
      <c r="U6090" s="159"/>
      <c r="V6090" s="12"/>
      <c r="W6090" s="25"/>
    </row>
    <row r="6091" spans="21:23" x14ac:dyDescent="0.25">
      <c r="U6091" s="159"/>
      <c r="V6091" s="12"/>
      <c r="W6091" s="25"/>
    </row>
    <row r="6092" spans="21:23" x14ac:dyDescent="0.25">
      <c r="U6092" s="159"/>
      <c r="V6092" s="12"/>
      <c r="W6092" s="25"/>
    </row>
    <row r="6093" spans="21:23" ht="13" x14ac:dyDescent="0.3">
      <c r="U6093" s="36"/>
      <c r="V6093" s="26"/>
      <c r="W6093" s="159"/>
    </row>
    <row r="6094" spans="21:23" ht="13" x14ac:dyDescent="0.25">
      <c r="U6094" s="24"/>
      <c r="V6094" s="12"/>
      <c r="W6094" s="12"/>
    </row>
    <row r="6095" spans="21:23" ht="13" x14ac:dyDescent="0.25">
      <c r="U6095" s="159"/>
      <c r="V6095" s="140"/>
      <c r="W6095" s="160"/>
    </row>
    <row r="6096" spans="21:23" ht="13" x14ac:dyDescent="0.25">
      <c r="U6096" s="12"/>
      <c r="V6096" s="140"/>
      <c r="W6096" s="160"/>
    </row>
    <row r="6097" spans="21:23" x14ac:dyDescent="0.25">
      <c r="U6097" s="159"/>
      <c r="V6097" s="26"/>
      <c r="W6097" s="26"/>
    </row>
    <row r="6098" spans="21:23" x14ac:dyDescent="0.25">
      <c r="U6098" s="159"/>
      <c r="V6098" s="26"/>
      <c r="W6098" s="26"/>
    </row>
    <row r="6099" spans="21:23" x14ac:dyDescent="0.25">
      <c r="U6099" s="159"/>
      <c r="V6099" s="26"/>
      <c r="W6099" s="26"/>
    </row>
    <row r="6100" spans="21:23" x14ac:dyDescent="0.25">
      <c r="U6100" s="159"/>
      <c r="V6100" s="26"/>
      <c r="W6100" s="26"/>
    </row>
    <row r="6101" spans="21:23" x14ac:dyDescent="0.25">
      <c r="U6101" s="159"/>
      <c r="V6101" s="26"/>
      <c r="W6101" s="26"/>
    </row>
    <row r="6102" spans="21:23" x14ac:dyDescent="0.25">
      <c r="U6102" s="159"/>
      <c r="V6102" s="12"/>
      <c r="W6102" s="26"/>
    </row>
    <row r="6103" spans="21:23" x14ac:dyDescent="0.25">
      <c r="U6103" s="159"/>
      <c r="V6103" s="12"/>
      <c r="W6103" s="26"/>
    </row>
    <row r="6104" spans="21:23" x14ac:dyDescent="0.25">
      <c r="U6104" s="159"/>
      <c r="V6104" s="12"/>
      <c r="W6104" s="25"/>
    </row>
    <row r="6105" spans="21:23" x14ac:dyDescent="0.25">
      <c r="U6105" s="159"/>
      <c r="V6105" s="12"/>
      <c r="W6105" s="25"/>
    </row>
    <row r="6106" spans="21:23" x14ac:dyDescent="0.25">
      <c r="U6106" s="159"/>
      <c r="V6106" s="12"/>
      <c r="W6106" s="25"/>
    </row>
    <row r="6107" spans="21:23" ht="13" x14ac:dyDescent="0.3">
      <c r="U6107" s="36"/>
      <c r="V6107" s="26"/>
      <c r="W6107" s="159"/>
    </row>
    <row r="6108" spans="21:23" ht="13" x14ac:dyDescent="0.25">
      <c r="U6108" s="24"/>
      <c r="V6108" s="12"/>
      <c r="W6108" s="12"/>
    </row>
    <row r="6109" spans="21:23" ht="13" x14ac:dyDescent="0.25">
      <c r="U6109" s="159"/>
      <c r="V6109" s="140"/>
      <c r="W6109" s="160"/>
    </row>
    <row r="6110" spans="21:23" ht="13" x14ac:dyDescent="0.25">
      <c r="U6110" s="12"/>
      <c r="V6110" s="140"/>
      <c r="W6110" s="160"/>
    </row>
    <row r="6111" spans="21:23" x14ac:dyDescent="0.25">
      <c r="U6111" s="159"/>
      <c r="V6111" s="26"/>
      <c r="W6111" s="26"/>
    </row>
    <row r="6112" spans="21:23" x14ac:dyDescent="0.25">
      <c r="U6112" s="159"/>
      <c r="V6112" s="26"/>
      <c r="W6112" s="26"/>
    </row>
    <row r="6113" spans="21:23" x14ac:dyDescent="0.25">
      <c r="U6113" s="159"/>
      <c r="V6113" s="26"/>
      <c r="W6113" s="26"/>
    </row>
    <row r="6114" spans="21:23" x14ac:dyDescent="0.25">
      <c r="U6114" s="159"/>
      <c r="V6114" s="26"/>
      <c r="W6114" s="26"/>
    </row>
    <row r="6115" spans="21:23" x14ac:dyDescent="0.25">
      <c r="U6115" s="159"/>
      <c r="V6115" s="26"/>
      <c r="W6115" s="26"/>
    </row>
    <row r="6116" spans="21:23" x14ac:dyDescent="0.25">
      <c r="U6116" s="159"/>
      <c r="V6116" s="12"/>
      <c r="W6116" s="26"/>
    </row>
    <row r="6117" spans="21:23" x14ac:dyDescent="0.25">
      <c r="U6117" s="159"/>
      <c r="V6117" s="12"/>
      <c r="W6117" s="26"/>
    </row>
    <row r="6118" spans="21:23" x14ac:dyDescent="0.25">
      <c r="U6118" s="159"/>
      <c r="V6118" s="12"/>
      <c r="W6118" s="25"/>
    </row>
    <row r="6119" spans="21:23" x14ac:dyDescent="0.25">
      <c r="U6119" s="159"/>
      <c r="V6119" s="12"/>
      <c r="W6119" s="25"/>
    </row>
    <row r="6120" spans="21:23" x14ac:dyDescent="0.25">
      <c r="U6120" s="159"/>
      <c r="V6120" s="12"/>
      <c r="W6120" s="25"/>
    </row>
    <row r="6121" spans="21:23" ht="13" x14ac:dyDescent="0.3">
      <c r="U6121" s="36"/>
      <c r="V6121" s="26"/>
      <c r="W6121" s="159"/>
    </row>
    <row r="6122" spans="21:23" ht="13" x14ac:dyDescent="0.25">
      <c r="U6122" s="24"/>
      <c r="V6122" s="12"/>
      <c r="W6122" s="12"/>
    </row>
    <row r="6123" spans="21:23" ht="13" x14ac:dyDescent="0.25">
      <c r="U6123" s="159"/>
      <c r="V6123" s="140"/>
      <c r="W6123" s="160"/>
    </row>
    <row r="6124" spans="21:23" ht="13" x14ac:dyDescent="0.25">
      <c r="U6124" s="12"/>
      <c r="V6124" s="140"/>
      <c r="W6124" s="160"/>
    </row>
    <row r="6125" spans="21:23" x14ac:dyDescent="0.25">
      <c r="U6125" s="159"/>
      <c r="V6125" s="26"/>
      <c r="W6125" s="26"/>
    </row>
    <row r="6126" spans="21:23" x14ac:dyDescent="0.25">
      <c r="U6126" s="159"/>
      <c r="V6126" s="26"/>
      <c r="W6126" s="26"/>
    </row>
    <row r="6127" spans="21:23" x14ac:dyDescent="0.25">
      <c r="U6127" s="159"/>
      <c r="V6127" s="26"/>
      <c r="W6127" s="26"/>
    </row>
    <row r="6128" spans="21:23" x14ac:dyDescent="0.25">
      <c r="U6128" s="159"/>
      <c r="V6128" s="26"/>
      <c r="W6128" s="26"/>
    </row>
    <row r="6129" spans="21:23" x14ac:dyDescent="0.25">
      <c r="U6129" s="159"/>
      <c r="V6129" s="26"/>
      <c r="W6129" s="26"/>
    </row>
    <row r="6130" spans="21:23" x14ac:dyDescent="0.25">
      <c r="U6130" s="159"/>
      <c r="V6130" s="12"/>
      <c r="W6130" s="26"/>
    </row>
    <row r="6131" spans="21:23" x14ac:dyDescent="0.25">
      <c r="U6131" s="159"/>
      <c r="V6131" s="12"/>
      <c r="W6131" s="26"/>
    </row>
    <row r="6132" spans="21:23" x14ac:dyDescent="0.25">
      <c r="U6132" s="159"/>
      <c r="V6132" s="12"/>
      <c r="W6132" s="25"/>
    </row>
    <row r="6133" spans="21:23" x14ac:dyDescent="0.25">
      <c r="U6133" s="159"/>
      <c r="V6133" s="12"/>
      <c r="W6133" s="25"/>
    </row>
    <row r="6134" spans="21:23" x14ac:dyDescent="0.25">
      <c r="U6134" s="159"/>
      <c r="V6134" s="12"/>
      <c r="W6134" s="25"/>
    </row>
    <row r="6135" spans="21:23" ht="13" x14ac:dyDescent="0.3">
      <c r="U6135" s="36"/>
      <c r="V6135" s="26"/>
      <c r="W6135" s="159"/>
    </row>
    <row r="6136" spans="21:23" ht="13" x14ac:dyDescent="0.25">
      <c r="U6136" s="24"/>
      <c r="V6136" s="12"/>
      <c r="W6136" s="12"/>
    </row>
    <row r="6137" spans="21:23" ht="13" x14ac:dyDescent="0.25">
      <c r="U6137" s="159"/>
      <c r="V6137" s="140"/>
      <c r="W6137" s="160"/>
    </row>
    <row r="6138" spans="21:23" ht="13" x14ac:dyDescent="0.25">
      <c r="U6138" s="12"/>
      <c r="V6138" s="140"/>
      <c r="W6138" s="160"/>
    </row>
    <row r="6139" spans="21:23" x14ac:dyDescent="0.25">
      <c r="U6139" s="159"/>
      <c r="V6139" s="26"/>
      <c r="W6139" s="26"/>
    </row>
    <row r="6140" spans="21:23" x14ac:dyDescent="0.25">
      <c r="U6140" s="159"/>
      <c r="V6140" s="26"/>
      <c r="W6140" s="26"/>
    </row>
    <row r="6141" spans="21:23" x14ac:dyDescent="0.25">
      <c r="U6141" s="159"/>
      <c r="V6141" s="26"/>
      <c r="W6141" s="26"/>
    </row>
    <row r="6142" spans="21:23" x14ac:dyDescent="0.25">
      <c r="U6142" s="159"/>
      <c r="V6142" s="26"/>
      <c r="W6142" s="26"/>
    </row>
    <row r="6143" spans="21:23" x14ac:dyDescent="0.25">
      <c r="U6143" s="159"/>
      <c r="V6143" s="26"/>
      <c r="W6143" s="26"/>
    </row>
    <row r="6144" spans="21:23" x14ac:dyDescent="0.25">
      <c r="U6144" s="159"/>
      <c r="V6144" s="12"/>
      <c r="W6144" s="26"/>
    </row>
    <row r="6145" spans="21:23" x14ac:dyDescent="0.25">
      <c r="U6145" s="159"/>
      <c r="V6145" s="12"/>
      <c r="W6145" s="26"/>
    </row>
    <row r="6146" spans="21:23" x14ac:dyDescent="0.25">
      <c r="U6146" s="159"/>
      <c r="V6146" s="12"/>
      <c r="W6146" s="25"/>
    </row>
    <row r="6147" spans="21:23" x14ac:dyDescent="0.25">
      <c r="U6147" s="159"/>
      <c r="V6147" s="12"/>
      <c r="W6147" s="25"/>
    </row>
    <row r="6148" spans="21:23" x14ac:dyDescent="0.25">
      <c r="U6148" s="159"/>
      <c r="V6148" s="12"/>
      <c r="W6148" s="25"/>
    </row>
    <row r="6149" spans="21:23" ht="13" x14ac:dyDescent="0.3">
      <c r="U6149" s="36"/>
      <c r="V6149" s="26"/>
      <c r="W6149" s="159"/>
    </row>
    <row r="6150" spans="21:23" ht="13" x14ac:dyDescent="0.25">
      <c r="U6150" s="24"/>
      <c r="V6150" s="12"/>
      <c r="W6150" s="12"/>
    </row>
    <row r="6151" spans="21:23" ht="13" x14ac:dyDescent="0.25">
      <c r="U6151" s="159"/>
      <c r="V6151" s="140"/>
      <c r="W6151" s="160"/>
    </row>
    <row r="6152" spans="21:23" ht="13" x14ac:dyDescent="0.25">
      <c r="U6152" s="12"/>
      <c r="V6152" s="140"/>
      <c r="W6152" s="160"/>
    </row>
    <row r="6153" spans="21:23" x14ac:dyDescent="0.25">
      <c r="U6153" s="159"/>
      <c r="V6153" s="26"/>
      <c r="W6153" s="26"/>
    </row>
    <row r="6154" spans="21:23" x14ac:dyDescent="0.25">
      <c r="U6154" s="159"/>
      <c r="V6154" s="26"/>
      <c r="W6154" s="26"/>
    </row>
    <row r="6155" spans="21:23" x14ac:dyDescent="0.25">
      <c r="U6155" s="159"/>
      <c r="V6155" s="26"/>
      <c r="W6155" s="26"/>
    </row>
    <row r="6156" spans="21:23" x14ac:dyDescent="0.25">
      <c r="U6156" s="159"/>
      <c r="V6156" s="26"/>
      <c r="W6156" s="26"/>
    </row>
    <row r="6157" spans="21:23" x14ac:dyDescent="0.25">
      <c r="U6157" s="159"/>
      <c r="V6157" s="26"/>
      <c r="W6157" s="26"/>
    </row>
    <row r="6158" spans="21:23" x14ac:dyDescent="0.25">
      <c r="U6158" s="159"/>
      <c r="V6158" s="12"/>
      <c r="W6158" s="26"/>
    </row>
    <row r="6159" spans="21:23" x14ac:dyDescent="0.25">
      <c r="U6159" s="159"/>
      <c r="V6159" s="12"/>
      <c r="W6159" s="26"/>
    </row>
    <row r="6160" spans="21:23" x14ac:dyDescent="0.25">
      <c r="U6160" s="159"/>
      <c r="V6160" s="12"/>
      <c r="W6160" s="25"/>
    </row>
    <row r="6161" spans="21:23" x14ac:dyDescent="0.25">
      <c r="U6161" s="159"/>
      <c r="V6161" s="12"/>
      <c r="W6161" s="25"/>
    </row>
    <row r="6162" spans="21:23" x14ac:dyDescent="0.25">
      <c r="U6162" s="159"/>
      <c r="V6162" s="12"/>
      <c r="W6162" s="25"/>
    </row>
    <row r="6163" spans="21:23" ht="13" x14ac:dyDescent="0.3">
      <c r="U6163" s="36"/>
      <c r="V6163" s="26"/>
      <c r="W6163" s="159"/>
    </row>
    <row r="6164" spans="21:23" ht="13" x14ac:dyDescent="0.25">
      <c r="U6164" s="24"/>
      <c r="V6164" s="12"/>
      <c r="W6164" s="12"/>
    </row>
    <row r="6165" spans="21:23" ht="13" x14ac:dyDescent="0.25">
      <c r="U6165" s="159"/>
      <c r="V6165" s="140"/>
      <c r="W6165" s="160"/>
    </row>
    <row r="6166" spans="21:23" ht="13" x14ac:dyDescent="0.25">
      <c r="U6166" s="12"/>
      <c r="V6166" s="140"/>
      <c r="W6166" s="160"/>
    </row>
    <row r="6167" spans="21:23" x14ac:dyDescent="0.25">
      <c r="U6167" s="159"/>
      <c r="V6167" s="26"/>
      <c r="W6167" s="26"/>
    </row>
    <row r="6168" spans="21:23" x14ac:dyDescent="0.25">
      <c r="U6168" s="159"/>
      <c r="V6168" s="26"/>
      <c r="W6168" s="26"/>
    </row>
    <row r="6169" spans="21:23" x14ac:dyDescent="0.25">
      <c r="U6169" s="159"/>
      <c r="V6169" s="26"/>
      <c r="W6169" s="26"/>
    </row>
    <row r="6170" spans="21:23" x14ac:dyDescent="0.25">
      <c r="U6170" s="159"/>
      <c r="V6170" s="26"/>
      <c r="W6170" s="26"/>
    </row>
    <row r="6171" spans="21:23" x14ac:dyDescent="0.25">
      <c r="U6171" s="159"/>
      <c r="V6171" s="26"/>
      <c r="W6171" s="26"/>
    </row>
    <row r="6172" spans="21:23" x14ac:dyDescent="0.25">
      <c r="U6172" s="159"/>
      <c r="V6172" s="12"/>
      <c r="W6172" s="26"/>
    </row>
    <row r="6173" spans="21:23" x14ac:dyDescent="0.25">
      <c r="U6173" s="159"/>
      <c r="V6173" s="12"/>
      <c r="W6173" s="26"/>
    </row>
    <row r="6174" spans="21:23" x14ac:dyDescent="0.25">
      <c r="U6174" s="159"/>
      <c r="V6174" s="12"/>
      <c r="W6174" s="25"/>
    </row>
    <row r="6175" spans="21:23" x14ac:dyDescent="0.25">
      <c r="U6175" s="159"/>
      <c r="V6175" s="12"/>
      <c r="W6175" s="25"/>
    </row>
    <row r="6176" spans="21:23" x14ac:dyDescent="0.25">
      <c r="U6176" s="159"/>
      <c r="V6176" s="12"/>
      <c r="W6176" s="25"/>
    </row>
    <row r="6177" spans="21:23" ht="13" x14ac:dyDescent="0.3">
      <c r="U6177" s="36"/>
      <c r="V6177" s="26"/>
      <c r="W6177" s="159"/>
    </row>
    <row r="6178" spans="21:23" ht="13" x14ac:dyDescent="0.25">
      <c r="U6178" s="24"/>
      <c r="V6178" s="12"/>
      <c r="W6178" s="12"/>
    </row>
    <row r="6179" spans="21:23" ht="13" x14ac:dyDescent="0.25">
      <c r="U6179" s="159"/>
      <c r="V6179" s="140"/>
      <c r="W6179" s="160"/>
    </row>
    <row r="6180" spans="21:23" ht="13" x14ac:dyDescent="0.25">
      <c r="U6180" s="12"/>
      <c r="V6180" s="140"/>
      <c r="W6180" s="160"/>
    </row>
    <row r="6181" spans="21:23" x14ac:dyDescent="0.25">
      <c r="U6181" s="159"/>
      <c r="V6181" s="26"/>
      <c r="W6181" s="26"/>
    </row>
    <row r="6182" spans="21:23" x14ac:dyDescent="0.25">
      <c r="U6182" s="159"/>
      <c r="V6182" s="26"/>
      <c r="W6182" s="26"/>
    </row>
    <row r="6183" spans="21:23" x14ac:dyDescent="0.25">
      <c r="U6183" s="159"/>
      <c r="V6183" s="26"/>
      <c r="W6183" s="26"/>
    </row>
    <row r="6184" spans="21:23" x14ac:dyDescent="0.25">
      <c r="U6184" s="159"/>
      <c r="V6184" s="26"/>
      <c r="W6184" s="26"/>
    </row>
    <row r="6185" spans="21:23" x14ac:dyDescent="0.25">
      <c r="U6185" s="159"/>
      <c r="V6185" s="26"/>
      <c r="W6185" s="26"/>
    </row>
    <row r="6186" spans="21:23" x14ac:dyDescent="0.25">
      <c r="U6186" s="159"/>
      <c r="V6186" s="12"/>
      <c r="W6186" s="26"/>
    </row>
    <row r="6187" spans="21:23" x14ac:dyDescent="0.25">
      <c r="U6187" s="159"/>
      <c r="V6187" s="12"/>
      <c r="W6187" s="26"/>
    </row>
    <row r="6188" spans="21:23" x14ac:dyDescent="0.25">
      <c r="U6188" s="159"/>
      <c r="V6188" s="12"/>
      <c r="W6188" s="25"/>
    </row>
    <row r="6189" spans="21:23" x14ac:dyDescent="0.25">
      <c r="U6189" s="159"/>
      <c r="V6189" s="12"/>
      <c r="W6189" s="25"/>
    </row>
    <row r="6190" spans="21:23" x14ac:dyDescent="0.25">
      <c r="U6190" s="159"/>
      <c r="V6190" s="12"/>
      <c r="W6190" s="25"/>
    </row>
    <row r="6191" spans="21:23" ht="13" x14ac:dyDescent="0.3">
      <c r="U6191" s="36"/>
      <c r="V6191" s="26"/>
      <c r="W6191" s="159"/>
    </row>
    <row r="6192" spans="21:23" ht="13" x14ac:dyDescent="0.25">
      <c r="U6192" s="24"/>
      <c r="V6192" s="12"/>
      <c r="W6192" s="12"/>
    </row>
    <row r="6193" spans="21:23" ht="13" x14ac:dyDescent="0.25">
      <c r="U6193" s="159"/>
      <c r="V6193" s="140"/>
      <c r="W6193" s="160"/>
    </row>
    <row r="6194" spans="21:23" ht="13" x14ac:dyDescent="0.25">
      <c r="U6194" s="12"/>
      <c r="V6194" s="140"/>
      <c r="W6194" s="160"/>
    </row>
    <row r="6195" spans="21:23" x14ac:dyDescent="0.25">
      <c r="U6195" s="159"/>
      <c r="V6195" s="26"/>
      <c r="W6195" s="26"/>
    </row>
    <row r="6196" spans="21:23" x14ac:dyDescent="0.25">
      <c r="U6196" s="159"/>
      <c r="V6196" s="26"/>
      <c r="W6196" s="26"/>
    </row>
    <row r="6197" spans="21:23" x14ac:dyDescent="0.25">
      <c r="U6197" s="159"/>
      <c r="V6197" s="26"/>
      <c r="W6197" s="26"/>
    </row>
    <row r="6198" spans="21:23" x14ac:dyDescent="0.25">
      <c r="U6198" s="159"/>
      <c r="V6198" s="26"/>
      <c r="W6198" s="26"/>
    </row>
    <row r="6199" spans="21:23" x14ac:dyDescent="0.25">
      <c r="U6199" s="159"/>
      <c r="V6199" s="26"/>
      <c r="W6199" s="26"/>
    </row>
    <row r="6200" spans="21:23" x14ac:dyDescent="0.25">
      <c r="U6200" s="159"/>
      <c r="V6200" s="12"/>
      <c r="W6200" s="26"/>
    </row>
    <row r="6201" spans="21:23" x14ac:dyDescent="0.25">
      <c r="U6201" s="159"/>
      <c r="V6201" s="12"/>
      <c r="W6201" s="26"/>
    </row>
    <row r="6202" spans="21:23" x14ac:dyDescent="0.25">
      <c r="U6202" s="159"/>
      <c r="V6202" s="12"/>
      <c r="W6202" s="25"/>
    </row>
    <row r="6203" spans="21:23" x14ac:dyDescent="0.25">
      <c r="U6203" s="159"/>
      <c r="V6203" s="12"/>
      <c r="W6203" s="25"/>
    </row>
    <row r="6204" spans="21:23" x14ac:dyDescent="0.25">
      <c r="U6204" s="159"/>
      <c r="V6204" s="12"/>
      <c r="W6204" s="25"/>
    </row>
    <row r="6205" spans="21:23" ht="13" x14ac:dyDescent="0.3">
      <c r="U6205" s="36"/>
      <c r="V6205" s="26"/>
      <c r="W6205" s="159"/>
    </row>
    <row r="6206" spans="21:23" x14ac:dyDescent="0.25">
      <c r="U6206" s="12"/>
      <c r="V6206" s="12"/>
      <c r="W6206" s="12"/>
    </row>
    <row r="6207" spans="21:23" x14ac:dyDescent="0.25">
      <c r="U6207" s="12"/>
      <c r="V6207" s="12"/>
      <c r="W6207" s="12"/>
    </row>
    <row r="6208" spans="21:23" x14ac:dyDescent="0.25">
      <c r="U6208" s="12"/>
      <c r="V6208" s="12"/>
      <c r="W6208" s="12"/>
    </row>
    <row r="6209" spans="21:23" x14ac:dyDescent="0.25">
      <c r="U6209" s="12"/>
      <c r="V6209" s="12"/>
      <c r="W6209" s="12"/>
    </row>
    <row r="6210" spans="21:23" x14ac:dyDescent="0.25">
      <c r="U6210" s="12"/>
      <c r="V6210" s="12"/>
      <c r="W6210" s="12"/>
    </row>
    <row r="6211" spans="21:23" x14ac:dyDescent="0.25">
      <c r="U6211" s="12"/>
      <c r="V6211" s="12"/>
      <c r="W6211" s="12"/>
    </row>
    <row r="6212" spans="21:23" x14ac:dyDescent="0.25">
      <c r="U6212" s="12"/>
      <c r="V6212" s="12"/>
      <c r="W6212" s="12"/>
    </row>
    <row r="6213" spans="21:23" x14ac:dyDescent="0.25">
      <c r="U6213" s="12"/>
      <c r="V6213" s="12"/>
      <c r="W6213" s="12"/>
    </row>
    <row r="6214" spans="21:23" x14ac:dyDescent="0.25">
      <c r="U6214" s="12"/>
      <c r="V6214" s="12"/>
      <c r="W6214" s="12"/>
    </row>
    <row r="6215" spans="21:23" x14ac:dyDescent="0.25">
      <c r="U6215" s="12"/>
      <c r="V6215" s="12"/>
      <c r="W6215" s="12"/>
    </row>
    <row r="6216" spans="21:23" x14ac:dyDescent="0.25">
      <c r="U6216" s="12"/>
      <c r="V6216" s="12"/>
      <c r="W6216" s="12"/>
    </row>
    <row r="6217" spans="21:23" x14ac:dyDescent="0.25">
      <c r="U6217" s="12"/>
      <c r="V6217" s="12"/>
      <c r="W6217" s="12"/>
    </row>
    <row r="6218" spans="21:23" x14ac:dyDescent="0.25">
      <c r="U6218" s="12"/>
      <c r="V6218" s="12"/>
      <c r="W6218" s="12"/>
    </row>
    <row r="6219" spans="21:23" x14ac:dyDescent="0.25">
      <c r="U6219" s="12"/>
      <c r="V6219" s="12"/>
      <c r="W6219" s="12"/>
    </row>
    <row r="6220" spans="21:23" x14ac:dyDescent="0.25">
      <c r="U6220" s="12"/>
      <c r="V6220" s="12"/>
      <c r="W6220" s="12"/>
    </row>
    <row r="6221" spans="21:23" x14ac:dyDescent="0.25">
      <c r="U6221" s="12"/>
      <c r="V6221" s="12"/>
      <c r="W6221" s="12"/>
    </row>
    <row r="6222" spans="21:23" x14ac:dyDescent="0.25">
      <c r="U6222" s="12"/>
      <c r="V6222" s="12"/>
      <c r="W6222" s="12"/>
    </row>
    <row r="6223" spans="21:23" x14ac:dyDescent="0.25">
      <c r="U6223" s="12"/>
      <c r="V6223" s="12"/>
      <c r="W6223" s="12"/>
    </row>
    <row r="6224" spans="21:23" x14ac:dyDescent="0.25">
      <c r="U6224" s="12"/>
      <c r="V6224" s="12"/>
      <c r="W6224" s="12"/>
    </row>
    <row r="6225" spans="21:23" x14ac:dyDescent="0.25">
      <c r="U6225" s="12"/>
      <c r="V6225" s="12"/>
      <c r="W6225" s="12"/>
    </row>
    <row r="6226" spans="21:23" x14ac:dyDescent="0.25">
      <c r="U6226" s="12"/>
      <c r="V6226" s="12"/>
      <c r="W6226" s="12"/>
    </row>
    <row r="6227" spans="21:23" x14ac:dyDescent="0.25">
      <c r="U6227" s="12"/>
      <c r="V6227" s="12"/>
      <c r="W6227" s="12"/>
    </row>
    <row r="6228" spans="21:23" x14ac:dyDescent="0.25">
      <c r="U6228" s="12"/>
      <c r="V6228" s="12"/>
      <c r="W6228" s="12"/>
    </row>
    <row r="6229" spans="21:23" x14ac:dyDescent="0.25">
      <c r="U6229" s="12"/>
      <c r="V6229" s="12"/>
      <c r="W6229" s="12"/>
    </row>
    <row r="6230" spans="21:23" x14ac:dyDescent="0.25">
      <c r="U6230" s="12"/>
      <c r="V6230" s="12"/>
      <c r="W6230" s="12"/>
    </row>
    <row r="6231" spans="21:23" x14ac:dyDescent="0.25">
      <c r="U6231" s="12"/>
      <c r="V6231" s="12"/>
      <c r="W6231" s="12"/>
    </row>
    <row r="6232" spans="21:23" x14ac:dyDescent="0.25">
      <c r="U6232" s="12"/>
      <c r="V6232" s="12"/>
      <c r="W6232" s="12"/>
    </row>
    <row r="6233" spans="21:23" x14ac:dyDescent="0.25">
      <c r="U6233" s="12"/>
      <c r="V6233" s="12"/>
      <c r="W6233" s="12"/>
    </row>
    <row r="6234" spans="21:23" x14ac:dyDescent="0.25">
      <c r="U6234" s="12"/>
      <c r="V6234" s="12"/>
      <c r="W6234" s="12"/>
    </row>
    <row r="6235" spans="21:23" x14ac:dyDescent="0.25">
      <c r="U6235" s="12"/>
      <c r="V6235" s="12"/>
      <c r="W6235" s="12"/>
    </row>
    <row r="6236" spans="21:23" x14ac:dyDescent="0.25">
      <c r="U6236" s="12"/>
      <c r="V6236" s="12"/>
      <c r="W6236" s="12"/>
    </row>
    <row r="6237" spans="21:23" x14ac:dyDescent="0.25">
      <c r="U6237" s="12"/>
      <c r="V6237" s="12"/>
      <c r="W6237" s="12"/>
    </row>
    <row r="6238" spans="21:23" x14ac:dyDescent="0.25">
      <c r="U6238" s="12"/>
      <c r="V6238" s="12"/>
      <c r="W6238" s="12"/>
    </row>
    <row r="6239" spans="21:23" x14ac:dyDescent="0.25">
      <c r="U6239" s="12"/>
      <c r="V6239" s="12"/>
      <c r="W6239" s="12"/>
    </row>
    <row r="6240" spans="21:23" x14ac:dyDescent="0.25">
      <c r="U6240" s="12"/>
      <c r="V6240" s="12"/>
      <c r="W6240" s="12"/>
    </row>
    <row r="6241" spans="21:23" x14ac:dyDescent="0.25">
      <c r="U6241" s="12"/>
      <c r="V6241" s="12"/>
      <c r="W6241" s="12"/>
    </row>
    <row r="6242" spans="21:23" x14ac:dyDescent="0.25">
      <c r="U6242" s="12"/>
      <c r="V6242" s="12"/>
      <c r="W6242" s="12"/>
    </row>
    <row r="6243" spans="21:23" x14ac:dyDescent="0.25">
      <c r="U6243" s="12"/>
      <c r="V6243" s="12"/>
      <c r="W6243" s="12"/>
    </row>
    <row r="6244" spans="21:23" x14ac:dyDescent="0.25">
      <c r="U6244" s="12"/>
      <c r="V6244" s="12"/>
      <c r="W6244" s="12"/>
    </row>
    <row r="6245" spans="21:23" x14ac:dyDescent="0.25">
      <c r="U6245" s="12"/>
      <c r="V6245" s="12"/>
      <c r="W6245" s="12"/>
    </row>
    <row r="6246" spans="21:23" x14ac:dyDescent="0.25">
      <c r="U6246" s="12"/>
      <c r="V6246" s="12"/>
      <c r="W6246" s="12"/>
    </row>
    <row r="6247" spans="21:23" x14ac:dyDescent="0.25">
      <c r="U6247" s="12"/>
      <c r="V6247" s="12"/>
      <c r="W6247" s="12"/>
    </row>
    <row r="6248" spans="21:23" x14ac:dyDescent="0.25">
      <c r="U6248" s="12"/>
      <c r="V6248" s="12"/>
      <c r="W6248" s="12"/>
    </row>
    <row r="6249" spans="21:23" x14ac:dyDescent="0.25">
      <c r="U6249" s="12"/>
      <c r="V6249" s="12"/>
      <c r="W6249" s="12"/>
    </row>
    <row r="6250" spans="21:23" x14ac:dyDescent="0.25">
      <c r="U6250" s="12"/>
      <c r="V6250" s="12"/>
      <c r="W6250" s="12"/>
    </row>
    <row r="6251" spans="21:23" x14ac:dyDescent="0.25">
      <c r="U6251" s="12"/>
      <c r="V6251" s="12"/>
      <c r="W6251" s="12"/>
    </row>
    <row r="6252" spans="21:23" x14ac:dyDescent="0.25">
      <c r="U6252" s="12"/>
      <c r="V6252" s="12"/>
      <c r="W6252" s="12"/>
    </row>
    <row r="6253" spans="21:23" x14ac:dyDescent="0.25">
      <c r="U6253" s="12"/>
      <c r="V6253" s="12"/>
      <c r="W6253" s="12"/>
    </row>
    <row r="6254" spans="21:23" x14ac:dyDescent="0.25">
      <c r="U6254" s="12"/>
      <c r="V6254" s="12"/>
      <c r="W6254" s="12"/>
    </row>
    <row r="6255" spans="21:23" x14ac:dyDescent="0.25">
      <c r="U6255" s="12"/>
      <c r="V6255" s="12"/>
      <c r="W6255" s="12"/>
    </row>
    <row r="6256" spans="21:23" x14ac:dyDescent="0.25">
      <c r="U6256" s="12"/>
      <c r="V6256" s="12"/>
      <c r="W6256" s="12"/>
    </row>
    <row r="6257" spans="21:23" x14ac:dyDescent="0.25">
      <c r="U6257" s="12"/>
      <c r="V6257" s="12"/>
      <c r="W6257" s="12"/>
    </row>
    <row r="6258" spans="21:23" x14ac:dyDescent="0.25">
      <c r="U6258" s="12"/>
      <c r="V6258" s="12"/>
      <c r="W6258" s="12"/>
    </row>
    <row r="6259" spans="21:23" x14ac:dyDescent="0.25">
      <c r="U6259" s="12"/>
      <c r="V6259" s="12"/>
      <c r="W6259" s="12"/>
    </row>
    <row r="6260" spans="21:23" x14ac:dyDescent="0.25">
      <c r="U6260" s="12"/>
      <c r="V6260" s="12"/>
      <c r="W6260" s="12"/>
    </row>
    <row r="6261" spans="21:23" x14ac:dyDescent="0.25">
      <c r="U6261" s="12"/>
      <c r="V6261" s="12"/>
      <c r="W6261" s="12"/>
    </row>
    <row r="6262" spans="21:23" x14ac:dyDescent="0.25">
      <c r="U6262" s="12"/>
      <c r="V6262" s="12"/>
      <c r="W6262" s="12"/>
    </row>
    <row r="6263" spans="21:23" x14ac:dyDescent="0.25">
      <c r="U6263" s="12"/>
      <c r="V6263" s="12"/>
      <c r="W6263" s="12"/>
    </row>
    <row r="6264" spans="21:23" x14ac:dyDescent="0.25">
      <c r="U6264" s="12"/>
      <c r="V6264" s="12"/>
      <c r="W6264" s="12"/>
    </row>
    <row r="6265" spans="21:23" x14ac:dyDescent="0.25">
      <c r="U6265" s="12"/>
      <c r="V6265" s="12"/>
      <c r="W6265" s="12"/>
    </row>
    <row r="6266" spans="21:23" x14ac:dyDescent="0.25">
      <c r="U6266" s="12"/>
      <c r="V6266" s="12"/>
      <c r="W6266" s="12"/>
    </row>
    <row r="6267" spans="21:23" x14ac:dyDescent="0.25">
      <c r="U6267" s="12"/>
      <c r="V6267" s="12"/>
      <c r="W6267" s="12"/>
    </row>
    <row r="6268" spans="21:23" x14ac:dyDescent="0.25">
      <c r="U6268" s="12"/>
      <c r="V6268" s="12"/>
      <c r="W6268" s="12"/>
    </row>
    <row r="6269" spans="21:23" x14ac:dyDescent="0.25">
      <c r="U6269" s="12"/>
      <c r="V6269" s="12"/>
      <c r="W6269" s="12"/>
    </row>
    <row r="6270" spans="21:23" x14ac:dyDescent="0.25">
      <c r="U6270" s="12"/>
      <c r="V6270" s="12"/>
      <c r="W6270" s="12"/>
    </row>
    <row r="6271" spans="21:23" x14ac:dyDescent="0.25">
      <c r="U6271" s="12"/>
      <c r="V6271" s="12"/>
      <c r="W6271" s="12"/>
    </row>
    <row r="6272" spans="21:23" x14ac:dyDescent="0.25">
      <c r="U6272" s="12"/>
      <c r="V6272" s="12"/>
      <c r="W6272" s="12"/>
    </row>
    <row r="6273" spans="21:23" x14ac:dyDescent="0.25">
      <c r="U6273" s="12"/>
      <c r="V6273" s="12"/>
      <c r="W6273" s="12"/>
    </row>
    <row r="6274" spans="21:23" x14ac:dyDescent="0.25">
      <c r="U6274" s="12"/>
      <c r="V6274" s="12"/>
      <c r="W6274" s="12"/>
    </row>
    <row r="6275" spans="21:23" x14ac:dyDescent="0.25">
      <c r="U6275" s="12"/>
      <c r="V6275" s="12"/>
      <c r="W6275" s="12"/>
    </row>
    <row r="6276" spans="21:23" x14ac:dyDescent="0.25">
      <c r="U6276" s="12"/>
      <c r="V6276" s="12"/>
      <c r="W6276" s="12"/>
    </row>
    <row r="6277" spans="21:23" x14ac:dyDescent="0.25">
      <c r="U6277" s="12"/>
      <c r="V6277" s="12"/>
      <c r="W6277" s="12"/>
    </row>
    <row r="6278" spans="21:23" x14ac:dyDescent="0.25">
      <c r="U6278" s="12"/>
      <c r="V6278" s="12"/>
      <c r="W6278" s="12"/>
    </row>
    <row r="6279" spans="21:23" x14ac:dyDescent="0.25">
      <c r="U6279" s="12"/>
      <c r="V6279" s="12"/>
      <c r="W6279" s="12"/>
    </row>
    <row r="6280" spans="21:23" x14ac:dyDescent="0.25">
      <c r="U6280" s="12"/>
      <c r="V6280" s="12"/>
      <c r="W6280" s="12"/>
    </row>
    <row r="6281" spans="21:23" x14ac:dyDescent="0.25">
      <c r="U6281" s="12"/>
      <c r="V6281" s="12"/>
      <c r="W6281" s="12"/>
    </row>
    <row r="6282" spans="21:23" x14ac:dyDescent="0.25">
      <c r="U6282" s="12"/>
      <c r="V6282" s="12"/>
      <c r="W6282" s="12"/>
    </row>
    <row r="6283" spans="21:23" x14ac:dyDescent="0.25">
      <c r="U6283" s="12"/>
      <c r="V6283" s="12"/>
      <c r="W6283" s="12"/>
    </row>
    <row r="6284" spans="21:23" x14ac:dyDescent="0.25">
      <c r="U6284" s="12"/>
      <c r="V6284" s="12"/>
      <c r="W6284" s="12"/>
    </row>
    <row r="6285" spans="21:23" x14ac:dyDescent="0.25">
      <c r="U6285" s="12"/>
      <c r="V6285" s="12"/>
      <c r="W6285" s="12"/>
    </row>
    <row r="6286" spans="21:23" x14ac:dyDescent="0.25">
      <c r="U6286" s="12"/>
      <c r="V6286" s="12"/>
      <c r="W6286" s="12"/>
    </row>
    <row r="6287" spans="21:23" x14ac:dyDescent="0.25">
      <c r="U6287" s="12"/>
      <c r="V6287" s="12"/>
      <c r="W6287" s="12"/>
    </row>
    <row r="6288" spans="21:23" x14ac:dyDescent="0.25">
      <c r="U6288" s="12"/>
      <c r="V6288" s="12"/>
      <c r="W6288" s="12"/>
    </row>
    <row r="6289" spans="21:23" x14ac:dyDescent="0.25">
      <c r="U6289" s="12"/>
      <c r="V6289" s="12"/>
      <c r="W6289" s="12"/>
    </row>
    <row r="6290" spans="21:23" x14ac:dyDescent="0.25">
      <c r="U6290" s="12"/>
      <c r="V6290" s="12"/>
      <c r="W6290" s="12"/>
    </row>
    <row r="6291" spans="21:23" x14ac:dyDescent="0.25">
      <c r="U6291" s="12"/>
      <c r="V6291" s="12"/>
      <c r="W6291" s="12"/>
    </row>
    <row r="6292" spans="21:23" x14ac:dyDescent="0.25">
      <c r="U6292" s="12"/>
      <c r="V6292" s="12"/>
      <c r="W6292" s="12"/>
    </row>
    <row r="6293" spans="21:23" x14ac:dyDescent="0.25">
      <c r="U6293" s="12"/>
      <c r="V6293" s="12"/>
      <c r="W6293" s="12"/>
    </row>
    <row r="6294" spans="21:23" x14ac:dyDescent="0.25">
      <c r="U6294" s="12"/>
      <c r="V6294" s="12"/>
      <c r="W6294" s="12"/>
    </row>
    <row r="6295" spans="21:23" x14ac:dyDescent="0.25">
      <c r="U6295" s="12"/>
      <c r="V6295" s="12"/>
      <c r="W6295" s="12"/>
    </row>
    <row r="6296" spans="21:23" x14ac:dyDescent="0.25">
      <c r="U6296" s="12"/>
      <c r="V6296" s="12"/>
      <c r="W6296" s="12"/>
    </row>
    <row r="6297" spans="21:23" x14ac:dyDescent="0.25">
      <c r="U6297" s="12"/>
      <c r="V6297" s="12"/>
      <c r="W6297" s="12"/>
    </row>
    <row r="6298" spans="21:23" x14ac:dyDescent="0.25">
      <c r="U6298" s="12"/>
      <c r="V6298" s="12"/>
      <c r="W6298" s="12"/>
    </row>
    <row r="6299" spans="21:23" x14ac:dyDescent="0.25">
      <c r="U6299" s="12"/>
      <c r="V6299" s="12"/>
      <c r="W6299" s="12"/>
    </row>
    <row r="6300" spans="21:23" x14ac:dyDescent="0.25">
      <c r="U6300" s="12"/>
      <c r="V6300" s="12"/>
      <c r="W6300" s="12"/>
    </row>
    <row r="6301" spans="21:23" x14ac:dyDescent="0.25">
      <c r="U6301" s="12"/>
      <c r="V6301" s="12"/>
      <c r="W6301" s="12"/>
    </row>
    <row r="6302" spans="21:23" x14ac:dyDescent="0.25">
      <c r="U6302" s="12"/>
      <c r="V6302" s="12"/>
      <c r="W6302" s="12"/>
    </row>
    <row r="6303" spans="21:23" x14ac:dyDescent="0.25">
      <c r="U6303" s="12"/>
      <c r="V6303" s="12"/>
      <c r="W6303" s="12"/>
    </row>
    <row r="6304" spans="21:23" x14ac:dyDescent="0.25">
      <c r="U6304" s="12"/>
      <c r="V6304" s="12"/>
      <c r="W6304" s="12"/>
    </row>
    <row r="6305" spans="21:23" x14ac:dyDescent="0.25">
      <c r="U6305" s="12"/>
      <c r="V6305" s="12"/>
      <c r="W6305" s="12"/>
    </row>
    <row r="6306" spans="21:23" x14ac:dyDescent="0.25">
      <c r="U6306" s="12"/>
      <c r="V6306" s="12"/>
      <c r="W6306" s="12"/>
    </row>
    <row r="6307" spans="21:23" x14ac:dyDescent="0.25">
      <c r="U6307" s="12"/>
      <c r="V6307" s="12"/>
      <c r="W6307" s="12"/>
    </row>
    <row r="6308" spans="21:23" x14ac:dyDescent="0.25">
      <c r="U6308" s="12"/>
      <c r="V6308" s="12"/>
      <c r="W6308" s="12"/>
    </row>
    <row r="6309" spans="21:23" x14ac:dyDescent="0.25">
      <c r="U6309" s="12"/>
      <c r="V6309" s="12"/>
      <c r="W6309" s="12"/>
    </row>
    <row r="6310" spans="21:23" x14ac:dyDescent="0.25">
      <c r="U6310" s="12"/>
      <c r="V6310" s="12"/>
      <c r="W6310" s="12"/>
    </row>
    <row r="6311" spans="21:23" x14ac:dyDescent="0.25">
      <c r="U6311" s="12"/>
      <c r="V6311" s="12"/>
      <c r="W6311" s="12"/>
    </row>
    <row r="6312" spans="21:23" x14ac:dyDescent="0.25">
      <c r="U6312" s="12"/>
      <c r="V6312" s="12"/>
      <c r="W6312" s="12"/>
    </row>
    <row r="6313" spans="21:23" x14ac:dyDescent="0.25">
      <c r="U6313" s="12"/>
      <c r="V6313" s="12"/>
      <c r="W6313" s="12"/>
    </row>
    <row r="6314" spans="21:23" x14ac:dyDescent="0.25">
      <c r="U6314" s="12"/>
      <c r="V6314" s="12"/>
      <c r="W6314" s="12"/>
    </row>
    <row r="6315" spans="21:23" x14ac:dyDescent="0.25">
      <c r="U6315" s="12"/>
      <c r="V6315" s="12"/>
      <c r="W6315" s="12"/>
    </row>
    <row r="6316" spans="21:23" x14ac:dyDescent="0.25">
      <c r="U6316" s="12"/>
      <c r="V6316" s="12"/>
      <c r="W6316" s="12"/>
    </row>
    <row r="6317" spans="21:23" x14ac:dyDescent="0.25">
      <c r="U6317" s="12"/>
      <c r="V6317" s="12"/>
      <c r="W6317" s="12"/>
    </row>
    <row r="6318" spans="21:23" x14ac:dyDescent="0.25">
      <c r="U6318" s="12"/>
      <c r="V6318" s="12"/>
      <c r="W6318" s="12"/>
    </row>
    <row r="6319" spans="21:23" x14ac:dyDescent="0.25">
      <c r="U6319" s="12"/>
      <c r="V6319" s="12"/>
      <c r="W6319" s="12"/>
    </row>
    <row r="6320" spans="21:23" x14ac:dyDescent="0.25">
      <c r="U6320" s="12"/>
      <c r="V6320" s="12"/>
      <c r="W6320" s="12"/>
    </row>
    <row r="6321" spans="21:23" x14ac:dyDescent="0.25">
      <c r="U6321" s="12"/>
      <c r="V6321" s="12"/>
      <c r="W6321" s="12"/>
    </row>
    <row r="6322" spans="21:23" x14ac:dyDescent="0.25">
      <c r="U6322" s="12"/>
      <c r="V6322" s="12"/>
      <c r="W6322" s="12"/>
    </row>
    <row r="6323" spans="21:23" x14ac:dyDescent="0.25">
      <c r="U6323" s="12"/>
      <c r="V6323" s="12"/>
      <c r="W6323" s="12"/>
    </row>
    <row r="6324" spans="21:23" x14ac:dyDescent="0.25">
      <c r="U6324" s="12"/>
      <c r="V6324" s="12"/>
      <c r="W6324" s="12"/>
    </row>
    <row r="6325" spans="21:23" x14ac:dyDescent="0.25">
      <c r="U6325" s="12"/>
      <c r="V6325" s="12"/>
      <c r="W6325" s="12"/>
    </row>
    <row r="6326" spans="21:23" x14ac:dyDescent="0.25">
      <c r="U6326" s="12"/>
      <c r="V6326" s="12"/>
      <c r="W6326" s="12"/>
    </row>
    <row r="6327" spans="21:23" x14ac:dyDescent="0.25">
      <c r="U6327" s="12"/>
      <c r="V6327" s="12"/>
      <c r="W6327" s="12"/>
    </row>
    <row r="6328" spans="21:23" x14ac:dyDescent="0.25">
      <c r="U6328" s="12"/>
      <c r="V6328" s="12"/>
      <c r="W6328" s="12"/>
    </row>
    <row r="6329" spans="21:23" x14ac:dyDescent="0.25">
      <c r="U6329" s="12"/>
      <c r="V6329" s="12"/>
      <c r="W6329" s="12"/>
    </row>
    <row r="6330" spans="21:23" x14ac:dyDescent="0.25">
      <c r="U6330" s="12"/>
      <c r="V6330" s="12"/>
      <c r="W6330" s="12"/>
    </row>
    <row r="6331" spans="21:23" x14ac:dyDescent="0.25">
      <c r="U6331" s="12"/>
      <c r="V6331" s="12"/>
      <c r="W6331" s="12"/>
    </row>
    <row r="6332" spans="21:23" x14ac:dyDescent="0.25">
      <c r="U6332" s="12"/>
      <c r="V6332" s="12"/>
      <c r="W6332" s="12"/>
    </row>
    <row r="6333" spans="21:23" x14ac:dyDescent="0.25">
      <c r="U6333" s="12"/>
      <c r="V6333" s="12"/>
      <c r="W6333" s="12"/>
    </row>
    <row r="6334" spans="21:23" x14ac:dyDescent="0.25">
      <c r="U6334" s="12"/>
      <c r="V6334" s="12"/>
      <c r="W6334" s="12"/>
    </row>
    <row r="6335" spans="21:23" x14ac:dyDescent="0.25">
      <c r="U6335" s="12"/>
      <c r="V6335" s="12"/>
      <c r="W6335" s="12"/>
    </row>
    <row r="6336" spans="21:23" x14ac:dyDescent="0.25">
      <c r="U6336" s="12"/>
      <c r="V6336" s="12"/>
      <c r="W6336" s="12"/>
    </row>
    <row r="6337" spans="21:23" x14ac:dyDescent="0.25">
      <c r="U6337" s="12"/>
      <c r="V6337" s="12"/>
      <c r="W6337" s="12"/>
    </row>
    <row r="6338" spans="21:23" x14ac:dyDescent="0.25">
      <c r="U6338" s="12"/>
      <c r="V6338" s="12"/>
      <c r="W6338" s="12"/>
    </row>
    <row r="6339" spans="21:23" x14ac:dyDescent="0.25">
      <c r="U6339" s="12"/>
      <c r="V6339" s="12"/>
      <c r="W6339" s="12"/>
    </row>
    <row r="6340" spans="21:23" x14ac:dyDescent="0.25">
      <c r="U6340" s="12"/>
      <c r="V6340" s="12"/>
      <c r="W6340" s="12"/>
    </row>
    <row r="6341" spans="21:23" x14ac:dyDescent="0.25">
      <c r="U6341" s="12"/>
      <c r="V6341" s="12"/>
      <c r="W6341" s="12"/>
    </row>
    <row r="6342" spans="21:23" x14ac:dyDescent="0.25">
      <c r="U6342" s="12"/>
      <c r="V6342" s="12"/>
      <c r="W6342" s="12"/>
    </row>
    <row r="6343" spans="21:23" x14ac:dyDescent="0.25">
      <c r="U6343" s="12"/>
      <c r="V6343" s="12"/>
      <c r="W6343" s="12"/>
    </row>
    <row r="6344" spans="21:23" x14ac:dyDescent="0.25">
      <c r="U6344" s="12"/>
      <c r="V6344" s="12"/>
      <c r="W6344" s="12"/>
    </row>
    <row r="6345" spans="21:23" x14ac:dyDescent="0.25">
      <c r="U6345" s="12"/>
      <c r="V6345" s="12"/>
      <c r="W6345" s="12"/>
    </row>
    <row r="6346" spans="21:23" x14ac:dyDescent="0.25">
      <c r="U6346" s="12"/>
      <c r="V6346" s="12"/>
      <c r="W6346" s="12"/>
    </row>
    <row r="6347" spans="21:23" x14ac:dyDescent="0.25">
      <c r="U6347" s="12"/>
      <c r="V6347" s="12"/>
      <c r="W6347" s="12"/>
    </row>
    <row r="6348" spans="21:23" x14ac:dyDescent="0.25">
      <c r="U6348" s="12"/>
      <c r="V6348" s="12"/>
      <c r="W6348" s="12"/>
    </row>
    <row r="6349" spans="21:23" x14ac:dyDescent="0.25">
      <c r="U6349" s="12"/>
      <c r="V6349" s="12"/>
      <c r="W6349" s="12"/>
    </row>
    <row r="6350" spans="21:23" x14ac:dyDescent="0.25">
      <c r="U6350" s="12"/>
      <c r="V6350" s="12"/>
      <c r="W6350" s="12"/>
    </row>
    <row r="6351" spans="21:23" x14ac:dyDescent="0.25">
      <c r="U6351" s="12"/>
      <c r="V6351" s="12"/>
      <c r="W6351" s="12"/>
    </row>
    <row r="6352" spans="21:23" x14ac:dyDescent="0.25">
      <c r="U6352" s="12"/>
      <c r="V6352" s="12"/>
      <c r="W6352" s="12"/>
    </row>
    <row r="6353" spans="21:23" x14ac:dyDescent="0.25">
      <c r="U6353" s="12"/>
      <c r="V6353" s="12"/>
      <c r="W6353" s="12"/>
    </row>
    <row r="6354" spans="21:23" x14ac:dyDescent="0.25">
      <c r="U6354" s="12"/>
      <c r="V6354" s="12"/>
      <c r="W6354" s="12"/>
    </row>
    <row r="6355" spans="21:23" x14ac:dyDescent="0.25">
      <c r="U6355" s="12"/>
      <c r="V6355" s="12"/>
      <c r="W6355" s="12"/>
    </row>
    <row r="6356" spans="21:23" x14ac:dyDescent="0.25">
      <c r="U6356" s="12"/>
      <c r="V6356" s="12"/>
      <c r="W6356" s="12"/>
    </row>
    <row r="6357" spans="21:23" x14ac:dyDescent="0.25">
      <c r="U6357" s="12"/>
      <c r="V6357" s="12"/>
      <c r="W6357" s="12"/>
    </row>
    <row r="6358" spans="21:23" x14ac:dyDescent="0.25">
      <c r="U6358" s="12"/>
      <c r="V6358" s="12"/>
      <c r="W6358" s="12"/>
    </row>
    <row r="6359" spans="21:23" x14ac:dyDescent="0.25">
      <c r="U6359" s="12"/>
      <c r="V6359" s="12"/>
      <c r="W6359" s="12"/>
    </row>
    <row r="6360" spans="21:23" x14ac:dyDescent="0.25">
      <c r="U6360" s="12"/>
      <c r="V6360" s="12"/>
      <c r="W6360" s="12"/>
    </row>
    <row r="6361" spans="21:23" x14ac:dyDescent="0.25">
      <c r="U6361" s="12"/>
      <c r="V6361" s="12"/>
      <c r="W6361" s="12"/>
    </row>
    <row r="6362" spans="21:23" x14ac:dyDescent="0.25">
      <c r="U6362" s="12"/>
      <c r="V6362" s="12"/>
      <c r="W6362" s="12"/>
    </row>
    <row r="6363" spans="21:23" x14ac:dyDescent="0.25">
      <c r="U6363" s="12"/>
      <c r="V6363" s="12"/>
      <c r="W6363" s="12"/>
    </row>
    <row r="6364" spans="21:23" x14ac:dyDescent="0.25">
      <c r="U6364" s="12"/>
      <c r="V6364" s="12"/>
      <c r="W6364" s="12"/>
    </row>
    <row r="6365" spans="21:23" x14ac:dyDescent="0.25">
      <c r="U6365" s="12"/>
      <c r="V6365" s="12"/>
      <c r="W6365" s="12"/>
    </row>
    <row r="6366" spans="21:23" x14ac:dyDescent="0.25">
      <c r="U6366" s="12"/>
      <c r="V6366" s="12"/>
      <c r="W6366" s="12"/>
    </row>
    <row r="6367" spans="21:23" x14ac:dyDescent="0.25">
      <c r="U6367" s="12"/>
      <c r="V6367" s="12"/>
      <c r="W6367" s="12"/>
    </row>
    <row r="6368" spans="21:23" x14ac:dyDescent="0.25">
      <c r="U6368" s="12"/>
      <c r="V6368" s="12"/>
      <c r="W6368" s="12"/>
    </row>
    <row r="6369" spans="21:23" x14ac:dyDescent="0.25">
      <c r="U6369" s="12"/>
      <c r="V6369" s="12"/>
      <c r="W6369" s="12"/>
    </row>
    <row r="6370" spans="21:23" x14ac:dyDescent="0.25">
      <c r="U6370" s="12"/>
      <c r="V6370" s="12"/>
      <c r="W6370" s="12"/>
    </row>
    <row r="6371" spans="21:23" x14ac:dyDescent="0.25">
      <c r="U6371" s="12"/>
      <c r="V6371" s="12"/>
      <c r="W6371" s="12"/>
    </row>
    <row r="6372" spans="21:23" x14ac:dyDescent="0.25">
      <c r="U6372" s="12"/>
      <c r="V6372" s="12"/>
      <c r="W6372" s="12"/>
    </row>
    <row r="6373" spans="21:23" x14ac:dyDescent="0.25">
      <c r="U6373" s="12"/>
      <c r="V6373" s="12"/>
      <c r="W6373" s="12"/>
    </row>
    <row r="6374" spans="21:23" x14ac:dyDescent="0.25">
      <c r="U6374" s="12"/>
      <c r="V6374" s="12"/>
      <c r="W6374" s="12"/>
    </row>
    <row r="6375" spans="21:23" x14ac:dyDescent="0.25">
      <c r="U6375" s="12"/>
      <c r="V6375" s="12"/>
      <c r="W6375" s="12"/>
    </row>
    <row r="6376" spans="21:23" x14ac:dyDescent="0.25">
      <c r="U6376" s="12"/>
      <c r="V6376" s="12"/>
      <c r="W6376" s="12"/>
    </row>
    <row r="6377" spans="21:23" x14ac:dyDescent="0.25">
      <c r="U6377" s="12"/>
      <c r="V6377" s="12"/>
      <c r="W6377" s="12"/>
    </row>
    <row r="6378" spans="21:23" x14ac:dyDescent="0.25">
      <c r="U6378" s="12"/>
      <c r="V6378" s="12"/>
      <c r="W6378" s="12"/>
    </row>
    <row r="6379" spans="21:23" x14ac:dyDescent="0.25">
      <c r="U6379" s="12"/>
      <c r="V6379" s="12"/>
      <c r="W6379" s="12"/>
    </row>
    <row r="6380" spans="21:23" x14ac:dyDescent="0.25">
      <c r="U6380" s="12"/>
      <c r="V6380" s="12"/>
      <c r="W6380" s="12"/>
    </row>
    <row r="6381" spans="21:23" x14ac:dyDescent="0.25">
      <c r="U6381" s="12"/>
      <c r="V6381" s="12"/>
      <c r="W6381" s="12"/>
    </row>
    <row r="6382" spans="21:23" x14ac:dyDescent="0.25">
      <c r="U6382" s="12"/>
      <c r="V6382" s="12"/>
      <c r="W6382" s="12"/>
    </row>
    <row r="6383" spans="21:23" x14ac:dyDescent="0.25">
      <c r="U6383" s="12"/>
      <c r="V6383" s="12"/>
      <c r="W6383" s="12"/>
    </row>
    <row r="6384" spans="21:23" x14ac:dyDescent="0.25">
      <c r="U6384" s="12"/>
      <c r="V6384" s="12"/>
      <c r="W6384" s="12"/>
    </row>
    <row r="6385" spans="21:23" x14ac:dyDescent="0.25">
      <c r="U6385" s="12"/>
      <c r="V6385" s="12"/>
      <c r="W6385" s="12"/>
    </row>
    <row r="6386" spans="21:23" x14ac:dyDescent="0.25">
      <c r="U6386" s="12"/>
      <c r="V6386" s="12"/>
      <c r="W6386" s="12"/>
    </row>
    <row r="6387" spans="21:23" x14ac:dyDescent="0.25">
      <c r="U6387" s="12"/>
      <c r="V6387" s="12"/>
      <c r="W6387" s="12"/>
    </row>
    <row r="6388" spans="21:23" x14ac:dyDescent="0.25">
      <c r="U6388" s="12"/>
      <c r="V6388" s="12"/>
      <c r="W6388" s="12"/>
    </row>
    <row r="6389" spans="21:23" x14ac:dyDescent="0.25">
      <c r="U6389" s="12"/>
      <c r="V6389" s="12"/>
      <c r="W6389" s="12"/>
    </row>
    <row r="6390" spans="21:23" x14ac:dyDescent="0.25">
      <c r="U6390" s="12"/>
      <c r="V6390" s="12"/>
      <c r="W6390" s="12"/>
    </row>
    <row r="6391" spans="21:23" x14ac:dyDescent="0.25">
      <c r="U6391" s="12"/>
      <c r="V6391" s="12"/>
      <c r="W6391" s="12"/>
    </row>
    <row r="6392" spans="21:23" x14ac:dyDescent="0.25">
      <c r="U6392" s="12"/>
      <c r="V6392" s="12"/>
      <c r="W6392" s="12"/>
    </row>
    <row r="6393" spans="21:23" x14ac:dyDescent="0.25">
      <c r="U6393" s="12"/>
      <c r="V6393" s="12"/>
      <c r="W6393" s="12"/>
    </row>
    <row r="6394" spans="21:23" x14ac:dyDescent="0.25">
      <c r="U6394" s="12"/>
      <c r="V6394" s="12"/>
      <c r="W6394" s="12"/>
    </row>
    <row r="6395" spans="21:23" x14ac:dyDescent="0.25">
      <c r="U6395" s="12"/>
      <c r="V6395" s="12"/>
      <c r="W6395" s="12"/>
    </row>
    <row r="6396" spans="21:23" x14ac:dyDescent="0.25">
      <c r="U6396" s="12"/>
      <c r="V6396" s="12"/>
      <c r="W6396" s="12"/>
    </row>
    <row r="6397" spans="21:23" x14ac:dyDescent="0.25">
      <c r="U6397" s="12"/>
      <c r="V6397" s="12"/>
      <c r="W6397" s="12"/>
    </row>
    <row r="6398" spans="21:23" x14ac:dyDescent="0.25">
      <c r="U6398" s="12"/>
      <c r="V6398" s="12"/>
      <c r="W6398" s="12"/>
    </row>
    <row r="6399" spans="21:23" x14ac:dyDescent="0.25">
      <c r="U6399" s="12"/>
      <c r="V6399" s="12"/>
      <c r="W6399" s="12"/>
    </row>
    <row r="6400" spans="21:23" x14ac:dyDescent="0.25">
      <c r="U6400" s="12"/>
      <c r="V6400" s="12"/>
      <c r="W6400" s="12"/>
    </row>
    <row r="6401" spans="21:23" x14ac:dyDescent="0.25">
      <c r="U6401" s="12"/>
      <c r="V6401" s="12"/>
      <c r="W6401" s="12"/>
    </row>
    <row r="6402" spans="21:23" x14ac:dyDescent="0.25">
      <c r="U6402" s="12"/>
      <c r="V6402" s="12"/>
      <c r="W6402" s="12"/>
    </row>
    <row r="6403" spans="21:23" x14ac:dyDescent="0.25">
      <c r="U6403" s="12"/>
      <c r="V6403" s="12"/>
      <c r="W6403" s="12"/>
    </row>
    <row r="6404" spans="21:23" x14ac:dyDescent="0.25">
      <c r="U6404" s="12"/>
      <c r="V6404" s="12"/>
      <c r="W6404" s="12"/>
    </row>
    <row r="6405" spans="21:23" x14ac:dyDescent="0.25">
      <c r="U6405" s="12"/>
      <c r="V6405" s="12"/>
      <c r="W6405" s="12"/>
    </row>
    <row r="6406" spans="21:23" x14ac:dyDescent="0.25">
      <c r="U6406" s="12"/>
      <c r="V6406" s="12"/>
      <c r="W6406" s="12"/>
    </row>
    <row r="6407" spans="21:23" x14ac:dyDescent="0.25">
      <c r="U6407" s="12"/>
      <c r="V6407" s="12"/>
      <c r="W6407" s="12"/>
    </row>
    <row r="6408" spans="21:23" x14ac:dyDescent="0.25">
      <c r="U6408" s="12"/>
      <c r="V6408" s="12"/>
      <c r="W6408" s="12"/>
    </row>
    <row r="6409" spans="21:23" x14ac:dyDescent="0.25">
      <c r="U6409" s="12"/>
      <c r="V6409" s="12"/>
      <c r="W6409" s="12"/>
    </row>
    <row r="6410" spans="21:23" x14ac:dyDescent="0.25">
      <c r="U6410" s="12"/>
      <c r="V6410" s="12"/>
      <c r="W6410" s="12"/>
    </row>
    <row r="6411" spans="21:23" x14ac:dyDescent="0.25">
      <c r="U6411" s="12"/>
      <c r="V6411" s="12"/>
      <c r="W6411" s="12"/>
    </row>
    <row r="6412" spans="21:23" x14ac:dyDescent="0.25">
      <c r="U6412" s="12"/>
      <c r="V6412" s="12"/>
      <c r="W6412" s="12"/>
    </row>
    <row r="6413" spans="21:23" x14ac:dyDescent="0.25">
      <c r="U6413" s="12"/>
      <c r="V6413" s="12"/>
      <c r="W6413" s="12"/>
    </row>
    <row r="6414" spans="21:23" x14ac:dyDescent="0.25">
      <c r="U6414" s="12"/>
      <c r="V6414" s="12"/>
      <c r="W6414" s="12"/>
    </row>
    <row r="6415" spans="21:23" x14ac:dyDescent="0.25">
      <c r="U6415" s="12"/>
      <c r="V6415" s="12"/>
      <c r="W6415" s="12"/>
    </row>
    <row r="6416" spans="21:23" x14ac:dyDescent="0.25">
      <c r="U6416" s="12"/>
      <c r="V6416" s="12"/>
      <c r="W6416" s="12"/>
    </row>
    <row r="6417" spans="21:23" x14ac:dyDescent="0.25">
      <c r="U6417" s="12"/>
      <c r="V6417" s="12"/>
      <c r="W6417" s="12"/>
    </row>
    <row r="6418" spans="21:23" x14ac:dyDescent="0.25">
      <c r="U6418" s="12"/>
      <c r="V6418" s="12"/>
      <c r="W6418" s="12"/>
    </row>
    <row r="6419" spans="21:23" x14ac:dyDescent="0.25">
      <c r="U6419" s="12"/>
      <c r="V6419" s="12"/>
      <c r="W6419" s="12"/>
    </row>
    <row r="6420" spans="21:23" x14ac:dyDescent="0.25">
      <c r="U6420" s="12"/>
      <c r="V6420" s="12"/>
      <c r="W6420" s="12"/>
    </row>
    <row r="6421" spans="21:23" x14ac:dyDescent="0.25">
      <c r="U6421" s="12"/>
      <c r="V6421" s="12"/>
      <c r="W6421" s="12"/>
    </row>
    <row r="6422" spans="21:23" x14ac:dyDescent="0.25">
      <c r="U6422" s="12"/>
      <c r="V6422" s="12"/>
      <c r="W6422" s="12"/>
    </row>
    <row r="6423" spans="21:23" x14ac:dyDescent="0.25">
      <c r="U6423" s="12"/>
      <c r="V6423" s="12"/>
      <c r="W6423" s="12"/>
    </row>
    <row r="6424" spans="21:23" x14ac:dyDescent="0.25">
      <c r="U6424" s="12"/>
      <c r="V6424" s="12"/>
      <c r="W6424" s="12"/>
    </row>
    <row r="6425" spans="21:23" x14ac:dyDescent="0.25">
      <c r="U6425" s="12"/>
      <c r="V6425" s="12"/>
      <c r="W6425" s="12"/>
    </row>
    <row r="6426" spans="21:23" x14ac:dyDescent="0.25">
      <c r="U6426" s="12"/>
      <c r="V6426" s="12"/>
      <c r="W6426" s="12"/>
    </row>
    <row r="6427" spans="21:23" x14ac:dyDescent="0.25">
      <c r="U6427" s="12"/>
      <c r="V6427" s="12"/>
      <c r="W6427" s="12"/>
    </row>
    <row r="6428" spans="21:23" x14ac:dyDescent="0.25">
      <c r="U6428" s="12"/>
      <c r="V6428" s="12"/>
      <c r="W6428" s="12"/>
    </row>
    <row r="6429" spans="21:23" x14ac:dyDescent="0.25">
      <c r="U6429" s="12"/>
      <c r="V6429" s="12"/>
      <c r="W6429" s="12"/>
    </row>
    <row r="6430" spans="21:23" x14ac:dyDescent="0.25">
      <c r="U6430" s="12"/>
      <c r="V6430" s="12"/>
      <c r="W6430" s="12"/>
    </row>
    <row r="6431" spans="21:23" x14ac:dyDescent="0.25">
      <c r="U6431" s="12"/>
      <c r="V6431" s="12"/>
      <c r="W6431" s="12"/>
    </row>
    <row r="6432" spans="21:23" x14ac:dyDescent="0.25">
      <c r="U6432" s="12"/>
      <c r="V6432" s="12"/>
      <c r="W6432" s="12"/>
    </row>
    <row r="6433" spans="21:23" x14ac:dyDescent="0.25">
      <c r="U6433" s="12"/>
      <c r="V6433" s="12"/>
      <c r="W6433" s="12"/>
    </row>
    <row r="6434" spans="21:23" x14ac:dyDescent="0.25">
      <c r="U6434" s="12"/>
      <c r="V6434" s="12"/>
      <c r="W6434" s="12"/>
    </row>
    <row r="6435" spans="21:23" x14ac:dyDescent="0.25">
      <c r="U6435" s="12"/>
      <c r="V6435" s="12"/>
      <c r="W6435" s="12"/>
    </row>
    <row r="6436" spans="21:23" x14ac:dyDescent="0.25">
      <c r="U6436" s="12"/>
      <c r="V6436" s="12"/>
      <c r="W6436" s="12"/>
    </row>
    <row r="6437" spans="21:23" x14ac:dyDescent="0.25">
      <c r="U6437" s="12"/>
      <c r="V6437" s="12"/>
      <c r="W6437" s="12"/>
    </row>
    <row r="6438" spans="21:23" x14ac:dyDescent="0.25">
      <c r="U6438" s="12"/>
      <c r="V6438" s="12"/>
      <c r="W6438" s="12"/>
    </row>
    <row r="6439" spans="21:23" x14ac:dyDescent="0.25">
      <c r="U6439" s="12"/>
      <c r="V6439" s="12"/>
      <c r="W6439" s="12"/>
    </row>
    <row r="6440" spans="21:23" x14ac:dyDescent="0.25">
      <c r="U6440" s="12"/>
      <c r="V6440" s="12"/>
      <c r="W6440" s="12"/>
    </row>
    <row r="6441" spans="21:23" x14ac:dyDescent="0.25">
      <c r="U6441" s="12"/>
      <c r="V6441" s="12"/>
      <c r="W6441" s="12"/>
    </row>
    <row r="6442" spans="21:23" x14ac:dyDescent="0.25">
      <c r="U6442" s="12"/>
      <c r="V6442" s="12"/>
      <c r="W6442" s="12"/>
    </row>
    <row r="6443" spans="21:23" x14ac:dyDescent="0.25">
      <c r="U6443" s="12"/>
      <c r="V6443" s="12"/>
      <c r="W6443" s="12"/>
    </row>
    <row r="6444" spans="21:23" x14ac:dyDescent="0.25">
      <c r="U6444" s="12"/>
      <c r="V6444" s="12"/>
      <c r="W6444" s="12"/>
    </row>
    <row r="6445" spans="21:23" x14ac:dyDescent="0.25">
      <c r="U6445" s="12"/>
      <c r="V6445" s="12"/>
      <c r="W6445" s="12"/>
    </row>
    <row r="6446" spans="21:23" x14ac:dyDescent="0.25">
      <c r="U6446" s="12"/>
      <c r="V6446" s="12"/>
      <c r="W6446" s="12"/>
    </row>
    <row r="6447" spans="21:23" x14ac:dyDescent="0.25">
      <c r="U6447" s="12"/>
      <c r="V6447" s="12"/>
      <c r="W6447" s="12"/>
    </row>
    <row r="6448" spans="21:23" x14ac:dyDescent="0.25">
      <c r="U6448" s="12"/>
      <c r="V6448" s="12"/>
      <c r="W6448" s="12"/>
    </row>
    <row r="6449" spans="21:23" x14ac:dyDescent="0.25">
      <c r="U6449" s="12"/>
      <c r="V6449" s="12"/>
      <c r="W6449" s="12"/>
    </row>
    <row r="6450" spans="21:23" x14ac:dyDescent="0.25">
      <c r="U6450" s="12"/>
      <c r="V6450" s="12"/>
      <c r="W6450" s="12"/>
    </row>
    <row r="6451" spans="21:23" x14ac:dyDescent="0.25">
      <c r="U6451" s="12"/>
      <c r="V6451" s="12"/>
      <c r="W6451" s="12"/>
    </row>
    <row r="6452" spans="21:23" x14ac:dyDescent="0.25">
      <c r="U6452" s="12"/>
      <c r="V6452" s="12"/>
      <c r="W6452" s="12"/>
    </row>
    <row r="6453" spans="21:23" x14ac:dyDescent="0.25">
      <c r="U6453" s="12"/>
      <c r="V6453" s="12"/>
      <c r="W6453" s="12"/>
    </row>
    <row r="6454" spans="21:23" x14ac:dyDescent="0.25">
      <c r="U6454" s="12"/>
      <c r="V6454" s="12"/>
      <c r="W6454" s="12"/>
    </row>
    <row r="6455" spans="21:23" x14ac:dyDescent="0.25">
      <c r="U6455" s="12"/>
      <c r="V6455" s="12"/>
      <c r="W6455" s="12"/>
    </row>
    <row r="6456" spans="21:23" x14ac:dyDescent="0.25">
      <c r="U6456" s="12"/>
      <c r="V6456" s="12"/>
      <c r="W6456" s="12"/>
    </row>
    <row r="6457" spans="21:23" x14ac:dyDescent="0.25">
      <c r="U6457" s="12"/>
      <c r="V6457" s="12"/>
      <c r="W6457" s="12"/>
    </row>
    <row r="6458" spans="21:23" x14ac:dyDescent="0.25">
      <c r="U6458" s="12"/>
      <c r="V6458" s="12"/>
      <c r="W6458" s="12"/>
    </row>
    <row r="6459" spans="21:23" x14ac:dyDescent="0.25">
      <c r="U6459" s="12"/>
      <c r="V6459" s="12"/>
      <c r="W6459" s="12"/>
    </row>
    <row r="6460" spans="21:23" x14ac:dyDescent="0.25">
      <c r="U6460" s="12"/>
      <c r="V6460" s="12"/>
      <c r="W6460" s="12"/>
    </row>
    <row r="6461" spans="21:23" x14ac:dyDescent="0.25">
      <c r="U6461" s="12"/>
      <c r="V6461" s="12"/>
      <c r="W6461" s="12"/>
    </row>
    <row r="6462" spans="21:23" x14ac:dyDescent="0.25">
      <c r="U6462" s="12"/>
      <c r="V6462" s="12"/>
      <c r="W6462" s="12"/>
    </row>
    <row r="6463" spans="21:23" x14ac:dyDescent="0.25">
      <c r="U6463" s="12"/>
      <c r="V6463" s="12"/>
      <c r="W6463" s="12"/>
    </row>
    <row r="6464" spans="21:23" x14ac:dyDescent="0.25">
      <c r="U6464" s="12"/>
      <c r="V6464" s="12"/>
      <c r="W6464" s="12"/>
    </row>
    <row r="6465" spans="21:23" x14ac:dyDescent="0.25">
      <c r="U6465" s="12"/>
      <c r="V6465" s="12"/>
      <c r="W6465" s="12"/>
    </row>
    <row r="6466" spans="21:23" x14ac:dyDescent="0.25">
      <c r="U6466" s="12"/>
      <c r="V6466" s="12"/>
      <c r="W6466" s="12"/>
    </row>
    <row r="6467" spans="21:23" x14ac:dyDescent="0.25">
      <c r="U6467" s="12"/>
      <c r="V6467" s="12"/>
      <c r="W6467" s="12"/>
    </row>
    <row r="6468" spans="21:23" x14ac:dyDescent="0.25">
      <c r="U6468" s="12"/>
      <c r="V6468" s="12"/>
      <c r="W6468" s="12"/>
    </row>
    <row r="6469" spans="21:23" x14ac:dyDescent="0.25">
      <c r="U6469" s="12"/>
      <c r="V6469" s="12"/>
      <c r="W6469" s="12"/>
    </row>
    <row r="6470" spans="21:23" x14ac:dyDescent="0.25">
      <c r="U6470" s="12"/>
      <c r="V6470" s="12"/>
      <c r="W6470" s="12"/>
    </row>
    <row r="6471" spans="21:23" x14ac:dyDescent="0.25">
      <c r="U6471" s="12"/>
      <c r="V6471" s="12"/>
      <c r="W6471" s="12"/>
    </row>
    <row r="6472" spans="21:23" x14ac:dyDescent="0.25">
      <c r="U6472" s="12"/>
      <c r="V6472" s="12"/>
      <c r="W6472" s="12"/>
    </row>
    <row r="6473" spans="21:23" x14ac:dyDescent="0.25">
      <c r="U6473" s="12"/>
      <c r="V6473" s="12"/>
      <c r="W6473" s="12"/>
    </row>
    <row r="6474" spans="21:23" x14ac:dyDescent="0.25">
      <c r="U6474" s="12"/>
      <c r="V6474" s="12"/>
      <c r="W6474" s="12"/>
    </row>
    <row r="6475" spans="21:23" x14ac:dyDescent="0.25">
      <c r="U6475" s="12"/>
      <c r="V6475" s="12"/>
      <c r="W6475" s="12"/>
    </row>
    <row r="6476" spans="21:23" x14ac:dyDescent="0.25">
      <c r="U6476" s="12"/>
      <c r="V6476" s="12"/>
      <c r="W6476" s="12"/>
    </row>
    <row r="6477" spans="21:23" x14ac:dyDescent="0.25">
      <c r="U6477" s="12"/>
      <c r="V6477" s="12"/>
      <c r="W6477" s="12"/>
    </row>
    <row r="6478" spans="21:23" x14ac:dyDescent="0.25">
      <c r="U6478" s="12"/>
      <c r="V6478" s="12"/>
      <c r="W6478" s="12"/>
    </row>
    <row r="6479" spans="21:23" x14ac:dyDescent="0.25">
      <c r="U6479" s="12"/>
      <c r="V6479" s="12"/>
      <c r="W6479" s="12"/>
    </row>
    <row r="6480" spans="21:23" x14ac:dyDescent="0.25">
      <c r="U6480" s="12"/>
      <c r="V6480" s="12"/>
      <c r="W6480" s="12"/>
    </row>
    <row r="6481" spans="21:23" x14ac:dyDescent="0.25">
      <c r="U6481" s="12"/>
      <c r="V6481" s="12"/>
      <c r="W6481" s="12"/>
    </row>
    <row r="6482" spans="21:23" x14ac:dyDescent="0.25">
      <c r="U6482" s="12"/>
      <c r="V6482" s="12"/>
      <c r="W6482" s="12"/>
    </row>
    <row r="6483" spans="21:23" x14ac:dyDescent="0.25">
      <c r="U6483" s="12"/>
      <c r="V6483" s="12"/>
      <c r="W6483" s="12"/>
    </row>
    <row r="6484" spans="21:23" x14ac:dyDescent="0.25">
      <c r="U6484" s="12"/>
      <c r="V6484" s="12"/>
      <c r="W6484" s="12"/>
    </row>
    <row r="6485" spans="21:23" x14ac:dyDescent="0.25">
      <c r="U6485" s="12"/>
      <c r="V6485" s="12"/>
      <c r="W6485" s="12"/>
    </row>
    <row r="6486" spans="21:23" x14ac:dyDescent="0.25">
      <c r="U6486" s="12"/>
      <c r="V6486" s="12"/>
      <c r="W6486" s="12"/>
    </row>
    <row r="6487" spans="21:23" x14ac:dyDescent="0.25">
      <c r="U6487" s="12"/>
      <c r="V6487" s="12"/>
      <c r="W6487" s="12"/>
    </row>
    <row r="6488" spans="21:23" x14ac:dyDescent="0.25">
      <c r="U6488" s="12"/>
      <c r="V6488" s="12"/>
      <c r="W6488" s="12"/>
    </row>
    <row r="6489" spans="21:23" x14ac:dyDescent="0.25">
      <c r="U6489" s="12"/>
      <c r="V6489" s="12"/>
      <c r="W6489" s="12"/>
    </row>
    <row r="6490" spans="21:23" x14ac:dyDescent="0.25">
      <c r="U6490" s="12"/>
      <c r="V6490" s="12"/>
      <c r="W6490" s="12"/>
    </row>
    <row r="6491" spans="21:23" x14ac:dyDescent="0.25">
      <c r="U6491" s="12"/>
      <c r="V6491" s="12"/>
      <c r="W6491" s="12"/>
    </row>
    <row r="6492" spans="21:23" x14ac:dyDescent="0.25">
      <c r="U6492" s="12"/>
      <c r="V6492" s="12"/>
      <c r="W6492" s="12"/>
    </row>
    <row r="6493" spans="21:23" x14ac:dyDescent="0.25">
      <c r="U6493" s="12"/>
      <c r="V6493" s="12"/>
      <c r="W6493" s="12"/>
    </row>
    <row r="6494" spans="21:23" x14ac:dyDescent="0.25">
      <c r="U6494" s="12"/>
      <c r="V6494" s="12"/>
      <c r="W6494" s="12"/>
    </row>
    <row r="6495" spans="21:23" x14ac:dyDescent="0.25">
      <c r="U6495" s="12"/>
      <c r="V6495" s="12"/>
      <c r="W6495" s="12"/>
    </row>
    <row r="6496" spans="21:23" x14ac:dyDescent="0.25">
      <c r="U6496" s="12"/>
      <c r="V6496" s="12"/>
      <c r="W6496" s="12"/>
    </row>
    <row r="6497" spans="21:23" x14ac:dyDescent="0.25">
      <c r="U6497" s="12"/>
      <c r="V6497" s="12"/>
      <c r="W6497" s="12"/>
    </row>
    <row r="6498" spans="21:23" x14ac:dyDescent="0.25">
      <c r="U6498" s="12"/>
      <c r="V6498" s="12"/>
      <c r="W6498" s="12"/>
    </row>
    <row r="6499" spans="21:23" x14ac:dyDescent="0.25">
      <c r="U6499" s="12"/>
      <c r="V6499" s="12"/>
      <c r="W6499" s="12"/>
    </row>
    <row r="6500" spans="21:23" x14ac:dyDescent="0.25">
      <c r="U6500" s="12"/>
      <c r="V6500" s="12"/>
      <c r="W6500" s="12"/>
    </row>
    <row r="6501" spans="21:23" x14ac:dyDescent="0.25">
      <c r="U6501" s="12"/>
      <c r="V6501" s="12"/>
      <c r="W6501" s="12"/>
    </row>
    <row r="6502" spans="21:23" x14ac:dyDescent="0.25">
      <c r="U6502" s="12"/>
      <c r="V6502" s="12"/>
      <c r="W6502" s="12"/>
    </row>
    <row r="6503" spans="21:23" x14ac:dyDescent="0.25">
      <c r="U6503" s="12"/>
      <c r="V6503" s="12"/>
      <c r="W6503" s="12"/>
    </row>
    <row r="6504" spans="21:23" x14ac:dyDescent="0.25">
      <c r="U6504" s="12"/>
      <c r="V6504" s="12"/>
      <c r="W6504" s="12"/>
    </row>
    <row r="6505" spans="21:23" x14ac:dyDescent="0.25">
      <c r="U6505" s="12"/>
      <c r="V6505" s="12"/>
      <c r="W6505" s="12"/>
    </row>
    <row r="6506" spans="21:23" x14ac:dyDescent="0.25">
      <c r="U6506" s="12"/>
      <c r="V6506" s="12"/>
      <c r="W6506" s="12"/>
    </row>
    <row r="6507" spans="21:23" x14ac:dyDescent="0.25">
      <c r="U6507" s="12"/>
      <c r="V6507" s="12"/>
      <c r="W6507" s="12"/>
    </row>
    <row r="6508" spans="21:23" x14ac:dyDescent="0.25">
      <c r="U6508" s="12"/>
      <c r="V6508" s="12"/>
      <c r="W6508" s="12"/>
    </row>
    <row r="6509" spans="21:23" x14ac:dyDescent="0.25">
      <c r="U6509" s="12"/>
      <c r="V6509" s="12"/>
      <c r="W6509" s="12"/>
    </row>
    <row r="6510" spans="21:23" x14ac:dyDescent="0.25">
      <c r="U6510" s="12"/>
      <c r="V6510" s="12"/>
      <c r="W6510" s="12"/>
    </row>
    <row r="6511" spans="21:23" x14ac:dyDescent="0.25">
      <c r="U6511" s="12"/>
      <c r="V6511" s="12"/>
      <c r="W6511" s="12"/>
    </row>
    <row r="6512" spans="21:23" x14ac:dyDescent="0.25">
      <c r="U6512" s="12"/>
      <c r="V6512" s="12"/>
      <c r="W6512" s="12"/>
    </row>
    <row r="6513" spans="21:23" x14ac:dyDescent="0.25">
      <c r="U6513" s="12"/>
      <c r="V6513" s="12"/>
      <c r="W6513" s="12"/>
    </row>
    <row r="6514" spans="21:23" x14ac:dyDescent="0.25">
      <c r="U6514" s="12"/>
      <c r="V6514" s="12"/>
      <c r="W6514" s="12"/>
    </row>
    <row r="6515" spans="21:23" x14ac:dyDescent="0.25">
      <c r="U6515" s="12"/>
      <c r="V6515" s="12"/>
      <c r="W6515" s="12"/>
    </row>
    <row r="6516" spans="21:23" x14ac:dyDescent="0.25">
      <c r="U6516" s="12"/>
      <c r="V6516" s="12"/>
      <c r="W6516" s="12"/>
    </row>
    <row r="6517" spans="21:23" x14ac:dyDescent="0.25">
      <c r="U6517" s="12"/>
      <c r="V6517" s="12"/>
      <c r="W6517" s="12"/>
    </row>
    <row r="6518" spans="21:23" x14ac:dyDescent="0.25">
      <c r="U6518" s="12"/>
      <c r="V6518" s="12"/>
      <c r="W6518" s="12"/>
    </row>
    <row r="6519" spans="21:23" x14ac:dyDescent="0.25">
      <c r="U6519" s="12"/>
      <c r="V6519" s="12"/>
      <c r="W6519" s="12"/>
    </row>
    <row r="6520" spans="21:23" x14ac:dyDescent="0.25">
      <c r="U6520" s="12"/>
      <c r="V6520" s="12"/>
      <c r="W6520" s="12"/>
    </row>
    <row r="6521" spans="21:23" x14ac:dyDescent="0.25">
      <c r="U6521" s="12"/>
      <c r="V6521" s="12"/>
      <c r="W6521" s="12"/>
    </row>
    <row r="6522" spans="21:23" x14ac:dyDescent="0.25">
      <c r="U6522" s="12"/>
      <c r="V6522" s="12"/>
      <c r="W6522" s="12"/>
    </row>
    <row r="6523" spans="21:23" x14ac:dyDescent="0.25">
      <c r="U6523" s="12"/>
      <c r="V6523" s="12"/>
      <c r="W6523" s="12"/>
    </row>
    <row r="6524" spans="21:23" x14ac:dyDescent="0.25">
      <c r="U6524" s="12"/>
      <c r="V6524" s="12"/>
      <c r="W6524" s="12"/>
    </row>
    <row r="6525" spans="21:23" x14ac:dyDescent="0.25">
      <c r="U6525" s="12"/>
      <c r="V6525" s="12"/>
      <c r="W6525" s="12"/>
    </row>
    <row r="6526" spans="21:23" x14ac:dyDescent="0.25">
      <c r="U6526" s="12"/>
      <c r="V6526" s="12"/>
      <c r="W6526" s="12"/>
    </row>
    <row r="6527" spans="21:23" x14ac:dyDescent="0.25">
      <c r="U6527" s="12"/>
      <c r="V6527" s="12"/>
      <c r="W6527" s="12"/>
    </row>
    <row r="6528" spans="21:23" x14ac:dyDescent="0.25">
      <c r="U6528" s="12"/>
      <c r="V6528" s="12"/>
      <c r="W6528" s="12"/>
    </row>
    <row r="6529" spans="21:23" x14ac:dyDescent="0.25">
      <c r="U6529" s="12"/>
      <c r="V6529" s="12"/>
      <c r="W6529" s="12"/>
    </row>
    <row r="6530" spans="21:23" x14ac:dyDescent="0.25">
      <c r="U6530" s="12"/>
      <c r="V6530" s="12"/>
      <c r="W6530" s="12"/>
    </row>
    <row r="6531" spans="21:23" x14ac:dyDescent="0.25">
      <c r="U6531" s="12"/>
      <c r="V6531" s="12"/>
      <c r="W6531" s="12"/>
    </row>
    <row r="6532" spans="21:23" x14ac:dyDescent="0.25">
      <c r="U6532" s="12"/>
      <c r="V6532" s="12"/>
      <c r="W6532" s="12"/>
    </row>
    <row r="6533" spans="21:23" x14ac:dyDescent="0.25">
      <c r="U6533" s="12"/>
      <c r="V6533" s="12"/>
      <c r="W6533" s="12"/>
    </row>
    <row r="6534" spans="21:23" x14ac:dyDescent="0.25">
      <c r="U6534" s="12"/>
      <c r="V6534" s="12"/>
      <c r="W6534" s="12"/>
    </row>
    <row r="6535" spans="21:23" x14ac:dyDescent="0.25">
      <c r="U6535" s="12"/>
      <c r="V6535" s="12"/>
      <c r="W6535" s="12"/>
    </row>
    <row r="6536" spans="21:23" x14ac:dyDescent="0.25">
      <c r="U6536" s="12"/>
      <c r="V6536" s="12"/>
      <c r="W6536" s="12"/>
    </row>
    <row r="6537" spans="21:23" x14ac:dyDescent="0.25">
      <c r="U6537" s="12"/>
      <c r="V6537" s="12"/>
      <c r="W6537" s="12"/>
    </row>
    <row r="6538" spans="21:23" x14ac:dyDescent="0.25">
      <c r="U6538" s="12"/>
      <c r="V6538" s="12"/>
      <c r="W6538" s="12"/>
    </row>
    <row r="6539" spans="21:23" x14ac:dyDescent="0.25">
      <c r="U6539" s="12"/>
      <c r="V6539" s="12"/>
      <c r="W6539" s="12"/>
    </row>
    <row r="6540" spans="21:23" x14ac:dyDescent="0.25">
      <c r="U6540" s="12"/>
      <c r="V6540" s="12"/>
      <c r="W6540" s="12"/>
    </row>
    <row r="6541" spans="21:23" x14ac:dyDescent="0.25">
      <c r="U6541" s="12"/>
      <c r="V6541" s="12"/>
      <c r="W6541" s="12"/>
    </row>
    <row r="6542" spans="21:23" x14ac:dyDescent="0.25">
      <c r="U6542" s="12"/>
      <c r="V6542" s="12"/>
      <c r="W6542" s="12"/>
    </row>
    <row r="6543" spans="21:23" x14ac:dyDescent="0.25">
      <c r="U6543" s="12"/>
      <c r="V6543" s="12"/>
      <c r="W6543" s="12"/>
    </row>
  </sheetData>
  <sheetProtection password="8E81" sheet="1" objects="1" scenarios="1" formatCells="0" formatColumns="0"/>
  <mergeCells count="5">
    <mergeCell ref="B3:C3"/>
    <mergeCell ref="I16:J16"/>
    <mergeCell ref="A19:C19"/>
    <mergeCell ref="D1:E1"/>
    <mergeCell ref="A42:H69"/>
  </mergeCells>
  <phoneticPr fontId="0" type="noConversion"/>
  <pageMargins left="0.75" right="0.75" top="1" bottom="1" header="0.5" footer="0.5"/>
  <pageSetup scale="75" orientation="portrait"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Z58"/>
  <sheetViews>
    <sheetView showGridLines="0" topLeftCell="A4" zoomScale="80" zoomScaleNormal="80" workbookViewId="0">
      <selection activeCell="H50" sqref="H50"/>
    </sheetView>
  </sheetViews>
  <sheetFormatPr defaultRowHeight="12.5" x14ac:dyDescent="0.25"/>
  <cols>
    <col min="1" max="1" width="21.7265625" customWidth="1"/>
  </cols>
  <sheetData>
    <row r="1" spans="1:12" ht="27" customHeight="1" x14ac:dyDescent="0.25"/>
    <row r="2" spans="1:12" ht="12.75" customHeight="1" x14ac:dyDescent="0.25"/>
    <row r="3" spans="1:12" ht="12.75" customHeight="1" x14ac:dyDescent="0.25"/>
    <row r="4" spans="1:12" ht="12.75" customHeight="1" x14ac:dyDescent="0.25"/>
    <row r="5" spans="1:12" ht="12.75" customHeight="1" x14ac:dyDescent="0.25"/>
    <row r="6" spans="1:12" ht="12.75" customHeight="1" x14ac:dyDescent="0.25"/>
    <row r="7" spans="1:12" ht="12.75" customHeight="1" x14ac:dyDescent="0.25"/>
    <row r="8" spans="1:12" ht="12.75" customHeight="1" x14ac:dyDescent="0.25">
      <c r="A8" s="1"/>
      <c r="B8" s="1"/>
      <c r="C8" s="1"/>
      <c r="D8" s="1"/>
      <c r="E8" s="1"/>
      <c r="F8" s="1"/>
      <c r="G8" s="1"/>
      <c r="H8" s="1"/>
      <c r="I8" s="1"/>
      <c r="J8" s="1"/>
      <c r="K8" s="1"/>
      <c r="L8" s="1"/>
    </row>
    <row r="9" spans="1:12" ht="12.75" customHeight="1" x14ac:dyDescent="0.25">
      <c r="A9" s="62"/>
      <c r="B9" s="62"/>
      <c r="C9" s="62"/>
      <c r="D9" s="62"/>
      <c r="E9" s="62"/>
      <c r="F9" s="62"/>
      <c r="G9" s="62"/>
      <c r="H9" s="1"/>
      <c r="I9" s="94"/>
      <c r="J9" s="94"/>
      <c r="K9" s="1"/>
      <c r="L9" s="1"/>
    </row>
    <row r="10" spans="1:12" ht="12.75" customHeight="1" x14ac:dyDescent="0.25">
      <c r="A10" s="62"/>
      <c r="B10" s="62"/>
      <c r="C10" s="62"/>
      <c r="D10" s="62"/>
      <c r="E10" s="62"/>
      <c r="F10" s="62"/>
      <c r="G10" s="62"/>
      <c r="J10" s="1"/>
      <c r="K10" s="1"/>
      <c r="L10" s="1"/>
    </row>
    <row r="11" spans="1:12" ht="12.75" customHeight="1" x14ac:dyDescent="0.25">
      <c r="A11" s="62"/>
      <c r="B11" s="62"/>
      <c r="C11" s="62"/>
      <c r="D11" s="62"/>
      <c r="E11" s="62"/>
      <c r="F11" s="62"/>
      <c r="G11" s="62"/>
      <c r="H11" s="341" t="str">
        <f>'[5]Installed Flow'!B3</f>
        <v>Neles RE</v>
      </c>
      <c r="I11" s="341"/>
      <c r="J11" s="1"/>
      <c r="K11" s="1"/>
      <c r="L11" s="1"/>
    </row>
    <row r="12" spans="1:12" ht="12.75" customHeight="1" x14ac:dyDescent="0.25">
      <c r="A12" s="62"/>
      <c r="B12" s="62"/>
      <c r="C12" s="62"/>
      <c r="D12" s="62"/>
      <c r="E12" s="62"/>
      <c r="F12" s="62"/>
      <c r="G12" s="62"/>
      <c r="H12" s="63" t="str">
        <f>'Installed Flow'!B4</f>
        <v>2 inch</v>
      </c>
      <c r="I12" s="169"/>
      <c r="J12" s="1"/>
      <c r="K12" s="1"/>
      <c r="L12" s="1"/>
    </row>
    <row r="13" spans="1:12" ht="12.75" customHeight="1" x14ac:dyDescent="0.25">
      <c r="A13" s="62"/>
      <c r="B13" s="62"/>
      <c r="C13" s="62"/>
      <c r="D13" s="62"/>
      <c r="E13" s="62"/>
      <c r="F13" s="62"/>
      <c r="G13" s="62"/>
      <c r="H13" s="168" t="str">
        <f>'[5]Valve Sizing'!E1</f>
        <v>PV123</v>
      </c>
      <c r="I13" s="169"/>
      <c r="J13" s="1"/>
      <c r="K13" s="1"/>
      <c r="L13" s="1"/>
    </row>
    <row r="14" spans="1:12" ht="12.75" customHeight="1" x14ac:dyDescent="0.25">
      <c r="A14" s="62"/>
      <c r="B14" s="62"/>
      <c r="C14" s="62"/>
      <c r="D14" s="62"/>
      <c r="E14" s="62"/>
      <c r="F14" s="62"/>
      <c r="G14" s="62"/>
      <c r="H14" s="1"/>
      <c r="I14" s="1"/>
      <c r="J14" s="1"/>
      <c r="K14" s="1"/>
      <c r="L14" s="1"/>
    </row>
    <row r="15" spans="1:12" ht="12.75" customHeight="1" x14ac:dyDescent="0.25">
      <c r="A15" s="62"/>
      <c r="B15" s="62"/>
      <c r="C15" s="62"/>
      <c r="D15" s="62"/>
      <c r="E15" s="62"/>
      <c r="F15" s="62"/>
      <c r="G15" s="62"/>
      <c r="H15" s="1"/>
      <c r="I15" s="1"/>
      <c r="J15" s="1"/>
      <c r="K15" s="1"/>
      <c r="L15" s="1"/>
    </row>
    <row r="16" spans="1:12" ht="12.75" customHeight="1" x14ac:dyDescent="0.25">
      <c r="A16" s="62"/>
      <c r="B16" s="62"/>
      <c r="C16" s="62"/>
      <c r="D16" s="62"/>
      <c r="E16" s="62"/>
      <c r="F16" s="62"/>
      <c r="G16" s="62"/>
      <c r="I16" s="166"/>
      <c r="J16" s="1"/>
      <c r="K16" s="1"/>
      <c r="L16" s="1"/>
    </row>
    <row r="17" spans="1:12" ht="12.75" customHeight="1" x14ac:dyDescent="0.25">
      <c r="A17" s="62"/>
      <c r="B17" s="62"/>
      <c r="C17" s="62"/>
      <c r="D17" s="62"/>
      <c r="E17" s="62"/>
      <c r="F17" s="62"/>
      <c r="G17" s="62"/>
      <c r="H17" s="166"/>
      <c r="I17" s="166"/>
      <c r="J17" s="1"/>
      <c r="K17" s="1"/>
      <c r="L17" s="1"/>
    </row>
    <row r="18" spans="1:12" ht="12.75" customHeight="1" x14ac:dyDescent="0.25">
      <c r="A18" s="62"/>
      <c r="B18" s="62"/>
      <c r="C18" s="62"/>
      <c r="D18" s="62"/>
      <c r="E18" s="62"/>
      <c r="F18" s="62"/>
      <c r="G18" s="62"/>
      <c r="H18" s="166"/>
      <c r="I18" s="166"/>
      <c r="J18" s="1"/>
      <c r="K18" s="1"/>
      <c r="L18" s="1"/>
    </row>
    <row r="19" spans="1:12" ht="12.75" customHeight="1" x14ac:dyDescent="0.25">
      <c r="A19" s="62"/>
      <c r="B19" s="62"/>
      <c r="C19" s="62"/>
      <c r="D19" s="62"/>
      <c r="E19" s="62"/>
      <c r="F19" s="62"/>
      <c r="G19" s="62"/>
      <c r="H19" s="166"/>
      <c r="I19" s="166"/>
      <c r="K19" s="1"/>
      <c r="L19" s="1"/>
    </row>
    <row r="20" spans="1:12" ht="12.75" customHeight="1" x14ac:dyDescent="0.25">
      <c r="A20" s="62"/>
      <c r="B20" s="62"/>
      <c r="C20" s="62"/>
      <c r="D20" s="62"/>
      <c r="E20" s="62"/>
      <c r="F20" s="62"/>
      <c r="G20" s="62"/>
      <c r="H20" s="101" t="s">
        <v>248</v>
      </c>
      <c r="I20" s="96"/>
      <c r="J20" s="1"/>
      <c r="K20" s="1"/>
      <c r="L20" s="1"/>
    </row>
    <row r="21" spans="1:12" ht="12.75" customHeight="1" x14ac:dyDescent="0.25">
      <c r="A21" s="62"/>
      <c r="B21" s="62"/>
      <c r="C21" s="62"/>
      <c r="D21" s="62"/>
      <c r="E21" s="62"/>
      <c r="F21" s="62"/>
      <c r="G21" s="62"/>
      <c r="H21" s="1"/>
      <c r="I21" s="166" t="s">
        <v>247</v>
      </c>
      <c r="J21" s="95">
        <f>W_max</f>
        <v>7174</v>
      </c>
      <c r="K21" s="1"/>
      <c r="L21" s="1"/>
    </row>
    <row r="22" spans="1:12" ht="12.75" customHeight="1" x14ac:dyDescent="0.25">
      <c r="A22" s="62"/>
      <c r="B22" s="62"/>
      <c r="C22" s="62"/>
      <c r="D22" s="62"/>
      <c r="E22" s="62"/>
      <c r="F22" s="62"/>
      <c r="G22" s="62"/>
      <c r="H22" s="166"/>
      <c r="I22" s="167"/>
      <c r="J22" s="97"/>
      <c r="K22" s="1"/>
      <c r="L22" s="1"/>
    </row>
    <row r="23" spans="1:12" ht="12.75" customHeight="1" x14ac:dyDescent="0.25">
      <c r="A23" s="62"/>
      <c r="B23" s="62"/>
      <c r="C23" s="62"/>
      <c r="D23" s="62"/>
      <c r="E23" s="62"/>
      <c r="F23" s="62"/>
      <c r="G23" s="62"/>
      <c r="H23" s="167"/>
      <c r="I23" s="167"/>
      <c r="J23" s="1"/>
      <c r="K23" s="1"/>
      <c r="L23" s="1"/>
    </row>
    <row r="24" spans="1:12" ht="12.75" customHeight="1" x14ac:dyDescent="0.25">
      <c r="A24" s="62"/>
      <c r="B24" s="62"/>
      <c r="C24" s="62"/>
      <c r="D24" s="62"/>
      <c r="E24" s="62"/>
      <c r="F24" s="62"/>
      <c r="G24" s="62"/>
      <c r="H24" s="101" t="s">
        <v>249</v>
      </c>
      <c r="I24" s="167"/>
      <c r="J24" s="1"/>
      <c r="K24" s="1"/>
      <c r="L24" s="1"/>
    </row>
    <row r="25" spans="1:12" ht="12.75" customHeight="1" x14ac:dyDescent="0.25">
      <c r="A25" s="62"/>
      <c r="B25" s="62"/>
      <c r="C25" s="62"/>
      <c r="D25" s="62"/>
      <c r="E25" s="62"/>
      <c r="F25" s="62"/>
      <c r="G25" s="62"/>
      <c r="H25" s="1"/>
      <c r="I25" s="166" t="s">
        <v>247</v>
      </c>
      <c r="J25" s="63">
        <f>W_min</f>
        <v>1145</v>
      </c>
      <c r="K25" s="1"/>
      <c r="L25" s="1"/>
    </row>
    <row r="26" spans="1:12" ht="12.75" customHeight="1" x14ac:dyDescent="0.25">
      <c r="A26" s="62"/>
      <c r="B26" s="62"/>
      <c r="C26" s="62"/>
      <c r="D26" s="62"/>
      <c r="E26" s="62"/>
      <c r="F26" s="62"/>
      <c r="G26" s="62"/>
      <c r="H26" s="1"/>
      <c r="I26" s="1"/>
      <c r="J26" s="1"/>
      <c r="K26" s="1"/>
      <c r="L26" s="1"/>
    </row>
    <row r="27" spans="1:12" ht="12.75" customHeight="1" x14ac:dyDescent="0.25">
      <c r="A27" s="62"/>
      <c r="B27" s="62"/>
      <c r="C27" s="62"/>
      <c r="D27" s="62"/>
      <c r="E27" s="62"/>
      <c r="F27" s="62"/>
      <c r="G27" s="62"/>
      <c r="H27" s="1"/>
      <c r="I27" s="1"/>
      <c r="J27" s="1"/>
      <c r="K27" s="1"/>
      <c r="L27" s="1"/>
    </row>
    <row r="28" spans="1:12" ht="12.75" customHeight="1" x14ac:dyDescent="0.25">
      <c r="A28" s="62"/>
      <c r="B28" s="62"/>
      <c r="C28" s="62"/>
      <c r="D28" s="62"/>
      <c r="E28" s="62"/>
      <c r="F28" s="62"/>
      <c r="G28" s="62"/>
      <c r="H28" s="1"/>
      <c r="I28" s="1"/>
      <c r="J28" s="1"/>
      <c r="K28" s="1"/>
      <c r="L28" s="1"/>
    </row>
    <row r="29" spans="1:12" ht="12.75" customHeight="1" x14ac:dyDescent="0.25">
      <c r="A29" s="62"/>
      <c r="B29" s="62"/>
      <c r="C29" s="62"/>
      <c r="D29" s="62"/>
      <c r="E29" s="62"/>
      <c r="F29" s="62"/>
      <c r="G29" s="62"/>
      <c r="H29" s="1"/>
      <c r="I29" s="166" t="s">
        <v>209</v>
      </c>
      <c r="J29" s="1" t="str">
        <f>'Valve Sizing'!B4</f>
        <v>lbm/h</v>
      </c>
      <c r="K29" s="1"/>
      <c r="L29" s="1"/>
    </row>
    <row r="30" spans="1:12" ht="12.75" customHeight="1" x14ac:dyDescent="0.25">
      <c r="A30" s="62"/>
      <c r="B30" s="62"/>
      <c r="C30" s="62"/>
      <c r="D30" s="62"/>
      <c r="E30" s="62"/>
      <c r="F30" s="62"/>
      <c r="G30" s="62"/>
      <c r="H30" s="1"/>
      <c r="I30" s="1"/>
      <c r="J30" s="1"/>
      <c r="K30" s="1"/>
      <c r="L30" s="1"/>
    </row>
    <row r="31" spans="1:12" ht="12.75" customHeight="1" x14ac:dyDescent="0.25">
      <c r="A31" s="62"/>
      <c r="B31" s="62"/>
      <c r="C31" s="62"/>
      <c r="D31" s="62"/>
      <c r="E31" s="62"/>
      <c r="F31" s="62"/>
      <c r="G31" s="62"/>
      <c r="H31" s="342"/>
      <c r="I31" s="342"/>
      <c r="K31" s="1"/>
      <c r="L31" s="1"/>
    </row>
    <row r="32" spans="1:12" ht="12.75" customHeight="1" x14ac:dyDescent="0.25">
      <c r="A32" s="62"/>
      <c r="B32" s="62"/>
      <c r="C32" s="62"/>
      <c r="D32" s="62"/>
      <c r="E32" s="62"/>
      <c r="F32" s="62"/>
      <c r="G32" s="62"/>
      <c r="H32" s="1"/>
      <c r="I32" s="1"/>
      <c r="J32" s="1"/>
      <c r="K32" s="1"/>
      <c r="L32" s="1"/>
    </row>
    <row r="33" spans="1:26" ht="12.75" customHeight="1" x14ac:dyDescent="0.25">
      <c r="A33" s="62"/>
      <c r="B33" s="62"/>
      <c r="C33" s="62"/>
      <c r="D33" s="62"/>
      <c r="E33" s="62"/>
      <c r="F33" s="62"/>
      <c r="G33" s="62"/>
      <c r="H33" s="1"/>
      <c r="I33" s="1"/>
      <c r="J33" s="1"/>
      <c r="K33" s="1"/>
      <c r="L33" s="1"/>
    </row>
    <row r="34" spans="1:26" ht="12.75" customHeight="1" x14ac:dyDescent="0.25">
      <c r="A34" s="62"/>
      <c r="B34" s="62"/>
      <c r="C34" s="62"/>
      <c r="D34" s="62"/>
      <c r="E34" s="62"/>
      <c r="F34" s="62"/>
      <c r="G34" s="62"/>
      <c r="H34" s="1"/>
      <c r="I34" s="1"/>
      <c r="J34" s="1"/>
      <c r="K34" s="1"/>
      <c r="L34" s="1"/>
    </row>
    <row r="35" spans="1:26" ht="12.75" customHeight="1" x14ac:dyDescent="0.25">
      <c r="A35" s="1"/>
      <c r="B35" s="1"/>
      <c r="C35" s="1"/>
      <c r="D35" s="1"/>
      <c r="E35" s="1"/>
      <c r="F35" s="1"/>
      <c r="G35" s="1"/>
      <c r="H35" s="1"/>
      <c r="I35" s="1"/>
      <c r="J35" s="1"/>
      <c r="K35" s="1"/>
      <c r="L35" s="1"/>
    </row>
    <row r="36" spans="1:26" ht="12.75" customHeight="1" x14ac:dyDescent="0.25">
      <c r="A36" s="1"/>
      <c r="B36" s="1"/>
      <c r="C36" s="1"/>
      <c r="D36" s="1"/>
      <c r="E36" s="1"/>
      <c r="F36" s="1"/>
      <c r="G36" s="1"/>
      <c r="H36" s="1"/>
      <c r="I36" s="1"/>
      <c r="J36" s="1"/>
      <c r="K36" s="1"/>
      <c r="L36" s="1"/>
    </row>
    <row r="37" spans="1:26" ht="12.75" customHeight="1" x14ac:dyDescent="0.25">
      <c r="A37" s="1"/>
      <c r="B37" s="1"/>
      <c r="C37" s="1"/>
      <c r="D37" s="1"/>
      <c r="E37" s="1"/>
      <c r="F37" s="1"/>
      <c r="G37" s="1"/>
      <c r="H37" s="1"/>
      <c r="I37" s="1"/>
      <c r="J37" s="1"/>
      <c r="K37" s="1"/>
      <c r="L37" s="1"/>
    </row>
    <row r="38" spans="1:26" ht="12.75" customHeight="1" thickBot="1" x14ac:dyDescent="0.4">
      <c r="A38" s="1"/>
      <c r="B38" s="1"/>
      <c r="C38" s="1"/>
      <c r="D38" s="1"/>
      <c r="E38" s="196" t="s">
        <v>214</v>
      </c>
      <c r="F38" s="1"/>
      <c r="G38" s="1"/>
      <c r="H38" s="1"/>
      <c r="I38" s="1"/>
      <c r="J38" s="1"/>
      <c r="K38" s="1"/>
      <c r="L38" s="1"/>
    </row>
    <row r="39" spans="1:26" ht="12.75" customHeight="1" thickTop="1" x14ac:dyDescent="0.25">
      <c r="A39" s="197" t="s">
        <v>261</v>
      </c>
      <c r="B39" s="171">
        <v>0</v>
      </c>
      <c r="C39" s="171">
        <v>0.05</v>
      </c>
      <c r="D39" s="171">
        <v>0.1</v>
      </c>
      <c r="E39" s="171">
        <v>0.15</v>
      </c>
      <c r="F39" s="171">
        <v>0.2</v>
      </c>
      <c r="G39" s="171">
        <v>0.25</v>
      </c>
      <c r="H39" s="171">
        <v>0.3</v>
      </c>
      <c r="I39" s="171">
        <v>0.35</v>
      </c>
      <c r="J39" s="171">
        <v>0.4</v>
      </c>
      <c r="K39" s="171">
        <v>0.45</v>
      </c>
      <c r="L39" s="171">
        <v>0.5</v>
      </c>
      <c r="M39" s="171">
        <v>0.55000000000000004</v>
      </c>
      <c r="N39" s="171">
        <v>0.6</v>
      </c>
      <c r="O39" s="171">
        <v>0.65</v>
      </c>
      <c r="P39" s="171">
        <v>0.7</v>
      </c>
      <c r="Q39" s="171">
        <v>0.75</v>
      </c>
      <c r="R39" s="171">
        <v>0.8</v>
      </c>
      <c r="S39" s="171">
        <v>0.85</v>
      </c>
      <c r="T39" s="171">
        <v>0.9</v>
      </c>
      <c r="U39" s="171">
        <v>0.95</v>
      </c>
      <c r="V39" s="171">
        <v>1</v>
      </c>
      <c r="W39" s="171"/>
      <c r="X39" s="198"/>
      <c r="Y39" s="171"/>
      <c r="Z39" s="172"/>
    </row>
    <row r="40" spans="1:26" ht="12.75" customHeight="1" x14ac:dyDescent="0.25">
      <c r="A40" s="174" t="s">
        <v>262</v>
      </c>
      <c r="B40" s="98">
        <v>0</v>
      </c>
      <c r="C40" s="199">
        <f>B40+0.5*(D40-B40)</f>
        <v>3.2377718147385937E-2</v>
      </c>
      <c r="D40" s="200">
        <f>'Installed Flow'!$T$19/W_max</f>
        <v>6.4755436294771873E-2</v>
      </c>
      <c r="E40" s="199">
        <f>D40+0.5*(F40-D40)</f>
        <v>0.11245166811949676</v>
      </c>
      <c r="F40" s="201">
        <f>'Installed Flow'!$W$19/W_max</f>
        <v>0.16014789994422166</v>
      </c>
      <c r="G40" s="199">
        <f>F40+0.5*(H40-F40)</f>
        <v>0.23603756600932391</v>
      </c>
      <c r="H40" s="201">
        <f>'Installed Flow'!$Z$19/W_max</f>
        <v>0.31192723207442619</v>
      </c>
      <c r="I40" s="199">
        <f>H40+0.5*(J40-H40)</f>
        <v>0.41246634202185467</v>
      </c>
      <c r="J40" s="201">
        <f>'Installed Flow'!$AC$19/W_max</f>
        <v>0.51300545196928315</v>
      </c>
      <c r="K40" s="199">
        <f>J40+0.5*(L40-J40)</f>
        <v>0.61626754634045999</v>
      </c>
      <c r="L40" s="201">
        <f>'Installed Flow'!$AF$19/W_max</f>
        <v>0.71952964071163683</v>
      </c>
      <c r="M40" s="199">
        <f>L40+0.5*(N40-L40)</f>
        <v>0.81657067808446082</v>
      </c>
      <c r="N40" s="201">
        <f>'Installed Flow'!$AI$19/W_max</f>
        <v>0.91361171545728492</v>
      </c>
      <c r="O40" s="199">
        <f>N40+0.5*(P40-N40)</f>
        <v>0.99244665137730181</v>
      </c>
      <c r="P40" s="201">
        <f>'Installed Flow'!$AL$19/W_max</f>
        <v>1.0712815872973187</v>
      </c>
      <c r="Q40" s="199">
        <f>P40+0.5*(R40-P40)</f>
        <v>1.1332382723051571</v>
      </c>
      <c r="R40" s="201">
        <f>'Installed Flow'!$AO$19/W_max</f>
        <v>1.1951949573129956</v>
      </c>
      <c r="S40" s="199">
        <f>R40+0.5*(T40-R40)</f>
        <v>1.2643180696405545</v>
      </c>
      <c r="T40" s="201">
        <f>'Installed Flow'!$AR$19/W_max</f>
        <v>1.3334411819681136</v>
      </c>
      <c r="U40" s="199">
        <f>T40+0.5*(V40-T40)</f>
        <v>1.3605127115116362</v>
      </c>
      <c r="V40" s="201">
        <f>'Installed Flow'!$AU$19/W_max</f>
        <v>1.3875842410551589</v>
      </c>
      <c r="W40" s="202">
        <f>IF(AND('Installed Flow'!M17="",'Installed Flow'!M18="",'Installed Flow'!M19=""),W_min/W_max,0)</f>
        <v>0.15960412601059382</v>
      </c>
      <c r="X40" s="98">
        <f>W40</f>
        <v>0.15960412601059382</v>
      </c>
      <c r="Y40" s="202">
        <f>IF(AND('[6]Installed Flow'!M17="",'[6]Installed Flow'!M18="",'[6]Installed Flow'!M19=""),1,0)</f>
        <v>1</v>
      </c>
      <c r="Z40" s="203">
        <f>Y40</f>
        <v>1</v>
      </c>
    </row>
    <row r="41" spans="1:26" ht="12.75" customHeight="1" x14ac:dyDescent="0.25">
      <c r="A41" s="162" t="s">
        <v>263</v>
      </c>
      <c r="B41" s="99"/>
      <c r="C41" s="207">
        <f>C44/C45</f>
        <v>0.64755436294771873</v>
      </c>
      <c r="D41" s="207">
        <f t="shared" ref="D41:U41" si="0">D44/D45</f>
        <v>0.80073949972110825</v>
      </c>
      <c r="E41" s="207">
        <f t="shared" si="0"/>
        <v>0.95392463649449777</v>
      </c>
      <c r="F41" s="207">
        <f t="shared" si="0"/>
        <v>1.2358589788982715</v>
      </c>
      <c r="G41" s="207">
        <f t="shared" si="0"/>
        <v>1.5177933213020451</v>
      </c>
      <c r="H41" s="207">
        <f t="shared" si="0"/>
        <v>1.7642877601253075</v>
      </c>
      <c r="I41" s="207">
        <f t="shared" si="0"/>
        <v>2.0107821989485695</v>
      </c>
      <c r="J41" s="207">
        <f t="shared" si="0"/>
        <v>2.0380120431860531</v>
      </c>
      <c r="K41" s="207">
        <f t="shared" si="0"/>
        <v>2.0652418874235368</v>
      </c>
      <c r="L41" s="207">
        <f t="shared" si="0"/>
        <v>2.0030313174400081</v>
      </c>
      <c r="M41" s="207">
        <f t="shared" si="0"/>
        <v>1.9408207474564809</v>
      </c>
      <c r="N41" s="207">
        <f t="shared" si="0"/>
        <v>1.7587597329284099</v>
      </c>
      <c r="O41" s="207">
        <f t="shared" si="0"/>
        <v>1.5766987184003378</v>
      </c>
      <c r="P41" s="207">
        <f t="shared" si="0"/>
        <v>1.4079162092785524</v>
      </c>
      <c r="Q41" s="207">
        <f t="shared" si="0"/>
        <v>1.2391337001567693</v>
      </c>
      <c r="R41" s="207">
        <f t="shared" si="0"/>
        <v>1.3107979733539743</v>
      </c>
      <c r="S41" s="207">
        <f t="shared" si="0"/>
        <v>1.3824622465511793</v>
      </c>
      <c r="T41" s="207">
        <f t="shared" si="0"/>
        <v>0.96194641871081732</v>
      </c>
      <c r="U41" s="207">
        <f t="shared" si="0"/>
        <v>0.54143059087045309</v>
      </c>
      <c r="V41" s="99"/>
      <c r="W41" s="99"/>
      <c r="X41" s="204"/>
      <c r="Y41" s="163"/>
      <c r="Z41" s="164"/>
    </row>
    <row r="42" spans="1:26" ht="12.75" customHeight="1" x14ac:dyDescent="0.25">
      <c r="A42" s="162" t="s">
        <v>244</v>
      </c>
      <c r="B42" s="99"/>
      <c r="C42" s="99"/>
      <c r="D42" s="99"/>
      <c r="E42" s="99"/>
      <c r="F42" s="99"/>
      <c r="G42" s="99"/>
      <c r="H42" s="99"/>
      <c r="I42" s="99"/>
      <c r="J42" s="99"/>
      <c r="K42" s="99"/>
      <c r="L42" s="99"/>
      <c r="M42" s="99"/>
      <c r="N42" s="99"/>
      <c r="O42" s="99"/>
      <c r="P42" s="99"/>
      <c r="Q42" s="99"/>
      <c r="R42" s="99"/>
      <c r="S42" s="99"/>
      <c r="T42" s="99"/>
      <c r="U42" s="99"/>
      <c r="V42" s="163"/>
      <c r="W42" s="163">
        <v>0</v>
      </c>
      <c r="X42" s="163">
        <v>4</v>
      </c>
      <c r="Y42" s="163"/>
      <c r="Z42" s="164"/>
    </row>
    <row r="43" spans="1:26" ht="12.75" customHeight="1" x14ac:dyDescent="0.25">
      <c r="A43" s="162" t="s">
        <v>245</v>
      </c>
      <c r="B43" s="99"/>
      <c r="C43" s="99"/>
      <c r="D43" s="99"/>
      <c r="E43" s="99"/>
      <c r="F43" s="99"/>
      <c r="G43" s="99"/>
      <c r="H43" s="99"/>
      <c r="I43" s="99"/>
      <c r="J43" s="99"/>
      <c r="K43" s="99"/>
      <c r="L43" s="99"/>
      <c r="M43" s="99"/>
      <c r="N43" s="99"/>
      <c r="O43" s="99"/>
      <c r="P43" s="99"/>
      <c r="Q43" s="99"/>
      <c r="R43" s="99"/>
      <c r="S43" s="99"/>
      <c r="T43" s="99"/>
      <c r="U43" s="99"/>
      <c r="V43" s="99"/>
      <c r="W43" s="99"/>
      <c r="X43" s="204"/>
      <c r="Y43" s="163">
        <v>0</v>
      </c>
      <c r="Z43" s="164">
        <v>4</v>
      </c>
    </row>
    <row r="44" spans="1:26" ht="12.75" customHeight="1" x14ac:dyDescent="0.25">
      <c r="A44" s="174" t="s">
        <v>264</v>
      </c>
      <c r="B44" s="99"/>
      <c r="C44" s="98">
        <f t="shared" ref="C44:U44" si="1">D40-B40</f>
        <v>6.4755436294771873E-2</v>
      </c>
      <c r="D44" s="202">
        <f t="shared" si="1"/>
        <v>8.0073949972110828E-2</v>
      </c>
      <c r="E44" s="202">
        <f t="shared" si="1"/>
        <v>9.5392463649449782E-2</v>
      </c>
      <c r="F44" s="202">
        <f t="shared" si="1"/>
        <v>0.12358589788982714</v>
      </c>
      <c r="G44" s="202">
        <f t="shared" si="1"/>
        <v>0.15177933213020453</v>
      </c>
      <c r="H44" s="202">
        <f t="shared" si="1"/>
        <v>0.17642877601253076</v>
      </c>
      <c r="I44" s="202">
        <f t="shared" si="1"/>
        <v>0.20107821989485697</v>
      </c>
      <c r="J44" s="202">
        <f t="shared" si="1"/>
        <v>0.20380120431860532</v>
      </c>
      <c r="K44" s="202">
        <f t="shared" si="1"/>
        <v>0.20652418874235368</v>
      </c>
      <c r="L44" s="202">
        <f t="shared" si="1"/>
        <v>0.20030313174400083</v>
      </c>
      <c r="M44" s="202">
        <f t="shared" si="1"/>
        <v>0.19408207474564809</v>
      </c>
      <c r="N44" s="202">
        <f t="shared" si="1"/>
        <v>0.17587597329284099</v>
      </c>
      <c r="O44" s="202">
        <f t="shared" si="1"/>
        <v>0.15766987184003378</v>
      </c>
      <c r="P44" s="202">
        <f t="shared" si="1"/>
        <v>0.14079162092785524</v>
      </c>
      <c r="Q44" s="202">
        <f t="shared" si="1"/>
        <v>0.12391337001567693</v>
      </c>
      <c r="R44" s="202">
        <f t="shared" si="1"/>
        <v>0.13107979733539743</v>
      </c>
      <c r="S44" s="202">
        <f t="shared" si="1"/>
        <v>0.13824622465511793</v>
      </c>
      <c r="T44" s="202">
        <f t="shared" si="1"/>
        <v>9.6194641871081732E-2</v>
      </c>
      <c r="U44" s="202">
        <f t="shared" si="1"/>
        <v>5.4143059087045309E-2</v>
      </c>
      <c r="V44" s="99"/>
      <c r="W44" s="99"/>
      <c r="X44" s="204"/>
      <c r="Y44" s="99"/>
      <c r="Z44" s="173"/>
    </row>
    <row r="45" spans="1:26" ht="12.75" customHeight="1" thickBot="1" x14ac:dyDescent="0.4">
      <c r="A45" s="175" t="s">
        <v>215</v>
      </c>
      <c r="B45" s="176"/>
      <c r="C45" s="191">
        <f>IF(AND('Installed Flow'!M17="",'Installed Flow'!M18="",'Installed Flow'!M19=""),0.1,0)</f>
        <v>0.1</v>
      </c>
      <c r="D45" s="205">
        <f t="shared" ref="D45:U45" si="2">$C45</f>
        <v>0.1</v>
      </c>
      <c r="E45" s="205">
        <f t="shared" si="2"/>
        <v>0.1</v>
      </c>
      <c r="F45" s="205">
        <f t="shared" si="2"/>
        <v>0.1</v>
      </c>
      <c r="G45" s="205">
        <f t="shared" si="2"/>
        <v>0.1</v>
      </c>
      <c r="H45" s="205">
        <f t="shared" si="2"/>
        <v>0.1</v>
      </c>
      <c r="I45" s="205">
        <f t="shared" si="2"/>
        <v>0.1</v>
      </c>
      <c r="J45" s="205">
        <f t="shared" si="2"/>
        <v>0.1</v>
      </c>
      <c r="K45" s="205">
        <f t="shared" si="2"/>
        <v>0.1</v>
      </c>
      <c r="L45" s="205">
        <f t="shared" si="2"/>
        <v>0.1</v>
      </c>
      <c r="M45" s="205">
        <f t="shared" si="2"/>
        <v>0.1</v>
      </c>
      <c r="N45" s="205">
        <f t="shared" si="2"/>
        <v>0.1</v>
      </c>
      <c r="O45" s="205">
        <f t="shared" si="2"/>
        <v>0.1</v>
      </c>
      <c r="P45" s="205">
        <f t="shared" si="2"/>
        <v>0.1</v>
      </c>
      <c r="Q45" s="205">
        <f t="shared" si="2"/>
        <v>0.1</v>
      </c>
      <c r="R45" s="205">
        <f t="shared" si="2"/>
        <v>0.1</v>
      </c>
      <c r="S45" s="205">
        <f t="shared" si="2"/>
        <v>0.1</v>
      </c>
      <c r="T45" s="205">
        <f t="shared" si="2"/>
        <v>0.1</v>
      </c>
      <c r="U45" s="205">
        <f t="shared" si="2"/>
        <v>0.1</v>
      </c>
      <c r="V45" s="176"/>
      <c r="W45" s="176"/>
      <c r="X45" s="206"/>
      <c r="Y45" s="176"/>
      <c r="Z45" s="177"/>
    </row>
    <row r="46" spans="1:26" ht="13" thickTop="1" x14ac:dyDescent="0.25">
      <c r="A46" s="1"/>
      <c r="B46" s="1"/>
      <c r="C46" s="1"/>
      <c r="D46" s="1"/>
      <c r="E46" s="1"/>
      <c r="F46" s="1"/>
      <c r="G46" s="1"/>
      <c r="H46" s="1"/>
      <c r="I46" s="1"/>
      <c r="J46" s="1"/>
      <c r="K46" s="1"/>
      <c r="L46" s="1"/>
    </row>
    <row r="47" spans="1:26" x14ac:dyDescent="0.25">
      <c r="A47" s="7"/>
      <c r="B47" s="1"/>
      <c r="C47" s="1"/>
      <c r="D47" s="1"/>
      <c r="E47" s="1"/>
      <c r="F47" s="1"/>
      <c r="G47" s="1"/>
      <c r="H47" s="1"/>
      <c r="I47" s="1"/>
      <c r="J47" s="1"/>
      <c r="K47" s="1"/>
      <c r="L47" s="1"/>
    </row>
    <row r="48" spans="1:26" x14ac:dyDescent="0.25">
      <c r="A48" s="100"/>
      <c r="B48" s="1"/>
      <c r="C48" s="1"/>
      <c r="D48" s="1"/>
      <c r="E48" s="1"/>
      <c r="F48" s="1"/>
      <c r="G48" s="1"/>
      <c r="H48" s="1"/>
      <c r="I48" s="1"/>
      <c r="J48" s="1"/>
      <c r="K48" s="1"/>
      <c r="L48" s="1"/>
    </row>
    <row r="49" spans="1:16" x14ac:dyDescent="0.25">
      <c r="A49" s="101"/>
      <c r="B49" s="1"/>
      <c r="C49" s="1"/>
      <c r="D49" s="1"/>
      <c r="E49" s="1"/>
      <c r="F49" s="1"/>
      <c r="G49" s="1"/>
      <c r="H49" s="1"/>
      <c r="I49" s="1"/>
      <c r="J49" s="1"/>
      <c r="K49" s="1"/>
      <c r="L49" s="1"/>
    </row>
    <row r="52" spans="1:16" x14ac:dyDescent="0.25">
      <c r="A52" s="208"/>
      <c r="B52" s="12"/>
      <c r="C52" s="12"/>
      <c r="D52" s="12"/>
      <c r="E52" s="12"/>
      <c r="F52" s="12"/>
      <c r="G52" s="12"/>
      <c r="H52" s="12"/>
      <c r="I52" s="20"/>
      <c r="J52" s="20"/>
      <c r="K52" s="20"/>
      <c r="L52" s="20"/>
      <c r="M52" s="12"/>
      <c r="N52" s="12"/>
      <c r="O52" s="12"/>
      <c r="P52" s="12"/>
    </row>
    <row r="53" spans="1:16" x14ac:dyDescent="0.25">
      <c r="A53" s="208"/>
      <c r="B53" s="209"/>
      <c r="C53" s="209"/>
      <c r="D53" s="209"/>
      <c r="E53" s="209"/>
      <c r="F53" s="209"/>
      <c r="G53" s="209"/>
      <c r="H53" s="209"/>
      <c r="I53" s="209"/>
      <c r="J53" s="209"/>
      <c r="K53" s="209"/>
      <c r="L53" s="209"/>
      <c r="M53" s="31"/>
      <c r="N53" s="12"/>
      <c r="O53" s="12"/>
      <c r="P53" s="12"/>
    </row>
    <row r="54" spans="1:16" x14ac:dyDescent="0.25">
      <c r="A54" s="210"/>
      <c r="B54" s="12"/>
      <c r="C54" s="12"/>
      <c r="D54" s="12"/>
      <c r="E54" s="12"/>
      <c r="F54" s="12"/>
      <c r="G54" s="12"/>
      <c r="H54" s="12"/>
      <c r="I54" s="12"/>
      <c r="J54" s="12"/>
      <c r="K54" s="12"/>
      <c r="L54" s="12"/>
      <c r="M54" s="12"/>
      <c r="N54" s="12"/>
      <c r="O54" s="12"/>
      <c r="P54" s="12"/>
    </row>
    <row r="55" spans="1:16" x14ac:dyDescent="0.25">
      <c r="A55" s="20"/>
      <c r="B55" s="12"/>
      <c r="C55" s="12"/>
      <c r="D55" s="12"/>
      <c r="E55" s="12"/>
      <c r="F55" s="12"/>
      <c r="G55" s="12"/>
      <c r="H55" s="12"/>
      <c r="I55" s="12"/>
      <c r="J55" s="12"/>
      <c r="K55" s="12"/>
      <c r="L55" s="209"/>
      <c r="M55" s="211"/>
      <c r="N55" s="211"/>
      <c r="O55" s="211"/>
      <c r="P55" s="211"/>
    </row>
    <row r="56" spans="1:16" x14ac:dyDescent="0.25">
      <c r="A56" s="20"/>
      <c r="B56" s="12"/>
      <c r="C56" s="12"/>
      <c r="D56" s="12"/>
      <c r="E56" s="12"/>
      <c r="F56" s="12"/>
      <c r="G56" s="12"/>
      <c r="H56" s="12"/>
      <c r="I56" s="12"/>
      <c r="J56" s="12"/>
      <c r="K56" s="12"/>
      <c r="L56" s="12"/>
      <c r="M56" s="211"/>
      <c r="N56" s="211"/>
      <c r="O56" s="211"/>
      <c r="P56" s="211"/>
    </row>
    <row r="57" spans="1:16" x14ac:dyDescent="0.25">
      <c r="A57" s="210"/>
      <c r="B57" s="12"/>
      <c r="C57" s="209"/>
      <c r="D57" s="209"/>
      <c r="E57" s="209"/>
      <c r="F57" s="209"/>
      <c r="G57" s="209"/>
      <c r="H57" s="209"/>
      <c r="I57" s="209"/>
      <c r="J57" s="209"/>
      <c r="K57" s="209"/>
      <c r="L57" s="209"/>
      <c r="M57" s="12"/>
      <c r="N57" s="12"/>
      <c r="O57" s="12"/>
      <c r="P57" s="12"/>
    </row>
    <row r="58" spans="1:16" ht="14.5" x14ac:dyDescent="0.35">
      <c r="A58" s="210"/>
      <c r="B58" s="12"/>
      <c r="C58" s="212"/>
      <c r="D58" s="12"/>
      <c r="E58" s="12"/>
      <c r="F58" s="12"/>
      <c r="G58" s="12"/>
      <c r="H58" s="12"/>
      <c r="I58" s="12"/>
      <c r="J58" s="12"/>
      <c r="K58" s="12"/>
      <c r="L58" s="12"/>
      <c r="M58" s="12"/>
      <c r="N58" s="12"/>
      <c r="O58" s="12"/>
      <c r="P58" s="12"/>
    </row>
  </sheetData>
  <sheetProtection password="8E81" sheet="1" objects="1" scenarios="1"/>
  <mergeCells count="2">
    <mergeCell ref="H11:I11"/>
    <mergeCell ref="H31:I31"/>
  </mergeCells>
  <pageMargins left="0.7" right="0.7" top="0.75" bottom="0.75" header="0.3" footer="0.3"/>
  <pageSetup scale="84"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10751F-7C66-46E0-9A07-1DD880E3CB9E}">
  <dimension ref="B4:R24"/>
  <sheetViews>
    <sheetView zoomScale="90" zoomScaleNormal="90" workbookViewId="0"/>
  </sheetViews>
  <sheetFormatPr defaultRowHeight="12.5" x14ac:dyDescent="0.25"/>
  <cols>
    <col min="2" max="2" width="21.26953125" customWidth="1"/>
    <col min="7" max="7" width="12.453125" customWidth="1"/>
    <col min="13" max="13" width="41.6328125" customWidth="1"/>
    <col min="14" max="14" width="27.6328125" customWidth="1"/>
    <col min="15" max="18" width="9.90625" customWidth="1"/>
  </cols>
  <sheetData>
    <row r="4" spans="2:18" ht="20" x14ac:dyDescent="0.5">
      <c r="B4" s="294" t="s">
        <v>298</v>
      </c>
      <c r="H4" s="7" t="s">
        <v>293</v>
      </c>
      <c r="I4" s="1"/>
      <c r="M4" s="7"/>
      <c r="N4" s="196" t="s">
        <v>285</v>
      </c>
      <c r="O4" s="7"/>
    </row>
    <row r="5" spans="2:18" x14ac:dyDescent="0.25">
      <c r="B5" s="7" t="s">
        <v>299</v>
      </c>
      <c r="H5" s="7" t="s">
        <v>294</v>
      </c>
      <c r="I5" s="1"/>
      <c r="M5" s="7"/>
      <c r="N5" s="7"/>
      <c r="O5" s="7"/>
    </row>
    <row r="6" spans="2:18" ht="15.5" x14ac:dyDescent="0.4">
      <c r="H6" s="7" t="s">
        <v>295</v>
      </c>
      <c r="I6" s="1"/>
      <c r="M6" s="2" t="s">
        <v>0</v>
      </c>
      <c r="N6" s="2" t="s">
        <v>2</v>
      </c>
      <c r="O6" s="4" t="s">
        <v>3</v>
      </c>
    </row>
    <row r="7" spans="2:18" ht="14.5" thickBot="1" x14ac:dyDescent="0.35">
      <c r="B7" s="295" t="s">
        <v>4</v>
      </c>
      <c r="C7" s="9">
        <f>W</f>
        <v>1145</v>
      </c>
      <c r="D7" s="9">
        <f>'Valve Sizing'!E4</f>
        <v>2060</v>
      </c>
      <c r="E7" s="9">
        <f>'Valve Sizing'!F4</f>
        <v>4960</v>
      </c>
      <c r="F7" s="9">
        <f>'Valve Sizing'!G4</f>
        <v>7174</v>
      </c>
      <c r="H7" s="9" t="s">
        <v>296</v>
      </c>
      <c r="I7" s="9" t="s">
        <v>297</v>
      </c>
      <c r="M7" s="5" t="s">
        <v>286</v>
      </c>
      <c r="N7" s="5" t="s">
        <v>286</v>
      </c>
      <c r="O7" s="6"/>
      <c r="P7" s="292"/>
      <c r="Q7" s="292"/>
      <c r="R7" s="292"/>
    </row>
    <row r="8" spans="2:18" ht="18" thickTop="1" thickBot="1" x14ac:dyDescent="0.5">
      <c r="B8" s="296" t="s">
        <v>83</v>
      </c>
      <c r="C8" s="343" t="s">
        <v>300</v>
      </c>
      <c r="D8" s="344"/>
      <c r="E8" s="344"/>
      <c r="F8" s="344"/>
      <c r="H8" s="293" t="s">
        <v>4</v>
      </c>
      <c r="I8" s="293" t="s">
        <v>4</v>
      </c>
    </row>
    <row r="9" spans="2:18" x14ac:dyDescent="0.25">
      <c r="B9" s="1"/>
      <c r="C9" s="1"/>
      <c r="D9" s="1"/>
      <c r="E9" s="1"/>
      <c r="F9" s="1"/>
      <c r="H9" s="1"/>
      <c r="I9" s="1"/>
      <c r="M9" s="7" t="s">
        <v>287</v>
      </c>
      <c r="N9" s="213" t="s">
        <v>288</v>
      </c>
      <c r="O9" s="291">
        <f>C_v/d_in^2</f>
        <v>1.2458148032911796</v>
      </c>
      <c r="P9">
        <f>'Valve Sizing'!T397/d_in^2</f>
        <v>2.4999555987092794</v>
      </c>
      <c r="Q9" s="1">
        <f>'Valve Sizing'!U397/d_in^2</f>
        <v>6.6188724590203734</v>
      </c>
      <c r="R9" s="1">
        <f>'Valve Sizing'!V397/d_in^2</f>
        <v>11.428390311938145</v>
      </c>
    </row>
    <row r="10" spans="2:18" ht="14" x14ac:dyDescent="0.3">
      <c r="B10" s="297" t="s">
        <v>301</v>
      </c>
      <c r="C10" s="299">
        <f>IFERROR(IF(Cv_over_d_Sq&lt;0.801,0.74,IF(Cv_over_d_Sq&gt;5.838,0.7,-0.000258*Cv_over_d_Sq^4+0.002423*Cv_over_d_Sq^3-0.005909*Cv_over_d_Sq^2-0.00442*Cv_over_d_Sq+0.744951)),"")</f>
        <v>0.73433696526060799</v>
      </c>
      <c r="D10" s="310">
        <f>IFERROR(IF(P9&lt;0.801,0.74,IF(P9&gt;5.838,0.7,-0.000258*P9^4+0.002423*P9^3-0.005909*P9^2-0.00442*P9+0.744951)),"")</f>
        <v>0.72475120685961636</v>
      </c>
      <c r="E10" s="310">
        <f t="shared" ref="E10:F10" si="0">IFERROR(IF(Q9&lt;0.801,0.74,IF(Q9&gt;5.838,0.7,-0.000258*Q9^4+0.002423*Q9^3-0.005909*Q9^2-0.00442*Q9+0.744951)),"")</f>
        <v>0.7</v>
      </c>
      <c r="F10" s="310">
        <f t="shared" si="0"/>
        <v>0.7</v>
      </c>
      <c r="H10" s="291">
        <v>0.79</v>
      </c>
      <c r="I10" s="291">
        <v>0.71</v>
      </c>
    </row>
    <row r="11" spans="2:18" ht="14" x14ac:dyDescent="0.3">
      <c r="B11" s="297"/>
      <c r="C11" s="321"/>
      <c r="D11" s="321"/>
      <c r="E11" s="321"/>
      <c r="F11" s="321"/>
      <c r="H11" s="291"/>
      <c r="I11" s="291"/>
      <c r="M11" s="7" t="s">
        <v>291</v>
      </c>
    </row>
    <row r="12" spans="2:18" ht="14" x14ac:dyDescent="0.3">
      <c r="B12" s="297" t="s">
        <v>302</v>
      </c>
      <c r="C12" s="310">
        <f>IFERROR(IF(Cv_over_d_Sq&lt;=0.011,0.64,IF(Cv_over_d_Sq&gt;2.02,0.6,-0.01502*Cv_over_d_Sq^3+0.0571*Cv_over_d_Sq^2-0.07493*Cv_over_d_Sq+0.64234)),"")</f>
        <v>0.60857115114086524</v>
      </c>
      <c r="D12" s="300">
        <f>IFERROR(IF(P9&lt;=0.011,0.64,IF(P9&gt;2.02,0.6,-0.01502*P9^3+0.0571*P9^2-0.07493*P9+0.64234)),"")</f>
        <v>0.6</v>
      </c>
      <c r="E12" s="300">
        <f t="shared" ref="E12:F12" si="1">IFERROR(IF(Q9&lt;=0.011,0.64,IF(Q9&gt;2.02,0.6,-0.01502*Q9^3+0.0571*Q9^2-0.07493*Q9+0.64234)),"")</f>
        <v>0.6</v>
      </c>
      <c r="F12" s="300">
        <f t="shared" si="1"/>
        <v>0.6</v>
      </c>
      <c r="H12" s="291">
        <v>0.77</v>
      </c>
      <c r="I12" s="291">
        <v>0.65</v>
      </c>
      <c r="M12" s="1" t="s">
        <v>289</v>
      </c>
    </row>
    <row r="13" spans="2:18" ht="14" x14ac:dyDescent="0.3">
      <c r="B13" s="297"/>
      <c r="C13" s="321"/>
      <c r="D13" s="321"/>
      <c r="E13" s="321"/>
      <c r="F13" s="321"/>
      <c r="H13" s="291"/>
      <c r="I13" s="291"/>
      <c r="M13" s="7" t="s">
        <v>292</v>
      </c>
    </row>
    <row r="14" spans="2:18" ht="18" customHeight="1" x14ac:dyDescent="0.3">
      <c r="B14" s="297" t="s">
        <v>86</v>
      </c>
      <c r="C14" s="310">
        <f>IFERROR(IF(Cv_over_d_Sq&lt;4.53,0.62,IF(Cv_over_d_Sq&gt;15,0.399,0.6213-0.002517*Cv_over_d_Sq+0.0014569*Cv_over_d_Sq^2-0.00026659*Cv_over_d_Sq^3+0.0000076526*Cv_over_d_Sq^4)),"")</f>
        <v>0.62</v>
      </c>
      <c r="D14" s="310">
        <f>IFERROR(IF(P9&lt;4.53,0.62,IF(P9&gt;15,0.399,0.6213-0.002517*P9+0.0014569*P9^2-0.00026659*P9^3+0.0000076526*P9^4)),"")</f>
        <v>0.62</v>
      </c>
      <c r="E14" s="310">
        <f>IFERROR(IF(Q9&lt;4.53,0.62,IF(Q9&gt;15,0.399,0.6213-0.002517*Q9+0.0014569*Q9^2-0.00026659*Q9^3+0.0000076526*Q9^4)),"")</f>
        <v>0.60585080462920737</v>
      </c>
      <c r="F14" s="310">
        <f>IFERROR(IF(R9&lt;4.53,0.62,IF(R9&gt;15,0.399,0.6213-0.002517*R9+0.0014569*R9^2-0.00026659*R9^3+0.0000076526*R9^4)),"")</f>
        <v>0.51543638687392934</v>
      </c>
      <c r="H14" s="291">
        <v>0.62</v>
      </c>
      <c r="I14" s="291">
        <v>0.52</v>
      </c>
      <c r="M14" s="7" t="s">
        <v>290</v>
      </c>
    </row>
    <row r="15" spans="2:18" ht="14" x14ac:dyDescent="0.3">
      <c r="B15" s="297"/>
      <c r="C15" s="321"/>
      <c r="D15" s="321"/>
      <c r="E15" s="321"/>
      <c r="F15" s="321"/>
      <c r="H15" s="291"/>
      <c r="I15" s="291"/>
    </row>
    <row r="16" spans="2:18" ht="14" x14ac:dyDescent="0.3">
      <c r="B16" s="298" t="s">
        <v>87</v>
      </c>
      <c r="C16" s="310">
        <f>IFERROR(IF(Cv_over_d_Sq&lt;1.45,0.64,IF(Cv_over_d_Sq&gt;48.9,0.16,IF(Cv_over_d_Sq&lt;=15.07,0.64307-0.0039208*Cv_over_d_Sq+0.00041546*Cv_over_d_Sq^2-0.00015826*Cv_over_d_Sq^3+0.0000068447*Cv_over_d_Sq^4,-0.0085*x+0.5791))),"")</f>
        <v>0.64</v>
      </c>
      <c r="D16" s="310">
        <f>IFERROR(IF(P9&lt;1.45,0.64,IF(P9&gt;48.9,0.16,IF(P9&lt;=15.07,0.64307-0.0039208*P9+0.00041546*P9^2-0.00015826*P9^3+0.0000068447*P9^4,-0.0085*P9+0.5791))),"")</f>
        <v>0.63365937820719997</v>
      </c>
      <c r="E16" s="310">
        <f t="shared" ref="E16:F16" si="2">IFERROR(IF(Q9&lt;1.45,0.64,IF(Q9&gt;48.9,0.16,IF(Q9&lt;=15.07,0.64307-0.0039208*Q9+0.00041546*Q9^2-0.00015826*Q9^3+0.0000068447*Q9^4,-0.0085*Q9+0.5791))),"")</f>
        <v>0.60256609170116371</v>
      </c>
      <c r="F16" s="310">
        <f t="shared" si="2"/>
        <v>0.53305889877030066</v>
      </c>
      <c r="H16" s="291">
        <v>0.64</v>
      </c>
      <c r="I16" s="291">
        <v>0.4</v>
      </c>
    </row>
    <row r="17" spans="2:13" ht="14" x14ac:dyDescent="0.3">
      <c r="B17" s="297"/>
      <c r="C17" s="321"/>
      <c r="D17" s="321"/>
      <c r="E17" s="321"/>
      <c r="F17" s="321"/>
      <c r="H17" s="291"/>
      <c r="I17" s="291"/>
    </row>
    <row r="18" spans="2:13" ht="14" x14ac:dyDescent="0.3">
      <c r="B18" s="297" t="s">
        <v>88</v>
      </c>
      <c r="C18" s="310">
        <f>IFERROR(IF(Cv_over_d_Sq&lt;2.43,0.693,IF(Cv_over_d_Sq&gt;47.01,0.15,IF(Cv_over_d_Sq&lt;20.3,0.73141-0.01581*Cv_over_d_Sq,IF(Cv_over_d_Sq&lt;29.6,0.4964-0.0043*Cv_over_d_Sq,0.74428-0.01265*Cv_over_d_Sq)))),"")</f>
        <v>0.69299999999999995</v>
      </c>
      <c r="D18" s="317">
        <f>IFERROR(IF(P9&lt;2.43,0.693,IF(P9&gt;47.01,0.15,IF(P9&lt;20.3,0.73141-0.01581*P9,IF(P9&lt;29.6,0.4964-0.0043*P9,0.74428-0.01265*P9)))),"")</f>
        <v>0.69188570198440624</v>
      </c>
      <c r="E18" s="317">
        <f t="shared" ref="E18:F18" si="3">IFERROR(IF(Q9&lt;2.43,0.693,IF(Q9&gt;47.01,0.15,IF(Q9&lt;20.3,0.73141-0.01581*Q9,IF(Q9&lt;29.6,0.4964-0.0043*Q9,0.74428-0.01265*Q9)))),"")</f>
        <v>0.62676562642288791</v>
      </c>
      <c r="F18" s="317">
        <f t="shared" si="3"/>
        <v>0.55072714916825793</v>
      </c>
      <c r="H18" s="291">
        <v>0.68</v>
      </c>
      <c r="I18" s="291">
        <v>0.37</v>
      </c>
      <c r="M18" s="305"/>
    </row>
    <row r="19" spans="2:13" ht="14" x14ac:dyDescent="0.3">
      <c r="B19" s="297"/>
      <c r="C19" s="321"/>
      <c r="D19" s="321"/>
      <c r="E19" s="321"/>
      <c r="F19" s="321"/>
      <c r="H19" s="291"/>
      <c r="I19" s="291"/>
    </row>
    <row r="20" spans="2:13" ht="14" x14ac:dyDescent="0.3">
      <c r="B20" s="297" t="s">
        <v>89</v>
      </c>
      <c r="C20" s="310">
        <f>IFERROR(IF(Cv_over_d_Sq&lt;2.2,0.82,IF(Cv_over_d_Sq&gt;156,0.05,IF(Cv_over_d_Sq&lt;66.67,0.8854-0.03093788*Cv_over_d_Sq+0.0004934683*Cv_over_d_Sq^2-0.000002920251*Cv_over_d_Sq^3,-0.0014*Cv_over_d_Sq+0.2684))),"")</f>
        <v>0.82</v>
      </c>
      <c r="D20" s="310">
        <f>IFERROR(IF(P9&lt;2.2,0.82,IF(P9&gt;156,0.05,IF(P9&lt;66.67,0.8854-0.03093788*P9+0.0004934683*P9^2-0.000002920251*P9^3,-0.0014*P9+0.2684))),"")</f>
        <v>0.81109511451389116</v>
      </c>
      <c r="E20" s="310">
        <f t="shared" ref="E20:F20" si="4">IFERROR(IF(Q9&lt;2.2,0.82,IF(Q9&gt;156,0.05,IF(Q9&lt;66.67,0.8854-0.03093788*Q9+0.0004934683*Q9^2-0.000002920251*Q9^3,-0.0014*Q9+0.2684))),"")</f>
        <v>0.70139792093671094</v>
      </c>
      <c r="F20" s="310">
        <f t="shared" si="4"/>
        <v>0.59192190690667745</v>
      </c>
      <c r="H20" s="291">
        <v>0.82</v>
      </c>
      <c r="I20" s="291">
        <v>0.3</v>
      </c>
    </row>
    <row r="22" spans="2:13" x14ac:dyDescent="0.25">
      <c r="B22" s="320"/>
    </row>
    <row r="24" spans="2:13" x14ac:dyDescent="0.25">
      <c r="B24" s="1"/>
    </row>
  </sheetData>
  <sheetProtection sheet="1" objects="1" scenarios="1"/>
  <mergeCells count="1">
    <mergeCell ref="C8:F8"/>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8F74C1-5BBB-463B-96CD-A012FD937F95}">
  <dimension ref="A1:O44"/>
  <sheetViews>
    <sheetView zoomScale="90" zoomScaleNormal="90" workbookViewId="0">
      <selection sqref="A1:J2"/>
    </sheetView>
  </sheetViews>
  <sheetFormatPr defaultRowHeight="12.5" x14ac:dyDescent="0.25"/>
  <cols>
    <col min="2" max="2" width="19.6328125" customWidth="1"/>
    <col min="3" max="3" width="23.6328125" customWidth="1"/>
    <col min="4" max="4" width="6.54296875" customWidth="1"/>
    <col min="5" max="8" width="11.36328125" customWidth="1"/>
  </cols>
  <sheetData>
    <row r="1" spans="1:15" x14ac:dyDescent="0.25">
      <c r="A1" s="345" t="s">
        <v>328</v>
      </c>
      <c r="B1" s="345"/>
      <c r="C1" s="345"/>
      <c r="D1" s="345"/>
      <c r="E1" s="345"/>
      <c r="F1" s="345"/>
      <c r="G1" s="345"/>
      <c r="H1" s="345"/>
      <c r="I1" s="345"/>
      <c r="J1" s="345"/>
    </row>
    <row r="2" spans="1:15" ht="19.5" customHeight="1" x14ac:dyDescent="0.25">
      <c r="A2" s="345"/>
      <c r="B2" s="345"/>
      <c r="C2" s="345"/>
      <c r="D2" s="345"/>
      <c r="E2" s="345"/>
      <c r="F2" s="345"/>
      <c r="G2" s="345"/>
      <c r="H2" s="345"/>
      <c r="I2" s="345"/>
      <c r="J2" s="345"/>
    </row>
    <row r="4" spans="1:15" ht="15.5" x14ac:dyDescent="0.35">
      <c r="A4" s="287" t="s">
        <v>303</v>
      </c>
      <c r="B4" s="1"/>
      <c r="C4" s="1"/>
      <c r="D4" s="1"/>
      <c r="E4" s="301" t="s">
        <v>304</v>
      </c>
      <c r="F4" s="301" t="s">
        <v>305</v>
      </c>
      <c r="G4" s="301" t="s">
        <v>306</v>
      </c>
      <c r="H4" s="301" t="s">
        <v>307</v>
      </c>
      <c r="K4" s="196" t="s">
        <v>162</v>
      </c>
    </row>
    <row r="5" spans="1:15" x14ac:dyDescent="0.25">
      <c r="J5" s="7" t="s">
        <v>319</v>
      </c>
    </row>
    <row r="6" spans="1:15" x14ac:dyDescent="0.25">
      <c r="C6" s="1" t="s">
        <v>308</v>
      </c>
      <c r="D6" s="1" t="s">
        <v>309</v>
      </c>
      <c r="E6" s="303">
        <v>1</v>
      </c>
      <c r="F6" s="302" t="s">
        <v>22</v>
      </c>
      <c r="G6" s="302" t="s">
        <v>22</v>
      </c>
      <c r="H6" s="302" t="s">
        <v>22</v>
      </c>
      <c r="J6" s="7" t="s">
        <v>320</v>
      </c>
    </row>
    <row r="7" spans="1:15" x14ac:dyDescent="0.25">
      <c r="C7" s="1" t="s">
        <v>310</v>
      </c>
      <c r="D7" s="1"/>
      <c r="E7" s="317">
        <f>IF(G_=0,"",G_*28.97)</f>
        <v>28.97</v>
      </c>
      <c r="F7" s="302" t="s">
        <v>22</v>
      </c>
      <c r="G7" s="302" t="s">
        <v>22</v>
      </c>
      <c r="H7" s="302" t="s">
        <v>22</v>
      </c>
      <c r="J7" t="s">
        <v>316</v>
      </c>
      <c r="K7" t="s">
        <v>315</v>
      </c>
      <c r="L7">
        <f>IF('Valve Sizing'!$B1=1,P_1*6894.7573,IF(OR('Valve Sizing'!$B1=2,'Valve Sizing'!$B1=4),P_1*100000,IF(OR('Valve Sizing'!$B1=3,'Valve Sizing'!$B1=5),P_1*1000,"ERR")))</f>
        <v>689475.73</v>
      </c>
      <c r="M7" s="1">
        <f>IF('Valve Sizing'!$B1=1,'Valve Sizing'!E5*6894.7573,IF(OR('Valve Sizing'!$B1=2,'Valve Sizing'!$B1=4),'Valve Sizing'!E5*100000,IF(OR('Valve Sizing'!$B1=3,'Valve Sizing'!$B1=5),'Valve Sizing'!E5*1000,"ERR")))</f>
        <v>616391.30262000009</v>
      </c>
      <c r="N7" s="1">
        <f>IF('Valve Sizing'!$B1=1,'Valve Sizing'!F5*6894.7573,IF(OR('Valve Sizing'!$B1=2,'Valve Sizing'!$B1=4),'Valve Sizing'!F5*100000,IF(OR('Valve Sizing'!$B1=3,'Valve Sizing'!$B1=5),'Valve Sizing'!F5*1000,"ERR")))</f>
        <v>588812.2734200001</v>
      </c>
      <c r="O7" s="1">
        <f>IF('Valve Sizing'!$B1=1,'Valve Sizing'!G5*6894.7573,IF(OR('Valve Sizing'!$B1=2,'Valve Sizing'!$B1=4),'Valve Sizing'!G5*100000,IF(OR('Valve Sizing'!$B1=3,'Valve Sizing'!$B1=5),'Valve Sizing'!G5*1000,"ERR")))</f>
        <v>551580.58400000003</v>
      </c>
    </row>
    <row r="8" spans="1:15" x14ac:dyDescent="0.25">
      <c r="J8" t="s">
        <v>317</v>
      </c>
      <c r="K8" t="s">
        <v>314</v>
      </c>
      <c r="L8">
        <f>IF('Valve Sizing'!$B1=1,(T_abs)/1.8,T_abs)</f>
        <v>310.92777777777781</v>
      </c>
      <c r="M8" s="1">
        <f>IF('Valve Sizing'!$B1=1,('Valve Sizing'!T6)/1.8,'Valve Sizing'!T6)</f>
        <v>310.92777777777781</v>
      </c>
      <c r="N8" s="1">
        <f>IF('Valve Sizing'!$B1=1,('Valve Sizing'!U6)/1.8,'Valve Sizing'!U6)</f>
        <v>310.92777777777781</v>
      </c>
      <c r="O8" s="1">
        <f>IF('Valve Sizing'!$B1=1,('Valve Sizing'!V6)/1.8,'Valve Sizing'!V6)</f>
        <v>310.92777777777781</v>
      </c>
    </row>
    <row r="9" spans="1:15" ht="15.5" x14ac:dyDescent="0.35">
      <c r="A9" s="287" t="s">
        <v>321</v>
      </c>
    </row>
    <row r="11" spans="1:15" ht="15.5" x14ac:dyDescent="0.35">
      <c r="C11" s="7" t="s">
        <v>322</v>
      </c>
      <c r="D11" s="1" t="s">
        <v>311</v>
      </c>
      <c r="E11" s="303">
        <v>1</v>
      </c>
      <c r="F11" s="303">
        <v>1</v>
      </c>
      <c r="G11" s="303">
        <v>1</v>
      </c>
      <c r="H11" s="303">
        <v>1</v>
      </c>
    </row>
    <row r="12" spans="1:15" ht="14.5" x14ac:dyDescent="0.25">
      <c r="C12" s="7" t="s">
        <v>312</v>
      </c>
      <c r="D12" s="1"/>
      <c r="E12" s="318">
        <f>IFERROR(P_1..L*M/(8314*T_1..L*Z_),"")</f>
        <v>7.7267691189710535</v>
      </c>
      <c r="F12" s="318">
        <f>IFERROR(M7*M/(8314*M8*F11),"")</f>
        <v>6.9077315923601228</v>
      </c>
      <c r="G12" s="318">
        <f>IFERROR(N7*M/(8314*N8*G11),"")</f>
        <v>6.5986608276012806</v>
      </c>
      <c r="H12" s="318">
        <f>IFERROR(O7*M/(8314*O8*H11),"")</f>
        <v>6.1814152951768433</v>
      </c>
    </row>
    <row r="13" spans="1:15" ht="14.5" x14ac:dyDescent="0.25">
      <c r="C13" s="1" t="s">
        <v>313</v>
      </c>
      <c r="D13" s="1"/>
      <c r="E13" s="319">
        <f>IFERROR(E12*0.06243,"")</f>
        <v>0.48238219609736288</v>
      </c>
      <c r="F13" s="319">
        <f t="shared" ref="F13:H13" si="0">IFERROR(F12*0.06243,"")</f>
        <v>0.43124968331104246</v>
      </c>
      <c r="G13" s="319">
        <f t="shared" si="0"/>
        <v>0.41195439546714796</v>
      </c>
      <c r="H13" s="319">
        <f t="shared" si="0"/>
        <v>0.3859057568778903</v>
      </c>
    </row>
    <row r="15" spans="1:15" ht="15.5" x14ac:dyDescent="0.35">
      <c r="A15" s="287" t="s">
        <v>325</v>
      </c>
      <c r="B15" s="1"/>
      <c r="C15" s="1"/>
    </row>
    <row r="16" spans="1:15" x14ac:dyDescent="0.25">
      <c r="A16" s="1"/>
      <c r="B16" s="1"/>
      <c r="C16" s="1"/>
    </row>
    <row r="17" spans="1:8" ht="15.5" x14ac:dyDescent="0.35">
      <c r="A17" s="1"/>
      <c r="B17" s="1"/>
      <c r="C17" s="7" t="s">
        <v>322</v>
      </c>
      <c r="E17" s="312">
        <v>1</v>
      </c>
      <c r="F17" s="314"/>
      <c r="G17" s="314"/>
      <c r="H17" s="314"/>
    </row>
    <row r="18" spans="1:8" ht="13" customHeight="1" x14ac:dyDescent="0.25">
      <c r="A18" s="1"/>
      <c r="B18" s="1"/>
      <c r="C18" s="7" t="s">
        <v>318</v>
      </c>
      <c r="E18" s="310">
        <f>IF('Valve Sizing'!$B1=1,RHO*16.01846,RHO)*8314*T_1..L*E17/P_1..L</f>
        <v>28.970940302466008</v>
      </c>
      <c r="F18" s="316"/>
      <c r="G18" s="315"/>
      <c r="H18" s="315"/>
    </row>
    <row r="19" spans="1:8" x14ac:dyDescent="0.25">
      <c r="A19" s="1"/>
      <c r="B19" s="1"/>
      <c r="C19" s="1"/>
    </row>
    <row r="20" spans="1:8" x14ac:dyDescent="0.25">
      <c r="A20" s="1"/>
      <c r="B20" s="1"/>
      <c r="C20" s="1"/>
      <c r="E20" s="306" t="s">
        <v>80</v>
      </c>
    </row>
    <row r="21" spans="1:8" x14ac:dyDescent="0.25">
      <c r="A21" s="1"/>
      <c r="B21" s="1"/>
      <c r="C21" s="1"/>
      <c r="E21" s="307" t="s">
        <v>81</v>
      </c>
    </row>
    <row r="22" spans="1:8" x14ac:dyDescent="0.25">
      <c r="A22" s="1"/>
      <c r="C22" s="1"/>
    </row>
    <row r="23" spans="1:8" ht="15.5" x14ac:dyDescent="0.35">
      <c r="B23" s="305" t="s">
        <v>326</v>
      </c>
    </row>
    <row r="24" spans="1:8" x14ac:dyDescent="0.25">
      <c r="B24" s="305" t="s">
        <v>327</v>
      </c>
    </row>
    <row r="25" spans="1:8" x14ac:dyDescent="0.25">
      <c r="B25" s="305"/>
    </row>
    <row r="26" spans="1:8" x14ac:dyDescent="0.25">
      <c r="B26" s="305"/>
    </row>
    <row r="43" spans="5:8" x14ac:dyDescent="0.25">
      <c r="E43" s="1"/>
      <c r="F43" s="1"/>
      <c r="G43" s="1"/>
      <c r="H43" s="1"/>
    </row>
    <row r="44" spans="5:8" x14ac:dyDescent="0.25">
      <c r="E44" s="1"/>
      <c r="F44" s="1"/>
      <c r="G44" s="1"/>
      <c r="H44" s="1"/>
    </row>
  </sheetData>
  <sheetProtection sheet="1" objects="1" scenarios="1"/>
  <mergeCells count="1">
    <mergeCell ref="A1:J2"/>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160</vt:i4>
      </vt:variant>
    </vt:vector>
  </HeadingPairs>
  <TitlesOfParts>
    <vt:vector size="165" baseType="lpstr">
      <vt:lpstr>Valve Sizing</vt:lpstr>
      <vt:lpstr>Installed Flow</vt:lpstr>
      <vt:lpstr>Installed Gain</vt:lpstr>
      <vt:lpstr>Typical xT</vt:lpstr>
      <vt:lpstr>Density</vt:lpstr>
      <vt:lpstr>A</vt:lpstr>
      <vt:lpstr>ALPHA</vt:lpstr>
      <vt:lpstr>C_</vt:lpstr>
      <vt:lpstr>C_100</vt:lpstr>
      <vt:lpstr>C_100_Pct</vt:lpstr>
      <vt:lpstr>'Installed Flow'!C_Ch</vt:lpstr>
      <vt:lpstr>C_Ch</vt:lpstr>
      <vt:lpstr>C_Ch_W_Reducers</vt:lpstr>
      <vt:lpstr>C_h</vt:lpstr>
      <vt:lpstr>'Installed Flow'!C_i</vt:lpstr>
      <vt:lpstr>C_i</vt:lpstr>
      <vt:lpstr>C_N_Ch</vt:lpstr>
      <vt:lpstr>C_NonCh</vt:lpstr>
      <vt:lpstr>C_NonCh_W_Reducers</vt:lpstr>
      <vt:lpstr>C_o</vt:lpstr>
      <vt:lpstr>C_v</vt:lpstr>
      <vt:lpstr>Calc_Flow_From_Final__Calc_C</vt:lpstr>
      <vt:lpstr>CH_x</vt:lpstr>
      <vt:lpstr>'Installed Flow'!CH_x_W_Reducers</vt:lpstr>
      <vt:lpstr>CH_x_W_Reducers</vt:lpstr>
      <vt:lpstr>Cv_over_d_Sq</vt:lpstr>
      <vt:lpstr>d</vt:lpstr>
      <vt:lpstr>D_1</vt:lpstr>
      <vt:lpstr>D_2</vt:lpstr>
      <vt:lpstr>d_in</vt:lpstr>
      <vt:lpstr>D_j</vt:lpstr>
      <vt:lpstr>Data_Input</vt:lpstr>
      <vt:lpstr>DATA1</vt:lpstr>
      <vt:lpstr>DATA2</vt:lpstr>
      <vt:lpstr>DATA3</vt:lpstr>
      <vt:lpstr>DATA4</vt:lpstr>
      <vt:lpstr>DELTA_P</vt:lpstr>
      <vt:lpstr>DELTA_P_maxW</vt:lpstr>
      <vt:lpstr>DELTA_P_minW</vt:lpstr>
      <vt:lpstr>DELTA_P_Wi</vt:lpstr>
      <vt:lpstr>DeltaLg</vt:lpstr>
      <vt:lpstr>DeltaLg_0</vt:lpstr>
      <vt:lpstr>DeltaLg_1</vt:lpstr>
      <vt:lpstr>DeltaLg_2</vt:lpstr>
      <vt:lpstr>DeltaLg_3</vt:lpstr>
      <vt:lpstr>DeltaLg_4</vt:lpstr>
      <vt:lpstr>DeltaLg_5</vt:lpstr>
      <vt:lpstr>DeltaLp</vt:lpstr>
      <vt:lpstr>DeltaLp2</vt:lpstr>
      <vt:lpstr>dp_dn</vt:lpstr>
      <vt:lpstr>dp_up</vt:lpstr>
      <vt:lpstr>dpdn_minQ</vt:lpstr>
      <vt:lpstr>dpdn_minW</vt:lpstr>
      <vt:lpstr>dpup_minQ</vt:lpstr>
      <vt:lpstr>dpup_minW</vt:lpstr>
      <vt:lpstr>ETA_m</vt:lpstr>
      <vt:lpstr>ETA_m1</vt:lpstr>
      <vt:lpstr>ETA_m23</vt:lpstr>
      <vt:lpstr>ETA_m4</vt:lpstr>
      <vt:lpstr>ETA_m5</vt:lpstr>
      <vt:lpstr>F_GAMMA</vt:lpstr>
      <vt:lpstr>f_o</vt:lpstr>
      <vt:lpstr>F_P</vt:lpstr>
      <vt:lpstr>F_P_100</vt:lpstr>
      <vt:lpstr>F_P_h</vt:lpstr>
      <vt:lpstr>f_p_selected</vt:lpstr>
      <vt:lpstr>f_p1</vt:lpstr>
      <vt:lpstr>f_p2</vt:lpstr>
      <vt:lpstr>f_r</vt:lpstr>
      <vt:lpstr>Final_Calculated_C</vt:lpstr>
      <vt:lpstr>Final_CH_x_W_Reducers</vt:lpstr>
      <vt:lpstr>Final_F_P</vt:lpstr>
      <vt:lpstr>Final_Flow_Ch_W_Reducers</vt:lpstr>
      <vt:lpstr>Final_Flow_NonCh_W_Reducers</vt:lpstr>
      <vt:lpstr>Final_x_TP</vt:lpstr>
      <vt:lpstr>Final_Y_W_Reducers</vt:lpstr>
      <vt:lpstr>FLAG_1</vt:lpstr>
      <vt:lpstr>FLAG_2</vt:lpstr>
      <vt:lpstr>FLAG_A</vt:lpstr>
      <vt:lpstr>G_</vt:lpstr>
      <vt:lpstr>GAMMA</vt:lpstr>
      <vt:lpstr>INPUT1D</vt:lpstr>
      <vt:lpstr>INPUT2D</vt:lpstr>
      <vt:lpstr>INPUT3D</vt:lpstr>
      <vt:lpstr>INPUT4D</vt:lpstr>
      <vt:lpstr>L_A</vt:lpstr>
      <vt:lpstr>L_G</vt:lpstr>
      <vt:lpstr>L_pi</vt:lpstr>
      <vt:lpstr>lbm_h_to_scfh</vt:lpstr>
      <vt:lpstr>M</vt:lpstr>
      <vt:lpstr>M_j</vt:lpstr>
      <vt:lpstr>MN</vt:lpstr>
      <vt:lpstr>MW</vt:lpstr>
      <vt:lpstr>N_2</vt:lpstr>
      <vt:lpstr>N_5</vt:lpstr>
      <vt:lpstr>N_6</vt:lpstr>
      <vt:lpstr>N_9</vt:lpstr>
      <vt:lpstr>P_1</vt:lpstr>
      <vt:lpstr>P_1..L</vt:lpstr>
      <vt:lpstr>P_1_maxQ</vt:lpstr>
      <vt:lpstr>P_1_maxW</vt:lpstr>
      <vt:lpstr>P_1_minQ</vt:lpstr>
      <vt:lpstr>P_1_minW</vt:lpstr>
      <vt:lpstr>P_1_psia</vt:lpstr>
      <vt:lpstr>P_2_maxQ</vt:lpstr>
      <vt:lpstr>P_2_maxW</vt:lpstr>
      <vt:lpstr>P_2_minQ</vt:lpstr>
      <vt:lpstr>P_2_minW</vt:lpstr>
      <vt:lpstr>P_2_psia</vt:lpstr>
      <vt:lpstr>P1_over_P2break</vt:lpstr>
      <vt:lpstr>P1_over_P2crit</vt:lpstr>
      <vt:lpstr>P1_Wi</vt:lpstr>
      <vt:lpstr>P2_Wi</vt:lpstr>
      <vt:lpstr>'Installed Flow'!Print_Area</vt:lpstr>
      <vt:lpstr>'Installed Gain'!Print_Area</vt:lpstr>
      <vt:lpstr>'Valve Sizing'!Print_Area</vt:lpstr>
      <vt:lpstr>Qf</vt:lpstr>
      <vt:lpstr>r_</vt:lpstr>
      <vt:lpstr>R_dn</vt:lpstr>
      <vt:lpstr>R_up</vt:lpstr>
      <vt:lpstr>RHO</vt:lpstr>
      <vt:lpstr>RHO_lb_ft3</vt:lpstr>
      <vt:lpstr>RHO_n</vt:lpstr>
      <vt:lpstr>RHO_Wi</vt:lpstr>
      <vt:lpstr>Select_C_Non_or_C_Ch</vt:lpstr>
      <vt:lpstr>Selected_scfh</vt:lpstr>
      <vt:lpstr>SIGMA_ZETA</vt:lpstr>
      <vt:lpstr>SIGMA_ZETA_1</vt:lpstr>
      <vt:lpstr>T_1</vt:lpstr>
      <vt:lpstr>T_1..L</vt:lpstr>
      <vt:lpstr>T_1_degR</vt:lpstr>
      <vt:lpstr>T_abs</vt:lpstr>
      <vt:lpstr>T_L</vt:lpstr>
      <vt:lpstr>T_Lfo</vt:lpstr>
      <vt:lpstr>T_lfp1</vt:lpstr>
      <vt:lpstr>T_lfp2</vt:lpstr>
      <vt:lpstr>T_lfp3</vt:lpstr>
      <vt:lpstr>T_lfp4</vt:lpstr>
      <vt:lpstr>T_lfpselected</vt:lpstr>
      <vt:lpstr>t_p_in</vt:lpstr>
      <vt:lpstr>TAG</vt:lpstr>
      <vt:lpstr>VSC</vt:lpstr>
      <vt:lpstr>W</vt:lpstr>
      <vt:lpstr>W_i</vt:lpstr>
      <vt:lpstr>W_max</vt:lpstr>
      <vt:lpstr>W_min</vt:lpstr>
      <vt:lpstr>W_to_lbm_h</vt:lpstr>
      <vt:lpstr>x</vt:lpstr>
      <vt:lpstr>x_T</vt:lpstr>
      <vt:lpstr>x_T_100</vt:lpstr>
      <vt:lpstr>x_TP</vt:lpstr>
      <vt:lpstr>x_TP_100</vt:lpstr>
      <vt:lpstr>x_TP_h</vt:lpstr>
      <vt:lpstr>x_Wi</vt:lpstr>
      <vt:lpstr>xx</vt:lpstr>
      <vt:lpstr>Y</vt:lpstr>
      <vt:lpstr>Y_C_100</vt:lpstr>
      <vt:lpstr>Y_C_h</vt:lpstr>
      <vt:lpstr>Y_W_Reducers</vt:lpstr>
      <vt:lpstr>Z_</vt:lpstr>
      <vt:lpstr>Z_1</vt:lpstr>
      <vt:lpstr>ZETA_1</vt:lpstr>
      <vt:lpstr>ZETA_2</vt:lpstr>
      <vt:lpstr>ZETA_B1</vt:lpstr>
      <vt:lpstr>ZETA_B2</vt:lpstr>
    </vt:vector>
  </TitlesOfParts>
  <Company>Jamesbury Neles Controls Group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Jon Monsen</dc:creator>
  <cp:lastModifiedBy>Jon</cp:lastModifiedBy>
  <cp:lastPrinted>2018-01-24T00:01:22Z</cp:lastPrinted>
  <dcterms:created xsi:type="dcterms:W3CDTF">2003-01-19T22:45:52Z</dcterms:created>
  <dcterms:modified xsi:type="dcterms:W3CDTF">2018-01-24T00:01:40Z</dcterms:modified>
</cp:coreProperties>
</file>